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6.xml.rels" ContentType="application/vnd.openxmlformats-package.relationships+xml"/>
  <Override PartName="/xl/worksheets/_rels/sheet14.xml.rels" ContentType="application/vnd.openxmlformats-package.relationships+xml"/>
  <Override PartName="/xl/worksheets/_rels/sheet25.xml.rels" ContentType="application/vnd.openxmlformats-package.relationships+xml"/>
  <Override PartName="/xl/worksheets/_rels/sheet13.xml.rels" ContentType="application/vnd.openxmlformats-package.relationships+xml"/>
  <Override PartName="/xl/worksheets/_rels/sheet24.xml.rels" ContentType="application/vnd.openxmlformats-package.relationships+xml"/>
  <Override PartName="/xl/worksheets/_rels/sheet12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32.xml.rels" ContentType="application/vnd.openxmlformats-package.relationships+xml"/>
  <Override PartName="/xl/worksheets/_rels/sheet29.xml.rels" ContentType="application/vnd.openxmlformats-package.relationships+xml"/>
  <Override PartName="/xl/worksheets/_rels/sheet31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20.xml.rels" ContentType="application/vnd.openxmlformats-package.relationships+xml"/>
  <Override PartName="/xl/drawings/_rels/drawing1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Vendor_Master" sheetId="3" state="visible" r:id="rId5"/>
    <sheet name="Customer_Master" sheetId="4" state="visible" r:id="rId6"/>
    <sheet name="Purchase_Orders" sheetId="5" state="visible" r:id="rId7"/>
    <sheet name="Goods_Receipt_Notes" sheetId="6" state="visible" r:id="rId8"/>
    <sheet name="Vendor_Invoices_AP" sheetId="7" state="visible" r:id="rId9"/>
    <sheet name="Payment_Log_AP" sheetId="8" state="visible" r:id="rId10"/>
    <sheet name="Bank_Statement" sheetId="9" state="visible" r:id="rId11"/>
    <sheet name="Customer_Invoices_AR" sheetId="10" state="visible" r:id="rId12"/>
    <sheet name="Cash_Receipts_AR" sheetId="11" state="visible" r:id="rId13"/>
    <sheet name="3Way_Match" sheetId="12" state="visible" r:id="rId14"/>
    <sheet name="Bank_Reconciliation" sheetId="13" state="visible" r:id="rId15"/>
    <sheet name="AP_Aging" sheetId="14" state="visible" r:id="rId16"/>
    <sheet name="Duplicate_Payments" sheetId="15" state="visible" r:id="rId17"/>
    <sheet name="AP_Payment_Detail" sheetId="16" state="visible" r:id="rId18"/>
    <sheet name="DPO_Summary" sheetId="17" state="visible" r:id="rId19"/>
    <sheet name="AR_Aging" sheetId="18" state="visible" r:id="rId20"/>
    <sheet name="AR_Partial_Unpaid" sheetId="19" state="visible" r:id="rId21"/>
    <sheet name="AR_Payment_Detail" sheetId="20" state="visible" r:id="rId22"/>
    <sheet name="DSO_Summary" sheetId="21" state="visible" r:id="rId23"/>
    <sheet name="SoD_Check" sheetId="22" state="visible" r:id="rId24"/>
    <sheet name="Risk_Scoring" sheetId="23" state="visible" r:id="rId25"/>
    <sheet name="Vendor_Spend" sheetId="24" state="visible" r:id="rId26"/>
    <sheet name="New_Vendor_Risk" sheetId="25" state="visible" r:id="rId27"/>
    <sheet name="Cash_Outflow_Forecast" sheetId="26" state="visible" r:id="rId28"/>
    <sheet name="RCM" sheetId="27" state="visible" r:id="rId29"/>
    <sheet name="Report_Monthly" sheetId="28" state="visible" r:id="rId30"/>
    <sheet name="Report_Quarterly" sheetId="29" state="visible" r:id="rId31"/>
    <sheet name="Report_Yearly" sheetId="30" state="visible" r:id="rId32"/>
    <sheet name="Report_Weekly" sheetId="31" state="visible" r:id="rId33"/>
    <sheet name="KPI_Dashboard" sheetId="32" state="visible" r:id="rId34"/>
  </sheets>
  <definedNames>
    <definedName function="false" hidden="true" localSheetId="11" name="_xlnm._FilterDatabase" vbProcedure="false">3Way_Match!$A$4:$L$854</definedName>
    <definedName function="false" hidden="true" localSheetId="13" name="_xlnm._FilterDatabase" vbProcedure="false">AP_Aging!$A$4:$K$885</definedName>
    <definedName function="false" hidden="true" localSheetId="15" name="_xlnm._FilterDatabase" vbProcedure="false">AP_Payment_Detail!$A$4:$H$756</definedName>
    <definedName function="false" hidden="true" localSheetId="17" name="_xlnm._FilterDatabase" vbProcedure="false">AR_Aging!$A$4:$K$604</definedName>
    <definedName function="false" hidden="true" localSheetId="18" name="_xlnm._FilterDatabase" vbProcedure="false">AR_Partial_Unpaid!$A$4:$H$604</definedName>
    <definedName function="false" hidden="true" localSheetId="19" name="_xlnm._FilterDatabase" vbProcedure="false">AR_Payment_Detail!$A$4:$H$506</definedName>
    <definedName function="false" hidden="true" localSheetId="12" name="_xlnm._FilterDatabase" vbProcedure="false">Bank_Reconciliation!$A$761:$G$1543</definedName>
    <definedName function="false" hidden="true" localSheetId="14" name="_xlnm._FilterDatabase" vbProcedure="false">Duplicate_Payments!$A$4:$H$885</definedName>
    <definedName function="false" hidden="true" localSheetId="24" name="_xlnm._FilterDatabase" vbProcedure="false">New_Vendor_Risk!$A$4:$H$44</definedName>
    <definedName function="false" hidden="true" localSheetId="27" name="_xlnm._FilterDatabase" vbProcedure="false">Report_Monthly!$A$4:$H$23</definedName>
    <definedName function="false" hidden="true" localSheetId="28" name="_xlnm._FilterDatabase" vbProcedure="false">Report_Quarterly!$A$4:$H$11</definedName>
    <definedName function="false" hidden="true" localSheetId="30" name="_xlnm._FilterDatabase" vbProcedure="false">Report_Weekly!$A$4:$H$16</definedName>
    <definedName function="false" hidden="true" localSheetId="29" name="_xlnm._FilterDatabase" vbProcedure="false">Report_Yearly!$A$4:$H$6</definedName>
    <definedName function="false" hidden="true" localSheetId="22" name="_xlnm._FilterDatabase" vbProcedure="false">Risk_Scoring!$A$4:$M$756</definedName>
    <definedName function="false" hidden="true" localSheetId="21" name="_xlnm._FilterDatabase" vbProcedure="false">SoD_Check!$A$4:$G$854</definedName>
    <definedName function="false" hidden="true" localSheetId="23" name="_xlnm._FilterDatabase" vbProcedure="false">Vendor_Spend!$A$4:$I$44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<sst xmlns="http://schemas.openxmlformats.org/spreadsheetml/2006/main" count="17282" uniqueCount="5740">
  <si>
    <t xml:space="preserve">Finance Operations Automation Project</t>
  </si>
  <si>
    <t xml:space="preserve">Reconciliation · AP · AR · Compliance · Risk · Procurement · Forecasting · Reporting Automation</t>
  </si>
  <si>
    <t xml:space="preserve">Data coverage: Jan 2025 – Jul 2026   |   Built for Excel (legacy, non-365 compatible — no XLOOKUP / Power Query)</t>
  </si>
  <si>
    <t xml:space="preserve">How this workbook is organized</t>
  </si>
  <si>
    <t xml:space="preserve">Cover / Assumptions</t>
  </si>
  <si>
    <t xml:space="preserve">This sheet + editable As-Of date and risk thresholds (yellow cells).</t>
  </si>
  <si>
    <t xml:space="preserve">Raw Data (9 grey tabs)</t>
  </si>
  <si>
    <t xml:space="preserve">Untouched source tables: Vendor/Customer Master, POs, GRNs, AP Invoices, AP Payments, Bank Statement, AR Invoices, AR Receipts.</t>
  </si>
  <si>
    <t xml:space="preserve">3Way_Match</t>
  </si>
  <si>
    <t xml:space="preserve">Reconciliation Module 1: PO ↔ GRN ↔ Invoice matching, flags amount mismatches &amp; goods invoiced but not received.</t>
  </si>
  <si>
    <t xml:space="preserve">Bank_Reconciliation</t>
  </si>
  <si>
    <t xml:space="preserve">Reconciliation Module 2: AP payments ↔ bank statement matching, flags unmatched items and timing/amount differences.</t>
  </si>
  <si>
    <t xml:space="preserve">AP_Aging</t>
  </si>
  <si>
    <t xml:space="preserve">Outstanding AP invoices bucketed 0-30/31-60/61-90/90+ days.</t>
  </si>
  <si>
    <t xml:space="preserve">Duplicate_Payments</t>
  </si>
  <si>
    <t xml:space="preserve">Flags invoices paid more than once.</t>
  </si>
  <si>
    <t xml:space="preserve">DPO_Summary</t>
  </si>
  <si>
    <t xml:space="preserve">Days Payable Outstanding — headline metric + monthly trend.</t>
  </si>
  <si>
    <t xml:space="preserve">AR_Aging</t>
  </si>
  <si>
    <t xml:space="preserve">Outstanding AR invoices bucketed 0-30/31-60/61-90/90+ days.</t>
  </si>
  <si>
    <t xml:space="preserve">AR_Partial_Unpaid</t>
  </si>
  <si>
    <t xml:space="preserve">Flags short-paid and fully overdue customer invoices.</t>
  </si>
  <si>
    <t xml:space="preserve">DSO_Summary</t>
  </si>
  <si>
    <t xml:space="preserve">Days Sales Outstanding — headline metric + monthly trend.</t>
  </si>
  <si>
    <t xml:space="preserve">SoD_Check</t>
  </si>
  <si>
    <t xml:space="preserve">Segregation-of-Duties: flags POs where requester = approver.</t>
  </si>
  <si>
    <t xml:space="preserve">RCM</t>
  </si>
  <si>
    <t xml:space="preserve">Risk &amp; Control Matrix — internal-audit style pass/fail summary, auto-updating from the modules above.</t>
  </si>
  <si>
    <t xml:space="preserve">Risk_Scoring</t>
  </si>
  <si>
    <t xml:space="preserve">AML-style weighted risk score per AP payment (large amount, round-dollar, new vendor, geography).</t>
  </si>
  <si>
    <t xml:space="preserve">Vendor_Spend</t>
  </si>
  <si>
    <t xml:space="preserve">Vendor spend analysis with Pareto (80/20) concentration.</t>
  </si>
  <si>
    <t xml:space="preserve">New_Vendor_Risk</t>
  </si>
  <si>
    <t xml:space="preserve">Flags recently onboarded vendors with unusually large spend.</t>
  </si>
  <si>
    <t xml:space="preserve">Cash_Outflow_Forecast</t>
  </si>
  <si>
    <t xml:space="preserve">Monthly AP payment history + 3-month forward forecast (FORECAST function).</t>
  </si>
  <si>
    <t xml:space="preserve">Report_Weekly / Monthly / Quarterly / Yearly</t>
  </si>
  <si>
    <t xml:space="preserve">Recurring management reports built from the modules, ready for the VBA refresh/export/email macro.</t>
  </si>
  <si>
    <t xml:space="preserve">KPI_Dashboard</t>
  </si>
  <si>
    <t xml:space="preserve">One-page summary with headline KPIs and charts.</t>
  </si>
  <si>
    <t xml:space="preserve">See the separate Project Documentation (Word) and How-To-Run Guide for full methodology and the VBA automation setup.</t>
  </si>
  <si>
    <t xml:space="preserve">Assumptions &amp; Editable Inputs</t>
  </si>
  <si>
    <t xml:space="preserve">Yellow cells are inputs — change them and every module recalculates.</t>
  </si>
  <si>
    <t xml:space="preserve">Assumption</t>
  </si>
  <si>
    <t xml:space="preserve">Value</t>
  </si>
  <si>
    <t xml:space="preserve">Notes</t>
  </si>
  <si>
    <t xml:space="preserve">Reporting As-Of Date</t>
  </si>
  <si>
    <t xml:space="preserve">2026-07-31</t>
  </si>
  <si>
    <t xml:space="preserve">Used by every Aging / DPO / DSO / Forecast module as 'today'. Data runs through Jul-2026 in the source file.</t>
  </si>
  <si>
    <t xml:space="preserve">Match Tolerance ($)</t>
  </si>
  <si>
    <t xml:space="preserve">Dollar variance allowed before a 3-way-match / bank line is flagged as a mismatch.</t>
  </si>
  <si>
    <t xml:space="preserve">Large Transaction Threshold ($)</t>
  </si>
  <si>
    <t xml:space="preserve">Risk scoring: amount at/above this adds high points.</t>
  </si>
  <si>
    <t xml:space="preserve">Elevated Transaction Threshold ($)</t>
  </si>
  <si>
    <t xml:space="preserve">Risk scoring: amount at/above this (but below Large) adds medium points.</t>
  </si>
  <si>
    <t xml:space="preserve">New Vendor Window (days)</t>
  </si>
  <si>
    <t xml:space="preserve">Vendor is 'new' if onboarded within this many days of the transaction/report date.</t>
  </si>
  <si>
    <t xml:space="preserve">Higher-Risk Countries</t>
  </si>
  <si>
    <t xml:space="preserve">India, UAE, Singapore</t>
  </si>
  <si>
    <t xml:space="preserve">Illustrative geography flag for the AML-style score — replace with your AML policy's actual list.</t>
  </si>
  <si>
    <t xml:space="preserve">AP Aging Buckets (days)</t>
  </si>
  <si>
    <t xml:space="preserve">0-30 / 31-60 / 61-90 / 90+</t>
  </si>
  <si>
    <t xml:space="preserve">Standard 4-bucket aging, matches AR for consistency.</t>
  </si>
  <si>
    <t xml:space="preserve">Vendor_ID</t>
  </si>
  <si>
    <t xml:space="preserve">Vendor_Name</t>
  </si>
  <si>
    <t xml:space="preserve">Category</t>
  </si>
  <si>
    <t xml:space="preserve">Country</t>
  </si>
  <si>
    <t xml:space="preserve">Onboarding_Date</t>
  </si>
  <si>
    <t xml:space="preserve">Bank_Account_Last4</t>
  </si>
  <si>
    <t xml:space="preserve">Payment_Terms_Days</t>
  </si>
  <si>
    <t xml:space="preserve">V1001</t>
  </si>
  <si>
    <t xml:space="preserve">Figueroa and Sons</t>
  </si>
  <si>
    <t xml:space="preserve">Travel &amp; Logistics</t>
  </si>
  <si>
    <t xml:space="preserve">USA</t>
  </si>
  <si>
    <t xml:space="preserve">1409</t>
  </si>
  <si>
    <t xml:space="preserve">V1002</t>
  </si>
  <si>
    <t xml:space="preserve">Garcia, Yang and Gardner</t>
  </si>
  <si>
    <t xml:space="preserve">Office Supplies</t>
  </si>
  <si>
    <t xml:space="preserve">UK</t>
  </si>
  <si>
    <t xml:space="preserve">3286</t>
  </si>
  <si>
    <t xml:space="preserve">V1003</t>
  </si>
  <si>
    <t xml:space="preserve">Johnson and Sons</t>
  </si>
  <si>
    <t xml:space="preserve">UAE</t>
  </si>
  <si>
    <t xml:space="preserve">9935</t>
  </si>
  <si>
    <t xml:space="preserve">V1004</t>
  </si>
  <si>
    <t xml:space="preserve">Johnson, Gonzalez and Santos</t>
  </si>
  <si>
    <t xml:space="preserve">Marketing</t>
  </si>
  <si>
    <t xml:space="preserve">Germany</t>
  </si>
  <si>
    <t xml:space="preserve">1520</t>
  </si>
  <si>
    <t xml:space="preserve">V1005</t>
  </si>
  <si>
    <t xml:space="preserve">Cole LLC</t>
  </si>
  <si>
    <t xml:space="preserve">IT Services</t>
  </si>
  <si>
    <t xml:space="preserve">4811</t>
  </si>
  <si>
    <t xml:space="preserve">V1006</t>
  </si>
  <si>
    <t xml:space="preserve">Blake and Sons</t>
  </si>
  <si>
    <t xml:space="preserve">9928</t>
  </si>
  <si>
    <t xml:space="preserve">V1007</t>
  </si>
  <si>
    <t xml:space="preserve">Ramirez-Lewis</t>
  </si>
  <si>
    <t xml:space="preserve">5557</t>
  </si>
  <si>
    <t xml:space="preserve">V1008</t>
  </si>
  <si>
    <t xml:space="preserve">Davis Inc</t>
  </si>
  <si>
    <t xml:space="preserve">Software Licensing</t>
  </si>
  <si>
    <t xml:space="preserve">Canada</t>
  </si>
  <si>
    <t xml:space="preserve">3615</t>
  </si>
  <si>
    <t xml:space="preserve">V1009</t>
  </si>
  <si>
    <t xml:space="preserve">Munoz-Roman</t>
  </si>
  <si>
    <t xml:space="preserve">Professional Services</t>
  </si>
  <si>
    <t xml:space="preserve">India</t>
  </si>
  <si>
    <t xml:space="preserve">3547</t>
  </si>
  <si>
    <t xml:space="preserve">V1010</t>
  </si>
  <si>
    <t xml:space="preserve">Martinez, Nielsen and Miller</t>
  </si>
  <si>
    <t xml:space="preserve">2674</t>
  </si>
  <si>
    <t xml:space="preserve">V1011</t>
  </si>
  <si>
    <t xml:space="preserve">Montgomery, Hensley and Ray</t>
  </si>
  <si>
    <t xml:space="preserve">Facilities</t>
  </si>
  <si>
    <t xml:space="preserve">6881</t>
  </si>
  <si>
    <t xml:space="preserve">V1012</t>
  </si>
  <si>
    <t xml:space="preserve">Stanley LLC</t>
  </si>
  <si>
    <t xml:space="preserve">1711</t>
  </si>
  <si>
    <t xml:space="preserve">V1013</t>
  </si>
  <si>
    <t xml:space="preserve">Delacruz Group</t>
  </si>
  <si>
    <t xml:space="preserve">7201</t>
  </si>
  <si>
    <t xml:space="preserve">V1014</t>
  </si>
  <si>
    <t xml:space="preserve">Flowers, Martin and Kelly</t>
  </si>
  <si>
    <t xml:space="preserve">6925</t>
  </si>
  <si>
    <t xml:space="preserve">V1015</t>
  </si>
  <si>
    <t xml:space="preserve">Zuniga, Wong and Lynch</t>
  </si>
  <si>
    <t xml:space="preserve">1750</t>
  </si>
  <si>
    <t xml:space="preserve">V1016</t>
  </si>
  <si>
    <t xml:space="preserve">Sanchez, Ford and Nelson</t>
  </si>
  <si>
    <t xml:space="preserve">2307</t>
  </si>
  <si>
    <t xml:space="preserve">V1017</t>
  </si>
  <si>
    <t xml:space="preserve">Hawkins, Cohen and Cameron</t>
  </si>
  <si>
    <t xml:space="preserve">7227</t>
  </si>
  <si>
    <t xml:space="preserve">V1018</t>
  </si>
  <si>
    <t xml:space="preserve">Underwood LLC</t>
  </si>
  <si>
    <t xml:space="preserve">6977</t>
  </si>
  <si>
    <t xml:space="preserve">V1019</t>
  </si>
  <si>
    <t xml:space="preserve">Clark PLC</t>
  </si>
  <si>
    <t xml:space="preserve">4432</t>
  </si>
  <si>
    <t xml:space="preserve">V1020</t>
  </si>
  <si>
    <t xml:space="preserve">Lewis-Porter</t>
  </si>
  <si>
    <t xml:space="preserve">2169</t>
  </si>
  <si>
    <t xml:space="preserve">V1021</t>
  </si>
  <si>
    <t xml:space="preserve">Ellis, Baker and Wright</t>
  </si>
  <si>
    <t xml:space="preserve">5010</t>
  </si>
  <si>
    <t xml:space="preserve">V1022</t>
  </si>
  <si>
    <t xml:space="preserve">Burgess-Patterson</t>
  </si>
  <si>
    <t xml:space="preserve">5422</t>
  </si>
  <si>
    <t xml:space="preserve">V1023</t>
  </si>
  <si>
    <t xml:space="preserve">Robinson-Bright</t>
  </si>
  <si>
    <t xml:space="preserve">1916</t>
  </si>
  <si>
    <t xml:space="preserve">V1024</t>
  </si>
  <si>
    <t xml:space="preserve">Campos Inc</t>
  </si>
  <si>
    <t xml:space="preserve">6168</t>
  </si>
  <si>
    <t xml:space="preserve">V1025</t>
  </si>
  <si>
    <t xml:space="preserve">Conner Group</t>
  </si>
  <si>
    <t xml:space="preserve">4456</t>
  </si>
  <si>
    <t xml:space="preserve">V1026</t>
  </si>
  <si>
    <t xml:space="preserve">James-Ferrell</t>
  </si>
  <si>
    <t xml:space="preserve">9179</t>
  </si>
  <si>
    <t xml:space="preserve">V1027</t>
  </si>
  <si>
    <t xml:space="preserve">Valencia, Smith and Le</t>
  </si>
  <si>
    <t xml:space="preserve">3340</t>
  </si>
  <si>
    <t xml:space="preserve">V1028</t>
  </si>
  <si>
    <t xml:space="preserve">Potter, Mack and Peterson</t>
  </si>
  <si>
    <t xml:space="preserve">9830</t>
  </si>
  <si>
    <t xml:space="preserve">V1029</t>
  </si>
  <si>
    <t xml:space="preserve">Chavez Ltd</t>
  </si>
  <si>
    <t xml:space="preserve">Singapore</t>
  </si>
  <si>
    <t xml:space="preserve">8019</t>
  </si>
  <si>
    <t xml:space="preserve">V1030</t>
  </si>
  <si>
    <t xml:space="preserve">Stanton-Gill</t>
  </si>
  <si>
    <t xml:space="preserve">3266</t>
  </si>
  <si>
    <t xml:space="preserve">V1031</t>
  </si>
  <si>
    <t xml:space="preserve">Harrell LLC</t>
  </si>
  <si>
    <t xml:space="preserve">1771</t>
  </si>
  <si>
    <t xml:space="preserve">V1032</t>
  </si>
  <si>
    <t xml:space="preserve">Lynch, Hernandez and Farmer</t>
  </si>
  <si>
    <t xml:space="preserve">3621</t>
  </si>
  <si>
    <t xml:space="preserve">V1033</t>
  </si>
  <si>
    <t xml:space="preserve">Sellers, George and Burns</t>
  </si>
  <si>
    <t xml:space="preserve">7304</t>
  </si>
  <si>
    <t xml:space="preserve">V1034</t>
  </si>
  <si>
    <t xml:space="preserve">Koch-Decker</t>
  </si>
  <si>
    <t xml:space="preserve">9669</t>
  </si>
  <si>
    <t xml:space="preserve">V1035</t>
  </si>
  <si>
    <t xml:space="preserve">Allen PLC</t>
  </si>
  <si>
    <t xml:space="preserve">1188</t>
  </si>
  <si>
    <t xml:space="preserve">V1036</t>
  </si>
  <si>
    <t xml:space="preserve">Dennis Inc</t>
  </si>
  <si>
    <t xml:space="preserve">5371</t>
  </si>
  <si>
    <t xml:space="preserve">V1037</t>
  </si>
  <si>
    <t xml:space="preserve">Cannon, Anderson and Alvarez</t>
  </si>
  <si>
    <t xml:space="preserve">8123</t>
  </si>
  <si>
    <t xml:space="preserve">V1038</t>
  </si>
  <si>
    <t xml:space="preserve">Rose-Obrien</t>
  </si>
  <si>
    <t xml:space="preserve">5315</t>
  </si>
  <si>
    <t xml:space="preserve">V1039</t>
  </si>
  <si>
    <t xml:space="preserve">Campos, Vaughn and Marquez</t>
  </si>
  <si>
    <t xml:space="preserve">5889</t>
  </si>
  <si>
    <t xml:space="preserve">V1040</t>
  </si>
  <si>
    <t xml:space="preserve">Santos, Kim and Holmes</t>
  </si>
  <si>
    <t xml:space="preserve">3646</t>
  </si>
  <si>
    <t xml:space="preserve">Customer_ID</t>
  </si>
  <si>
    <t xml:space="preserve">Customer_Name</t>
  </si>
  <si>
    <t xml:space="preserve">Credit_Terms_Days</t>
  </si>
  <si>
    <t xml:space="preserve">Industry</t>
  </si>
  <si>
    <t xml:space="preserve">C2001</t>
  </si>
  <si>
    <t xml:space="preserve">Wright Inc</t>
  </si>
  <si>
    <t xml:space="preserve">Technology</t>
  </si>
  <si>
    <t xml:space="preserve">C2002</t>
  </si>
  <si>
    <t xml:space="preserve">Smith-Spencer</t>
  </si>
  <si>
    <t xml:space="preserve">Healthcare</t>
  </si>
  <si>
    <t xml:space="preserve">C2003</t>
  </si>
  <si>
    <t xml:space="preserve">Robinson, Jones and Welch</t>
  </si>
  <si>
    <t xml:space="preserve">Manufacturing</t>
  </si>
  <si>
    <t xml:space="preserve">C2004</t>
  </si>
  <si>
    <t xml:space="preserve">Jones Inc</t>
  </si>
  <si>
    <t xml:space="preserve">Financial Services</t>
  </si>
  <si>
    <t xml:space="preserve">C2005</t>
  </si>
  <si>
    <t xml:space="preserve">Jones-Young</t>
  </si>
  <si>
    <t xml:space="preserve">C2006</t>
  </si>
  <si>
    <t xml:space="preserve">Washington, Ryan and Cummings</t>
  </si>
  <si>
    <t xml:space="preserve">C2007</t>
  </si>
  <si>
    <t xml:space="preserve">Johnston, Sanchez and Kennedy</t>
  </si>
  <si>
    <t xml:space="preserve">C2008</t>
  </si>
  <si>
    <t xml:space="preserve">Lee-Davis</t>
  </si>
  <si>
    <t xml:space="preserve">C2009</t>
  </si>
  <si>
    <t xml:space="preserve">Gomez-Jenkins</t>
  </si>
  <si>
    <t xml:space="preserve">C2010</t>
  </si>
  <si>
    <t xml:space="preserve">Brown, Valdez and Lucas</t>
  </si>
  <si>
    <t xml:space="preserve">C2011</t>
  </si>
  <si>
    <t xml:space="preserve">Powell LLC</t>
  </si>
  <si>
    <t xml:space="preserve">C2012</t>
  </si>
  <si>
    <t xml:space="preserve">Wright and Sons</t>
  </si>
  <si>
    <t xml:space="preserve">C2013</t>
  </si>
  <si>
    <t xml:space="preserve">West, Henderson and Ramirez</t>
  </si>
  <si>
    <t xml:space="preserve">Retail</t>
  </si>
  <si>
    <t xml:space="preserve">C2014</t>
  </si>
  <si>
    <t xml:space="preserve">Baxter Inc</t>
  </si>
  <si>
    <t xml:space="preserve">C2015</t>
  </si>
  <si>
    <t xml:space="preserve">Morton-Chase</t>
  </si>
  <si>
    <t xml:space="preserve">C2016</t>
  </si>
  <si>
    <t xml:space="preserve">Williams PLC</t>
  </si>
  <si>
    <t xml:space="preserve">C2017</t>
  </si>
  <si>
    <t xml:space="preserve">Novak and Sons</t>
  </si>
  <si>
    <t xml:space="preserve">C2018</t>
  </si>
  <si>
    <t xml:space="preserve">Russell Group</t>
  </si>
  <si>
    <t xml:space="preserve">C2019</t>
  </si>
  <si>
    <t xml:space="preserve">Hancock Inc</t>
  </si>
  <si>
    <t xml:space="preserve">C2020</t>
  </si>
  <si>
    <t xml:space="preserve">Gray Group</t>
  </si>
  <si>
    <t xml:space="preserve">C2021</t>
  </si>
  <si>
    <t xml:space="preserve">House-Glover</t>
  </si>
  <si>
    <t xml:space="preserve">C2022</t>
  </si>
  <si>
    <t xml:space="preserve">Henderson-Bernard</t>
  </si>
  <si>
    <t xml:space="preserve">C2023</t>
  </si>
  <si>
    <t xml:space="preserve">Stanley, Tucker and Lee</t>
  </si>
  <si>
    <t xml:space="preserve">C2024</t>
  </si>
  <si>
    <t xml:space="preserve">Novak PLC</t>
  </si>
  <si>
    <t xml:space="preserve">C2025</t>
  </si>
  <si>
    <t xml:space="preserve">Daniels, Adkins and Brown</t>
  </si>
  <si>
    <t xml:space="preserve">C2026</t>
  </si>
  <si>
    <t xml:space="preserve">Woods, Calhoun and Schmidt</t>
  </si>
  <si>
    <t xml:space="preserve">C2027</t>
  </si>
  <si>
    <t xml:space="preserve">Yu Inc</t>
  </si>
  <si>
    <t xml:space="preserve">C2028</t>
  </si>
  <si>
    <t xml:space="preserve">C2029</t>
  </si>
  <si>
    <t xml:space="preserve">Hensley, Powell and David</t>
  </si>
  <si>
    <t xml:space="preserve">C2030</t>
  </si>
  <si>
    <t xml:space="preserve">Sanchez, Wheeler and Harvey</t>
  </si>
  <si>
    <t xml:space="preserve">PO_ID</t>
  </si>
  <si>
    <t xml:space="preserve">PO_Date</t>
  </si>
  <si>
    <t xml:space="preserve">PO_Amount</t>
  </si>
  <si>
    <t xml:space="preserve">Requested_By</t>
  </si>
  <si>
    <t xml:space="preserve">Approved_By</t>
  </si>
  <si>
    <t xml:space="preserve">PO10001</t>
  </si>
  <si>
    <t xml:space="preserve">Shirley Suarez</t>
  </si>
  <si>
    <t xml:space="preserve">Evelyn Galvan</t>
  </si>
  <si>
    <t xml:space="preserve">PO10002</t>
  </si>
  <si>
    <t xml:space="preserve">Jimmy Murillo</t>
  </si>
  <si>
    <t xml:space="preserve">Shannon Walker</t>
  </si>
  <si>
    <t xml:space="preserve">PO10003</t>
  </si>
  <si>
    <t xml:space="preserve">John Whitehead</t>
  </si>
  <si>
    <t xml:space="preserve">PO10004</t>
  </si>
  <si>
    <t xml:space="preserve">James Powers</t>
  </si>
  <si>
    <t xml:space="preserve">Julia Torres</t>
  </si>
  <si>
    <t xml:space="preserve">PO10005</t>
  </si>
  <si>
    <t xml:space="preserve">Deborah Figueroa</t>
  </si>
  <si>
    <t xml:space="preserve">Sharon Cherry</t>
  </si>
  <si>
    <t xml:space="preserve">PO10006</t>
  </si>
  <si>
    <t xml:space="preserve">Marc Moore</t>
  </si>
  <si>
    <t xml:space="preserve">PO10007</t>
  </si>
  <si>
    <t xml:space="preserve">Richard Henson</t>
  </si>
  <si>
    <t xml:space="preserve">PO10008</t>
  </si>
  <si>
    <t xml:space="preserve">Anna Henderson</t>
  </si>
  <si>
    <t xml:space="preserve">PO10009</t>
  </si>
  <si>
    <t xml:space="preserve">Denise Jacobs</t>
  </si>
  <si>
    <t xml:space="preserve">PO10010</t>
  </si>
  <si>
    <t xml:space="preserve">Kevin Mills</t>
  </si>
  <si>
    <t xml:space="preserve">PO10011</t>
  </si>
  <si>
    <t xml:space="preserve">Sharon Cochran</t>
  </si>
  <si>
    <t xml:space="preserve">PO10012</t>
  </si>
  <si>
    <t xml:space="preserve">Christine Wright</t>
  </si>
  <si>
    <t xml:space="preserve">PO10013</t>
  </si>
  <si>
    <t xml:space="preserve">Aimee Montoya</t>
  </si>
  <si>
    <t xml:space="preserve">PO10014</t>
  </si>
  <si>
    <t xml:space="preserve">Jessica Smith</t>
  </si>
  <si>
    <t xml:space="preserve">PO10015</t>
  </si>
  <si>
    <t xml:space="preserve">Christina Moran</t>
  </si>
  <si>
    <t xml:space="preserve">PO10016</t>
  </si>
  <si>
    <t xml:space="preserve">Aaron Wise</t>
  </si>
  <si>
    <t xml:space="preserve">Sierra Johnson</t>
  </si>
  <si>
    <t xml:space="preserve">PO10017</t>
  </si>
  <si>
    <t xml:space="preserve">PO10018</t>
  </si>
  <si>
    <t xml:space="preserve">PO10019</t>
  </si>
  <si>
    <t xml:space="preserve">Christopher Bass</t>
  </si>
  <si>
    <t xml:space="preserve">PO10020</t>
  </si>
  <si>
    <t xml:space="preserve">PO10021</t>
  </si>
  <si>
    <t xml:space="preserve">PO10022</t>
  </si>
  <si>
    <t xml:space="preserve">Richard Rodriguez</t>
  </si>
  <si>
    <t xml:space="preserve">PO10023</t>
  </si>
  <si>
    <t xml:space="preserve">PO10024</t>
  </si>
  <si>
    <t xml:space="preserve">PO10025</t>
  </si>
  <si>
    <t xml:space="preserve">PO10026</t>
  </si>
  <si>
    <t xml:space="preserve">PO10027</t>
  </si>
  <si>
    <t xml:space="preserve">Stephen Mckee</t>
  </si>
  <si>
    <t xml:space="preserve">PO10028</t>
  </si>
  <si>
    <t xml:space="preserve">PO10029</t>
  </si>
  <si>
    <t xml:space="preserve">Brian Rodriguez</t>
  </si>
  <si>
    <t xml:space="preserve">PO10030</t>
  </si>
  <si>
    <t xml:space="preserve">PO10031</t>
  </si>
  <si>
    <t xml:space="preserve">PO10032</t>
  </si>
  <si>
    <t xml:space="preserve">Sandra Aguilar</t>
  </si>
  <si>
    <t xml:space="preserve">PO10033</t>
  </si>
  <si>
    <t xml:space="preserve">PO10034</t>
  </si>
  <si>
    <t xml:space="preserve">Eugene Walton</t>
  </si>
  <si>
    <t xml:space="preserve">PO10035</t>
  </si>
  <si>
    <t xml:space="preserve">PO10036</t>
  </si>
  <si>
    <t xml:space="preserve">PO10037</t>
  </si>
  <si>
    <t xml:space="preserve">PO10038</t>
  </si>
  <si>
    <t xml:space="preserve">Lisa Archer</t>
  </si>
  <si>
    <t xml:space="preserve">PO10039</t>
  </si>
  <si>
    <t xml:space="preserve">Christina Walters</t>
  </si>
  <si>
    <t xml:space="preserve">PO10040</t>
  </si>
  <si>
    <t xml:space="preserve">Matthew Mcmillan</t>
  </si>
  <si>
    <t xml:space="preserve">PO10041</t>
  </si>
  <si>
    <t xml:space="preserve">PO10042</t>
  </si>
  <si>
    <t xml:space="preserve">PO10043</t>
  </si>
  <si>
    <t xml:space="preserve">PO10044</t>
  </si>
  <si>
    <t xml:space="preserve">Rebecca Valencia</t>
  </si>
  <si>
    <t xml:space="preserve">PO10045</t>
  </si>
  <si>
    <t xml:space="preserve">PO10046</t>
  </si>
  <si>
    <t xml:space="preserve">PO10047</t>
  </si>
  <si>
    <t xml:space="preserve">PO10048</t>
  </si>
  <si>
    <t xml:space="preserve">PO10049</t>
  </si>
  <si>
    <t xml:space="preserve">PO10050</t>
  </si>
  <si>
    <t xml:space="preserve">PO10051</t>
  </si>
  <si>
    <t xml:space="preserve">PO10052</t>
  </si>
  <si>
    <t xml:space="preserve">Angel Lewis MD</t>
  </si>
  <si>
    <t xml:space="preserve">PO10053</t>
  </si>
  <si>
    <t xml:space="preserve">PO10054</t>
  </si>
  <si>
    <t xml:space="preserve">PO10055</t>
  </si>
  <si>
    <t xml:space="preserve">PO10056</t>
  </si>
  <si>
    <t xml:space="preserve">PO10057</t>
  </si>
  <si>
    <t xml:space="preserve">PO10058</t>
  </si>
  <si>
    <t xml:space="preserve">PO10059</t>
  </si>
  <si>
    <t xml:space="preserve">PO10060</t>
  </si>
  <si>
    <t xml:space="preserve">PO10061</t>
  </si>
  <si>
    <t xml:space="preserve">PO10062</t>
  </si>
  <si>
    <t xml:space="preserve">PO10063</t>
  </si>
  <si>
    <t xml:space="preserve">PO10064</t>
  </si>
  <si>
    <t xml:space="preserve">PO10065</t>
  </si>
  <si>
    <t xml:space="preserve">PO10066</t>
  </si>
  <si>
    <t xml:space="preserve">PO10067</t>
  </si>
  <si>
    <t xml:space="preserve">PO10068</t>
  </si>
  <si>
    <t xml:space="preserve">PO10069</t>
  </si>
  <si>
    <t xml:space="preserve">PO10070</t>
  </si>
  <si>
    <t xml:space="preserve">PO10071</t>
  </si>
  <si>
    <t xml:space="preserve">PO10072</t>
  </si>
  <si>
    <t xml:space="preserve">Cameron Parker</t>
  </si>
  <si>
    <t xml:space="preserve">PO10073</t>
  </si>
  <si>
    <t xml:space="preserve">PO10074</t>
  </si>
  <si>
    <t xml:space="preserve">PO10075</t>
  </si>
  <si>
    <t xml:space="preserve">PO10076</t>
  </si>
  <si>
    <t xml:space="preserve">PO10077</t>
  </si>
  <si>
    <t xml:space="preserve">PO10078</t>
  </si>
  <si>
    <t xml:space="preserve">PO10079</t>
  </si>
  <si>
    <t xml:space="preserve">PO10080</t>
  </si>
  <si>
    <t xml:space="preserve">PO10081</t>
  </si>
  <si>
    <t xml:space="preserve">PO10082</t>
  </si>
  <si>
    <t xml:space="preserve">PO10083</t>
  </si>
  <si>
    <t xml:space="preserve">PO10084</t>
  </si>
  <si>
    <t xml:space="preserve">PO10085</t>
  </si>
  <si>
    <t xml:space="preserve">PO10086</t>
  </si>
  <si>
    <t xml:space="preserve">PO10087</t>
  </si>
  <si>
    <t xml:space="preserve">PO10088</t>
  </si>
  <si>
    <t xml:space="preserve">PO10089</t>
  </si>
  <si>
    <t xml:space="preserve">PO10090</t>
  </si>
  <si>
    <t xml:space="preserve">PO10091</t>
  </si>
  <si>
    <t xml:space="preserve">PO10092</t>
  </si>
  <si>
    <t xml:space="preserve">PO10093</t>
  </si>
  <si>
    <t xml:space="preserve">PO10094</t>
  </si>
  <si>
    <t xml:space="preserve">PO10095</t>
  </si>
  <si>
    <t xml:space="preserve">PO10096</t>
  </si>
  <si>
    <t xml:space="preserve">PO10097</t>
  </si>
  <si>
    <t xml:space="preserve">PO10098</t>
  </si>
  <si>
    <t xml:space="preserve">PO10099</t>
  </si>
  <si>
    <t xml:space="preserve">PO10100</t>
  </si>
  <si>
    <t xml:space="preserve">PO10101</t>
  </si>
  <si>
    <t xml:space="preserve">PO10102</t>
  </si>
  <si>
    <t xml:space="preserve">PO10103</t>
  </si>
  <si>
    <t xml:space="preserve">PO10104</t>
  </si>
  <si>
    <t xml:space="preserve">PO10105</t>
  </si>
  <si>
    <t xml:space="preserve">PO10106</t>
  </si>
  <si>
    <t xml:space="preserve">PO10107</t>
  </si>
  <si>
    <t xml:space="preserve">PO10108</t>
  </si>
  <si>
    <t xml:space="preserve">PO10109</t>
  </si>
  <si>
    <t xml:space="preserve">PO10110</t>
  </si>
  <si>
    <t xml:space="preserve">PO10111</t>
  </si>
  <si>
    <t xml:space="preserve">PO10112</t>
  </si>
  <si>
    <t xml:space="preserve">PO10113</t>
  </si>
  <si>
    <t xml:space="preserve">PO10114</t>
  </si>
  <si>
    <t xml:space="preserve">PO10115</t>
  </si>
  <si>
    <t xml:space="preserve">PO10116</t>
  </si>
  <si>
    <t xml:space="preserve">PO10117</t>
  </si>
  <si>
    <t xml:space="preserve">PO10118</t>
  </si>
  <si>
    <t xml:space="preserve">PO10119</t>
  </si>
  <si>
    <t xml:space="preserve">PO10120</t>
  </si>
  <si>
    <t xml:space="preserve">PO10121</t>
  </si>
  <si>
    <t xml:space="preserve">PO10122</t>
  </si>
  <si>
    <t xml:space="preserve">PO10123</t>
  </si>
  <si>
    <t xml:space="preserve">PO10124</t>
  </si>
  <si>
    <t xml:space="preserve">PO10125</t>
  </si>
  <si>
    <t xml:space="preserve">PO10126</t>
  </si>
  <si>
    <t xml:space="preserve">PO10127</t>
  </si>
  <si>
    <t xml:space="preserve">PO10128</t>
  </si>
  <si>
    <t xml:space="preserve">PO10129</t>
  </si>
  <si>
    <t xml:space="preserve">PO10130</t>
  </si>
  <si>
    <t xml:space="preserve">PO10131</t>
  </si>
  <si>
    <t xml:space="preserve">PO10132</t>
  </si>
  <si>
    <t xml:space="preserve">PO10133</t>
  </si>
  <si>
    <t xml:space="preserve">PO10134</t>
  </si>
  <si>
    <t xml:space="preserve">PO10135</t>
  </si>
  <si>
    <t xml:space="preserve">PO10136</t>
  </si>
  <si>
    <t xml:space="preserve">PO10137</t>
  </si>
  <si>
    <t xml:space="preserve">PO10138</t>
  </si>
  <si>
    <t xml:space="preserve">PO10139</t>
  </si>
  <si>
    <t xml:space="preserve">PO10140</t>
  </si>
  <si>
    <t xml:space="preserve">PO10141</t>
  </si>
  <si>
    <t xml:space="preserve">PO10142</t>
  </si>
  <si>
    <t xml:space="preserve">PO10143</t>
  </si>
  <si>
    <t xml:space="preserve">PO10144</t>
  </si>
  <si>
    <t xml:space="preserve">PO10145</t>
  </si>
  <si>
    <t xml:space="preserve">PO10146</t>
  </si>
  <si>
    <t xml:space="preserve">PO10147</t>
  </si>
  <si>
    <t xml:space="preserve">PO10148</t>
  </si>
  <si>
    <t xml:space="preserve">PO10149</t>
  </si>
  <si>
    <t xml:space="preserve">PO10150</t>
  </si>
  <si>
    <t xml:space="preserve">PO10151</t>
  </si>
  <si>
    <t xml:space="preserve">PO10152</t>
  </si>
  <si>
    <t xml:space="preserve">PO10153</t>
  </si>
  <si>
    <t xml:space="preserve">PO10154</t>
  </si>
  <si>
    <t xml:space="preserve">PO10155</t>
  </si>
  <si>
    <t xml:space="preserve">PO10156</t>
  </si>
  <si>
    <t xml:space="preserve">PO10157</t>
  </si>
  <si>
    <t xml:space="preserve">PO10158</t>
  </si>
  <si>
    <t xml:space="preserve">PO10159</t>
  </si>
  <si>
    <t xml:space="preserve">PO10160</t>
  </si>
  <si>
    <t xml:space="preserve">PO10161</t>
  </si>
  <si>
    <t xml:space="preserve">PO10162</t>
  </si>
  <si>
    <t xml:space="preserve">PO10163</t>
  </si>
  <si>
    <t xml:space="preserve">PO10164</t>
  </si>
  <si>
    <t xml:space="preserve">PO10165</t>
  </si>
  <si>
    <t xml:space="preserve">PO10166</t>
  </si>
  <si>
    <t xml:space="preserve">PO10167</t>
  </si>
  <si>
    <t xml:space="preserve">PO10168</t>
  </si>
  <si>
    <t xml:space="preserve">PO10169</t>
  </si>
  <si>
    <t xml:space="preserve">PO10170</t>
  </si>
  <si>
    <t xml:space="preserve">PO10171</t>
  </si>
  <si>
    <t xml:space="preserve">PO10172</t>
  </si>
  <si>
    <t xml:space="preserve">PO10173</t>
  </si>
  <si>
    <t xml:space="preserve">PO10174</t>
  </si>
  <si>
    <t xml:space="preserve">PO10175</t>
  </si>
  <si>
    <t xml:space="preserve">PO10176</t>
  </si>
  <si>
    <t xml:space="preserve">PO10177</t>
  </si>
  <si>
    <t xml:space="preserve">PO10178</t>
  </si>
  <si>
    <t xml:space="preserve">PO10179</t>
  </si>
  <si>
    <t xml:space="preserve">PO10180</t>
  </si>
  <si>
    <t xml:space="preserve">PO10181</t>
  </si>
  <si>
    <t xml:space="preserve">PO10182</t>
  </si>
  <si>
    <t xml:space="preserve">PO10183</t>
  </si>
  <si>
    <t xml:space="preserve">PO10184</t>
  </si>
  <si>
    <t xml:space="preserve">PO10185</t>
  </si>
  <si>
    <t xml:space="preserve">PO10186</t>
  </si>
  <si>
    <t xml:space="preserve">PO10187</t>
  </si>
  <si>
    <t xml:space="preserve">PO10188</t>
  </si>
  <si>
    <t xml:space="preserve">PO10189</t>
  </si>
  <si>
    <t xml:space="preserve">PO10190</t>
  </si>
  <si>
    <t xml:space="preserve">PO10191</t>
  </si>
  <si>
    <t xml:space="preserve">PO10192</t>
  </si>
  <si>
    <t xml:space="preserve">PO10193</t>
  </si>
  <si>
    <t xml:space="preserve">PO10194</t>
  </si>
  <si>
    <t xml:space="preserve">PO10195</t>
  </si>
  <si>
    <t xml:space="preserve">PO10196</t>
  </si>
  <si>
    <t xml:space="preserve">PO10197</t>
  </si>
  <si>
    <t xml:space="preserve">PO10198</t>
  </si>
  <si>
    <t xml:space="preserve">PO10199</t>
  </si>
  <si>
    <t xml:space="preserve">PO10200</t>
  </si>
  <si>
    <t xml:space="preserve">PO10201</t>
  </si>
  <si>
    <t xml:space="preserve">PO10202</t>
  </si>
  <si>
    <t xml:space="preserve">PO10203</t>
  </si>
  <si>
    <t xml:space="preserve">PO10204</t>
  </si>
  <si>
    <t xml:space="preserve">PO10205</t>
  </si>
  <si>
    <t xml:space="preserve">PO10206</t>
  </si>
  <si>
    <t xml:space="preserve">PO10207</t>
  </si>
  <si>
    <t xml:space="preserve">PO10208</t>
  </si>
  <si>
    <t xml:space="preserve">PO10209</t>
  </si>
  <si>
    <t xml:space="preserve">PO10210</t>
  </si>
  <si>
    <t xml:space="preserve">PO10211</t>
  </si>
  <si>
    <t xml:space="preserve">PO10212</t>
  </si>
  <si>
    <t xml:space="preserve">PO10213</t>
  </si>
  <si>
    <t xml:space="preserve">PO10214</t>
  </si>
  <si>
    <t xml:space="preserve">PO10215</t>
  </si>
  <si>
    <t xml:space="preserve">PO10216</t>
  </si>
  <si>
    <t xml:space="preserve">PO10217</t>
  </si>
  <si>
    <t xml:space="preserve">PO10218</t>
  </si>
  <si>
    <t xml:space="preserve">PO10219</t>
  </si>
  <si>
    <t xml:space="preserve">PO10220</t>
  </si>
  <si>
    <t xml:space="preserve">PO10221</t>
  </si>
  <si>
    <t xml:space="preserve">PO10222</t>
  </si>
  <si>
    <t xml:space="preserve">PO10223</t>
  </si>
  <si>
    <t xml:space="preserve">PO10224</t>
  </si>
  <si>
    <t xml:space="preserve">PO10225</t>
  </si>
  <si>
    <t xml:space="preserve">PO10226</t>
  </si>
  <si>
    <t xml:space="preserve">PO10227</t>
  </si>
  <si>
    <t xml:space="preserve">PO10228</t>
  </si>
  <si>
    <t xml:space="preserve">PO10229</t>
  </si>
  <si>
    <t xml:space="preserve">PO10230</t>
  </si>
  <si>
    <t xml:space="preserve">PO10231</t>
  </si>
  <si>
    <t xml:space="preserve">PO10232</t>
  </si>
  <si>
    <t xml:space="preserve">PO10233</t>
  </si>
  <si>
    <t xml:space="preserve">PO10234</t>
  </si>
  <si>
    <t xml:space="preserve">PO10235</t>
  </si>
  <si>
    <t xml:space="preserve">PO10236</t>
  </si>
  <si>
    <t xml:space="preserve">PO10237</t>
  </si>
  <si>
    <t xml:space="preserve">PO10238</t>
  </si>
  <si>
    <t xml:space="preserve">PO10239</t>
  </si>
  <si>
    <t xml:space="preserve">PO10240</t>
  </si>
  <si>
    <t xml:space="preserve">PO10241</t>
  </si>
  <si>
    <t xml:space="preserve">PO10242</t>
  </si>
  <si>
    <t xml:space="preserve">PO10243</t>
  </si>
  <si>
    <t xml:space="preserve">PO10244</t>
  </si>
  <si>
    <t xml:space="preserve">PO10245</t>
  </si>
  <si>
    <t xml:space="preserve">PO10246</t>
  </si>
  <si>
    <t xml:space="preserve">PO10247</t>
  </si>
  <si>
    <t xml:space="preserve">PO10248</t>
  </si>
  <si>
    <t xml:space="preserve">PO10249</t>
  </si>
  <si>
    <t xml:space="preserve">PO10250</t>
  </si>
  <si>
    <t xml:space="preserve">PO10251</t>
  </si>
  <si>
    <t xml:space="preserve">PO10252</t>
  </si>
  <si>
    <t xml:space="preserve">PO10253</t>
  </si>
  <si>
    <t xml:space="preserve">PO10254</t>
  </si>
  <si>
    <t xml:space="preserve">PO10255</t>
  </si>
  <si>
    <t xml:space="preserve">PO10256</t>
  </si>
  <si>
    <t xml:space="preserve">PO10257</t>
  </si>
  <si>
    <t xml:space="preserve">PO10258</t>
  </si>
  <si>
    <t xml:space="preserve">PO10259</t>
  </si>
  <si>
    <t xml:space="preserve">PO10260</t>
  </si>
  <si>
    <t xml:space="preserve">PO10261</t>
  </si>
  <si>
    <t xml:space="preserve">PO10262</t>
  </si>
  <si>
    <t xml:space="preserve">PO10263</t>
  </si>
  <si>
    <t xml:space="preserve">PO10264</t>
  </si>
  <si>
    <t xml:space="preserve">PO10265</t>
  </si>
  <si>
    <t xml:space="preserve">PO10266</t>
  </si>
  <si>
    <t xml:space="preserve">PO10267</t>
  </si>
  <si>
    <t xml:space="preserve">PO10268</t>
  </si>
  <si>
    <t xml:space="preserve">PO10269</t>
  </si>
  <si>
    <t xml:space="preserve">PO10270</t>
  </si>
  <si>
    <t xml:space="preserve">PO10271</t>
  </si>
  <si>
    <t xml:space="preserve">PO10272</t>
  </si>
  <si>
    <t xml:space="preserve">PO10273</t>
  </si>
  <si>
    <t xml:space="preserve">PO10274</t>
  </si>
  <si>
    <t xml:space="preserve">PO10275</t>
  </si>
  <si>
    <t xml:space="preserve">PO10276</t>
  </si>
  <si>
    <t xml:space="preserve">PO10277</t>
  </si>
  <si>
    <t xml:space="preserve">PO10278</t>
  </si>
  <si>
    <t xml:space="preserve">PO10279</t>
  </si>
  <si>
    <t xml:space="preserve">PO10280</t>
  </si>
  <si>
    <t xml:space="preserve">PO10281</t>
  </si>
  <si>
    <t xml:space="preserve">PO10282</t>
  </si>
  <si>
    <t xml:space="preserve">PO10283</t>
  </si>
  <si>
    <t xml:space="preserve">PO10284</t>
  </si>
  <si>
    <t xml:space="preserve">PO10285</t>
  </si>
  <si>
    <t xml:space="preserve">PO10286</t>
  </si>
  <si>
    <t xml:space="preserve">PO10287</t>
  </si>
  <si>
    <t xml:space="preserve">PO10288</t>
  </si>
  <si>
    <t xml:space="preserve">PO10289</t>
  </si>
  <si>
    <t xml:space="preserve">PO10290</t>
  </si>
  <si>
    <t xml:space="preserve">PO10291</t>
  </si>
  <si>
    <t xml:space="preserve">PO10292</t>
  </si>
  <si>
    <t xml:space="preserve">PO10293</t>
  </si>
  <si>
    <t xml:space="preserve">PO10294</t>
  </si>
  <si>
    <t xml:space="preserve">PO10295</t>
  </si>
  <si>
    <t xml:space="preserve">PO10296</t>
  </si>
  <si>
    <t xml:space="preserve">PO10297</t>
  </si>
  <si>
    <t xml:space="preserve">PO10298</t>
  </si>
  <si>
    <t xml:space="preserve">PO10299</t>
  </si>
  <si>
    <t xml:space="preserve">PO10300</t>
  </si>
  <si>
    <t xml:space="preserve">PO10301</t>
  </si>
  <si>
    <t xml:space="preserve">PO10302</t>
  </si>
  <si>
    <t xml:space="preserve">PO10303</t>
  </si>
  <si>
    <t xml:space="preserve">PO10304</t>
  </si>
  <si>
    <t xml:space="preserve">PO10305</t>
  </si>
  <si>
    <t xml:space="preserve">PO10306</t>
  </si>
  <si>
    <t xml:space="preserve">PO10307</t>
  </si>
  <si>
    <t xml:space="preserve">PO10308</t>
  </si>
  <si>
    <t xml:space="preserve">PO10309</t>
  </si>
  <si>
    <t xml:space="preserve">PO10310</t>
  </si>
  <si>
    <t xml:space="preserve">PO10311</t>
  </si>
  <si>
    <t xml:space="preserve">PO10312</t>
  </si>
  <si>
    <t xml:space="preserve">PO10313</t>
  </si>
  <si>
    <t xml:space="preserve">PO10314</t>
  </si>
  <si>
    <t xml:space="preserve">PO10315</t>
  </si>
  <si>
    <t xml:space="preserve">PO10316</t>
  </si>
  <si>
    <t xml:space="preserve">PO10317</t>
  </si>
  <si>
    <t xml:space="preserve">PO10318</t>
  </si>
  <si>
    <t xml:space="preserve">PO10319</t>
  </si>
  <si>
    <t xml:space="preserve">PO10320</t>
  </si>
  <si>
    <t xml:space="preserve">PO10321</t>
  </si>
  <si>
    <t xml:space="preserve">PO10322</t>
  </si>
  <si>
    <t xml:space="preserve">PO10323</t>
  </si>
  <si>
    <t xml:space="preserve">PO10324</t>
  </si>
  <si>
    <t xml:space="preserve">PO10325</t>
  </si>
  <si>
    <t xml:space="preserve">PO10326</t>
  </si>
  <si>
    <t xml:space="preserve">PO10327</t>
  </si>
  <si>
    <t xml:space="preserve">PO10328</t>
  </si>
  <si>
    <t xml:space="preserve">PO10329</t>
  </si>
  <si>
    <t xml:space="preserve">PO10330</t>
  </si>
  <si>
    <t xml:space="preserve">PO10331</t>
  </si>
  <si>
    <t xml:space="preserve">PO10332</t>
  </si>
  <si>
    <t xml:space="preserve">PO10333</t>
  </si>
  <si>
    <t xml:space="preserve">PO10334</t>
  </si>
  <si>
    <t xml:space="preserve">PO10335</t>
  </si>
  <si>
    <t xml:space="preserve">PO10336</t>
  </si>
  <si>
    <t xml:space="preserve">PO10337</t>
  </si>
  <si>
    <t xml:space="preserve">PO10338</t>
  </si>
  <si>
    <t xml:space="preserve">PO10339</t>
  </si>
  <si>
    <t xml:space="preserve">PO10340</t>
  </si>
  <si>
    <t xml:space="preserve">PO10341</t>
  </si>
  <si>
    <t xml:space="preserve">PO10342</t>
  </si>
  <si>
    <t xml:space="preserve">PO10343</t>
  </si>
  <si>
    <t xml:space="preserve">PO10344</t>
  </si>
  <si>
    <t xml:space="preserve">PO10345</t>
  </si>
  <si>
    <t xml:space="preserve">PO10346</t>
  </si>
  <si>
    <t xml:space="preserve">PO10347</t>
  </si>
  <si>
    <t xml:space="preserve">PO10348</t>
  </si>
  <si>
    <t xml:space="preserve">PO10349</t>
  </si>
  <si>
    <t xml:space="preserve">PO10350</t>
  </si>
  <si>
    <t xml:space="preserve">PO10351</t>
  </si>
  <si>
    <t xml:space="preserve">PO10352</t>
  </si>
  <si>
    <t xml:space="preserve">PO10353</t>
  </si>
  <si>
    <t xml:space="preserve">PO10354</t>
  </si>
  <si>
    <t xml:space="preserve">PO10355</t>
  </si>
  <si>
    <t xml:space="preserve">PO10356</t>
  </si>
  <si>
    <t xml:space="preserve">PO10357</t>
  </si>
  <si>
    <t xml:space="preserve">PO10358</t>
  </si>
  <si>
    <t xml:space="preserve">PO10359</t>
  </si>
  <si>
    <t xml:space="preserve">PO10360</t>
  </si>
  <si>
    <t xml:space="preserve">PO10361</t>
  </si>
  <si>
    <t xml:space="preserve">PO10362</t>
  </si>
  <si>
    <t xml:space="preserve">PO10363</t>
  </si>
  <si>
    <t xml:space="preserve">PO10364</t>
  </si>
  <si>
    <t xml:space="preserve">PO10365</t>
  </si>
  <si>
    <t xml:space="preserve">PO10366</t>
  </si>
  <si>
    <t xml:space="preserve">PO10367</t>
  </si>
  <si>
    <t xml:space="preserve">PO10368</t>
  </si>
  <si>
    <t xml:space="preserve">PO10369</t>
  </si>
  <si>
    <t xml:space="preserve">PO10370</t>
  </si>
  <si>
    <t xml:space="preserve">PO10371</t>
  </si>
  <si>
    <t xml:space="preserve">PO10372</t>
  </si>
  <si>
    <t xml:space="preserve">PO10373</t>
  </si>
  <si>
    <t xml:space="preserve">PO10374</t>
  </si>
  <si>
    <t xml:space="preserve">PO10375</t>
  </si>
  <si>
    <t xml:space="preserve">PO10376</t>
  </si>
  <si>
    <t xml:space="preserve">PO10377</t>
  </si>
  <si>
    <t xml:space="preserve">PO10378</t>
  </si>
  <si>
    <t xml:space="preserve">PO10379</t>
  </si>
  <si>
    <t xml:space="preserve">PO10380</t>
  </si>
  <si>
    <t xml:space="preserve">PO10381</t>
  </si>
  <si>
    <t xml:space="preserve">PO10382</t>
  </si>
  <si>
    <t xml:space="preserve">PO10383</t>
  </si>
  <si>
    <t xml:space="preserve">PO10384</t>
  </si>
  <si>
    <t xml:space="preserve">PO10385</t>
  </si>
  <si>
    <t xml:space="preserve">PO10386</t>
  </si>
  <si>
    <t xml:space="preserve">PO10387</t>
  </si>
  <si>
    <t xml:space="preserve">PO10388</t>
  </si>
  <si>
    <t xml:space="preserve">PO10389</t>
  </si>
  <si>
    <t xml:space="preserve">PO10390</t>
  </si>
  <si>
    <t xml:space="preserve">PO10391</t>
  </si>
  <si>
    <t xml:space="preserve">PO10392</t>
  </si>
  <si>
    <t xml:space="preserve">PO10393</t>
  </si>
  <si>
    <t xml:space="preserve">PO10394</t>
  </si>
  <si>
    <t xml:space="preserve">PO10395</t>
  </si>
  <si>
    <t xml:space="preserve">PO10396</t>
  </si>
  <si>
    <t xml:space="preserve">PO10397</t>
  </si>
  <si>
    <t xml:space="preserve">PO10398</t>
  </si>
  <si>
    <t xml:space="preserve">PO10399</t>
  </si>
  <si>
    <t xml:space="preserve">PO10400</t>
  </si>
  <si>
    <t xml:space="preserve">PO10401</t>
  </si>
  <si>
    <t xml:space="preserve">PO10402</t>
  </si>
  <si>
    <t xml:space="preserve">PO10403</t>
  </si>
  <si>
    <t xml:space="preserve">PO10404</t>
  </si>
  <si>
    <t xml:space="preserve">PO10405</t>
  </si>
  <si>
    <t xml:space="preserve">PO10406</t>
  </si>
  <si>
    <t xml:space="preserve">PO10407</t>
  </si>
  <si>
    <t xml:space="preserve">PO10408</t>
  </si>
  <si>
    <t xml:space="preserve">PO10409</t>
  </si>
  <si>
    <t xml:space="preserve">PO10410</t>
  </si>
  <si>
    <t xml:space="preserve">PO10411</t>
  </si>
  <si>
    <t xml:space="preserve">PO10412</t>
  </si>
  <si>
    <t xml:space="preserve">PO10413</t>
  </si>
  <si>
    <t xml:space="preserve">PO10414</t>
  </si>
  <si>
    <t xml:space="preserve">PO10415</t>
  </si>
  <si>
    <t xml:space="preserve">PO10416</t>
  </si>
  <si>
    <t xml:space="preserve">PO10417</t>
  </si>
  <si>
    <t xml:space="preserve">PO10418</t>
  </si>
  <si>
    <t xml:space="preserve">PO10419</t>
  </si>
  <si>
    <t xml:space="preserve">PO10420</t>
  </si>
  <si>
    <t xml:space="preserve">PO10421</t>
  </si>
  <si>
    <t xml:space="preserve">PO10422</t>
  </si>
  <si>
    <t xml:space="preserve">PO10423</t>
  </si>
  <si>
    <t xml:space="preserve">PO10424</t>
  </si>
  <si>
    <t xml:space="preserve">PO10425</t>
  </si>
  <si>
    <t xml:space="preserve">PO10426</t>
  </si>
  <si>
    <t xml:space="preserve">PO10427</t>
  </si>
  <si>
    <t xml:space="preserve">PO10428</t>
  </si>
  <si>
    <t xml:space="preserve">PO10429</t>
  </si>
  <si>
    <t xml:space="preserve">PO10430</t>
  </si>
  <si>
    <t xml:space="preserve">PO10431</t>
  </si>
  <si>
    <t xml:space="preserve">PO10432</t>
  </si>
  <si>
    <t xml:space="preserve">PO10433</t>
  </si>
  <si>
    <t xml:space="preserve">PO10434</t>
  </si>
  <si>
    <t xml:space="preserve">PO10435</t>
  </si>
  <si>
    <t xml:space="preserve">PO10436</t>
  </si>
  <si>
    <t xml:space="preserve">PO10437</t>
  </si>
  <si>
    <t xml:space="preserve">PO10438</t>
  </si>
  <si>
    <t xml:space="preserve">PO10439</t>
  </si>
  <si>
    <t xml:space="preserve">PO10440</t>
  </si>
  <si>
    <t xml:space="preserve">PO10441</t>
  </si>
  <si>
    <t xml:space="preserve">PO10442</t>
  </si>
  <si>
    <t xml:space="preserve">PO10443</t>
  </si>
  <si>
    <t xml:space="preserve">PO10444</t>
  </si>
  <si>
    <t xml:space="preserve">PO10445</t>
  </si>
  <si>
    <t xml:space="preserve">PO10446</t>
  </si>
  <si>
    <t xml:space="preserve">PO10447</t>
  </si>
  <si>
    <t xml:space="preserve">PO10448</t>
  </si>
  <si>
    <t xml:space="preserve">PO10449</t>
  </si>
  <si>
    <t xml:space="preserve">PO10450</t>
  </si>
  <si>
    <t xml:space="preserve">PO10451</t>
  </si>
  <si>
    <t xml:space="preserve">PO10452</t>
  </si>
  <si>
    <t xml:space="preserve">PO10453</t>
  </si>
  <si>
    <t xml:space="preserve">PO10454</t>
  </si>
  <si>
    <t xml:space="preserve">PO10455</t>
  </si>
  <si>
    <t xml:space="preserve">PO10456</t>
  </si>
  <si>
    <t xml:space="preserve">PO10457</t>
  </si>
  <si>
    <t xml:space="preserve">PO10458</t>
  </si>
  <si>
    <t xml:space="preserve">PO10459</t>
  </si>
  <si>
    <t xml:space="preserve">PO10460</t>
  </si>
  <si>
    <t xml:space="preserve">PO10461</t>
  </si>
  <si>
    <t xml:space="preserve">PO10462</t>
  </si>
  <si>
    <t xml:space="preserve">PO10463</t>
  </si>
  <si>
    <t xml:space="preserve">PO10464</t>
  </si>
  <si>
    <t xml:space="preserve">PO10465</t>
  </si>
  <si>
    <t xml:space="preserve">PO10466</t>
  </si>
  <si>
    <t xml:space="preserve">PO10467</t>
  </si>
  <si>
    <t xml:space="preserve">PO10468</t>
  </si>
  <si>
    <t xml:space="preserve">PO10469</t>
  </si>
  <si>
    <t xml:space="preserve">PO10470</t>
  </si>
  <si>
    <t xml:space="preserve">PO10471</t>
  </si>
  <si>
    <t xml:space="preserve">PO10472</t>
  </si>
  <si>
    <t xml:space="preserve">PO10473</t>
  </si>
  <si>
    <t xml:space="preserve">PO10474</t>
  </si>
  <si>
    <t xml:space="preserve">PO10475</t>
  </si>
  <si>
    <t xml:space="preserve">PO10476</t>
  </si>
  <si>
    <t xml:space="preserve">PO10477</t>
  </si>
  <si>
    <t xml:space="preserve">PO10478</t>
  </si>
  <si>
    <t xml:space="preserve">PO10479</t>
  </si>
  <si>
    <t xml:space="preserve">PO10480</t>
  </si>
  <si>
    <t xml:space="preserve">PO10481</t>
  </si>
  <si>
    <t xml:space="preserve">PO10482</t>
  </si>
  <si>
    <t xml:space="preserve">PO10483</t>
  </si>
  <si>
    <t xml:space="preserve">PO10484</t>
  </si>
  <si>
    <t xml:space="preserve">PO10485</t>
  </si>
  <si>
    <t xml:space="preserve">PO10486</t>
  </si>
  <si>
    <t xml:space="preserve">PO10487</t>
  </si>
  <si>
    <t xml:space="preserve">PO10488</t>
  </si>
  <si>
    <t xml:space="preserve">PO10489</t>
  </si>
  <si>
    <t xml:space="preserve">PO10490</t>
  </si>
  <si>
    <t xml:space="preserve">PO10491</t>
  </si>
  <si>
    <t xml:space="preserve">PO10492</t>
  </si>
  <si>
    <t xml:space="preserve">PO10493</t>
  </si>
  <si>
    <t xml:space="preserve">PO10494</t>
  </si>
  <si>
    <t xml:space="preserve">PO10495</t>
  </si>
  <si>
    <t xml:space="preserve">PO10496</t>
  </si>
  <si>
    <t xml:space="preserve">PO10497</t>
  </si>
  <si>
    <t xml:space="preserve">PO10498</t>
  </si>
  <si>
    <t xml:space="preserve">PO10499</t>
  </si>
  <si>
    <t xml:space="preserve">PO10500</t>
  </si>
  <si>
    <t xml:space="preserve">PO10501</t>
  </si>
  <si>
    <t xml:space="preserve">PO10502</t>
  </si>
  <si>
    <t xml:space="preserve">PO10503</t>
  </si>
  <si>
    <t xml:space="preserve">PO10504</t>
  </si>
  <si>
    <t xml:space="preserve">PO10505</t>
  </si>
  <si>
    <t xml:space="preserve">PO10506</t>
  </si>
  <si>
    <t xml:space="preserve">PO10507</t>
  </si>
  <si>
    <t xml:space="preserve">PO10508</t>
  </si>
  <si>
    <t xml:space="preserve">PO10509</t>
  </si>
  <si>
    <t xml:space="preserve">PO10510</t>
  </si>
  <si>
    <t xml:space="preserve">PO10511</t>
  </si>
  <si>
    <t xml:space="preserve">PO10512</t>
  </si>
  <si>
    <t xml:space="preserve">PO10513</t>
  </si>
  <si>
    <t xml:space="preserve">PO10514</t>
  </si>
  <si>
    <t xml:space="preserve">PO10515</t>
  </si>
  <si>
    <t xml:space="preserve">PO10516</t>
  </si>
  <si>
    <t xml:space="preserve">PO10517</t>
  </si>
  <si>
    <t xml:space="preserve">PO10518</t>
  </si>
  <si>
    <t xml:space="preserve">PO10519</t>
  </si>
  <si>
    <t xml:space="preserve">PO10520</t>
  </si>
  <si>
    <t xml:space="preserve">PO10521</t>
  </si>
  <si>
    <t xml:space="preserve">PO10522</t>
  </si>
  <si>
    <t xml:space="preserve">PO10523</t>
  </si>
  <si>
    <t xml:space="preserve">PO10524</t>
  </si>
  <si>
    <t xml:space="preserve">PO10525</t>
  </si>
  <si>
    <t xml:space="preserve">PO10526</t>
  </si>
  <si>
    <t xml:space="preserve">PO10527</t>
  </si>
  <si>
    <t xml:space="preserve">PO10528</t>
  </si>
  <si>
    <t xml:space="preserve">PO10529</t>
  </si>
  <si>
    <t xml:space="preserve">PO10530</t>
  </si>
  <si>
    <t xml:space="preserve">PO10531</t>
  </si>
  <si>
    <t xml:space="preserve">PO10532</t>
  </si>
  <si>
    <t xml:space="preserve">PO10533</t>
  </si>
  <si>
    <t xml:space="preserve">PO10534</t>
  </si>
  <si>
    <t xml:space="preserve">PO10535</t>
  </si>
  <si>
    <t xml:space="preserve">PO10536</t>
  </si>
  <si>
    <t xml:space="preserve">PO10537</t>
  </si>
  <si>
    <t xml:space="preserve">PO10538</t>
  </si>
  <si>
    <t xml:space="preserve">PO10539</t>
  </si>
  <si>
    <t xml:space="preserve">PO10540</t>
  </si>
  <si>
    <t xml:space="preserve">PO10541</t>
  </si>
  <si>
    <t xml:space="preserve">PO10542</t>
  </si>
  <si>
    <t xml:space="preserve">PO10543</t>
  </si>
  <si>
    <t xml:space="preserve">PO10544</t>
  </si>
  <si>
    <t xml:space="preserve">PO10545</t>
  </si>
  <si>
    <t xml:space="preserve">PO10546</t>
  </si>
  <si>
    <t xml:space="preserve">PO10547</t>
  </si>
  <si>
    <t xml:space="preserve">PO10548</t>
  </si>
  <si>
    <t xml:space="preserve">PO10549</t>
  </si>
  <si>
    <t xml:space="preserve">PO10550</t>
  </si>
  <si>
    <t xml:space="preserve">PO10551</t>
  </si>
  <si>
    <t xml:space="preserve">PO10552</t>
  </si>
  <si>
    <t xml:space="preserve">PO10553</t>
  </si>
  <si>
    <t xml:space="preserve">PO10554</t>
  </si>
  <si>
    <t xml:space="preserve">PO10555</t>
  </si>
  <si>
    <t xml:space="preserve">PO10556</t>
  </si>
  <si>
    <t xml:space="preserve">PO10557</t>
  </si>
  <si>
    <t xml:space="preserve">PO10558</t>
  </si>
  <si>
    <t xml:space="preserve">PO10559</t>
  </si>
  <si>
    <t xml:space="preserve">PO10560</t>
  </si>
  <si>
    <t xml:space="preserve">PO10561</t>
  </si>
  <si>
    <t xml:space="preserve">PO10562</t>
  </si>
  <si>
    <t xml:space="preserve">PO10563</t>
  </si>
  <si>
    <t xml:space="preserve">PO10564</t>
  </si>
  <si>
    <t xml:space="preserve">PO10565</t>
  </si>
  <si>
    <t xml:space="preserve">PO10566</t>
  </si>
  <si>
    <t xml:space="preserve">PO10567</t>
  </si>
  <si>
    <t xml:space="preserve">PO10568</t>
  </si>
  <si>
    <t xml:space="preserve">PO10569</t>
  </si>
  <si>
    <t xml:space="preserve">PO10570</t>
  </si>
  <si>
    <t xml:space="preserve">PO10571</t>
  </si>
  <si>
    <t xml:space="preserve">PO10572</t>
  </si>
  <si>
    <t xml:space="preserve">PO10573</t>
  </si>
  <si>
    <t xml:space="preserve">PO10574</t>
  </si>
  <si>
    <t xml:space="preserve">PO10575</t>
  </si>
  <si>
    <t xml:space="preserve">PO10576</t>
  </si>
  <si>
    <t xml:space="preserve">PO10577</t>
  </si>
  <si>
    <t xml:space="preserve">PO10578</t>
  </si>
  <si>
    <t xml:space="preserve">PO10579</t>
  </si>
  <si>
    <t xml:space="preserve">PO10580</t>
  </si>
  <si>
    <t xml:space="preserve">PO10581</t>
  </si>
  <si>
    <t xml:space="preserve">PO10582</t>
  </si>
  <si>
    <t xml:space="preserve">PO10583</t>
  </si>
  <si>
    <t xml:space="preserve">PO10584</t>
  </si>
  <si>
    <t xml:space="preserve">PO10585</t>
  </si>
  <si>
    <t xml:space="preserve">PO10586</t>
  </si>
  <si>
    <t xml:space="preserve">PO10587</t>
  </si>
  <si>
    <t xml:space="preserve">PO10588</t>
  </si>
  <si>
    <t xml:space="preserve">PO10589</t>
  </si>
  <si>
    <t xml:space="preserve">PO10590</t>
  </si>
  <si>
    <t xml:space="preserve">PO10591</t>
  </si>
  <si>
    <t xml:space="preserve">PO10592</t>
  </si>
  <si>
    <t xml:space="preserve">PO10593</t>
  </si>
  <si>
    <t xml:space="preserve">PO10594</t>
  </si>
  <si>
    <t xml:space="preserve">PO10595</t>
  </si>
  <si>
    <t xml:space="preserve">PO10596</t>
  </si>
  <si>
    <t xml:space="preserve">PO10597</t>
  </si>
  <si>
    <t xml:space="preserve">PO10598</t>
  </si>
  <si>
    <t xml:space="preserve">PO10599</t>
  </si>
  <si>
    <t xml:space="preserve">PO10600</t>
  </si>
  <si>
    <t xml:space="preserve">PO10601</t>
  </si>
  <si>
    <t xml:space="preserve">PO10602</t>
  </si>
  <si>
    <t xml:space="preserve">PO10603</t>
  </si>
  <si>
    <t xml:space="preserve">PO10604</t>
  </si>
  <si>
    <t xml:space="preserve">PO10605</t>
  </si>
  <si>
    <t xml:space="preserve">PO10606</t>
  </si>
  <si>
    <t xml:space="preserve">PO10607</t>
  </si>
  <si>
    <t xml:space="preserve">PO10608</t>
  </si>
  <si>
    <t xml:space="preserve">PO10609</t>
  </si>
  <si>
    <t xml:space="preserve">PO10610</t>
  </si>
  <si>
    <t xml:space="preserve">PO10611</t>
  </si>
  <si>
    <t xml:space="preserve">PO10612</t>
  </si>
  <si>
    <t xml:space="preserve">PO10613</t>
  </si>
  <si>
    <t xml:space="preserve">PO10614</t>
  </si>
  <si>
    <t xml:space="preserve">PO10615</t>
  </si>
  <si>
    <t xml:space="preserve">PO10616</t>
  </si>
  <si>
    <t xml:space="preserve">PO10617</t>
  </si>
  <si>
    <t xml:space="preserve">PO10618</t>
  </si>
  <si>
    <t xml:space="preserve">PO10619</t>
  </si>
  <si>
    <t xml:space="preserve">PO10620</t>
  </si>
  <si>
    <t xml:space="preserve">PO10621</t>
  </si>
  <si>
    <t xml:space="preserve">PO10622</t>
  </si>
  <si>
    <t xml:space="preserve">PO10623</t>
  </si>
  <si>
    <t xml:space="preserve">PO10624</t>
  </si>
  <si>
    <t xml:space="preserve">PO10625</t>
  </si>
  <si>
    <t xml:space="preserve">PO10626</t>
  </si>
  <si>
    <t xml:space="preserve">PO10627</t>
  </si>
  <si>
    <t xml:space="preserve">PO10628</t>
  </si>
  <si>
    <t xml:space="preserve">PO10629</t>
  </si>
  <si>
    <t xml:space="preserve">PO10630</t>
  </si>
  <si>
    <t xml:space="preserve">PO10631</t>
  </si>
  <si>
    <t xml:space="preserve">PO10632</t>
  </si>
  <si>
    <t xml:space="preserve">PO10633</t>
  </si>
  <si>
    <t xml:space="preserve">PO10634</t>
  </si>
  <si>
    <t xml:space="preserve">PO10635</t>
  </si>
  <si>
    <t xml:space="preserve">PO10636</t>
  </si>
  <si>
    <t xml:space="preserve">PO10637</t>
  </si>
  <si>
    <t xml:space="preserve">PO10638</t>
  </si>
  <si>
    <t xml:space="preserve">PO10639</t>
  </si>
  <si>
    <t xml:space="preserve">PO10640</t>
  </si>
  <si>
    <t xml:space="preserve">PO10641</t>
  </si>
  <si>
    <t xml:space="preserve">PO10642</t>
  </si>
  <si>
    <t xml:space="preserve">PO10643</t>
  </si>
  <si>
    <t xml:space="preserve">PO10644</t>
  </si>
  <si>
    <t xml:space="preserve">PO10645</t>
  </si>
  <si>
    <t xml:space="preserve">PO10646</t>
  </si>
  <si>
    <t xml:space="preserve">PO10647</t>
  </si>
  <si>
    <t xml:space="preserve">PO10648</t>
  </si>
  <si>
    <t xml:space="preserve">PO10649</t>
  </si>
  <si>
    <t xml:space="preserve">PO10650</t>
  </si>
  <si>
    <t xml:space="preserve">PO10651</t>
  </si>
  <si>
    <t xml:space="preserve">PO10652</t>
  </si>
  <si>
    <t xml:space="preserve">PO10653</t>
  </si>
  <si>
    <t xml:space="preserve">PO10654</t>
  </si>
  <si>
    <t xml:space="preserve">PO10655</t>
  </si>
  <si>
    <t xml:space="preserve">PO10656</t>
  </si>
  <si>
    <t xml:space="preserve">PO10657</t>
  </si>
  <si>
    <t xml:space="preserve">PO10658</t>
  </si>
  <si>
    <t xml:space="preserve">PO10659</t>
  </si>
  <si>
    <t xml:space="preserve">PO10660</t>
  </si>
  <si>
    <t xml:space="preserve">PO10661</t>
  </si>
  <si>
    <t xml:space="preserve">PO10662</t>
  </si>
  <si>
    <t xml:space="preserve">PO10663</t>
  </si>
  <si>
    <t xml:space="preserve">PO10664</t>
  </si>
  <si>
    <t xml:space="preserve">PO10665</t>
  </si>
  <si>
    <t xml:space="preserve">PO10666</t>
  </si>
  <si>
    <t xml:space="preserve">PO10667</t>
  </si>
  <si>
    <t xml:space="preserve">PO10668</t>
  </si>
  <si>
    <t xml:space="preserve">PO10669</t>
  </si>
  <si>
    <t xml:space="preserve">PO10670</t>
  </si>
  <si>
    <t xml:space="preserve">PO10671</t>
  </si>
  <si>
    <t xml:space="preserve">PO10672</t>
  </si>
  <si>
    <t xml:space="preserve">PO10673</t>
  </si>
  <si>
    <t xml:space="preserve">PO10674</t>
  </si>
  <si>
    <t xml:space="preserve">PO10675</t>
  </si>
  <si>
    <t xml:space="preserve">PO10676</t>
  </si>
  <si>
    <t xml:space="preserve">PO10677</t>
  </si>
  <si>
    <t xml:space="preserve">PO10678</t>
  </si>
  <si>
    <t xml:space="preserve">PO10679</t>
  </si>
  <si>
    <t xml:space="preserve">PO10680</t>
  </si>
  <si>
    <t xml:space="preserve">PO10681</t>
  </si>
  <si>
    <t xml:space="preserve">PO10682</t>
  </si>
  <si>
    <t xml:space="preserve">PO10683</t>
  </si>
  <si>
    <t xml:space="preserve">PO10684</t>
  </si>
  <si>
    <t xml:space="preserve">PO10685</t>
  </si>
  <si>
    <t xml:space="preserve">PO10686</t>
  </si>
  <si>
    <t xml:space="preserve">PO10687</t>
  </si>
  <si>
    <t xml:space="preserve">PO10688</t>
  </si>
  <si>
    <t xml:space="preserve">PO10689</t>
  </si>
  <si>
    <t xml:space="preserve">PO10690</t>
  </si>
  <si>
    <t xml:space="preserve">PO10691</t>
  </si>
  <si>
    <t xml:space="preserve">PO10692</t>
  </si>
  <si>
    <t xml:space="preserve">PO10693</t>
  </si>
  <si>
    <t xml:space="preserve">PO10694</t>
  </si>
  <si>
    <t xml:space="preserve">PO10695</t>
  </si>
  <si>
    <t xml:space="preserve">PO10696</t>
  </si>
  <si>
    <t xml:space="preserve">PO10697</t>
  </si>
  <si>
    <t xml:space="preserve">PO10698</t>
  </si>
  <si>
    <t xml:space="preserve">PO10699</t>
  </si>
  <si>
    <t xml:space="preserve">PO10700</t>
  </si>
  <si>
    <t xml:space="preserve">PO10701</t>
  </si>
  <si>
    <t xml:space="preserve">PO10702</t>
  </si>
  <si>
    <t xml:space="preserve">PO10703</t>
  </si>
  <si>
    <t xml:space="preserve">PO10704</t>
  </si>
  <si>
    <t xml:space="preserve">PO10705</t>
  </si>
  <si>
    <t xml:space="preserve">PO10706</t>
  </si>
  <si>
    <t xml:space="preserve">PO10707</t>
  </si>
  <si>
    <t xml:space="preserve">PO10708</t>
  </si>
  <si>
    <t xml:space="preserve">PO10709</t>
  </si>
  <si>
    <t xml:space="preserve">PO10710</t>
  </si>
  <si>
    <t xml:space="preserve">PO10711</t>
  </si>
  <si>
    <t xml:space="preserve">PO10712</t>
  </si>
  <si>
    <t xml:space="preserve">PO10713</t>
  </si>
  <si>
    <t xml:space="preserve">PO10714</t>
  </si>
  <si>
    <t xml:space="preserve">PO10715</t>
  </si>
  <si>
    <t xml:space="preserve">PO10716</t>
  </si>
  <si>
    <t xml:space="preserve">PO10717</t>
  </si>
  <si>
    <t xml:space="preserve">PO10718</t>
  </si>
  <si>
    <t xml:space="preserve">PO10719</t>
  </si>
  <si>
    <t xml:space="preserve">PO10720</t>
  </si>
  <si>
    <t xml:space="preserve">PO10721</t>
  </si>
  <si>
    <t xml:space="preserve">PO10722</t>
  </si>
  <si>
    <t xml:space="preserve">PO10723</t>
  </si>
  <si>
    <t xml:space="preserve">PO10724</t>
  </si>
  <si>
    <t xml:space="preserve">PO10725</t>
  </si>
  <si>
    <t xml:space="preserve">PO10726</t>
  </si>
  <si>
    <t xml:space="preserve">PO10727</t>
  </si>
  <si>
    <t xml:space="preserve">PO10728</t>
  </si>
  <si>
    <t xml:space="preserve">PO10729</t>
  </si>
  <si>
    <t xml:space="preserve">PO10730</t>
  </si>
  <si>
    <t xml:space="preserve">PO10731</t>
  </si>
  <si>
    <t xml:space="preserve">PO10732</t>
  </si>
  <si>
    <t xml:space="preserve">PO10733</t>
  </si>
  <si>
    <t xml:space="preserve">PO10734</t>
  </si>
  <si>
    <t xml:space="preserve">PO10735</t>
  </si>
  <si>
    <t xml:space="preserve">PO10736</t>
  </si>
  <si>
    <t xml:space="preserve">PO10737</t>
  </si>
  <si>
    <t xml:space="preserve">PO10738</t>
  </si>
  <si>
    <t xml:space="preserve">PO10739</t>
  </si>
  <si>
    <t xml:space="preserve">PO10740</t>
  </si>
  <si>
    <t xml:space="preserve">PO10741</t>
  </si>
  <si>
    <t xml:space="preserve">PO10742</t>
  </si>
  <si>
    <t xml:space="preserve">PO10743</t>
  </si>
  <si>
    <t xml:space="preserve">PO10744</t>
  </si>
  <si>
    <t xml:space="preserve">PO10745</t>
  </si>
  <si>
    <t xml:space="preserve">PO10746</t>
  </si>
  <si>
    <t xml:space="preserve">PO10747</t>
  </si>
  <si>
    <t xml:space="preserve">PO10748</t>
  </si>
  <si>
    <t xml:space="preserve">PO10749</t>
  </si>
  <si>
    <t xml:space="preserve">PO10750</t>
  </si>
  <si>
    <t xml:space="preserve">PO10751</t>
  </si>
  <si>
    <t xml:space="preserve">PO10752</t>
  </si>
  <si>
    <t xml:space="preserve">PO10753</t>
  </si>
  <si>
    <t xml:space="preserve">PO10754</t>
  </si>
  <si>
    <t xml:space="preserve">PO10755</t>
  </si>
  <si>
    <t xml:space="preserve">PO10756</t>
  </si>
  <si>
    <t xml:space="preserve">PO10757</t>
  </si>
  <si>
    <t xml:space="preserve">PO10758</t>
  </si>
  <si>
    <t xml:space="preserve">PO10759</t>
  </si>
  <si>
    <t xml:space="preserve">PO10760</t>
  </si>
  <si>
    <t xml:space="preserve">PO10761</t>
  </si>
  <si>
    <t xml:space="preserve">PO10762</t>
  </si>
  <si>
    <t xml:space="preserve">PO10763</t>
  </si>
  <si>
    <t xml:space="preserve">PO10764</t>
  </si>
  <si>
    <t xml:space="preserve">PO10765</t>
  </si>
  <si>
    <t xml:space="preserve">PO10766</t>
  </si>
  <si>
    <t xml:space="preserve">PO10767</t>
  </si>
  <si>
    <t xml:space="preserve">PO10768</t>
  </si>
  <si>
    <t xml:space="preserve">PO10769</t>
  </si>
  <si>
    <t xml:space="preserve">PO10770</t>
  </si>
  <si>
    <t xml:space="preserve">PO10771</t>
  </si>
  <si>
    <t xml:space="preserve">PO10772</t>
  </si>
  <si>
    <t xml:space="preserve">PO10773</t>
  </si>
  <si>
    <t xml:space="preserve">PO10774</t>
  </si>
  <si>
    <t xml:space="preserve">PO10775</t>
  </si>
  <si>
    <t xml:space="preserve">PO10776</t>
  </si>
  <si>
    <t xml:space="preserve">PO10777</t>
  </si>
  <si>
    <t xml:space="preserve">PO10778</t>
  </si>
  <si>
    <t xml:space="preserve">PO10779</t>
  </si>
  <si>
    <t xml:space="preserve">PO10780</t>
  </si>
  <si>
    <t xml:space="preserve">PO10781</t>
  </si>
  <si>
    <t xml:space="preserve">PO10782</t>
  </si>
  <si>
    <t xml:space="preserve">PO10783</t>
  </si>
  <si>
    <t xml:space="preserve">PO10784</t>
  </si>
  <si>
    <t xml:space="preserve">PO10785</t>
  </si>
  <si>
    <t xml:space="preserve">PO10786</t>
  </si>
  <si>
    <t xml:space="preserve">PO10787</t>
  </si>
  <si>
    <t xml:space="preserve">PO10788</t>
  </si>
  <si>
    <t xml:space="preserve">PO10789</t>
  </si>
  <si>
    <t xml:space="preserve">PO10790</t>
  </si>
  <si>
    <t xml:space="preserve">PO10791</t>
  </si>
  <si>
    <t xml:space="preserve">PO10792</t>
  </si>
  <si>
    <t xml:space="preserve">PO10793</t>
  </si>
  <si>
    <t xml:space="preserve">PO10794</t>
  </si>
  <si>
    <t xml:space="preserve">PO10795</t>
  </si>
  <si>
    <t xml:space="preserve">PO10796</t>
  </si>
  <si>
    <t xml:space="preserve">PO10797</t>
  </si>
  <si>
    <t xml:space="preserve">PO10798</t>
  </si>
  <si>
    <t xml:space="preserve">PO10799</t>
  </si>
  <si>
    <t xml:space="preserve">PO10800</t>
  </si>
  <si>
    <t xml:space="preserve">PO10801</t>
  </si>
  <si>
    <t xml:space="preserve">PO10802</t>
  </si>
  <si>
    <t xml:space="preserve">PO10803</t>
  </si>
  <si>
    <t xml:space="preserve">PO10804</t>
  </si>
  <si>
    <t xml:space="preserve">PO10805</t>
  </si>
  <si>
    <t xml:space="preserve">PO10806</t>
  </si>
  <si>
    <t xml:space="preserve">PO10807</t>
  </si>
  <si>
    <t xml:space="preserve">PO10808</t>
  </si>
  <si>
    <t xml:space="preserve">PO10809</t>
  </si>
  <si>
    <t xml:space="preserve">PO10810</t>
  </si>
  <si>
    <t xml:space="preserve">PO10811</t>
  </si>
  <si>
    <t xml:space="preserve">PO10812</t>
  </si>
  <si>
    <t xml:space="preserve">PO10813</t>
  </si>
  <si>
    <t xml:space="preserve">PO10814</t>
  </si>
  <si>
    <t xml:space="preserve">PO10815</t>
  </si>
  <si>
    <t xml:space="preserve">PO10816</t>
  </si>
  <si>
    <t xml:space="preserve">PO10817</t>
  </si>
  <si>
    <t xml:space="preserve">PO10818</t>
  </si>
  <si>
    <t xml:space="preserve">PO10819</t>
  </si>
  <si>
    <t xml:space="preserve">PO10820</t>
  </si>
  <si>
    <t xml:space="preserve">PO10821</t>
  </si>
  <si>
    <t xml:space="preserve">PO10822</t>
  </si>
  <si>
    <t xml:space="preserve">PO10823</t>
  </si>
  <si>
    <t xml:space="preserve">PO10824</t>
  </si>
  <si>
    <t xml:space="preserve">PO10825</t>
  </si>
  <si>
    <t xml:space="preserve">PO10826</t>
  </si>
  <si>
    <t xml:space="preserve">PO10827</t>
  </si>
  <si>
    <t xml:space="preserve">PO10828</t>
  </si>
  <si>
    <t xml:space="preserve">PO10829</t>
  </si>
  <si>
    <t xml:space="preserve">PO10830</t>
  </si>
  <si>
    <t xml:space="preserve">PO10831</t>
  </si>
  <si>
    <t xml:space="preserve">PO10832</t>
  </si>
  <si>
    <t xml:space="preserve">PO10833</t>
  </si>
  <si>
    <t xml:space="preserve">PO10834</t>
  </si>
  <si>
    <t xml:space="preserve">PO10835</t>
  </si>
  <si>
    <t xml:space="preserve">PO10836</t>
  </si>
  <si>
    <t xml:space="preserve">PO10837</t>
  </si>
  <si>
    <t xml:space="preserve">PO10838</t>
  </si>
  <si>
    <t xml:space="preserve">PO10839</t>
  </si>
  <si>
    <t xml:space="preserve">PO10840</t>
  </si>
  <si>
    <t xml:space="preserve">PO10841</t>
  </si>
  <si>
    <t xml:space="preserve">PO10842</t>
  </si>
  <si>
    <t xml:space="preserve">PO10843</t>
  </si>
  <si>
    <t xml:space="preserve">PO10844</t>
  </si>
  <si>
    <t xml:space="preserve">PO10845</t>
  </si>
  <si>
    <t xml:space="preserve">PO10846</t>
  </si>
  <si>
    <t xml:space="preserve">PO10847</t>
  </si>
  <si>
    <t xml:space="preserve">PO10848</t>
  </si>
  <si>
    <t xml:space="preserve">PO10849</t>
  </si>
  <si>
    <t xml:space="preserve">PO10850</t>
  </si>
  <si>
    <t xml:space="preserve">GRN_ID</t>
  </si>
  <si>
    <t xml:space="preserve">Receipt_Date</t>
  </si>
  <si>
    <t xml:space="preserve">Received_Amount</t>
  </si>
  <si>
    <t xml:space="preserve">GRN20486</t>
  </si>
  <si>
    <t xml:space="preserve">GRN20559</t>
  </si>
  <si>
    <t xml:space="preserve">GRN20185</t>
  </si>
  <si>
    <t xml:space="preserve">GRN20806</t>
  </si>
  <si>
    <t xml:space="preserve">GRN20493</t>
  </si>
  <si>
    <t xml:space="preserve">GRN20298</t>
  </si>
  <si>
    <t xml:space="preserve">GRN20842</t>
  </si>
  <si>
    <t xml:space="preserve">GRN20776</t>
  </si>
  <si>
    <t xml:space="preserve">GRN20752</t>
  </si>
  <si>
    <t xml:space="preserve">GRN20755</t>
  </si>
  <si>
    <t xml:space="preserve">GRN20008</t>
  </si>
  <si>
    <t xml:space="preserve">GRN20819</t>
  </si>
  <si>
    <t xml:space="preserve">GRN20286</t>
  </si>
  <si>
    <t xml:space="preserve">GRN20775</t>
  </si>
  <si>
    <t xml:space="preserve">GRN20835</t>
  </si>
  <si>
    <t xml:space="preserve">GRN20846</t>
  </si>
  <si>
    <t xml:space="preserve">GRN20659</t>
  </si>
  <si>
    <t xml:space="preserve">GRN20216</t>
  </si>
  <si>
    <t xml:space="preserve">GRN20426</t>
  </si>
  <si>
    <t xml:space="preserve">GRN20084</t>
  </si>
  <si>
    <t xml:space="preserve">GRN20663</t>
  </si>
  <si>
    <t xml:space="preserve">GRN20307</t>
  </si>
  <si>
    <t xml:space="preserve">GRN20673</t>
  </si>
  <si>
    <t xml:space="preserve">GRN20483</t>
  </si>
  <si>
    <t xml:space="preserve">GRN20841</t>
  </si>
  <si>
    <t xml:space="preserve">GRN20789</t>
  </si>
  <si>
    <t xml:space="preserve">GRN20371</t>
  </si>
  <si>
    <t xml:space="preserve">GRN20238</t>
  </si>
  <si>
    <t xml:space="preserve">GRN20719</t>
  </si>
  <si>
    <t xml:space="preserve">GRN20783</t>
  </si>
  <si>
    <t xml:space="preserve">GRN20181</t>
  </si>
  <si>
    <t xml:space="preserve">GRN20245</t>
  </si>
  <si>
    <t xml:space="preserve">GRN20735</t>
  </si>
  <si>
    <t xml:space="preserve">GRN20224</t>
  </si>
  <si>
    <t xml:space="preserve">GRN20291</t>
  </si>
  <si>
    <t xml:space="preserve">GRN20657</t>
  </si>
  <si>
    <t xml:space="preserve">GRN20017</t>
  </si>
  <si>
    <t xml:space="preserve">GRN20782</t>
  </si>
  <si>
    <t xml:space="preserve">GRN20081</t>
  </si>
  <si>
    <t xml:space="preserve">GRN20175</t>
  </si>
  <si>
    <t xml:space="preserve">GRN20631</t>
  </si>
  <si>
    <t xml:space="preserve">GRN20205</t>
  </si>
  <si>
    <t xml:space="preserve">GRN20744</t>
  </si>
  <si>
    <t xml:space="preserve">GRN20117</t>
  </si>
  <si>
    <t xml:space="preserve">GRN20522</t>
  </si>
  <si>
    <t xml:space="preserve">GRN20502</t>
  </si>
  <si>
    <t xml:space="preserve">GRN20277</t>
  </si>
  <si>
    <t xml:space="preserve">GRN20073</t>
  </si>
  <si>
    <t xml:space="preserve">GRN20523</t>
  </si>
  <si>
    <t xml:space="preserve">GRN20355</t>
  </si>
  <si>
    <t xml:space="preserve">GRN20056</t>
  </si>
  <si>
    <t xml:space="preserve">GRN20676</t>
  </si>
  <si>
    <t xml:space="preserve">GRN20844</t>
  </si>
  <si>
    <t xml:space="preserve">GRN20598</t>
  </si>
  <si>
    <t xml:space="preserve">GRN20701</t>
  </si>
  <si>
    <t xml:space="preserve">GRN20696</t>
  </si>
  <si>
    <t xml:space="preserve">GRN20034</t>
  </si>
  <si>
    <t xml:space="preserve">GRN20802</t>
  </si>
  <si>
    <t xml:space="preserve">GRN20754</t>
  </si>
  <si>
    <t xml:space="preserve">GRN20094</t>
  </si>
  <si>
    <t xml:space="preserve">GRN20625</t>
  </si>
  <si>
    <t xml:space="preserve">GRN20706</t>
  </si>
  <si>
    <t xml:space="preserve">GRN20331</t>
  </si>
  <si>
    <t xml:space="preserve">GRN20666</t>
  </si>
  <si>
    <t xml:space="preserve">GRN20392</t>
  </si>
  <si>
    <t xml:space="preserve">GRN20549</t>
  </si>
  <si>
    <t xml:space="preserve">GRN20241</t>
  </si>
  <si>
    <t xml:space="preserve">GRN20090</t>
  </si>
  <si>
    <t xml:space="preserve">GRN20257</t>
  </si>
  <si>
    <t xml:space="preserve">GRN20047</t>
  </si>
  <si>
    <t xml:space="preserve">GRN20560</t>
  </si>
  <si>
    <t xml:space="preserve">GRN20415</t>
  </si>
  <si>
    <t xml:space="preserve">GRN20019</t>
  </si>
  <si>
    <t xml:space="preserve">GRN20101</t>
  </si>
  <si>
    <t xml:space="preserve">GRN20242</t>
  </si>
  <si>
    <t xml:space="preserve">GRN20065</t>
  </si>
  <si>
    <t xml:space="preserve">GRN20831</t>
  </si>
  <si>
    <t xml:space="preserve">GRN20301</t>
  </si>
  <si>
    <t xml:space="preserve">GRN20154</t>
  </si>
  <si>
    <t xml:space="preserve">GRN20576</t>
  </si>
  <si>
    <t xml:space="preserve">GRN20050</t>
  </si>
  <si>
    <t xml:space="preserve">GRN20498</t>
  </si>
  <si>
    <t xml:space="preserve">GRN20540</t>
  </si>
  <si>
    <t xml:space="preserve">GRN20060</t>
  </si>
  <si>
    <t xml:space="preserve">GRN20805</t>
  </si>
  <si>
    <t xml:space="preserve">GRN20702</t>
  </si>
  <si>
    <t xml:space="preserve">GRN20543</t>
  </si>
  <si>
    <t xml:space="preserve">GRN20589</t>
  </si>
  <si>
    <t xml:space="preserve">GRN20643</t>
  </si>
  <si>
    <t xml:space="preserve">GRN20780</t>
  </si>
  <si>
    <t xml:space="preserve">GRN20790</t>
  </si>
  <si>
    <t xml:space="preserve">GRN20683</t>
  </si>
  <si>
    <t xml:space="preserve">GRN20386</t>
  </si>
  <si>
    <t xml:space="preserve">GRN20614</t>
  </si>
  <si>
    <t xml:space="preserve">GRN20268</t>
  </si>
  <si>
    <t xml:space="preserve">GRN20121</t>
  </si>
  <si>
    <t xml:space="preserve">GRN20408</t>
  </si>
  <si>
    <t xml:space="preserve">GRN20521</t>
  </si>
  <si>
    <t xml:space="preserve">GRN20085</t>
  </si>
  <si>
    <t xml:space="preserve">GRN20248</t>
  </si>
  <si>
    <t xml:space="preserve">GRN20825</t>
  </si>
  <si>
    <t xml:space="preserve">GRN20345</t>
  </si>
  <si>
    <t xml:space="preserve">GRN20436</t>
  </si>
  <si>
    <t xml:space="preserve">GRN20437</t>
  </si>
  <si>
    <t xml:space="preserve">GRN20111</t>
  </si>
  <si>
    <t xml:space="preserve">GRN20528</t>
  </si>
  <si>
    <t xml:space="preserve">GRN20427</t>
  </si>
  <si>
    <t xml:space="preserve">GRN20811</t>
  </si>
  <si>
    <t xml:space="preserve">GRN20433</t>
  </si>
  <si>
    <t xml:space="preserve">GRN20187</t>
  </si>
  <si>
    <t xml:space="preserve">GRN20201</t>
  </si>
  <si>
    <t xml:space="preserve">GRN20698</t>
  </si>
  <si>
    <t xml:space="preserve">GRN20457</t>
  </si>
  <si>
    <t xml:space="preserve">GRN20705</t>
  </si>
  <si>
    <t xml:space="preserve">GRN20107</t>
  </si>
  <si>
    <t xml:space="preserve">GRN20262</t>
  </si>
  <si>
    <t xml:space="preserve">GRN20049</t>
  </si>
  <si>
    <t xml:space="preserve">GRN20474</t>
  </si>
  <si>
    <t xml:space="preserve">GRN20244</t>
  </si>
  <si>
    <t xml:space="preserve">GRN20180</t>
  </si>
  <si>
    <t xml:space="preserve">GRN20488</t>
  </si>
  <si>
    <t xml:space="preserve">GRN20617</t>
  </si>
  <si>
    <t xml:space="preserve">GRN20059</t>
  </si>
  <si>
    <t xml:space="preserve">GRN20350</t>
  </si>
  <si>
    <t xml:space="preserve">GRN20412</t>
  </si>
  <si>
    <t xml:space="preserve">GRN20148</t>
  </si>
  <si>
    <t xml:space="preserve">GRN20003</t>
  </si>
  <si>
    <t xml:space="preserve">GRN20233</t>
  </si>
  <si>
    <t xml:space="preserve">GRN20016</t>
  </si>
  <si>
    <t xml:space="preserve">GRN20289</t>
  </si>
  <si>
    <t xml:space="preserve">GRN20494</t>
  </si>
  <si>
    <t xml:space="preserve">GRN20597</t>
  </si>
  <si>
    <t xml:space="preserve">GRN20605</t>
  </si>
  <si>
    <t xml:space="preserve">GRN20527</t>
  </si>
  <si>
    <t xml:space="preserve">GRN20353</t>
  </si>
  <si>
    <t xml:space="preserve">GRN20430</t>
  </si>
  <si>
    <t xml:space="preserve">GRN20594</t>
  </si>
  <si>
    <t xml:space="preserve">GRN20106</t>
  </si>
  <si>
    <t xml:space="preserve">GRN20023</t>
  </si>
  <si>
    <t xml:space="preserve">GRN20069</t>
  </si>
  <si>
    <t xml:space="preserve">GRN20550</t>
  </si>
  <si>
    <t xml:space="preserve">GRN20411</t>
  </si>
  <si>
    <t xml:space="preserve">GRN20760</t>
  </si>
  <si>
    <t xml:space="preserve">GRN20733</t>
  </si>
  <si>
    <t xml:space="preserve">GRN20473</t>
  </si>
  <si>
    <t xml:space="preserve">GRN20119</t>
  </si>
  <si>
    <t xml:space="preserve">GRN20207</t>
  </si>
  <si>
    <t xml:space="preserve">GRN20816</t>
  </si>
  <si>
    <t xml:space="preserve">GRN20667</t>
  </si>
  <si>
    <t xml:space="preserve">GRN20587</t>
  </si>
  <si>
    <t xml:space="preserve">GRN20247</t>
  </si>
  <si>
    <t xml:space="preserve">GRN20202</t>
  </si>
  <si>
    <t xml:space="preserve">GRN20120</t>
  </si>
  <si>
    <t xml:space="preserve">GRN20255</t>
  </si>
  <si>
    <t xml:space="preserve">GRN20699</t>
  </si>
  <si>
    <t xml:space="preserve">GRN20194</t>
  </si>
  <si>
    <t xml:space="preserve">GRN20537</t>
  </si>
  <si>
    <t xml:space="preserve">GRN20757</t>
  </si>
  <si>
    <t xml:space="preserve">GRN20445</t>
  </si>
  <si>
    <t xml:space="preserve">GRN20311</t>
  </si>
  <si>
    <t xml:space="preserve">GRN20664</t>
  </si>
  <si>
    <t xml:space="preserve">GRN20195</t>
  </si>
  <si>
    <t xml:space="preserve">GRN20061</t>
  </si>
  <si>
    <t xml:space="preserve">GRN20363</t>
  </si>
  <si>
    <t xml:space="preserve">GRN20341</t>
  </si>
  <si>
    <t xml:space="preserve">GRN20732</t>
  </si>
  <si>
    <t xml:space="preserve">GRN20448</t>
  </si>
  <si>
    <t xml:space="preserve">GRN20404</t>
  </si>
  <si>
    <t xml:space="preserve">GRN20650</t>
  </si>
  <si>
    <t xml:space="preserve">GRN20681</t>
  </si>
  <si>
    <t xml:space="preserve">GRN20135</t>
  </si>
  <si>
    <t xml:space="preserve">GRN20223</t>
  </si>
  <si>
    <t xml:space="preserve">GRN20672</t>
  </si>
  <si>
    <t xml:space="preserve">GRN20134</t>
  </si>
  <si>
    <t xml:space="preserve">GRN20791</t>
  </si>
  <si>
    <t xml:space="preserve">GRN20104</t>
  </si>
  <si>
    <t xml:space="preserve">GRN20318</t>
  </si>
  <si>
    <t xml:space="preserve">GRN20822</t>
  </si>
  <si>
    <t xml:space="preserve">GRN20057</t>
  </si>
  <si>
    <t xml:space="preserve">GRN20480</t>
  </si>
  <si>
    <t xml:space="preserve">GRN20517</t>
  </si>
  <si>
    <t xml:space="preserve">GRN20314</t>
  </si>
  <si>
    <t xml:space="preserve">GRN20274</t>
  </si>
  <si>
    <t xml:space="preserve">GRN20837</t>
  </si>
  <si>
    <t xml:space="preserve">GRN20459</t>
  </si>
  <si>
    <t xml:space="preserve">GRN20265</t>
  </si>
  <si>
    <t xml:space="preserve">GRN20602</t>
  </si>
  <si>
    <t xml:space="preserve">GRN20340</t>
  </si>
  <si>
    <t xml:space="preserve">GRN20558</t>
  </si>
  <si>
    <t xml:space="preserve">GRN20035</t>
  </si>
  <si>
    <t xml:space="preserve">GRN20739</t>
  </si>
  <si>
    <t xml:space="preserve">GRN20495</t>
  </si>
  <si>
    <t xml:space="preserve">GRN20710</t>
  </si>
  <si>
    <t xml:space="preserve">GRN20742</t>
  </si>
  <si>
    <t xml:space="preserve">GRN20041</t>
  </si>
  <si>
    <t xml:space="preserve">GRN20239</t>
  </si>
  <si>
    <t xml:space="preserve">GRN20773</t>
  </si>
  <si>
    <t xml:space="preserve">GRN20763</t>
  </si>
  <si>
    <t xml:space="preserve">GRN20808</t>
  </si>
  <si>
    <t xml:space="preserve">GRN20108</t>
  </si>
  <si>
    <t xml:space="preserve">GRN20552</t>
  </si>
  <si>
    <t xml:space="preserve">GRN20847</t>
  </si>
  <si>
    <t xml:space="preserve">GRN20647</t>
  </si>
  <si>
    <t xml:space="preserve">GRN20375</t>
  </si>
  <si>
    <t xml:space="preserve">GRN20000</t>
  </si>
  <si>
    <t xml:space="preserve">GRN20838</t>
  </si>
  <si>
    <t xml:space="preserve">GRN20573</t>
  </si>
  <si>
    <t xml:space="preserve">GRN20074</t>
  </si>
  <si>
    <t xml:space="preserve">GRN20160</t>
  </si>
  <si>
    <t xml:space="preserve">GRN20368</t>
  </si>
  <si>
    <t xml:space="preserve">GRN20066</t>
  </si>
  <si>
    <t xml:space="preserve">GRN20479</t>
  </si>
  <si>
    <t xml:space="preserve">GRN20299</t>
  </si>
  <si>
    <t xml:space="preserve">GRN20455</t>
  </si>
  <si>
    <t xml:space="preserve">GRN20218</t>
  </si>
  <si>
    <t xml:space="preserve">GRN20463</t>
  </si>
  <si>
    <t xml:space="preserve">GRN20421</t>
  </si>
  <si>
    <t xml:space="preserve">GRN20546</t>
  </si>
  <si>
    <t xml:space="preserve">GRN20472</t>
  </si>
  <si>
    <t xml:space="preserve">GRN20824</t>
  </si>
  <si>
    <t xml:space="preserve">GRN20159</t>
  </si>
  <si>
    <t xml:space="preserve">GRN20651</t>
  </si>
  <si>
    <t xml:space="preserve">GRN20161</t>
  </si>
  <si>
    <t xml:space="preserve">GRN20516</t>
  </si>
  <si>
    <t xml:space="preserve">GRN20709</t>
  </si>
  <si>
    <t xml:space="preserve">GRN20828</t>
  </si>
  <si>
    <t xml:space="preserve">GRN20814</t>
  </si>
  <si>
    <t xml:space="preserve">GRN20361</t>
  </si>
  <si>
    <t xml:space="preserve">GRN20443</t>
  </si>
  <si>
    <t xml:space="preserve">GRN20013</t>
  </si>
  <si>
    <t xml:space="preserve">GRN20652</t>
  </si>
  <si>
    <t xml:space="preserve">GRN20452</t>
  </si>
  <si>
    <t xml:space="preserve">GRN20403</t>
  </si>
  <si>
    <t xml:space="preserve">GRN20429</t>
  </si>
  <si>
    <t xml:space="preserve">GRN20320</t>
  </si>
  <si>
    <t xml:space="preserve">GRN20092</t>
  </si>
  <si>
    <t xml:space="preserve">GRN20125</t>
  </si>
  <si>
    <t xml:space="preserve">GRN20114</t>
  </si>
  <si>
    <t xml:space="preserve">GRN20743</t>
  </si>
  <si>
    <t xml:space="preserve">GRN20654</t>
  </si>
  <si>
    <t xml:space="preserve">GRN20258</t>
  </si>
  <si>
    <t xml:space="preserve">GRN20076</t>
  </si>
  <si>
    <t xml:space="preserve">GRN20836</t>
  </si>
  <si>
    <t xml:space="preserve">GRN20697</t>
  </si>
  <si>
    <t xml:space="preserve">GRN20741</t>
  </si>
  <si>
    <t xml:space="preserve">GRN20189</t>
  </si>
  <si>
    <t xml:space="preserve">GRN20385</t>
  </si>
  <si>
    <t xml:space="preserve">GRN20132</t>
  </si>
  <si>
    <t xml:space="preserve">GRN20366</t>
  </si>
  <si>
    <t xml:space="preserve">GRN20554</t>
  </si>
  <si>
    <t xml:space="preserve">GRN20529</t>
  </si>
  <si>
    <t xml:space="preserve">GRN20759</t>
  </si>
  <si>
    <t xml:space="preserve">GRN20246</t>
  </si>
  <si>
    <t xml:space="preserve">GRN20834</t>
  </si>
  <si>
    <t xml:space="preserve">GRN20563</t>
  </si>
  <si>
    <t xml:space="preserve">GRN20040</t>
  </si>
  <si>
    <t xml:space="preserve">GRN20089</t>
  </si>
  <si>
    <t xml:space="preserve">GRN20428</t>
  </si>
  <si>
    <t xml:space="preserve">GRN20354</t>
  </si>
  <si>
    <t xml:space="preserve">GRN20068</t>
  </si>
  <si>
    <t xml:space="preserve">GRN20309</t>
  </si>
  <si>
    <t xml:space="preserve">GRN20139</t>
  </si>
  <si>
    <t xml:space="preserve">GRN20506</t>
  </si>
  <si>
    <t xml:space="preserve">GRN20118</t>
  </si>
  <si>
    <t xml:space="preserve">GRN20622</t>
  </si>
  <si>
    <t xml:space="preserve">GRN20786</t>
  </si>
  <si>
    <t xml:space="preserve">GRN20399</t>
  </si>
  <si>
    <t xml:space="preserve">GRN20305</t>
  </si>
  <si>
    <t xml:space="preserve">GRN20793</t>
  </si>
  <si>
    <t xml:space="preserve">GRN20612</t>
  </si>
  <si>
    <t xml:space="preserve">GRN20014</t>
  </si>
  <si>
    <t xml:space="preserve">GRN20082</t>
  </si>
  <si>
    <t xml:space="preserve">GRN20592</t>
  </si>
  <si>
    <t xml:space="preserve">GRN20388</t>
  </si>
  <si>
    <t xml:space="preserve">GRN20088</t>
  </si>
  <si>
    <t xml:space="preserve">GRN20273</t>
  </si>
  <si>
    <t xml:space="preserve">GRN20172</t>
  </si>
  <si>
    <t xml:space="preserve">GRN20432</t>
  </si>
  <si>
    <t xml:space="preserve">GRN20103</t>
  </si>
  <si>
    <t xml:space="preserve">GRN20510</t>
  </si>
  <si>
    <t xml:space="preserve">GRN20339</t>
  </si>
  <si>
    <t xml:space="preserve">GRN20045</t>
  </si>
  <si>
    <t xml:space="preserve">GRN20414</t>
  </si>
  <si>
    <t xml:space="preserve">GRN20294</t>
  </si>
  <si>
    <t xml:space="preserve">GRN20512</t>
  </si>
  <si>
    <t xml:space="preserve">GRN20636</t>
  </si>
  <si>
    <t xml:space="preserve">GRN20011</t>
  </si>
  <si>
    <t xml:space="preserve">GRN20214</t>
  </si>
  <si>
    <t xml:space="preserve">GRN20607</t>
  </si>
  <si>
    <t xml:space="preserve">GRN20147</t>
  </si>
  <si>
    <t xml:space="preserve">GRN20449</t>
  </si>
  <si>
    <t xml:space="preserve">GRN20679</t>
  </si>
  <si>
    <t xml:space="preserve">GRN20435</t>
  </si>
  <si>
    <t xml:space="preserve">GRN20674</t>
  </si>
  <si>
    <t xml:space="preserve">GRN20624</t>
  </si>
  <si>
    <t xml:space="preserve">GRN20555</t>
  </si>
  <si>
    <t xml:space="preserve">GRN20173</t>
  </si>
  <si>
    <t xml:space="preserve">GRN20747</t>
  </si>
  <si>
    <t xml:space="preserve">GRN20226</t>
  </si>
  <si>
    <t xml:space="preserve">GRN20031</t>
  </si>
  <si>
    <t xml:space="preserve">GRN20359</t>
  </si>
  <si>
    <t xml:space="preserve">GRN20544</t>
  </si>
  <si>
    <t xml:space="preserve">GRN20496</t>
  </si>
  <si>
    <t xml:space="preserve">GRN20285</t>
  </si>
  <si>
    <t xml:space="preserve">GRN20329</t>
  </si>
  <si>
    <t xml:space="preserve">GRN20778</t>
  </si>
  <si>
    <t xml:space="preserve">GRN20116</t>
  </si>
  <si>
    <t xml:space="preserve">GRN20813</t>
  </si>
  <si>
    <t xml:space="preserve">GRN20095</t>
  </si>
  <si>
    <t xml:space="preserve">GRN20708</t>
  </si>
  <si>
    <t xml:space="preserve">GRN20453</t>
  </si>
  <si>
    <t xml:space="preserve">GRN20344</t>
  </si>
  <si>
    <t xml:space="preserve">GRN20382</t>
  </si>
  <si>
    <t xml:space="preserve">GRN20346</t>
  </si>
  <si>
    <t xml:space="preserve">GRN20446</t>
  </si>
  <si>
    <t xml:space="preserve">GRN20062</t>
  </si>
  <si>
    <t xml:space="preserve">GRN20204</t>
  </si>
  <si>
    <t xml:space="preserve">GRN20584</t>
  </si>
  <si>
    <t xml:space="preserve">GRN20184</t>
  </si>
  <si>
    <t xml:space="preserve">GRN20091</t>
  </si>
  <si>
    <t xml:space="preserve">GRN20803</t>
  </si>
  <si>
    <t xml:space="preserve">GRN20501</t>
  </si>
  <si>
    <t xml:space="preserve">GRN20690</t>
  </si>
  <si>
    <t xml:space="preserve">GRN20029</t>
  </si>
  <si>
    <t xml:space="preserve">GRN20054</t>
  </si>
  <si>
    <t xml:space="preserve">GRN20571</t>
  </si>
  <si>
    <t xml:space="preserve">GRN20370</t>
  </si>
  <si>
    <t xml:space="preserve">GRN20632</t>
  </si>
  <si>
    <t xml:space="preserve">GRN20146</t>
  </si>
  <si>
    <t xml:space="preserve">GRN20221</t>
  </si>
  <si>
    <t xml:space="preserve">GRN20582</t>
  </si>
  <si>
    <t xml:space="preserve">GRN20809</t>
  </si>
  <si>
    <t xml:space="preserve">GRN20481</t>
  </si>
  <si>
    <t xml:space="preserve">GRN20447</t>
  </si>
  <si>
    <t xml:space="preserve">GRN20349</t>
  </si>
  <si>
    <t xml:space="preserve">GRN20165</t>
  </si>
  <si>
    <t xml:space="preserve">GRN20484</t>
  </si>
  <si>
    <t xml:space="preserve">GRN20080</t>
  </si>
  <si>
    <t xml:space="preserve">GRN20758</t>
  </si>
  <si>
    <t xml:space="preserve">GRN20310</t>
  </si>
  <si>
    <t xml:space="preserve">GRN20259</t>
  </si>
  <si>
    <t xml:space="preserve">GRN20323</t>
  </si>
  <si>
    <t xml:space="preserve">GRN20009</t>
  </si>
  <si>
    <t xml:space="preserve">GRN20577</t>
  </si>
  <si>
    <t xml:space="preserve">GRN20434</t>
  </si>
  <si>
    <t xml:space="preserve">GRN20669</t>
  </si>
  <si>
    <t xml:space="preserve">GRN20179</t>
  </si>
  <si>
    <t xml:space="preserve">GRN20027</t>
  </si>
  <si>
    <t xml:space="preserve">GRN20372</t>
  </si>
  <si>
    <t xml:space="preserve">GRN20364</t>
  </si>
  <si>
    <t xml:space="preserve">GRN20293</t>
  </si>
  <si>
    <t xml:space="preserve">GRN20525</t>
  </si>
  <si>
    <t xml:space="preserve">GRN20005</t>
  </si>
  <si>
    <t xml:space="preserve">GRN20197</t>
  </si>
  <si>
    <t xml:space="preserve">GRN20670</t>
  </si>
  <si>
    <t xml:space="preserve">GRN20829</t>
  </si>
  <si>
    <t xml:space="preserve">GRN20538</t>
  </si>
  <si>
    <t xml:space="preserve">GRN20261</t>
  </si>
  <si>
    <t xml:space="preserve">GRN20688</t>
  </si>
  <si>
    <t xml:space="preserve">GRN20122</t>
  </si>
  <si>
    <t xml:space="preserve">GRN20677</t>
  </si>
  <si>
    <t xml:space="preserve">GRN20038</t>
  </si>
  <si>
    <t xml:space="preserve">GRN20358</t>
  </si>
  <si>
    <t xml:space="preserve">GRN20730</t>
  </si>
  <si>
    <t xml:space="preserve">GRN20334</t>
  </si>
  <si>
    <t xml:space="preserve">GRN20604</t>
  </si>
  <si>
    <t xml:space="preserve">GRN20784</t>
  </si>
  <si>
    <t xml:space="preserve">GRN20162</t>
  </si>
  <si>
    <t xml:space="preserve">GRN20067</t>
  </si>
  <si>
    <t xml:space="preserve">GRN20124</t>
  </si>
  <si>
    <t xml:space="preserve">GRN20039</t>
  </si>
  <si>
    <t xml:space="preserve">GRN20004</t>
  </si>
  <si>
    <t xml:space="preserve">GRN20033</t>
  </si>
  <si>
    <t xml:space="preserve">GRN20530</t>
  </si>
  <si>
    <t xml:space="preserve">GRN20671</t>
  </si>
  <si>
    <t xml:space="preserve">GRN20335</t>
  </si>
  <si>
    <t xml:space="preserve">GRN20280</t>
  </si>
  <si>
    <t xml:space="preserve">GRN20590</t>
  </si>
  <si>
    <t xml:space="preserve">GRN20099</t>
  </si>
  <si>
    <t xml:space="preserve">GRN20629</t>
  </si>
  <si>
    <t xml:space="preserve">GRN20649</t>
  </si>
  <si>
    <t xml:space="preserve">GRN20236</t>
  </si>
  <si>
    <t xml:space="preserve">GRN20467</t>
  </si>
  <si>
    <t xml:space="preserve">GRN20570</t>
  </si>
  <si>
    <t xml:space="preserve">GRN20519</t>
  </si>
  <si>
    <t xml:space="preserve">GRN20765</t>
  </si>
  <si>
    <t xml:space="preserve">GRN20779</t>
  </si>
  <si>
    <t xml:space="preserve">GRN20639</t>
  </si>
  <si>
    <t xml:space="preserve">GRN20772</t>
  </si>
  <si>
    <t xml:space="preserve">GRN20535</t>
  </si>
  <si>
    <t xml:space="preserve">GRN20618</t>
  </si>
  <si>
    <t xml:space="preserve">GRN20352</t>
  </si>
  <si>
    <t xml:space="preserve">GRN20800</t>
  </si>
  <si>
    <t xml:space="preserve">GRN20504</t>
  </si>
  <si>
    <t xml:space="preserve">GRN20012</t>
  </si>
  <si>
    <t xml:space="preserve">GRN20186</t>
  </si>
  <si>
    <t xml:space="preserve">GRN20610</t>
  </si>
  <si>
    <t xml:space="preserve">GRN20581</t>
  </si>
  <si>
    <t xml:space="preserve">GRN20771</t>
  </si>
  <si>
    <t xml:space="preserve">GRN20374</t>
  </si>
  <si>
    <t xml:space="preserve">GRN20260</t>
  </si>
  <si>
    <t xml:space="preserve">GRN20574</t>
  </si>
  <si>
    <t xml:space="preserve">GRN20333</t>
  </si>
  <si>
    <t xml:space="preserve">GRN20153</t>
  </si>
  <si>
    <t xml:space="preserve">GRN20396</t>
  </si>
  <si>
    <t xml:space="preserve">GRN20585</t>
  </si>
  <si>
    <t xml:space="preserve">GRN20304</t>
  </si>
  <si>
    <t xml:space="preserve">GRN20200</t>
  </si>
  <si>
    <t xml:space="preserve">GRN20394</t>
  </si>
  <si>
    <t xml:space="preserve">GRN20812</t>
  </si>
  <si>
    <t xml:space="preserve">GRN20373</t>
  </si>
  <si>
    <t xml:space="preserve">GRN20464</t>
  </si>
  <si>
    <t xml:space="preserve">GRN20078</t>
  </si>
  <si>
    <t xml:space="preserve">GRN20312</t>
  </si>
  <si>
    <t xml:space="preserve">GRN20770</t>
  </si>
  <si>
    <t xml:space="preserve">GRN20619</t>
  </si>
  <si>
    <t xml:space="preserve">GRN20042</t>
  </si>
  <si>
    <t xml:space="preserve">GRN20711</t>
  </si>
  <si>
    <t xml:space="preserve">GRN20133</t>
  </si>
  <si>
    <t xml:space="preserve">GRN20745</t>
  </si>
  <si>
    <t xml:space="preserve">GRN20389</t>
  </si>
  <si>
    <t xml:space="preserve">GRN20567</t>
  </si>
  <si>
    <t xml:space="preserve">GRN20692</t>
  </si>
  <si>
    <t xml:space="preserve">GRN20553</t>
  </si>
  <si>
    <t xml:space="preserve">GRN20250</t>
  </si>
  <si>
    <t xml:space="preserve">GRN20599</t>
  </si>
  <si>
    <t xml:space="preserve">GRN20720</t>
  </si>
  <si>
    <t xml:space="preserve">GRN20439</t>
  </si>
  <si>
    <t xml:space="preserve">GRN20192</t>
  </si>
  <si>
    <t xml:space="preserve">GRN20220</t>
  </si>
  <si>
    <t xml:space="preserve">GRN20826</t>
  </si>
  <si>
    <t xml:space="preserve">GRN20518</t>
  </si>
  <si>
    <t xml:space="preserve">GRN20682</t>
  </si>
  <si>
    <t xml:space="preserve">GRN20638</t>
  </si>
  <si>
    <t xml:space="preserve">GRN20030</t>
  </si>
  <si>
    <t xml:space="preserve">GRN20491</t>
  </si>
  <si>
    <t xml:space="preserve">GRN20579</t>
  </si>
  <si>
    <t xml:space="preserve">GRN20395</t>
  </si>
  <si>
    <t xml:space="preserve">GRN20157</t>
  </si>
  <si>
    <t xml:space="preserve">GRN20608</t>
  </si>
  <si>
    <t xml:space="preserve">GRN20272</t>
  </si>
  <si>
    <t xml:space="preserve">GRN20818</t>
  </si>
  <si>
    <t xml:space="preserve">GRN20509</t>
  </si>
  <si>
    <t xml:space="preserve">GRN20306</t>
  </si>
  <si>
    <t xml:space="preserve">GRN20601</t>
  </si>
  <si>
    <t xml:space="preserve">GRN20640</t>
  </si>
  <si>
    <t xml:space="preserve">GRN20102</t>
  </si>
  <si>
    <t xml:space="preserve">GRN20052</t>
  </si>
  <si>
    <t xml:space="preserve">GRN20156</t>
  </si>
  <si>
    <t xml:space="preserve">GRN20507</t>
  </si>
  <si>
    <t xml:space="preserve">GRN20402</t>
  </si>
  <si>
    <t xml:space="preserve">GRN20511</t>
  </si>
  <si>
    <t xml:space="preserve">GRN20097</t>
  </si>
  <si>
    <t xml:space="preserve">GRN20541</t>
  </si>
  <si>
    <t xml:space="preserve">GRN20128</t>
  </si>
  <si>
    <t xml:space="preserve">GRN20378</t>
  </si>
  <si>
    <t xml:space="preserve">GRN20177</t>
  </si>
  <si>
    <t xml:space="preserve">GRN20347</t>
  </si>
  <si>
    <t xml:space="preserve">GRN20110</t>
  </si>
  <si>
    <t xml:space="preserve">GRN20635</t>
  </si>
  <si>
    <t xml:space="preserve">GRN20379</t>
  </si>
  <si>
    <t xml:space="preserve">GRN20191</t>
  </si>
  <si>
    <t xml:space="preserve">GRN20419</t>
  </si>
  <si>
    <t xml:space="preserve">GRN20482</t>
  </si>
  <si>
    <t xml:space="preserve">GRN20343</t>
  </si>
  <si>
    <t xml:space="preserve">GRN20613</t>
  </si>
  <si>
    <t xml:space="preserve">GRN20142</t>
  </si>
  <si>
    <t xml:space="preserve">GRN20685</t>
  </si>
  <si>
    <t xml:space="preserve">GRN20006</t>
  </si>
  <si>
    <t xml:space="preserve">GRN20531</t>
  </si>
  <si>
    <t xml:space="preserve">GRN20267</t>
  </si>
  <si>
    <t xml:space="preserve">GRN20722</t>
  </si>
  <si>
    <t xml:space="preserve">GRN20237</t>
  </si>
  <si>
    <t xml:space="preserve">GRN20565</t>
  </si>
  <si>
    <t xml:space="preserve">GRN20400</t>
  </si>
  <si>
    <t xml:space="preserve">GRN20383</t>
  </si>
  <si>
    <t xml:space="preserve">GRN20058</t>
  </si>
  <si>
    <t xml:space="preserve">GRN20687</t>
  </si>
  <si>
    <t xml:space="preserve">GRN20232</t>
  </si>
  <si>
    <t xml:space="preserve">GRN20781</t>
  </si>
  <si>
    <t xml:space="preserve">GRN20700</t>
  </si>
  <si>
    <t xml:space="preserve">GRN20442</t>
  </si>
  <si>
    <t xml:space="preserve">GRN20203</t>
  </si>
  <si>
    <t xml:space="preserve">GRN20600</t>
  </si>
  <si>
    <t xml:space="preserve">GRN20284</t>
  </si>
  <si>
    <t xml:space="preserve">GRN20098</t>
  </si>
  <si>
    <t xml:space="preserve">GRN20002</t>
  </si>
  <si>
    <t xml:space="preserve">GRN20833</t>
  </si>
  <si>
    <t xml:space="preserve">GRN20634</t>
  </si>
  <si>
    <t xml:space="preserve">GRN20487</t>
  </si>
  <si>
    <t xml:space="preserve">GRN20217</t>
  </si>
  <si>
    <t xml:space="preserve">GRN20360</t>
  </si>
  <si>
    <t xml:space="preserve">GRN20046</t>
  </si>
  <si>
    <t xml:space="preserve">GRN20817</t>
  </si>
  <si>
    <t xml:space="preserve">GRN20422</t>
  </si>
  <si>
    <t xml:space="preserve">GRN20225</t>
  </si>
  <si>
    <t xml:space="preserve">GRN20018</t>
  </si>
  <si>
    <t xml:space="preserve">GRN20168</t>
  </si>
  <si>
    <t xml:space="preserve">GRN20228</t>
  </si>
  <si>
    <t xml:space="preserve">GRN20292</t>
  </si>
  <si>
    <t xml:space="preserve">GRN20377</t>
  </si>
  <si>
    <t xml:space="preserve">GRN20798</t>
  </si>
  <si>
    <t xml:space="preserve">GRN20397</t>
  </si>
  <si>
    <t xml:space="preserve">GRN20227</t>
  </si>
  <si>
    <t xml:space="preserve">GRN20713</t>
  </si>
  <si>
    <t xml:space="preserve">GRN20641</t>
  </si>
  <si>
    <t xml:space="preserve">GRN20328</t>
  </si>
  <si>
    <t xml:space="preserve">GRN20283</t>
  </si>
  <si>
    <t xml:space="preserve">GRN20797</t>
  </si>
  <si>
    <t xml:space="preserve">GRN20661</t>
  </si>
  <si>
    <t xml:space="preserve">GRN20637</t>
  </si>
  <si>
    <t xml:space="preserve">GRN20578</t>
  </si>
  <si>
    <t xml:space="preserve">GRN20093</t>
  </si>
  <si>
    <t xml:space="preserve">GRN20213</t>
  </si>
  <si>
    <t xml:space="preserve">GRN20337</t>
  </si>
  <si>
    <t xml:space="preserve">GRN20425</t>
  </si>
  <si>
    <t xml:space="preserve">GRN20680</t>
  </si>
  <si>
    <t xml:space="preserve">GRN20115</t>
  </si>
  <si>
    <t xml:space="preserve">GRN20158</t>
  </si>
  <si>
    <t xml:space="preserve">GRN20843</t>
  </si>
  <si>
    <t xml:space="preserve">GRN20112</t>
  </si>
  <si>
    <t xml:space="preserve">GRN20036</t>
  </si>
  <si>
    <t xml:space="preserve">GRN20105</t>
  </si>
  <si>
    <t xml:space="preserve">GRN20362</t>
  </si>
  <si>
    <t xml:space="preserve">GRN20365</t>
  </si>
  <si>
    <t xml:space="preserve">GRN20441</t>
  </si>
  <si>
    <t xml:space="preserve">GRN20351</t>
  </si>
  <si>
    <t xml:space="preserve">GRN20830</t>
  </si>
  <si>
    <t xml:space="preserve">GRN20249</t>
  </si>
  <si>
    <t xml:space="preserve">GRN20723</t>
  </si>
  <si>
    <t xml:space="preserve">GRN20675</t>
  </si>
  <si>
    <t xml:space="preserve">GRN20406</t>
  </si>
  <si>
    <t xml:space="preserve">GRN20726</t>
  </si>
  <si>
    <t xml:space="preserve">GRN20164</t>
  </si>
  <si>
    <t xml:space="preserve">GRN20746</t>
  </si>
  <si>
    <t xml:space="preserve">GRN20689</t>
  </si>
  <si>
    <t xml:space="preserve">GRN20704</t>
  </si>
  <si>
    <t xml:space="preserve">GRN20083</t>
  </si>
  <si>
    <t xml:space="preserve">GRN20593</t>
  </si>
  <si>
    <t xml:space="preserve">GRN20295</t>
  </si>
  <si>
    <t xml:space="preserve">GRN20070</t>
  </si>
  <si>
    <t xml:space="preserve">GRN20748</t>
  </si>
  <si>
    <t xml:space="preserve">GRN20787</t>
  </si>
  <si>
    <t xml:space="preserve">GRN20734</t>
  </si>
  <si>
    <t xml:space="preserve">GRN20551</t>
  </si>
  <si>
    <t xml:space="preserve">GRN20127</t>
  </si>
  <si>
    <t xml:space="preserve">GRN20724</t>
  </si>
  <si>
    <t xml:space="preserve">GRN20001</t>
  </si>
  <si>
    <t xml:space="preserve">GRN20717</t>
  </si>
  <si>
    <t xml:space="preserve">GRN20539</t>
  </si>
  <si>
    <t xml:space="preserve">GRN20308</t>
  </si>
  <si>
    <t xml:space="preserve">GRN20410</t>
  </si>
  <si>
    <t xml:space="preserve">GRN20171</t>
  </si>
  <si>
    <t xml:space="preserve">GRN20417</t>
  </si>
  <si>
    <t xml:space="preserve">GRN20644</t>
  </si>
  <si>
    <t xml:space="preserve">GRN20460</t>
  </si>
  <si>
    <t xml:space="preserve">GRN20736</t>
  </si>
  <si>
    <t xml:space="preserve">GRN20423</t>
  </si>
  <si>
    <t xml:space="preserve">GRN20315</t>
  </si>
  <si>
    <t xml:space="preserve">GRN20376</t>
  </si>
  <si>
    <t xml:space="preserve">GRN20524</t>
  </si>
  <si>
    <t xml:space="preserve">GRN20737</t>
  </si>
  <si>
    <t xml:space="preserve">GRN20438</t>
  </si>
  <si>
    <t xml:space="preserve">GRN20623</t>
  </si>
  <si>
    <t xml:space="preserve">GRN20150</t>
  </si>
  <si>
    <t xml:space="preserve">GRN20849</t>
  </si>
  <si>
    <t xml:space="preserve">GRN20556</t>
  </si>
  <si>
    <t xml:space="preserve">GRN20684</t>
  </si>
  <si>
    <t xml:space="preserve">GRN20409</t>
  </si>
  <si>
    <t xml:space="preserve">GRN20143</t>
  </si>
  <si>
    <t xml:space="preserve">GRN20526</t>
  </si>
  <si>
    <t xml:space="preserve">GRN20731</t>
  </si>
  <si>
    <t xml:space="preserve">GRN20703</t>
  </si>
  <si>
    <t xml:space="preserve">GRN20208</t>
  </si>
  <si>
    <t xml:space="preserve">GRN20440</t>
  </si>
  <si>
    <t xml:space="preserve">GRN20131</t>
  </si>
  <si>
    <t xml:space="preserve">GRN20380</t>
  </si>
  <si>
    <t xml:space="preserve">GRN20174</t>
  </si>
  <si>
    <t xml:space="preserve">GRN20533</t>
  </si>
  <si>
    <t xml:space="preserve">GRN20270</t>
  </si>
  <si>
    <t xml:space="preserve">GRN20407</t>
  </si>
  <si>
    <t xml:space="preserve">GRN20603</t>
  </si>
  <si>
    <t xml:space="preserve">GRN20123</t>
  </si>
  <si>
    <t xml:space="preserve">GRN20138</t>
  </si>
  <si>
    <t xml:space="preserve">GRN20051</t>
  </si>
  <si>
    <t xml:space="preserve">GRN20275</t>
  </si>
  <si>
    <t xml:space="preserve">GRN20823</t>
  </si>
  <si>
    <t xml:space="preserve">GRN20342</t>
  </si>
  <si>
    <t xml:space="preserve">GRN20256</t>
  </si>
  <si>
    <t xml:space="preserve">GRN20182</t>
  </si>
  <si>
    <t xml:space="preserve">GRN20300</t>
  </si>
  <si>
    <t xml:space="preserve">GRN20678</t>
  </si>
  <si>
    <t xml:space="preserve">GRN20240</t>
  </si>
  <si>
    <t xml:space="preserve">GRN20230</t>
  </si>
  <si>
    <t xml:space="preserve">GRN20326</t>
  </si>
  <si>
    <t xml:space="preserve">GRN20458</t>
  </si>
  <si>
    <t xml:space="preserve">GRN20465</t>
  </si>
  <si>
    <t xml:space="preserve">GRN20163</t>
  </si>
  <si>
    <t xml:space="preserve">GRN20167</t>
  </si>
  <si>
    <t xml:space="preserve">GRN20145</t>
  </si>
  <si>
    <t xml:space="preserve">GRN20206</t>
  </si>
  <si>
    <t xml:space="preserve">GRN20500</t>
  </si>
  <si>
    <t xml:space="preserve">GRN20188</t>
  </si>
  <si>
    <t xml:space="preserve">GRN20324</t>
  </si>
  <si>
    <t xml:space="preserve">GRN20721</t>
  </si>
  <si>
    <t xml:space="preserve">GRN20761</t>
  </si>
  <si>
    <t xml:space="preserve">GRN20575</t>
  </si>
  <si>
    <t xml:space="preserve">GRN20079</t>
  </si>
  <si>
    <t xml:space="preserve">GRN20686</t>
  </si>
  <si>
    <t xml:space="preserve">GRN20768</t>
  </si>
  <si>
    <t xml:space="preserve">GRN20718</t>
  </si>
  <si>
    <t xml:space="preserve">GRN20229</t>
  </si>
  <si>
    <t xml:space="preserve">GRN20658</t>
  </si>
  <si>
    <t xml:space="preserve">GRN20100</t>
  </si>
  <si>
    <t xml:space="preserve">GRN20290</t>
  </si>
  <si>
    <t xml:space="preserve">GRN20444</t>
  </si>
  <si>
    <t xml:space="preserve">GRN20807</t>
  </si>
  <si>
    <t xml:space="preserve">GRN20053</t>
  </si>
  <si>
    <t xml:space="preserve">GRN20391</t>
  </si>
  <si>
    <t xml:space="preserve">GRN20821</t>
  </si>
  <si>
    <t xml:space="preserve">GRN20848</t>
  </si>
  <si>
    <t xml:space="preserve">GRN20251</t>
  </si>
  <si>
    <t xml:space="preserve">GRN20499</t>
  </si>
  <si>
    <t xml:space="preserve">GRN20475</t>
  </si>
  <si>
    <t xml:space="preserve">GRN20271</t>
  </si>
  <si>
    <t xml:space="preserve">GRN20044</t>
  </si>
  <si>
    <t xml:space="preserve">GRN20113</t>
  </si>
  <si>
    <t xml:space="preserve">GRN20024</t>
  </si>
  <si>
    <t xml:space="preserve">GRN20211</t>
  </si>
  <si>
    <t xml:space="preserve">GRN20620</t>
  </si>
  <si>
    <t xml:space="preserve">GRN20169</t>
  </si>
  <si>
    <t xml:space="preserve">GRN20591</t>
  </si>
  <si>
    <t xml:space="preserve">GRN20827</t>
  </si>
  <si>
    <t xml:space="preserve">GRN20596</t>
  </si>
  <si>
    <t xml:space="preserve">GRN20520</t>
  </si>
  <si>
    <t xml:space="preserve">GRN20032</t>
  </si>
  <si>
    <t xml:space="preserve">GRN20611</t>
  </si>
  <si>
    <t xml:space="preserve">GRN20109</t>
  </si>
  <si>
    <t xml:space="preserve">GRN20136</t>
  </si>
  <si>
    <t xml:space="preserve">GRN20330</t>
  </si>
  <si>
    <t xml:space="preserve">GRN20222</t>
  </si>
  <si>
    <t xml:space="preserve">GRN20028</t>
  </si>
  <si>
    <t xml:space="preserve">GRN20287</t>
  </si>
  <si>
    <t xml:space="preserve">GRN20055</t>
  </si>
  <si>
    <t xml:space="preserve">GRN20750</t>
  </si>
  <si>
    <t xml:space="preserve">GRN20766</t>
  </si>
  <si>
    <t xml:space="preserve">GRN20048</t>
  </si>
  <si>
    <t xml:space="preserve">GRN20769</t>
  </si>
  <si>
    <t xml:space="preserve">GRN20832</t>
  </si>
  <si>
    <t xml:space="preserve">GRN20642</t>
  </si>
  <si>
    <t xml:space="preserve">GRN20545</t>
  </si>
  <si>
    <t xml:space="preserve">GRN20477</t>
  </si>
  <si>
    <t xml:space="preserve">GRN20547</t>
  </si>
  <si>
    <t xml:space="preserve">GRN20063</t>
  </si>
  <si>
    <t xml:space="preserve">GRN20413</t>
  </si>
  <si>
    <t xml:space="preserve">GRN20384</t>
  </si>
  <si>
    <t xml:space="preserve">GRN20756</t>
  </si>
  <si>
    <t xml:space="preserve">GRN20322</t>
  </si>
  <si>
    <t xml:space="preserve">GRN20451</t>
  </si>
  <si>
    <t xml:space="preserve">GRN20662</t>
  </si>
  <si>
    <t xml:space="preserve">GRN20234</t>
  </si>
  <si>
    <t xml:space="preserve">GRN20656</t>
  </si>
  <si>
    <t xml:space="preserve">GRN20557</t>
  </si>
  <si>
    <t xml:space="preserve">GRN20462</t>
  </si>
  <si>
    <t xml:space="preserve">GRN20424</t>
  </si>
  <si>
    <t xml:space="preserve">GRN20840</t>
  </si>
  <si>
    <t xml:space="preserve">GRN20303</t>
  </si>
  <si>
    <t xml:space="preserve">GRN20762</t>
  </si>
  <si>
    <t xml:space="preserve">GRN20219</t>
  </si>
  <si>
    <t xml:space="preserve">GRN20740</t>
  </si>
  <si>
    <t xml:space="preserve">GRN20296</t>
  </si>
  <si>
    <t xml:space="preserve">GRN20021</t>
  </si>
  <si>
    <t xml:space="preserve">GRN20420</t>
  </si>
  <si>
    <t xml:space="preserve">GRN20325</t>
  </si>
  <si>
    <t xml:space="preserve">GRN20199</t>
  </si>
  <si>
    <t xml:space="preserve">GRN20450</t>
  </si>
  <si>
    <t xml:space="preserve">GRN20137</t>
  </si>
  <si>
    <t xml:space="preserve">GRN20536</t>
  </si>
  <si>
    <t xml:space="preserve">GRN20646</t>
  </si>
  <si>
    <t xml:space="preserve">GRN20628</t>
  </si>
  <si>
    <t xml:space="preserve">GRN20212</t>
  </si>
  <si>
    <t xml:space="preserve">GRN20820</t>
  </si>
  <si>
    <t xml:space="preserve">GRN20796</t>
  </si>
  <si>
    <t xml:space="preserve">GRN20785</t>
  </si>
  <si>
    <t xml:space="preserve">GRN20505</t>
  </si>
  <si>
    <t xml:space="preserve">GRN20691</t>
  </si>
  <si>
    <t xml:space="preserve">GRN20231</t>
  </si>
  <si>
    <t xml:space="preserve">GRN20405</t>
  </si>
  <si>
    <t xml:space="preserve">GRN20568</t>
  </si>
  <si>
    <t xml:space="preserve">GRN20317</t>
  </si>
  <si>
    <t xml:space="preserve">GRN20183</t>
  </si>
  <si>
    <t xml:space="preserve">GRN20729</t>
  </si>
  <si>
    <t xml:space="preserve">GRN20727</t>
  </si>
  <si>
    <t xml:space="preserve">GRN20693</t>
  </si>
  <si>
    <t xml:space="preserve">GRN20609</t>
  </si>
  <si>
    <t xml:space="preserve">GRN20626</t>
  </si>
  <si>
    <t xml:space="preserve">GRN20485</t>
  </si>
  <si>
    <t xml:space="preserve">GRN20278</t>
  </si>
  <si>
    <t xml:space="preserve">GRN20630</t>
  </si>
  <si>
    <t xml:space="preserve">GRN20020</t>
  </si>
  <si>
    <t xml:space="preserve">GRN20170</t>
  </si>
  <si>
    <t xml:space="preserve">GRN20401</t>
  </si>
  <si>
    <t xml:space="preserve">GRN20788</t>
  </si>
  <si>
    <t xml:space="preserve">GRN20566</t>
  </si>
  <si>
    <t xml:space="preserve">GRN20176</t>
  </si>
  <si>
    <t xml:space="preserve">GRN20327</t>
  </si>
  <si>
    <t xml:space="preserve">GRN20198</t>
  </si>
  <si>
    <t xml:space="preserve">GRN20470</t>
  </si>
  <si>
    <t xml:space="preserve">GRN20716</t>
  </si>
  <si>
    <t xml:space="preserve">GRN20694</t>
  </si>
  <si>
    <t xml:space="preserve">GRN20266</t>
  </si>
  <si>
    <t xml:space="preserve">GRN20615</t>
  </si>
  <si>
    <t xml:space="preserve">GRN20492</t>
  </si>
  <si>
    <t xml:space="preserve">GRN20130</t>
  </si>
  <si>
    <t xml:space="preserve">GRN20338</t>
  </si>
  <si>
    <t xml:space="preserve">GRN20725</t>
  </si>
  <si>
    <t xml:space="preserve">GRN20489</t>
  </si>
  <si>
    <t xml:space="preserve">GRN20572</t>
  </si>
  <si>
    <t xml:space="preserve">GRN20606</t>
  </si>
  <si>
    <t xml:space="preserve">GRN20193</t>
  </si>
  <si>
    <t xml:space="preserve">GRN20140</t>
  </si>
  <si>
    <t xml:space="preserve">GRN20416</t>
  </si>
  <si>
    <t xml:space="preserve">GRN20660</t>
  </si>
  <si>
    <t xml:space="preserve">GRN20476</t>
  </si>
  <si>
    <t xml:space="preserve">GRN20714</t>
  </si>
  <si>
    <t xml:space="preserve">GRN20152</t>
  </si>
  <si>
    <t xml:space="preserve">GRN20764</t>
  </si>
  <si>
    <t xml:space="preserve">GRN20010</t>
  </si>
  <si>
    <t xml:space="preserve">GRN20269</t>
  </si>
  <si>
    <t xml:space="preserve">GRN20096</t>
  </si>
  <si>
    <t xml:space="preserve">GRN20210</t>
  </si>
  <si>
    <t xml:space="preserve">GRN20839</t>
  </si>
  <si>
    <t xml:space="preserve">GRN20569</t>
  </si>
  <si>
    <t xml:space="preserve">GRN20548</t>
  </si>
  <si>
    <t xml:space="preserve">GRN20804</t>
  </si>
  <si>
    <t xml:space="preserve">GRN20532</t>
  </si>
  <si>
    <t xml:space="preserve">GRN20795</t>
  </si>
  <si>
    <t xml:space="preserve">GRN20332</t>
  </si>
  <si>
    <t xml:space="preserve">GRN20075</t>
  </si>
  <si>
    <t xml:space="preserve">GRN20712</t>
  </si>
  <si>
    <t xml:space="preserve">GRN20077</t>
  </si>
  <si>
    <t xml:space="preserve">GRN20263</t>
  </si>
  <si>
    <t xml:space="preserve">GRN20845</t>
  </si>
  <si>
    <t xml:space="preserve">GRN20149</t>
  </si>
  <si>
    <t xml:space="preserve">GRN20794</t>
  </si>
  <si>
    <t xml:space="preserve">GRN20514</t>
  </si>
  <si>
    <t xml:space="preserve">GRN20801</t>
  </si>
  <si>
    <t xml:space="preserve">GRN20469</t>
  </si>
  <si>
    <t xml:space="preserve">GRN20564</t>
  </si>
  <si>
    <t xml:space="preserve">GRN20461</t>
  </si>
  <si>
    <t xml:space="preserve">GRN20253</t>
  </si>
  <si>
    <t xml:space="preserve">GRN20369</t>
  </si>
  <si>
    <t xml:space="preserve">GRN20321</t>
  </si>
  <si>
    <t xml:space="preserve">GRN20695</t>
  </si>
  <si>
    <t xml:space="preserve">GRN20151</t>
  </si>
  <si>
    <t xml:space="preserve">GRN20810</t>
  </si>
  <si>
    <t xml:space="preserve">GRN20302</t>
  </si>
  <si>
    <t xml:space="preserve">GRN20190</t>
  </si>
  <si>
    <t xml:space="preserve">GRN20586</t>
  </si>
  <si>
    <t xml:space="preserve">GRN20348</t>
  </si>
  <si>
    <t xml:space="preserve">GRN20243</t>
  </si>
  <si>
    <t xml:space="preserve">GRN20087</t>
  </si>
  <si>
    <t xml:space="preserve">GRN20751</t>
  </si>
  <si>
    <t xml:space="preserve">GRN20655</t>
  </si>
  <si>
    <t xml:space="preserve">GRN20774</t>
  </si>
  <si>
    <t xml:space="preserve">GRN20418</t>
  </si>
  <si>
    <t xml:space="preserve">GRN20288</t>
  </si>
  <si>
    <t xml:space="preserve">GRN20648</t>
  </si>
  <si>
    <t xml:space="preserve">GRN20166</t>
  </si>
  <si>
    <t xml:space="preserve">GRN20595</t>
  </si>
  <si>
    <t xml:space="preserve">GRN20799</t>
  </si>
  <si>
    <t xml:space="preserve">GRN20155</t>
  </si>
  <si>
    <t xml:space="preserve">GRN20356</t>
  </si>
  <si>
    <t xml:space="preserve">GRN20381</t>
  </si>
  <si>
    <t xml:space="preserve">GRN20279</t>
  </si>
  <si>
    <t xml:space="preserve">GRN20126</t>
  </si>
  <si>
    <t xml:space="preserve">GRN20707</t>
  </si>
  <si>
    <t xml:space="preserve">GRN20777</t>
  </si>
  <si>
    <t xml:space="preserve">GRN20022</t>
  </si>
  <si>
    <t xml:space="preserve">GRN20616</t>
  </si>
  <si>
    <t xml:space="preserve">GRN20665</t>
  </si>
  <si>
    <t xml:space="preserve">GRN20282</t>
  </si>
  <si>
    <t xml:space="preserve">GRN20471</t>
  </si>
  <si>
    <t xml:space="preserve">GRN20738</t>
  </si>
  <si>
    <t xml:space="preserve">GRN20367</t>
  </si>
  <si>
    <t xml:space="preserve">GRN20025</t>
  </si>
  <si>
    <t xml:space="preserve">GRN20196</t>
  </si>
  <si>
    <t xml:space="preserve">GRN20064</t>
  </si>
  <si>
    <t xml:space="preserve">GRN20015</t>
  </si>
  <si>
    <t xml:space="preserve">GRN20466</t>
  </si>
  <si>
    <t xml:space="preserve">Invoice_ID</t>
  </si>
  <si>
    <t xml:space="preserve">Invoice_Date</t>
  </si>
  <si>
    <t xml:space="preserve">Invoice_Amount</t>
  </si>
  <si>
    <t xml:space="preserve">Due_Date</t>
  </si>
  <si>
    <t xml:space="preserve">INV30001</t>
  </si>
  <si>
    <t xml:space="preserve">INV30002</t>
  </si>
  <si>
    <t xml:space="preserve">INV30003</t>
  </si>
  <si>
    <t xml:space="preserve">INV30004</t>
  </si>
  <si>
    <t xml:space="preserve">INV30005</t>
  </si>
  <si>
    <t xml:space="preserve">INV30006</t>
  </si>
  <si>
    <t xml:space="preserve">INV30007</t>
  </si>
  <si>
    <t xml:space="preserve">INV30008</t>
  </si>
  <si>
    <t xml:space="preserve">INV30009</t>
  </si>
  <si>
    <t xml:space="preserve">INV30010</t>
  </si>
  <si>
    <t xml:space="preserve">INV30011</t>
  </si>
  <si>
    <t xml:space="preserve">INV30012</t>
  </si>
  <si>
    <t xml:space="preserve">INV30013</t>
  </si>
  <si>
    <t xml:space="preserve">INV30014</t>
  </si>
  <si>
    <t xml:space="preserve">INV30015</t>
  </si>
  <si>
    <t xml:space="preserve">INV30016</t>
  </si>
  <si>
    <t xml:space="preserve">INV30017</t>
  </si>
  <si>
    <t xml:space="preserve">INV30018</t>
  </si>
  <si>
    <t xml:space="preserve">INV30019</t>
  </si>
  <si>
    <t xml:space="preserve">INV30020</t>
  </si>
  <si>
    <t xml:space="preserve">INV30021</t>
  </si>
  <si>
    <t xml:space="preserve">INV30022</t>
  </si>
  <si>
    <t xml:space="preserve">INV30023</t>
  </si>
  <si>
    <t xml:space="preserve">INV30024</t>
  </si>
  <si>
    <t xml:space="preserve">INV30025</t>
  </si>
  <si>
    <t xml:space="preserve">INV30026</t>
  </si>
  <si>
    <t xml:space="preserve">INV30027</t>
  </si>
  <si>
    <t xml:space="preserve">INV30028</t>
  </si>
  <si>
    <t xml:space="preserve">INV30029</t>
  </si>
  <si>
    <t xml:space="preserve">INV30030</t>
  </si>
  <si>
    <t xml:space="preserve">INV30031</t>
  </si>
  <si>
    <t xml:space="preserve">INV30032</t>
  </si>
  <si>
    <t xml:space="preserve">INV30033</t>
  </si>
  <si>
    <t xml:space="preserve">INV30034</t>
  </si>
  <si>
    <t xml:space="preserve">INV30035</t>
  </si>
  <si>
    <t xml:space="preserve">INV30036</t>
  </si>
  <si>
    <t xml:space="preserve">INV30037</t>
  </si>
  <si>
    <t xml:space="preserve">INV30038</t>
  </si>
  <si>
    <t xml:space="preserve">INV30039</t>
  </si>
  <si>
    <t xml:space="preserve">INV30040</t>
  </si>
  <si>
    <t xml:space="preserve">INV30041</t>
  </si>
  <si>
    <t xml:space="preserve">INV30042</t>
  </si>
  <si>
    <t xml:space="preserve">INV30043</t>
  </si>
  <si>
    <t xml:space="preserve">INV30044</t>
  </si>
  <si>
    <t xml:space="preserve">INV30045</t>
  </si>
  <si>
    <t xml:space="preserve">INV30046</t>
  </si>
  <si>
    <t xml:space="preserve">INV30047</t>
  </si>
  <si>
    <t xml:space="preserve">INV30048</t>
  </si>
  <si>
    <t xml:space="preserve">INV30049</t>
  </si>
  <si>
    <t xml:space="preserve">INV30050</t>
  </si>
  <si>
    <t xml:space="preserve">INV30051</t>
  </si>
  <si>
    <t xml:space="preserve">INV30052</t>
  </si>
  <si>
    <t xml:space="preserve">INV30053</t>
  </si>
  <si>
    <t xml:space="preserve">INV30054</t>
  </si>
  <si>
    <t xml:space="preserve">INV30055</t>
  </si>
  <si>
    <t xml:space="preserve">INV30056</t>
  </si>
  <si>
    <t xml:space="preserve">INV30057</t>
  </si>
  <si>
    <t xml:space="preserve">INV30058</t>
  </si>
  <si>
    <t xml:space="preserve">INV30059</t>
  </si>
  <si>
    <t xml:space="preserve">INV30060</t>
  </si>
  <si>
    <t xml:space="preserve">INV30061</t>
  </si>
  <si>
    <t xml:space="preserve">INV30062</t>
  </si>
  <si>
    <t xml:space="preserve">INV30063</t>
  </si>
  <si>
    <t xml:space="preserve">INV30064</t>
  </si>
  <si>
    <t xml:space="preserve">INV30065</t>
  </si>
  <si>
    <t xml:space="preserve">INV30066</t>
  </si>
  <si>
    <t xml:space="preserve">INV30067</t>
  </si>
  <si>
    <t xml:space="preserve">INV30068</t>
  </si>
  <si>
    <t xml:space="preserve">INV30069</t>
  </si>
  <si>
    <t xml:space="preserve">INV30070</t>
  </si>
  <si>
    <t xml:space="preserve">INV30071</t>
  </si>
  <si>
    <t xml:space="preserve">INV30072</t>
  </si>
  <si>
    <t xml:space="preserve">INV30073</t>
  </si>
  <si>
    <t xml:space="preserve">INV30074</t>
  </si>
  <si>
    <t xml:space="preserve">INV30075</t>
  </si>
  <si>
    <t xml:space="preserve">INV30076</t>
  </si>
  <si>
    <t xml:space="preserve">INV30077</t>
  </si>
  <si>
    <t xml:space="preserve">INV30078</t>
  </si>
  <si>
    <t xml:space="preserve">INV30079</t>
  </si>
  <si>
    <t xml:space="preserve">INV30080</t>
  </si>
  <si>
    <t xml:space="preserve">INV30081</t>
  </si>
  <si>
    <t xml:space="preserve">INV30082</t>
  </si>
  <si>
    <t xml:space="preserve">INV30083</t>
  </si>
  <si>
    <t xml:space="preserve">INV30084</t>
  </si>
  <si>
    <t xml:space="preserve">INV30085</t>
  </si>
  <si>
    <t xml:space="preserve">INV30086</t>
  </si>
  <si>
    <t xml:space="preserve">INV30087</t>
  </si>
  <si>
    <t xml:space="preserve">INV30088</t>
  </si>
  <si>
    <t xml:space="preserve">INV30089</t>
  </si>
  <si>
    <t xml:space="preserve">INV30090</t>
  </si>
  <si>
    <t xml:space="preserve">INV30091</t>
  </si>
  <si>
    <t xml:space="preserve">INV30092</t>
  </si>
  <si>
    <t xml:space="preserve">INV30093</t>
  </si>
  <si>
    <t xml:space="preserve">INV30094</t>
  </si>
  <si>
    <t xml:space="preserve">INV30095</t>
  </si>
  <si>
    <t xml:space="preserve">INV30096</t>
  </si>
  <si>
    <t xml:space="preserve">INV30097</t>
  </si>
  <si>
    <t xml:space="preserve">INV30098</t>
  </si>
  <si>
    <t xml:space="preserve">INV30099</t>
  </si>
  <si>
    <t xml:space="preserve">INV30100</t>
  </si>
  <si>
    <t xml:space="preserve">INV30101</t>
  </si>
  <si>
    <t xml:space="preserve">INV30102</t>
  </si>
  <si>
    <t xml:space="preserve">INV30103</t>
  </si>
  <si>
    <t xml:space="preserve">INV30104</t>
  </si>
  <si>
    <t xml:space="preserve">INV30105</t>
  </si>
  <si>
    <t xml:space="preserve">INV30106</t>
  </si>
  <si>
    <t xml:space="preserve">INV30107</t>
  </si>
  <si>
    <t xml:space="preserve">INV30108</t>
  </si>
  <si>
    <t xml:space="preserve">INV30109</t>
  </si>
  <si>
    <t xml:space="preserve">INV30110</t>
  </si>
  <si>
    <t xml:space="preserve">INV30111</t>
  </si>
  <si>
    <t xml:space="preserve">INV30112</t>
  </si>
  <si>
    <t xml:space="preserve">INV30113</t>
  </si>
  <si>
    <t xml:space="preserve">INV30114</t>
  </si>
  <si>
    <t xml:space="preserve">INV30115</t>
  </si>
  <si>
    <t xml:space="preserve">INV30116</t>
  </si>
  <si>
    <t xml:space="preserve">INV30117</t>
  </si>
  <si>
    <t xml:space="preserve">INV30118</t>
  </si>
  <si>
    <t xml:space="preserve">INV30119</t>
  </si>
  <si>
    <t xml:space="preserve">INV30120</t>
  </si>
  <si>
    <t xml:space="preserve">INV30121</t>
  </si>
  <si>
    <t xml:space="preserve">INV30122</t>
  </si>
  <si>
    <t xml:space="preserve">INV30123</t>
  </si>
  <si>
    <t xml:space="preserve">INV30124</t>
  </si>
  <si>
    <t xml:space="preserve">INV30125</t>
  </si>
  <si>
    <t xml:space="preserve">INV30126</t>
  </si>
  <si>
    <t xml:space="preserve">INV30127</t>
  </si>
  <si>
    <t xml:space="preserve">INV30128</t>
  </si>
  <si>
    <t xml:space="preserve">INV30129</t>
  </si>
  <si>
    <t xml:space="preserve">INV30130</t>
  </si>
  <si>
    <t xml:space="preserve">INV30131</t>
  </si>
  <si>
    <t xml:space="preserve">INV30132</t>
  </si>
  <si>
    <t xml:space="preserve">INV30133</t>
  </si>
  <si>
    <t xml:space="preserve">INV30134</t>
  </si>
  <si>
    <t xml:space="preserve">INV30135</t>
  </si>
  <si>
    <t xml:space="preserve">INV30136</t>
  </si>
  <si>
    <t xml:space="preserve">INV30137</t>
  </si>
  <si>
    <t xml:space="preserve">INV30138</t>
  </si>
  <si>
    <t xml:space="preserve">INV30139</t>
  </si>
  <si>
    <t xml:space="preserve">INV30140</t>
  </si>
  <si>
    <t xml:space="preserve">INV30141</t>
  </si>
  <si>
    <t xml:space="preserve">INV30142</t>
  </si>
  <si>
    <t xml:space="preserve">INV30143</t>
  </si>
  <si>
    <t xml:space="preserve">INV30144</t>
  </si>
  <si>
    <t xml:space="preserve">INV30145</t>
  </si>
  <si>
    <t xml:space="preserve">INV30146</t>
  </si>
  <si>
    <t xml:space="preserve">INV30147</t>
  </si>
  <si>
    <t xml:space="preserve">INV30148</t>
  </si>
  <si>
    <t xml:space="preserve">INV30149</t>
  </si>
  <si>
    <t xml:space="preserve">INV30150</t>
  </si>
  <si>
    <t xml:space="preserve">INV30151</t>
  </si>
  <si>
    <t xml:space="preserve">INV30152</t>
  </si>
  <si>
    <t xml:space="preserve">INV30153</t>
  </si>
  <si>
    <t xml:space="preserve">INV30154</t>
  </si>
  <si>
    <t xml:space="preserve">INV30155</t>
  </si>
  <si>
    <t xml:space="preserve">INV30156</t>
  </si>
  <si>
    <t xml:space="preserve">INV30157</t>
  </si>
  <si>
    <t xml:space="preserve">INV30158</t>
  </si>
  <si>
    <t xml:space="preserve">INV30159</t>
  </si>
  <si>
    <t xml:space="preserve">INV30160</t>
  </si>
  <si>
    <t xml:space="preserve">INV30161</t>
  </si>
  <si>
    <t xml:space="preserve">INV30162</t>
  </si>
  <si>
    <t xml:space="preserve">INV30163</t>
  </si>
  <si>
    <t xml:space="preserve">INV30164</t>
  </si>
  <si>
    <t xml:space="preserve">INV30165</t>
  </si>
  <si>
    <t xml:space="preserve">INV30166</t>
  </si>
  <si>
    <t xml:space="preserve">INV30167</t>
  </si>
  <si>
    <t xml:space="preserve">INV30168</t>
  </si>
  <si>
    <t xml:space="preserve">INV30169</t>
  </si>
  <si>
    <t xml:space="preserve">INV30170</t>
  </si>
  <si>
    <t xml:space="preserve">INV30171</t>
  </si>
  <si>
    <t xml:space="preserve">INV30172</t>
  </si>
  <si>
    <t xml:space="preserve">INV30173</t>
  </si>
  <si>
    <t xml:space="preserve">INV30174</t>
  </si>
  <si>
    <t xml:space="preserve">INV30175</t>
  </si>
  <si>
    <t xml:space="preserve">INV30176</t>
  </si>
  <si>
    <t xml:space="preserve">INV30177</t>
  </si>
  <si>
    <t xml:space="preserve">INV30178</t>
  </si>
  <si>
    <t xml:space="preserve">INV30179</t>
  </si>
  <si>
    <t xml:space="preserve">INV30180</t>
  </si>
  <si>
    <t xml:space="preserve">INV30181</t>
  </si>
  <si>
    <t xml:space="preserve">INV30182</t>
  </si>
  <si>
    <t xml:space="preserve">INV30183</t>
  </si>
  <si>
    <t xml:space="preserve">INV30184</t>
  </si>
  <si>
    <t xml:space="preserve">INV30185</t>
  </si>
  <si>
    <t xml:space="preserve">INV30186</t>
  </si>
  <si>
    <t xml:space="preserve">INV30187</t>
  </si>
  <si>
    <t xml:space="preserve">INV30188</t>
  </si>
  <si>
    <t xml:space="preserve">INV30189</t>
  </si>
  <si>
    <t xml:space="preserve">INV30190</t>
  </si>
  <si>
    <t xml:space="preserve">INV30191</t>
  </si>
  <si>
    <t xml:space="preserve">INV30192</t>
  </si>
  <si>
    <t xml:space="preserve">INV30193</t>
  </si>
  <si>
    <t xml:space="preserve">INV30194</t>
  </si>
  <si>
    <t xml:space="preserve">INV30195</t>
  </si>
  <si>
    <t xml:space="preserve">INV30196</t>
  </si>
  <si>
    <t xml:space="preserve">INV30197</t>
  </si>
  <si>
    <t xml:space="preserve">INV30198</t>
  </si>
  <si>
    <t xml:space="preserve">INV30199</t>
  </si>
  <si>
    <t xml:space="preserve">INV30200</t>
  </si>
  <si>
    <t xml:space="preserve">INV30201</t>
  </si>
  <si>
    <t xml:space="preserve">INV30202</t>
  </si>
  <si>
    <t xml:space="preserve">INV30203</t>
  </si>
  <si>
    <t xml:space="preserve">INV30204</t>
  </si>
  <si>
    <t xml:space="preserve">INV30205</t>
  </si>
  <si>
    <t xml:space="preserve">INV30206</t>
  </si>
  <si>
    <t xml:space="preserve">INV30207</t>
  </si>
  <si>
    <t xml:space="preserve">INV30208</t>
  </si>
  <si>
    <t xml:space="preserve">INV30209</t>
  </si>
  <si>
    <t xml:space="preserve">INV30210</t>
  </si>
  <si>
    <t xml:space="preserve">INV30211</t>
  </si>
  <si>
    <t xml:space="preserve">INV30212</t>
  </si>
  <si>
    <t xml:space="preserve">INV30213</t>
  </si>
  <si>
    <t xml:space="preserve">INV30214</t>
  </si>
  <si>
    <t xml:space="preserve">INV30215</t>
  </si>
  <si>
    <t xml:space="preserve">INV30216</t>
  </si>
  <si>
    <t xml:space="preserve">INV30217</t>
  </si>
  <si>
    <t xml:space="preserve">INV30218</t>
  </si>
  <si>
    <t xml:space="preserve">INV30219</t>
  </si>
  <si>
    <t xml:space="preserve">INV30220</t>
  </si>
  <si>
    <t xml:space="preserve">INV30221</t>
  </si>
  <si>
    <t xml:space="preserve">INV30222</t>
  </si>
  <si>
    <t xml:space="preserve">INV30223</t>
  </si>
  <si>
    <t xml:space="preserve">INV30224</t>
  </si>
  <si>
    <t xml:space="preserve">INV30225</t>
  </si>
  <si>
    <t xml:space="preserve">INV30226</t>
  </si>
  <si>
    <t xml:space="preserve">INV30227</t>
  </si>
  <si>
    <t xml:space="preserve">INV30228</t>
  </si>
  <si>
    <t xml:space="preserve">INV30229</t>
  </si>
  <si>
    <t xml:space="preserve">INV30230</t>
  </si>
  <si>
    <t xml:space="preserve">INV30231</t>
  </si>
  <si>
    <t xml:space="preserve">INV30232</t>
  </si>
  <si>
    <t xml:space="preserve">INV30233</t>
  </si>
  <si>
    <t xml:space="preserve">INV30234</t>
  </si>
  <si>
    <t xml:space="preserve">INV30235</t>
  </si>
  <si>
    <t xml:space="preserve">INV30236</t>
  </si>
  <si>
    <t xml:space="preserve">INV30237</t>
  </si>
  <si>
    <t xml:space="preserve">INV30238</t>
  </si>
  <si>
    <t xml:space="preserve">INV30239</t>
  </si>
  <si>
    <t xml:space="preserve">INV30240</t>
  </si>
  <si>
    <t xml:space="preserve">INV30241</t>
  </si>
  <si>
    <t xml:space="preserve">INV30242</t>
  </si>
  <si>
    <t xml:space="preserve">INV30243</t>
  </si>
  <si>
    <t xml:space="preserve">INV30244</t>
  </si>
  <si>
    <t xml:space="preserve">INV30245</t>
  </si>
  <si>
    <t xml:space="preserve">INV30246</t>
  </si>
  <si>
    <t xml:space="preserve">INV30247</t>
  </si>
  <si>
    <t xml:space="preserve">INV30248</t>
  </si>
  <si>
    <t xml:space="preserve">INV30249</t>
  </si>
  <si>
    <t xml:space="preserve">INV30250</t>
  </si>
  <si>
    <t xml:space="preserve">INV30251</t>
  </si>
  <si>
    <t xml:space="preserve">INV30252</t>
  </si>
  <si>
    <t xml:space="preserve">INV30253</t>
  </si>
  <si>
    <t xml:space="preserve">INV30254</t>
  </si>
  <si>
    <t xml:space="preserve">INV30255</t>
  </si>
  <si>
    <t xml:space="preserve">INV30256</t>
  </si>
  <si>
    <t xml:space="preserve">INV30257</t>
  </si>
  <si>
    <t xml:space="preserve">INV30258</t>
  </si>
  <si>
    <t xml:space="preserve">INV30259</t>
  </si>
  <si>
    <t xml:space="preserve">INV30260</t>
  </si>
  <si>
    <t xml:space="preserve">INV30261</t>
  </si>
  <si>
    <t xml:space="preserve">INV30262</t>
  </si>
  <si>
    <t xml:space="preserve">INV30263</t>
  </si>
  <si>
    <t xml:space="preserve">INV30264</t>
  </si>
  <si>
    <t xml:space="preserve">INV30265</t>
  </si>
  <si>
    <t xml:space="preserve">INV30266</t>
  </si>
  <si>
    <t xml:space="preserve">INV30267</t>
  </si>
  <si>
    <t xml:space="preserve">INV30268</t>
  </si>
  <si>
    <t xml:space="preserve">INV30269</t>
  </si>
  <si>
    <t xml:space="preserve">INV30270</t>
  </si>
  <si>
    <t xml:space="preserve">INV30271</t>
  </si>
  <si>
    <t xml:space="preserve">INV30272</t>
  </si>
  <si>
    <t xml:space="preserve">INV30273</t>
  </si>
  <si>
    <t xml:space="preserve">INV30274</t>
  </si>
  <si>
    <t xml:space="preserve">INV30275</t>
  </si>
  <si>
    <t xml:space="preserve">INV30276</t>
  </si>
  <si>
    <t xml:space="preserve">INV30277</t>
  </si>
  <si>
    <t xml:space="preserve">INV30278</t>
  </si>
  <si>
    <t xml:space="preserve">INV30279</t>
  </si>
  <si>
    <t xml:space="preserve">INV30280</t>
  </si>
  <si>
    <t xml:space="preserve">INV30281</t>
  </si>
  <si>
    <t xml:space="preserve">INV30282</t>
  </si>
  <si>
    <t xml:space="preserve">INV30283</t>
  </si>
  <si>
    <t xml:space="preserve">INV30284</t>
  </si>
  <si>
    <t xml:space="preserve">INV30285</t>
  </si>
  <si>
    <t xml:space="preserve">INV30286</t>
  </si>
  <si>
    <t xml:space="preserve">INV30287</t>
  </si>
  <si>
    <t xml:space="preserve">INV30288</t>
  </si>
  <si>
    <t xml:space="preserve">INV30289</t>
  </si>
  <si>
    <t xml:space="preserve">INV30290</t>
  </si>
  <si>
    <t xml:space="preserve">INV30291</t>
  </si>
  <si>
    <t xml:space="preserve">INV30292</t>
  </si>
  <si>
    <t xml:space="preserve">INV30293</t>
  </si>
  <si>
    <t xml:space="preserve">INV30294</t>
  </si>
  <si>
    <t xml:space="preserve">INV30295</t>
  </si>
  <si>
    <t xml:space="preserve">INV30296</t>
  </si>
  <si>
    <t xml:space="preserve">INV30297</t>
  </si>
  <si>
    <t xml:space="preserve">INV30298</t>
  </si>
  <si>
    <t xml:space="preserve">INV30299</t>
  </si>
  <si>
    <t xml:space="preserve">INV30300</t>
  </si>
  <si>
    <t xml:space="preserve">INV30301</t>
  </si>
  <si>
    <t xml:space="preserve">INV30302</t>
  </si>
  <si>
    <t xml:space="preserve">INV30303</t>
  </si>
  <si>
    <t xml:space="preserve">INV30304</t>
  </si>
  <si>
    <t xml:space="preserve">INV30305</t>
  </si>
  <si>
    <t xml:space="preserve">INV30306</t>
  </si>
  <si>
    <t xml:space="preserve">INV30307</t>
  </si>
  <si>
    <t xml:space="preserve">INV30308</t>
  </si>
  <si>
    <t xml:space="preserve">INV30309</t>
  </si>
  <si>
    <t xml:space="preserve">INV30310</t>
  </si>
  <si>
    <t xml:space="preserve">INV30311</t>
  </si>
  <si>
    <t xml:space="preserve">INV30312</t>
  </si>
  <si>
    <t xml:space="preserve">INV30313</t>
  </si>
  <si>
    <t xml:space="preserve">INV30314</t>
  </si>
  <si>
    <t xml:space="preserve">INV30315</t>
  </si>
  <si>
    <t xml:space="preserve">INV30316</t>
  </si>
  <si>
    <t xml:space="preserve">INV30317</t>
  </si>
  <si>
    <t xml:space="preserve">INV30318</t>
  </si>
  <si>
    <t xml:space="preserve">INV30319</t>
  </si>
  <si>
    <t xml:space="preserve">INV30320</t>
  </si>
  <si>
    <t xml:space="preserve">INV30321</t>
  </si>
  <si>
    <t xml:space="preserve">INV30322</t>
  </si>
  <si>
    <t xml:space="preserve">INV30323</t>
  </si>
  <si>
    <t xml:space="preserve">INV30324</t>
  </si>
  <si>
    <t xml:space="preserve">INV30325</t>
  </si>
  <si>
    <t xml:space="preserve">INV30326</t>
  </si>
  <si>
    <t xml:space="preserve">INV30327</t>
  </si>
  <si>
    <t xml:space="preserve">INV30328</t>
  </si>
  <si>
    <t xml:space="preserve">INV30329</t>
  </si>
  <si>
    <t xml:space="preserve">INV30330</t>
  </si>
  <si>
    <t xml:space="preserve">INV30331</t>
  </si>
  <si>
    <t xml:space="preserve">INV30332</t>
  </si>
  <si>
    <t xml:space="preserve">INV30333</t>
  </si>
  <si>
    <t xml:space="preserve">INV30334</t>
  </si>
  <si>
    <t xml:space="preserve">INV30335</t>
  </si>
  <si>
    <t xml:space="preserve">INV30336</t>
  </si>
  <si>
    <t xml:space="preserve">INV30337</t>
  </si>
  <si>
    <t xml:space="preserve">INV30338</t>
  </si>
  <si>
    <t xml:space="preserve">INV30339</t>
  </si>
  <si>
    <t xml:space="preserve">INV30340</t>
  </si>
  <si>
    <t xml:space="preserve">INV30341</t>
  </si>
  <si>
    <t xml:space="preserve">INV30342</t>
  </si>
  <si>
    <t xml:space="preserve">INV30343</t>
  </si>
  <si>
    <t xml:space="preserve">INV30344</t>
  </si>
  <si>
    <t xml:space="preserve">INV30345</t>
  </si>
  <si>
    <t xml:space="preserve">INV30346</t>
  </si>
  <si>
    <t xml:space="preserve">INV30347</t>
  </si>
  <si>
    <t xml:space="preserve">INV30348</t>
  </si>
  <si>
    <t xml:space="preserve">INV30349</t>
  </si>
  <si>
    <t xml:space="preserve">INV30350</t>
  </si>
  <si>
    <t xml:space="preserve">INV30351</t>
  </si>
  <si>
    <t xml:space="preserve">INV30352</t>
  </si>
  <si>
    <t xml:space="preserve">INV30353</t>
  </si>
  <si>
    <t xml:space="preserve">INV30354</t>
  </si>
  <si>
    <t xml:space="preserve">INV30355</t>
  </si>
  <si>
    <t xml:space="preserve">INV30356</t>
  </si>
  <si>
    <t xml:space="preserve">INV30357</t>
  </si>
  <si>
    <t xml:space="preserve">INV30358</t>
  </si>
  <si>
    <t xml:space="preserve">INV30359</t>
  </si>
  <si>
    <t xml:space="preserve">INV30360</t>
  </si>
  <si>
    <t xml:space="preserve">INV30361</t>
  </si>
  <si>
    <t xml:space="preserve">INV30362</t>
  </si>
  <si>
    <t xml:space="preserve">INV30363</t>
  </si>
  <si>
    <t xml:space="preserve">INV30364</t>
  </si>
  <si>
    <t xml:space="preserve">INV30365</t>
  </si>
  <si>
    <t xml:space="preserve">INV30366</t>
  </si>
  <si>
    <t xml:space="preserve">INV30367</t>
  </si>
  <si>
    <t xml:space="preserve">INV30368</t>
  </si>
  <si>
    <t xml:space="preserve">INV30369</t>
  </si>
  <si>
    <t xml:space="preserve">INV30370</t>
  </si>
  <si>
    <t xml:space="preserve">INV30371</t>
  </si>
  <si>
    <t xml:space="preserve">INV30372</t>
  </si>
  <si>
    <t xml:space="preserve">INV30373</t>
  </si>
  <si>
    <t xml:space="preserve">INV30374</t>
  </si>
  <si>
    <t xml:space="preserve">INV30375</t>
  </si>
  <si>
    <t xml:space="preserve">INV30376</t>
  </si>
  <si>
    <t xml:space="preserve">INV30377</t>
  </si>
  <si>
    <t xml:space="preserve">INV30378</t>
  </si>
  <si>
    <t xml:space="preserve">INV30379</t>
  </si>
  <si>
    <t xml:space="preserve">INV30380</t>
  </si>
  <si>
    <t xml:space="preserve">INV30381</t>
  </si>
  <si>
    <t xml:space="preserve">INV30382</t>
  </si>
  <si>
    <t xml:space="preserve">INV30383</t>
  </si>
  <si>
    <t xml:space="preserve">INV30384</t>
  </si>
  <si>
    <t xml:space="preserve">INV30385</t>
  </si>
  <si>
    <t xml:space="preserve">INV30386</t>
  </si>
  <si>
    <t xml:space="preserve">INV30387</t>
  </si>
  <si>
    <t xml:space="preserve">INV30388</t>
  </si>
  <si>
    <t xml:space="preserve">INV30389</t>
  </si>
  <si>
    <t xml:space="preserve">INV30390</t>
  </si>
  <si>
    <t xml:space="preserve">INV30391</t>
  </si>
  <si>
    <t xml:space="preserve">INV30392</t>
  </si>
  <si>
    <t xml:space="preserve">INV30393</t>
  </si>
  <si>
    <t xml:space="preserve">INV30394</t>
  </si>
  <si>
    <t xml:space="preserve">INV30395</t>
  </si>
  <si>
    <t xml:space="preserve">INV30396</t>
  </si>
  <si>
    <t xml:space="preserve">INV30397</t>
  </si>
  <si>
    <t xml:space="preserve">INV30398</t>
  </si>
  <si>
    <t xml:space="preserve">INV30399</t>
  </si>
  <si>
    <t xml:space="preserve">INV30400</t>
  </si>
  <si>
    <t xml:space="preserve">INV30401</t>
  </si>
  <si>
    <t xml:space="preserve">INV30402</t>
  </si>
  <si>
    <t xml:space="preserve">INV30403</t>
  </si>
  <si>
    <t xml:space="preserve">INV30404</t>
  </si>
  <si>
    <t xml:space="preserve">INV30405</t>
  </si>
  <si>
    <t xml:space="preserve">INV30406</t>
  </si>
  <si>
    <t xml:space="preserve">INV30407</t>
  </si>
  <si>
    <t xml:space="preserve">INV30408</t>
  </si>
  <si>
    <t xml:space="preserve">INV30409</t>
  </si>
  <si>
    <t xml:space="preserve">INV30410</t>
  </si>
  <si>
    <t xml:space="preserve">INV30411</t>
  </si>
  <si>
    <t xml:space="preserve">INV30412</t>
  </si>
  <si>
    <t xml:space="preserve">INV30413</t>
  </si>
  <si>
    <t xml:space="preserve">INV30414</t>
  </si>
  <si>
    <t xml:space="preserve">INV30415</t>
  </si>
  <si>
    <t xml:space="preserve">INV30416</t>
  </si>
  <si>
    <t xml:space="preserve">INV30417</t>
  </si>
  <si>
    <t xml:space="preserve">INV30418</t>
  </si>
  <si>
    <t xml:space="preserve">INV30419</t>
  </si>
  <si>
    <t xml:space="preserve">INV30420</t>
  </si>
  <si>
    <t xml:space="preserve">INV30421</t>
  </si>
  <si>
    <t xml:space="preserve">INV30422</t>
  </si>
  <si>
    <t xml:space="preserve">INV30423</t>
  </si>
  <si>
    <t xml:space="preserve">INV30424</t>
  </si>
  <si>
    <t xml:space="preserve">INV30425</t>
  </si>
  <si>
    <t xml:space="preserve">INV30426</t>
  </si>
  <si>
    <t xml:space="preserve">INV30427</t>
  </si>
  <si>
    <t xml:space="preserve">INV30428</t>
  </si>
  <si>
    <t xml:space="preserve">INV30429</t>
  </si>
  <si>
    <t xml:space="preserve">INV30430</t>
  </si>
  <si>
    <t xml:space="preserve">INV30431</t>
  </si>
  <si>
    <t xml:space="preserve">INV30432</t>
  </si>
  <si>
    <t xml:space="preserve">INV30433</t>
  </si>
  <si>
    <t xml:space="preserve">INV30434</t>
  </si>
  <si>
    <t xml:space="preserve">INV30435</t>
  </si>
  <si>
    <t xml:space="preserve">INV30436</t>
  </si>
  <si>
    <t xml:space="preserve">INV30437</t>
  </si>
  <si>
    <t xml:space="preserve">INV30438</t>
  </si>
  <si>
    <t xml:space="preserve">INV30439</t>
  </si>
  <si>
    <t xml:space="preserve">INV30440</t>
  </si>
  <si>
    <t xml:space="preserve">INV30441</t>
  </si>
  <si>
    <t xml:space="preserve">INV30442</t>
  </si>
  <si>
    <t xml:space="preserve">INV30443</t>
  </si>
  <si>
    <t xml:space="preserve">INV30444</t>
  </si>
  <si>
    <t xml:space="preserve">INV30445</t>
  </si>
  <si>
    <t xml:space="preserve">INV30446</t>
  </si>
  <si>
    <t xml:space="preserve">INV30447</t>
  </si>
  <si>
    <t xml:space="preserve">INV30448</t>
  </si>
  <si>
    <t xml:space="preserve">INV30449</t>
  </si>
  <si>
    <t xml:space="preserve">INV30450</t>
  </si>
  <si>
    <t xml:space="preserve">INV30451</t>
  </si>
  <si>
    <t xml:space="preserve">INV30452</t>
  </si>
  <si>
    <t xml:space="preserve">INV30453</t>
  </si>
  <si>
    <t xml:space="preserve">INV30454</t>
  </si>
  <si>
    <t xml:space="preserve">INV30455</t>
  </si>
  <si>
    <t xml:space="preserve">INV30456</t>
  </si>
  <si>
    <t xml:space="preserve">INV30457</t>
  </si>
  <si>
    <t xml:space="preserve">INV30458</t>
  </si>
  <si>
    <t xml:space="preserve">INV30459</t>
  </si>
  <si>
    <t xml:space="preserve">INV30460</t>
  </si>
  <si>
    <t xml:space="preserve">INV30461</t>
  </si>
  <si>
    <t xml:space="preserve">INV30462</t>
  </si>
  <si>
    <t xml:space="preserve">INV30463</t>
  </si>
  <si>
    <t xml:space="preserve">INV30464</t>
  </si>
  <si>
    <t xml:space="preserve">INV30465</t>
  </si>
  <si>
    <t xml:space="preserve">INV30466</t>
  </si>
  <si>
    <t xml:space="preserve">INV30467</t>
  </si>
  <si>
    <t xml:space="preserve">INV30468</t>
  </si>
  <si>
    <t xml:space="preserve">INV30469</t>
  </si>
  <si>
    <t xml:space="preserve">INV30470</t>
  </si>
  <si>
    <t xml:space="preserve">INV30471</t>
  </si>
  <si>
    <t xml:space="preserve">INV30472</t>
  </si>
  <si>
    <t xml:space="preserve">INV30473</t>
  </si>
  <si>
    <t xml:space="preserve">INV30474</t>
  </si>
  <si>
    <t xml:space="preserve">INV30475</t>
  </si>
  <si>
    <t xml:space="preserve">INV30476</t>
  </si>
  <si>
    <t xml:space="preserve">INV30477</t>
  </si>
  <si>
    <t xml:space="preserve">INV30478</t>
  </si>
  <si>
    <t xml:space="preserve">INV30479</t>
  </si>
  <si>
    <t xml:space="preserve">INV30480</t>
  </si>
  <si>
    <t xml:space="preserve">INV30481</t>
  </si>
  <si>
    <t xml:space="preserve">INV30482</t>
  </si>
  <si>
    <t xml:space="preserve">INV30483</t>
  </si>
  <si>
    <t xml:space="preserve">INV30484</t>
  </si>
  <si>
    <t xml:space="preserve">INV30485</t>
  </si>
  <si>
    <t xml:space="preserve">INV30486</t>
  </si>
  <si>
    <t xml:space="preserve">INV30487</t>
  </si>
  <si>
    <t xml:space="preserve">INV30488</t>
  </si>
  <si>
    <t xml:space="preserve">INV30489</t>
  </si>
  <si>
    <t xml:space="preserve">INV30490</t>
  </si>
  <si>
    <t xml:space="preserve">INV30491</t>
  </si>
  <si>
    <t xml:space="preserve">INV30492</t>
  </si>
  <si>
    <t xml:space="preserve">INV30493</t>
  </si>
  <si>
    <t xml:space="preserve">INV30494</t>
  </si>
  <si>
    <t xml:space="preserve">INV30495</t>
  </si>
  <si>
    <t xml:space="preserve">INV30496</t>
  </si>
  <si>
    <t xml:space="preserve">INV30497</t>
  </si>
  <si>
    <t xml:space="preserve">INV30498</t>
  </si>
  <si>
    <t xml:space="preserve">INV30499</t>
  </si>
  <si>
    <t xml:space="preserve">INV30500</t>
  </si>
  <si>
    <t xml:space="preserve">INV30501</t>
  </si>
  <si>
    <t xml:space="preserve">INV30502</t>
  </si>
  <si>
    <t xml:space="preserve">INV30503</t>
  </si>
  <si>
    <t xml:space="preserve">INV30504</t>
  </si>
  <si>
    <t xml:space="preserve">INV30505</t>
  </si>
  <si>
    <t xml:space="preserve">INV30506</t>
  </si>
  <si>
    <t xml:space="preserve">INV30507</t>
  </si>
  <si>
    <t xml:space="preserve">INV30508</t>
  </si>
  <si>
    <t xml:space="preserve">INV30509</t>
  </si>
  <si>
    <t xml:space="preserve">INV30510</t>
  </si>
  <si>
    <t xml:space="preserve">INV30511</t>
  </si>
  <si>
    <t xml:space="preserve">INV30512</t>
  </si>
  <si>
    <t xml:space="preserve">INV30513</t>
  </si>
  <si>
    <t xml:space="preserve">INV30514</t>
  </si>
  <si>
    <t xml:space="preserve">INV30515</t>
  </si>
  <si>
    <t xml:space="preserve">INV30516</t>
  </si>
  <si>
    <t xml:space="preserve">INV30517</t>
  </si>
  <si>
    <t xml:space="preserve">INV30518</t>
  </si>
  <si>
    <t xml:space="preserve">INV30519</t>
  </si>
  <si>
    <t xml:space="preserve">INV30520</t>
  </si>
  <si>
    <t xml:space="preserve">INV30521</t>
  </si>
  <si>
    <t xml:space="preserve">INV30522</t>
  </si>
  <si>
    <t xml:space="preserve">INV30523</t>
  </si>
  <si>
    <t xml:space="preserve">INV30524</t>
  </si>
  <si>
    <t xml:space="preserve">INV30525</t>
  </si>
  <si>
    <t xml:space="preserve">INV30526</t>
  </si>
  <si>
    <t xml:space="preserve">INV30527</t>
  </si>
  <si>
    <t xml:space="preserve">INV30528</t>
  </si>
  <si>
    <t xml:space="preserve">INV30529</t>
  </si>
  <si>
    <t xml:space="preserve">INV30530</t>
  </si>
  <si>
    <t xml:space="preserve">INV30531</t>
  </si>
  <si>
    <t xml:space="preserve">INV30532</t>
  </si>
  <si>
    <t xml:space="preserve">INV30533</t>
  </si>
  <si>
    <t xml:space="preserve">INV30534</t>
  </si>
  <si>
    <t xml:space="preserve">INV30535</t>
  </si>
  <si>
    <t xml:space="preserve">INV30536</t>
  </si>
  <si>
    <t xml:space="preserve">INV30537</t>
  </si>
  <si>
    <t xml:space="preserve">INV30538</t>
  </si>
  <si>
    <t xml:space="preserve">INV30539</t>
  </si>
  <si>
    <t xml:space="preserve">INV30540</t>
  </si>
  <si>
    <t xml:space="preserve">INV30541</t>
  </si>
  <si>
    <t xml:space="preserve">INV30542</t>
  </si>
  <si>
    <t xml:space="preserve">INV30543</t>
  </si>
  <si>
    <t xml:space="preserve">INV30544</t>
  </si>
  <si>
    <t xml:space="preserve">INV30545</t>
  </si>
  <si>
    <t xml:space="preserve">INV30546</t>
  </si>
  <si>
    <t xml:space="preserve">INV30547</t>
  </si>
  <si>
    <t xml:space="preserve">INV30548</t>
  </si>
  <si>
    <t xml:space="preserve">INV30549</t>
  </si>
  <si>
    <t xml:space="preserve">INV30550</t>
  </si>
  <si>
    <t xml:space="preserve">INV30551</t>
  </si>
  <si>
    <t xml:space="preserve">INV30552</t>
  </si>
  <si>
    <t xml:space="preserve">INV30553</t>
  </si>
  <si>
    <t xml:space="preserve">INV30554</t>
  </si>
  <si>
    <t xml:space="preserve">INV30555</t>
  </si>
  <si>
    <t xml:space="preserve">INV30556</t>
  </si>
  <si>
    <t xml:space="preserve">INV30557</t>
  </si>
  <si>
    <t xml:space="preserve">INV30558</t>
  </si>
  <si>
    <t xml:space="preserve">INV30559</t>
  </si>
  <si>
    <t xml:space="preserve">INV30560</t>
  </si>
  <si>
    <t xml:space="preserve">INV30561</t>
  </si>
  <si>
    <t xml:space="preserve">INV30562</t>
  </si>
  <si>
    <t xml:space="preserve">INV30563</t>
  </si>
  <si>
    <t xml:space="preserve">INV30564</t>
  </si>
  <si>
    <t xml:space="preserve">INV30565</t>
  </si>
  <si>
    <t xml:space="preserve">INV30566</t>
  </si>
  <si>
    <t xml:space="preserve">INV30567</t>
  </si>
  <si>
    <t xml:space="preserve">INV30568</t>
  </si>
  <si>
    <t xml:space="preserve">INV30569</t>
  </si>
  <si>
    <t xml:space="preserve">INV30570</t>
  </si>
  <si>
    <t xml:space="preserve">INV30571</t>
  </si>
  <si>
    <t xml:space="preserve">INV30572</t>
  </si>
  <si>
    <t xml:space="preserve">INV30573</t>
  </si>
  <si>
    <t xml:space="preserve">INV30574</t>
  </si>
  <si>
    <t xml:space="preserve">INV30575</t>
  </si>
  <si>
    <t xml:space="preserve">INV30576</t>
  </si>
  <si>
    <t xml:space="preserve">INV30577</t>
  </si>
  <si>
    <t xml:space="preserve">INV30578</t>
  </si>
  <si>
    <t xml:space="preserve">INV30579</t>
  </si>
  <si>
    <t xml:space="preserve">INV30580</t>
  </si>
  <si>
    <t xml:space="preserve">INV30581</t>
  </si>
  <si>
    <t xml:space="preserve">INV30582</t>
  </si>
  <si>
    <t xml:space="preserve">INV30583</t>
  </si>
  <si>
    <t xml:space="preserve">INV30584</t>
  </si>
  <si>
    <t xml:space="preserve">INV30585</t>
  </si>
  <si>
    <t xml:space="preserve">INV30586</t>
  </si>
  <si>
    <t xml:space="preserve">INV30587</t>
  </si>
  <si>
    <t xml:space="preserve">INV30588</t>
  </si>
  <si>
    <t xml:space="preserve">INV30589</t>
  </si>
  <si>
    <t xml:space="preserve">INV30590</t>
  </si>
  <si>
    <t xml:space="preserve">INV30591</t>
  </si>
  <si>
    <t xml:space="preserve">INV30592</t>
  </si>
  <si>
    <t xml:space="preserve">INV30593</t>
  </si>
  <si>
    <t xml:space="preserve">INV30594</t>
  </si>
  <si>
    <t xml:space="preserve">INV30595</t>
  </si>
  <si>
    <t xml:space="preserve">INV30596</t>
  </si>
  <si>
    <t xml:space="preserve">INV30597</t>
  </si>
  <si>
    <t xml:space="preserve">INV30598</t>
  </si>
  <si>
    <t xml:space="preserve">INV30599</t>
  </si>
  <si>
    <t xml:space="preserve">INV30600</t>
  </si>
  <si>
    <t xml:space="preserve">INV30601</t>
  </si>
  <si>
    <t xml:space="preserve">INV30602</t>
  </si>
  <si>
    <t xml:space="preserve">INV30603</t>
  </si>
  <si>
    <t xml:space="preserve">INV30604</t>
  </si>
  <si>
    <t xml:space="preserve">INV30605</t>
  </si>
  <si>
    <t xml:space="preserve">INV30606</t>
  </si>
  <si>
    <t xml:space="preserve">INV30607</t>
  </si>
  <si>
    <t xml:space="preserve">INV30608</t>
  </si>
  <si>
    <t xml:space="preserve">INV30609</t>
  </si>
  <si>
    <t xml:space="preserve">INV30610</t>
  </si>
  <si>
    <t xml:space="preserve">INV30611</t>
  </si>
  <si>
    <t xml:space="preserve">INV30612</t>
  </si>
  <si>
    <t xml:space="preserve">INV30613</t>
  </si>
  <si>
    <t xml:space="preserve">INV30614</t>
  </si>
  <si>
    <t xml:space="preserve">INV30615</t>
  </si>
  <si>
    <t xml:space="preserve">INV30616</t>
  </si>
  <si>
    <t xml:space="preserve">INV30617</t>
  </si>
  <si>
    <t xml:space="preserve">INV30618</t>
  </si>
  <si>
    <t xml:space="preserve">INV30619</t>
  </si>
  <si>
    <t xml:space="preserve">INV30620</t>
  </si>
  <si>
    <t xml:space="preserve">INV30621</t>
  </si>
  <si>
    <t xml:space="preserve">INV30622</t>
  </si>
  <si>
    <t xml:space="preserve">INV30623</t>
  </si>
  <si>
    <t xml:space="preserve">INV30624</t>
  </si>
  <si>
    <t xml:space="preserve">INV30625</t>
  </si>
  <si>
    <t xml:space="preserve">INV30626</t>
  </si>
  <si>
    <t xml:space="preserve">INV30627</t>
  </si>
  <si>
    <t xml:space="preserve">INV30628</t>
  </si>
  <si>
    <t xml:space="preserve">INV30629</t>
  </si>
  <si>
    <t xml:space="preserve">INV30630</t>
  </si>
  <si>
    <t xml:space="preserve">INV30631</t>
  </si>
  <si>
    <t xml:space="preserve">INV30632</t>
  </si>
  <si>
    <t xml:space="preserve">INV30633</t>
  </si>
  <si>
    <t xml:space="preserve">INV30634</t>
  </si>
  <si>
    <t xml:space="preserve">INV30635</t>
  </si>
  <si>
    <t xml:space="preserve">INV30636</t>
  </si>
  <si>
    <t xml:space="preserve">INV30637</t>
  </si>
  <si>
    <t xml:space="preserve">INV30638</t>
  </si>
  <si>
    <t xml:space="preserve">INV30639</t>
  </si>
  <si>
    <t xml:space="preserve">INV30640</t>
  </si>
  <si>
    <t xml:space="preserve">INV30641</t>
  </si>
  <si>
    <t xml:space="preserve">INV30642</t>
  </si>
  <si>
    <t xml:space="preserve">INV30643</t>
  </si>
  <si>
    <t xml:space="preserve">INV30644</t>
  </si>
  <si>
    <t xml:space="preserve">INV30645</t>
  </si>
  <si>
    <t xml:space="preserve">INV30646</t>
  </si>
  <si>
    <t xml:space="preserve">INV30647</t>
  </si>
  <si>
    <t xml:space="preserve">INV30648</t>
  </si>
  <si>
    <t xml:space="preserve">INV30649</t>
  </si>
  <si>
    <t xml:space="preserve">INV30650</t>
  </si>
  <si>
    <t xml:space="preserve">INV30651</t>
  </si>
  <si>
    <t xml:space="preserve">INV30652</t>
  </si>
  <si>
    <t xml:space="preserve">INV30653</t>
  </si>
  <si>
    <t xml:space="preserve">INV30654</t>
  </si>
  <si>
    <t xml:space="preserve">INV30655</t>
  </si>
  <si>
    <t xml:space="preserve">INV30656</t>
  </si>
  <si>
    <t xml:space="preserve">INV30657</t>
  </si>
  <si>
    <t xml:space="preserve">INV30658</t>
  </si>
  <si>
    <t xml:space="preserve">INV30659</t>
  </si>
  <si>
    <t xml:space="preserve">INV30660</t>
  </si>
  <si>
    <t xml:space="preserve">INV30661</t>
  </si>
  <si>
    <t xml:space="preserve">INV30662</t>
  </si>
  <si>
    <t xml:space="preserve">INV30663</t>
  </si>
  <si>
    <t xml:space="preserve">INV30664</t>
  </si>
  <si>
    <t xml:space="preserve">INV30665</t>
  </si>
  <si>
    <t xml:space="preserve">INV30666</t>
  </si>
  <si>
    <t xml:space="preserve">INV30667</t>
  </si>
  <si>
    <t xml:space="preserve">INV30668</t>
  </si>
  <si>
    <t xml:space="preserve">INV30669</t>
  </si>
  <si>
    <t xml:space="preserve">INV30670</t>
  </si>
  <si>
    <t xml:space="preserve">INV30671</t>
  </si>
  <si>
    <t xml:space="preserve">INV30672</t>
  </si>
  <si>
    <t xml:space="preserve">INV30673</t>
  </si>
  <si>
    <t xml:space="preserve">INV30674</t>
  </si>
  <si>
    <t xml:space="preserve">INV30675</t>
  </si>
  <si>
    <t xml:space="preserve">INV30676</t>
  </si>
  <si>
    <t xml:space="preserve">INV30677</t>
  </si>
  <si>
    <t xml:space="preserve">INV30678</t>
  </si>
  <si>
    <t xml:space="preserve">INV30679</t>
  </si>
  <si>
    <t xml:space="preserve">INV30680</t>
  </si>
  <si>
    <t xml:space="preserve">INV30681</t>
  </si>
  <si>
    <t xml:space="preserve">INV30682</t>
  </si>
  <si>
    <t xml:space="preserve">INV30683</t>
  </si>
  <si>
    <t xml:space="preserve">INV30684</t>
  </si>
  <si>
    <t xml:space="preserve">INV30685</t>
  </si>
  <si>
    <t xml:space="preserve">INV30686</t>
  </si>
  <si>
    <t xml:space="preserve">INV30687</t>
  </si>
  <si>
    <t xml:space="preserve">INV30688</t>
  </si>
  <si>
    <t xml:space="preserve">INV30689</t>
  </si>
  <si>
    <t xml:space="preserve">INV30690</t>
  </si>
  <si>
    <t xml:space="preserve">INV30691</t>
  </si>
  <si>
    <t xml:space="preserve">INV30692</t>
  </si>
  <si>
    <t xml:space="preserve">INV30693</t>
  </si>
  <si>
    <t xml:space="preserve">INV30694</t>
  </si>
  <si>
    <t xml:space="preserve">INV30695</t>
  </si>
  <si>
    <t xml:space="preserve">INV30696</t>
  </si>
  <si>
    <t xml:space="preserve">INV30697</t>
  </si>
  <si>
    <t xml:space="preserve">INV30698</t>
  </si>
  <si>
    <t xml:space="preserve">INV30699</t>
  </si>
  <si>
    <t xml:space="preserve">INV30700</t>
  </si>
  <si>
    <t xml:space="preserve">INV30701</t>
  </si>
  <si>
    <t xml:space="preserve">INV30702</t>
  </si>
  <si>
    <t xml:space="preserve">INV30703</t>
  </si>
  <si>
    <t xml:space="preserve">INV30704</t>
  </si>
  <si>
    <t xml:space="preserve">INV30705</t>
  </si>
  <si>
    <t xml:space="preserve">INV30706</t>
  </si>
  <si>
    <t xml:space="preserve">INV30707</t>
  </si>
  <si>
    <t xml:space="preserve">INV30708</t>
  </si>
  <si>
    <t xml:space="preserve">INV30709</t>
  </si>
  <si>
    <t xml:space="preserve">INV30710</t>
  </si>
  <si>
    <t xml:space="preserve">INV30711</t>
  </si>
  <si>
    <t xml:space="preserve">INV30712</t>
  </si>
  <si>
    <t xml:space="preserve">INV30713</t>
  </si>
  <si>
    <t xml:space="preserve">INV30714</t>
  </si>
  <si>
    <t xml:space="preserve">INV30715</t>
  </si>
  <si>
    <t xml:space="preserve">INV30716</t>
  </si>
  <si>
    <t xml:space="preserve">INV30717</t>
  </si>
  <si>
    <t xml:space="preserve">INV30718</t>
  </si>
  <si>
    <t xml:space="preserve">INV30719</t>
  </si>
  <si>
    <t xml:space="preserve">INV30720</t>
  </si>
  <si>
    <t xml:space="preserve">INV30721</t>
  </si>
  <si>
    <t xml:space="preserve">INV30722</t>
  </si>
  <si>
    <t xml:space="preserve">INV30723</t>
  </si>
  <si>
    <t xml:space="preserve">INV30724</t>
  </si>
  <si>
    <t xml:space="preserve">INV30725</t>
  </si>
  <si>
    <t xml:space="preserve">INV30726</t>
  </si>
  <si>
    <t xml:space="preserve">INV30727</t>
  </si>
  <si>
    <t xml:space="preserve">INV30728</t>
  </si>
  <si>
    <t xml:space="preserve">INV30729</t>
  </si>
  <si>
    <t xml:space="preserve">INV30730</t>
  </si>
  <si>
    <t xml:space="preserve">INV30731</t>
  </si>
  <si>
    <t xml:space="preserve">INV30732</t>
  </si>
  <si>
    <t xml:space="preserve">INV30733</t>
  </si>
  <si>
    <t xml:space="preserve">INV30734</t>
  </si>
  <si>
    <t xml:space="preserve">INV30735</t>
  </si>
  <si>
    <t xml:space="preserve">INV30736</t>
  </si>
  <si>
    <t xml:space="preserve">INV30737</t>
  </si>
  <si>
    <t xml:space="preserve">INV30738</t>
  </si>
  <si>
    <t xml:space="preserve">INV30739</t>
  </si>
  <si>
    <t xml:space="preserve">INV30740</t>
  </si>
  <si>
    <t xml:space="preserve">INV30741</t>
  </si>
  <si>
    <t xml:space="preserve">INV30742</t>
  </si>
  <si>
    <t xml:space="preserve">INV30743</t>
  </si>
  <si>
    <t xml:space="preserve">INV30744</t>
  </si>
  <si>
    <t xml:space="preserve">INV30745</t>
  </si>
  <si>
    <t xml:space="preserve">INV30746</t>
  </si>
  <si>
    <t xml:space="preserve">INV30747</t>
  </si>
  <si>
    <t xml:space="preserve">INV30748</t>
  </si>
  <si>
    <t xml:space="preserve">INV30749</t>
  </si>
  <si>
    <t xml:space="preserve">INV30750</t>
  </si>
  <si>
    <t xml:space="preserve">INV30751</t>
  </si>
  <si>
    <t xml:space="preserve">INV30752</t>
  </si>
  <si>
    <t xml:space="preserve">INV30753</t>
  </si>
  <si>
    <t xml:space="preserve">INV30754</t>
  </si>
  <si>
    <t xml:space="preserve">INV30755</t>
  </si>
  <si>
    <t xml:space="preserve">INV30756</t>
  </si>
  <si>
    <t xml:space="preserve">INV30757</t>
  </si>
  <si>
    <t xml:space="preserve">INV30758</t>
  </si>
  <si>
    <t xml:space="preserve">INV30759</t>
  </si>
  <si>
    <t xml:space="preserve">INV30760</t>
  </si>
  <si>
    <t xml:space="preserve">INV30761</t>
  </si>
  <si>
    <t xml:space="preserve">INV30762</t>
  </si>
  <si>
    <t xml:space="preserve">INV30763</t>
  </si>
  <si>
    <t xml:space="preserve">INV30764</t>
  </si>
  <si>
    <t xml:space="preserve">INV30765</t>
  </si>
  <si>
    <t xml:space="preserve">INV30766</t>
  </si>
  <si>
    <t xml:space="preserve">INV30767</t>
  </si>
  <si>
    <t xml:space="preserve">INV30768</t>
  </si>
  <si>
    <t xml:space="preserve">INV30769</t>
  </si>
  <si>
    <t xml:space="preserve">INV30770</t>
  </si>
  <si>
    <t xml:space="preserve">INV30771</t>
  </si>
  <si>
    <t xml:space="preserve">INV30772</t>
  </si>
  <si>
    <t xml:space="preserve">INV30773</t>
  </si>
  <si>
    <t xml:space="preserve">INV30774</t>
  </si>
  <si>
    <t xml:space="preserve">INV30775</t>
  </si>
  <si>
    <t xml:space="preserve">INV30776</t>
  </si>
  <si>
    <t xml:space="preserve">INV30777</t>
  </si>
  <si>
    <t xml:space="preserve">INV30778</t>
  </si>
  <si>
    <t xml:space="preserve">INV30779</t>
  </si>
  <si>
    <t xml:space="preserve">INV30780</t>
  </si>
  <si>
    <t xml:space="preserve">INV30781</t>
  </si>
  <si>
    <t xml:space="preserve">INV30782</t>
  </si>
  <si>
    <t xml:space="preserve">INV30783</t>
  </si>
  <si>
    <t xml:space="preserve">INV30784</t>
  </si>
  <si>
    <t xml:space="preserve">INV30785</t>
  </si>
  <si>
    <t xml:space="preserve">INV30786</t>
  </si>
  <si>
    <t xml:space="preserve">INV30787</t>
  </si>
  <si>
    <t xml:space="preserve">INV30788</t>
  </si>
  <si>
    <t xml:space="preserve">INV30789</t>
  </si>
  <si>
    <t xml:space="preserve">INV30790</t>
  </si>
  <si>
    <t xml:space="preserve">INV30791</t>
  </si>
  <si>
    <t xml:space="preserve">INV30792</t>
  </si>
  <si>
    <t xml:space="preserve">INV30793</t>
  </si>
  <si>
    <t xml:space="preserve">INV30794</t>
  </si>
  <si>
    <t xml:space="preserve">INV30795</t>
  </si>
  <si>
    <t xml:space="preserve">INV30796</t>
  </si>
  <si>
    <t xml:space="preserve">INV30797</t>
  </si>
  <si>
    <t xml:space="preserve">INV30798</t>
  </si>
  <si>
    <t xml:space="preserve">INV30799</t>
  </si>
  <si>
    <t xml:space="preserve">INV30800</t>
  </si>
  <si>
    <t xml:space="preserve">INV30801</t>
  </si>
  <si>
    <t xml:space="preserve">INV30802</t>
  </si>
  <si>
    <t xml:space="preserve">INV30803</t>
  </si>
  <si>
    <t xml:space="preserve">INV30804</t>
  </si>
  <si>
    <t xml:space="preserve">INV30805</t>
  </si>
  <si>
    <t xml:space="preserve">INV30806</t>
  </si>
  <si>
    <t xml:space="preserve">INV30807</t>
  </si>
  <si>
    <t xml:space="preserve">INV30808</t>
  </si>
  <si>
    <t xml:space="preserve">INV30809</t>
  </si>
  <si>
    <t xml:space="preserve">INV30810</t>
  </si>
  <si>
    <t xml:space="preserve">INV30811</t>
  </si>
  <si>
    <t xml:space="preserve">INV30812</t>
  </si>
  <si>
    <t xml:space="preserve">INV30813</t>
  </si>
  <si>
    <t xml:space="preserve">INV30814</t>
  </si>
  <si>
    <t xml:space="preserve">INV30815</t>
  </si>
  <si>
    <t xml:space="preserve">INV30816</t>
  </si>
  <si>
    <t xml:space="preserve">INV30817</t>
  </si>
  <si>
    <t xml:space="preserve">INV30818</t>
  </si>
  <si>
    <t xml:space="preserve">INV30819</t>
  </si>
  <si>
    <t xml:space="preserve">INV30820</t>
  </si>
  <si>
    <t xml:space="preserve">INV30821</t>
  </si>
  <si>
    <t xml:space="preserve">INV30822</t>
  </si>
  <si>
    <t xml:space="preserve">INV30823</t>
  </si>
  <si>
    <t xml:space="preserve">INV30824</t>
  </si>
  <si>
    <t xml:space="preserve">INV30825</t>
  </si>
  <si>
    <t xml:space="preserve">INV30826</t>
  </si>
  <si>
    <t xml:space="preserve">INV30827</t>
  </si>
  <si>
    <t xml:space="preserve">INV30828</t>
  </si>
  <si>
    <t xml:space="preserve">INV30829</t>
  </si>
  <si>
    <t xml:space="preserve">INV30830</t>
  </si>
  <si>
    <t xml:space="preserve">INV30831</t>
  </si>
  <si>
    <t xml:space="preserve">INV30832</t>
  </si>
  <si>
    <t xml:space="preserve">INV30833</t>
  </si>
  <si>
    <t xml:space="preserve">INV30834</t>
  </si>
  <si>
    <t xml:space="preserve">INV30835</t>
  </si>
  <si>
    <t xml:space="preserve">INV30836</t>
  </si>
  <si>
    <t xml:space="preserve">INV30837</t>
  </si>
  <si>
    <t xml:space="preserve">INV30838</t>
  </si>
  <si>
    <t xml:space="preserve">INV30839</t>
  </si>
  <si>
    <t xml:space="preserve">INV30840</t>
  </si>
  <si>
    <t xml:space="preserve">INV30841</t>
  </si>
  <si>
    <t xml:space="preserve">INV30842</t>
  </si>
  <si>
    <t xml:space="preserve">INV30843</t>
  </si>
  <si>
    <t xml:space="preserve">INV30844</t>
  </si>
  <si>
    <t xml:space="preserve">INV30845</t>
  </si>
  <si>
    <t xml:space="preserve">INV30846</t>
  </si>
  <si>
    <t xml:space="preserve">INV30847</t>
  </si>
  <si>
    <t xml:space="preserve">INV30848</t>
  </si>
  <si>
    <t xml:space="preserve">INV30849</t>
  </si>
  <si>
    <t xml:space="preserve">INV30850</t>
  </si>
  <si>
    <t xml:space="preserve">INV30851</t>
  </si>
  <si>
    <t xml:space="preserve">INV30852</t>
  </si>
  <si>
    <t xml:space="preserve">INV30853</t>
  </si>
  <si>
    <t xml:space="preserve">INV30854</t>
  </si>
  <si>
    <t xml:space="preserve">INV30855</t>
  </si>
  <si>
    <t xml:space="preserve">INV30856</t>
  </si>
  <si>
    <t xml:space="preserve">INV30857</t>
  </si>
  <si>
    <t xml:space="preserve">INV30858</t>
  </si>
  <si>
    <t xml:space="preserve">INV30859</t>
  </si>
  <si>
    <t xml:space="preserve">INV30860</t>
  </si>
  <si>
    <t xml:space="preserve">INV30861</t>
  </si>
  <si>
    <t xml:space="preserve">INV30862</t>
  </si>
  <si>
    <t xml:space="preserve">INV30863</t>
  </si>
  <si>
    <t xml:space="preserve">INV30864</t>
  </si>
  <si>
    <t xml:space="preserve">INV30865</t>
  </si>
  <si>
    <t xml:space="preserve">INV30866</t>
  </si>
  <si>
    <t xml:space="preserve">INV30867</t>
  </si>
  <si>
    <t xml:space="preserve">INV30868</t>
  </si>
  <si>
    <t xml:space="preserve">INV30869</t>
  </si>
  <si>
    <t xml:space="preserve">INV30870</t>
  </si>
  <si>
    <t xml:space="preserve">INV30871</t>
  </si>
  <si>
    <t xml:space="preserve">INV30872</t>
  </si>
  <si>
    <t xml:space="preserve">INV30873</t>
  </si>
  <si>
    <t xml:space="preserve">INV30874</t>
  </si>
  <si>
    <t xml:space="preserve">INV30875</t>
  </si>
  <si>
    <t xml:space="preserve">INV30876</t>
  </si>
  <si>
    <t xml:space="preserve">INV30877</t>
  </si>
  <si>
    <t xml:space="preserve">INV30878</t>
  </si>
  <si>
    <t xml:space="preserve">INV30879</t>
  </si>
  <si>
    <t xml:space="preserve">INV30880</t>
  </si>
  <si>
    <t xml:space="preserve">INV30881</t>
  </si>
  <si>
    <t xml:space="preserve">Payment_ID</t>
  </si>
  <si>
    <t xml:space="preserve">Payment_Date</t>
  </si>
  <si>
    <t xml:space="preserve">Payment_Amount</t>
  </si>
  <si>
    <t xml:space="preserve">PAY40001</t>
  </si>
  <si>
    <t xml:space="preserve">PAY40002</t>
  </si>
  <si>
    <t xml:space="preserve">PAY40003</t>
  </si>
  <si>
    <t xml:space="preserve">PAY40004</t>
  </si>
  <si>
    <t xml:space="preserve">PAY40005</t>
  </si>
  <si>
    <t xml:space="preserve">PAY40006</t>
  </si>
  <si>
    <t xml:space="preserve">PAY40007</t>
  </si>
  <si>
    <t xml:space="preserve">PAY40008</t>
  </si>
  <si>
    <t xml:space="preserve">PAY40009</t>
  </si>
  <si>
    <t xml:space="preserve">PAY40010</t>
  </si>
  <si>
    <t xml:space="preserve">PAY40011</t>
  </si>
  <si>
    <t xml:space="preserve">PAY40012</t>
  </si>
  <si>
    <t xml:space="preserve">PAY40013</t>
  </si>
  <si>
    <t xml:space="preserve">PAY40014</t>
  </si>
  <si>
    <t xml:space="preserve">PAY40015</t>
  </si>
  <si>
    <t xml:space="preserve">PAY40016</t>
  </si>
  <si>
    <t xml:space="preserve">PAY40017</t>
  </si>
  <si>
    <t xml:space="preserve">PAY40018</t>
  </si>
  <si>
    <t xml:space="preserve">PAY40019</t>
  </si>
  <si>
    <t xml:space="preserve">PAY40020</t>
  </si>
  <si>
    <t xml:space="preserve">PAY40021</t>
  </si>
  <si>
    <t xml:space="preserve">PAY40022</t>
  </si>
  <si>
    <t xml:space="preserve">PAY40023</t>
  </si>
  <si>
    <t xml:space="preserve">PAY40024</t>
  </si>
  <si>
    <t xml:space="preserve">PAY40025</t>
  </si>
  <si>
    <t xml:space="preserve">PAY40026</t>
  </si>
  <si>
    <t xml:space="preserve">PAY40027</t>
  </si>
  <si>
    <t xml:space="preserve">PAY40028</t>
  </si>
  <si>
    <t xml:space="preserve">PAY40029</t>
  </si>
  <si>
    <t xml:space="preserve">PAY40030</t>
  </si>
  <si>
    <t xml:space="preserve">PAY40031</t>
  </si>
  <si>
    <t xml:space="preserve">PAY40032</t>
  </si>
  <si>
    <t xml:space="preserve">PAY40033</t>
  </si>
  <si>
    <t xml:space="preserve">PAY40034</t>
  </si>
  <si>
    <t xml:space="preserve">PAY40035</t>
  </si>
  <si>
    <t xml:space="preserve">PAY40036</t>
  </si>
  <si>
    <t xml:space="preserve">PAY40037</t>
  </si>
  <si>
    <t xml:space="preserve">PAY40038</t>
  </si>
  <si>
    <t xml:space="preserve">PAY40039</t>
  </si>
  <si>
    <t xml:space="preserve">PAY40040</t>
  </si>
  <si>
    <t xml:space="preserve">PAY40041</t>
  </si>
  <si>
    <t xml:space="preserve">PAY40042</t>
  </si>
  <si>
    <t xml:space="preserve">PAY40043</t>
  </si>
  <si>
    <t xml:space="preserve">PAY40044</t>
  </si>
  <si>
    <t xml:space="preserve">PAY40045</t>
  </si>
  <si>
    <t xml:space="preserve">PAY40046</t>
  </si>
  <si>
    <t xml:space="preserve">PAY40047</t>
  </si>
  <si>
    <t xml:space="preserve">PAY40048</t>
  </si>
  <si>
    <t xml:space="preserve">PAY40049</t>
  </si>
  <si>
    <t xml:space="preserve">PAY40050</t>
  </si>
  <si>
    <t xml:space="preserve">PAY40051</t>
  </si>
  <si>
    <t xml:space="preserve">PAY40052</t>
  </si>
  <si>
    <t xml:space="preserve">PAY40053</t>
  </si>
  <si>
    <t xml:space="preserve">PAY40054</t>
  </si>
  <si>
    <t xml:space="preserve">PAY40055</t>
  </si>
  <si>
    <t xml:space="preserve">PAY40056</t>
  </si>
  <si>
    <t xml:space="preserve">PAY40057</t>
  </si>
  <si>
    <t xml:space="preserve">PAY40058</t>
  </si>
  <si>
    <t xml:space="preserve">PAY40059</t>
  </si>
  <si>
    <t xml:space="preserve">PAY40060</t>
  </si>
  <si>
    <t xml:space="preserve">PAY40061</t>
  </si>
  <si>
    <t xml:space="preserve">PAY40062</t>
  </si>
  <si>
    <t xml:space="preserve">PAY40063</t>
  </si>
  <si>
    <t xml:space="preserve">PAY40064</t>
  </si>
  <si>
    <t xml:space="preserve">PAY40065</t>
  </si>
  <si>
    <t xml:space="preserve">PAY40066</t>
  </si>
  <si>
    <t xml:space="preserve">PAY40067</t>
  </si>
  <si>
    <t xml:space="preserve">PAY40068</t>
  </si>
  <si>
    <t xml:space="preserve">PAY40069</t>
  </si>
  <si>
    <t xml:space="preserve">PAY40070</t>
  </si>
  <si>
    <t xml:space="preserve">PAY40071</t>
  </si>
  <si>
    <t xml:space="preserve">PAY40072</t>
  </si>
  <si>
    <t xml:space="preserve">PAY40073</t>
  </si>
  <si>
    <t xml:space="preserve">PAY40074</t>
  </si>
  <si>
    <t xml:space="preserve">PAY40075</t>
  </si>
  <si>
    <t xml:space="preserve">PAY40076</t>
  </si>
  <si>
    <t xml:space="preserve">PAY40077</t>
  </si>
  <si>
    <t xml:space="preserve">PAY40078</t>
  </si>
  <si>
    <t xml:space="preserve">PAY40079</t>
  </si>
  <si>
    <t xml:space="preserve">PAY40080</t>
  </si>
  <si>
    <t xml:space="preserve">PAY40081</t>
  </si>
  <si>
    <t xml:space="preserve">PAY40082</t>
  </si>
  <si>
    <t xml:space="preserve">PAY40083</t>
  </si>
  <si>
    <t xml:space="preserve">PAY40084</t>
  </si>
  <si>
    <t xml:space="preserve">PAY40085</t>
  </si>
  <si>
    <t xml:space="preserve">PAY40086</t>
  </si>
  <si>
    <t xml:space="preserve">PAY40087</t>
  </si>
  <si>
    <t xml:space="preserve">PAY40088</t>
  </si>
  <si>
    <t xml:space="preserve">PAY40089</t>
  </si>
  <si>
    <t xml:space="preserve">PAY40090</t>
  </si>
  <si>
    <t xml:space="preserve">PAY40091</t>
  </si>
  <si>
    <t xml:space="preserve">PAY40092</t>
  </si>
  <si>
    <t xml:space="preserve">PAY40093</t>
  </si>
  <si>
    <t xml:space="preserve">PAY40094</t>
  </si>
  <si>
    <t xml:space="preserve">PAY40095</t>
  </si>
  <si>
    <t xml:space="preserve">PAY40096</t>
  </si>
  <si>
    <t xml:space="preserve">PAY40097</t>
  </si>
  <si>
    <t xml:space="preserve">PAY40098</t>
  </si>
  <si>
    <t xml:space="preserve">PAY40099</t>
  </si>
  <si>
    <t xml:space="preserve">PAY40100</t>
  </si>
  <si>
    <t xml:space="preserve">PAY40101</t>
  </si>
  <si>
    <t xml:space="preserve">PAY40102</t>
  </si>
  <si>
    <t xml:space="preserve">PAY40103</t>
  </si>
  <si>
    <t xml:space="preserve">PAY40104</t>
  </si>
  <si>
    <t xml:space="preserve">PAY40105</t>
  </si>
  <si>
    <t xml:space="preserve">PAY40106</t>
  </si>
  <si>
    <t xml:space="preserve">PAY40107</t>
  </si>
  <si>
    <t xml:space="preserve">PAY40108</t>
  </si>
  <si>
    <t xml:space="preserve">PAY40109</t>
  </si>
  <si>
    <t xml:space="preserve">PAY40110</t>
  </si>
  <si>
    <t xml:space="preserve">PAY40111</t>
  </si>
  <si>
    <t xml:space="preserve">PAY40112</t>
  </si>
  <si>
    <t xml:space="preserve">PAY40113</t>
  </si>
  <si>
    <t xml:space="preserve">PAY40114</t>
  </si>
  <si>
    <t xml:space="preserve">PAY40115</t>
  </si>
  <si>
    <t xml:space="preserve">PAY40116</t>
  </si>
  <si>
    <t xml:space="preserve">PAY40117</t>
  </si>
  <si>
    <t xml:space="preserve">PAY40118</t>
  </si>
  <si>
    <t xml:space="preserve">PAY40119</t>
  </si>
  <si>
    <t xml:space="preserve">PAY40120</t>
  </si>
  <si>
    <t xml:space="preserve">PAY40121</t>
  </si>
  <si>
    <t xml:space="preserve">PAY40122</t>
  </si>
  <si>
    <t xml:space="preserve">PAY40123</t>
  </si>
  <si>
    <t xml:space="preserve">PAY40124</t>
  </si>
  <si>
    <t xml:space="preserve">PAY40125</t>
  </si>
  <si>
    <t xml:space="preserve">PAY40126</t>
  </si>
  <si>
    <t xml:space="preserve">PAY40127</t>
  </si>
  <si>
    <t xml:space="preserve">PAY40128</t>
  </si>
  <si>
    <t xml:space="preserve">PAY40129</t>
  </si>
  <si>
    <t xml:space="preserve">PAY40130</t>
  </si>
  <si>
    <t xml:space="preserve">PAY40131</t>
  </si>
  <si>
    <t xml:space="preserve">PAY40132</t>
  </si>
  <si>
    <t xml:space="preserve">PAY40133</t>
  </si>
  <si>
    <t xml:space="preserve">PAY40134</t>
  </si>
  <si>
    <t xml:space="preserve">PAY40135</t>
  </si>
  <si>
    <t xml:space="preserve">PAY40136</t>
  </si>
  <si>
    <t xml:space="preserve">PAY40137</t>
  </si>
  <si>
    <t xml:space="preserve">PAY40138</t>
  </si>
  <si>
    <t xml:space="preserve">PAY40139</t>
  </si>
  <si>
    <t xml:space="preserve">PAY40140</t>
  </si>
  <si>
    <t xml:space="preserve">PAY40141</t>
  </si>
  <si>
    <t xml:space="preserve">PAY40142</t>
  </si>
  <si>
    <t xml:space="preserve">PAY40143</t>
  </si>
  <si>
    <t xml:space="preserve">PAY40144</t>
  </si>
  <si>
    <t xml:space="preserve">PAY40145</t>
  </si>
  <si>
    <t xml:space="preserve">PAY40146</t>
  </si>
  <si>
    <t xml:space="preserve">PAY40147</t>
  </si>
  <si>
    <t xml:space="preserve">PAY40148</t>
  </si>
  <si>
    <t xml:space="preserve">PAY40149</t>
  </si>
  <si>
    <t xml:space="preserve">PAY40150</t>
  </si>
  <si>
    <t xml:space="preserve">PAY40151</t>
  </si>
  <si>
    <t xml:space="preserve">PAY40152</t>
  </si>
  <si>
    <t xml:space="preserve">PAY40153</t>
  </si>
  <si>
    <t xml:space="preserve">PAY40154</t>
  </si>
  <si>
    <t xml:space="preserve">PAY40155</t>
  </si>
  <si>
    <t xml:space="preserve">PAY40156</t>
  </si>
  <si>
    <t xml:space="preserve">PAY40157</t>
  </si>
  <si>
    <t xml:space="preserve">PAY40158</t>
  </si>
  <si>
    <t xml:space="preserve">PAY40159</t>
  </si>
  <si>
    <t xml:space="preserve">PAY40160</t>
  </si>
  <si>
    <t xml:space="preserve">PAY40161</t>
  </si>
  <si>
    <t xml:space="preserve">PAY40162</t>
  </si>
  <si>
    <t xml:space="preserve">PAY40163</t>
  </si>
  <si>
    <t xml:space="preserve">PAY40164</t>
  </si>
  <si>
    <t xml:space="preserve">PAY40165</t>
  </si>
  <si>
    <t xml:space="preserve">PAY40166</t>
  </si>
  <si>
    <t xml:space="preserve">PAY40167</t>
  </si>
  <si>
    <t xml:space="preserve">PAY40168</t>
  </si>
  <si>
    <t xml:space="preserve">PAY40169</t>
  </si>
  <si>
    <t xml:space="preserve">PAY40170</t>
  </si>
  <si>
    <t xml:space="preserve">PAY40171</t>
  </si>
  <si>
    <t xml:space="preserve">PAY40172</t>
  </si>
  <si>
    <t xml:space="preserve">PAY40173</t>
  </si>
  <si>
    <t xml:space="preserve">PAY40174</t>
  </si>
  <si>
    <t xml:space="preserve">PAY40175</t>
  </si>
  <si>
    <t xml:space="preserve">PAY40176</t>
  </si>
  <si>
    <t xml:space="preserve">PAY40177</t>
  </si>
  <si>
    <t xml:space="preserve">PAY40178</t>
  </si>
  <si>
    <t xml:space="preserve">PAY40179</t>
  </si>
  <si>
    <t xml:space="preserve">PAY40180</t>
  </si>
  <si>
    <t xml:space="preserve">PAY40181</t>
  </si>
  <si>
    <t xml:space="preserve">PAY40182</t>
  </si>
  <si>
    <t xml:space="preserve">PAY40183</t>
  </si>
  <si>
    <t xml:space="preserve">PAY40184</t>
  </si>
  <si>
    <t xml:space="preserve">PAY40185</t>
  </si>
  <si>
    <t xml:space="preserve">PAY40186</t>
  </si>
  <si>
    <t xml:space="preserve">PAY40187</t>
  </si>
  <si>
    <t xml:space="preserve">PAY40188</t>
  </si>
  <si>
    <t xml:space="preserve">PAY40189</t>
  </si>
  <si>
    <t xml:space="preserve">PAY40190</t>
  </si>
  <si>
    <t xml:space="preserve">PAY40191</t>
  </si>
  <si>
    <t xml:space="preserve">PAY40192</t>
  </si>
  <si>
    <t xml:space="preserve">PAY40193</t>
  </si>
  <si>
    <t xml:space="preserve">PAY40194</t>
  </si>
  <si>
    <t xml:space="preserve">PAY40195</t>
  </si>
  <si>
    <t xml:space="preserve">PAY40196</t>
  </si>
  <si>
    <t xml:space="preserve">PAY40197</t>
  </si>
  <si>
    <t xml:space="preserve">PAY40198</t>
  </si>
  <si>
    <t xml:space="preserve">PAY40199</t>
  </si>
  <si>
    <t xml:space="preserve">PAY40200</t>
  </si>
  <si>
    <t xml:space="preserve">PAY40201</t>
  </si>
  <si>
    <t xml:space="preserve">PAY40202</t>
  </si>
  <si>
    <t xml:space="preserve">PAY40203</t>
  </si>
  <si>
    <t xml:space="preserve">PAY40204</t>
  </si>
  <si>
    <t xml:space="preserve">PAY40205</t>
  </si>
  <si>
    <t xml:space="preserve">PAY40206</t>
  </si>
  <si>
    <t xml:space="preserve">PAY40207</t>
  </si>
  <si>
    <t xml:space="preserve">PAY40208</t>
  </si>
  <si>
    <t xml:space="preserve">PAY40209</t>
  </si>
  <si>
    <t xml:space="preserve">PAY40210</t>
  </si>
  <si>
    <t xml:space="preserve">PAY40211</t>
  </si>
  <si>
    <t xml:space="preserve">PAY40212</t>
  </si>
  <si>
    <t xml:space="preserve">PAY40213</t>
  </si>
  <si>
    <t xml:space="preserve">PAY40214</t>
  </si>
  <si>
    <t xml:space="preserve">PAY40215</t>
  </si>
  <si>
    <t xml:space="preserve">PAY40216</t>
  </si>
  <si>
    <t xml:space="preserve">PAY40217</t>
  </si>
  <si>
    <t xml:space="preserve">PAY40218</t>
  </si>
  <si>
    <t xml:space="preserve">PAY40219</t>
  </si>
  <si>
    <t xml:space="preserve">PAY40220</t>
  </si>
  <si>
    <t xml:space="preserve">PAY40221</t>
  </si>
  <si>
    <t xml:space="preserve">PAY40222</t>
  </si>
  <si>
    <t xml:space="preserve">PAY40223</t>
  </si>
  <si>
    <t xml:space="preserve">PAY40224</t>
  </si>
  <si>
    <t xml:space="preserve">PAY40225</t>
  </si>
  <si>
    <t xml:space="preserve">PAY40226</t>
  </si>
  <si>
    <t xml:space="preserve">PAY40227</t>
  </si>
  <si>
    <t xml:space="preserve">PAY40228</t>
  </si>
  <si>
    <t xml:space="preserve">PAY40229</t>
  </si>
  <si>
    <t xml:space="preserve">PAY40230</t>
  </si>
  <si>
    <t xml:space="preserve">PAY40231</t>
  </si>
  <si>
    <t xml:space="preserve">PAY40232</t>
  </si>
  <si>
    <t xml:space="preserve">PAY40233</t>
  </si>
  <si>
    <t xml:space="preserve">PAY40234</t>
  </si>
  <si>
    <t xml:space="preserve">PAY40235</t>
  </si>
  <si>
    <t xml:space="preserve">PAY40236</t>
  </si>
  <si>
    <t xml:space="preserve">PAY40237</t>
  </si>
  <si>
    <t xml:space="preserve">PAY40238</t>
  </si>
  <si>
    <t xml:space="preserve">PAY40239</t>
  </si>
  <si>
    <t xml:space="preserve">PAY40240</t>
  </si>
  <si>
    <t xml:space="preserve">PAY40241</t>
  </si>
  <si>
    <t xml:space="preserve">PAY40242</t>
  </si>
  <si>
    <t xml:space="preserve">PAY40243</t>
  </si>
  <si>
    <t xml:space="preserve">PAY40244</t>
  </si>
  <si>
    <t xml:space="preserve">PAY40245</t>
  </si>
  <si>
    <t xml:space="preserve">PAY40246</t>
  </si>
  <si>
    <t xml:space="preserve">PAY40247</t>
  </si>
  <si>
    <t xml:space="preserve">PAY40248</t>
  </si>
  <si>
    <t xml:space="preserve">PAY40249</t>
  </si>
  <si>
    <t xml:space="preserve">PAY40250</t>
  </si>
  <si>
    <t xml:space="preserve">PAY40251</t>
  </si>
  <si>
    <t xml:space="preserve">PAY40252</t>
  </si>
  <si>
    <t xml:space="preserve">PAY40253</t>
  </si>
  <si>
    <t xml:space="preserve">PAY40254</t>
  </si>
  <si>
    <t xml:space="preserve">PAY40255</t>
  </si>
  <si>
    <t xml:space="preserve">PAY40256</t>
  </si>
  <si>
    <t xml:space="preserve">PAY40257</t>
  </si>
  <si>
    <t xml:space="preserve">PAY40258</t>
  </si>
  <si>
    <t xml:space="preserve">PAY40259</t>
  </si>
  <si>
    <t xml:space="preserve">PAY40260</t>
  </si>
  <si>
    <t xml:space="preserve">PAY40261</t>
  </si>
  <si>
    <t xml:space="preserve">PAY40262</t>
  </si>
  <si>
    <t xml:space="preserve">PAY40263</t>
  </si>
  <si>
    <t xml:space="preserve">PAY40264</t>
  </si>
  <si>
    <t xml:space="preserve">PAY40265</t>
  </si>
  <si>
    <t xml:space="preserve">PAY40266</t>
  </si>
  <si>
    <t xml:space="preserve">PAY40267</t>
  </si>
  <si>
    <t xml:space="preserve">PAY40268</t>
  </si>
  <si>
    <t xml:space="preserve">PAY40269</t>
  </si>
  <si>
    <t xml:space="preserve">PAY40270</t>
  </si>
  <si>
    <t xml:space="preserve">PAY40271</t>
  </si>
  <si>
    <t xml:space="preserve">PAY40272</t>
  </si>
  <si>
    <t xml:space="preserve">PAY40273</t>
  </si>
  <si>
    <t xml:space="preserve">PAY40274</t>
  </si>
  <si>
    <t xml:space="preserve">PAY40275</t>
  </si>
  <si>
    <t xml:space="preserve">PAY40276</t>
  </si>
  <si>
    <t xml:space="preserve">PAY40277</t>
  </si>
  <si>
    <t xml:space="preserve">PAY40278</t>
  </si>
  <si>
    <t xml:space="preserve">PAY40279</t>
  </si>
  <si>
    <t xml:space="preserve">PAY40280</t>
  </si>
  <si>
    <t xml:space="preserve">PAY40281</t>
  </si>
  <si>
    <t xml:space="preserve">PAY40282</t>
  </si>
  <si>
    <t xml:space="preserve">PAY40283</t>
  </si>
  <si>
    <t xml:space="preserve">PAY40284</t>
  </si>
  <si>
    <t xml:space="preserve">PAY40285</t>
  </si>
  <si>
    <t xml:space="preserve">PAY40286</t>
  </si>
  <si>
    <t xml:space="preserve">PAY40287</t>
  </si>
  <si>
    <t xml:space="preserve">PAY40288</t>
  </si>
  <si>
    <t xml:space="preserve">PAY40289</t>
  </si>
  <si>
    <t xml:space="preserve">PAY40290</t>
  </si>
  <si>
    <t xml:space="preserve">PAY40291</t>
  </si>
  <si>
    <t xml:space="preserve">PAY40292</t>
  </si>
  <si>
    <t xml:space="preserve">PAY40293</t>
  </si>
  <si>
    <t xml:space="preserve">PAY40294</t>
  </si>
  <si>
    <t xml:space="preserve">PAY40295</t>
  </si>
  <si>
    <t xml:space="preserve">PAY40296</t>
  </si>
  <si>
    <t xml:space="preserve">PAY40297</t>
  </si>
  <si>
    <t xml:space="preserve">PAY40298</t>
  </si>
  <si>
    <t xml:space="preserve">PAY40299</t>
  </si>
  <si>
    <t xml:space="preserve">PAY40300</t>
  </si>
  <si>
    <t xml:space="preserve">PAY40301</t>
  </si>
  <si>
    <t xml:space="preserve">PAY40302</t>
  </si>
  <si>
    <t xml:space="preserve">PAY40303</t>
  </si>
  <si>
    <t xml:space="preserve">PAY40304</t>
  </si>
  <si>
    <t xml:space="preserve">PAY40305</t>
  </si>
  <si>
    <t xml:space="preserve">PAY40306</t>
  </si>
  <si>
    <t xml:space="preserve">PAY40307</t>
  </si>
  <si>
    <t xml:space="preserve">PAY40308</t>
  </si>
  <si>
    <t xml:space="preserve">PAY40309</t>
  </si>
  <si>
    <t xml:space="preserve">PAY40310</t>
  </si>
  <si>
    <t xml:space="preserve">PAY40311</t>
  </si>
  <si>
    <t xml:space="preserve">PAY40312</t>
  </si>
  <si>
    <t xml:space="preserve">PAY40313</t>
  </si>
  <si>
    <t xml:space="preserve">PAY40314</t>
  </si>
  <si>
    <t xml:space="preserve">PAY40315</t>
  </si>
  <si>
    <t xml:space="preserve">PAY40316</t>
  </si>
  <si>
    <t xml:space="preserve">PAY40317</t>
  </si>
  <si>
    <t xml:space="preserve">PAY40318</t>
  </si>
  <si>
    <t xml:space="preserve">PAY40319</t>
  </si>
  <si>
    <t xml:space="preserve">PAY40320</t>
  </si>
  <si>
    <t xml:space="preserve">PAY40321</t>
  </si>
  <si>
    <t xml:space="preserve">PAY40322</t>
  </si>
  <si>
    <t xml:space="preserve">PAY40323</t>
  </si>
  <si>
    <t xml:space="preserve">PAY40324</t>
  </si>
  <si>
    <t xml:space="preserve">PAY40325</t>
  </si>
  <si>
    <t xml:space="preserve">PAY40326</t>
  </si>
  <si>
    <t xml:space="preserve">PAY40327</t>
  </si>
  <si>
    <t xml:space="preserve">PAY40328</t>
  </si>
  <si>
    <t xml:space="preserve">PAY40329</t>
  </si>
  <si>
    <t xml:space="preserve">PAY40330</t>
  </si>
  <si>
    <t xml:space="preserve">PAY40331</t>
  </si>
  <si>
    <t xml:space="preserve">PAY40332</t>
  </si>
  <si>
    <t xml:space="preserve">PAY40333</t>
  </si>
  <si>
    <t xml:space="preserve">PAY40334</t>
  </si>
  <si>
    <t xml:space="preserve">PAY40335</t>
  </si>
  <si>
    <t xml:space="preserve">PAY40336</t>
  </si>
  <si>
    <t xml:space="preserve">PAY40337</t>
  </si>
  <si>
    <t xml:space="preserve">PAY40338</t>
  </si>
  <si>
    <t xml:space="preserve">PAY40339</t>
  </si>
  <si>
    <t xml:space="preserve">PAY40340</t>
  </si>
  <si>
    <t xml:space="preserve">PAY40341</t>
  </si>
  <si>
    <t xml:space="preserve">PAY40342</t>
  </si>
  <si>
    <t xml:space="preserve">PAY40343</t>
  </si>
  <si>
    <t xml:space="preserve">PAY40344</t>
  </si>
  <si>
    <t xml:space="preserve">PAY40345</t>
  </si>
  <si>
    <t xml:space="preserve">PAY40346</t>
  </si>
  <si>
    <t xml:space="preserve">PAY40347</t>
  </si>
  <si>
    <t xml:space="preserve">PAY40348</t>
  </si>
  <si>
    <t xml:space="preserve">PAY40349</t>
  </si>
  <si>
    <t xml:space="preserve">PAY40350</t>
  </si>
  <si>
    <t xml:space="preserve">PAY40351</t>
  </si>
  <si>
    <t xml:space="preserve">PAY40352</t>
  </si>
  <si>
    <t xml:space="preserve">PAY40353</t>
  </si>
  <si>
    <t xml:space="preserve">PAY40354</t>
  </si>
  <si>
    <t xml:space="preserve">PAY40355</t>
  </si>
  <si>
    <t xml:space="preserve">PAY40356</t>
  </si>
  <si>
    <t xml:space="preserve">PAY40357</t>
  </si>
  <si>
    <t xml:space="preserve">PAY40358</t>
  </si>
  <si>
    <t xml:space="preserve">PAY40359</t>
  </si>
  <si>
    <t xml:space="preserve">PAY40360</t>
  </si>
  <si>
    <t xml:space="preserve">PAY40361</t>
  </si>
  <si>
    <t xml:space="preserve">PAY40362</t>
  </si>
  <si>
    <t xml:space="preserve">PAY40363</t>
  </si>
  <si>
    <t xml:space="preserve">PAY40364</t>
  </si>
  <si>
    <t xml:space="preserve">PAY40365</t>
  </si>
  <si>
    <t xml:space="preserve">PAY40366</t>
  </si>
  <si>
    <t xml:space="preserve">PAY40367</t>
  </si>
  <si>
    <t xml:space="preserve">PAY40368</t>
  </si>
  <si>
    <t xml:space="preserve">PAY40369</t>
  </si>
  <si>
    <t xml:space="preserve">PAY40370</t>
  </si>
  <si>
    <t xml:space="preserve">PAY40371</t>
  </si>
  <si>
    <t xml:space="preserve">PAY40372</t>
  </si>
  <si>
    <t xml:space="preserve">PAY40373</t>
  </si>
  <si>
    <t xml:space="preserve">PAY40374</t>
  </si>
  <si>
    <t xml:space="preserve">PAY40375</t>
  </si>
  <si>
    <t xml:space="preserve">PAY40376</t>
  </si>
  <si>
    <t xml:space="preserve">PAY40377</t>
  </si>
  <si>
    <t xml:space="preserve">PAY40378</t>
  </si>
  <si>
    <t xml:space="preserve">PAY40379</t>
  </si>
  <si>
    <t xml:space="preserve">PAY40380</t>
  </si>
  <si>
    <t xml:space="preserve">PAY40381</t>
  </si>
  <si>
    <t xml:space="preserve">PAY40382</t>
  </si>
  <si>
    <t xml:space="preserve">PAY40383</t>
  </si>
  <si>
    <t xml:space="preserve">PAY40384</t>
  </si>
  <si>
    <t xml:space="preserve">PAY40385</t>
  </si>
  <si>
    <t xml:space="preserve">PAY40386</t>
  </si>
  <si>
    <t xml:space="preserve">PAY40387</t>
  </si>
  <si>
    <t xml:space="preserve">PAY40388</t>
  </si>
  <si>
    <t xml:space="preserve">PAY40389</t>
  </si>
  <si>
    <t xml:space="preserve">PAY40390</t>
  </si>
  <si>
    <t xml:space="preserve">PAY40391</t>
  </si>
  <si>
    <t xml:space="preserve">PAY40392</t>
  </si>
  <si>
    <t xml:space="preserve">PAY40393</t>
  </si>
  <si>
    <t xml:space="preserve">PAY40394</t>
  </si>
  <si>
    <t xml:space="preserve">PAY40395</t>
  </si>
  <si>
    <t xml:space="preserve">PAY40396</t>
  </si>
  <si>
    <t xml:space="preserve">PAY40397</t>
  </si>
  <si>
    <t xml:space="preserve">PAY40398</t>
  </si>
  <si>
    <t xml:space="preserve">PAY40399</t>
  </si>
  <si>
    <t xml:space="preserve">PAY40400</t>
  </si>
  <si>
    <t xml:space="preserve">PAY40401</t>
  </si>
  <si>
    <t xml:space="preserve">PAY40402</t>
  </si>
  <si>
    <t xml:space="preserve">PAY40403</t>
  </si>
  <si>
    <t xml:space="preserve">PAY40404</t>
  </si>
  <si>
    <t xml:space="preserve">PAY40405</t>
  </si>
  <si>
    <t xml:space="preserve">PAY40406</t>
  </si>
  <si>
    <t xml:space="preserve">PAY40407</t>
  </si>
  <si>
    <t xml:space="preserve">PAY40408</t>
  </si>
  <si>
    <t xml:space="preserve">PAY40409</t>
  </si>
  <si>
    <t xml:space="preserve">PAY40410</t>
  </si>
  <si>
    <t xml:space="preserve">PAY40411</t>
  </si>
  <si>
    <t xml:space="preserve">PAY40412</t>
  </si>
  <si>
    <t xml:space="preserve">PAY40413</t>
  </si>
  <si>
    <t xml:space="preserve">PAY40414</t>
  </si>
  <si>
    <t xml:space="preserve">PAY40415</t>
  </si>
  <si>
    <t xml:space="preserve">PAY40416</t>
  </si>
  <si>
    <t xml:space="preserve">PAY40417</t>
  </si>
  <si>
    <t xml:space="preserve">PAY40418</t>
  </si>
  <si>
    <t xml:space="preserve">PAY40419</t>
  </si>
  <si>
    <t xml:space="preserve">PAY40420</t>
  </si>
  <si>
    <t xml:space="preserve">PAY40421</t>
  </si>
  <si>
    <t xml:space="preserve">PAY40422</t>
  </si>
  <si>
    <t xml:space="preserve">PAY40423</t>
  </si>
  <si>
    <t xml:space="preserve">PAY40424</t>
  </si>
  <si>
    <t xml:space="preserve">PAY40425</t>
  </si>
  <si>
    <t xml:space="preserve">PAY40426</t>
  </si>
  <si>
    <t xml:space="preserve">PAY40427</t>
  </si>
  <si>
    <t xml:space="preserve">PAY40428</t>
  </si>
  <si>
    <t xml:space="preserve">PAY40429</t>
  </si>
  <si>
    <t xml:space="preserve">PAY40430</t>
  </si>
  <si>
    <t xml:space="preserve">PAY40431</t>
  </si>
  <si>
    <t xml:space="preserve">PAY40432</t>
  </si>
  <si>
    <t xml:space="preserve">PAY40433</t>
  </si>
  <si>
    <t xml:space="preserve">PAY40434</t>
  </si>
  <si>
    <t xml:space="preserve">PAY40435</t>
  </si>
  <si>
    <t xml:space="preserve">PAY40436</t>
  </si>
  <si>
    <t xml:space="preserve">PAY40437</t>
  </si>
  <si>
    <t xml:space="preserve">PAY40438</t>
  </si>
  <si>
    <t xml:space="preserve">PAY40439</t>
  </si>
  <si>
    <t xml:space="preserve">PAY40440</t>
  </si>
  <si>
    <t xml:space="preserve">PAY40441</t>
  </si>
  <si>
    <t xml:space="preserve">PAY40442</t>
  </si>
  <si>
    <t xml:space="preserve">PAY40443</t>
  </si>
  <si>
    <t xml:space="preserve">PAY40444</t>
  </si>
  <si>
    <t xml:space="preserve">PAY40445</t>
  </si>
  <si>
    <t xml:space="preserve">PAY40446</t>
  </si>
  <si>
    <t xml:space="preserve">PAY40447</t>
  </si>
  <si>
    <t xml:space="preserve">PAY40448</t>
  </si>
  <si>
    <t xml:space="preserve">PAY40449</t>
  </si>
  <si>
    <t xml:space="preserve">PAY40450</t>
  </si>
  <si>
    <t xml:space="preserve">PAY40451</t>
  </si>
  <si>
    <t xml:space="preserve">PAY40452</t>
  </si>
  <si>
    <t xml:space="preserve">PAY40453</t>
  </si>
  <si>
    <t xml:space="preserve">PAY40454</t>
  </si>
  <si>
    <t xml:space="preserve">PAY40455</t>
  </si>
  <si>
    <t xml:space="preserve">PAY40456</t>
  </si>
  <si>
    <t xml:space="preserve">PAY40457</t>
  </si>
  <si>
    <t xml:space="preserve">PAY40458</t>
  </si>
  <si>
    <t xml:space="preserve">PAY40459</t>
  </si>
  <si>
    <t xml:space="preserve">PAY40460</t>
  </si>
  <si>
    <t xml:space="preserve">PAY40461</t>
  </si>
  <si>
    <t xml:space="preserve">PAY40462</t>
  </si>
  <si>
    <t xml:space="preserve">PAY40463</t>
  </si>
  <si>
    <t xml:space="preserve">PAY40464</t>
  </si>
  <si>
    <t xml:space="preserve">PAY40465</t>
  </si>
  <si>
    <t xml:space="preserve">PAY40466</t>
  </si>
  <si>
    <t xml:space="preserve">PAY40467</t>
  </si>
  <si>
    <t xml:space="preserve">PAY40468</t>
  </si>
  <si>
    <t xml:space="preserve">PAY40469</t>
  </si>
  <si>
    <t xml:space="preserve">PAY40470</t>
  </si>
  <si>
    <t xml:space="preserve">PAY40471</t>
  </si>
  <si>
    <t xml:space="preserve">PAY40472</t>
  </si>
  <si>
    <t xml:space="preserve">PAY40473</t>
  </si>
  <si>
    <t xml:space="preserve">PAY40474</t>
  </si>
  <si>
    <t xml:space="preserve">PAY40475</t>
  </si>
  <si>
    <t xml:space="preserve">PAY40476</t>
  </si>
  <si>
    <t xml:space="preserve">PAY40477</t>
  </si>
  <si>
    <t xml:space="preserve">PAY40478</t>
  </si>
  <si>
    <t xml:space="preserve">PAY40479</t>
  </si>
  <si>
    <t xml:space="preserve">PAY40480</t>
  </si>
  <si>
    <t xml:space="preserve">PAY40481</t>
  </si>
  <si>
    <t xml:space="preserve">PAY40482</t>
  </si>
  <si>
    <t xml:space="preserve">PAY40483</t>
  </si>
  <si>
    <t xml:space="preserve">PAY40484</t>
  </si>
  <si>
    <t xml:space="preserve">PAY40485</t>
  </si>
  <si>
    <t xml:space="preserve">PAY40486</t>
  </si>
  <si>
    <t xml:space="preserve">PAY40487</t>
  </si>
  <si>
    <t xml:space="preserve">PAY40488</t>
  </si>
  <si>
    <t xml:space="preserve">PAY40489</t>
  </si>
  <si>
    <t xml:space="preserve">PAY40490</t>
  </si>
  <si>
    <t xml:space="preserve">PAY40491</t>
  </si>
  <si>
    <t xml:space="preserve">PAY40492</t>
  </si>
  <si>
    <t xml:space="preserve">PAY40493</t>
  </si>
  <si>
    <t xml:space="preserve">PAY40494</t>
  </si>
  <si>
    <t xml:space="preserve">PAY40495</t>
  </si>
  <si>
    <t xml:space="preserve">PAY40496</t>
  </si>
  <si>
    <t xml:space="preserve">PAY40497</t>
  </si>
  <si>
    <t xml:space="preserve">PAY40498</t>
  </si>
  <si>
    <t xml:space="preserve">PAY40499</t>
  </si>
  <si>
    <t xml:space="preserve">PAY40500</t>
  </si>
  <si>
    <t xml:space="preserve">PAY40501</t>
  </si>
  <si>
    <t xml:space="preserve">PAY40502</t>
  </si>
  <si>
    <t xml:space="preserve">PAY40503</t>
  </si>
  <si>
    <t xml:space="preserve">PAY40504</t>
  </si>
  <si>
    <t xml:space="preserve">PAY40505</t>
  </si>
  <si>
    <t xml:space="preserve">PAY40506</t>
  </si>
  <si>
    <t xml:space="preserve">PAY40507</t>
  </si>
  <si>
    <t xml:space="preserve">PAY40508</t>
  </si>
  <si>
    <t xml:space="preserve">PAY40509</t>
  </si>
  <si>
    <t xml:space="preserve">PAY40510</t>
  </si>
  <si>
    <t xml:space="preserve">PAY40511</t>
  </si>
  <si>
    <t xml:space="preserve">PAY40512</t>
  </si>
  <si>
    <t xml:space="preserve">PAY40513</t>
  </si>
  <si>
    <t xml:space="preserve">PAY40514</t>
  </si>
  <si>
    <t xml:space="preserve">PAY40515</t>
  </si>
  <si>
    <t xml:space="preserve">PAY40516</t>
  </si>
  <si>
    <t xml:space="preserve">PAY40517</t>
  </si>
  <si>
    <t xml:space="preserve">PAY40518</t>
  </si>
  <si>
    <t xml:space="preserve">PAY40519</t>
  </si>
  <si>
    <t xml:space="preserve">PAY40520</t>
  </si>
  <si>
    <t xml:space="preserve">PAY40521</t>
  </si>
  <si>
    <t xml:space="preserve">PAY40522</t>
  </si>
  <si>
    <t xml:space="preserve">PAY40523</t>
  </si>
  <si>
    <t xml:space="preserve">PAY40524</t>
  </si>
  <si>
    <t xml:space="preserve">PAY40525</t>
  </si>
  <si>
    <t xml:space="preserve">PAY40526</t>
  </si>
  <si>
    <t xml:space="preserve">PAY40527</t>
  </si>
  <si>
    <t xml:space="preserve">PAY40528</t>
  </si>
  <si>
    <t xml:space="preserve">PAY40529</t>
  </si>
  <si>
    <t xml:space="preserve">PAY40530</t>
  </si>
  <si>
    <t xml:space="preserve">PAY40531</t>
  </si>
  <si>
    <t xml:space="preserve">PAY40532</t>
  </si>
  <si>
    <t xml:space="preserve">PAY40533</t>
  </si>
  <si>
    <t xml:space="preserve">PAY40534</t>
  </si>
  <si>
    <t xml:space="preserve">PAY40535</t>
  </si>
  <si>
    <t xml:space="preserve">PAY40536</t>
  </si>
  <si>
    <t xml:space="preserve">PAY40537</t>
  </si>
  <si>
    <t xml:space="preserve">PAY40538</t>
  </si>
  <si>
    <t xml:space="preserve">PAY40539</t>
  </si>
  <si>
    <t xml:space="preserve">PAY40540</t>
  </si>
  <si>
    <t xml:space="preserve">PAY40541</t>
  </si>
  <si>
    <t xml:space="preserve">PAY40542</t>
  </si>
  <si>
    <t xml:space="preserve">PAY40543</t>
  </si>
  <si>
    <t xml:space="preserve">PAY40544</t>
  </si>
  <si>
    <t xml:space="preserve">PAY40545</t>
  </si>
  <si>
    <t xml:space="preserve">PAY40546</t>
  </si>
  <si>
    <t xml:space="preserve">PAY40547</t>
  </si>
  <si>
    <t xml:space="preserve">PAY40548</t>
  </si>
  <si>
    <t xml:space="preserve">PAY40549</t>
  </si>
  <si>
    <t xml:space="preserve">PAY40550</t>
  </si>
  <si>
    <t xml:space="preserve">PAY40551</t>
  </si>
  <si>
    <t xml:space="preserve">PAY40552</t>
  </si>
  <si>
    <t xml:space="preserve">PAY40553</t>
  </si>
  <si>
    <t xml:space="preserve">PAY40554</t>
  </si>
  <si>
    <t xml:space="preserve">PAY40555</t>
  </si>
  <si>
    <t xml:space="preserve">PAY40556</t>
  </si>
  <si>
    <t xml:space="preserve">PAY40557</t>
  </si>
  <si>
    <t xml:space="preserve">PAY40558</t>
  </si>
  <si>
    <t xml:space="preserve">PAY40559</t>
  </si>
  <si>
    <t xml:space="preserve">PAY40560</t>
  </si>
  <si>
    <t xml:space="preserve">PAY40561</t>
  </si>
  <si>
    <t xml:space="preserve">PAY40562</t>
  </si>
  <si>
    <t xml:space="preserve">PAY40563</t>
  </si>
  <si>
    <t xml:space="preserve">PAY40564</t>
  </si>
  <si>
    <t xml:space="preserve">PAY40565</t>
  </si>
  <si>
    <t xml:space="preserve">PAY40566</t>
  </si>
  <si>
    <t xml:space="preserve">PAY40567</t>
  </si>
  <si>
    <t xml:space="preserve">PAY40568</t>
  </si>
  <si>
    <t xml:space="preserve">PAY40569</t>
  </si>
  <si>
    <t xml:space="preserve">PAY40570</t>
  </si>
  <si>
    <t xml:space="preserve">PAY40571</t>
  </si>
  <si>
    <t xml:space="preserve">PAY40572</t>
  </si>
  <si>
    <t xml:space="preserve">PAY40573</t>
  </si>
  <si>
    <t xml:space="preserve">PAY40574</t>
  </si>
  <si>
    <t xml:space="preserve">PAY40575</t>
  </si>
  <si>
    <t xml:space="preserve">PAY40576</t>
  </si>
  <si>
    <t xml:space="preserve">PAY40577</t>
  </si>
  <si>
    <t xml:space="preserve">PAY40578</t>
  </si>
  <si>
    <t xml:space="preserve">PAY40579</t>
  </si>
  <si>
    <t xml:space="preserve">PAY40580</t>
  </si>
  <si>
    <t xml:space="preserve">PAY40581</t>
  </si>
  <si>
    <t xml:space="preserve">PAY40582</t>
  </si>
  <si>
    <t xml:space="preserve">PAY40583</t>
  </si>
  <si>
    <t xml:space="preserve">PAY40584</t>
  </si>
  <si>
    <t xml:space="preserve">PAY40585</t>
  </si>
  <si>
    <t xml:space="preserve">PAY40586</t>
  </si>
  <si>
    <t xml:space="preserve">PAY40587</t>
  </si>
  <si>
    <t xml:space="preserve">PAY40588</t>
  </si>
  <si>
    <t xml:space="preserve">PAY40589</t>
  </si>
  <si>
    <t xml:space="preserve">PAY40590</t>
  </si>
  <si>
    <t xml:space="preserve">PAY40591</t>
  </si>
  <si>
    <t xml:space="preserve">PAY40592</t>
  </si>
  <si>
    <t xml:space="preserve">PAY40593</t>
  </si>
  <si>
    <t xml:space="preserve">PAY40594</t>
  </si>
  <si>
    <t xml:space="preserve">PAY40595</t>
  </si>
  <si>
    <t xml:space="preserve">PAY40596</t>
  </si>
  <si>
    <t xml:space="preserve">PAY40597</t>
  </si>
  <si>
    <t xml:space="preserve">PAY40598</t>
  </si>
  <si>
    <t xml:space="preserve">PAY40599</t>
  </si>
  <si>
    <t xml:space="preserve">PAY40600</t>
  </si>
  <si>
    <t xml:space="preserve">PAY40601</t>
  </si>
  <si>
    <t xml:space="preserve">PAY40602</t>
  </si>
  <si>
    <t xml:space="preserve">PAY40603</t>
  </si>
  <si>
    <t xml:space="preserve">PAY40604</t>
  </si>
  <si>
    <t xml:space="preserve">PAY40605</t>
  </si>
  <si>
    <t xml:space="preserve">PAY40606</t>
  </si>
  <si>
    <t xml:space="preserve">PAY40607</t>
  </si>
  <si>
    <t xml:space="preserve">PAY40608</t>
  </si>
  <si>
    <t xml:space="preserve">PAY40609</t>
  </si>
  <si>
    <t xml:space="preserve">PAY40610</t>
  </si>
  <si>
    <t xml:space="preserve">PAY40611</t>
  </si>
  <si>
    <t xml:space="preserve">PAY40612</t>
  </si>
  <si>
    <t xml:space="preserve">PAY40613</t>
  </si>
  <si>
    <t xml:space="preserve">PAY40614</t>
  </si>
  <si>
    <t xml:space="preserve">PAY40615</t>
  </si>
  <si>
    <t xml:space="preserve">PAY40616</t>
  </si>
  <si>
    <t xml:space="preserve">PAY40617</t>
  </si>
  <si>
    <t xml:space="preserve">PAY40618</t>
  </si>
  <si>
    <t xml:space="preserve">PAY40619</t>
  </si>
  <si>
    <t xml:space="preserve">PAY40620</t>
  </si>
  <si>
    <t xml:space="preserve">PAY40621</t>
  </si>
  <si>
    <t xml:space="preserve">PAY40622</t>
  </si>
  <si>
    <t xml:space="preserve">PAY40623</t>
  </si>
  <si>
    <t xml:space="preserve">PAY40624</t>
  </si>
  <si>
    <t xml:space="preserve">PAY40625</t>
  </si>
  <si>
    <t xml:space="preserve">PAY40626</t>
  </si>
  <si>
    <t xml:space="preserve">PAY40627</t>
  </si>
  <si>
    <t xml:space="preserve">PAY40628</t>
  </si>
  <si>
    <t xml:space="preserve">PAY40629</t>
  </si>
  <si>
    <t xml:space="preserve">PAY40630</t>
  </si>
  <si>
    <t xml:space="preserve">PAY40631</t>
  </si>
  <si>
    <t xml:space="preserve">PAY40632</t>
  </si>
  <si>
    <t xml:space="preserve">PAY40633</t>
  </si>
  <si>
    <t xml:space="preserve">PAY40634</t>
  </si>
  <si>
    <t xml:space="preserve">PAY40635</t>
  </si>
  <si>
    <t xml:space="preserve">PAY40636</t>
  </si>
  <si>
    <t xml:space="preserve">PAY40637</t>
  </si>
  <si>
    <t xml:space="preserve">PAY40638</t>
  </si>
  <si>
    <t xml:space="preserve">PAY40639</t>
  </si>
  <si>
    <t xml:space="preserve">PAY40640</t>
  </si>
  <si>
    <t xml:space="preserve">PAY40641</t>
  </si>
  <si>
    <t xml:space="preserve">PAY40642</t>
  </si>
  <si>
    <t xml:space="preserve">PAY40643</t>
  </si>
  <si>
    <t xml:space="preserve">PAY40644</t>
  </si>
  <si>
    <t xml:space="preserve">PAY40645</t>
  </si>
  <si>
    <t xml:space="preserve">PAY40646</t>
  </si>
  <si>
    <t xml:space="preserve">PAY40647</t>
  </si>
  <si>
    <t xml:space="preserve">PAY40648</t>
  </si>
  <si>
    <t xml:space="preserve">PAY40649</t>
  </si>
  <si>
    <t xml:space="preserve">PAY40650</t>
  </si>
  <si>
    <t xml:space="preserve">PAY40651</t>
  </si>
  <si>
    <t xml:space="preserve">PAY40652</t>
  </si>
  <si>
    <t xml:space="preserve">PAY40653</t>
  </si>
  <si>
    <t xml:space="preserve">PAY40654</t>
  </si>
  <si>
    <t xml:space="preserve">PAY40655</t>
  </si>
  <si>
    <t xml:space="preserve">PAY40656</t>
  </si>
  <si>
    <t xml:space="preserve">PAY40657</t>
  </si>
  <si>
    <t xml:space="preserve">PAY40658</t>
  </si>
  <si>
    <t xml:space="preserve">PAY40659</t>
  </si>
  <si>
    <t xml:space="preserve">PAY40660</t>
  </si>
  <si>
    <t xml:space="preserve">PAY40661</t>
  </si>
  <si>
    <t xml:space="preserve">PAY40662</t>
  </si>
  <si>
    <t xml:space="preserve">PAY40663</t>
  </si>
  <si>
    <t xml:space="preserve">PAY40664</t>
  </si>
  <si>
    <t xml:space="preserve">PAY40665</t>
  </si>
  <si>
    <t xml:space="preserve">PAY40666</t>
  </si>
  <si>
    <t xml:space="preserve">PAY40667</t>
  </si>
  <si>
    <t xml:space="preserve">PAY40668</t>
  </si>
  <si>
    <t xml:space="preserve">PAY40669</t>
  </si>
  <si>
    <t xml:space="preserve">PAY40670</t>
  </si>
  <si>
    <t xml:space="preserve">PAY40671</t>
  </si>
  <si>
    <t xml:space="preserve">PAY40672</t>
  </si>
  <si>
    <t xml:space="preserve">PAY40673</t>
  </si>
  <si>
    <t xml:space="preserve">PAY40674</t>
  </si>
  <si>
    <t xml:space="preserve">PAY40675</t>
  </si>
  <si>
    <t xml:space="preserve">PAY40676</t>
  </si>
  <si>
    <t xml:space="preserve">PAY40677</t>
  </si>
  <si>
    <t xml:space="preserve">PAY40678</t>
  </si>
  <si>
    <t xml:space="preserve">PAY40679</t>
  </si>
  <si>
    <t xml:space="preserve">PAY40680</t>
  </si>
  <si>
    <t xml:space="preserve">PAY40681</t>
  </si>
  <si>
    <t xml:space="preserve">PAY40682</t>
  </si>
  <si>
    <t xml:space="preserve">PAY40683</t>
  </si>
  <si>
    <t xml:space="preserve">PAY40684</t>
  </si>
  <si>
    <t xml:space="preserve">PAY40685</t>
  </si>
  <si>
    <t xml:space="preserve">PAY40686</t>
  </si>
  <si>
    <t xml:space="preserve">PAY40687</t>
  </si>
  <si>
    <t xml:space="preserve">PAY40688</t>
  </si>
  <si>
    <t xml:space="preserve">PAY40689</t>
  </si>
  <si>
    <t xml:space="preserve">PAY40690</t>
  </si>
  <si>
    <t xml:space="preserve">PAY40691</t>
  </si>
  <si>
    <t xml:space="preserve">PAY40692</t>
  </si>
  <si>
    <t xml:space="preserve">PAY40693</t>
  </si>
  <si>
    <t xml:space="preserve">PAY40694</t>
  </si>
  <si>
    <t xml:space="preserve">PAY40695</t>
  </si>
  <si>
    <t xml:space="preserve">PAY40696</t>
  </si>
  <si>
    <t xml:space="preserve">PAY40697</t>
  </si>
  <si>
    <t xml:space="preserve">PAY40698</t>
  </si>
  <si>
    <t xml:space="preserve">PAY40699</t>
  </si>
  <si>
    <t xml:space="preserve">PAY40700</t>
  </si>
  <si>
    <t xml:space="preserve">PAY40701</t>
  </si>
  <si>
    <t xml:space="preserve">PAY40702</t>
  </si>
  <si>
    <t xml:space="preserve">PAY40703</t>
  </si>
  <si>
    <t xml:space="preserve">PAY40704</t>
  </si>
  <si>
    <t xml:space="preserve">PAY40705</t>
  </si>
  <si>
    <t xml:space="preserve">PAY40706</t>
  </si>
  <si>
    <t xml:space="preserve">PAY40707</t>
  </si>
  <si>
    <t xml:space="preserve">PAY40708</t>
  </si>
  <si>
    <t xml:space="preserve">PAY40709</t>
  </si>
  <si>
    <t xml:space="preserve">PAY40710</t>
  </si>
  <si>
    <t xml:space="preserve">PAY40711</t>
  </si>
  <si>
    <t xml:space="preserve">PAY40712</t>
  </si>
  <si>
    <t xml:space="preserve">PAY40713</t>
  </si>
  <si>
    <t xml:space="preserve">PAY40714</t>
  </si>
  <si>
    <t xml:space="preserve">PAY40715</t>
  </si>
  <si>
    <t xml:space="preserve">PAY40716</t>
  </si>
  <si>
    <t xml:space="preserve">PAY40717</t>
  </si>
  <si>
    <t xml:space="preserve">PAY40718</t>
  </si>
  <si>
    <t xml:space="preserve">PAY40719</t>
  </si>
  <si>
    <t xml:space="preserve">PAY40720</t>
  </si>
  <si>
    <t xml:space="preserve">PAY40721</t>
  </si>
  <si>
    <t xml:space="preserve">PAY40722</t>
  </si>
  <si>
    <t xml:space="preserve">PAY40723</t>
  </si>
  <si>
    <t xml:space="preserve">PAY40724</t>
  </si>
  <si>
    <t xml:space="preserve">PAY40725</t>
  </si>
  <si>
    <t xml:space="preserve">PAY40726</t>
  </si>
  <si>
    <t xml:space="preserve">PAY40727</t>
  </si>
  <si>
    <t xml:space="preserve">PAY40728</t>
  </si>
  <si>
    <t xml:space="preserve">PAY40729</t>
  </si>
  <si>
    <t xml:space="preserve">PAY40730</t>
  </si>
  <si>
    <t xml:space="preserve">PAY40731</t>
  </si>
  <si>
    <t xml:space="preserve">PAY40732</t>
  </si>
  <si>
    <t xml:space="preserve">PAY40733</t>
  </si>
  <si>
    <t xml:space="preserve">PAY40734</t>
  </si>
  <si>
    <t xml:space="preserve">PAY40735</t>
  </si>
  <si>
    <t xml:space="preserve">PAY40736</t>
  </si>
  <si>
    <t xml:space="preserve">PAY40737</t>
  </si>
  <si>
    <t xml:space="preserve">PAY40738</t>
  </si>
  <si>
    <t xml:space="preserve">PAY40739</t>
  </si>
  <si>
    <t xml:space="preserve">PAY40740</t>
  </si>
  <si>
    <t xml:space="preserve">PAY40741</t>
  </si>
  <si>
    <t xml:space="preserve">PAY40742</t>
  </si>
  <si>
    <t xml:space="preserve">PAY40743</t>
  </si>
  <si>
    <t xml:space="preserve">PAY40744</t>
  </si>
  <si>
    <t xml:space="preserve">PAY40745</t>
  </si>
  <si>
    <t xml:space="preserve">PAY40746</t>
  </si>
  <si>
    <t xml:space="preserve">PAY40747</t>
  </si>
  <si>
    <t xml:space="preserve">PAY40748</t>
  </si>
  <si>
    <t xml:space="preserve">PAY40749</t>
  </si>
  <si>
    <t xml:space="preserve">PAY40750</t>
  </si>
  <si>
    <t xml:space="preserve">PAY40751</t>
  </si>
  <si>
    <t xml:space="preserve">PAY40752</t>
  </si>
  <si>
    <t xml:space="preserve">Bank_Txn_ID</t>
  </si>
  <si>
    <t xml:space="preserve">Date</t>
  </si>
  <si>
    <t xml:space="preserve">Amount</t>
  </si>
  <si>
    <t xml:space="preserve">Description</t>
  </si>
  <si>
    <t xml:space="preserve">Matched_Payment_ID</t>
  </si>
  <si>
    <t xml:space="preserve">BNK50001</t>
  </si>
  <si>
    <t xml:space="preserve">PMT-V1020</t>
  </si>
  <si>
    <t xml:space="preserve">BNK50002</t>
  </si>
  <si>
    <t xml:space="preserve">PMT-V1034</t>
  </si>
  <si>
    <t xml:space="preserve">BNK50003</t>
  </si>
  <si>
    <t xml:space="preserve">PMT-V1014</t>
  </si>
  <si>
    <t xml:space="preserve">BNK50004</t>
  </si>
  <si>
    <t xml:space="preserve">PMT-V1040</t>
  </si>
  <si>
    <t xml:space="preserve">BNK50005</t>
  </si>
  <si>
    <t xml:space="preserve">PMT-V1022</t>
  </si>
  <si>
    <t xml:space="preserve">BNK50006</t>
  </si>
  <si>
    <t xml:space="preserve">BNK50007</t>
  </si>
  <si>
    <t xml:space="preserve">BNK50008</t>
  </si>
  <si>
    <t xml:space="preserve">PMT-V1015</t>
  </si>
  <si>
    <t xml:space="preserve">BNK50009</t>
  </si>
  <si>
    <t xml:space="preserve">PMT-V1005</t>
  </si>
  <si>
    <t xml:space="preserve">BNK50010</t>
  </si>
  <si>
    <t xml:space="preserve">PMT-V1035</t>
  </si>
  <si>
    <t xml:space="preserve">BNK50011</t>
  </si>
  <si>
    <t xml:space="preserve">PMT-V1016</t>
  </si>
  <si>
    <t xml:space="preserve">BNK50012</t>
  </si>
  <si>
    <t xml:space="preserve">PMT-V1002</t>
  </si>
  <si>
    <t xml:space="preserve">BNK50013</t>
  </si>
  <si>
    <t xml:space="preserve">PMT-V1026</t>
  </si>
  <si>
    <t xml:space="preserve">BNK50014</t>
  </si>
  <si>
    <t xml:space="preserve">PMT-V1004</t>
  </si>
  <si>
    <t xml:space="preserve">BNK50015</t>
  </si>
  <si>
    <t xml:space="preserve">PMT-V1024</t>
  </si>
  <si>
    <t xml:space="preserve">BNK50016</t>
  </si>
  <si>
    <t xml:space="preserve">PMT-V1028</t>
  </si>
  <si>
    <t xml:space="preserve">BNK50017</t>
  </si>
  <si>
    <t xml:space="preserve">PMT-V1018</t>
  </si>
  <si>
    <t xml:space="preserve">BNK50018</t>
  </si>
  <si>
    <t xml:space="preserve">BNK50019</t>
  </si>
  <si>
    <t xml:space="preserve">PMT-V1027</t>
  </si>
  <si>
    <t xml:space="preserve">BNK50020</t>
  </si>
  <si>
    <t xml:space="preserve">PMT-V1007</t>
  </si>
  <si>
    <t xml:space="preserve">BNK50021</t>
  </si>
  <si>
    <t xml:space="preserve">PMT-V1039</t>
  </si>
  <si>
    <t xml:space="preserve">BNK50022</t>
  </si>
  <si>
    <t xml:space="preserve">BNK50023</t>
  </si>
  <si>
    <t xml:space="preserve">PMT-V1017</t>
  </si>
  <si>
    <t xml:space="preserve">BNK50024</t>
  </si>
  <si>
    <t xml:space="preserve">PMT-V1009</t>
  </si>
  <si>
    <t xml:space="preserve">BNK50025</t>
  </si>
  <si>
    <t xml:space="preserve">PMT-V1013</t>
  </si>
  <si>
    <t xml:space="preserve">BNK50026</t>
  </si>
  <si>
    <t xml:space="preserve">BNK50027</t>
  </si>
  <si>
    <t xml:space="preserve">BNK50028</t>
  </si>
  <si>
    <t xml:space="preserve">BNK50029</t>
  </si>
  <si>
    <t xml:space="preserve">BNK50030</t>
  </si>
  <si>
    <t xml:space="preserve">PMT-V1023</t>
  </si>
  <si>
    <t xml:space="preserve">BNK50031</t>
  </si>
  <si>
    <t xml:space="preserve">BNK50032</t>
  </si>
  <si>
    <t xml:space="preserve">PMT-V1008</t>
  </si>
  <si>
    <t xml:space="preserve">BNK50033</t>
  </si>
  <si>
    <t xml:space="preserve">BNK50034</t>
  </si>
  <si>
    <t xml:space="preserve">PMT-V1012</t>
  </si>
  <si>
    <t xml:space="preserve">BNK50035</t>
  </si>
  <si>
    <t xml:space="preserve">PMT-V1038</t>
  </si>
  <si>
    <t xml:space="preserve">BNK50036</t>
  </si>
  <si>
    <t xml:space="preserve">BNK50037</t>
  </si>
  <si>
    <t xml:space="preserve">PMT-V1011</t>
  </si>
  <si>
    <t xml:space="preserve">BNK50038</t>
  </si>
  <si>
    <t xml:space="preserve">BNK50039</t>
  </si>
  <si>
    <t xml:space="preserve">BNK50040</t>
  </si>
  <si>
    <t xml:space="preserve">BNK50041</t>
  </si>
  <si>
    <t xml:space="preserve">BNK50042</t>
  </si>
  <si>
    <t xml:space="preserve">PMT-V1001</t>
  </si>
  <si>
    <t xml:space="preserve">BNK50043</t>
  </si>
  <si>
    <t xml:space="preserve">BNK50044</t>
  </si>
  <si>
    <t xml:space="preserve">BNK50045</t>
  </si>
  <si>
    <t xml:space="preserve">PMT-V1025</t>
  </si>
  <si>
    <t xml:space="preserve">BNK50046</t>
  </si>
  <si>
    <t xml:space="preserve">PMT-V1006</t>
  </si>
  <si>
    <t xml:space="preserve">BNK50047</t>
  </si>
  <si>
    <t xml:space="preserve">BNK50048</t>
  </si>
  <si>
    <t xml:space="preserve">BNK50049</t>
  </si>
  <si>
    <t xml:space="preserve">PMT-V1029</t>
  </si>
  <si>
    <t xml:space="preserve">BNK50050</t>
  </si>
  <si>
    <t xml:space="preserve">BNK50051</t>
  </si>
  <si>
    <t xml:space="preserve">PMT-V1031</t>
  </si>
  <si>
    <t xml:space="preserve">BNK50052</t>
  </si>
  <si>
    <t xml:space="preserve">BNK50053</t>
  </si>
  <si>
    <t xml:space="preserve">BNK50054</t>
  </si>
  <si>
    <t xml:space="preserve">BNK50055</t>
  </si>
  <si>
    <t xml:space="preserve">PMT-V1019</t>
  </si>
  <si>
    <t xml:space="preserve">BNK50056</t>
  </si>
  <si>
    <t xml:space="preserve">BNK50057</t>
  </si>
  <si>
    <t xml:space="preserve">BNK50058</t>
  </si>
  <si>
    <t xml:space="preserve">BNK50059</t>
  </si>
  <si>
    <t xml:space="preserve">BNK50060</t>
  </si>
  <si>
    <t xml:space="preserve">PMT-V1010</t>
  </si>
  <si>
    <t xml:space="preserve">BNK50061</t>
  </si>
  <si>
    <t xml:space="preserve">BNK50062</t>
  </si>
  <si>
    <t xml:space="preserve">BNK50063</t>
  </si>
  <si>
    <t xml:space="preserve">BNK50064</t>
  </si>
  <si>
    <t xml:space="preserve">BNK50065</t>
  </si>
  <si>
    <t xml:space="preserve">BNK50066</t>
  </si>
  <si>
    <t xml:space="preserve">BNK50067</t>
  </si>
  <si>
    <t xml:space="preserve">BNK50068</t>
  </si>
  <si>
    <t xml:space="preserve">BNK50069</t>
  </si>
  <si>
    <t xml:space="preserve">BNK50070</t>
  </si>
  <si>
    <t xml:space="preserve">BNK50071</t>
  </si>
  <si>
    <t xml:space="preserve">BNK50072</t>
  </si>
  <si>
    <t xml:space="preserve">PMT-V1021</t>
  </si>
  <si>
    <t xml:space="preserve">BNK50073</t>
  </si>
  <si>
    <t xml:space="preserve">BNK50074</t>
  </si>
  <si>
    <t xml:space="preserve">BNK50075</t>
  </si>
  <si>
    <t xml:space="preserve">BNK50076</t>
  </si>
  <si>
    <t xml:space="preserve">BNK50077</t>
  </si>
  <si>
    <t xml:space="preserve">BNK50078</t>
  </si>
  <si>
    <t xml:space="preserve">BNK50079</t>
  </si>
  <si>
    <t xml:space="preserve">BNK50080</t>
  </si>
  <si>
    <t xml:space="preserve">BNK50081</t>
  </si>
  <si>
    <t xml:space="preserve">BNK50082</t>
  </si>
  <si>
    <t xml:space="preserve">PMT-V1030</t>
  </si>
  <si>
    <t xml:space="preserve">BNK50083</t>
  </si>
  <si>
    <t xml:space="preserve">BNK50084</t>
  </si>
  <si>
    <t xml:space="preserve">PMT-V1036</t>
  </si>
  <si>
    <t xml:space="preserve">BNK50085</t>
  </si>
  <si>
    <t xml:space="preserve">BNK50086</t>
  </si>
  <si>
    <t xml:space="preserve">BNK50087</t>
  </si>
  <si>
    <t xml:space="preserve">BNK50088</t>
  </si>
  <si>
    <t xml:space="preserve">BNK50089</t>
  </si>
  <si>
    <t xml:space="preserve">BNK50090</t>
  </si>
  <si>
    <t xml:space="preserve">BNK50091</t>
  </si>
  <si>
    <t xml:space="preserve">BNK50092</t>
  </si>
  <si>
    <t xml:space="preserve">BNK50093</t>
  </si>
  <si>
    <t xml:space="preserve">BNK50094</t>
  </si>
  <si>
    <t xml:space="preserve">BNK50095</t>
  </si>
  <si>
    <t xml:space="preserve">BNK50096</t>
  </si>
  <si>
    <t xml:space="preserve">BNK50097</t>
  </si>
  <si>
    <t xml:space="preserve">BNK50098</t>
  </si>
  <si>
    <t xml:space="preserve">BNK50099</t>
  </si>
  <si>
    <t xml:space="preserve">BNK50100</t>
  </si>
  <si>
    <t xml:space="preserve">BNK50101</t>
  </si>
  <si>
    <t xml:space="preserve">BNK50102</t>
  </si>
  <si>
    <t xml:space="preserve">BNK50103</t>
  </si>
  <si>
    <t xml:space="preserve">BNK50104</t>
  </si>
  <si>
    <t xml:space="preserve">BNK50105</t>
  </si>
  <si>
    <t xml:space="preserve">BNK50106</t>
  </si>
  <si>
    <t xml:space="preserve">BNK50107</t>
  </si>
  <si>
    <t xml:space="preserve">BNK50108</t>
  </si>
  <si>
    <t xml:space="preserve">BNK50109</t>
  </si>
  <si>
    <t xml:space="preserve">BNK50110</t>
  </si>
  <si>
    <t xml:space="preserve">BNK50111</t>
  </si>
  <si>
    <t xml:space="preserve">BNK50112</t>
  </si>
  <si>
    <t xml:space="preserve">PMT-V1032</t>
  </si>
  <si>
    <t xml:space="preserve">BNK50113</t>
  </si>
  <si>
    <t xml:space="preserve">BNK50114</t>
  </si>
  <si>
    <t xml:space="preserve">PMT-V1003</t>
  </si>
  <si>
    <t xml:space="preserve">BNK50115</t>
  </si>
  <si>
    <t xml:space="preserve">BNK50116</t>
  </si>
  <si>
    <t xml:space="preserve">BNK50117</t>
  </si>
  <si>
    <t xml:space="preserve">BNK50118</t>
  </si>
  <si>
    <t xml:space="preserve">BNK50119</t>
  </si>
  <si>
    <t xml:space="preserve">BNK50120</t>
  </si>
  <si>
    <t xml:space="preserve">BNK50121</t>
  </si>
  <si>
    <t xml:space="preserve">BNK50122</t>
  </si>
  <si>
    <t xml:space="preserve">BNK50123</t>
  </si>
  <si>
    <t xml:space="preserve">BNK50124</t>
  </si>
  <si>
    <t xml:space="preserve">BNK50125</t>
  </si>
  <si>
    <t xml:space="preserve">BNK50126</t>
  </si>
  <si>
    <t xml:space="preserve">BNK50127</t>
  </si>
  <si>
    <t xml:space="preserve">BNK50128</t>
  </si>
  <si>
    <t xml:space="preserve">BNK50129</t>
  </si>
  <si>
    <t xml:space="preserve">PMT-V1037</t>
  </si>
  <si>
    <t xml:space="preserve">BNK50130</t>
  </si>
  <si>
    <t xml:space="preserve">BNK50131</t>
  </si>
  <si>
    <t xml:space="preserve">BNK50132</t>
  </si>
  <si>
    <t xml:space="preserve">BNK50133</t>
  </si>
  <si>
    <t xml:space="preserve">BNK50134</t>
  </si>
  <si>
    <t xml:space="preserve">BNK50135</t>
  </si>
  <si>
    <t xml:space="preserve">BNK50136</t>
  </si>
  <si>
    <t xml:space="preserve">BNK50137</t>
  </si>
  <si>
    <t xml:space="preserve">BNK50138</t>
  </si>
  <si>
    <t xml:space="preserve">BNK50139</t>
  </si>
  <si>
    <t xml:space="preserve">BNK50140</t>
  </si>
  <si>
    <t xml:space="preserve">BNK50141</t>
  </si>
  <si>
    <t xml:space="preserve">BNK50142</t>
  </si>
  <si>
    <t xml:space="preserve">BNK50143</t>
  </si>
  <si>
    <t xml:space="preserve">BNK50144</t>
  </si>
  <si>
    <t xml:space="preserve">BNK50145</t>
  </si>
  <si>
    <t xml:space="preserve">BNK50146</t>
  </si>
  <si>
    <t xml:space="preserve">BNK50147</t>
  </si>
  <si>
    <t xml:space="preserve">BNK50148</t>
  </si>
  <si>
    <t xml:space="preserve">BNK50149</t>
  </si>
  <si>
    <t xml:space="preserve">PMT-V1033</t>
  </si>
  <si>
    <t xml:space="preserve">BNK50150</t>
  </si>
  <si>
    <t xml:space="preserve">BNK50151</t>
  </si>
  <si>
    <t xml:space="preserve">BNK50152</t>
  </si>
  <si>
    <t xml:space="preserve">BNK50153</t>
  </si>
  <si>
    <t xml:space="preserve">BNK50154</t>
  </si>
  <si>
    <t xml:space="preserve">BNK50155</t>
  </si>
  <si>
    <t xml:space="preserve">BNK50156</t>
  </si>
  <si>
    <t xml:space="preserve">BNK50157</t>
  </si>
  <si>
    <t xml:space="preserve">BNK50158</t>
  </si>
  <si>
    <t xml:space="preserve">BNK50159</t>
  </si>
  <si>
    <t xml:space="preserve">BNK50160</t>
  </si>
  <si>
    <t xml:space="preserve">BNK50161</t>
  </si>
  <si>
    <t xml:space="preserve">BNK50162</t>
  </si>
  <si>
    <t xml:space="preserve">BNK50163</t>
  </si>
  <si>
    <t xml:space="preserve">BNK50164</t>
  </si>
  <si>
    <t xml:space="preserve">BNK50165</t>
  </si>
  <si>
    <t xml:space="preserve">BNK50166</t>
  </si>
  <si>
    <t xml:space="preserve">BNK50167</t>
  </si>
  <si>
    <t xml:space="preserve">BNK50168</t>
  </si>
  <si>
    <t xml:space="preserve">BNK50169</t>
  </si>
  <si>
    <t xml:space="preserve">BNK50170</t>
  </si>
  <si>
    <t xml:space="preserve">BNK50171</t>
  </si>
  <si>
    <t xml:space="preserve">BNK50172</t>
  </si>
  <si>
    <t xml:space="preserve">BNK50173</t>
  </si>
  <si>
    <t xml:space="preserve">BNK50174</t>
  </si>
  <si>
    <t xml:space="preserve">BNK50175</t>
  </si>
  <si>
    <t xml:space="preserve">BNK50176</t>
  </si>
  <si>
    <t xml:space="preserve">BNK50177</t>
  </si>
  <si>
    <t xml:space="preserve">BNK50178</t>
  </si>
  <si>
    <t xml:space="preserve">BNK50179</t>
  </si>
  <si>
    <t xml:space="preserve">BNK50180</t>
  </si>
  <si>
    <t xml:space="preserve">BNK50181</t>
  </si>
  <si>
    <t xml:space="preserve">BNK50182</t>
  </si>
  <si>
    <t xml:space="preserve">BNK50183</t>
  </si>
  <si>
    <t xml:space="preserve">BNK50184</t>
  </si>
  <si>
    <t xml:space="preserve">BNK50185</t>
  </si>
  <si>
    <t xml:space="preserve">BNK50186</t>
  </si>
  <si>
    <t xml:space="preserve">BNK50187</t>
  </si>
  <si>
    <t xml:space="preserve">BNK50188</t>
  </si>
  <si>
    <t xml:space="preserve">BNK50189</t>
  </si>
  <si>
    <t xml:space="preserve">BNK50190</t>
  </si>
  <si>
    <t xml:space="preserve">BNK50191</t>
  </si>
  <si>
    <t xml:space="preserve">BNK50192</t>
  </si>
  <si>
    <t xml:space="preserve">BNK50193</t>
  </si>
  <si>
    <t xml:space="preserve">BNK50194</t>
  </si>
  <si>
    <t xml:space="preserve">BNK50195</t>
  </si>
  <si>
    <t xml:space="preserve">BNK50196</t>
  </si>
  <si>
    <t xml:space="preserve">BNK50197</t>
  </si>
  <si>
    <t xml:space="preserve">BNK50198</t>
  </si>
  <si>
    <t xml:space="preserve">BNK50199</t>
  </si>
  <si>
    <t xml:space="preserve">BNK50200</t>
  </si>
  <si>
    <t xml:space="preserve">BNK50201</t>
  </si>
  <si>
    <t xml:space="preserve">BNK50202</t>
  </si>
  <si>
    <t xml:space="preserve">BNK50203</t>
  </si>
  <si>
    <t xml:space="preserve">BNK50204</t>
  </si>
  <si>
    <t xml:space="preserve">BNK50205</t>
  </si>
  <si>
    <t xml:space="preserve">BNK50206</t>
  </si>
  <si>
    <t xml:space="preserve">BNK50207</t>
  </si>
  <si>
    <t xml:space="preserve">BNK50208</t>
  </si>
  <si>
    <t xml:space="preserve">BNK50209</t>
  </si>
  <si>
    <t xml:space="preserve">BNK50210</t>
  </si>
  <si>
    <t xml:space="preserve">BNK50211</t>
  </si>
  <si>
    <t xml:space="preserve">BNK50212</t>
  </si>
  <si>
    <t xml:space="preserve">BNK50213</t>
  </si>
  <si>
    <t xml:space="preserve">BNK50214</t>
  </si>
  <si>
    <t xml:space="preserve">BNK50215</t>
  </si>
  <si>
    <t xml:space="preserve">BNK50216</t>
  </si>
  <si>
    <t xml:space="preserve">BNK50217</t>
  </si>
  <si>
    <t xml:space="preserve">BNK50218</t>
  </si>
  <si>
    <t xml:space="preserve">BNK50219</t>
  </si>
  <si>
    <t xml:space="preserve">BNK50220</t>
  </si>
  <si>
    <t xml:space="preserve">BNK50221</t>
  </si>
  <si>
    <t xml:space="preserve">BNK50222</t>
  </si>
  <si>
    <t xml:space="preserve">BNK50223</t>
  </si>
  <si>
    <t xml:space="preserve">BNK50224</t>
  </si>
  <si>
    <t xml:space="preserve">BNK50225</t>
  </si>
  <si>
    <t xml:space="preserve">BNK50226</t>
  </si>
  <si>
    <t xml:space="preserve">BNK50227</t>
  </si>
  <si>
    <t xml:space="preserve">BNK50228</t>
  </si>
  <si>
    <t xml:space="preserve">BNK50229</t>
  </si>
  <si>
    <t xml:space="preserve">BNK50230</t>
  </si>
  <si>
    <t xml:space="preserve">BNK50231</t>
  </si>
  <si>
    <t xml:space="preserve">BNK50232</t>
  </si>
  <si>
    <t xml:space="preserve">BNK50233</t>
  </si>
  <si>
    <t xml:space="preserve">BNK50234</t>
  </si>
  <si>
    <t xml:space="preserve">BNK50235</t>
  </si>
  <si>
    <t xml:space="preserve">BNK50236</t>
  </si>
  <si>
    <t xml:space="preserve">BNK50237</t>
  </si>
  <si>
    <t xml:space="preserve">BNK50238</t>
  </si>
  <si>
    <t xml:space="preserve">BNK50239</t>
  </si>
  <si>
    <t xml:space="preserve">BNK50240</t>
  </si>
  <si>
    <t xml:space="preserve">BNK50241</t>
  </si>
  <si>
    <t xml:space="preserve">BNK50242</t>
  </si>
  <si>
    <t xml:space="preserve">BNK50243</t>
  </si>
  <si>
    <t xml:space="preserve">BNK50244</t>
  </si>
  <si>
    <t xml:space="preserve">BNK50245</t>
  </si>
  <si>
    <t xml:space="preserve">BNK50246</t>
  </si>
  <si>
    <t xml:space="preserve">BNK50247</t>
  </si>
  <si>
    <t xml:space="preserve">BNK50248</t>
  </si>
  <si>
    <t xml:space="preserve">BNK50249</t>
  </si>
  <si>
    <t xml:space="preserve">BNK50250</t>
  </si>
  <si>
    <t xml:space="preserve">BNK50251</t>
  </si>
  <si>
    <t xml:space="preserve">BNK50252</t>
  </si>
  <si>
    <t xml:space="preserve">BNK50253</t>
  </si>
  <si>
    <t xml:space="preserve">BNK50254</t>
  </si>
  <si>
    <t xml:space="preserve">BNK50255</t>
  </si>
  <si>
    <t xml:space="preserve">BNK50256</t>
  </si>
  <si>
    <t xml:space="preserve">BNK50257</t>
  </si>
  <si>
    <t xml:space="preserve">BNK50258</t>
  </si>
  <si>
    <t xml:space="preserve">BNK50259</t>
  </si>
  <si>
    <t xml:space="preserve">BNK50260</t>
  </si>
  <si>
    <t xml:space="preserve">BNK50261</t>
  </si>
  <si>
    <t xml:space="preserve">BNK50262</t>
  </si>
  <si>
    <t xml:space="preserve">BNK50263</t>
  </si>
  <si>
    <t xml:space="preserve">BNK50264</t>
  </si>
  <si>
    <t xml:space="preserve">BNK50265</t>
  </si>
  <si>
    <t xml:space="preserve">BNK50266</t>
  </si>
  <si>
    <t xml:space="preserve">BNK50267</t>
  </si>
  <si>
    <t xml:space="preserve">BNK50268</t>
  </si>
  <si>
    <t xml:space="preserve">BNK50269</t>
  </si>
  <si>
    <t xml:space="preserve">BNK50270</t>
  </si>
  <si>
    <t xml:space="preserve">BNK50271</t>
  </si>
  <si>
    <t xml:space="preserve">BNK50272</t>
  </si>
  <si>
    <t xml:space="preserve">BNK50273</t>
  </si>
  <si>
    <t xml:space="preserve">BNK50274</t>
  </si>
  <si>
    <t xml:space="preserve">BNK50275</t>
  </si>
  <si>
    <t xml:space="preserve">BNK50276</t>
  </si>
  <si>
    <t xml:space="preserve">BNK50277</t>
  </si>
  <si>
    <t xml:space="preserve">BNK50278</t>
  </si>
  <si>
    <t xml:space="preserve">BNK50279</t>
  </si>
  <si>
    <t xml:space="preserve">BNK50280</t>
  </si>
  <si>
    <t xml:space="preserve">BNK50281</t>
  </si>
  <si>
    <t xml:space="preserve">BNK50282</t>
  </si>
  <si>
    <t xml:space="preserve">BNK50283</t>
  </si>
  <si>
    <t xml:space="preserve">BNK50284</t>
  </si>
  <si>
    <t xml:space="preserve">BNK50285</t>
  </si>
  <si>
    <t xml:space="preserve">BNK50286</t>
  </si>
  <si>
    <t xml:space="preserve">BNK50287</t>
  </si>
  <si>
    <t xml:space="preserve">BNK50288</t>
  </si>
  <si>
    <t xml:space="preserve">BNK50289</t>
  </si>
  <si>
    <t xml:space="preserve">BNK50290</t>
  </si>
  <si>
    <t xml:space="preserve">BNK50291</t>
  </si>
  <si>
    <t xml:space="preserve">BNK50292</t>
  </si>
  <si>
    <t xml:space="preserve">BNK50293</t>
  </si>
  <si>
    <t xml:space="preserve">BNK50294</t>
  </si>
  <si>
    <t xml:space="preserve">BNK50295</t>
  </si>
  <si>
    <t xml:space="preserve">BNK50296</t>
  </si>
  <si>
    <t xml:space="preserve">BNK50297</t>
  </si>
  <si>
    <t xml:space="preserve">BNK50298</t>
  </si>
  <si>
    <t xml:space="preserve">BNK50299</t>
  </si>
  <si>
    <t xml:space="preserve">BNK50300</t>
  </si>
  <si>
    <t xml:space="preserve">BNK50301</t>
  </si>
  <si>
    <t xml:space="preserve">BNK50302</t>
  </si>
  <si>
    <t xml:space="preserve">BNK50303</t>
  </si>
  <si>
    <t xml:space="preserve">BNK50304</t>
  </si>
  <si>
    <t xml:space="preserve">BNK50305</t>
  </si>
  <si>
    <t xml:space="preserve">BNK50306</t>
  </si>
  <si>
    <t xml:space="preserve">BNK50307</t>
  </si>
  <si>
    <t xml:space="preserve">BNK50308</t>
  </si>
  <si>
    <t xml:space="preserve">BNK50309</t>
  </si>
  <si>
    <t xml:space="preserve">BNK50310</t>
  </si>
  <si>
    <t xml:space="preserve">BNK50311</t>
  </si>
  <si>
    <t xml:space="preserve">BNK50312</t>
  </si>
  <si>
    <t xml:space="preserve">BNK50313</t>
  </si>
  <si>
    <t xml:space="preserve">BNK50314</t>
  </si>
  <si>
    <t xml:space="preserve">BNK50315</t>
  </si>
  <si>
    <t xml:space="preserve">BNK50316</t>
  </si>
  <si>
    <t xml:space="preserve">BNK50317</t>
  </si>
  <si>
    <t xml:space="preserve">BNK50318</t>
  </si>
  <si>
    <t xml:space="preserve">BNK50319</t>
  </si>
  <si>
    <t xml:space="preserve">BNK50320</t>
  </si>
  <si>
    <t xml:space="preserve">BNK50321</t>
  </si>
  <si>
    <t xml:space="preserve">BNK50322</t>
  </si>
  <si>
    <t xml:space="preserve">BNK50323</t>
  </si>
  <si>
    <t xml:space="preserve">BNK50324</t>
  </si>
  <si>
    <t xml:space="preserve">BNK50325</t>
  </si>
  <si>
    <t xml:space="preserve">BNK50326</t>
  </si>
  <si>
    <t xml:space="preserve">BNK50327</t>
  </si>
  <si>
    <t xml:space="preserve">BNK50328</t>
  </si>
  <si>
    <t xml:space="preserve">BNK50329</t>
  </si>
  <si>
    <t xml:space="preserve">BNK50330</t>
  </si>
  <si>
    <t xml:space="preserve">BNK50331</t>
  </si>
  <si>
    <t xml:space="preserve">BNK50332</t>
  </si>
  <si>
    <t xml:space="preserve">BNK50333</t>
  </si>
  <si>
    <t xml:space="preserve">BNK50334</t>
  </si>
  <si>
    <t xml:space="preserve">BNK50335</t>
  </si>
  <si>
    <t xml:space="preserve">BNK50336</t>
  </si>
  <si>
    <t xml:space="preserve">BNK50337</t>
  </si>
  <si>
    <t xml:space="preserve">BNK50338</t>
  </si>
  <si>
    <t xml:space="preserve">BNK50339</t>
  </si>
  <si>
    <t xml:space="preserve">BNK50340</t>
  </si>
  <si>
    <t xml:space="preserve">BNK50341</t>
  </si>
  <si>
    <t xml:space="preserve">BNK50342</t>
  </si>
  <si>
    <t xml:space="preserve">BNK50343</t>
  </si>
  <si>
    <t xml:space="preserve">BNK50344</t>
  </si>
  <si>
    <t xml:space="preserve">BNK50345</t>
  </si>
  <si>
    <t xml:space="preserve">BNK50346</t>
  </si>
  <si>
    <t xml:space="preserve">BNK50347</t>
  </si>
  <si>
    <t xml:space="preserve">BNK50348</t>
  </si>
  <si>
    <t xml:space="preserve">BNK50349</t>
  </si>
  <si>
    <t xml:space="preserve">BNK50350</t>
  </si>
  <si>
    <t xml:space="preserve">BNK50351</t>
  </si>
  <si>
    <t xml:space="preserve">BNK50352</t>
  </si>
  <si>
    <t xml:space="preserve">BNK50353</t>
  </si>
  <si>
    <t xml:space="preserve">BNK50354</t>
  </si>
  <si>
    <t xml:space="preserve">BNK50355</t>
  </si>
  <si>
    <t xml:space="preserve">BNK50356</t>
  </si>
  <si>
    <t xml:space="preserve">BNK50357</t>
  </si>
  <si>
    <t xml:space="preserve">BNK50358</t>
  </si>
  <si>
    <t xml:space="preserve">BNK50359</t>
  </si>
  <si>
    <t xml:space="preserve">BNK50360</t>
  </si>
  <si>
    <t xml:space="preserve">BNK50361</t>
  </si>
  <si>
    <t xml:space="preserve">BNK50362</t>
  </si>
  <si>
    <t xml:space="preserve">BNK50363</t>
  </si>
  <si>
    <t xml:space="preserve">BNK50364</t>
  </si>
  <si>
    <t xml:space="preserve">BNK50365</t>
  </si>
  <si>
    <t xml:space="preserve">BNK50366</t>
  </si>
  <si>
    <t xml:space="preserve">BNK50367</t>
  </si>
  <si>
    <t xml:space="preserve">BNK50368</t>
  </si>
  <si>
    <t xml:space="preserve">BNK50369</t>
  </si>
  <si>
    <t xml:space="preserve">BNK50370</t>
  </si>
  <si>
    <t xml:space="preserve">BNK50371</t>
  </si>
  <si>
    <t xml:space="preserve">BNK50372</t>
  </si>
  <si>
    <t xml:space="preserve">BNK50373</t>
  </si>
  <si>
    <t xml:space="preserve">BNK50374</t>
  </si>
  <si>
    <t xml:space="preserve">BNK50375</t>
  </si>
  <si>
    <t xml:space="preserve">BNK50376</t>
  </si>
  <si>
    <t xml:space="preserve">BNK50377</t>
  </si>
  <si>
    <t xml:space="preserve">BNK50378</t>
  </si>
  <si>
    <t xml:space="preserve">BNK50379</t>
  </si>
  <si>
    <t xml:space="preserve">BNK50380</t>
  </si>
  <si>
    <t xml:space="preserve">BNK50381</t>
  </si>
  <si>
    <t xml:space="preserve">BNK50382</t>
  </si>
  <si>
    <t xml:space="preserve">BNK50383</t>
  </si>
  <si>
    <t xml:space="preserve">BNK50384</t>
  </si>
  <si>
    <t xml:space="preserve">BNK50385</t>
  </si>
  <si>
    <t xml:space="preserve">BNK50386</t>
  </si>
  <si>
    <t xml:space="preserve">BNK50387</t>
  </si>
  <si>
    <t xml:space="preserve">BNK50388</t>
  </si>
  <si>
    <t xml:space="preserve">BNK50389</t>
  </si>
  <si>
    <t xml:space="preserve">BNK50390</t>
  </si>
  <si>
    <t xml:space="preserve">BNK50391</t>
  </si>
  <si>
    <t xml:space="preserve">BNK50392</t>
  </si>
  <si>
    <t xml:space="preserve">BNK50393</t>
  </si>
  <si>
    <t xml:space="preserve">BNK50394</t>
  </si>
  <si>
    <t xml:space="preserve">BNK50395</t>
  </si>
  <si>
    <t xml:space="preserve">BNK50396</t>
  </si>
  <si>
    <t xml:space="preserve">BNK50397</t>
  </si>
  <si>
    <t xml:space="preserve">BNK50398</t>
  </si>
  <si>
    <t xml:space="preserve">BNK50399</t>
  </si>
  <si>
    <t xml:space="preserve">BNK50400</t>
  </si>
  <si>
    <t xml:space="preserve">BNK50401</t>
  </si>
  <si>
    <t xml:space="preserve">BNK50402</t>
  </si>
  <si>
    <t xml:space="preserve">BNK50403</t>
  </si>
  <si>
    <t xml:space="preserve">BNK50404</t>
  </si>
  <si>
    <t xml:space="preserve">BNK50405</t>
  </si>
  <si>
    <t xml:space="preserve">BNK50406</t>
  </si>
  <si>
    <t xml:space="preserve">BNK50407</t>
  </si>
  <si>
    <t xml:space="preserve">BNK50408</t>
  </si>
  <si>
    <t xml:space="preserve">BNK50409</t>
  </si>
  <si>
    <t xml:space="preserve">BNK50410</t>
  </si>
  <si>
    <t xml:space="preserve">BNK50411</t>
  </si>
  <si>
    <t xml:space="preserve">BNK50412</t>
  </si>
  <si>
    <t xml:space="preserve">BNK50413</t>
  </si>
  <si>
    <t xml:space="preserve">BNK50414</t>
  </si>
  <si>
    <t xml:space="preserve">BNK50415</t>
  </si>
  <si>
    <t xml:space="preserve">BNK50416</t>
  </si>
  <si>
    <t xml:space="preserve">BNK50417</t>
  </si>
  <si>
    <t xml:space="preserve">BNK50418</t>
  </si>
  <si>
    <t xml:space="preserve">BNK50419</t>
  </si>
  <si>
    <t xml:space="preserve">BNK50420</t>
  </si>
  <si>
    <t xml:space="preserve">BNK50421</t>
  </si>
  <si>
    <t xml:space="preserve">BNK50422</t>
  </si>
  <si>
    <t xml:space="preserve">BNK50423</t>
  </si>
  <si>
    <t xml:space="preserve">BNK50424</t>
  </si>
  <si>
    <t xml:space="preserve">BNK50425</t>
  </si>
  <si>
    <t xml:space="preserve">BNK50426</t>
  </si>
  <si>
    <t xml:space="preserve">BNK50427</t>
  </si>
  <si>
    <t xml:space="preserve">BNK50428</t>
  </si>
  <si>
    <t xml:space="preserve">BNK50429</t>
  </si>
  <si>
    <t xml:space="preserve">BNK50430</t>
  </si>
  <si>
    <t xml:space="preserve">BNK50431</t>
  </si>
  <si>
    <t xml:space="preserve">BNK50432</t>
  </si>
  <si>
    <t xml:space="preserve">BNK50433</t>
  </si>
  <si>
    <t xml:space="preserve">BNK50434</t>
  </si>
  <si>
    <t xml:space="preserve">BNK50435</t>
  </si>
  <si>
    <t xml:space="preserve">BNK50436</t>
  </si>
  <si>
    <t xml:space="preserve">BNK50437</t>
  </si>
  <si>
    <t xml:space="preserve">BNK50438</t>
  </si>
  <si>
    <t xml:space="preserve">BNK50439</t>
  </si>
  <si>
    <t xml:space="preserve">BNK50440</t>
  </si>
  <si>
    <t xml:space="preserve">BNK50441</t>
  </si>
  <si>
    <t xml:space="preserve">BNK50442</t>
  </si>
  <si>
    <t xml:space="preserve">BNK50443</t>
  </si>
  <si>
    <t xml:space="preserve">BNK50444</t>
  </si>
  <si>
    <t xml:space="preserve">BNK50445</t>
  </si>
  <si>
    <t xml:space="preserve">BNK50446</t>
  </si>
  <si>
    <t xml:space="preserve">BNK50447</t>
  </si>
  <si>
    <t xml:space="preserve">BNK50448</t>
  </si>
  <si>
    <t xml:space="preserve">BNK50449</t>
  </si>
  <si>
    <t xml:space="preserve">BNK50450</t>
  </si>
  <si>
    <t xml:space="preserve">BNK50451</t>
  </si>
  <si>
    <t xml:space="preserve">BNK50452</t>
  </si>
  <si>
    <t xml:space="preserve">BNK50453</t>
  </si>
  <si>
    <t xml:space="preserve">BNK50454</t>
  </si>
  <si>
    <t xml:space="preserve">BNK50455</t>
  </si>
  <si>
    <t xml:space="preserve">BNK50456</t>
  </si>
  <si>
    <t xml:space="preserve">BNK50457</t>
  </si>
  <si>
    <t xml:space="preserve">BNK50458</t>
  </si>
  <si>
    <t xml:space="preserve">BNK50459</t>
  </si>
  <si>
    <t xml:space="preserve">BNK50460</t>
  </si>
  <si>
    <t xml:space="preserve">BNK50461</t>
  </si>
  <si>
    <t xml:space="preserve">BNK50462</t>
  </si>
  <si>
    <t xml:space="preserve">BNK50463</t>
  </si>
  <si>
    <t xml:space="preserve">BNK50464</t>
  </si>
  <si>
    <t xml:space="preserve">BNK50465</t>
  </si>
  <si>
    <t xml:space="preserve">BNK50466</t>
  </si>
  <si>
    <t xml:space="preserve">BNK50467</t>
  </si>
  <si>
    <t xml:space="preserve">BNK50468</t>
  </si>
  <si>
    <t xml:space="preserve">BNK50469</t>
  </si>
  <si>
    <t xml:space="preserve">BNK50470</t>
  </si>
  <si>
    <t xml:space="preserve">BNK50471</t>
  </si>
  <si>
    <t xml:space="preserve">BNK50472</t>
  </si>
  <si>
    <t xml:space="preserve">BNK50473</t>
  </si>
  <si>
    <t xml:space="preserve">BNK50474</t>
  </si>
  <si>
    <t xml:space="preserve">BNK50475</t>
  </si>
  <si>
    <t xml:space="preserve">BNK50476</t>
  </si>
  <si>
    <t xml:space="preserve">BNK50477</t>
  </si>
  <si>
    <t xml:space="preserve">BNK50478</t>
  </si>
  <si>
    <t xml:space="preserve">BNK50479</t>
  </si>
  <si>
    <t xml:space="preserve">BNK50480</t>
  </si>
  <si>
    <t xml:space="preserve">BNK50481</t>
  </si>
  <si>
    <t xml:space="preserve">BNK50482</t>
  </si>
  <si>
    <t xml:space="preserve">BNK50483</t>
  </si>
  <si>
    <t xml:space="preserve">BNK50484</t>
  </si>
  <si>
    <t xml:space="preserve">BNK50485</t>
  </si>
  <si>
    <t xml:space="preserve">BNK50486</t>
  </si>
  <si>
    <t xml:space="preserve">BNK50487</t>
  </si>
  <si>
    <t xml:space="preserve">BNK50488</t>
  </si>
  <si>
    <t xml:space="preserve">BNK50489</t>
  </si>
  <si>
    <t xml:space="preserve">BNK50490</t>
  </si>
  <si>
    <t xml:space="preserve">BNK50491</t>
  </si>
  <si>
    <t xml:space="preserve">BNK50492</t>
  </si>
  <si>
    <t xml:space="preserve">BNK50493</t>
  </si>
  <si>
    <t xml:space="preserve">BNK50494</t>
  </si>
  <si>
    <t xml:space="preserve">BNK50495</t>
  </si>
  <si>
    <t xml:space="preserve">BNK50496</t>
  </si>
  <si>
    <t xml:space="preserve">BNK50497</t>
  </si>
  <si>
    <t xml:space="preserve">BNK50498</t>
  </si>
  <si>
    <t xml:space="preserve">BNK50499</t>
  </si>
  <si>
    <t xml:space="preserve">BNK50500</t>
  </si>
  <si>
    <t xml:space="preserve">BNK50501</t>
  </si>
  <si>
    <t xml:space="preserve">BNK50502</t>
  </si>
  <si>
    <t xml:space="preserve">BNK50503</t>
  </si>
  <si>
    <t xml:space="preserve">BNK50504</t>
  </si>
  <si>
    <t xml:space="preserve">BNK50505</t>
  </si>
  <si>
    <t xml:space="preserve">BNK50506</t>
  </si>
  <si>
    <t xml:space="preserve">BNK50507</t>
  </si>
  <si>
    <t xml:space="preserve">BNK50508</t>
  </si>
  <si>
    <t xml:space="preserve">BNK50509</t>
  </si>
  <si>
    <t xml:space="preserve">BNK50510</t>
  </si>
  <si>
    <t xml:space="preserve">BNK50511</t>
  </si>
  <si>
    <t xml:space="preserve">BNK50512</t>
  </si>
  <si>
    <t xml:space="preserve">BNK50513</t>
  </si>
  <si>
    <t xml:space="preserve">BNK50514</t>
  </si>
  <si>
    <t xml:space="preserve">BNK50515</t>
  </si>
  <si>
    <t xml:space="preserve">BNK50516</t>
  </si>
  <si>
    <t xml:space="preserve">BNK50517</t>
  </si>
  <si>
    <t xml:space="preserve">BNK50518</t>
  </si>
  <si>
    <t xml:space="preserve">BNK50519</t>
  </si>
  <si>
    <t xml:space="preserve">BNK50520</t>
  </si>
  <si>
    <t xml:space="preserve">BNK50521</t>
  </si>
  <si>
    <t xml:space="preserve">BNK50522</t>
  </si>
  <si>
    <t xml:space="preserve">BNK50523</t>
  </si>
  <si>
    <t xml:space="preserve">BNK50524</t>
  </si>
  <si>
    <t xml:space="preserve">BNK50525</t>
  </si>
  <si>
    <t xml:space="preserve">BNK50526</t>
  </si>
  <si>
    <t xml:space="preserve">BNK50527</t>
  </si>
  <si>
    <t xml:space="preserve">BNK50528</t>
  </si>
  <si>
    <t xml:space="preserve">BNK50529</t>
  </si>
  <si>
    <t xml:space="preserve">BNK50530</t>
  </si>
  <si>
    <t xml:space="preserve">BNK50531</t>
  </si>
  <si>
    <t xml:space="preserve">BNK50532</t>
  </si>
  <si>
    <t xml:space="preserve">BNK50533</t>
  </si>
  <si>
    <t xml:space="preserve">BNK50534</t>
  </si>
  <si>
    <t xml:space="preserve">BNK50535</t>
  </si>
  <si>
    <t xml:space="preserve">BNK50536</t>
  </si>
  <si>
    <t xml:space="preserve">BNK50537</t>
  </si>
  <si>
    <t xml:space="preserve">BNK50538</t>
  </si>
  <si>
    <t xml:space="preserve">BNK50539</t>
  </si>
  <si>
    <t xml:space="preserve">BNK50540</t>
  </si>
  <si>
    <t xml:space="preserve">BNK50541</t>
  </si>
  <si>
    <t xml:space="preserve">BNK50542</t>
  </si>
  <si>
    <t xml:space="preserve">BNK50543</t>
  </si>
  <si>
    <t xml:space="preserve">BNK50544</t>
  </si>
  <si>
    <t xml:space="preserve">BNK50545</t>
  </si>
  <si>
    <t xml:space="preserve">BNK50546</t>
  </si>
  <si>
    <t xml:space="preserve">BNK50547</t>
  </si>
  <si>
    <t xml:space="preserve">BNK50548</t>
  </si>
  <si>
    <t xml:space="preserve">BNK50549</t>
  </si>
  <si>
    <t xml:space="preserve">BNK50550</t>
  </si>
  <si>
    <t xml:space="preserve">BNK50551</t>
  </si>
  <si>
    <t xml:space="preserve">BNK50552</t>
  </si>
  <si>
    <t xml:space="preserve">BNK50553</t>
  </si>
  <si>
    <t xml:space="preserve">BNK50554</t>
  </si>
  <si>
    <t xml:space="preserve">BNK50555</t>
  </si>
  <si>
    <t xml:space="preserve">BNK50556</t>
  </si>
  <si>
    <t xml:space="preserve">BNK50557</t>
  </si>
  <si>
    <t xml:space="preserve">BNK50558</t>
  </si>
  <si>
    <t xml:space="preserve">BNK50559</t>
  </si>
  <si>
    <t xml:space="preserve">BNK50560</t>
  </si>
  <si>
    <t xml:space="preserve">BNK50561</t>
  </si>
  <si>
    <t xml:space="preserve">BNK50562</t>
  </si>
  <si>
    <t xml:space="preserve">BNK50563</t>
  </si>
  <si>
    <t xml:space="preserve">BNK50564</t>
  </si>
  <si>
    <t xml:space="preserve">BNK50565</t>
  </si>
  <si>
    <t xml:space="preserve">BNK50566</t>
  </si>
  <si>
    <t xml:space="preserve">BNK50567</t>
  </si>
  <si>
    <t xml:space="preserve">BNK50568</t>
  </si>
  <si>
    <t xml:space="preserve">BNK50569</t>
  </si>
  <si>
    <t xml:space="preserve">BNK50570</t>
  </si>
  <si>
    <t xml:space="preserve">BNK50571</t>
  </si>
  <si>
    <t xml:space="preserve">BNK50572</t>
  </si>
  <si>
    <t xml:space="preserve">BNK50573</t>
  </si>
  <si>
    <t xml:space="preserve">BNK50574</t>
  </si>
  <si>
    <t xml:space="preserve">BNK50575</t>
  </si>
  <si>
    <t xml:space="preserve">BNK50576</t>
  </si>
  <si>
    <t xml:space="preserve">BNK50577</t>
  </si>
  <si>
    <t xml:space="preserve">BNK50578</t>
  </si>
  <si>
    <t xml:space="preserve">BNK50579</t>
  </si>
  <si>
    <t xml:space="preserve">BNK50580</t>
  </si>
  <si>
    <t xml:space="preserve">BNK50581</t>
  </si>
  <si>
    <t xml:space="preserve">BNK50582</t>
  </si>
  <si>
    <t xml:space="preserve">BNK50583</t>
  </si>
  <si>
    <t xml:space="preserve">BNK50584</t>
  </si>
  <si>
    <t xml:space="preserve">BNK50585</t>
  </si>
  <si>
    <t xml:space="preserve">BNK50586</t>
  </si>
  <si>
    <t xml:space="preserve">BNK50587</t>
  </si>
  <si>
    <t xml:space="preserve">BNK50588</t>
  </si>
  <si>
    <t xml:space="preserve">BNK50589</t>
  </si>
  <si>
    <t xml:space="preserve">BNK50590</t>
  </si>
  <si>
    <t xml:space="preserve">BNK50591</t>
  </si>
  <si>
    <t xml:space="preserve">BNK50592</t>
  </si>
  <si>
    <t xml:space="preserve">BNK50593</t>
  </si>
  <si>
    <t xml:space="preserve">BNK50594</t>
  </si>
  <si>
    <t xml:space="preserve">BNK50595</t>
  </si>
  <si>
    <t xml:space="preserve">BNK50596</t>
  </si>
  <si>
    <t xml:space="preserve">BNK50597</t>
  </si>
  <si>
    <t xml:space="preserve">BNK50598</t>
  </si>
  <si>
    <t xml:space="preserve">BNK50599</t>
  </si>
  <si>
    <t xml:space="preserve">BNK50600</t>
  </si>
  <si>
    <t xml:space="preserve">BNK50601</t>
  </si>
  <si>
    <t xml:space="preserve">BNK50602</t>
  </si>
  <si>
    <t xml:space="preserve">BNK50603</t>
  </si>
  <si>
    <t xml:space="preserve">BNK50604</t>
  </si>
  <si>
    <t xml:space="preserve">BNK50605</t>
  </si>
  <si>
    <t xml:space="preserve">BNK50606</t>
  </si>
  <si>
    <t xml:space="preserve">BNK50607</t>
  </si>
  <si>
    <t xml:space="preserve">BNK50608</t>
  </si>
  <si>
    <t xml:space="preserve">BNK50609</t>
  </si>
  <si>
    <t xml:space="preserve">BNK50610</t>
  </si>
  <si>
    <t xml:space="preserve">BNK50611</t>
  </si>
  <si>
    <t xml:space="preserve">BNK50612</t>
  </si>
  <si>
    <t xml:space="preserve">BNK50613</t>
  </si>
  <si>
    <t xml:space="preserve">BNK50614</t>
  </si>
  <si>
    <t xml:space="preserve">BNK50615</t>
  </si>
  <si>
    <t xml:space="preserve">BNK50616</t>
  </si>
  <si>
    <t xml:space="preserve">BNK50617</t>
  </si>
  <si>
    <t xml:space="preserve">BNK50618</t>
  </si>
  <si>
    <t xml:space="preserve">BNK50619</t>
  </si>
  <si>
    <t xml:space="preserve">BNK50620</t>
  </si>
  <si>
    <t xml:space="preserve">BNK50621</t>
  </si>
  <si>
    <t xml:space="preserve">BNK50622</t>
  </si>
  <si>
    <t xml:space="preserve">BNK50623</t>
  </si>
  <si>
    <t xml:space="preserve">BNK50624</t>
  </si>
  <si>
    <t xml:space="preserve">BNK50625</t>
  </si>
  <si>
    <t xml:space="preserve">BNK50626</t>
  </si>
  <si>
    <t xml:space="preserve">BNK50627</t>
  </si>
  <si>
    <t xml:space="preserve">BNK50628</t>
  </si>
  <si>
    <t xml:space="preserve">BNK50629</t>
  </si>
  <si>
    <t xml:space="preserve">BNK50630</t>
  </si>
  <si>
    <t xml:space="preserve">BNK50631</t>
  </si>
  <si>
    <t xml:space="preserve">BNK50632</t>
  </si>
  <si>
    <t xml:space="preserve">BNK50633</t>
  </si>
  <si>
    <t xml:space="preserve">BNK50634</t>
  </si>
  <si>
    <t xml:space="preserve">BNK50635</t>
  </si>
  <si>
    <t xml:space="preserve">BNK50636</t>
  </si>
  <si>
    <t xml:space="preserve">BNK50637</t>
  </si>
  <si>
    <t xml:space="preserve">BNK50638</t>
  </si>
  <si>
    <t xml:space="preserve">BNK50639</t>
  </si>
  <si>
    <t xml:space="preserve">BNK50640</t>
  </si>
  <si>
    <t xml:space="preserve">BNK50641</t>
  </si>
  <si>
    <t xml:space="preserve">BNK50642</t>
  </si>
  <si>
    <t xml:space="preserve">BNK50643</t>
  </si>
  <si>
    <t xml:space="preserve">BNK50644</t>
  </si>
  <si>
    <t xml:space="preserve">BNK50645</t>
  </si>
  <si>
    <t xml:space="preserve">BNK50646</t>
  </si>
  <si>
    <t xml:space="preserve">BNK50647</t>
  </si>
  <si>
    <t xml:space="preserve">BNK50648</t>
  </si>
  <si>
    <t xml:space="preserve">BNK50649</t>
  </si>
  <si>
    <t xml:space="preserve">BNK50650</t>
  </si>
  <si>
    <t xml:space="preserve">BNK50651</t>
  </si>
  <si>
    <t xml:space="preserve">BNK50652</t>
  </si>
  <si>
    <t xml:space="preserve">BNK50653</t>
  </si>
  <si>
    <t xml:space="preserve">BNK50654</t>
  </si>
  <si>
    <t xml:space="preserve">BNK50655</t>
  </si>
  <si>
    <t xml:space="preserve">BNK50656</t>
  </si>
  <si>
    <t xml:space="preserve">BNK50657</t>
  </si>
  <si>
    <t xml:space="preserve">BNK50658</t>
  </si>
  <si>
    <t xml:space="preserve">BNK50659</t>
  </si>
  <si>
    <t xml:space="preserve">BNK50660</t>
  </si>
  <si>
    <t xml:space="preserve">BNK50661</t>
  </si>
  <si>
    <t xml:space="preserve">BNK50662</t>
  </si>
  <si>
    <t xml:space="preserve">BNK50663</t>
  </si>
  <si>
    <t xml:space="preserve">BNK50664</t>
  </si>
  <si>
    <t xml:space="preserve">BNK50665</t>
  </si>
  <si>
    <t xml:space="preserve">BNK50666</t>
  </si>
  <si>
    <t xml:space="preserve">BNK50667</t>
  </si>
  <si>
    <t xml:space="preserve">BNK50668</t>
  </si>
  <si>
    <t xml:space="preserve">BNK50669</t>
  </si>
  <si>
    <t xml:space="preserve">BNK50670</t>
  </si>
  <si>
    <t xml:space="preserve">BNK50671</t>
  </si>
  <si>
    <t xml:space="preserve">BNK50672</t>
  </si>
  <si>
    <t xml:space="preserve">BNK50673</t>
  </si>
  <si>
    <t xml:space="preserve">BNK50674</t>
  </si>
  <si>
    <t xml:space="preserve">BNK50675</t>
  </si>
  <si>
    <t xml:space="preserve">BNK50676</t>
  </si>
  <si>
    <t xml:space="preserve">BNK50677</t>
  </si>
  <si>
    <t xml:space="preserve">BNK50678</t>
  </si>
  <si>
    <t xml:space="preserve">BNK50679</t>
  </si>
  <si>
    <t xml:space="preserve">BNK50680</t>
  </si>
  <si>
    <t xml:space="preserve">BNK50681</t>
  </si>
  <si>
    <t xml:space="preserve">BNK50682</t>
  </si>
  <si>
    <t xml:space="preserve">BNK50683</t>
  </si>
  <si>
    <t xml:space="preserve">BNK50684</t>
  </si>
  <si>
    <t xml:space="preserve">BNK50685</t>
  </si>
  <si>
    <t xml:space="preserve">BNK50686</t>
  </si>
  <si>
    <t xml:space="preserve">BNK50687</t>
  </si>
  <si>
    <t xml:space="preserve">BNK50688</t>
  </si>
  <si>
    <t xml:space="preserve">BNK50689</t>
  </si>
  <si>
    <t xml:space="preserve">BNK50690</t>
  </si>
  <si>
    <t xml:space="preserve">BNK50691</t>
  </si>
  <si>
    <t xml:space="preserve">BNK50692</t>
  </si>
  <si>
    <t xml:space="preserve">BNK50693</t>
  </si>
  <si>
    <t xml:space="preserve">BNK50694</t>
  </si>
  <si>
    <t xml:space="preserve">BNK50695</t>
  </si>
  <si>
    <t xml:space="preserve">BNK50696</t>
  </si>
  <si>
    <t xml:space="preserve">BNK50697</t>
  </si>
  <si>
    <t xml:space="preserve">BNK50698</t>
  </si>
  <si>
    <t xml:space="preserve">BNK50699</t>
  </si>
  <si>
    <t xml:space="preserve">BNK50700</t>
  </si>
  <si>
    <t xml:space="preserve">BNK50701</t>
  </si>
  <si>
    <t xml:space="preserve">BNK50702</t>
  </si>
  <si>
    <t xml:space="preserve">BNK50703</t>
  </si>
  <si>
    <t xml:space="preserve">BNK50704</t>
  </si>
  <si>
    <t xml:space="preserve">BNK50705</t>
  </si>
  <si>
    <t xml:space="preserve">BNK50706</t>
  </si>
  <si>
    <t xml:space="preserve">BNK50707</t>
  </si>
  <si>
    <t xml:space="preserve">BNK50708</t>
  </si>
  <si>
    <t xml:space="preserve">BNK50709</t>
  </si>
  <si>
    <t xml:space="preserve">BNK50710</t>
  </si>
  <si>
    <t xml:space="preserve">BNK50711</t>
  </si>
  <si>
    <t xml:space="preserve">BNK50712</t>
  </si>
  <si>
    <t xml:space="preserve">BNK50713</t>
  </si>
  <si>
    <t xml:space="preserve">BNK50714</t>
  </si>
  <si>
    <t xml:space="preserve">BNK50715</t>
  </si>
  <si>
    <t xml:space="preserve">BNK50716</t>
  </si>
  <si>
    <t xml:space="preserve">BNK50717</t>
  </si>
  <si>
    <t xml:space="preserve">BNK50718</t>
  </si>
  <si>
    <t xml:space="preserve">BNK50719</t>
  </si>
  <si>
    <t xml:space="preserve">BNK50720</t>
  </si>
  <si>
    <t xml:space="preserve">BNK50721</t>
  </si>
  <si>
    <t xml:space="preserve">BNK50722</t>
  </si>
  <si>
    <t xml:space="preserve">BNK50723</t>
  </si>
  <si>
    <t xml:space="preserve">BNK50724</t>
  </si>
  <si>
    <t xml:space="preserve">BNK50725</t>
  </si>
  <si>
    <t xml:space="preserve">BNK50726</t>
  </si>
  <si>
    <t xml:space="preserve">BNK50727</t>
  </si>
  <si>
    <t xml:space="preserve">BNK50728</t>
  </si>
  <si>
    <t xml:space="preserve">BNK50729</t>
  </si>
  <si>
    <t xml:space="preserve">BNK50730</t>
  </si>
  <si>
    <t xml:space="preserve">BNK50731</t>
  </si>
  <si>
    <t xml:space="preserve">BNK50732</t>
  </si>
  <si>
    <t xml:space="preserve">BNK50733</t>
  </si>
  <si>
    <t xml:space="preserve">BNK50734</t>
  </si>
  <si>
    <t xml:space="preserve">BNK50735</t>
  </si>
  <si>
    <t xml:space="preserve">BNK50736</t>
  </si>
  <si>
    <t xml:space="preserve">BNK50737</t>
  </si>
  <si>
    <t xml:space="preserve">BNK50738</t>
  </si>
  <si>
    <t xml:space="preserve">BNK50739</t>
  </si>
  <si>
    <t xml:space="preserve">BNK50740</t>
  </si>
  <si>
    <t xml:space="preserve">BNK50741</t>
  </si>
  <si>
    <t xml:space="preserve">BNK50742</t>
  </si>
  <si>
    <t xml:space="preserve">BNK50743</t>
  </si>
  <si>
    <t xml:space="preserve">BNK50744</t>
  </si>
  <si>
    <t xml:space="preserve">BNK50745</t>
  </si>
  <si>
    <t xml:space="preserve">BNK50746</t>
  </si>
  <si>
    <t xml:space="preserve">BNK50747</t>
  </si>
  <si>
    <t xml:space="preserve">BNK50748</t>
  </si>
  <si>
    <t xml:space="preserve">BNK50749</t>
  </si>
  <si>
    <t xml:space="preserve">BNK50750</t>
  </si>
  <si>
    <t xml:space="preserve">BNK50751</t>
  </si>
  <si>
    <t xml:space="preserve">BNK50752</t>
  </si>
  <si>
    <t xml:space="preserve">BNK50753</t>
  </si>
  <si>
    <t xml:space="preserve">Bank Service Charge</t>
  </si>
  <si>
    <t xml:space="preserve">BNK50754</t>
  </si>
  <si>
    <t xml:space="preserve">FX Adjustment</t>
  </si>
  <si>
    <t xml:space="preserve">BNK50755</t>
  </si>
  <si>
    <t xml:space="preserve">BNK50756</t>
  </si>
  <si>
    <t xml:space="preserve">BNK50757</t>
  </si>
  <si>
    <t xml:space="preserve">BNK50758</t>
  </si>
  <si>
    <t xml:space="preserve">Wire Transfer Fee</t>
  </si>
  <si>
    <t xml:space="preserve">BNK50759</t>
  </si>
  <si>
    <t xml:space="preserve">BNK50760</t>
  </si>
  <si>
    <t xml:space="preserve">BNK50761</t>
  </si>
  <si>
    <t xml:space="preserve">BNK50762</t>
  </si>
  <si>
    <t xml:space="preserve">BNK50763</t>
  </si>
  <si>
    <t xml:space="preserve">BNK50764</t>
  </si>
  <si>
    <t xml:space="preserve">BNK50765</t>
  </si>
  <si>
    <t xml:space="preserve">BNK50766</t>
  </si>
  <si>
    <t xml:space="preserve">BNK50767</t>
  </si>
  <si>
    <t xml:space="preserve">BNK50768</t>
  </si>
  <si>
    <t xml:space="preserve">BNK50769</t>
  </si>
  <si>
    <t xml:space="preserve">BNK50770</t>
  </si>
  <si>
    <t xml:space="preserve">BNK50771</t>
  </si>
  <si>
    <t xml:space="preserve">BNK50772</t>
  </si>
  <si>
    <t xml:space="preserve">BNK50773</t>
  </si>
  <si>
    <t xml:space="preserve">BNK50774</t>
  </si>
  <si>
    <t xml:space="preserve">BNK50775</t>
  </si>
  <si>
    <t xml:space="preserve">BNK50776</t>
  </si>
  <si>
    <t xml:space="preserve">BNK50777</t>
  </si>
  <si>
    <t xml:space="preserve">BNK50778</t>
  </si>
  <si>
    <t xml:space="preserve">BNK50779</t>
  </si>
  <si>
    <t xml:space="preserve">BNK50780</t>
  </si>
  <si>
    <t xml:space="preserve">BNK50781</t>
  </si>
  <si>
    <t xml:space="preserve">BNK50782</t>
  </si>
  <si>
    <t xml:space="preserve">AR_Invoice_ID</t>
  </si>
  <si>
    <t xml:space="preserve">Billing_Date</t>
  </si>
  <si>
    <t xml:space="preserve">ARI60001</t>
  </si>
  <si>
    <t xml:space="preserve">ARI60002</t>
  </si>
  <si>
    <t xml:space="preserve">ARI60003</t>
  </si>
  <si>
    <t xml:space="preserve">ARI60004</t>
  </si>
  <si>
    <t xml:space="preserve">ARI60005</t>
  </si>
  <si>
    <t xml:space="preserve">ARI60006</t>
  </si>
  <si>
    <t xml:space="preserve">ARI60007</t>
  </si>
  <si>
    <t xml:space="preserve">ARI60008</t>
  </si>
  <si>
    <t xml:space="preserve">ARI60009</t>
  </si>
  <si>
    <t xml:space="preserve">ARI60010</t>
  </si>
  <si>
    <t xml:space="preserve">ARI60011</t>
  </si>
  <si>
    <t xml:space="preserve">ARI60012</t>
  </si>
  <si>
    <t xml:space="preserve">ARI60013</t>
  </si>
  <si>
    <t xml:space="preserve">ARI60014</t>
  </si>
  <si>
    <t xml:space="preserve">ARI60015</t>
  </si>
  <si>
    <t xml:space="preserve">ARI60016</t>
  </si>
  <si>
    <t xml:space="preserve">ARI60017</t>
  </si>
  <si>
    <t xml:space="preserve">ARI60018</t>
  </si>
  <si>
    <t xml:space="preserve">ARI60019</t>
  </si>
  <si>
    <t xml:space="preserve">ARI60020</t>
  </si>
  <si>
    <t xml:space="preserve">ARI60021</t>
  </si>
  <si>
    <t xml:space="preserve">ARI60022</t>
  </si>
  <si>
    <t xml:space="preserve">ARI60023</t>
  </si>
  <si>
    <t xml:space="preserve">ARI60024</t>
  </si>
  <si>
    <t xml:space="preserve">ARI60025</t>
  </si>
  <si>
    <t xml:space="preserve">ARI60026</t>
  </si>
  <si>
    <t xml:space="preserve">ARI60027</t>
  </si>
  <si>
    <t xml:space="preserve">ARI60028</t>
  </si>
  <si>
    <t xml:space="preserve">ARI60029</t>
  </si>
  <si>
    <t xml:space="preserve">ARI60030</t>
  </si>
  <si>
    <t xml:space="preserve">ARI60031</t>
  </si>
  <si>
    <t xml:space="preserve">ARI60032</t>
  </si>
  <si>
    <t xml:space="preserve">ARI60033</t>
  </si>
  <si>
    <t xml:space="preserve">ARI60034</t>
  </si>
  <si>
    <t xml:space="preserve">ARI60035</t>
  </si>
  <si>
    <t xml:space="preserve">ARI60036</t>
  </si>
  <si>
    <t xml:space="preserve">ARI60037</t>
  </si>
  <si>
    <t xml:space="preserve">ARI60038</t>
  </si>
  <si>
    <t xml:space="preserve">ARI60039</t>
  </si>
  <si>
    <t xml:space="preserve">ARI60040</t>
  </si>
  <si>
    <t xml:space="preserve">ARI60041</t>
  </si>
  <si>
    <t xml:space="preserve">ARI60042</t>
  </si>
  <si>
    <t xml:space="preserve">ARI60043</t>
  </si>
  <si>
    <t xml:space="preserve">ARI60044</t>
  </si>
  <si>
    <t xml:space="preserve">ARI60045</t>
  </si>
  <si>
    <t xml:space="preserve">ARI60046</t>
  </si>
  <si>
    <t xml:space="preserve">ARI60047</t>
  </si>
  <si>
    <t xml:space="preserve">ARI60048</t>
  </si>
  <si>
    <t xml:space="preserve">ARI60049</t>
  </si>
  <si>
    <t xml:space="preserve">ARI60050</t>
  </si>
  <si>
    <t xml:space="preserve">ARI60051</t>
  </si>
  <si>
    <t xml:space="preserve">ARI60052</t>
  </si>
  <si>
    <t xml:space="preserve">ARI60053</t>
  </si>
  <si>
    <t xml:space="preserve">ARI60054</t>
  </si>
  <si>
    <t xml:space="preserve">ARI60055</t>
  </si>
  <si>
    <t xml:space="preserve">ARI60056</t>
  </si>
  <si>
    <t xml:space="preserve">ARI60057</t>
  </si>
  <si>
    <t xml:space="preserve">ARI60058</t>
  </si>
  <si>
    <t xml:space="preserve">ARI60059</t>
  </si>
  <si>
    <t xml:space="preserve">ARI60060</t>
  </si>
  <si>
    <t xml:space="preserve">ARI60061</t>
  </si>
  <si>
    <t xml:space="preserve">ARI60062</t>
  </si>
  <si>
    <t xml:space="preserve">ARI60063</t>
  </si>
  <si>
    <t xml:space="preserve">ARI60064</t>
  </si>
  <si>
    <t xml:space="preserve">ARI60065</t>
  </si>
  <si>
    <t xml:space="preserve">ARI60066</t>
  </si>
  <si>
    <t xml:space="preserve">ARI60067</t>
  </si>
  <si>
    <t xml:space="preserve">ARI60068</t>
  </si>
  <si>
    <t xml:space="preserve">ARI60069</t>
  </si>
  <si>
    <t xml:space="preserve">ARI60070</t>
  </si>
  <si>
    <t xml:space="preserve">ARI60071</t>
  </si>
  <si>
    <t xml:space="preserve">ARI60072</t>
  </si>
  <si>
    <t xml:space="preserve">ARI60073</t>
  </si>
  <si>
    <t xml:space="preserve">ARI60074</t>
  </si>
  <si>
    <t xml:space="preserve">ARI60075</t>
  </si>
  <si>
    <t xml:space="preserve">ARI60076</t>
  </si>
  <si>
    <t xml:space="preserve">ARI60077</t>
  </si>
  <si>
    <t xml:space="preserve">ARI60078</t>
  </si>
  <si>
    <t xml:space="preserve">ARI60079</t>
  </si>
  <si>
    <t xml:space="preserve">ARI60080</t>
  </si>
  <si>
    <t xml:space="preserve">ARI60081</t>
  </si>
  <si>
    <t xml:space="preserve">ARI60082</t>
  </si>
  <si>
    <t xml:space="preserve">ARI60083</t>
  </si>
  <si>
    <t xml:space="preserve">ARI60084</t>
  </si>
  <si>
    <t xml:space="preserve">ARI60085</t>
  </si>
  <si>
    <t xml:space="preserve">ARI60086</t>
  </si>
  <si>
    <t xml:space="preserve">ARI60087</t>
  </si>
  <si>
    <t xml:space="preserve">ARI60088</t>
  </si>
  <si>
    <t xml:space="preserve">ARI60089</t>
  </si>
  <si>
    <t xml:space="preserve">ARI60090</t>
  </si>
  <si>
    <t xml:space="preserve">ARI60091</t>
  </si>
  <si>
    <t xml:space="preserve">ARI60092</t>
  </si>
  <si>
    <t xml:space="preserve">ARI60093</t>
  </si>
  <si>
    <t xml:space="preserve">ARI60094</t>
  </si>
  <si>
    <t xml:space="preserve">ARI60095</t>
  </si>
  <si>
    <t xml:space="preserve">ARI60096</t>
  </si>
  <si>
    <t xml:space="preserve">ARI60097</t>
  </si>
  <si>
    <t xml:space="preserve">ARI60098</t>
  </si>
  <si>
    <t xml:space="preserve">ARI60099</t>
  </si>
  <si>
    <t xml:space="preserve">ARI60100</t>
  </si>
  <si>
    <t xml:space="preserve">ARI60101</t>
  </si>
  <si>
    <t xml:space="preserve">ARI60102</t>
  </si>
  <si>
    <t xml:space="preserve">ARI60103</t>
  </si>
  <si>
    <t xml:space="preserve">ARI60104</t>
  </si>
  <si>
    <t xml:space="preserve">ARI60105</t>
  </si>
  <si>
    <t xml:space="preserve">ARI60106</t>
  </si>
  <si>
    <t xml:space="preserve">ARI60107</t>
  </si>
  <si>
    <t xml:space="preserve">ARI60108</t>
  </si>
  <si>
    <t xml:space="preserve">ARI60109</t>
  </si>
  <si>
    <t xml:space="preserve">ARI60110</t>
  </si>
  <si>
    <t xml:space="preserve">ARI60111</t>
  </si>
  <si>
    <t xml:space="preserve">ARI60112</t>
  </si>
  <si>
    <t xml:space="preserve">ARI60113</t>
  </si>
  <si>
    <t xml:space="preserve">ARI60114</t>
  </si>
  <si>
    <t xml:space="preserve">ARI60115</t>
  </si>
  <si>
    <t xml:space="preserve">ARI60116</t>
  </si>
  <si>
    <t xml:space="preserve">ARI60117</t>
  </si>
  <si>
    <t xml:space="preserve">ARI60118</t>
  </si>
  <si>
    <t xml:space="preserve">ARI60119</t>
  </si>
  <si>
    <t xml:space="preserve">ARI60120</t>
  </si>
  <si>
    <t xml:space="preserve">ARI60121</t>
  </si>
  <si>
    <t xml:space="preserve">ARI60122</t>
  </si>
  <si>
    <t xml:space="preserve">ARI60123</t>
  </si>
  <si>
    <t xml:space="preserve">ARI60124</t>
  </si>
  <si>
    <t xml:space="preserve">ARI60125</t>
  </si>
  <si>
    <t xml:space="preserve">ARI60126</t>
  </si>
  <si>
    <t xml:space="preserve">ARI60127</t>
  </si>
  <si>
    <t xml:space="preserve">ARI60128</t>
  </si>
  <si>
    <t xml:space="preserve">ARI60129</t>
  </si>
  <si>
    <t xml:space="preserve">ARI60130</t>
  </si>
  <si>
    <t xml:space="preserve">ARI60131</t>
  </si>
  <si>
    <t xml:space="preserve">ARI60132</t>
  </si>
  <si>
    <t xml:space="preserve">ARI60133</t>
  </si>
  <si>
    <t xml:space="preserve">ARI60134</t>
  </si>
  <si>
    <t xml:space="preserve">ARI60135</t>
  </si>
  <si>
    <t xml:space="preserve">ARI60136</t>
  </si>
  <si>
    <t xml:space="preserve">ARI60137</t>
  </si>
  <si>
    <t xml:space="preserve">ARI60138</t>
  </si>
  <si>
    <t xml:space="preserve">ARI60139</t>
  </si>
  <si>
    <t xml:space="preserve">ARI60140</t>
  </si>
  <si>
    <t xml:space="preserve">ARI60141</t>
  </si>
  <si>
    <t xml:space="preserve">ARI60142</t>
  </si>
  <si>
    <t xml:space="preserve">ARI60143</t>
  </si>
  <si>
    <t xml:space="preserve">ARI60144</t>
  </si>
  <si>
    <t xml:space="preserve">ARI60145</t>
  </si>
  <si>
    <t xml:space="preserve">ARI60146</t>
  </si>
  <si>
    <t xml:space="preserve">ARI60147</t>
  </si>
  <si>
    <t xml:space="preserve">ARI60148</t>
  </si>
  <si>
    <t xml:space="preserve">ARI60149</t>
  </si>
  <si>
    <t xml:space="preserve">ARI60150</t>
  </si>
  <si>
    <t xml:space="preserve">ARI60151</t>
  </si>
  <si>
    <t xml:space="preserve">ARI60152</t>
  </si>
  <si>
    <t xml:space="preserve">ARI60153</t>
  </si>
  <si>
    <t xml:space="preserve">ARI60154</t>
  </si>
  <si>
    <t xml:space="preserve">ARI60155</t>
  </si>
  <si>
    <t xml:space="preserve">ARI60156</t>
  </si>
  <si>
    <t xml:space="preserve">ARI60157</t>
  </si>
  <si>
    <t xml:space="preserve">ARI60158</t>
  </si>
  <si>
    <t xml:space="preserve">ARI60159</t>
  </si>
  <si>
    <t xml:space="preserve">ARI60160</t>
  </si>
  <si>
    <t xml:space="preserve">ARI60161</t>
  </si>
  <si>
    <t xml:space="preserve">ARI60162</t>
  </si>
  <si>
    <t xml:space="preserve">ARI60163</t>
  </si>
  <si>
    <t xml:space="preserve">ARI60164</t>
  </si>
  <si>
    <t xml:space="preserve">ARI60165</t>
  </si>
  <si>
    <t xml:space="preserve">ARI60166</t>
  </si>
  <si>
    <t xml:space="preserve">ARI60167</t>
  </si>
  <si>
    <t xml:space="preserve">ARI60168</t>
  </si>
  <si>
    <t xml:space="preserve">ARI60169</t>
  </si>
  <si>
    <t xml:space="preserve">ARI60170</t>
  </si>
  <si>
    <t xml:space="preserve">ARI60171</t>
  </si>
  <si>
    <t xml:space="preserve">ARI60172</t>
  </si>
  <si>
    <t xml:space="preserve">ARI60173</t>
  </si>
  <si>
    <t xml:space="preserve">ARI60174</t>
  </si>
  <si>
    <t xml:space="preserve">ARI60175</t>
  </si>
  <si>
    <t xml:space="preserve">ARI60176</t>
  </si>
  <si>
    <t xml:space="preserve">ARI60177</t>
  </si>
  <si>
    <t xml:space="preserve">ARI60178</t>
  </si>
  <si>
    <t xml:space="preserve">ARI60179</t>
  </si>
  <si>
    <t xml:space="preserve">ARI60180</t>
  </si>
  <si>
    <t xml:space="preserve">ARI60181</t>
  </si>
  <si>
    <t xml:space="preserve">ARI60182</t>
  </si>
  <si>
    <t xml:space="preserve">ARI60183</t>
  </si>
  <si>
    <t xml:space="preserve">ARI60184</t>
  </si>
  <si>
    <t xml:space="preserve">ARI60185</t>
  </si>
  <si>
    <t xml:space="preserve">ARI60186</t>
  </si>
  <si>
    <t xml:space="preserve">ARI60187</t>
  </si>
  <si>
    <t xml:space="preserve">ARI60188</t>
  </si>
  <si>
    <t xml:space="preserve">ARI60189</t>
  </si>
  <si>
    <t xml:space="preserve">ARI60190</t>
  </si>
  <si>
    <t xml:space="preserve">ARI60191</t>
  </si>
  <si>
    <t xml:space="preserve">ARI60192</t>
  </si>
  <si>
    <t xml:space="preserve">ARI60193</t>
  </si>
  <si>
    <t xml:space="preserve">ARI60194</t>
  </si>
  <si>
    <t xml:space="preserve">ARI60195</t>
  </si>
  <si>
    <t xml:space="preserve">ARI60196</t>
  </si>
  <si>
    <t xml:space="preserve">ARI60197</t>
  </si>
  <si>
    <t xml:space="preserve">ARI60198</t>
  </si>
  <si>
    <t xml:space="preserve">ARI60199</t>
  </si>
  <si>
    <t xml:space="preserve">ARI60200</t>
  </si>
  <si>
    <t xml:space="preserve">ARI60201</t>
  </si>
  <si>
    <t xml:space="preserve">ARI60202</t>
  </si>
  <si>
    <t xml:space="preserve">ARI60203</t>
  </si>
  <si>
    <t xml:space="preserve">ARI60204</t>
  </si>
  <si>
    <t xml:space="preserve">ARI60205</t>
  </si>
  <si>
    <t xml:space="preserve">ARI60206</t>
  </si>
  <si>
    <t xml:space="preserve">ARI60207</t>
  </si>
  <si>
    <t xml:space="preserve">ARI60208</t>
  </si>
  <si>
    <t xml:space="preserve">ARI60209</t>
  </si>
  <si>
    <t xml:space="preserve">ARI60210</t>
  </si>
  <si>
    <t xml:space="preserve">ARI60211</t>
  </si>
  <si>
    <t xml:space="preserve">ARI60212</t>
  </si>
  <si>
    <t xml:space="preserve">ARI60213</t>
  </si>
  <si>
    <t xml:space="preserve">ARI60214</t>
  </si>
  <si>
    <t xml:space="preserve">ARI60215</t>
  </si>
  <si>
    <t xml:space="preserve">ARI60216</t>
  </si>
  <si>
    <t xml:space="preserve">ARI60217</t>
  </si>
  <si>
    <t xml:space="preserve">ARI60218</t>
  </si>
  <si>
    <t xml:space="preserve">ARI60219</t>
  </si>
  <si>
    <t xml:space="preserve">ARI60220</t>
  </si>
  <si>
    <t xml:space="preserve">ARI60221</t>
  </si>
  <si>
    <t xml:space="preserve">ARI60222</t>
  </si>
  <si>
    <t xml:space="preserve">ARI60223</t>
  </si>
  <si>
    <t xml:space="preserve">ARI60224</t>
  </si>
  <si>
    <t xml:space="preserve">ARI60225</t>
  </si>
  <si>
    <t xml:space="preserve">ARI60226</t>
  </si>
  <si>
    <t xml:space="preserve">ARI60227</t>
  </si>
  <si>
    <t xml:space="preserve">ARI60228</t>
  </si>
  <si>
    <t xml:space="preserve">ARI60229</t>
  </si>
  <si>
    <t xml:space="preserve">ARI60230</t>
  </si>
  <si>
    <t xml:space="preserve">ARI60231</t>
  </si>
  <si>
    <t xml:space="preserve">ARI60232</t>
  </si>
  <si>
    <t xml:space="preserve">ARI60233</t>
  </si>
  <si>
    <t xml:space="preserve">ARI60234</t>
  </si>
  <si>
    <t xml:space="preserve">ARI60235</t>
  </si>
  <si>
    <t xml:space="preserve">ARI60236</t>
  </si>
  <si>
    <t xml:space="preserve">ARI60237</t>
  </si>
  <si>
    <t xml:space="preserve">ARI60238</t>
  </si>
  <si>
    <t xml:space="preserve">ARI60239</t>
  </si>
  <si>
    <t xml:space="preserve">ARI60240</t>
  </si>
  <si>
    <t xml:space="preserve">ARI60241</t>
  </si>
  <si>
    <t xml:space="preserve">ARI60242</t>
  </si>
  <si>
    <t xml:space="preserve">ARI60243</t>
  </si>
  <si>
    <t xml:space="preserve">ARI60244</t>
  </si>
  <si>
    <t xml:space="preserve">ARI60245</t>
  </si>
  <si>
    <t xml:space="preserve">ARI60246</t>
  </si>
  <si>
    <t xml:space="preserve">ARI60247</t>
  </si>
  <si>
    <t xml:space="preserve">ARI60248</t>
  </si>
  <si>
    <t xml:space="preserve">ARI60249</t>
  </si>
  <si>
    <t xml:space="preserve">ARI60250</t>
  </si>
  <si>
    <t xml:space="preserve">ARI60251</t>
  </si>
  <si>
    <t xml:space="preserve">ARI60252</t>
  </si>
  <si>
    <t xml:space="preserve">ARI60253</t>
  </si>
  <si>
    <t xml:space="preserve">ARI60254</t>
  </si>
  <si>
    <t xml:space="preserve">ARI60255</t>
  </si>
  <si>
    <t xml:space="preserve">ARI60256</t>
  </si>
  <si>
    <t xml:space="preserve">ARI60257</t>
  </si>
  <si>
    <t xml:space="preserve">ARI60258</t>
  </si>
  <si>
    <t xml:space="preserve">ARI60259</t>
  </si>
  <si>
    <t xml:space="preserve">ARI60260</t>
  </si>
  <si>
    <t xml:space="preserve">ARI60261</t>
  </si>
  <si>
    <t xml:space="preserve">ARI60262</t>
  </si>
  <si>
    <t xml:space="preserve">ARI60263</t>
  </si>
  <si>
    <t xml:space="preserve">ARI60264</t>
  </si>
  <si>
    <t xml:space="preserve">ARI60265</t>
  </si>
  <si>
    <t xml:space="preserve">ARI60266</t>
  </si>
  <si>
    <t xml:space="preserve">ARI60267</t>
  </si>
  <si>
    <t xml:space="preserve">ARI60268</t>
  </si>
  <si>
    <t xml:space="preserve">ARI60269</t>
  </si>
  <si>
    <t xml:space="preserve">ARI60270</t>
  </si>
  <si>
    <t xml:space="preserve">ARI60271</t>
  </si>
  <si>
    <t xml:space="preserve">ARI60272</t>
  </si>
  <si>
    <t xml:space="preserve">ARI60273</t>
  </si>
  <si>
    <t xml:space="preserve">ARI60274</t>
  </si>
  <si>
    <t xml:space="preserve">ARI60275</t>
  </si>
  <si>
    <t xml:space="preserve">ARI60276</t>
  </si>
  <si>
    <t xml:space="preserve">ARI60277</t>
  </si>
  <si>
    <t xml:space="preserve">ARI60278</t>
  </si>
  <si>
    <t xml:space="preserve">ARI60279</t>
  </si>
  <si>
    <t xml:space="preserve">ARI60280</t>
  </si>
  <si>
    <t xml:space="preserve">ARI60281</t>
  </si>
  <si>
    <t xml:space="preserve">ARI60282</t>
  </si>
  <si>
    <t xml:space="preserve">ARI60283</t>
  </si>
  <si>
    <t xml:space="preserve">ARI60284</t>
  </si>
  <si>
    <t xml:space="preserve">ARI60285</t>
  </si>
  <si>
    <t xml:space="preserve">ARI60286</t>
  </si>
  <si>
    <t xml:space="preserve">ARI60287</t>
  </si>
  <si>
    <t xml:space="preserve">ARI60288</t>
  </si>
  <si>
    <t xml:space="preserve">ARI60289</t>
  </si>
  <si>
    <t xml:space="preserve">ARI60290</t>
  </si>
  <si>
    <t xml:space="preserve">ARI60291</t>
  </si>
  <si>
    <t xml:space="preserve">ARI60292</t>
  </si>
  <si>
    <t xml:space="preserve">ARI60293</t>
  </si>
  <si>
    <t xml:space="preserve">ARI60294</t>
  </si>
  <si>
    <t xml:space="preserve">ARI60295</t>
  </si>
  <si>
    <t xml:space="preserve">ARI60296</t>
  </si>
  <si>
    <t xml:space="preserve">ARI60297</t>
  </si>
  <si>
    <t xml:space="preserve">ARI60298</t>
  </si>
  <si>
    <t xml:space="preserve">ARI60299</t>
  </si>
  <si>
    <t xml:space="preserve">ARI60300</t>
  </si>
  <si>
    <t xml:space="preserve">ARI60301</t>
  </si>
  <si>
    <t xml:space="preserve">ARI60302</t>
  </si>
  <si>
    <t xml:space="preserve">ARI60303</t>
  </si>
  <si>
    <t xml:space="preserve">ARI60304</t>
  </si>
  <si>
    <t xml:space="preserve">ARI60305</t>
  </si>
  <si>
    <t xml:space="preserve">ARI60306</t>
  </si>
  <si>
    <t xml:space="preserve">ARI60307</t>
  </si>
  <si>
    <t xml:space="preserve">ARI60308</t>
  </si>
  <si>
    <t xml:space="preserve">ARI60309</t>
  </si>
  <si>
    <t xml:space="preserve">ARI60310</t>
  </si>
  <si>
    <t xml:space="preserve">ARI60311</t>
  </si>
  <si>
    <t xml:space="preserve">ARI60312</t>
  </si>
  <si>
    <t xml:space="preserve">ARI60313</t>
  </si>
  <si>
    <t xml:space="preserve">ARI60314</t>
  </si>
  <si>
    <t xml:space="preserve">ARI60315</t>
  </si>
  <si>
    <t xml:space="preserve">ARI60316</t>
  </si>
  <si>
    <t xml:space="preserve">ARI60317</t>
  </si>
  <si>
    <t xml:space="preserve">ARI60318</t>
  </si>
  <si>
    <t xml:space="preserve">ARI60319</t>
  </si>
  <si>
    <t xml:space="preserve">ARI60320</t>
  </si>
  <si>
    <t xml:space="preserve">ARI60321</t>
  </si>
  <si>
    <t xml:space="preserve">ARI60322</t>
  </si>
  <si>
    <t xml:space="preserve">ARI60323</t>
  </si>
  <si>
    <t xml:space="preserve">ARI60324</t>
  </si>
  <si>
    <t xml:space="preserve">ARI60325</t>
  </si>
  <si>
    <t xml:space="preserve">ARI60326</t>
  </si>
  <si>
    <t xml:space="preserve">ARI60327</t>
  </si>
  <si>
    <t xml:space="preserve">ARI60328</t>
  </si>
  <si>
    <t xml:space="preserve">ARI60329</t>
  </si>
  <si>
    <t xml:space="preserve">ARI60330</t>
  </si>
  <si>
    <t xml:space="preserve">ARI60331</t>
  </si>
  <si>
    <t xml:space="preserve">ARI60332</t>
  </si>
  <si>
    <t xml:space="preserve">ARI60333</t>
  </si>
  <si>
    <t xml:space="preserve">ARI60334</t>
  </si>
  <si>
    <t xml:space="preserve">ARI60335</t>
  </si>
  <si>
    <t xml:space="preserve">ARI60336</t>
  </si>
  <si>
    <t xml:space="preserve">ARI60337</t>
  </si>
  <si>
    <t xml:space="preserve">ARI60338</t>
  </si>
  <si>
    <t xml:space="preserve">ARI60339</t>
  </si>
  <si>
    <t xml:space="preserve">ARI60340</t>
  </si>
  <si>
    <t xml:space="preserve">ARI60341</t>
  </si>
  <si>
    <t xml:space="preserve">ARI60342</t>
  </si>
  <si>
    <t xml:space="preserve">ARI60343</t>
  </si>
  <si>
    <t xml:space="preserve">ARI60344</t>
  </si>
  <si>
    <t xml:space="preserve">ARI60345</t>
  </si>
  <si>
    <t xml:space="preserve">ARI60346</t>
  </si>
  <si>
    <t xml:space="preserve">ARI60347</t>
  </si>
  <si>
    <t xml:space="preserve">ARI60348</t>
  </si>
  <si>
    <t xml:space="preserve">ARI60349</t>
  </si>
  <si>
    <t xml:space="preserve">ARI60350</t>
  </si>
  <si>
    <t xml:space="preserve">ARI60351</t>
  </si>
  <si>
    <t xml:space="preserve">ARI60352</t>
  </si>
  <si>
    <t xml:space="preserve">ARI60353</t>
  </si>
  <si>
    <t xml:space="preserve">ARI60354</t>
  </si>
  <si>
    <t xml:space="preserve">ARI60355</t>
  </si>
  <si>
    <t xml:space="preserve">ARI60356</t>
  </si>
  <si>
    <t xml:space="preserve">ARI60357</t>
  </si>
  <si>
    <t xml:space="preserve">ARI60358</t>
  </si>
  <si>
    <t xml:space="preserve">ARI60359</t>
  </si>
  <si>
    <t xml:space="preserve">ARI60360</t>
  </si>
  <si>
    <t xml:space="preserve">ARI60361</t>
  </si>
  <si>
    <t xml:space="preserve">ARI60362</t>
  </si>
  <si>
    <t xml:space="preserve">ARI60363</t>
  </si>
  <si>
    <t xml:space="preserve">ARI60364</t>
  </si>
  <si>
    <t xml:space="preserve">ARI60365</t>
  </si>
  <si>
    <t xml:space="preserve">ARI60366</t>
  </si>
  <si>
    <t xml:space="preserve">ARI60367</t>
  </si>
  <si>
    <t xml:space="preserve">ARI60368</t>
  </si>
  <si>
    <t xml:space="preserve">ARI60369</t>
  </si>
  <si>
    <t xml:space="preserve">ARI60370</t>
  </si>
  <si>
    <t xml:space="preserve">ARI60371</t>
  </si>
  <si>
    <t xml:space="preserve">ARI60372</t>
  </si>
  <si>
    <t xml:space="preserve">ARI60373</t>
  </si>
  <si>
    <t xml:space="preserve">ARI60374</t>
  </si>
  <si>
    <t xml:space="preserve">ARI60375</t>
  </si>
  <si>
    <t xml:space="preserve">ARI60376</t>
  </si>
  <si>
    <t xml:space="preserve">ARI60377</t>
  </si>
  <si>
    <t xml:space="preserve">ARI60378</t>
  </si>
  <si>
    <t xml:space="preserve">ARI60379</t>
  </si>
  <si>
    <t xml:space="preserve">ARI60380</t>
  </si>
  <si>
    <t xml:space="preserve">ARI60381</t>
  </si>
  <si>
    <t xml:space="preserve">ARI60382</t>
  </si>
  <si>
    <t xml:space="preserve">ARI60383</t>
  </si>
  <si>
    <t xml:space="preserve">ARI60384</t>
  </si>
  <si>
    <t xml:space="preserve">ARI60385</t>
  </si>
  <si>
    <t xml:space="preserve">ARI60386</t>
  </si>
  <si>
    <t xml:space="preserve">ARI60387</t>
  </si>
  <si>
    <t xml:space="preserve">ARI60388</t>
  </si>
  <si>
    <t xml:space="preserve">ARI60389</t>
  </si>
  <si>
    <t xml:space="preserve">ARI60390</t>
  </si>
  <si>
    <t xml:space="preserve">ARI60391</t>
  </si>
  <si>
    <t xml:space="preserve">ARI60392</t>
  </si>
  <si>
    <t xml:space="preserve">ARI60393</t>
  </si>
  <si>
    <t xml:space="preserve">ARI60394</t>
  </si>
  <si>
    <t xml:space="preserve">ARI60395</t>
  </si>
  <si>
    <t xml:space="preserve">ARI60396</t>
  </si>
  <si>
    <t xml:space="preserve">ARI60397</t>
  </si>
  <si>
    <t xml:space="preserve">ARI60398</t>
  </si>
  <si>
    <t xml:space="preserve">ARI60399</t>
  </si>
  <si>
    <t xml:space="preserve">ARI60400</t>
  </si>
  <si>
    <t xml:space="preserve">ARI60401</t>
  </si>
  <si>
    <t xml:space="preserve">ARI60402</t>
  </si>
  <si>
    <t xml:space="preserve">ARI60403</t>
  </si>
  <si>
    <t xml:space="preserve">ARI60404</t>
  </si>
  <si>
    <t xml:space="preserve">ARI60405</t>
  </si>
  <si>
    <t xml:space="preserve">ARI60406</t>
  </si>
  <si>
    <t xml:space="preserve">ARI60407</t>
  </si>
  <si>
    <t xml:space="preserve">ARI60408</t>
  </si>
  <si>
    <t xml:space="preserve">ARI60409</t>
  </si>
  <si>
    <t xml:space="preserve">ARI60410</t>
  </si>
  <si>
    <t xml:space="preserve">ARI60411</t>
  </si>
  <si>
    <t xml:space="preserve">ARI60412</t>
  </si>
  <si>
    <t xml:space="preserve">ARI60413</t>
  </si>
  <si>
    <t xml:space="preserve">ARI60414</t>
  </si>
  <si>
    <t xml:space="preserve">ARI60415</t>
  </si>
  <si>
    <t xml:space="preserve">ARI60416</t>
  </si>
  <si>
    <t xml:space="preserve">ARI60417</t>
  </si>
  <si>
    <t xml:space="preserve">ARI60418</t>
  </si>
  <si>
    <t xml:space="preserve">ARI60419</t>
  </si>
  <si>
    <t xml:space="preserve">ARI60420</t>
  </si>
  <si>
    <t xml:space="preserve">ARI60421</t>
  </si>
  <si>
    <t xml:space="preserve">ARI60422</t>
  </si>
  <si>
    <t xml:space="preserve">ARI60423</t>
  </si>
  <si>
    <t xml:space="preserve">ARI60424</t>
  </si>
  <si>
    <t xml:space="preserve">ARI60425</t>
  </si>
  <si>
    <t xml:space="preserve">ARI60426</t>
  </si>
  <si>
    <t xml:space="preserve">ARI60427</t>
  </si>
  <si>
    <t xml:space="preserve">ARI60428</t>
  </si>
  <si>
    <t xml:space="preserve">ARI60429</t>
  </si>
  <si>
    <t xml:space="preserve">ARI60430</t>
  </si>
  <si>
    <t xml:space="preserve">ARI60431</t>
  </si>
  <si>
    <t xml:space="preserve">ARI60432</t>
  </si>
  <si>
    <t xml:space="preserve">ARI60433</t>
  </si>
  <si>
    <t xml:space="preserve">ARI60434</t>
  </si>
  <si>
    <t xml:space="preserve">ARI60435</t>
  </si>
  <si>
    <t xml:space="preserve">ARI60436</t>
  </si>
  <si>
    <t xml:space="preserve">ARI60437</t>
  </si>
  <si>
    <t xml:space="preserve">ARI60438</t>
  </si>
  <si>
    <t xml:space="preserve">ARI60439</t>
  </si>
  <si>
    <t xml:space="preserve">ARI60440</t>
  </si>
  <si>
    <t xml:space="preserve">ARI60441</t>
  </si>
  <si>
    <t xml:space="preserve">ARI60442</t>
  </si>
  <si>
    <t xml:space="preserve">ARI60443</t>
  </si>
  <si>
    <t xml:space="preserve">ARI60444</t>
  </si>
  <si>
    <t xml:space="preserve">ARI60445</t>
  </si>
  <si>
    <t xml:space="preserve">ARI60446</t>
  </si>
  <si>
    <t xml:space="preserve">ARI60447</t>
  </si>
  <si>
    <t xml:space="preserve">ARI60448</t>
  </si>
  <si>
    <t xml:space="preserve">ARI60449</t>
  </si>
  <si>
    <t xml:space="preserve">ARI60450</t>
  </si>
  <si>
    <t xml:space="preserve">ARI60451</t>
  </si>
  <si>
    <t xml:space="preserve">ARI60452</t>
  </si>
  <si>
    <t xml:space="preserve">ARI60453</t>
  </si>
  <si>
    <t xml:space="preserve">ARI60454</t>
  </si>
  <si>
    <t xml:space="preserve">ARI60455</t>
  </si>
  <si>
    <t xml:space="preserve">ARI60456</t>
  </si>
  <si>
    <t xml:space="preserve">ARI60457</t>
  </si>
  <si>
    <t xml:space="preserve">ARI60458</t>
  </si>
  <si>
    <t xml:space="preserve">ARI60459</t>
  </si>
  <si>
    <t xml:space="preserve">ARI60460</t>
  </si>
  <si>
    <t xml:space="preserve">ARI60461</t>
  </si>
  <si>
    <t xml:space="preserve">ARI60462</t>
  </si>
  <si>
    <t xml:space="preserve">ARI60463</t>
  </si>
  <si>
    <t xml:space="preserve">ARI60464</t>
  </si>
  <si>
    <t xml:space="preserve">ARI60465</t>
  </si>
  <si>
    <t xml:space="preserve">ARI60466</t>
  </si>
  <si>
    <t xml:space="preserve">ARI60467</t>
  </si>
  <si>
    <t xml:space="preserve">ARI60468</t>
  </si>
  <si>
    <t xml:space="preserve">ARI60469</t>
  </si>
  <si>
    <t xml:space="preserve">ARI60470</t>
  </si>
  <si>
    <t xml:space="preserve">ARI60471</t>
  </si>
  <si>
    <t xml:space="preserve">ARI60472</t>
  </si>
  <si>
    <t xml:space="preserve">ARI60473</t>
  </si>
  <si>
    <t xml:space="preserve">ARI60474</t>
  </si>
  <si>
    <t xml:space="preserve">ARI60475</t>
  </si>
  <si>
    <t xml:space="preserve">ARI60476</t>
  </si>
  <si>
    <t xml:space="preserve">ARI60477</t>
  </si>
  <si>
    <t xml:space="preserve">ARI60478</t>
  </si>
  <si>
    <t xml:space="preserve">ARI60479</t>
  </si>
  <si>
    <t xml:space="preserve">ARI60480</t>
  </si>
  <si>
    <t xml:space="preserve">ARI60481</t>
  </si>
  <si>
    <t xml:space="preserve">ARI60482</t>
  </si>
  <si>
    <t xml:space="preserve">ARI60483</t>
  </si>
  <si>
    <t xml:space="preserve">ARI60484</t>
  </si>
  <si>
    <t xml:space="preserve">ARI60485</t>
  </si>
  <si>
    <t xml:space="preserve">ARI60486</t>
  </si>
  <si>
    <t xml:space="preserve">ARI60487</t>
  </si>
  <si>
    <t xml:space="preserve">ARI60488</t>
  </si>
  <si>
    <t xml:space="preserve">ARI60489</t>
  </si>
  <si>
    <t xml:space="preserve">ARI60490</t>
  </si>
  <si>
    <t xml:space="preserve">ARI60491</t>
  </si>
  <si>
    <t xml:space="preserve">ARI60492</t>
  </si>
  <si>
    <t xml:space="preserve">ARI60493</t>
  </si>
  <si>
    <t xml:space="preserve">ARI60494</t>
  </si>
  <si>
    <t xml:space="preserve">ARI60495</t>
  </si>
  <si>
    <t xml:space="preserve">ARI60496</t>
  </si>
  <si>
    <t xml:space="preserve">ARI60497</t>
  </si>
  <si>
    <t xml:space="preserve">ARI60498</t>
  </si>
  <si>
    <t xml:space="preserve">ARI60499</t>
  </si>
  <si>
    <t xml:space="preserve">ARI60500</t>
  </si>
  <si>
    <t xml:space="preserve">ARI60501</t>
  </si>
  <si>
    <t xml:space="preserve">ARI60502</t>
  </si>
  <si>
    <t xml:space="preserve">ARI60503</t>
  </si>
  <si>
    <t xml:space="preserve">ARI60504</t>
  </si>
  <si>
    <t xml:space="preserve">ARI60505</t>
  </si>
  <si>
    <t xml:space="preserve">ARI60506</t>
  </si>
  <si>
    <t xml:space="preserve">ARI60507</t>
  </si>
  <si>
    <t xml:space="preserve">ARI60508</t>
  </si>
  <si>
    <t xml:space="preserve">ARI60509</t>
  </si>
  <si>
    <t xml:space="preserve">ARI60510</t>
  </si>
  <si>
    <t xml:space="preserve">ARI60511</t>
  </si>
  <si>
    <t xml:space="preserve">ARI60512</t>
  </si>
  <si>
    <t xml:space="preserve">ARI60513</t>
  </si>
  <si>
    <t xml:space="preserve">ARI60514</t>
  </si>
  <si>
    <t xml:space="preserve">ARI60515</t>
  </si>
  <si>
    <t xml:space="preserve">ARI60516</t>
  </si>
  <si>
    <t xml:space="preserve">ARI60517</t>
  </si>
  <si>
    <t xml:space="preserve">ARI60518</t>
  </si>
  <si>
    <t xml:space="preserve">ARI60519</t>
  </si>
  <si>
    <t xml:space="preserve">ARI60520</t>
  </si>
  <si>
    <t xml:space="preserve">ARI60521</t>
  </si>
  <si>
    <t xml:space="preserve">ARI60522</t>
  </si>
  <si>
    <t xml:space="preserve">ARI60523</t>
  </si>
  <si>
    <t xml:space="preserve">ARI60524</t>
  </si>
  <si>
    <t xml:space="preserve">ARI60525</t>
  </si>
  <si>
    <t xml:space="preserve">ARI60526</t>
  </si>
  <si>
    <t xml:space="preserve">ARI60527</t>
  </si>
  <si>
    <t xml:space="preserve">ARI60528</t>
  </si>
  <si>
    <t xml:space="preserve">ARI60529</t>
  </si>
  <si>
    <t xml:space="preserve">ARI60530</t>
  </si>
  <si>
    <t xml:space="preserve">ARI60531</t>
  </si>
  <si>
    <t xml:space="preserve">ARI60532</t>
  </si>
  <si>
    <t xml:space="preserve">ARI60533</t>
  </si>
  <si>
    <t xml:space="preserve">ARI60534</t>
  </si>
  <si>
    <t xml:space="preserve">ARI60535</t>
  </si>
  <si>
    <t xml:space="preserve">ARI60536</t>
  </si>
  <si>
    <t xml:space="preserve">ARI60537</t>
  </si>
  <si>
    <t xml:space="preserve">ARI60538</t>
  </si>
  <si>
    <t xml:space="preserve">ARI60539</t>
  </si>
  <si>
    <t xml:space="preserve">ARI60540</t>
  </si>
  <si>
    <t xml:space="preserve">ARI60541</t>
  </si>
  <si>
    <t xml:space="preserve">ARI60542</t>
  </si>
  <si>
    <t xml:space="preserve">ARI60543</t>
  </si>
  <si>
    <t xml:space="preserve">ARI60544</t>
  </si>
  <si>
    <t xml:space="preserve">ARI60545</t>
  </si>
  <si>
    <t xml:space="preserve">ARI60546</t>
  </si>
  <si>
    <t xml:space="preserve">ARI60547</t>
  </si>
  <si>
    <t xml:space="preserve">ARI60548</t>
  </si>
  <si>
    <t xml:space="preserve">ARI60549</t>
  </si>
  <si>
    <t xml:space="preserve">ARI60550</t>
  </si>
  <si>
    <t xml:space="preserve">ARI60551</t>
  </si>
  <si>
    <t xml:space="preserve">ARI60552</t>
  </si>
  <si>
    <t xml:space="preserve">ARI60553</t>
  </si>
  <si>
    <t xml:space="preserve">ARI60554</t>
  </si>
  <si>
    <t xml:space="preserve">ARI60555</t>
  </si>
  <si>
    <t xml:space="preserve">ARI60556</t>
  </si>
  <si>
    <t xml:space="preserve">ARI60557</t>
  </si>
  <si>
    <t xml:space="preserve">ARI60558</t>
  </si>
  <si>
    <t xml:space="preserve">ARI60559</t>
  </si>
  <si>
    <t xml:space="preserve">ARI60560</t>
  </si>
  <si>
    <t xml:space="preserve">ARI60561</t>
  </si>
  <si>
    <t xml:space="preserve">ARI60562</t>
  </si>
  <si>
    <t xml:space="preserve">ARI60563</t>
  </si>
  <si>
    <t xml:space="preserve">ARI60564</t>
  </si>
  <si>
    <t xml:space="preserve">ARI60565</t>
  </si>
  <si>
    <t xml:space="preserve">ARI60566</t>
  </si>
  <si>
    <t xml:space="preserve">ARI60567</t>
  </si>
  <si>
    <t xml:space="preserve">ARI60568</t>
  </si>
  <si>
    <t xml:space="preserve">ARI60569</t>
  </si>
  <si>
    <t xml:space="preserve">ARI60570</t>
  </si>
  <si>
    <t xml:space="preserve">ARI60571</t>
  </si>
  <si>
    <t xml:space="preserve">ARI60572</t>
  </si>
  <si>
    <t xml:space="preserve">ARI60573</t>
  </si>
  <si>
    <t xml:space="preserve">ARI60574</t>
  </si>
  <si>
    <t xml:space="preserve">ARI60575</t>
  </si>
  <si>
    <t xml:space="preserve">ARI60576</t>
  </si>
  <si>
    <t xml:space="preserve">ARI60577</t>
  </si>
  <si>
    <t xml:space="preserve">ARI60578</t>
  </si>
  <si>
    <t xml:space="preserve">ARI60579</t>
  </si>
  <si>
    <t xml:space="preserve">ARI60580</t>
  </si>
  <si>
    <t xml:space="preserve">ARI60581</t>
  </si>
  <si>
    <t xml:space="preserve">ARI60582</t>
  </si>
  <si>
    <t xml:space="preserve">ARI60583</t>
  </si>
  <si>
    <t xml:space="preserve">ARI60584</t>
  </si>
  <si>
    <t xml:space="preserve">ARI60585</t>
  </si>
  <si>
    <t xml:space="preserve">ARI60586</t>
  </si>
  <si>
    <t xml:space="preserve">ARI60587</t>
  </si>
  <si>
    <t xml:space="preserve">ARI60588</t>
  </si>
  <si>
    <t xml:space="preserve">ARI60589</t>
  </si>
  <si>
    <t xml:space="preserve">ARI60590</t>
  </si>
  <si>
    <t xml:space="preserve">ARI60591</t>
  </si>
  <si>
    <t xml:space="preserve">ARI60592</t>
  </si>
  <si>
    <t xml:space="preserve">ARI60593</t>
  </si>
  <si>
    <t xml:space="preserve">ARI60594</t>
  </si>
  <si>
    <t xml:space="preserve">ARI60595</t>
  </si>
  <si>
    <t xml:space="preserve">ARI60596</t>
  </si>
  <si>
    <t xml:space="preserve">ARI60597</t>
  </si>
  <si>
    <t xml:space="preserve">ARI60598</t>
  </si>
  <si>
    <t xml:space="preserve">ARI60599</t>
  </si>
  <si>
    <t xml:space="preserve">ARI60600</t>
  </si>
  <si>
    <t xml:space="preserve">Receipt_ID</t>
  </si>
  <si>
    <t xml:space="preserve">Receipt_Amount</t>
  </si>
  <si>
    <t xml:space="preserve">ARR70001</t>
  </si>
  <si>
    <t xml:space="preserve">ARR70002</t>
  </si>
  <si>
    <t xml:space="preserve">ARR70003</t>
  </si>
  <si>
    <t xml:space="preserve">ARR70004</t>
  </si>
  <si>
    <t xml:space="preserve">ARR70005</t>
  </si>
  <si>
    <t xml:space="preserve">ARR70006</t>
  </si>
  <si>
    <t xml:space="preserve">ARR70007</t>
  </si>
  <si>
    <t xml:space="preserve">ARR70008</t>
  </si>
  <si>
    <t xml:space="preserve">ARR70009</t>
  </si>
  <si>
    <t xml:space="preserve">ARR70010</t>
  </si>
  <si>
    <t xml:space="preserve">ARR70011</t>
  </si>
  <si>
    <t xml:space="preserve">ARR70012</t>
  </si>
  <si>
    <t xml:space="preserve">ARR70013</t>
  </si>
  <si>
    <t xml:space="preserve">ARR70014</t>
  </si>
  <si>
    <t xml:space="preserve">ARR70015</t>
  </si>
  <si>
    <t xml:space="preserve">ARR70016</t>
  </si>
  <si>
    <t xml:space="preserve">ARR70017</t>
  </si>
  <si>
    <t xml:space="preserve">ARR70018</t>
  </si>
  <si>
    <t xml:space="preserve">ARR70019</t>
  </si>
  <si>
    <t xml:space="preserve">ARR70020</t>
  </si>
  <si>
    <t xml:space="preserve">ARR70021</t>
  </si>
  <si>
    <t xml:space="preserve">ARR70022</t>
  </si>
  <si>
    <t xml:space="preserve">ARR70023</t>
  </si>
  <si>
    <t xml:space="preserve">ARR70024</t>
  </si>
  <si>
    <t xml:space="preserve">ARR70025</t>
  </si>
  <si>
    <t xml:space="preserve">ARR70026</t>
  </si>
  <si>
    <t xml:space="preserve">ARR70027</t>
  </si>
  <si>
    <t xml:space="preserve">ARR70028</t>
  </si>
  <si>
    <t xml:space="preserve">ARR70029</t>
  </si>
  <si>
    <t xml:space="preserve">ARR70030</t>
  </si>
  <si>
    <t xml:space="preserve">ARR70031</t>
  </si>
  <si>
    <t xml:space="preserve">ARR70032</t>
  </si>
  <si>
    <t xml:space="preserve">ARR70033</t>
  </si>
  <si>
    <t xml:space="preserve">ARR70034</t>
  </si>
  <si>
    <t xml:space="preserve">ARR70035</t>
  </si>
  <si>
    <t xml:space="preserve">ARR70036</t>
  </si>
  <si>
    <t xml:space="preserve">ARR70037</t>
  </si>
  <si>
    <t xml:space="preserve">ARR70038</t>
  </si>
  <si>
    <t xml:space="preserve">ARR70039</t>
  </si>
  <si>
    <t xml:space="preserve">ARR70040</t>
  </si>
  <si>
    <t xml:space="preserve">ARR70041</t>
  </si>
  <si>
    <t xml:space="preserve">ARR70042</t>
  </si>
  <si>
    <t xml:space="preserve">ARR70043</t>
  </si>
  <si>
    <t xml:space="preserve">ARR70044</t>
  </si>
  <si>
    <t xml:space="preserve">ARR70045</t>
  </si>
  <si>
    <t xml:space="preserve">ARR70046</t>
  </si>
  <si>
    <t xml:space="preserve">ARR70047</t>
  </si>
  <si>
    <t xml:space="preserve">ARR70048</t>
  </si>
  <si>
    <t xml:space="preserve">ARR70049</t>
  </si>
  <si>
    <t xml:space="preserve">ARR70050</t>
  </si>
  <si>
    <t xml:space="preserve">ARR70051</t>
  </si>
  <si>
    <t xml:space="preserve">ARR70052</t>
  </si>
  <si>
    <t xml:space="preserve">ARR70053</t>
  </si>
  <si>
    <t xml:space="preserve">ARR70054</t>
  </si>
  <si>
    <t xml:space="preserve">ARR70055</t>
  </si>
  <si>
    <t xml:space="preserve">ARR70056</t>
  </si>
  <si>
    <t xml:space="preserve">ARR70057</t>
  </si>
  <si>
    <t xml:space="preserve">ARR70058</t>
  </si>
  <si>
    <t xml:space="preserve">ARR70059</t>
  </si>
  <si>
    <t xml:space="preserve">ARR70060</t>
  </si>
  <si>
    <t xml:space="preserve">ARR70061</t>
  </si>
  <si>
    <t xml:space="preserve">ARR70062</t>
  </si>
  <si>
    <t xml:space="preserve">ARR70063</t>
  </si>
  <si>
    <t xml:space="preserve">ARR70064</t>
  </si>
  <si>
    <t xml:space="preserve">ARR70065</t>
  </si>
  <si>
    <t xml:space="preserve">ARR70066</t>
  </si>
  <si>
    <t xml:space="preserve">ARR70067</t>
  </si>
  <si>
    <t xml:space="preserve">ARR70068</t>
  </si>
  <si>
    <t xml:space="preserve">ARR70069</t>
  </si>
  <si>
    <t xml:space="preserve">ARR70070</t>
  </si>
  <si>
    <t xml:space="preserve">ARR70071</t>
  </si>
  <si>
    <t xml:space="preserve">ARR70072</t>
  </si>
  <si>
    <t xml:space="preserve">ARR70073</t>
  </si>
  <si>
    <t xml:space="preserve">ARR70074</t>
  </si>
  <si>
    <t xml:space="preserve">ARR70075</t>
  </si>
  <si>
    <t xml:space="preserve">ARR70076</t>
  </si>
  <si>
    <t xml:space="preserve">ARR70077</t>
  </si>
  <si>
    <t xml:space="preserve">ARR70078</t>
  </si>
  <si>
    <t xml:space="preserve">ARR70079</t>
  </si>
  <si>
    <t xml:space="preserve">ARR70080</t>
  </si>
  <si>
    <t xml:space="preserve">ARR70081</t>
  </si>
  <si>
    <t xml:space="preserve">ARR70082</t>
  </si>
  <si>
    <t xml:space="preserve">ARR70083</t>
  </si>
  <si>
    <t xml:space="preserve">ARR70084</t>
  </si>
  <si>
    <t xml:space="preserve">ARR70085</t>
  </si>
  <si>
    <t xml:space="preserve">ARR70086</t>
  </si>
  <si>
    <t xml:space="preserve">ARR70087</t>
  </si>
  <si>
    <t xml:space="preserve">ARR70088</t>
  </si>
  <si>
    <t xml:space="preserve">ARR70089</t>
  </si>
  <si>
    <t xml:space="preserve">ARR70090</t>
  </si>
  <si>
    <t xml:space="preserve">ARR70091</t>
  </si>
  <si>
    <t xml:space="preserve">ARR70092</t>
  </si>
  <si>
    <t xml:space="preserve">ARR70093</t>
  </si>
  <si>
    <t xml:space="preserve">ARR70094</t>
  </si>
  <si>
    <t xml:space="preserve">ARR70095</t>
  </si>
  <si>
    <t xml:space="preserve">ARR70096</t>
  </si>
  <si>
    <t xml:space="preserve">ARR70097</t>
  </si>
  <si>
    <t xml:space="preserve">ARR70098</t>
  </si>
  <si>
    <t xml:space="preserve">ARR70099</t>
  </si>
  <si>
    <t xml:space="preserve">ARR70100</t>
  </si>
  <si>
    <t xml:space="preserve">ARR70101</t>
  </si>
  <si>
    <t xml:space="preserve">ARR70102</t>
  </si>
  <si>
    <t xml:space="preserve">ARR70103</t>
  </si>
  <si>
    <t xml:space="preserve">ARR70104</t>
  </si>
  <si>
    <t xml:space="preserve">ARR70105</t>
  </si>
  <si>
    <t xml:space="preserve">ARR70106</t>
  </si>
  <si>
    <t xml:space="preserve">ARR70107</t>
  </si>
  <si>
    <t xml:space="preserve">ARR70108</t>
  </si>
  <si>
    <t xml:space="preserve">ARR70109</t>
  </si>
  <si>
    <t xml:space="preserve">ARR70110</t>
  </si>
  <si>
    <t xml:space="preserve">ARR70111</t>
  </si>
  <si>
    <t xml:space="preserve">ARR70112</t>
  </si>
  <si>
    <t xml:space="preserve">ARR70113</t>
  </si>
  <si>
    <t xml:space="preserve">ARR70114</t>
  </si>
  <si>
    <t xml:space="preserve">ARR70115</t>
  </si>
  <si>
    <t xml:space="preserve">ARR70116</t>
  </si>
  <si>
    <t xml:space="preserve">ARR70117</t>
  </si>
  <si>
    <t xml:space="preserve">ARR70118</t>
  </si>
  <si>
    <t xml:space="preserve">ARR70119</t>
  </si>
  <si>
    <t xml:space="preserve">ARR70120</t>
  </si>
  <si>
    <t xml:space="preserve">ARR70121</t>
  </si>
  <si>
    <t xml:space="preserve">ARR70122</t>
  </si>
  <si>
    <t xml:space="preserve">ARR70123</t>
  </si>
  <si>
    <t xml:space="preserve">ARR70124</t>
  </si>
  <si>
    <t xml:space="preserve">ARR70125</t>
  </si>
  <si>
    <t xml:space="preserve">ARR70126</t>
  </si>
  <si>
    <t xml:space="preserve">ARR70127</t>
  </si>
  <si>
    <t xml:space="preserve">ARR70128</t>
  </si>
  <si>
    <t xml:space="preserve">ARR70129</t>
  </si>
  <si>
    <t xml:space="preserve">ARR70130</t>
  </si>
  <si>
    <t xml:space="preserve">ARR70131</t>
  </si>
  <si>
    <t xml:space="preserve">ARR70132</t>
  </si>
  <si>
    <t xml:space="preserve">ARR70133</t>
  </si>
  <si>
    <t xml:space="preserve">ARR70134</t>
  </si>
  <si>
    <t xml:space="preserve">ARR70135</t>
  </si>
  <si>
    <t xml:space="preserve">ARR70136</t>
  </si>
  <si>
    <t xml:space="preserve">ARR70137</t>
  </si>
  <si>
    <t xml:space="preserve">ARR70138</t>
  </si>
  <si>
    <t xml:space="preserve">ARR70139</t>
  </si>
  <si>
    <t xml:space="preserve">ARR70140</t>
  </si>
  <si>
    <t xml:space="preserve">ARR70141</t>
  </si>
  <si>
    <t xml:space="preserve">ARR70142</t>
  </si>
  <si>
    <t xml:space="preserve">ARR70143</t>
  </si>
  <si>
    <t xml:space="preserve">ARR70144</t>
  </si>
  <si>
    <t xml:space="preserve">ARR70145</t>
  </si>
  <si>
    <t xml:space="preserve">ARR70146</t>
  </si>
  <si>
    <t xml:space="preserve">ARR70147</t>
  </si>
  <si>
    <t xml:space="preserve">ARR70148</t>
  </si>
  <si>
    <t xml:space="preserve">ARR70149</t>
  </si>
  <si>
    <t xml:space="preserve">ARR70150</t>
  </si>
  <si>
    <t xml:space="preserve">ARR70151</t>
  </si>
  <si>
    <t xml:space="preserve">ARR70152</t>
  </si>
  <si>
    <t xml:space="preserve">ARR70153</t>
  </si>
  <si>
    <t xml:space="preserve">ARR70154</t>
  </si>
  <si>
    <t xml:space="preserve">ARR70155</t>
  </si>
  <si>
    <t xml:space="preserve">ARR70156</t>
  </si>
  <si>
    <t xml:space="preserve">ARR70157</t>
  </si>
  <si>
    <t xml:space="preserve">ARR70158</t>
  </si>
  <si>
    <t xml:space="preserve">ARR70159</t>
  </si>
  <si>
    <t xml:space="preserve">ARR70160</t>
  </si>
  <si>
    <t xml:space="preserve">ARR70161</t>
  </si>
  <si>
    <t xml:space="preserve">ARR70162</t>
  </si>
  <si>
    <t xml:space="preserve">ARR70163</t>
  </si>
  <si>
    <t xml:space="preserve">ARR70164</t>
  </si>
  <si>
    <t xml:space="preserve">ARR70165</t>
  </si>
  <si>
    <t xml:space="preserve">ARR70166</t>
  </si>
  <si>
    <t xml:space="preserve">ARR70167</t>
  </si>
  <si>
    <t xml:space="preserve">ARR70168</t>
  </si>
  <si>
    <t xml:space="preserve">ARR70169</t>
  </si>
  <si>
    <t xml:space="preserve">ARR70170</t>
  </si>
  <si>
    <t xml:space="preserve">ARR70171</t>
  </si>
  <si>
    <t xml:space="preserve">ARR70172</t>
  </si>
  <si>
    <t xml:space="preserve">ARR70173</t>
  </si>
  <si>
    <t xml:space="preserve">ARR70174</t>
  </si>
  <si>
    <t xml:space="preserve">ARR70175</t>
  </si>
  <si>
    <t xml:space="preserve">ARR70176</t>
  </si>
  <si>
    <t xml:space="preserve">ARR70177</t>
  </si>
  <si>
    <t xml:space="preserve">ARR70178</t>
  </si>
  <si>
    <t xml:space="preserve">ARR70179</t>
  </si>
  <si>
    <t xml:space="preserve">ARR70180</t>
  </si>
  <si>
    <t xml:space="preserve">ARR70181</t>
  </si>
  <si>
    <t xml:space="preserve">ARR70182</t>
  </si>
  <si>
    <t xml:space="preserve">ARR70183</t>
  </si>
  <si>
    <t xml:space="preserve">ARR70184</t>
  </si>
  <si>
    <t xml:space="preserve">ARR70185</t>
  </si>
  <si>
    <t xml:space="preserve">ARR70186</t>
  </si>
  <si>
    <t xml:space="preserve">ARR70187</t>
  </si>
  <si>
    <t xml:space="preserve">ARR70188</t>
  </si>
  <si>
    <t xml:space="preserve">ARR70189</t>
  </si>
  <si>
    <t xml:space="preserve">ARR70190</t>
  </si>
  <si>
    <t xml:space="preserve">ARR70191</t>
  </si>
  <si>
    <t xml:space="preserve">ARR70192</t>
  </si>
  <si>
    <t xml:space="preserve">ARR70193</t>
  </si>
  <si>
    <t xml:space="preserve">ARR70194</t>
  </si>
  <si>
    <t xml:space="preserve">ARR70195</t>
  </si>
  <si>
    <t xml:space="preserve">ARR70196</t>
  </si>
  <si>
    <t xml:space="preserve">ARR70197</t>
  </si>
  <si>
    <t xml:space="preserve">ARR70198</t>
  </si>
  <si>
    <t xml:space="preserve">ARR70199</t>
  </si>
  <si>
    <t xml:space="preserve">ARR70200</t>
  </si>
  <si>
    <t xml:space="preserve">ARR70201</t>
  </si>
  <si>
    <t xml:space="preserve">ARR70202</t>
  </si>
  <si>
    <t xml:space="preserve">ARR70203</t>
  </si>
  <si>
    <t xml:space="preserve">ARR70204</t>
  </si>
  <si>
    <t xml:space="preserve">ARR70205</t>
  </si>
  <si>
    <t xml:space="preserve">ARR70206</t>
  </si>
  <si>
    <t xml:space="preserve">ARR70207</t>
  </si>
  <si>
    <t xml:space="preserve">ARR70208</t>
  </si>
  <si>
    <t xml:space="preserve">ARR70209</t>
  </si>
  <si>
    <t xml:space="preserve">ARR70210</t>
  </si>
  <si>
    <t xml:space="preserve">ARR70211</t>
  </si>
  <si>
    <t xml:space="preserve">ARR70212</t>
  </si>
  <si>
    <t xml:space="preserve">ARR70213</t>
  </si>
  <si>
    <t xml:space="preserve">ARR70214</t>
  </si>
  <si>
    <t xml:space="preserve">ARR70215</t>
  </si>
  <si>
    <t xml:space="preserve">ARR70216</t>
  </si>
  <si>
    <t xml:space="preserve">ARR70217</t>
  </si>
  <si>
    <t xml:space="preserve">ARR70218</t>
  </si>
  <si>
    <t xml:space="preserve">ARR70219</t>
  </si>
  <si>
    <t xml:space="preserve">ARR70220</t>
  </si>
  <si>
    <t xml:space="preserve">ARR70221</t>
  </si>
  <si>
    <t xml:space="preserve">ARR70222</t>
  </si>
  <si>
    <t xml:space="preserve">ARR70223</t>
  </si>
  <si>
    <t xml:space="preserve">ARR70224</t>
  </si>
  <si>
    <t xml:space="preserve">ARR70225</t>
  </si>
  <si>
    <t xml:space="preserve">ARR70226</t>
  </si>
  <si>
    <t xml:space="preserve">ARR70227</t>
  </si>
  <si>
    <t xml:space="preserve">ARR70228</t>
  </si>
  <si>
    <t xml:space="preserve">ARR70229</t>
  </si>
  <si>
    <t xml:space="preserve">ARR70230</t>
  </si>
  <si>
    <t xml:space="preserve">ARR70231</t>
  </si>
  <si>
    <t xml:space="preserve">ARR70232</t>
  </si>
  <si>
    <t xml:space="preserve">ARR70233</t>
  </si>
  <si>
    <t xml:space="preserve">ARR70234</t>
  </si>
  <si>
    <t xml:space="preserve">ARR70235</t>
  </si>
  <si>
    <t xml:space="preserve">ARR70236</t>
  </si>
  <si>
    <t xml:space="preserve">ARR70237</t>
  </si>
  <si>
    <t xml:space="preserve">ARR70238</t>
  </si>
  <si>
    <t xml:space="preserve">ARR70239</t>
  </si>
  <si>
    <t xml:space="preserve">ARR70240</t>
  </si>
  <si>
    <t xml:space="preserve">ARR70241</t>
  </si>
  <si>
    <t xml:space="preserve">ARR70242</t>
  </si>
  <si>
    <t xml:space="preserve">ARR70243</t>
  </si>
  <si>
    <t xml:space="preserve">ARR70244</t>
  </si>
  <si>
    <t xml:space="preserve">ARR70245</t>
  </si>
  <si>
    <t xml:space="preserve">ARR70246</t>
  </si>
  <si>
    <t xml:space="preserve">ARR70247</t>
  </si>
  <si>
    <t xml:space="preserve">ARR70248</t>
  </si>
  <si>
    <t xml:space="preserve">ARR70249</t>
  </si>
  <si>
    <t xml:space="preserve">ARR70250</t>
  </si>
  <si>
    <t xml:space="preserve">ARR70251</t>
  </si>
  <si>
    <t xml:space="preserve">ARR70252</t>
  </si>
  <si>
    <t xml:space="preserve">ARR70253</t>
  </si>
  <si>
    <t xml:space="preserve">ARR70254</t>
  </si>
  <si>
    <t xml:space="preserve">ARR70255</t>
  </si>
  <si>
    <t xml:space="preserve">ARR70256</t>
  </si>
  <si>
    <t xml:space="preserve">ARR70257</t>
  </si>
  <si>
    <t xml:space="preserve">ARR70258</t>
  </si>
  <si>
    <t xml:space="preserve">ARR70259</t>
  </si>
  <si>
    <t xml:space="preserve">ARR70260</t>
  </si>
  <si>
    <t xml:space="preserve">ARR70261</t>
  </si>
  <si>
    <t xml:space="preserve">ARR70262</t>
  </si>
  <si>
    <t xml:space="preserve">ARR70263</t>
  </si>
  <si>
    <t xml:space="preserve">ARR70264</t>
  </si>
  <si>
    <t xml:space="preserve">ARR70265</t>
  </si>
  <si>
    <t xml:space="preserve">ARR70266</t>
  </si>
  <si>
    <t xml:space="preserve">ARR70267</t>
  </si>
  <si>
    <t xml:space="preserve">ARR70268</t>
  </si>
  <si>
    <t xml:space="preserve">ARR70269</t>
  </si>
  <si>
    <t xml:space="preserve">ARR70270</t>
  </si>
  <si>
    <t xml:space="preserve">ARR70271</t>
  </si>
  <si>
    <t xml:space="preserve">ARR70272</t>
  </si>
  <si>
    <t xml:space="preserve">ARR70273</t>
  </si>
  <si>
    <t xml:space="preserve">ARR70274</t>
  </si>
  <si>
    <t xml:space="preserve">ARR70275</t>
  </si>
  <si>
    <t xml:space="preserve">ARR70276</t>
  </si>
  <si>
    <t xml:space="preserve">ARR70277</t>
  </si>
  <si>
    <t xml:space="preserve">ARR70278</t>
  </si>
  <si>
    <t xml:space="preserve">ARR70279</t>
  </si>
  <si>
    <t xml:space="preserve">ARR70280</t>
  </si>
  <si>
    <t xml:space="preserve">ARR70281</t>
  </si>
  <si>
    <t xml:space="preserve">ARR70282</t>
  </si>
  <si>
    <t xml:space="preserve">ARR70283</t>
  </si>
  <si>
    <t xml:space="preserve">ARR70284</t>
  </si>
  <si>
    <t xml:space="preserve">ARR70285</t>
  </si>
  <si>
    <t xml:space="preserve">ARR70286</t>
  </si>
  <si>
    <t xml:space="preserve">ARR70287</t>
  </si>
  <si>
    <t xml:space="preserve">ARR70288</t>
  </si>
  <si>
    <t xml:space="preserve">ARR70289</t>
  </si>
  <si>
    <t xml:space="preserve">ARR70290</t>
  </si>
  <si>
    <t xml:space="preserve">ARR70291</t>
  </si>
  <si>
    <t xml:space="preserve">ARR70292</t>
  </si>
  <si>
    <t xml:space="preserve">ARR70293</t>
  </si>
  <si>
    <t xml:space="preserve">ARR70294</t>
  </si>
  <si>
    <t xml:space="preserve">ARR70295</t>
  </si>
  <si>
    <t xml:space="preserve">ARR70296</t>
  </si>
  <si>
    <t xml:space="preserve">ARR70297</t>
  </si>
  <si>
    <t xml:space="preserve">ARR70298</t>
  </si>
  <si>
    <t xml:space="preserve">ARR70299</t>
  </si>
  <si>
    <t xml:space="preserve">ARR70300</t>
  </si>
  <si>
    <t xml:space="preserve">ARR70301</t>
  </si>
  <si>
    <t xml:space="preserve">ARR70302</t>
  </si>
  <si>
    <t xml:space="preserve">ARR70303</t>
  </si>
  <si>
    <t xml:space="preserve">ARR70304</t>
  </si>
  <si>
    <t xml:space="preserve">ARR70305</t>
  </si>
  <si>
    <t xml:space="preserve">ARR70306</t>
  </si>
  <si>
    <t xml:space="preserve">ARR70307</t>
  </si>
  <si>
    <t xml:space="preserve">ARR70308</t>
  </si>
  <si>
    <t xml:space="preserve">ARR70309</t>
  </si>
  <si>
    <t xml:space="preserve">ARR70310</t>
  </si>
  <si>
    <t xml:space="preserve">ARR70311</t>
  </si>
  <si>
    <t xml:space="preserve">ARR70312</t>
  </si>
  <si>
    <t xml:space="preserve">ARR70313</t>
  </si>
  <si>
    <t xml:space="preserve">ARR70314</t>
  </si>
  <si>
    <t xml:space="preserve">ARR70315</t>
  </si>
  <si>
    <t xml:space="preserve">ARR70316</t>
  </si>
  <si>
    <t xml:space="preserve">ARR70317</t>
  </si>
  <si>
    <t xml:space="preserve">ARR70318</t>
  </si>
  <si>
    <t xml:space="preserve">ARR70319</t>
  </si>
  <si>
    <t xml:space="preserve">ARR70320</t>
  </si>
  <si>
    <t xml:space="preserve">ARR70321</t>
  </si>
  <si>
    <t xml:space="preserve">ARR70322</t>
  </si>
  <si>
    <t xml:space="preserve">ARR70323</t>
  </si>
  <si>
    <t xml:space="preserve">ARR70324</t>
  </si>
  <si>
    <t xml:space="preserve">ARR70325</t>
  </si>
  <si>
    <t xml:space="preserve">ARR70326</t>
  </si>
  <si>
    <t xml:space="preserve">ARR70327</t>
  </si>
  <si>
    <t xml:space="preserve">ARR70328</t>
  </si>
  <si>
    <t xml:space="preserve">ARR70329</t>
  </si>
  <si>
    <t xml:space="preserve">ARR70330</t>
  </si>
  <si>
    <t xml:space="preserve">ARR70331</t>
  </si>
  <si>
    <t xml:space="preserve">ARR70332</t>
  </si>
  <si>
    <t xml:space="preserve">ARR70333</t>
  </si>
  <si>
    <t xml:space="preserve">ARR70334</t>
  </si>
  <si>
    <t xml:space="preserve">ARR70335</t>
  </si>
  <si>
    <t xml:space="preserve">ARR70336</t>
  </si>
  <si>
    <t xml:space="preserve">ARR70337</t>
  </si>
  <si>
    <t xml:space="preserve">ARR70338</t>
  </si>
  <si>
    <t xml:space="preserve">ARR70339</t>
  </si>
  <si>
    <t xml:space="preserve">ARR70340</t>
  </si>
  <si>
    <t xml:space="preserve">ARR70341</t>
  </si>
  <si>
    <t xml:space="preserve">ARR70342</t>
  </si>
  <si>
    <t xml:space="preserve">ARR70343</t>
  </si>
  <si>
    <t xml:space="preserve">ARR70344</t>
  </si>
  <si>
    <t xml:space="preserve">ARR70345</t>
  </si>
  <si>
    <t xml:space="preserve">ARR70346</t>
  </si>
  <si>
    <t xml:space="preserve">ARR70347</t>
  </si>
  <si>
    <t xml:space="preserve">ARR70348</t>
  </si>
  <si>
    <t xml:space="preserve">ARR70349</t>
  </si>
  <si>
    <t xml:space="preserve">ARR70350</t>
  </si>
  <si>
    <t xml:space="preserve">ARR70351</t>
  </si>
  <si>
    <t xml:space="preserve">ARR70352</t>
  </si>
  <si>
    <t xml:space="preserve">ARR70353</t>
  </si>
  <si>
    <t xml:space="preserve">ARR70354</t>
  </si>
  <si>
    <t xml:space="preserve">ARR70355</t>
  </si>
  <si>
    <t xml:space="preserve">ARR70356</t>
  </si>
  <si>
    <t xml:space="preserve">ARR70357</t>
  </si>
  <si>
    <t xml:space="preserve">ARR70358</t>
  </si>
  <si>
    <t xml:space="preserve">ARR70359</t>
  </si>
  <si>
    <t xml:space="preserve">ARR70360</t>
  </si>
  <si>
    <t xml:space="preserve">ARR70361</t>
  </si>
  <si>
    <t xml:space="preserve">ARR70362</t>
  </si>
  <si>
    <t xml:space="preserve">ARR70363</t>
  </si>
  <si>
    <t xml:space="preserve">ARR70364</t>
  </si>
  <si>
    <t xml:space="preserve">ARR70365</t>
  </si>
  <si>
    <t xml:space="preserve">ARR70366</t>
  </si>
  <si>
    <t xml:space="preserve">ARR70367</t>
  </si>
  <si>
    <t xml:space="preserve">ARR70368</t>
  </si>
  <si>
    <t xml:space="preserve">ARR70369</t>
  </si>
  <si>
    <t xml:space="preserve">ARR70370</t>
  </si>
  <si>
    <t xml:space="preserve">ARR70371</t>
  </si>
  <si>
    <t xml:space="preserve">ARR70372</t>
  </si>
  <si>
    <t xml:space="preserve">ARR70373</t>
  </si>
  <si>
    <t xml:space="preserve">ARR70374</t>
  </si>
  <si>
    <t xml:space="preserve">ARR70375</t>
  </si>
  <si>
    <t xml:space="preserve">ARR70376</t>
  </si>
  <si>
    <t xml:space="preserve">ARR70377</t>
  </si>
  <si>
    <t xml:space="preserve">ARR70378</t>
  </si>
  <si>
    <t xml:space="preserve">ARR70379</t>
  </si>
  <si>
    <t xml:space="preserve">ARR70380</t>
  </si>
  <si>
    <t xml:space="preserve">ARR70381</t>
  </si>
  <si>
    <t xml:space="preserve">ARR70382</t>
  </si>
  <si>
    <t xml:space="preserve">ARR70383</t>
  </si>
  <si>
    <t xml:space="preserve">ARR70384</t>
  </si>
  <si>
    <t xml:space="preserve">ARR70385</t>
  </si>
  <si>
    <t xml:space="preserve">ARR70386</t>
  </si>
  <si>
    <t xml:space="preserve">ARR70387</t>
  </si>
  <si>
    <t xml:space="preserve">ARR70388</t>
  </si>
  <si>
    <t xml:space="preserve">ARR70389</t>
  </si>
  <si>
    <t xml:space="preserve">ARR70390</t>
  </si>
  <si>
    <t xml:space="preserve">ARR70391</t>
  </si>
  <si>
    <t xml:space="preserve">ARR70392</t>
  </si>
  <si>
    <t xml:space="preserve">ARR70393</t>
  </si>
  <si>
    <t xml:space="preserve">ARR70394</t>
  </si>
  <si>
    <t xml:space="preserve">ARR70395</t>
  </si>
  <si>
    <t xml:space="preserve">ARR70396</t>
  </si>
  <si>
    <t xml:space="preserve">ARR70397</t>
  </si>
  <si>
    <t xml:space="preserve">ARR70398</t>
  </si>
  <si>
    <t xml:space="preserve">ARR70399</t>
  </si>
  <si>
    <t xml:space="preserve">ARR70400</t>
  </si>
  <si>
    <t xml:space="preserve">ARR70401</t>
  </si>
  <si>
    <t xml:space="preserve">ARR70402</t>
  </si>
  <si>
    <t xml:space="preserve">ARR70403</t>
  </si>
  <si>
    <t xml:space="preserve">ARR70404</t>
  </si>
  <si>
    <t xml:space="preserve">ARR70405</t>
  </si>
  <si>
    <t xml:space="preserve">ARR70406</t>
  </si>
  <si>
    <t xml:space="preserve">ARR70407</t>
  </si>
  <si>
    <t xml:space="preserve">ARR70408</t>
  </si>
  <si>
    <t xml:space="preserve">ARR70409</t>
  </si>
  <si>
    <t xml:space="preserve">ARR70410</t>
  </si>
  <si>
    <t xml:space="preserve">ARR70411</t>
  </si>
  <si>
    <t xml:space="preserve">ARR70412</t>
  </si>
  <si>
    <t xml:space="preserve">ARR70413</t>
  </si>
  <si>
    <t xml:space="preserve">ARR70414</t>
  </si>
  <si>
    <t xml:space="preserve">ARR70415</t>
  </si>
  <si>
    <t xml:space="preserve">ARR70416</t>
  </si>
  <si>
    <t xml:space="preserve">ARR70417</t>
  </si>
  <si>
    <t xml:space="preserve">ARR70418</t>
  </si>
  <si>
    <t xml:space="preserve">ARR70419</t>
  </si>
  <si>
    <t xml:space="preserve">ARR70420</t>
  </si>
  <si>
    <t xml:space="preserve">ARR70421</t>
  </si>
  <si>
    <t xml:space="preserve">ARR70422</t>
  </si>
  <si>
    <t xml:space="preserve">ARR70423</t>
  </si>
  <si>
    <t xml:space="preserve">ARR70424</t>
  </si>
  <si>
    <t xml:space="preserve">ARR70425</t>
  </si>
  <si>
    <t xml:space="preserve">ARR70426</t>
  </si>
  <si>
    <t xml:space="preserve">ARR70427</t>
  </si>
  <si>
    <t xml:space="preserve">ARR70428</t>
  </si>
  <si>
    <t xml:space="preserve">ARR70429</t>
  </si>
  <si>
    <t xml:space="preserve">ARR70430</t>
  </si>
  <si>
    <t xml:space="preserve">ARR70431</t>
  </si>
  <si>
    <t xml:space="preserve">ARR70432</t>
  </si>
  <si>
    <t xml:space="preserve">ARR70433</t>
  </si>
  <si>
    <t xml:space="preserve">ARR70434</t>
  </si>
  <si>
    <t xml:space="preserve">ARR70435</t>
  </si>
  <si>
    <t xml:space="preserve">ARR70436</t>
  </si>
  <si>
    <t xml:space="preserve">ARR70437</t>
  </si>
  <si>
    <t xml:space="preserve">ARR70438</t>
  </si>
  <si>
    <t xml:space="preserve">ARR70439</t>
  </si>
  <si>
    <t xml:space="preserve">ARR70440</t>
  </si>
  <si>
    <t xml:space="preserve">ARR70441</t>
  </si>
  <si>
    <t xml:space="preserve">ARR70442</t>
  </si>
  <si>
    <t xml:space="preserve">ARR70443</t>
  </si>
  <si>
    <t xml:space="preserve">ARR70444</t>
  </si>
  <si>
    <t xml:space="preserve">ARR70445</t>
  </si>
  <si>
    <t xml:space="preserve">ARR70446</t>
  </si>
  <si>
    <t xml:space="preserve">ARR70447</t>
  </si>
  <si>
    <t xml:space="preserve">ARR70448</t>
  </si>
  <si>
    <t xml:space="preserve">ARR70449</t>
  </si>
  <si>
    <t xml:space="preserve">ARR70450</t>
  </si>
  <si>
    <t xml:space="preserve">ARR70451</t>
  </si>
  <si>
    <t xml:space="preserve">ARR70452</t>
  </si>
  <si>
    <t xml:space="preserve">ARR70453</t>
  </si>
  <si>
    <t xml:space="preserve">ARR70454</t>
  </si>
  <si>
    <t xml:space="preserve">ARR70455</t>
  </si>
  <si>
    <t xml:space="preserve">ARR70456</t>
  </si>
  <si>
    <t xml:space="preserve">ARR70457</t>
  </si>
  <si>
    <t xml:space="preserve">ARR70458</t>
  </si>
  <si>
    <t xml:space="preserve">ARR70459</t>
  </si>
  <si>
    <t xml:space="preserve">ARR70460</t>
  </si>
  <si>
    <t xml:space="preserve">ARR70461</t>
  </si>
  <si>
    <t xml:space="preserve">ARR70462</t>
  </si>
  <si>
    <t xml:space="preserve">ARR70463</t>
  </si>
  <si>
    <t xml:space="preserve">ARR70464</t>
  </si>
  <si>
    <t xml:space="preserve">ARR70465</t>
  </si>
  <si>
    <t xml:space="preserve">ARR70466</t>
  </si>
  <si>
    <t xml:space="preserve">ARR70467</t>
  </si>
  <si>
    <t xml:space="preserve">ARR70468</t>
  </si>
  <si>
    <t xml:space="preserve">ARR70469</t>
  </si>
  <si>
    <t xml:space="preserve">ARR70470</t>
  </si>
  <si>
    <t xml:space="preserve">ARR70471</t>
  </si>
  <si>
    <t xml:space="preserve">ARR70472</t>
  </si>
  <si>
    <t xml:space="preserve">ARR70473</t>
  </si>
  <si>
    <t xml:space="preserve">ARR70474</t>
  </si>
  <si>
    <t xml:space="preserve">ARR70475</t>
  </si>
  <si>
    <t xml:space="preserve">ARR70476</t>
  </si>
  <si>
    <t xml:space="preserve">ARR70477</t>
  </si>
  <si>
    <t xml:space="preserve">ARR70478</t>
  </si>
  <si>
    <t xml:space="preserve">ARR70479</t>
  </si>
  <si>
    <t xml:space="preserve">ARR70480</t>
  </si>
  <si>
    <t xml:space="preserve">ARR70481</t>
  </si>
  <si>
    <t xml:space="preserve">ARR70482</t>
  </si>
  <si>
    <t xml:space="preserve">ARR70483</t>
  </si>
  <si>
    <t xml:space="preserve">ARR70484</t>
  </si>
  <si>
    <t xml:space="preserve">ARR70485</t>
  </si>
  <si>
    <t xml:space="preserve">ARR70486</t>
  </si>
  <si>
    <t xml:space="preserve">ARR70487</t>
  </si>
  <si>
    <t xml:space="preserve">ARR70488</t>
  </si>
  <si>
    <t xml:space="preserve">ARR70489</t>
  </si>
  <si>
    <t xml:space="preserve">ARR70490</t>
  </si>
  <si>
    <t xml:space="preserve">ARR70491</t>
  </si>
  <si>
    <t xml:space="preserve">ARR70492</t>
  </si>
  <si>
    <t xml:space="preserve">ARR70493</t>
  </si>
  <si>
    <t xml:space="preserve">ARR70494</t>
  </si>
  <si>
    <t xml:space="preserve">ARR70495</t>
  </si>
  <si>
    <t xml:space="preserve">ARR70496</t>
  </si>
  <si>
    <t xml:space="preserve">ARR70497</t>
  </si>
  <si>
    <t xml:space="preserve">ARR70498</t>
  </si>
  <si>
    <t xml:space="preserve">ARR70499</t>
  </si>
  <si>
    <t xml:space="preserve">ARR70500</t>
  </si>
  <si>
    <t xml:space="preserve">ARR70501</t>
  </si>
  <si>
    <t xml:space="preserve">ARR70502</t>
  </si>
  <si>
    <t xml:space="preserve">Reconciliation Module 1 — Three-Way Match (PO ↔ GRN ↔ Invoice)</t>
  </si>
  <si>
    <t xml:space="preserve">Base table: Purchase_Orders. Flags goods invoiced without receipt and amount mismatches beyond the tolerance in Assumptions!B6.</t>
  </si>
  <si>
    <t xml:space="preserve">GRN_Received_Amount</t>
  </si>
  <si>
    <t xml:space="preserve">Received_Flag</t>
  </si>
  <si>
    <t xml:space="preserve">Invoiced_Flag</t>
  </si>
  <si>
    <t xml:space="preserve">PO_vs_GRN_Variance</t>
  </si>
  <si>
    <t xml:space="preserve">PO_vs_Invoice_Variance</t>
  </si>
  <si>
    <t xml:space="preserve">Exception_Flag</t>
  </si>
  <si>
    <t xml:space="preserve">Reconciliation Module 2 — Bank Reconciliation (Payment Log ↔ Bank Statement)</t>
  </si>
  <si>
    <t xml:space="preserve">Part A matches every AP payment to the bank statement. Part B (below) finds bank items with no matching payment — timing differences, unexplained fees, or other bank-only activity.</t>
  </si>
  <si>
    <t xml:space="preserve">Part A — Payments matched to Bank Statement</t>
  </si>
  <si>
    <t xml:space="preserve">Bank_Amount</t>
  </si>
  <si>
    <t xml:space="preserve">Bank_Txn_Found</t>
  </si>
  <si>
    <t xml:space="preserve">Amount_Diff</t>
  </si>
  <si>
    <t xml:space="preserve">Match_Status</t>
  </si>
  <si>
    <t xml:space="preserve">Part B — Bank Statement items matched back to Payments</t>
  </si>
  <si>
    <t xml:space="preserve">Ref_Found_In_AP_Log</t>
  </si>
  <si>
    <t xml:space="preserve">Status</t>
  </si>
  <si>
    <t xml:space="preserve">Accounts Payable — Aging</t>
  </si>
  <si>
    <t xml:space="preserve">Base table: Vendor_Invoices_AP. Buckets outstanding balances as of Assumptions!B5.</t>
  </si>
  <si>
    <t xml:space="preserve">Paid_Amount</t>
  </si>
  <si>
    <t xml:space="preserve">Outstanding_Balance</t>
  </si>
  <si>
    <t xml:space="preserve">Days_Outstanding</t>
  </si>
  <si>
    <t xml:space="preserve">Aging_Bucket</t>
  </si>
  <si>
    <t xml:space="preserve">AP Aging Summary (as of Assumptions!B5)</t>
  </si>
  <si>
    <t xml:space="preserve">Bucket</t>
  </si>
  <si>
    <t xml:space="preserve">Outstanding $</t>
  </si>
  <si>
    <t xml:space="preserve">Invoice Count</t>
  </si>
  <si>
    <t xml:space="preserve">0-30</t>
  </si>
  <si>
    <t xml:space="preserve">31-60</t>
  </si>
  <si>
    <t xml:space="preserve">61-90</t>
  </si>
  <si>
    <t xml:space="preserve">90+</t>
  </si>
  <si>
    <t xml:space="preserve">Accounts Payable — Duplicate Payment Detection</t>
  </si>
  <si>
    <t xml:space="preserve">Base table: Vendor_Invoices_AP (one row per invoice). Counts how many payments in Payment_Log_AP reference each invoice.</t>
  </si>
  <si>
    <t xml:space="preserve">Payment_Count</t>
  </si>
  <si>
    <t xml:space="preserve">Total_Paid</t>
  </si>
  <si>
    <t xml:space="preserve">Overpayment_Amount</t>
  </si>
  <si>
    <t xml:space="preserve">Flag</t>
  </si>
  <si>
    <t xml:space="preserve">Helper Table — AP Payment Detail (feeds DPO_Summary trend)</t>
  </si>
  <si>
    <t xml:space="preserve">One row per AP payment with its matched invoice date, used to compute actual days-to-pay by month.</t>
  </si>
  <si>
    <t xml:space="preserve">Days_To_Pay</t>
  </si>
  <si>
    <t xml:space="preserve">Month_Key</t>
  </si>
  <si>
    <t xml:space="preserve">Accounts Payable — Days Payable Outstanding (DPO)</t>
  </si>
  <si>
    <t xml:space="preserve">Headline formula-based DPO, plus an actual average days-to-pay trend by month from AP_Payment_Detail.</t>
  </si>
  <si>
    <t xml:space="preserve">Headline DPO (formula method)</t>
  </si>
  <si>
    <t xml:space="preserve">Ending AP (Outstanding Balance, all invoices)</t>
  </si>
  <si>
    <t xml:space="preserve">Total AP Invoiced (full data period)</t>
  </si>
  <si>
    <t xml:space="preserve">Days in Period (data span)</t>
  </si>
  <si>
    <t xml:space="preserve">DPO = Ending AP / Total AP Invoiced x Days in Period</t>
  </si>
  <si>
    <t xml:space="preserve">Actual Average Days-to-Pay (all settled invoices)</t>
  </si>
  <si>
    <t xml:space="preserve">Monthly Trend — Actual Average Days-to-Pay</t>
  </si>
  <si>
    <t xml:space="preserve">Month</t>
  </si>
  <si>
    <t xml:space="preserve">Avg Days to Pay</t>
  </si>
  <si>
    <t xml:space="preserve">Total Paid ($)</t>
  </si>
  <si>
    <t xml:space="preserve">Accounts Receivable — Aging</t>
  </si>
  <si>
    <t xml:space="preserve">Base table: Customer_Invoices_AR. Buckets outstanding balances as of Assumptions!B5.</t>
  </si>
  <si>
    <t xml:space="preserve">Receipts_Amount</t>
  </si>
  <si>
    <t xml:space="preserve">AR Aging Summary (as of Assumptions!B5)</t>
  </si>
  <si>
    <t xml:space="preserve">Accounts Receivable — Partial / Unpaid Invoice Tracking</t>
  </si>
  <si>
    <t xml:space="preserve">Flags customer invoices that are short-paid or fully overdue and unpaid, pulling live from AR_Aging.</t>
  </si>
  <si>
    <t xml:space="preserve">Risk_Flag</t>
  </si>
  <si>
    <t xml:space="preserve">Helper Table — AR Receipt Detail (feeds DSO_Summary trend)</t>
  </si>
  <si>
    <t xml:space="preserve">One row per cash receipt with its matched invoice billing date, used to compute actual days-to-collect by month.</t>
  </si>
  <si>
    <t xml:space="preserve">Days_To_Collect</t>
  </si>
  <si>
    <t xml:space="preserve">Accounts Receivable — Days Sales Outstanding (DSO)</t>
  </si>
  <si>
    <t xml:space="preserve">Headline formula-based DSO, plus an actual average days-to-collect trend by month from AR_Payment_Detail.</t>
  </si>
  <si>
    <t xml:space="preserve">Headline DSO (formula method)</t>
  </si>
  <si>
    <t xml:space="preserve">Ending AR (Outstanding Balance, all invoices)</t>
  </si>
  <si>
    <t xml:space="preserve">Total AR Billed (full data period)</t>
  </si>
  <si>
    <t xml:space="preserve">DSO = Ending AR / Total AR Billed x Days in Period</t>
  </si>
  <si>
    <t xml:space="preserve">Actual Average Days-to-Collect (all settled invoices)</t>
  </si>
  <si>
    <t xml:space="preserve">Monthly Trend — Actual Average Days-to-Collect</t>
  </si>
  <si>
    <t xml:space="preserve">Avg Days to Collect</t>
  </si>
  <si>
    <t xml:space="preserve">Total Collected ($)</t>
  </si>
  <si>
    <t xml:space="preserve">Compliance — Segregation of Duties (SoD) Check</t>
  </si>
  <si>
    <t xml:space="preserve">Base table: Purchase_Orders. Flags any PO where the same person both requested and approved it.</t>
  </si>
  <si>
    <t xml:space="preserve">SoD_Flag</t>
  </si>
  <si>
    <t xml:space="preserve">Total SoD Violations</t>
  </si>
  <si>
    <t xml:space="preserve">Risk Assessment — Weighted Transaction Risk Score (AML-style)</t>
  </si>
  <si>
    <t xml:space="preserve">Base table: Payment_Log_AP. Score = Large Amount + Round-Dollar + New Vendor + Higher-Risk Geography. Thresholds live in Assumptions.</t>
  </si>
  <si>
    <t xml:space="preserve">Score_Large_Amount</t>
  </si>
  <si>
    <t xml:space="preserve">Score_Round_Dollar</t>
  </si>
  <si>
    <t xml:space="preserve">Score_New_Vendor</t>
  </si>
  <si>
    <t xml:space="preserve">Score_High_Risk_Geo</t>
  </si>
  <si>
    <t xml:space="preserve">Total_Risk_Score</t>
  </si>
  <si>
    <t xml:space="preserve">Risk_Level</t>
  </si>
  <si>
    <t xml:space="preserve">Risk Level Summary</t>
  </si>
  <si>
    <t xml:space="preserve">High</t>
  </si>
  <si>
    <t xml:space="preserve">Medium</t>
  </si>
  <si>
    <t xml:space="preserve">Low</t>
  </si>
  <si>
    <t xml:space="preserve">Procurement — Vendor Spend Analysis (Pareto 80/20)</t>
  </si>
  <si>
    <t xml:space="preserve">Base table: Vendor_Master. Total spend = sum of all PO amounts by vendor. Ranked so cumulative % reveals the vendors driving 80% of spend.</t>
  </si>
  <si>
    <t xml:space="preserve">Total_PO_Spend</t>
  </si>
  <si>
    <t xml:space="preserve">Spend_Rank</t>
  </si>
  <si>
    <t xml:space="preserve">Cumulative_Spend</t>
  </si>
  <si>
    <t xml:space="preserve">Cumulative_%</t>
  </si>
  <si>
    <t xml:space="preserve">Pareto_Flag</t>
  </si>
  <si>
    <t xml:space="preserve">Procurement — New Vendor Risk Flagging</t>
  </si>
  <si>
    <t xml:space="preserve">Flags vendors onboarded recently (within Assumptions!B9 days of the report date) whose total spend is unusually large relative to the vendor base.</t>
  </si>
  <si>
    <t xml:space="preserve">Days_Since_Onboarding</t>
  </si>
  <si>
    <t xml:space="preserve">Avg_Vendor_Spend (all)</t>
  </si>
  <si>
    <t xml:space="preserve">New Vendor Risk Flags Count</t>
  </si>
  <si>
    <t xml:space="preserve">Forecasting — Cash Outflow / AP Payment Forecast</t>
  </si>
  <si>
    <t xml:space="preserve">Historical monthly AP payments (from DPO_Summary) projected forward 3 months with FORECAST (classic linear-regression function, compatible with older Excel).</t>
  </si>
  <si>
    <t xml:space="preserve">Month_Index</t>
  </si>
  <si>
    <t xml:space="preserve">Actual_AP_Paid ($)</t>
  </si>
  <si>
    <t xml:space="preserve">Forecast_AP_Paid ($)</t>
  </si>
  <si>
    <t xml:space="preserve">3-Month Forward Cash Outflow Obligation (sum of forecast)</t>
  </si>
  <si>
    <t xml:space="preserve">Compliance — Risk &amp; Control Matrix (RCM)</t>
  </si>
  <si>
    <t xml:space="preserve">Internal-audit style RCM. Result and Pass/Fail columns are live formulas pulling straight from the modules — refresh the workbook and this re-tests itself.</t>
  </si>
  <si>
    <t xml:space="preserve">Process</t>
  </si>
  <si>
    <t xml:space="preserve">Key Risk</t>
  </si>
  <si>
    <t xml:space="preserve">Control</t>
  </si>
  <si>
    <t xml:space="preserve">Test Performed</t>
  </si>
  <si>
    <t xml:space="preserve">Result (live)</t>
  </si>
  <si>
    <t xml:space="preserve">Pass / Fail</t>
  </si>
  <si>
    <t xml:space="preserve">Procurement – PO Approval</t>
  </si>
  <si>
    <t xml:space="preserve">Requester also approves their own PO (segregation-of-duties break)</t>
  </si>
  <si>
    <t xml:space="preserve">System/policy requires a different approver than requester</t>
  </si>
  <si>
    <t xml:space="preserve">Count POs where Requested_By = Approved_By</t>
  </si>
  <si>
    <t xml:space="preserve">Procurement – 3-Way Match</t>
  </si>
  <si>
    <t xml:space="preserve">Goods/services invoiced without a matching receipt, or PO/GRN/Invoice amounts disagree</t>
  </si>
  <si>
    <t xml:space="preserve">3-way match required before payment release</t>
  </si>
  <si>
    <t xml:space="preserve">Count PO rows flagged EXCEPTION on 3Way_Match</t>
  </si>
  <si>
    <t xml:space="preserve">Accounts Payable – Duplicate Payment</t>
  </si>
  <si>
    <t xml:space="preserve">Same invoice paid more than once</t>
  </si>
  <si>
    <t xml:space="preserve">System blocks a second payment against a settled invoice; periodic duplicate-payment review</t>
  </si>
  <si>
    <t xml:space="preserve">Count invoices flagged DUPLICATE on Duplicate_Payments</t>
  </si>
  <si>
    <t xml:space="preserve">Treasury – Bank Reconciliation</t>
  </si>
  <si>
    <t xml:space="preserve">Payments booked but never clear the bank, or bank activity with no AP record (fraud / error indicator)</t>
  </si>
  <si>
    <t xml:space="preserve">Monthly bank reconciliation performed and signed off</t>
  </si>
  <si>
    <t xml:space="preserve">Count unmatched payments (Part A) + unexplained bank items (Part B)</t>
  </si>
  <si>
    <t xml:space="preserve">Accounts Receivable – Collections</t>
  </si>
  <si>
    <t xml:space="preserve">Customer balances aged past 90 days go uncollected, increasing bad-debt risk</t>
  </si>
  <si>
    <t xml:space="preserve">Aging reviewed weekly; collections escalation at 90 days</t>
  </si>
  <si>
    <t xml:space="preserve">Count AR invoices in the 90+ aging bucket</t>
  </si>
  <si>
    <t xml:space="preserve">Risk – AML Transaction Monitoring</t>
  </si>
  <si>
    <t xml:space="preserve">Large, round-dollar, or new-vendor payments to higher-risk geographies go unreviewed</t>
  </si>
  <si>
    <t xml:space="preserve">Weighted risk scoring reviewed for every High-risk transaction before/after payment</t>
  </si>
  <si>
    <t xml:space="preserve">Count payments scored High risk on Risk_Scoring</t>
  </si>
  <si>
    <t xml:space="preserve">Procurement – Vendor Onboarding</t>
  </si>
  <si>
    <t xml:space="preserve">A newly onboarded vendor receives unusually large orders before it is vetted</t>
  </si>
  <si>
    <t xml:space="preserve">New-vendor spend reviewed against onboarding date and peer average</t>
  </si>
  <si>
    <t xml:space="preserve">Count vendors flagged on New_Vendor_Risk</t>
  </si>
  <si>
    <t xml:space="preserve">Overall Audit Status</t>
  </si>
  <si>
    <t xml:space="preserve">Recurring Report — Monthly</t>
  </si>
  <si>
    <t xml:space="preserve">Recurring management report, grouped by period. Built from the reconciliation / AP / AR / risk modules — the VBA macro refreshes and exports this tab.</t>
  </si>
  <si>
    <t xml:space="preserve">Period</t>
  </si>
  <si>
    <t xml:space="preserve">AP Payments ($)</t>
  </si>
  <si>
    <t xml:space="preserve">AR Receipts ($)</t>
  </si>
  <si>
    <t xml:space="preserve">3-Way Match Exceptions</t>
  </si>
  <si>
    <t xml:space="preserve">Duplicate Payment Flags</t>
  </si>
  <si>
    <t xml:space="preserve">SoD Violations</t>
  </si>
  <si>
    <t xml:space="preserve">High-Risk Transactions</t>
  </si>
  <si>
    <t xml:space="preserve">New POs Raised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</si>
  <si>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</si>
  <si>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</si>
  <si>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</si>
  <si>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</si>
  <si>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</si>
  <si>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</si>
  <si>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</si>
  <si>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</si>
  <si>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</si>
  <si>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</si>
  <si>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</si>
  <si>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</si>
  <si>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</si>
  <si>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</si>
  <si>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</si>
  <si>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</si>
  <si>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</si>
  <si>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</si>
  <si>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</si>
  <si>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Note: Duplicate Payment Flags is a running total (not period-bound) since a duplicate is identified by invoice, not by date.</t>
  </si>
  <si>
    <t xml:space="preserve">Recurring Report — Quarterly</t>
  </si>
  <si>
    <t xml:space="preserve">Q1-2025</t>
  </si>
  <si>
    <t xml:space="preserve">Q2-2025</t>
  </si>
  <si>
    <t xml:space="preserve">Q3-2025</t>
  </si>
  <si>
    <t xml:space="preserve">Q4-2025</t>
  </si>
  <si>
    <t xml:space="preserve">Q1-2026</t>
  </si>
  <si>
    <t xml:space="preserve">Q2-2026</t>
  </si>
  <si>
    <t xml:space="preserve">Q3-2026</t>
  </si>
  <si>
    <t xml:space="preserve">Recurring Report — Yearly</t>
  </si>
  <si>
    <t xml:space="preserve">FY2025</t>
  </si>
  <si>
    <t xml:space="preserve">FY2026 (partial, through data end)</t>
  </si>
  <si>
    <t xml:space="preserve">Recurring Report — Weekly (most recent 12 weeks; pattern extends the same way for any week)</t>
  </si>
  <si>
    <t xml:space="preserve">Wk of 13-Apr-2026</t>
  </si>
  <si>
    <t xml:space="preserve">Wk of 20-Apr-2026</t>
  </si>
  <si>
    <t xml:space="preserve">Wk of 27-Apr-2026</t>
  </si>
  <si>
    <t xml:space="preserve">Wk of 04-May-2026</t>
  </si>
  <si>
    <t xml:space="preserve">Wk of 11-May-2026</t>
  </si>
  <si>
    <t xml:space="preserve">Wk of 18-May-2026</t>
  </si>
  <si>
    <t xml:space="preserve">Wk of 25-May-2026</t>
  </si>
  <si>
    <t xml:space="preserve">Wk of 01-Jun-2026</t>
  </si>
  <si>
    <t xml:space="preserve">Wk of 08-Jun-2026</t>
  </si>
  <si>
    <t xml:space="preserve">Wk of 15-Jun-2026</t>
  </si>
  <si>
    <t xml:space="preserve">Wk of 22-Jun-2026</t>
  </si>
  <si>
    <t xml:space="preserve">Wk of 29-Jun-2026</t>
  </si>
  <si>
    <t xml:space="preserve">Finance Operations — KPI Dashboard</t>
  </si>
  <si>
    <t xml:space="preserve">One-page snapshot as of Assumptions!B5. This is the tab the VBA macro exports to PDF and emails out.</t>
  </si>
  <si>
    <t xml:space="preserve">AP Outstanding (Total)</t>
  </si>
  <si>
    <t xml:space="preserve">AR Outstanding (Total)</t>
  </si>
  <si>
    <t xml:space="preserve">DPO (days)</t>
  </si>
  <si>
    <t xml:space="preserve">DSO (days)</t>
  </si>
  <si>
    <t xml:space="preserve">New-Vendor Risk Flags</t>
  </si>
  <si>
    <t xml:space="preserve">Bank Recon Unmatched/Unexplained Items</t>
  </si>
  <si>
    <t xml:space="preserve">AR 90+ Days Overdue ($)</t>
  </si>
  <si>
    <t xml:space="preserve">AP Aging Mix</t>
  </si>
  <si>
    <t xml:space="preserve">AR Aging Mix</t>
  </si>
  <si>
    <t xml:space="preserve">$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</si>
</sst>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\$#,##0.00"/>
    <numFmt numFmtId="167" formatCode="\$#,##0"/>
    <numFmt numFmtId="168" formatCode="yyyy\-mm\-dd\ hh:mm:ss"/>
    <numFmt numFmtId="169" formatCode="mmm\-yyyy"/>
    <numFmt numFmtId="170" formatCode="[hh]:mm:ss"/>
    <numFmt numFmtId="171" formatCode="0.0"/>
    <numFmt numFmtId="172" formatCode="0.0%"/>
    <numFmt numFmtId="173" formatCode="0"/>
    <numFmt numFmtId="174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F9ED5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BF8F00"/>
      <rgbColor rgb="FFC55A11"/>
      <rgbColor rgb="FF8064A2"/>
      <rgbColor rgb="FFA6A6A6"/>
      <rgbColor rgb="FF003366"/>
      <rgbColor rgb="FF4A7EBB"/>
      <rgbColor rgb="FF003300"/>
      <rgbColor rgb="FF333300"/>
      <rgbColor rgb="FFC0504D"/>
      <rgbColor rgb="FF7030A0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DPO Trend — Avg Days to Pay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DPO_Summary!B12</c:f>
              <c:strCache>
                <c:ptCount val="1"/>
                <c:pt idx="0">
                  <c:v>Avg Days to Pay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DPO_Summary!$A$13:$A$31</c:f>
              <c:strCache>
                <c:ptCount val="19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</c:strCache>
            </c:strRef>
          </c:cat>
          <c:val>
            <c:numRef>
              <c:f>DPO_Summary!$B$13:$B$31</c:f>
              <c:numCache>
                <c:formatCode>0.0</c:formatCode>
                <c:ptCount val="19"/>
                <c:pt idx="0">
                  <c:v>8.66666666666667</c:v>
                </c:pt>
                <c:pt idx="1">
                  <c:v>16.4848484848485</c:v>
                </c:pt>
                <c:pt idx="2">
                  <c:v>16.0526315789474</c:v>
                </c:pt>
                <c:pt idx="3">
                  <c:v>18.475</c:v>
                </c:pt>
                <c:pt idx="4">
                  <c:v>18.025</c:v>
                </c:pt>
                <c:pt idx="5">
                  <c:v>16.5128205128205</c:v>
                </c:pt>
                <c:pt idx="6">
                  <c:v>17.7450980392157</c:v>
                </c:pt>
                <c:pt idx="7">
                  <c:v>18.0487804878049</c:v>
                </c:pt>
                <c:pt idx="8">
                  <c:v>17.1428571428571</c:v>
                </c:pt>
                <c:pt idx="9">
                  <c:v>18.75</c:v>
                </c:pt>
                <c:pt idx="10">
                  <c:v>19.1111111111111</c:v>
                </c:pt>
                <c:pt idx="11">
                  <c:v>17.8775510204082</c:v>
                </c:pt>
                <c:pt idx="12">
                  <c:v>18.1702127659574</c:v>
                </c:pt>
                <c:pt idx="13">
                  <c:v>19.44</c:v>
                </c:pt>
                <c:pt idx="14">
                  <c:v>17.9574468085106</c:v>
                </c:pt>
                <c:pt idx="15">
                  <c:v>19.4897959183673</c:v>
                </c:pt>
                <c:pt idx="16">
                  <c:v>19.5714285714286</c:v>
                </c:pt>
                <c:pt idx="17">
                  <c:v>17.5333333333333</c:v>
                </c:pt>
                <c:pt idx="18">
                  <c:v>11.75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631849"/>
        <c:axId val="61864077"/>
      </c:lineChart>
      <c:catAx>
        <c:axId val="466318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64077"/>
        <c:crosses val="autoZero"/>
        <c:auto val="1"/>
        <c:lblAlgn val="ctr"/>
        <c:lblOffset val="100"/>
        <c:noMultiLvlLbl val="0"/>
      </c:catAx>
      <c:valAx>
        <c:axId val="61864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31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DSO Trend — Avg Days to Collect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DSO_Summary!B12</c:f>
              <c:strCache>
                <c:ptCount val="1"/>
                <c:pt idx="0">
                  <c:v>Avg Days to Collect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DSO_Summary!$A$13:$A$31</c:f>
              <c:strCache>
                <c:ptCount val="19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</c:strCache>
            </c:strRef>
          </c:cat>
          <c:val>
            <c:numRef>
              <c:f>DSO_Summary!$B$13:$B$31</c:f>
              <c:numCache>
                <c:formatCode>0.0</c:formatCode>
                <c:ptCount val="19"/>
                <c:pt idx="0">
                  <c:v>6.57142857142857</c:v>
                </c:pt>
                <c:pt idx="1">
                  <c:v>19.05</c:v>
                </c:pt>
                <c:pt idx="2">
                  <c:v>21.9259259259259</c:v>
                </c:pt>
                <c:pt idx="3">
                  <c:v>19.7058823529412</c:v>
                </c:pt>
                <c:pt idx="4">
                  <c:v>15.6666666666667</c:v>
                </c:pt>
                <c:pt idx="5">
                  <c:v>16.0967741935484</c:v>
                </c:pt>
                <c:pt idx="6">
                  <c:v>14.974358974359</c:v>
                </c:pt>
                <c:pt idx="7">
                  <c:v>19.6875</c:v>
                </c:pt>
                <c:pt idx="8">
                  <c:v>14.1</c:v>
                </c:pt>
                <c:pt idx="9">
                  <c:v>17.125</c:v>
                </c:pt>
                <c:pt idx="10">
                  <c:v>19.4</c:v>
                </c:pt>
                <c:pt idx="11">
                  <c:v>17.6551724137931</c:v>
                </c:pt>
                <c:pt idx="12">
                  <c:v>19.8181818181818</c:v>
                </c:pt>
                <c:pt idx="13">
                  <c:v>20.56</c:v>
                </c:pt>
                <c:pt idx="14">
                  <c:v>17.8</c:v>
                </c:pt>
                <c:pt idx="15">
                  <c:v>20.6470588235294</c:v>
                </c:pt>
                <c:pt idx="16">
                  <c:v>19.5416666666667</c:v>
                </c:pt>
                <c:pt idx="17">
                  <c:v>18.25</c:v>
                </c:pt>
                <c:pt idx="1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53868"/>
        <c:axId val="22035985"/>
      </c:lineChart>
      <c:catAx>
        <c:axId val="254538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5985"/>
        <c:crosses val="autoZero"/>
        <c:auto val="1"/>
        <c:lblAlgn val="ctr"/>
        <c:lblOffset val="100"/>
        <c:noMultiLvlLbl val="0"/>
      </c:catAx>
      <c:valAx>
        <c:axId val="22035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538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Spend (Top vendors by rank)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Vendor_Spend!E4</c:f>
              <c:strCache>
                <c:ptCount val="1"/>
                <c:pt idx="0">
                  <c:v>Total_PO_Spend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Vendor_Spend!$E$5:$E$44</c:f>
              <c:numCache>
                <c:formatCode>\$#,##0.00</c:formatCode>
                <c:ptCount val="40"/>
                <c:pt idx="0">
                  <c:v>105301.08</c:v>
                </c:pt>
                <c:pt idx="1">
                  <c:v>86264.39</c:v>
                </c:pt>
                <c:pt idx="2">
                  <c:v>36190.95</c:v>
                </c:pt>
                <c:pt idx="3">
                  <c:v>50472.02</c:v>
                </c:pt>
                <c:pt idx="4">
                  <c:v>96640.97</c:v>
                </c:pt>
                <c:pt idx="5">
                  <c:v>64172.49</c:v>
                </c:pt>
                <c:pt idx="6">
                  <c:v>98769.41</c:v>
                </c:pt>
                <c:pt idx="7">
                  <c:v>42190.54</c:v>
                </c:pt>
                <c:pt idx="8">
                  <c:v>79994.73</c:v>
                </c:pt>
                <c:pt idx="9">
                  <c:v>60363.6</c:v>
                </c:pt>
                <c:pt idx="10">
                  <c:v>90489.59</c:v>
                </c:pt>
                <c:pt idx="11">
                  <c:v>127808.51</c:v>
                </c:pt>
                <c:pt idx="12">
                  <c:v>62357.35</c:v>
                </c:pt>
                <c:pt idx="13">
                  <c:v>80158.63</c:v>
                </c:pt>
                <c:pt idx="14">
                  <c:v>70535.81</c:v>
                </c:pt>
                <c:pt idx="15">
                  <c:v>71754.72</c:v>
                </c:pt>
                <c:pt idx="16">
                  <c:v>92270.1</c:v>
                </c:pt>
                <c:pt idx="17">
                  <c:v>57985</c:v>
                </c:pt>
                <c:pt idx="18">
                  <c:v>34955.15</c:v>
                </c:pt>
                <c:pt idx="19">
                  <c:v>77529.28</c:v>
                </c:pt>
                <c:pt idx="20">
                  <c:v>50068.68</c:v>
                </c:pt>
                <c:pt idx="21">
                  <c:v>89751.22</c:v>
                </c:pt>
                <c:pt idx="22">
                  <c:v>46555.59</c:v>
                </c:pt>
                <c:pt idx="23">
                  <c:v>60330.97</c:v>
                </c:pt>
                <c:pt idx="24">
                  <c:v>171682.13</c:v>
                </c:pt>
                <c:pt idx="25">
                  <c:v>76062.71</c:v>
                </c:pt>
                <c:pt idx="26">
                  <c:v>85136.88</c:v>
                </c:pt>
                <c:pt idx="27">
                  <c:v>54008.45</c:v>
                </c:pt>
                <c:pt idx="28">
                  <c:v>80665</c:v>
                </c:pt>
                <c:pt idx="29">
                  <c:v>47741.4</c:v>
                </c:pt>
                <c:pt idx="30">
                  <c:v>101194.33</c:v>
                </c:pt>
                <c:pt idx="31">
                  <c:v>29654.33</c:v>
                </c:pt>
                <c:pt idx="32">
                  <c:v>75666.25</c:v>
                </c:pt>
                <c:pt idx="33">
                  <c:v>69012.14</c:v>
                </c:pt>
                <c:pt idx="34">
                  <c:v>92786.73</c:v>
                </c:pt>
                <c:pt idx="35">
                  <c:v>61654.94</c:v>
                </c:pt>
                <c:pt idx="36">
                  <c:v>87511.71</c:v>
                </c:pt>
                <c:pt idx="37">
                  <c:v>65015.28</c:v>
                </c:pt>
                <c:pt idx="38">
                  <c:v>92196.07</c:v>
                </c:pt>
                <c:pt idx="39">
                  <c:v>57641.69</c:v>
                </c:pt>
              </c:numCache>
            </c:numRef>
          </c:val>
        </c:ser>
        <c:gapWidth val="150"/>
        <c:overlap val="0"/>
        <c:axId val="95743087"/>
        <c:axId val="90900389"/>
      </c:barChart>
      <c:catAx>
        <c:axId val="95743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 order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00389"/>
        <c:crosses val="autoZero"/>
        <c:auto val="1"/>
        <c:lblAlgn val="ctr"/>
        <c:lblOffset val="100"/>
        <c:noMultiLvlLbl val="0"/>
      </c:catAx>
      <c:valAx>
        <c:axId val="90900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43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Outflow Forecast — Actual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Cash_Outflow_Forecast!C4</c:f>
              <c:strCache>
                <c:ptCount val="1"/>
                <c:pt idx="0">
                  <c:v>Actual_AP_Paid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Cash_Outflow_Forecast!$A$5:$A$26</c:f>
              <c:strCache>
                <c:ptCount val="2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  <c:pt idx="21">
                  <c:v>Oct-2026</c:v>
                </c:pt>
              </c:strCache>
            </c:strRef>
          </c:cat>
          <c:val>
            <c:numRef>
              <c:f>Cash_Outflow_Forecast!$C$5:$C$26</c:f>
              <c:numCache>
                <c:formatCode>\$#,##0</c:formatCode>
                <c:ptCount val="22"/>
                <c:pt idx="0">
                  <c:v>28576.85</c:v>
                </c:pt>
                <c:pt idx="1">
                  <c:v>119868.99</c:v>
                </c:pt>
                <c:pt idx="2">
                  <c:v>138285.77</c:v>
                </c:pt>
                <c:pt idx="3">
                  <c:v>151944.6</c:v>
                </c:pt>
                <c:pt idx="4">
                  <c:v>115131.97</c:v>
                </c:pt>
                <c:pt idx="5">
                  <c:v>127916.17</c:v>
                </c:pt>
                <c:pt idx="6">
                  <c:v>153034.98</c:v>
                </c:pt>
                <c:pt idx="7">
                  <c:v>155487.54</c:v>
                </c:pt>
                <c:pt idx="8">
                  <c:v>156557.35</c:v>
                </c:pt>
                <c:pt idx="9">
                  <c:v>180558.89</c:v>
                </c:pt>
                <c:pt idx="10">
                  <c:v>124879.11</c:v>
                </c:pt>
                <c:pt idx="11">
                  <c:v>128841.83</c:v>
                </c:pt>
                <c:pt idx="12">
                  <c:v>114036.6</c:v>
                </c:pt>
                <c:pt idx="13">
                  <c:v>214951.16</c:v>
                </c:pt>
                <c:pt idx="14">
                  <c:v>175339.43</c:v>
                </c:pt>
                <c:pt idx="15">
                  <c:v>169620.51</c:v>
                </c:pt>
                <c:pt idx="16">
                  <c:v>129491.66</c:v>
                </c:pt>
                <c:pt idx="17">
                  <c:v>143562.16</c:v>
                </c:pt>
                <c:pt idx="18">
                  <c:v>13225.35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Cash_Outflow_Forecast!D4</c:f>
              <c:strCache>
                <c:ptCount val="1"/>
                <c:pt idx="0">
                  <c:v>Forecast_AP_Paid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Cash_Outflow_Forecast!$A$5:$A$26</c:f>
              <c:strCache>
                <c:ptCount val="2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  <c:pt idx="21">
                  <c:v>Oct-2026</c:v>
                </c:pt>
              </c:strCache>
            </c:strRef>
          </c:cat>
          <c:val>
            <c:numRef>
              <c:f>Cash_Outflow_Forecast!$D$5:$D$26</c:f>
              <c:numCache>
                <c:formatCode>\$#,##0</c:formatCode>
                <c:ptCount val="22"/>
                <c:pt idx="19">
                  <c:v>143281.11877193</c:v>
                </c:pt>
                <c:pt idx="20">
                  <c:v>144233.910017544</c:v>
                </c:pt>
                <c:pt idx="21">
                  <c:v>145186.701263158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967813"/>
        <c:axId val="89244756"/>
      </c:lineChart>
      <c:catAx>
        <c:axId val="53967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44756"/>
        <c:crosses val="autoZero"/>
        <c:auto val="1"/>
        <c:lblAlgn val="ctr"/>
        <c:lblOffset val="100"/>
        <c:noMultiLvlLbl val="0"/>
      </c:catAx>
      <c:valAx>
        <c:axId val="89244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 Paid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67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 Aging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KPI_Dashboard!C24</c:f>
              <c:strCache>
                <c:ptCount val="1"/>
                <c:pt idx="0">
                  <c:v>$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KPI_Dashboard!$B$25:$B$28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KPI_Dashboard!$C$25:$C$28</c:f>
              <c:numCache>
                <c:formatCode>\$#,##0</c:formatCode>
                <c:ptCount val="4"/>
                <c:pt idx="0">
                  <c:v>248495.64</c:v>
                </c:pt>
                <c:pt idx="1">
                  <c:v>15605.37</c:v>
                </c:pt>
                <c:pt idx="2">
                  <c:v>24163.94</c:v>
                </c:pt>
                <c:pt idx="3">
                  <c:v>281252.27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 Aging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KPI_Dashboard!F24</c:f>
              <c:strCache>
                <c:ptCount val="1"/>
                <c:pt idx="0">
                  <c:v>$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KPI_Dashboard!$E$25:$E$28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KPI_Dashboard!$F$25:$F$28</c:f>
              <c:numCache>
                <c:formatCode>\$#,##0</c:formatCode>
                <c:ptCount val="4"/>
                <c:pt idx="0">
                  <c:v>36608.27</c:v>
                </c:pt>
                <c:pt idx="1">
                  <c:v>46667.73</c:v>
                </c:pt>
                <c:pt idx="2">
                  <c:v>23901.13</c:v>
                </c:pt>
                <c:pt idx="3">
                  <c:v>323070.04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160560</xdr:rowOff>
    </xdr:from>
    <xdr:to>
      <xdr:col>16</xdr:col>
      <xdr:colOff>581760</xdr:colOff>
      <xdr:row>28</xdr:row>
      <xdr:rowOff>169560</xdr:rowOff>
    </xdr:to>
    <xdr:graphicFrame>
      <xdr:nvGraphicFramePr>
        <xdr:cNvPr id="0" name="Chart 1"/>
        <xdr:cNvGraphicFramePr/>
      </xdr:nvGraphicFramePr>
      <xdr:xfrm>
        <a:off x="5968440" y="2095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160560</xdr:rowOff>
    </xdr:from>
    <xdr:to>
      <xdr:col>16</xdr:col>
      <xdr:colOff>581760</xdr:colOff>
      <xdr:row>28</xdr:row>
      <xdr:rowOff>169560</xdr:rowOff>
    </xdr:to>
    <xdr:graphicFrame>
      <xdr:nvGraphicFramePr>
        <xdr:cNvPr id="1" name="Chart 1"/>
        <xdr:cNvGraphicFramePr/>
      </xdr:nvGraphicFramePr>
      <xdr:xfrm>
        <a:off x="6250320" y="2095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22</xdr:col>
      <xdr:colOff>581400</xdr:colOff>
      <xdr:row>20</xdr:row>
      <xdr:rowOff>169560</xdr:rowOff>
    </xdr:to>
    <xdr:graphicFrame>
      <xdr:nvGraphicFramePr>
        <xdr:cNvPr id="2" name="Chart 1"/>
        <xdr:cNvGraphicFramePr/>
      </xdr:nvGraphicFramePr>
      <xdr:xfrm>
        <a:off x="1047924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19</xdr:col>
      <xdr:colOff>78840</xdr:colOff>
      <xdr:row>22</xdr:row>
      <xdr:rowOff>148680</xdr:rowOff>
    </xdr:to>
    <xdr:graphicFrame>
      <xdr:nvGraphicFramePr>
        <xdr:cNvPr id="3" name="Chart 1"/>
        <xdr:cNvGraphicFramePr/>
      </xdr:nvGraphicFramePr>
      <xdr:xfrm>
        <a:off x="568656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61560</xdr:rowOff>
    </xdr:from>
    <xdr:to>
      <xdr:col>4</xdr:col>
      <xdr:colOff>498240</xdr:colOff>
      <xdr:row>41</xdr:row>
      <xdr:rowOff>83880</xdr:rowOff>
    </xdr:to>
    <xdr:graphicFrame>
      <xdr:nvGraphicFramePr>
        <xdr:cNvPr id="4" name="Chart 1"/>
        <xdr:cNvGraphicFramePr/>
      </xdr:nvGraphicFramePr>
      <xdr:xfrm>
        <a:off x="281880" y="5524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26</xdr:row>
      <xdr:rowOff>61560</xdr:rowOff>
    </xdr:from>
    <xdr:to>
      <xdr:col>7</xdr:col>
      <xdr:colOff>498240</xdr:colOff>
      <xdr:row>41</xdr:row>
      <xdr:rowOff>83880</xdr:rowOff>
    </xdr:to>
    <xdr:graphicFrame>
      <xdr:nvGraphicFramePr>
        <xdr:cNvPr id="5" name="Chart 2"/>
        <xdr:cNvGraphicFramePr/>
      </xdr:nvGraphicFramePr>
      <xdr:xfrm>
        <a:off x="3383280" y="5524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4"/>
      <c r="D6" s="4"/>
    </row>
    <row r="8" customFormat="false" ht="15" hidden="false" customHeight="false" outlineLevel="0" collapsed="false">
      <c r="B8" s="5" t="s">
        <v>4</v>
      </c>
      <c r="C8" s="6" t="s">
        <v>5</v>
      </c>
    </row>
    <row r="9" customFormat="false" ht="23.85" hidden="false" customHeight="false" outlineLevel="0" collapsed="false">
      <c r="B9" s="5" t="s">
        <v>6</v>
      </c>
      <c r="C9" s="6" t="s">
        <v>7</v>
      </c>
    </row>
    <row r="10" customFormat="false" ht="23.85" hidden="false" customHeight="false" outlineLevel="0" collapsed="false">
      <c r="B10" s="5" t="s">
        <v>8</v>
      </c>
      <c r="C10" s="6" t="s">
        <v>9</v>
      </c>
    </row>
    <row r="11" customFormat="false" ht="23.85" hidden="false" customHeight="false" outlineLevel="0" collapsed="false">
      <c r="B11" s="5" t="s">
        <v>10</v>
      </c>
      <c r="C11" s="6" t="s">
        <v>11</v>
      </c>
    </row>
    <row r="12" customFormat="false" ht="15" hidden="false" customHeight="false" outlineLevel="0" collapsed="false">
      <c r="B12" s="5" t="s">
        <v>12</v>
      </c>
      <c r="C12" s="6" t="s">
        <v>13</v>
      </c>
    </row>
    <row r="13" customFormat="false" ht="15" hidden="false" customHeight="false" outlineLevel="0" collapsed="false">
      <c r="B13" s="5" t="s">
        <v>14</v>
      </c>
      <c r="C13" s="6" t="s">
        <v>15</v>
      </c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15" hidden="false" customHeight="false" outlineLevel="0" collapsed="false">
      <c r="B15" s="5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7" customFormat="false" ht="15" hidden="false" customHeight="false" outlineLevel="0" collapsed="false">
      <c r="B17" s="5" t="s">
        <v>22</v>
      </c>
      <c r="C17" s="6" t="s">
        <v>23</v>
      </c>
    </row>
    <row r="18" customFormat="false" ht="15" hidden="false" customHeight="false" outlineLevel="0" collapsed="false">
      <c r="B18" s="5" t="s">
        <v>24</v>
      </c>
      <c r="C18" s="6" t="s">
        <v>25</v>
      </c>
    </row>
    <row r="19" customFormat="false" ht="23.85" hidden="false" customHeight="false" outlineLevel="0" collapsed="false">
      <c r="B19" s="5" t="s">
        <v>26</v>
      </c>
      <c r="C19" s="6" t="s">
        <v>27</v>
      </c>
    </row>
    <row r="20" customFormat="false" ht="23.85" hidden="false" customHeight="false" outlineLevel="0" collapsed="false">
      <c r="B20" s="5" t="s">
        <v>28</v>
      </c>
      <c r="C20" s="6" t="s">
        <v>29</v>
      </c>
    </row>
    <row r="21" customFormat="false" ht="15" hidden="false" customHeight="false" outlineLevel="0" collapsed="false">
      <c r="B21" s="5" t="s">
        <v>30</v>
      </c>
      <c r="C21" s="6" t="s">
        <v>31</v>
      </c>
    </row>
    <row r="22" customFormat="false" ht="15" hidden="false" customHeight="false" outlineLevel="0" collapsed="false">
      <c r="B22" s="5" t="s">
        <v>32</v>
      </c>
      <c r="C22" s="6" t="s">
        <v>33</v>
      </c>
    </row>
    <row r="23" customFormat="false" ht="23.85" hidden="false" customHeight="false" outlineLevel="0" collapsed="false">
      <c r="B23" s="5" t="s">
        <v>34</v>
      </c>
      <c r="C23" s="6" t="s">
        <v>35</v>
      </c>
    </row>
    <row r="24" customFormat="false" ht="23.85" hidden="false" customHeight="false" outlineLevel="0" collapsed="false">
      <c r="B24" s="5" t="s">
        <v>36</v>
      </c>
      <c r="C24" s="6" t="s">
        <v>37</v>
      </c>
    </row>
    <row r="25" customFormat="false" ht="15" hidden="false" customHeight="false" outlineLevel="0" collapsed="false">
      <c r="B25" s="5" t="s">
        <v>38</v>
      </c>
      <c r="C25" s="6" t="s">
        <v>39</v>
      </c>
    </row>
    <row r="27" customFormat="false" ht="15" hidden="false" customHeight="false" outlineLevel="0" collapsed="false">
      <c r="B27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7.75" hidden="false" customHeight="true" outlineLevel="0" collapsed="false">
      <c r="A4" s="7" t="s">
        <v>43</v>
      </c>
      <c r="B4" s="7" t="s">
        <v>44</v>
      </c>
      <c r="C4" s="7" t="s">
        <v>45</v>
      </c>
    </row>
    <row r="5" customFormat="false" ht="23.85" hidden="false" customHeight="false" outlineLevel="0" collapsed="false">
      <c r="A5" s="8" t="s">
        <v>46</v>
      </c>
      <c r="B5" s="9" t="s">
        <v>47</v>
      </c>
      <c r="C5" s="10" t="s">
        <v>48</v>
      </c>
    </row>
    <row r="6" customFormat="false" ht="23.85" hidden="false" customHeight="false" outlineLevel="0" collapsed="false">
      <c r="A6" s="8" t="s">
        <v>49</v>
      </c>
      <c r="B6" s="11" t="n">
        <v>1</v>
      </c>
      <c r="C6" s="10" t="s">
        <v>50</v>
      </c>
    </row>
    <row r="7" customFormat="false" ht="15" hidden="false" customHeight="false" outlineLevel="0" collapsed="false">
      <c r="A7" s="8" t="s">
        <v>51</v>
      </c>
      <c r="B7" s="12" t="n">
        <v>10000</v>
      </c>
      <c r="C7" s="10" t="s">
        <v>52</v>
      </c>
    </row>
    <row r="8" customFormat="false" ht="23.85" hidden="false" customHeight="false" outlineLevel="0" collapsed="false">
      <c r="A8" s="8" t="s">
        <v>53</v>
      </c>
      <c r="B8" s="12" t="n">
        <v>5000</v>
      </c>
      <c r="C8" s="10" t="s">
        <v>54</v>
      </c>
    </row>
    <row r="9" customFormat="false" ht="23.85" hidden="false" customHeight="false" outlineLevel="0" collapsed="false">
      <c r="A9" s="8" t="s">
        <v>55</v>
      </c>
      <c r="B9" s="13" t="n">
        <v>180</v>
      </c>
      <c r="C9" s="10" t="s">
        <v>56</v>
      </c>
    </row>
    <row r="10" customFormat="false" ht="23.85" hidden="false" customHeight="false" outlineLevel="0" collapsed="false">
      <c r="A10" s="8" t="s">
        <v>57</v>
      </c>
      <c r="B10" s="13" t="s">
        <v>58</v>
      </c>
      <c r="C10" s="10" t="s">
        <v>59</v>
      </c>
    </row>
    <row r="11" customFormat="false" ht="15" hidden="false" customHeight="false" outlineLevel="0" collapsed="false">
      <c r="A11" s="8" t="s">
        <v>60</v>
      </c>
      <c r="B11" s="13" t="s">
        <v>61</v>
      </c>
      <c r="C11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7.75" hidden="false" customHeight="tru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</row>
    <row r="2" customFormat="false" ht="15" hidden="false" customHeight="false" outlineLevel="0" collapsed="false">
      <c r="A2" s="0" t="s">
        <v>70</v>
      </c>
      <c r="B2" s="0" t="s">
        <v>71</v>
      </c>
      <c r="C2" s="0" t="s">
        <v>72</v>
      </c>
      <c r="D2" s="0" t="s">
        <v>73</v>
      </c>
      <c r="E2" s="14" t="n">
        <v>45572</v>
      </c>
      <c r="F2" s="15" t="s">
        <v>74</v>
      </c>
      <c r="G2" s="0" t="n">
        <v>45</v>
      </c>
    </row>
    <row r="3" customFormat="false" ht="15" hidden="false" customHeight="false" outlineLevel="0" collapsed="false">
      <c r="A3" s="0" t="s">
        <v>75</v>
      </c>
      <c r="B3" s="0" t="s">
        <v>76</v>
      </c>
      <c r="C3" s="0" t="s">
        <v>77</v>
      </c>
      <c r="D3" s="0" t="s">
        <v>78</v>
      </c>
      <c r="E3" s="14" t="n">
        <v>44914</v>
      </c>
      <c r="F3" s="15" t="s">
        <v>79</v>
      </c>
      <c r="G3" s="0" t="n">
        <v>15</v>
      </c>
    </row>
    <row r="4" customFormat="false" ht="15" hidden="false" customHeight="false" outlineLevel="0" collapsed="false">
      <c r="A4" s="0" t="s">
        <v>80</v>
      </c>
      <c r="B4" s="0" t="s">
        <v>81</v>
      </c>
      <c r="C4" s="0" t="s">
        <v>72</v>
      </c>
      <c r="D4" s="0" t="s">
        <v>82</v>
      </c>
      <c r="E4" s="14" t="n">
        <v>45495</v>
      </c>
      <c r="F4" s="15" t="s">
        <v>83</v>
      </c>
      <c r="G4" s="0" t="n">
        <v>15</v>
      </c>
    </row>
    <row r="5" customFormat="false" ht="15" hidden="false" customHeight="false" outlineLevel="0" collapsed="false">
      <c r="A5" s="0" t="s">
        <v>84</v>
      </c>
      <c r="B5" s="0" t="s">
        <v>85</v>
      </c>
      <c r="C5" s="0" t="s">
        <v>86</v>
      </c>
      <c r="D5" s="0" t="s">
        <v>87</v>
      </c>
      <c r="E5" s="14" t="n">
        <v>44929</v>
      </c>
      <c r="F5" s="15" t="s">
        <v>88</v>
      </c>
      <c r="G5" s="0" t="n">
        <v>15</v>
      </c>
    </row>
    <row r="6" customFormat="false" ht="15" hidden="false" customHeight="false" outlineLevel="0" collapsed="false">
      <c r="A6" s="0" t="s">
        <v>89</v>
      </c>
      <c r="B6" s="0" t="s">
        <v>90</v>
      </c>
      <c r="C6" s="0" t="s">
        <v>91</v>
      </c>
      <c r="D6" s="0" t="s">
        <v>78</v>
      </c>
      <c r="E6" s="14" t="n">
        <v>45423</v>
      </c>
      <c r="F6" s="15" t="s">
        <v>92</v>
      </c>
      <c r="G6" s="0" t="n">
        <v>15</v>
      </c>
    </row>
    <row r="7" customFormat="false" ht="15" hidden="false" customHeight="false" outlineLevel="0" collapsed="false">
      <c r="A7" s="0" t="s">
        <v>93</v>
      </c>
      <c r="B7" s="0" t="s">
        <v>94</v>
      </c>
      <c r="C7" s="0" t="s">
        <v>86</v>
      </c>
      <c r="D7" s="0" t="s">
        <v>78</v>
      </c>
      <c r="E7" s="14" t="n">
        <v>45841</v>
      </c>
      <c r="F7" s="15" t="s">
        <v>95</v>
      </c>
      <c r="G7" s="0" t="n">
        <v>60</v>
      </c>
    </row>
    <row r="8" customFormat="false" ht="15" hidden="false" customHeight="false" outlineLevel="0" collapsed="false">
      <c r="A8" s="0" t="s">
        <v>96</v>
      </c>
      <c r="B8" s="0" t="s">
        <v>97</v>
      </c>
      <c r="C8" s="0" t="s">
        <v>77</v>
      </c>
      <c r="D8" s="0" t="s">
        <v>87</v>
      </c>
      <c r="E8" s="14" t="n">
        <v>45665</v>
      </c>
      <c r="F8" s="15" t="s">
        <v>98</v>
      </c>
      <c r="G8" s="0" t="n">
        <v>15</v>
      </c>
    </row>
    <row r="9" customFormat="false" ht="15" hidden="false" customHeight="false" outlineLevel="0" collapsed="false">
      <c r="A9" s="0" t="s">
        <v>99</v>
      </c>
      <c r="B9" s="0" t="s">
        <v>100</v>
      </c>
      <c r="C9" s="0" t="s">
        <v>101</v>
      </c>
      <c r="D9" s="0" t="s">
        <v>102</v>
      </c>
      <c r="E9" s="14" t="n">
        <v>45769</v>
      </c>
      <c r="F9" s="15" t="s">
        <v>103</v>
      </c>
      <c r="G9" s="0" t="n">
        <v>60</v>
      </c>
    </row>
    <row r="10" customFormat="false" ht="15" hidden="false" customHeight="false" outlineLevel="0" collapsed="false">
      <c r="A10" s="0" t="s">
        <v>104</v>
      </c>
      <c r="B10" s="0" t="s">
        <v>105</v>
      </c>
      <c r="C10" s="0" t="s">
        <v>106</v>
      </c>
      <c r="D10" s="0" t="s">
        <v>107</v>
      </c>
      <c r="E10" s="14" t="n">
        <v>45129</v>
      </c>
      <c r="F10" s="15" t="s">
        <v>108</v>
      </c>
      <c r="G10" s="0" t="n">
        <v>30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101</v>
      </c>
      <c r="D11" s="0" t="s">
        <v>107</v>
      </c>
      <c r="E11" s="14" t="n">
        <v>45715</v>
      </c>
      <c r="F11" s="15" t="s">
        <v>111</v>
      </c>
      <c r="G11" s="0" t="n">
        <v>15</v>
      </c>
    </row>
    <row r="12" customFormat="false" ht="15" hidden="false" customHeight="false" outlineLevel="0" collapsed="false">
      <c r="A12" s="0" t="s">
        <v>112</v>
      </c>
      <c r="B12" s="0" t="s">
        <v>113</v>
      </c>
      <c r="C12" s="0" t="s">
        <v>114</v>
      </c>
      <c r="D12" s="0" t="s">
        <v>73</v>
      </c>
      <c r="E12" s="14" t="n">
        <v>45025</v>
      </c>
      <c r="F12" s="15" t="s">
        <v>115</v>
      </c>
      <c r="G12" s="0" t="n">
        <v>45</v>
      </c>
    </row>
    <row r="13" customFormat="false" ht="15" hidden="false" customHeight="false" outlineLevel="0" collapsed="false">
      <c r="A13" s="0" t="s">
        <v>116</v>
      </c>
      <c r="B13" s="0" t="s">
        <v>117</v>
      </c>
      <c r="C13" s="0" t="s">
        <v>86</v>
      </c>
      <c r="D13" s="0" t="s">
        <v>107</v>
      </c>
      <c r="E13" s="14" t="n">
        <v>45675</v>
      </c>
      <c r="F13" s="15" t="s">
        <v>118</v>
      </c>
      <c r="G13" s="0" t="n">
        <v>60</v>
      </c>
    </row>
    <row r="14" customFormat="false" ht="15" hidden="false" customHeight="false" outlineLevel="0" collapsed="false">
      <c r="A14" s="0" t="s">
        <v>119</v>
      </c>
      <c r="B14" s="0" t="s">
        <v>120</v>
      </c>
      <c r="C14" s="0" t="s">
        <v>86</v>
      </c>
      <c r="D14" s="0" t="s">
        <v>73</v>
      </c>
      <c r="E14" s="14" t="n">
        <v>46119</v>
      </c>
      <c r="F14" s="15" t="s">
        <v>121</v>
      </c>
      <c r="G14" s="0" t="n">
        <v>15</v>
      </c>
    </row>
    <row r="15" customFormat="false" ht="15" hidden="false" customHeight="false" outlineLevel="0" collapsed="false">
      <c r="A15" s="0" t="s">
        <v>122</v>
      </c>
      <c r="B15" s="0" t="s">
        <v>123</v>
      </c>
      <c r="C15" s="0" t="s">
        <v>86</v>
      </c>
      <c r="D15" s="0" t="s">
        <v>107</v>
      </c>
      <c r="E15" s="14" t="n">
        <v>45001</v>
      </c>
      <c r="F15" s="15" t="s">
        <v>124</v>
      </c>
      <c r="G15" s="0" t="n">
        <v>30</v>
      </c>
    </row>
    <row r="16" customFormat="false" ht="15" hidden="false" customHeight="false" outlineLevel="0" collapsed="false">
      <c r="A16" s="0" t="s">
        <v>125</v>
      </c>
      <c r="B16" s="0" t="s">
        <v>126</v>
      </c>
      <c r="C16" s="0" t="s">
        <v>72</v>
      </c>
      <c r="D16" s="0" t="s">
        <v>73</v>
      </c>
      <c r="E16" s="14" t="n">
        <v>45621</v>
      </c>
      <c r="F16" s="15" t="s">
        <v>127</v>
      </c>
      <c r="G16" s="0" t="n">
        <v>30</v>
      </c>
    </row>
    <row r="17" customFormat="false" ht="15" hidden="false" customHeight="false" outlineLevel="0" collapsed="false">
      <c r="A17" s="0" t="s">
        <v>128</v>
      </c>
      <c r="B17" s="0" t="s">
        <v>129</v>
      </c>
      <c r="C17" s="0" t="s">
        <v>101</v>
      </c>
      <c r="D17" s="0" t="s">
        <v>107</v>
      </c>
      <c r="E17" s="14" t="n">
        <v>44832</v>
      </c>
      <c r="F17" s="15" t="s">
        <v>130</v>
      </c>
      <c r="G17" s="0" t="n">
        <v>30</v>
      </c>
    </row>
    <row r="18" customFormat="false" ht="15" hidden="false" customHeight="false" outlineLevel="0" collapsed="false">
      <c r="A18" s="0" t="s">
        <v>131</v>
      </c>
      <c r="B18" s="0" t="s">
        <v>132</v>
      </c>
      <c r="C18" s="0" t="s">
        <v>101</v>
      </c>
      <c r="D18" s="0" t="s">
        <v>73</v>
      </c>
      <c r="E18" s="14" t="n">
        <v>46025</v>
      </c>
      <c r="F18" s="15" t="s">
        <v>133</v>
      </c>
      <c r="G18" s="0" t="n">
        <v>45</v>
      </c>
    </row>
    <row r="19" customFormat="false" ht="15" hidden="false" customHeight="false" outlineLevel="0" collapsed="false">
      <c r="A19" s="0" t="s">
        <v>134</v>
      </c>
      <c r="B19" s="0" t="s">
        <v>135</v>
      </c>
      <c r="C19" s="0" t="s">
        <v>114</v>
      </c>
      <c r="D19" s="0" t="s">
        <v>82</v>
      </c>
      <c r="E19" s="14" t="n">
        <v>45788</v>
      </c>
      <c r="F19" s="15" t="s">
        <v>136</v>
      </c>
      <c r="G19" s="0" t="n">
        <v>30</v>
      </c>
    </row>
    <row r="20" customFormat="false" ht="15" hidden="false" customHeight="false" outlineLevel="0" collapsed="false">
      <c r="A20" s="0" t="s">
        <v>137</v>
      </c>
      <c r="B20" s="0" t="s">
        <v>138</v>
      </c>
      <c r="C20" s="0" t="s">
        <v>106</v>
      </c>
      <c r="D20" s="0" t="s">
        <v>107</v>
      </c>
      <c r="E20" s="14" t="n">
        <v>45196</v>
      </c>
      <c r="F20" s="15" t="s">
        <v>139</v>
      </c>
      <c r="G20" s="0" t="n">
        <v>45</v>
      </c>
    </row>
    <row r="21" customFormat="false" ht="15" hidden="false" customHeight="false" outlineLevel="0" collapsed="false">
      <c r="A21" s="0" t="s">
        <v>140</v>
      </c>
      <c r="B21" s="0" t="s">
        <v>141</v>
      </c>
      <c r="C21" s="0" t="s">
        <v>72</v>
      </c>
      <c r="D21" s="0" t="s">
        <v>82</v>
      </c>
      <c r="E21" s="14" t="n">
        <v>45947</v>
      </c>
      <c r="F21" s="15" t="s">
        <v>142</v>
      </c>
      <c r="G21" s="0" t="n">
        <v>30</v>
      </c>
    </row>
    <row r="22" customFormat="false" ht="15" hidden="false" customHeight="false" outlineLevel="0" collapsed="false">
      <c r="A22" s="0" t="s">
        <v>143</v>
      </c>
      <c r="B22" s="0" t="s">
        <v>144</v>
      </c>
      <c r="C22" s="0" t="s">
        <v>86</v>
      </c>
      <c r="D22" s="0" t="s">
        <v>82</v>
      </c>
      <c r="E22" s="14" t="n">
        <v>45960</v>
      </c>
      <c r="F22" s="15" t="s">
        <v>145</v>
      </c>
      <c r="G22" s="0" t="n">
        <v>30</v>
      </c>
    </row>
    <row r="23" customFormat="false" ht="15" hidden="false" customHeight="false" outlineLevel="0" collapsed="false">
      <c r="A23" s="0" t="s">
        <v>146</v>
      </c>
      <c r="B23" s="0" t="s">
        <v>147</v>
      </c>
      <c r="C23" s="0" t="s">
        <v>114</v>
      </c>
      <c r="D23" s="0" t="s">
        <v>87</v>
      </c>
      <c r="E23" s="14" t="n">
        <v>45449</v>
      </c>
      <c r="F23" s="15" t="s">
        <v>148</v>
      </c>
      <c r="G23" s="0" t="n">
        <v>30</v>
      </c>
    </row>
    <row r="24" customFormat="false" ht="15" hidden="false" customHeight="false" outlineLevel="0" collapsed="false">
      <c r="A24" s="0" t="s">
        <v>149</v>
      </c>
      <c r="B24" s="0" t="s">
        <v>150</v>
      </c>
      <c r="C24" s="0" t="s">
        <v>72</v>
      </c>
      <c r="D24" s="0" t="s">
        <v>107</v>
      </c>
      <c r="E24" s="14" t="n">
        <v>45484</v>
      </c>
      <c r="F24" s="15" t="s">
        <v>151</v>
      </c>
      <c r="G24" s="0" t="n">
        <v>30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s">
        <v>101</v>
      </c>
      <c r="D25" s="0" t="s">
        <v>73</v>
      </c>
      <c r="E25" s="14" t="n">
        <v>45367</v>
      </c>
      <c r="F25" s="15" t="s">
        <v>154</v>
      </c>
      <c r="G25" s="0" t="n">
        <v>60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s">
        <v>106</v>
      </c>
      <c r="D26" s="0" t="s">
        <v>73</v>
      </c>
      <c r="E26" s="14" t="n">
        <v>44803</v>
      </c>
      <c r="F26" s="15" t="s">
        <v>157</v>
      </c>
      <c r="G26" s="0" t="n">
        <v>45</v>
      </c>
    </row>
    <row r="27" customFormat="false" ht="15" hidden="false" customHeight="false" outlineLevel="0" collapsed="false">
      <c r="A27" s="0" t="s">
        <v>158</v>
      </c>
      <c r="B27" s="0" t="s">
        <v>159</v>
      </c>
      <c r="C27" s="0" t="s">
        <v>77</v>
      </c>
      <c r="D27" s="0" t="s">
        <v>82</v>
      </c>
      <c r="E27" s="14" t="n">
        <v>45504</v>
      </c>
      <c r="F27" s="15" t="s">
        <v>160</v>
      </c>
      <c r="G27" s="0" t="n">
        <v>60</v>
      </c>
    </row>
    <row r="28" customFormat="false" ht="15" hidden="false" customHeight="false" outlineLevel="0" collapsed="false">
      <c r="A28" s="0" t="s">
        <v>161</v>
      </c>
      <c r="B28" s="0" t="s">
        <v>162</v>
      </c>
      <c r="C28" s="0" t="s">
        <v>72</v>
      </c>
      <c r="D28" s="0" t="s">
        <v>87</v>
      </c>
      <c r="E28" s="14" t="n">
        <v>45398</v>
      </c>
      <c r="F28" s="15" t="s">
        <v>163</v>
      </c>
      <c r="G28" s="0" t="n">
        <v>45</v>
      </c>
    </row>
    <row r="29" customFormat="false" ht="15" hidden="false" customHeight="false" outlineLevel="0" collapsed="false">
      <c r="A29" s="0" t="s">
        <v>164</v>
      </c>
      <c r="B29" s="0" t="s">
        <v>165</v>
      </c>
      <c r="C29" s="0" t="s">
        <v>77</v>
      </c>
      <c r="D29" s="0" t="s">
        <v>78</v>
      </c>
      <c r="E29" s="14" t="n">
        <v>45639</v>
      </c>
      <c r="F29" s="15" t="s">
        <v>166</v>
      </c>
      <c r="G29" s="0" t="n">
        <v>45</v>
      </c>
    </row>
    <row r="30" customFormat="false" ht="15" hidden="false" customHeight="false" outlineLevel="0" collapsed="false">
      <c r="A30" s="0" t="s">
        <v>167</v>
      </c>
      <c r="B30" s="0" t="s">
        <v>168</v>
      </c>
      <c r="C30" s="0" t="s">
        <v>72</v>
      </c>
      <c r="D30" s="0" t="s">
        <v>169</v>
      </c>
      <c r="E30" s="14" t="n">
        <v>45026</v>
      </c>
      <c r="F30" s="15" t="s">
        <v>170</v>
      </c>
      <c r="G30" s="0" t="n">
        <v>60</v>
      </c>
    </row>
    <row r="31" customFormat="false" ht="15" hidden="false" customHeight="false" outlineLevel="0" collapsed="false">
      <c r="A31" s="0" t="s">
        <v>171</v>
      </c>
      <c r="B31" s="0" t="s">
        <v>172</v>
      </c>
      <c r="C31" s="0" t="s">
        <v>106</v>
      </c>
      <c r="D31" s="0" t="s">
        <v>78</v>
      </c>
      <c r="E31" s="14" t="n">
        <v>45946</v>
      </c>
      <c r="F31" s="15" t="s">
        <v>173</v>
      </c>
      <c r="G31" s="0" t="n">
        <v>60</v>
      </c>
    </row>
    <row r="32" customFormat="false" ht="15" hidden="false" customHeight="false" outlineLevel="0" collapsed="false">
      <c r="A32" s="0" t="s">
        <v>174</v>
      </c>
      <c r="B32" s="0" t="s">
        <v>175</v>
      </c>
      <c r="C32" s="0" t="s">
        <v>91</v>
      </c>
      <c r="D32" s="0" t="s">
        <v>102</v>
      </c>
      <c r="E32" s="14" t="n">
        <v>45364</v>
      </c>
      <c r="F32" s="15" t="s">
        <v>176</v>
      </c>
      <c r="G32" s="0" t="n">
        <v>15</v>
      </c>
    </row>
    <row r="33" customFormat="false" ht="15" hidden="false" customHeight="false" outlineLevel="0" collapsed="false">
      <c r="A33" s="0" t="s">
        <v>177</v>
      </c>
      <c r="B33" s="0" t="s">
        <v>178</v>
      </c>
      <c r="C33" s="0" t="s">
        <v>77</v>
      </c>
      <c r="D33" s="0" t="s">
        <v>82</v>
      </c>
      <c r="E33" s="14" t="n">
        <v>45892</v>
      </c>
      <c r="F33" s="15" t="s">
        <v>179</v>
      </c>
      <c r="G33" s="0" t="n">
        <v>60</v>
      </c>
    </row>
    <row r="34" customFormat="false" ht="15" hidden="false" customHeight="false" outlineLevel="0" collapsed="false">
      <c r="A34" s="0" t="s">
        <v>180</v>
      </c>
      <c r="B34" s="0" t="s">
        <v>181</v>
      </c>
      <c r="C34" s="0" t="s">
        <v>86</v>
      </c>
      <c r="D34" s="0" t="s">
        <v>73</v>
      </c>
      <c r="E34" s="14" t="n">
        <v>45414</v>
      </c>
      <c r="F34" s="15" t="s">
        <v>182</v>
      </c>
      <c r="G34" s="0" t="n">
        <v>60</v>
      </c>
    </row>
    <row r="35" customFormat="false" ht="15" hidden="false" customHeight="false" outlineLevel="0" collapsed="false">
      <c r="A35" s="0" t="s">
        <v>183</v>
      </c>
      <c r="B35" s="0" t="s">
        <v>184</v>
      </c>
      <c r="C35" s="0" t="s">
        <v>86</v>
      </c>
      <c r="D35" s="0" t="s">
        <v>87</v>
      </c>
      <c r="E35" s="14" t="n">
        <v>44738</v>
      </c>
      <c r="F35" s="15" t="s">
        <v>185</v>
      </c>
      <c r="G35" s="0" t="n">
        <v>45</v>
      </c>
    </row>
    <row r="36" customFormat="false" ht="15" hidden="false" customHeight="false" outlineLevel="0" collapsed="false">
      <c r="A36" s="0" t="s">
        <v>186</v>
      </c>
      <c r="B36" s="0" t="s">
        <v>187</v>
      </c>
      <c r="C36" s="0" t="s">
        <v>86</v>
      </c>
      <c r="D36" s="0" t="s">
        <v>102</v>
      </c>
      <c r="E36" s="14" t="n">
        <v>45048</v>
      </c>
      <c r="F36" s="15" t="s">
        <v>188</v>
      </c>
      <c r="G36" s="0" t="n">
        <v>15</v>
      </c>
    </row>
    <row r="37" customFormat="false" ht="15" hidden="false" customHeight="false" outlineLevel="0" collapsed="false">
      <c r="A37" s="0" t="s">
        <v>189</v>
      </c>
      <c r="B37" s="0" t="s">
        <v>190</v>
      </c>
      <c r="C37" s="0" t="s">
        <v>72</v>
      </c>
      <c r="D37" s="0" t="s">
        <v>169</v>
      </c>
      <c r="E37" s="14" t="n">
        <v>46059</v>
      </c>
      <c r="F37" s="15" t="s">
        <v>191</v>
      </c>
      <c r="G37" s="0" t="n">
        <v>45</v>
      </c>
    </row>
    <row r="38" customFormat="false" ht="15" hidden="false" customHeight="false" outlineLevel="0" collapsed="false">
      <c r="A38" s="0" t="s">
        <v>192</v>
      </c>
      <c r="B38" s="0" t="s">
        <v>193</v>
      </c>
      <c r="C38" s="0" t="s">
        <v>91</v>
      </c>
      <c r="D38" s="0" t="s">
        <v>107</v>
      </c>
      <c r="E38" s="14" t="n">
        <v>46108</v>
      </c>
      <c r="F38" s="15" t="s">
        <v>194</v>
      </c>
      <c r="G38" s="0" t="n">
        <v>30</v>
      </c>
    </row>
    <row r="39" customFormat="false" ht="15" hidden="false" customHeight="false" outlineLevel="0" collapsed="false">
      <c r="A39" s="0" t="s">
        <v>195</v>
      </c>
      <c r="B39" s="0" t="s">
        <v>196</v>
      </c>
      <c r="C39" s="0" t="s">
        <v>114</v>
      </c>
      <c r="D39" s="0" t="s">
        <v>73</v>
      </c>
      <c r="E39" s="14" t="n">
        <v>45431</v>
      </c>
      <c r="F39" s="15" t="s">
        <v>197</v>
      </c>
      <c r="G39" s="0" t="n">
        <v>30</v>
      </c>
    </row>
    <row r="40" customFormat="false" ht="15" hidden="false" customHeight="false" outlineLevel="0" collapsed="false">
      <c r="A40" s="0" t="s">
        <v>198</v>
      </c>
      <c r="B40" s="0" t="s">
        <v>199</v>
      </c>
      <c r="C40" s="0" t="s">
        <v>86</v>
      </c>
      <c r="D40" s="0" t="s">
        <v>73</v>
      </c>
      <c r="E40" s="14" t="n">
        <v>46086</v>
      </c>
      <c r="F40" s="15" t="s">
        <v>200</v>
      </c>
      <c r="G40" s="0" t="n">
        <v>30</v>
      </c>
    </row>
    <row r="41" customFormat="false" ht="15" hidden="false" customHeight="false" outlineLevel="0" collapsed="false">
      <c r="A41" s="0" t="s">
        <v>201</v>
      </c>
      <c r="B41" s="0" t="s">
        <v>202</v>
      </c>
      <c r="C41" s="0" t="s">
        <v>77</v>
      </c>
      <c r="D41" s="0" t="s">
        <v>107</v>
      </c>
      <c r="E41" s="14" t="n">
        <v>45192</v>
      </c>
      <c r="F41" s="15" t="s">
        <v>203</v>
      </c>
      <c r="G41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7.75" hidden="false" customHeight="true" outlineLevel="0" collapsed="false">
      <c r="A1" s="7" t="s">
        <v>204</v>
      </c>
      <c r="B1" s="7" t="s">
        <v>205</v>
      </c>
      <c r="C1" s="7" t="s">
        <v>66</v>
      </c>
      <c r="D1" s="7" t="s">
        <v>206</v>
      </c>
      <c r="E1" s="7" t="s">
        <v>207</v>
      </c>
    </row>
    <row r="2" customFormat="false" ht="15" hidden="false" customHeight="false" outlineLevel="0" collapsed="false">
      <c r="A2" s="0" t="s">
        <v>208</v>
      </c>
      <c r="B2" s="0" t="s">
        <v>209</v>
      </c>
      <c r="C2" s="0" t="s">
        <v>169</v>
      </c>
      <c r="D2" s="0" t="n">
        <v>45</v>
      </c>
      <c r="E2" s="0" t="s">
        <v>210</v>
      </c>
    </row>
    <row r="3" customFormat="false" ht="15" hidden="false" customHeight="false" outlineLevel="0" collapsed="false">
      <c r="A3" s="0" t="s">
        <v>211</v>
      </c>
      <c r="B3" s="0" t="s">
        <v>212</v>
      </c>
      <c r="C3" s="0" t="s">
        <v>73</v>
      </c>
      <c r="D3" s="0" t="n">
        <v>15</v>
      </c>
      <c r="E3" s="0" t="s">
        <v>213</v>
      </c>
    </row>
    <row r="4" customFormat="false" ht="15" hidden="false" customHeight="false" outlineLevel="0" collapsed="false">
      <c r="A4" s="0" t="s">
        <v>214</v>
      </c>
      <c r="B4" s="0" t="s">
        <v>215</v>
      </c>
      <c r="C4" s="0" t="s">
        <v>102</v>
      </c>
      <c r="D4" s="0" t="n">
        <v>45</v>
      </c>
      <c r="E4" s="0" t="s">
        <v>216</v>
      </c>
    </row>
    <row r="5" customFormat="false" ht="15" hidden="false" customHeight="false" outlineLevel="0" collapsed="false">
      <c r="A5" s="0" t="s">
        <v>217</v>
      </c>
      <c r="B5" s="0" t="s">
        <v>218</v>
      </c>
      <c r="C5" s="0" t="s">
        <v>73</v>
      </c>
      <c r="D5" s="0" t="n">
        <v>30</v>
      </c>
      <c r="E5" s="0" t="s">
        <v>219</v>
      </c>
    </row>
    <row r="6" customFormat="false" ht="15" hidden="false" customHeight="false" outlineLevel="0" collapsed="false">
      <c r="A6" s="0" t="s">
        <v>220</v>
      </c>
      <c r="B6" s="0" t="s">
        <v>221</v>
      </c>
      <c r="C6" s="0" t="s">
        <v>73</v>
      </c>
      <c r="D6" s="0" t="n">
        <v>15</v>
      </c>
      <c r="E6" s="0" t="s">
        <v>210</v>
      </c>
    </row>
    <row r="7" customFormat="false" ht="15" hidden="false" customHeight="false" outlineLevel="0" collapsed="false">
      <c r="A7" s="0" t="s">
        <v>222</v>
      </c>
      <c r="B7" s="0" t="s">
        <v>223</v>
      </c>
      <c r="C7" s="0" t="s">
        <v>102</v>
      </c>
      <c r="D7" s="0" t="n">
        <v>15</v>
      </c>
      <c r="E7" s="0" t="s">
        <v>219</v>
      </c>
    </row>
    <row r="8" customFormat="false" ht="15" hidden="false" customHeight="false" outlineLevel="0" collapsed="false">
      <c r="A8" s="0" t="s">
        <v>224</v>
      </c>
      <c r="B8" s="0" t="s">
        <v>225</v>
      </c>
      <c r="C8" s="0" t="s">
        <v>102</v>
      </c>
      <c r="D8" s="0" t="n">
        <v>30</v>
      </c>
      <c r="E8" s="0" t="s">
        <v>216</v>
      </c>
    </row>
    <row r="9" customFormat="false" ht="15" hidden="false" customHeight="false" outlineLevel="0" collapsed="false">
      <c r="A9" s="0" t="s">
        <v>226</v>
      </c>
      <c r="B9" s="0" t="s">
        <v>227</v>
      </c>
      <c r="C9" s="0" t="s">
        <v>82</v>
      </c>
      <c r="D9" s="0" t="n">
        <v>60</v>
      </c>
      <c r="E9" s="0" t="s">
        <v>219</v>
      </c>
    </row>
    <row r="10" customFormat="false" ht="15" hidden="false" customHeight="false" outlineLevel="0" collapsed="false">
      <c r="A10" s="0" t="s">
        <v>228</v>
      </c>
      <c r="B10" s="0" t="s">
        <v>229</v>
      </c>
      <c r="C10" s="0" t="s">
        <v>78</v>
      </c>
      <c r="D10" s="0" t="n">
        <v>45</v>
      </c>
      <c r="E10" s="0" t="s">
        <v>219</v>
      </c>
    </row>
    <row r="11" customFormat="false" ht="15" hidden="false" customHeight="false" outlineLevel="0" collapsed="false">
      <c r="A11" s="0" t="s">
        <v>230</v>
      </c>
      <c r="B11" s="0" t="s">
        <v>231</v>
      </c>
      <c r="C11" s="0" t="s">
        <v>102</v>
      </c>
      <c r="D11" s="0" t="n">
        <v>60</v>
      </c>
      <c r="E11" s="0" t="s">
        <v>216</v>
      </c>
    </row>
    <row r="12" customFormat="false" ht="15" hidden="false" customHeight="false" outlineLevel="0" collapsed="false">
      <c r="A12" s="0" t="s">
        <v>232</v>
      </c>
      <c r="B12" s="0" t="s">
        <v>233</v>
      </c>
      <c r="C12" s="0" t="s">
        <v>169</v>
      </c>
      <c r="D12" s="0" t="n">
        <v>30</v>
      </c>
      <c r="E12" s="0" t="s">
        <v>213</v>
      </c>
    </row>
    <row r="13" customFormat="false" ht="15" hidden="false" customHeight="false" outlineLevel="0" collapsed="false">
      <c r="A13" s="0" t="s">
        <v>234</v>
      </c>
      <c r="B13" s="0" t="s">
        <v>235</v>
      </c>
      <c r="C13" s="0" t="s">
        <v>87</v>
      </c>
      <c r="D13" s="0" t="n">
        <v>45</v>
      </c>
      <c r="E13" s="0" t="s">
        <v>210</v>
      </c>
    </row>
    <row r="14" customFormat="false" ht="15" hidden="false" customHeight="false" outlineLevel="0" collapsed="false">
      <c r="A14" s="0" t="s">
        <v>236</v>
      </c>
      <c r="B14" s="0" t="s">
        <v>237</v>
      </c>
      <c r="C14" s="0" t="s">
        <v>169</v>
      </c>
      <c r="D14" s="0" t="n">
        <v>60</v>
      </c>
      <c r="E14" s="0" t="s">
        <v>238</v>
      </c>
    </row>
    <row r="15" customFormat="false" ht="15" hidden="false" customHeight="false" outlineLevel="0" collapsed="false">
      <c r="A15" s="0" t="s">
        <v>239</v>
      </c>
      <c r="B15" s="0" t="s">
        <v>240</v>
      </c>
      <c r="C15" s="0" t="s">
        <v>78</v>
      </c>
      <c r="D15" s="0" t="n">
        <v>30</v>
      </c>
      <c r="E15" s="0" t="s">
        <v>238</v>
      </c>
    </row>
    <row r="16" customFormat="false" ht="15" hidden="false" customHeight="false" outlineLevel="0" collapsed="false">
      <c r="A16" s="0" t="s">
        <v>241</v>
      </c>
      <c r="B16" s="0" t="s">
        <v>242</v>
      </c>
      <c r="C16" s="0" t="s">
        <v>107</v>
      </c>
      <c r="D16" s="0" t="n">
        <v>15</v>
      </c>
      <c r="E16" s="0" t="s">
        <v>219</v>
      </c>
    </row>
    <row r="17" customFormat="false" ht="15" hidden="false" customHeight="false" outlineLevel="0" collapsed="false">
      <c r="A17" s="0" t="s">
        <v>243</v>
      </c>
      <c r="B17" s="0" t="s">
        <v>244</v>
      </c>
      <c r="C17" s="0" t="s">
        <v>169</v>
      </c>
      <c r="D17" s="0" t="n">
        <v>30</v>
      </c>
      <c r="E17" s="0" t="s">
        <v>219</v>
      </c>
    </row>
    <row r="18" customFormat="false" ht="15" hidden="false" customHeight="false" outlineLevel="0" collapsed="false">
      <c r="A18" s="0" t="s">
        <v>245</v>
      </c>
      <c r="B18" s="0" t="s">
        <v>246</v>
      </c>
      <c r="C18" s="0" t="s">
        <v>78</v>
      </c>
      <c r="D18" s="0" t="n">
        <v>15</v>
      </c>
      <c r="E18" s="0" t="s">
        <v>238</v>
      </c>
    </row>
    <row r="19" customFormat="false" ht="15" hidden="false" customHeight="false" outlineLevel="0" collapsed="false">
      <c r="A19" s="0" t="s">
        <v>247</v>
      </c>
      <c r="B19" s="0" t="s">
        <v>248</v>
      </c>
      <c r="C19" s="0" t="s">
        <v>82</v>
      </c>
      <c r="D19" s="0" t="n">
        <v>15</v>
      </c>
      <c r="E19" s="0" t="s">
        <v>216</v>
      </c>
    </row>
    <row r="20" customFormat="false" ht="15" hidden="false" customHeight="false" outlineLevel="0" collapsed="false">
      <c r="A20" s="0" t="s">
        <v>249</v>
      </c>
      <c r="B20" s="0" t="s">
        <v>250</v>
      </c>
      <c r="C20" s="0" t="s">
        <v>73</v>
      </c>
      <c r="D20" s="0" t="n">
        <v>15</v>
      </c>
      <c r="E20" s="0" t="s">
        <v>213</v>
      </c>
    </row>
    <row r="21" customFormat="false" ht="15" hidden="false" customHeight="false" outlineLevel="0" collapsed="false">
      <c r="A21" s="0" t="s">
        <v>251</v>
      </c>
      <c r="B21" s="0" t="s">
        <v>252</v>
      </c>
      <c r="C21" s="0" t="s">
        <v>73</v>
      </c>
      <c r="D21" s="0" t="n">
        <v>30</v>
      </c>
      <c r="E21" s="0" t="s">
        <v>213</v>
      </c>
    </row>
    <row r="22" customFormat="false" ht="15" hidden="false" customHeight="false" outlineLevel="0" collapsed="false">
      <c r="A22" s="0" t="s">
        <v>253</v>
      </c>
      <c r="B22" s="0" t="s">
        <v>254</v>
      </c>
      <c r="C22" s="0" t="s">
        <v>82</v>
      </c>
      <c r="D22" s="0" t="n">
        <v>60</v>
      </c>
      <c r="E22" s="0" t="s">
        <v>216</v>
      </c>
    </row>
    <row r="23" customFormat="false" ht="15" hidden="false" customHeight="false" outlineLevel="0" collapsed="false">
      <c r="A23" s="0" t="s">
        <v>255</v>
      </c>
      <c r="B23" s="0" t="s">
        <v>256</v>
      </c>
      <c r="C23" s="0" t="s">
        <v>169</v>
      </c>
      <c r="D23" s="0" t="n">
        <v>30</v>
      </c>
      <c r="E23" s="0" t="s">
        <v>219</v>
      </c>
    </row>
    <row r="24" customFormat="false" ht="15" hidden="false" customHeight="false" outlineLevel="0" collapsed="false">
      <c r="A24" s="0" t="s">
        <v>257</v>
      </c>
      <c r="B24" s="0" t="s">
        <v>258</v>
      </c>
      <c r="C24" s="0" t="s">
        <v>169</v>
      </c>
      <c r="D24" s="0" t="n">
        <v>60</v>
      </c>
      <c r="E24" s="0" t="s">
        <v>216</v>
      </c>
    </row>
    <row r="25" customFormat="false" ht="15" hidden="false" customHeight="false" outlineLevel="0" collapsed="false">
      <c r="A25" s="0" t="s">
        <v>259</v>
      </c>
      <c r="B25" s="0" t="s">
        <v>260</v>
      </c>
      <c r="C25" s="0" t="s">
        <v>102</v>
      </c>
      <c r="D25" s="0" t="n">
        <v>60</v>
      </c>
      <c r="E25" s="0" t="s">
        <v>210</v>
      </c>
    </row>
    <row r="26" customFormat="false" ht="15" hidden="false" customHeight="false" outlineLevel="0" collapsed="false">
      <c r="A26" s="0" t="s">
        <v>261</v>
      </c>
      <c r="B26" s="0" t="s">
        <v>262</v>
      </c>
      <c r="C26" s="0" t="s">
        <v>78</v>
      </c>
      <c r="D26" s="0" t="n">
        <v>15</v>
      </c>
      <c r="E26" s="0" t="s">
        <v>238</v>
      </c>
    </row>
    <row r="27" customFormat="false" ht="15" hidden="false" customHeight="false" outlineLevel="0" collapsed="false">
      <c r="A27" s="0" t="s">
        <v>263</v>
      </c>
      <c r="B27" s="0" t="s">
        <v>264</v>
      </c>
      <c r="C27" s="0" t="s">
        <v>82</v>
      </c>
      <c r="D27" s="0" t="n">
        <v>60</v>
      </c>
      <c r="E27" s="0" t="s">
        <v>213</v>
      </c>
    </row>
    <row r="28" customFormat="false" ht="15" hidden="false" customHeight="false" outlineLevel="0" collapsed="false">
      <c r="A28" s="0" t="s">
        <v>265</v>
      </c>
      <c r="B28" s="0" t="s">
        <v>266</v>
      </c>
      <c r="C28" s="0" t="s">
        <v>87</v>
      </c>
      <c r="D28" s="0" t="n">
        <v>60</v>
      </c>
      <c r="E28" s="0" t="s">
        <v>210</v>
      </c>
    </row>
    <row r="29" customFormat="false" ht="15" hidden="false" customHeight="false" outlineLevel="0" collapsed="false">
      <c r="A29" s="0" t="s">
        <v>267</v>
      </c>
      <c r="B29" s="0" t="s">
        <v>218</v>
      </c>
      <c r="C29" s="0" t="s">
        <v>102</v>
      </c>
      <c r="D29" s="0" t="n">
        <v>15</v>
      </c>
      <c r="E29" s="0" t="s">
        <v>238</v>
      </c>
    </row>
    <row r="30" customFormat="false" ht="15" hidden="false" customHeight="false" outlineLevel="0" collapsed="false">
      <c r="A30" s="0" t="s">
        <v>268</v>
      </c>
      <c r="B30" s="0" t="s">
        <v>269</v>
      </c>
      <c r="C30" s="0" t="s">
        <v>73</v>
      </c>
      <c r="D30" s="0" t="n">
        <v>60</v>
      </c>
      <c r="E30" s="0" t="s">
        <v>213</v>
      </c>
    </row>
    <row r="31" customFormat="false" ht="15" hidden="false" customHeight="false" outlineLevel="0" collapsed="false">
      <c r="A31" s="0" t="s">
        <v>270</v>
      </c>
      <c r="B31" s="0" t="s">
        <v>271</v>
      </c>
      <c r="C31" s="0" t="s">
        <v>102</v>
      </c>
      <c r="D31" s="0" t="n">
        <v>15</v>
      </c>
      <c r="E31" s="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7.75" hidden="false" customHeight="true" outlineLevel="0" collapsed="false">
      <c r="A1" s="7" t="s">
        <v>272</v>
      </c>
      <c r="B1" s="7" t="s">
        <v>63</v>
      </c>
      <c r="C1" s="7" t="s">
        <v>273</v>
      </c>
      <c r="D1" s="7" t="s">
        <v>274</v>
      </c>
      <c r="E1" s="7" t="s">
        <v>65</v>
      </c>
      <c r="F1" s="7" t="s">
        <v>275</v>
      </c>
      <c r="G1" s="7" t="s">
        <v>276</v>
      </c>
    </row>
    <row r="2" customFormat="false" ht="15" hidden="false" customHeight="false" outlineLevel="0" collapsed="false">
      <c r="A2" s="0" t="s">
        <v>277</v>
      </c>
      <c r="B2" s="0" t="s">
        <v>140</v>
      </c>
      <c r="C2" s="14" t="n">
        <v>46091</v>
      </c>
      <c r="D2" s="0" t="n">
        <v>1309.32</v>
      </c>
      <c r="E2" s="15" t="s">
        <v>72</v>
      </c>
      <c r="F2" s="15" t="s">
        <v>278</v>
      </c>
      <c r="G2" s="15" t="s">
        <v>279</v>
      </c>
    </row>
    <row r="3" customFormat="false" ht="15" hidden="false" customHeight="false" outlineLevel="0" collapsed="false">
      <c r="A3" s="0" t="s">
        <v>280</v>
      </c>
      <c r="B3" s="0" t="s">
        <v>183</v>
      </c>
      <c r="C3" s="14" t="n">
        <v>45782</v>
      </c>
      <c r="D3" s="0" t="n">
        <v>1749.66</v>
      </c>
      <c r="E3" s="15" t="s">
        <v>86</v>
      </c>
      <c r="F3" s="15" t="s">
        <v>281</v>
      </c>
      <c r="G3" s="15" t="s">
        <v>282</v>
      </c>
    </row>
    <row r="4" customFormat="false" ht="15" hidden="false" customHeight="false" outlineLevel="0" collapsed="false">
      <c r="A4" s="0" t="s">
        <v>283</v>
      </c>
      <c r="B4" s="0" t="s">
        <v>122</v>
      </c>
      <c r="C4" s="14" t="n">
        <v>45670</v>
      </c>
      <c r="D4" s="0" t="n">
        <v>2691.35</v>
      </c>
      <c r="E4" s="15" t="s">
        <v>86</v>
      </c>
      <c r="F4" s="15" t="s">
        <v>284</v>
      </c>
      <c r="G4" s="15" t="s">
        <v>279</v>
      </c>
    </row>
    <row r="5" customFormat="false" ht="15" hidden="false" customHeight="false" outlineLevel="0" collapsed="false">
      <c r="A5" s="0" t="s">
        <v>285</v>
      </c>
      <c r="B5" s="0" t="s">
        <v>201</v>
      </c>
      <c r="C5" s="14" t="n">
        <v>45763</v>
      </c>
      <c r="D5" s="0" t="n">
        <v>889.24</v>
      </c>
      <c r="E5" s="15" t="s">
        <v>77</v>
      </c>
      <c r="F5" s="15" t="s">
        <v>286</v>
      </c>
      <c r="G5" s="15" t="s">
        <v>287</v>
      </c>
    </row>
    <row r="6" customFormat="false" ht="15" hidden="false" customHeight="false" outlineLevel="0" collapsed="false">
      <c r="A6" s="0" t="s">
        <v>288</v>
      </c>
      <c r="B6" s="0" t="s">
        <v>146</v>
      </c>
      <c r="C6" s="14" t="n">
        <v>45836</v>
      </c>
      <c r="D6" s="0" t="n">
        <v>3058.04</v>
      </c>
      <c r="E6" s="15" t="s">
        <v>114</v>
      </c>
      <c r="F6" s="15" t="s">
        <v>289</v>
      </c>
      <c r="G6" s="15" t="s">
        <v>290</v>
      </c>
    </row>
    <row r="7" customFormat="false" ht="15" hidden="false" customHeight="false" outlineLevel="0" collapsed="false">
      <c r="A7" s="0" t="s">
        <v>291</v>
      </c>
      <c r="B7" s="0" t="s">
        <v>201</v>
      </c>
      <c r="C7" s="14" t="n">
        <v>46129</v>
      </c>
      <c r="D7" s="0" t="n">
        <v>1359.77</v>
      </c>
      <c r="E7" s="15" t="s">
        <v>77</v>
      </c>
      <c r="F7" s="15" t="s">
        <v>289</v>
      </c>
      <c r="G7" s="15" t="s">
        <v>292</v>
      </c>
    </row>
    <row r="8" customFormat="false" ht="15" hidden="false" customHeight="false" outlineLevel="0" collapsed="false">
      <c r="A8" s="0" t="s">
        <v>293</v>
      </c>
      <c r="B8" s="0" t="s">
        <v>201</v>
      </c>
      <c r="C8" s="14" t="n">
        <v>46184</v>
      </c>
      <c r="D8" s="0" t="n">
        <v>3708.39</v>
      </c>
      <c r="E8" s="15" t="s">
        <v>77</v>
      </c>
      <c r="F8" s="15" t="s">
        <v>294</v>
      </c>
      <c r="G8" s="15" t="s">
        <v>279</v>
      </c>
    </row>
    <row r="9" customFormat="false" ht="15" hidden="false" customHeight="false" outlineLevel="0" collapsed="false">
      <c r="A9" s="0" t="s">
        <v>295</v>
      </c>
      <c r="B9" s="0" t="s">
        <v>125</v>
      </c>
      <c r="C9" s="14" t="n">
        <v>45810</v>
      </c>
      <c r="D9" s="0" t="n">
        <v>6081.19</v>
      </c>
      <c r="E9" s="15" t="s">
        <v>72</v>
      </c>
      <c r="F9" s="15" t="s">
        <v>296</v>
      </c>
      <c r="G9" s="15" t="s">
        <v>287</v>
      </c>
    </row>
    <row r="10" customFormat="false" ht="15" hidden="false" customHeight="false" outlineLevel="0" collapsed="false">
      <c r="A10" s="0" t="s">
        <v>297</v>
      </c>
      <c r="B10" s="0" t="s">
        <v>134</v>
      </c>
      <c r="C10" s="14" t="n">
        <v>46007</v>
      </c>
      <c r="D10" s="0" t="n">
        <v>6038.81</v>
      </c>
      <c r="E10" s="15" t="s">
        <v>114</v>
      </c>
      <c r="F10" s="15" t="s">
        <v>298</v>
      </c>
      <c r="G10" s="15" t="s">
        <v>292</v>
      </c>
    </row>
    <row r="11" customFormat="false" ht="15" hidden="false" customHeight="false" outlineLevel="0" collapsed="false">
      <c r="A11" s="0" t="s">
        <v>299</v>
      </c>
      <c r="B11" s="0" t="s">
        <v>89</v>
      </c>
      <c r="C11" s="14" t="n">
        <v>45875</v>
      </c>
      <c r="D11" s="0" t="n">
        <v>1250.19</v>
      </c>
      <c r="E11" s="15" t="s">
        <v>91</v>
      </c>
      <c r="F11" s="15" t="s">
        <v>300</v>
      </c>
      <c r="G11" s="15" t="s">
        <v>282</v>
      </c>
    </row>
    <row r="12" customFormat="false" ht="15" hidden="false" customHeight="false" outlineLevel="0" collapsed="false">
      <c r="A12" s="0" t="s">
        <v>301</v>
      </c>
      <c r="B12" s="0" t="s">
        <v>152</v>
      </c>
      <c r="C12" s="14" t="n">
        <v>46192</v>
      </c>
      <c r="D12" s="0" t="n">
        <v>760.24</v>
      </c>
      <c r="E12" s="15" t="s">
        <v>101</v>
      </c>
      <c r="F12" s="15" t="s">
        <v>284</v>
      </c>
      <c r="G12" s="15" t="s">
        <v>302</v>
      </c>
    </row>
    <row r="13" customFormat="false" ht="15" hidden="false" customHeight="false" outlineLevel="0" collapsed="false">
      <c r="A13" s="0" t="s">
        <v>303</v>
      </c>
      <c r="B13" s="0" t="s">
        <v>186</v>
      </c>
      <c r="C13" s="14" t="n">
        <v>45950</v>
      </c>
      <c r="D13" s="0" t="n">
        <v>15002.72</v>
      </c>
      <c r="E13" s="15" t="s">
        <v>86</v>
      </c>
      <c r="F13" s="15" t="s">
        <v>304</v>
      </c>
      <c r="G13" s="15" t="s">
        <v>287</v>
      </c>
    </row>
    <row r="14" customFormat="false" ht="15" hidden="false" customHeight="false" outlineLevel="0" collapsed="false">
      <c r="A14" s="0" t="s">
        <v>305</v>
      </c>
      <c r="B14" s="0" t="s">
        <v>128</v>
      </c>
      <c r="C14" s="14" t="n">
        <v>46169</v>
      </c>
      <c r="D14" s="0" t="n">
        <v>911.91</v>
      </c>
      <c r="E14" s="15" t="s">
        <v>101</v>
      </c>
      <c r="F14" s="15" t="s">
        <v>306</v>
      </c>
      <c r="G14" s="15" t="s">
        <v>279</v>
      </c>
    </row>
    <row r="15" customFormat="false" ht="15" hidden="false" customHeight="false" outlineLevel="0" collapsed="false">
      <c r="A15" s="0" t="s">
        <v>307</v>
      </c>
      <c r="B15" s="0" t="s">
        <v>75</v>
      </c>
      <c r="C15" s="14" t="n">
        <v>45720</v>
      </c>
      <c r="D15" s="0" t="n">
        <v>1222.88</v>
      </c>
      <c r="E15" s="15" t="s">
        <v>77</v>
      </c>
      <c r="F15" s="15" t="s">
        <v>308</v>
      </c>
      <c r="G15" s="15" t="s">
        <v>292</v>
      </c>
    </row>
    <row r="16" customFormat="false" ht="15" hidden="false" customHeight="false" outlineLevel="0" collapsed="false">
      <c r="A16" s="0" t="s">
        <v>309</v>
      </c>
      <c r="B16" s="0" t="s">
        <v>131</v>
      </c>
      <c r="C16" s="14" t="n">
        <v>46186</v>
      </c>
      <c r="D16" s="0" t="n">
        <v>3344.32</v>
      </c>
      <c r="E16" s="15" t="s">
        <v>101</v>
      </c>
      <c r="F16" s="15" t="s">
        <v>310</v>
      </c>
      <c r="G16" s="15" t="s">
        <v>292</v>
      </c>
    </row>
    <row r="17" customFormat="false" ht="15" hidden="false" customHeight="false" outlineLevel="0" collapsed="false">
      <c r="A17" s="0" t="s">
        <v>311</v>
      </c>
      <c r="B17" s="0" t="s">
        <v>158</v>
      </c>
      <c r="C17" s="14" t="n">
        <v>45755</v>
      </c>
      <c r="D17" s="0" t="n">
        <v>4721.09</v>
      </c>
      <c r="E17" s="15" t="s">
        <v>77</v>
      </c>
      <c r="F17" s="15" t="s">
        <v>312</v>
      </c>
      <c r="G17" s="15" t="s">
        <v>313</v>
      </c>
    </row>
    <row r="18" customFormat="false" ht="15" hidden="false" customHeight="false" outlineLevel="0" collapsed="false">
      <c r="A18" s="0" t="s">
        <v>314</v>
      </c>
      <c r="B18" s="0" t="s">
        <v>152</v>
      </c>
      <c r="C18" s="14" t="n">
        <v>46182</v>
      </c>
      <c r="D18" s="0" t="n">
        <v>5629.98</v>
      </c>
      <c r="E18" s="15" t="s">
        <v>101</v>
      </c>
      <c r="F18" s="15" t="s">
        <v>312</v>
      </c>
      <c r="G18" s="15" t="s">
        <v>290</v>
      </c>
    </row>
    <row r="19" customFormat="false" ht="15" hidden="false" customHeight="false" outlineLevel="0" collapsed="false">
      <c r="A19" s="0" t="s">
        <v>315</v>
      </c>
      <c r="B19" s="0" t="s">
        <v>84</v>
      </c>
      <c r="C19" s="14" t="n">
        <v>45802</v>
      </c>
      <c r="D19" s="0" t="n">
        <v>246.87</v>
      </c>
      <c r="E19" s="15" t="s">
        <v>86</v>
      </c>
      <c r="F19" s="15" t="s">
        <v>286</v>
      </c>
      <c r="G19" s="15" t="s">
        <v>290</v>
      </c>
    </row>
    <row r="20" customFormat="false" ht="15" hidden="false" customHeight="false" outlineLevel="0" collapsed="false">
      <c r="A20" s="0" t="s">
        <v>316</v>
      </c>
      <c r="B20" s="0" t="s">
        <v>152</v>
      </c>
      <c r="C20" s="14" t="n">
        <v>45717</v>
      </c>
      <c r="D20" s="0" t="n">
        <v>2051.54</v>
      </c>
      <c r="E20" s="15" t="s">
        <v>101</v>
      </c>
      <c r="F20" s="15" t="s">
        <v>317</v>
      </c>
      <c r="G20" s="15" t="s">
        <v>282</v>
      </c>
    </row>
    <row r="21" customFormat="false" ht="15" hidden="false" customHeight="false" outlineLevel="0" collapsed="false">
      <c r="A21" s="0" t="s">
        <v>318</v>
      </c>
      <c r="B21" s="0" t="s">
        <v>164</v>
      </c>
      <c r="C21" s="14" t="n">
        <v>45894</v>
      </c>
      <c r="D21" s="0" t="n">
        <v>9960.57</v>
      </c>
      <c r="E21" s="15" t="s">
        <v>77</v>
      </c>
      <c r="F21" s="15" t="s">
        <v>308</v>
      </c>
      <c r="G21" s="15" t="s">
        <v>279</v>
      </c>
    </row>
    <row r="22" customFormat="false" ht="15" hidden="false" customHeight="false" outlineLevel="0" collapsed="false">
      <c r="A22" s="0" t="s">
        <v>319</v>
      </c>
      <c r="B22" s="0" t="s">
        <v>134</v>
      </c>
      <c r="C22" s="14" t="n">
        <v>46055</v>
      </c>
      <c r="D22" s="0" t="n">
        <v>15696.57</v>
      </c>
      <c r="E22" s="15" t="s">
        <v>114</v>
      </c>
      <c r="F22" s="15" t="s">
        <v>310</v>
      </c>
      <c r="G22" s="15" t="s">
        <v>290</v>
      </c>
    </row>
    <row r="23" customFormat="false" ht="15" hidden="false" customHeight="false" outlineLevel="0" collapsed="false">
      <c r="A23" s="0" t="s">
        <v>320</v>
      </c>
      <c r="B23" s="0" t="s">
        <v>128</v>
      </c>
      <c r="C23" s="14" t="n">
        <v>45828</v>
      </c>
      <c r="D23" s="0" t="n">
        <v>1879.55</v>
      </c>
      <c r="E23" s="15" t="s">
        <v>101</v>
      </c>
      <c r="F23" s="15" t="s">
        <v>308</v>
      </c>
      <c r="G23" s="15" t="s">
        <v>321</v>
      </c>
    </row>
    <row r="24" customFormat="false" ht="15" hidden="false" customHeight="false" outlineLevel="0" collapsed="false">
      <c r="A24" s="0" t="s">
        <v>322</v>
      </c>
      <c r="B24" s="0" t="s">
        <v>161</v>
      </c>
      <c r="C24" s="14" t="n">
        <v>45988</v>
      </c>
      <c r="D24" s="0" t="n">
        <v>883.86</v>
      </c>
      <c r="E24" s="15" t="s">
        <v>72</v>
      </c>
      <c r="F24" s="15" t="s">
        <v>278</v>
      </c>
      <c r="G24" s="15" t="s">
        <v>321</v>
      </c>
    </row>
    <row r="25" customFormat="false" ht="15" hidden="false" customHeight="false" outlineLevel="0" collapsed="false">
      <c r="A25" s="0" t="s">
        <v>323</v>
      </c>
      <c r="B25" s="0" t="s">
        <v>96</v>
      </c>
      <c r="C25" s="14" t="n">
        <v>45936</v>
      </c>
      <c r="D25" s="0" t="n">
        <v>1058.03</v>
      </c>
      <c r="E25" s="15" t="s">
        <v>77</v>
      </c>
      <c r="F25" s="15" t="s">
        <v>298</v>
      </c>
      <c r="G25" s="15" t="s">
        <v>313</v>
      </c>
    </row>
    <row r="26" customFormat="false" ht="15" hidden="false" customHeight="false" outlineLevel="0" collapsed="false">
      <c r="A26" s="0" t="s">
        <v>324</v>
      </c>
      <c r="B26" s="0" t="s">
        <v>198</v>
      </c>
      <c r="C26" s="14" t="n">
        <v>45867</v>
      </c>
      <c r="D26" s="0" t="n">
        <v>2179.18</v>
      </c>
      <c r="E26" s="15" t="s">
        <v>86</v>
      </c>
      <c r="F26" s="15" t="s">
        <v>306</v>
      </c>
      <c r="G26" s="15" t="s">
        <v>287</v>
      </c>
    </row>
    <row r="27" customFormat="false" ht="15" hidden="false" customHeight="false" outlineLevel="0" collapsed="false">
      <c r="A27" s="0" t="s">
        <v>325</v>
      </c>
      <c r="B27" s="0" t="s">
        <v>161</v>
      </c>
      <c r="C27" s="14" t="n">
        <v>45972</v>
      </c>
      <c r="D27" s="0" t="n">
        <v>1994.87</v>
      </c>
      <c r="E27" s="15" t="s">
        <v>72</v>
      </c>
      <c r="F27" s="15" t="s">
        <v>294</v>
      </c>
      <c r="G27" s="15" t="s">
        <v>294</v>
      </c>
    </row>
    <row r="28" customFormat="false" ht="15" hidden="false" customHeight="false" outlineLevel="0" collapsed="false">
      <c r="A28" s="0" t="s">
        <v>326</v>
      </c>
      <c r="B28" s="0" t="s">
        <v>131</v>
      </c>
      <c r="C28" s="14" t="n">
        <v>45796</v>
      </c>
      <c r="D28" s="0" t="n">
        <v>1863.09</v>
      </c>
      <c r="E28" s="15" t="s">
        <v>101</v>
      </c>
      <c r="F28" s="15" t="s">
        <v>327</v>
      </c>
      <c r="G28" s="15" t="s">
        <v>290</v>
      </c>
    </row>
    <row r="29" customFormat="false" ht="15" hidden="false" customHeight="false" outlineLevel="0" collapsed="false">
      <c r="A29" s="0" t="s">
        <v>328</v>
      </c>
      <c r="B29" s="0" t="s">
        <v>104</v>
      </c>
      <c r="C29" s="14" t="n">
        <v>46044</v>
      </c>
      <c r="D29" s="0" t="n">
        <v>1558.36</v>
      </c>
      <c r="E29" s="15" t="s">
        <v>106</v>
      </c>
      <c r="F29" s="15" t="s">
        <v>278</v>
      </c>
      <c r="G29" s="15" t="s">
        <v>302</v>
      </c>
    </row>
    <row r="30" customFormat="false" ht="15" hidden="false" customHeight="false" outlineLevel="0" collapsed="false">
      <c r="A30" s="0" t="s">
        <v>329</v>
      </c>
      <c r="B30" s="0" t="s">
        <v>119</v>
      </c>
      <c r="C30" s="14" t="n">
        <v>45658</v>
      </c>
      <c r="D30" s="0" t="n">
        <v>1249.67</v>
      </c>
      <c r="E30" s="15" t="s">
        <v>86</v>
      </c>
      <c r="F30" s="15" t="s">
        <v>330</v>
      </c>
      <c r="G30" s="15" t="s">
        <v>290</v>
      </c>
    </row>
    <row r="31" customFormat="false" ht="15" hidden="false" customHeight="false" outlineLevel="0" collapsed="false">
      <c r="A31" s="0" t="s">
        <v>331</v>
      </c>
      <c r="B31" s="0" t="s">
        <v>192</v>
      </c>
      <c r="C31" s="14" t="n">
        <v>46162</v>
      </c>
      <c r="D31" s="0" t="n">
        <v>11338.1</v>
      </c>
      <c r="E31" s="15" t="s">
        <v>91</v>
      </c>
      <c r="F31" s="15" t="s">
        <v>330</v>
      </c>
      <c r="G31" s="15" t="s">
        <v>302</v>
      </c>
    </row>
    <row r="32" customFormat="false" ht="15" hidden="false" customHeight="false" outlineLevel="0" collapsed="false">
      <c r="A32" s="0" t="s">
        <v>332</v>
      </c>
      <c r="B32" s="0" t="s">
        <v>128</v>
      </c>
      <c r="C32" s="14" t="n">
        <v>45951</v>
      </c>
      <c r="D32" s="0" t="n">
        <v>877.47</v>
      </c>
      <c r="E32" s="15" t="s">
        <v>101</v>
      </c>
      <c r="F32" s="15" t="s">
        <v>289</v>
      </c>
      <c r="G32" s="15" t="s">
        <v>302</v>
      </c>
    </row>
    <row r="33" customFormat="false" ht="15" hidden="false" customHeight="false" outlineLevel="0" collapsed="false">
      <c r="A33" s="0" t="s">
        <v>333</v>
      </c>
      <c r="B33" s="0" t="s">
        <v>131</v>
      </c>
      <c r="C33" s="14" t="n">
        <v>46050</v>
      </c>
      <c r="D33" s="0" t="n">
        <v>644.78</v>
      </c>
      <c r="E33" s="15" t="s">
        <v>101</v>
      </c>
      <c r="F33" s="15" t="s">
        <v>334</v>
      </c>
      <c r="G33" s="15" t="s">
        <v>292</v>
      </c>
    </row>
    <row r="34" customFormat="false" ht="15" hidden="false" customHeight="false" outlineLevel="0" collapsed="false">
      <c r="A34" s="0" t="s">
        <v>335</v>
      </c>
      <c r="B34" s="0" t="s">
        <v>201</v>
      </c>
      <c r="C34" s="14" t="n">
        <v>46062</v>
      </c>
      <c r="D34" s="0" t="n">
        <v>10749.2</v>
      </c>
      <c r="E34" s="15" t="s">
        <v>77</v>
      </c>
      <c r="F34" s="15" t="s">
        <v>289</v>
      </c>
      <c r="G34" s="15" t="s">
        <v>302</v>
      </c>
    </row>
    <row r="35" customFormat="false" ht="15" hidden="false" customHeight="false" outlineLevel="0" collapsed="false">
      <c r="A35" s="0" t="s">
        <v>336</v>
      </c>
      <c r="B35" s="0" t="s">
        <v>134</v>
      </c>
      <c r="C35" s="14" t="n">
        <v>46023</v>
      </c>
      <c r="D35" s="0" t="n">
        <v>10173.53</v>
      </c>
      <c r="E35" s="15" t="s">
        <v>114</v>
      </c>
      <c r="F35" s="15" t="s">
        <v>337</v>
      </c>
      <c r="G35" s="15" t="s">
        <v>313</v>
      </c>
    </row>
    <row r="36" customFormat="false" ht="15" hidden="false" customHeight="false" outlineLevel="0" collapsed="false">
      <c r="A36" s="0" t="s">
        <v>338</v>
      </c>
      <c r="B36" s="0" t="s">
        <v>149</v>
      </c>
      <c r="C36" s="14" t="n">
        <v>45856</v>
      </c>
      <c r="D36" s="0" t="n">
        <v>7427.81</v>
      </c>
      <c r="E36" s="15" t="s">
        <v>72</v>
      </c>
      <c r="F36" s="15" t="s">
        <v>337</v>
      </c>
      <c r="G36" s="15" t="s">
        <v>313</v>
      </c>
    </row>
    <row r="37" customFormat="false" ht="15" hidden="false" customHeight="false" outlineLevel="0" collapsed="false">
      <c r="A37" s="0" t="s">
        <v>339</v>
      </c>
      <c r="B37" s="0" t="s">
        <v>152</v>
      </c>
      <c r="C37" s="14" t="n">
        <v>45696</v>
      </c>
      <c r="D37" s="0" t="n">
        <v>3858.14</v>
      </c>
      <c r="E37" s="15" t="s">
        <v>101</v>
      </c>
      <c r="F37" s="15" t="s">
        <v>327</v>
      </c>
      <c r="G37" s="15" t="s">
        <v>279</v>
      </c>
    </row>
    <row r="38" customFormat="false" ht="15" hidden="false" customHeight="false" outlineLevel="0" collapsed="false">
      <c r="A38" s="0" t="s">
        <v>340</v>
      </c>
      <c r="B38" s="0" t="s">
        <v>99</v>
      </c>
      <c r="C38" s="14" t="n">
        <v>46020</v>
      </c>
      <c r="D38" s="0" t="n">
        <v>1031.9</v>
      </c>
      <c r="E38" s="15" t="s">
        <v>101</v>
      </c>
      <c r="F38" s="15" t="s">
        <v>278</v>
      </c>
      <c r="G38" s="15" t="s">
        <v>302</v>
      </c>
    </row>
    <row r="39" customFormat="false" ht="15" hidden="false" customHeight="false" outlineLevel="0" collapsed="false">
      <c r="A39" s="0" t="s">
        <v>341</v>
      </c>
      <c r="B39" s="0" t="s">
        <v>149</v>
      </c>
      <c r="C39" s="14" t="n">
        <v>45837</v>
      </c>
      <c r="D39" s="0" t="n">
        <v>117.56</v>
      </c>
      <c r="E39" s="15" t="s">
        <v>72</v>
      </c>
      <c r="F39" s="15" t="s">
        <v>342</v>
      </c>
      <c r="G39" s="15" t="s">
        <v>292</v>
      </c>
    </row>
    <row r="40" customFormat="false" ht="15" hidden="false" customHeight="false" outlineLevel="0" collapsed="false">
      <c r="A40" s="0" t="s">
        <v>343</v>
      </c>
      <c r="B40" s="0" t="s">
        <v>116</v>
      </c>
      <c r="C40" s="14" t="n">
        <v>45829</v>
      </c>
      <c r="D40" s="0" t="n">
        <v>21146.76</v>
      </c>
      <c r="E40" s="15" t="s">
        <v>86</v>
      </c>
      <c r="F40" s="15" t="s">
        <v>344</v>
      </c>
      <c r="G40" s="15" t="s">
        <v>302</v>
      </c>
    </row>
    <row r="41" customFormat="false" ht="15" hidden="false" customHeight="false" outlineLevel="0" collapsed="false">
      <c r="A41" s="0" t="s">
        <v>345</v>
      </c>
      <c r="B41" s="0" t="s">
        <v>195</v>
      </c>
      <c r="C41" s="14" t="n">
        <v>46120</v>
      </c>
      <c r="D41" s="0" t="n">
        <v>869.11</v>
      </c>
      <c r="E41" s="15" t="s">
        <v>114</v>
      </c>
      <c r="F41" s="15" t="s">
        <v>346</v>
      </c>
      <c r="G41" s="15" t="s">
        <v>313</v>
      </c>
    </row>
    <row r="42" customFormat="false" ht="15" hidden="false" customHeight="false" outlineLevel="0" collapsed="false">
      <c r="A42" s="0" t="s">
        <v>347</v>
      </c>
      <c r="B42" s="0" t="s">
        <v>125</v>
      </c>
      <c r="C42" s="14" t="n">
        <v>46050</v>
      </c>
      <c r="D42" s="0" t="n">
        <v>1410.52</v>
      </c>
      <c r="E42" s="15" t="s">
        <v>72</v>
      </c>
      <c r="F42" s="15" t="s">
        <v>342</v>
      </c>
      <c r="G42" s="15" t="s">
        <v>313</v>
      </c>
    </row>
    <row r="43" customFormat="false" ht="15" hidden="false" customHeight="false" outlineLevel="0" collapsed="false">
      <c r="A43" s="0" t="s">
        <v>348</v>
      </c>
      <c r="B43" s="0" t="s">
        <v>112</v>
      </c>
      <c r="C43" s="14" t="n">
        <v>45821</v>
      </c>
      <c r="D43" s="0" t="n">
        <v>1814.85</v>
      </c>
      <c r="E43" s="15" t="s">
        <v>114</v>
      </c>
      <c r="F43" s="15" t="s">
        <v>289</v>
      </c>
      <c r="G43" s="15" t="s">
        <v>282</v>
      </c>
    </row>
    <row r="44" customFormat="false" ht="15" hidden="false" customHeight="false" outlineLevel="0" collapsed="false">
      <c r="A44" s="0" t="s">
        <v>349</v>
      </c>
      <c r="B44" s="0" t="s">
        <v>99</v>
      </c>
      <c r="C44" s="14" t="n">
        <v>45826</v>
      </c>
      <c r="D44" s="0" t="n">
        <v>1238.85</v>
      </c>
      <c r="E44" s="15" t="s">
        <v>101</v>
      </c>
      <c r="F44" s="15" t="s">
        <v>337</v>
      </c>
      <c r="G44" s="15" t="s">
        <v>290</v>
      </c>
    </row>
    <row r="45" customFormat="false" ht="15" hidden="false" customHeight="false" outlineLevel="0" collapsed="false">
      <c r="A45" s="0" t="s">
        <v>350</v>
      </c>
      <c r="B45" s="0" t="s">
        <v>112</v>
      </c>
      <c r="C45" s="14" t="n">
        <v>45880</v>
      </c>
      <c r="D45" s="0" t="n">
        <v>9938.09</v>
      </c>
      <c r="E45" s="15" t="s">
        <v>114</v>
      </c>
      <c r="F45" s="15" t="s">
        <v>351</v>
      </c>
      <c r="G45" s="15" t="s">
        <v>313</v>
      </c>
    </row>
    <row r="46" customFormat="false" ht="15" hidden="false" customHeight="false" outlineLevel="0" collapsed="false">
      <c r="A46" s="0" t="s">
        <v>352</v>
      </c>
      <c r="B46" s="0" t="s">
        <v>128</v>
      </c>
      <c r="C46" s="14" t="n">
        <v>45877</v>
      </c>
      <c r="D46" s="0" t="n">
        <v>1076.83</v>
      </c>
      <c r="E46" s="15" t="s">
        <v>101</v>
      </c>
      <c r="F46" s="15" t="s">
        <v>330</v>
      </c>
      <c r="G46" s="15" t="s">
        <v>313</v>
      </c>
    </row>
    <row r="47" customFormat="false" ht="15" hidden="false" customHeight="false" outlineLevel="0" collapsed="false">
      <c r="A47" s="0" t="s">
        <v>353</v>
      </c>
      <c r="B47" s="0" t="s">
        <v>70</v>
      </c>
      <c r="C47" s="14" t="n">
        <v>45819</v>
      </c>
      <c r="D47" s="0" t="n">
        <v>5899.58</v>
      </c>
      <c r="E47" s="15" t="s">
        <v>72</v>
      </c>
      <c r="F47" s="15" t="s">
        <v>310</v>
      </c>
      <c r="G47" s="15" t="s">
        <v>302</v>
      </c>
    </row>
    <row r="48" customFormat="false" ht="15" hidden="false" customHeight="false" outlineLevel="0" collapsed="false">
      <c r="A48" s="0" t="s">
        <v>354</v>
      </c>
      <c r="B48" s="0" t="s">
        <v>140</v>
      </c>
      <c r="C48" s="14" t="n">
        <v>45727</v>
      </c>
      <c r="D48" s="0" t="n">
        <v>31348.72</v>
      </c>
      <c r="E48" s="15" t="s">
        <v>72</v>
      </c>
      <c r="F48" s="15" t="s">
        <v>310</v>
      </c>
      <c r="G48" s="15" t="s">
        <v>321</v>
      </c>
    </row>
    <row r="49" customFormat="false" ht="15" hidden="false" customHeight="false" outlineLevel="0" collapsed="false">
      <c r="A49" s="0" t="s">
        <v>355</v>
      </c>
      <c r="B49" s="0" t="s">
        <v>146</v>
      </c>
      <c r="C49" s="14" t="n">
        <v>45887</v>
      </c>
      <c r="D49" s="0" t="n">
        <v>2845.35</v>
      </c>
      <c r="E49" s="15" t="s">
        <v>114</v>
      </c>
      <c r="F49" s="15" t="s">
        <v>317</v>
      </c>
      <c r="G49" s="15" t="s">
        <v>290</v>
      </c>
    </row>
    <row r="50" customFormat="false" ht="15" hidden="false" customHeight="false" outlineLevel="0" collapsed="false">
      <c r="A50" s="0" t="s">
        <v>356</v>
      </c>
      <c r="B50" s="0" t="s">
        <v>198</v>
      </c>
      <c r="C50" s="14" t="n">
        <v>46170</v>
      </c>
      <c r="D50" s="0" t="n">
        <v>10325.83</v>
      </c>
      <c r="E50" s="15" t="s">
        <v>86</v>
      </c>
      <c r="F50" s="15" t="s">
        <v>289</v>
      </c>
      <c r="G50" s="15" t="s">
        <v>282</v>
      </c>
    </row>
    <row r="51" customFormat="false" ht="15" hidden="false" customHeight="false" outlineLevel="0" collapsed="false">
      <c r="A51" s="0" t="s">
        <v>357</v>
      </c>
      <c r="B51" s="0" t="s">
        <v>155</v>
      </c>
      <c r="C51" s="14" t="n">
        <v>46027</v>
      </c>
      <c r="D51" s="0" t="n">
        <v>22892.64</v>
      </c>
      <c r="E51" s="15" t="s">
        <v>106</v>
      </c>
      <c r="F51" s="15" t="s">
        <v>304</v>
      </c>
      <c r="G51" s="15" t="s">
        <v>313</v>
      </c>
    </row>
    <row r="52" customFormat="false" ht="15" hidden="false" customHeight="false" outlineLevel="0" collapsed="false">
      <c r="A52" s="0" t="s">
        <v>358</v>
      </c>
      <c r="B52" s="0" t="s">
        <v>93</v>
      </c>
      <c r="C52" s="14" t="n">
        <v>46150</v>
      </c>
      <c r="D52" s="0" t="n">
        <v>306.49</v>
      </c>
      <c r="E52" s="15" t="s">
        <v>86</v>
      </c>
      <c r="F52" s="15" t="s">
        <v>317</v>
      </c>
      <c r="G52" s="15" t="s">
        <v>313</v>
      </c>
    </row>
    <row r="53" customFormat="false" ht="15" hidden="false" customHeight="false" outlineLevel="0" collapsed="false">
      <c r="A53" s="0" t="s">
        <v>359</v>
      </c>
      <c r="B53" s="0" t="s">
        <v>152</v>
      </c>
      <c r="C53" s="14" t="n">
        <v>45993</v>
      </c>
      <c r="D53" s="0" t="n">
        <v>5034.71</v>
      </c>
      <c r="E53" s="15" t="s">
        <v>101</v>
      </c>
      <c r="F53" s="15" t="s">
        <v>360</v>
      </c>
      <c r="G53" s="15" t="s">
        <v>360</v>
      </c>
    </row>
    <row r="54" customFormat="false" ht="15" hidden="false" customHeight="false" outlineLevel="0" collapsed="false">
      <c r="A54" s="0" t="s">
        <v>361</v>
      </c>
      <c r="B54" s="0" t="s">
        <v>167</v>
      </c>
      <c r="C54" s="14" t="n">
        <v>45822</v>
      </c>
      <c r="D54" s="0" t="n">
        <v>1369.29</v>
      </c>
      <c r="E54" s="15" t="s">
        <v>72</v>
      </c>
      <c r="F54" s="15" t="s">
        <v>304</v>
      </c>
      <c r="G54" s="15" t="s">
        <v>321</v>
      </c>
    </row>
    <row r="55" customFormat="false" ht="15" hidden="false" customHeight="false" outlineLevel="0" collapsed="false">
      <c r="A55" s="0" t="s">
        <v>362</v>
      </c>
      <c r="B55" s="0" t="s">
        <v>155</v>
      </c>
      <c r="C55" s="14" t="n">
        <v>45956</v>
      </c>
      <c r="D55" s="0" t="n">
        <v>2783.02</v>
      </c>
      <c r="E55" s="15" t="s">
        <v>106</v>
      </c>
      <c r="F55" s="15" t="s">
        <v>344</v>
      </c>
      <c r="G55" s="15" t="s">
        <v>279</v>
      </c>
    </row>
    <row r="56" customFormat="false" ht="15" hidden="false" customHeight="false" outlineLevel="0" collapsed="false">
      <c r="A56" s="0" t="s">
        <v>363</v>
      </c>
      <c r="B56" s="0" t="s">
        <v>174</v>
      </c>
      <c r="C56" s="14" t="n">
        <v>45658</v>
      </c>
      <c r="D56" s="0" t="n">
        <v>1474.66</v>
      </c>
      <c r="E56" s="15" t="s">
        <v>91</v>
      </c>
      <c r="F56" s="15" t="s">
        <v>351</v>
      </c>
      <c r="G56" s="15" t="s">
        <v>290</v>
      </c>
    </row>
    <row r="57" customFormat="false" ht="15" hidden="false" customHeight="false" outlineLevel="0" collapsed="false">
      <c r="A57" s="0" t="s">
        <v>364</v>
      </c>
      <c r="B57" s="0" t="s">
        <v>174</v>
      </c>
      <c r="C57" s="14" t="n">
        <v>45814</v>
      </c>
      <c r="D57" s="0" t="n">
        <v>1567.44</v>
      </c>
      <c r="E57" s="15" t="s">
        <v>91</v>
      </c>
      <c r="F57" s="15" t="s">
        <v>310</v>
      </c>
      <c r="G57" s="15" t="s">
        <v>287</v>
      </c>
    </row>
    <row r="58" customFormat="false" ht="15" hidden="false" customHeight="false" outlineLevel="0" collapsed="false">
      <c r="A58" s="0" t="s">
        <v>365</v>
      </c>
      <c r="B58" s="0" t="s">
        <v>167</v>
      </c>
      <c r="C58" s="14" t="n">
        <v>45892</v>
      </c>
      <c r="D58" s="0" t="n">
        <v>7649.01</v>
      </c>
      <c r="E58" s="15" t="s">
        <v>72</v>
      </c>
      <c r="F58" s="15" t="s">
        <v>284</v>
      </c>
      <c r="G58" s="15" t="s">
        <v>321</v>
      </c>
    </row>
    <row r="59" customFormat="false" ht="15" hidden="false" customHeight="false" outlineLevel="0" collapsed="false">
      <c r="A59" s="0" t="s">
        <v>366</v>
      </c>
      <c r="B59" s="0" t="s">
        <v>104</v>
      </c>
      <c r="C59" s="14" t="n">
        <v>45974</v>
      </c>
      <c r="D59" s="0" t="n">
        <v>3881</v>
      </c>
      <c r="E59" s="15" t="s">
        <v>106</v>
      </c>
      <c r="F59" s="15" t="s">
        <v>317</v>
      </c>
      <c r="G59" s="15" t="s">
        <v>317</v>
      </c>
    </row>
    <row r="60" customFormat="false" ht="15" hidden="false" customHeight="false" outlineLevel="0" collapsed="false">
      <c r="A60" s="0" t="s">
        <v>367</v>
      </c>
      <c r="B60" s="0" t="s">
        <v>137</v>
      </c>
      <c r="C60" s="14" t="n">
        <v>46014</v>
      </c>
      <c r="D60" s="0" t="n">
        <v>3262.21</v>
      </c>
      <c r="E60" s="15" t="s">
        <v>106</v>
      </c>
      <c r="F60" s="15" t="s">
        <v>278</v>
      </c>
      <c r="G60" s="15" t="s">
        <v>282</v>
      </c>
    </row>
    <row r="61" customFormat="false" ht="15" hidden="false" customHeight="false" outlineLevel="0" collapsed="false">
      <c r="A61" s="0" t="s">
        <v>368</v>
      </c>
      <c r="B61" s="0" t="s">
        <v>149</v>
      </c>
      <c r="C61" s="14" t="n">
        <v>45911</v>
      </c>
      <c r="D61" s="0" t="n">
        <v>672.96</v>
      </c>
      <c r="E61" s="15" t="s">
        <v>72</v>
      </c>
      <c r="F61" s="15" t="s">
        <v>286</v>
      </c>
      <c r="G61" s="15" t="s">
        <v>302</v>
      </c>
    </row>
    <row r="62" customFormat="false" ht="15" hidden="false" customHeight="false" outlineLevel="0" collapsed="false">
      <c r="A62" s="0" t="s">
        <v>369</v>
      </c>
      <c r="B62" s="0" t="s">
        <v>119</v>
      </c>
      <c r="C62" s="14" t="n">
        <v>45898</v>
      </c>
      <c r="D62" s="0" t="n">
        <v>5144.03</v>
      </c>
      <c r="E62" s="15" t="s">
        <v>86</v>
      </c>
      <c r="F62" s="15" t="s">
        <v>312</v>
      </c>
      <c r="G62" s="15" t="s">
        <v>282</v>
      </c>
    </row>
    <row r="63" customFormat="false" ht="15" hidden="false" customHeight="false" outlineLevel="0" collapsed="false">
      <c r="A63" s="0" t="s">
        <v>370</v>
      </c>
      <c r="B63" s="0" t="s">
        <v>189</v>
      </c>
      <c r="C63" s="14" t="n">
        <v>45774</v>
      </c>
      <c r="D63" s="0" t="n">
        <v>2886.68</v>
      </c>
      <c r="E63" s="15" t="s">
        <v>72</v>
      </c>
      <c r="F63" s="15" t="s">
        <v>289</v>
      </c>
      <c r="G63" s="15" t="s">
        <v>321</v>
      </c>
    </row>
    <row r="64" customFormat="false" ht="15" hidden="false" customHeight="false" outlineLevel="0" collapsed="false">
      <c r="A64" s="0" t="s">
        <v>371</v>
      </c>
      <c r="B64" s="0" t="s">
        <v>195</v>
      </c>
      <c r="C64" s="14" t="n">
        <v>45915</v>
      </c>
      <c r="D64" s="0" t="n">
        <v>5496.95</v>
      </c>
      <c r="E64" s="15" t="s">
        <v>114</v>
      </c>
      <c r="F64" s="15" t="s">
        <v>337</v>
      </c>
      <c r="G64" s="15" t="s">
        <v>302</v>
      </c>
    </row>
    <row r="65" customFormat="false" ht="15" hidden="false" customHeight="false" outlineLevel="0" collapsed="false">
      <c r="A65" s="0" t="s">
        <v>372</v>
      </c>
      <c r="B65" s="0" t="s">
        <v>174</v>
      </c>
      <c r="C65" s="14" t="n">
        <v>46149</v>
      </c>
      <c r="D65" s="0" t="n">
        <v>1566.24</v>
      </c>
      <c r="E65" s="15" t="s">
        <v>91</v>
      </c>
      <c r="F65" s="15" t="s">
        <v>342</v>
      </c>
      <c r="G65" s="15" t="s">
        <v>292</v>
      </c>
    </row>
    <row r="66" customFormat="false" ht="15" hidden="false" customHeight="false" outlineLevel="0" collapsed="false">
      <c r="A66" s="0" t="s">
        <v>373</v>
      </c>
      <c r="B66" s="0" t="s">
        <v>161</v>
      </c>
      <c r="C66" s="14" t="n">
        <v>46091</v>
      </c>
      <c r="D66" s="0" t="n">
        <v>17358.33</v>
      </c>
      <c r="E66" s="15" t="s">
        <v>72</v>
      </c>
      <c r="F66" s="15" t="s">
        <v>344</v>
      </c>
      <c r="G66" s="15" t="s">
        <v>321</v>
      </c>
    </row>
    <row r="67" customFormat="false" ht="15" hidden="false" customHeight="false" outlineLevel="0" collapsed="false">
      <c r="A67" s="0" t="s">
        <v>374</v>
      </c>
      <c r="B67" s="0" t="s">
        <v>109</v>
      </c>
      <c r="C67" s="14" t="n">
        <v>45750</v>
      </c>
      <c r="D67" s="0" t="n">
        <v>537.25</v>
      </c>
      <c r="E67" s="15" t="s">
        <v>101</v>
      </c>
      <c r="F67" s="15" t="s">
        <v>346</v>
      </c>
      <c r="G67" s="15" t="s">
        <v>282</v>
      </c>
    </row>
    <row r="68" customFormat="false" ht="15" hidden="false" customHeight="false" outlineLevel="0" collapsed="false">
      <c r="A68" s="0" t="s">
        <v>375</v>
      </c>
      <c r="B68" s="0" t="s">
        <v>122</v>
      </c>
      <c r="C68" s="14" t="n">
        <v>45704</v>
      </c>
      <c r="D68" s="0" t="n">
        <v>3847.67</v>
      </c>
      <c r="E68" s="15" t="s">
        <v>86</v>
      </c>
      <c r="F68" s="15" t="s">
        <v>312</v>
      </c>
      <c r="G68" s="15" t="s">
        <v>290</v>
      </c>
    </row>
    <row r="69" customFormat="false" ht="15" hidden="false" customHeight="false" outlineLevel="0" collapsed="false">
      <c r="A69" s="0" t="s">
        <v>376</v>
      </c>
      <c r="B69" s="0" t="s">
        <v>75</v>
      </c>
      <c r="C69" s="14" t="n">
        <v>45938</v>
      </c>
      <c r="D69" s="0" t="n">
        <v>158.45</v>
      </c>
      <c r="E69" s="15" t="s">
        <v>77</v>
      </c>
      <c r="F69" s="15" t="s">
        <v>308</v>
      </c>
      <c r="G69" s="15" t="s">
        <v>279</v>
      </c>
    </row>
    <row r="70" customFormat="false" ht="15" hidden="false" customHeight="false" outlineLevel="0" collapsed="false">
      <c r="A70" s="0" t="s">
        <v>377</v>
      </c>
      <c r="B70" s="0" t="s">
        <v>109</v>
      </c>
      <c r="C70" s="14" t="n">
        <v>46002</v>
      </c>
      <c r="D70" s="0" t="n">
        <v>2227.94</v>
      </c>
      <c r="E70" s="15" t="s">
        <v>101</v>
      </c>
      <c r="F70" s="15" t="s">
        <v>351</v>
      </c>
      <c r="G70" s="15" t="s">
        <v>351</v>
      </c>
    </row>
    <row r="71" customFormat="false" ht="15" hidden="false" customHeight="false" outlineLevel="0" collapsed="false">
      <c r="A71" s="0" t="s">
        <v>378</v>
      </c>
      <c r="B71" s="0" t="s">
        <v>99</v>
      </c>
      <c r="C71" s="14" t="n">
        <v>45840</v>
      </c>
      <c r="D71" s="0" t="n">
        <v>3409.89</v>
      </c>
      <c r="E71" s="15" t="s">
        <v>101</v>
      </c>
      <c r="F71" s="15" t="s">
        <v>289</v>
      </c>
      <c r="G71" s="15" t="s">
        <v>279</v>
      </c>
    </row>
    <row r="72" customFormat="false" ht="15" hidden="false" customHeight="false" outlineLevel="0" collapsed="false">
      <c r="A72" s="0" t="s">
        <v>379</v>
      </c>
      <c r="B72" s="0" t="s">
        <v>112</v>
      </c>
      <c r="C72" s="14" t="n">
        <v>46104</v>
      </c>
      <c r="D72" s="0" t="n">
        <v>426.18</v>
      </c>
      <c r="E72" s="15" t="s">
        <v>114</v>
      </c>
      <c r="F72" s="15" t="s">
        <v>286</v>
      </c>
      <c r="G72" s="15" t="s">
        <v>321</v>
      </c>
    </row>
    <row r="73" customFormat="false" ht="15" hidden="false" customHeight="false" outlineLevel="0" collapsed="false">
      <c r="A73" s="0" t="s">
        <v>380</v>
      </c>
      <c r="B73" s="0" t="s">
        <v>195</v>
      </c>
      <c r="C73" s="14" t="n">
        <v>46067</v>
      </c>
      <c r="D73" s="0" t="n">
        <v>541.95</v>
      </c>
      <c r="E73" s="15" t="s">
        <v>114</v>
      </c>
      <c r="F73" s="15" t="s">
        <v>381</v>
      </c>
      <c r="G73" s="15" t="s">
        <v>290</v>
      </c>
    </row>
    <row r="74" customFormat="false" ht="15" hidden="false" customHeight="false" outlineLevel="0" collapsed="false">
      <c r="A74" s="0" t="s">
        <v>382</v>
      </c>
      <c r="B74" s="0" t="s">
        <v>104</v>
      </c>
      <c r="C74" s="14" t="n">
        <v>46024</v>
      </c>
      <c r="D74" s="0" t="n">
        <v>173.05</v>
      </c>
      <c r="E74" s="15" t="s">
        <v>106</v>
      </c>
      <c r="F74" s="15" t="s">
        <v>306</v>
      </c>
      <c r="G74" s="15" t="s">
        <v>302</v>
      </c>
    </row>
    <row r="75" customFormat="false" ht="15" hidden="false" customHeight="false" outlineLevel="0" collapsed="false">
      <c r="A75" s="0" t="s">
        <v>383</v>
      </c>
      <c r="B75" s="0" t="s">
        <v>167</v>
      </c>
      <c r="C75" s="14" t="n">
        <v>45780</v>
      </c>
      <c r="D75" s="0" t="n">
        <v>1736.82</v>
      </c>
      <c r="E75" s="15" t="s">
        <v>72</v>
      </c>
      <c r="F75" s="15" t="s">
        <v>346</v>
      </c>
      <c r="G75" s="15" t="s">
        <v>282</v>
      </c>
    </row>
    <row r="76" customFormat="false" ht="15" hidden="false" customHeight="false" outlineLevel="0" collapsed="false">
      <c r="A76" s="0" t="s">
        <v>384</v>
      </c>
      <c r="B76" s="0" t="s">
        <v>131</v>
      </c>
      <c r="C76" s="14" t="n">
        <v>45766</v>
      </c>
      <c r="D76" s="0" t="n">
        <v>2776.3</v>
      </c>
      <c r="E76" s="15" t="s">
        <v>101</v>
      </c>
      <c r="F76" s="15" t="s">
        <v>289</v>
      </c>
      <c r="G76" s="15" t="s">
        <v>313</v>
      </c>
    </row>
    <row r="77" customFormat="false" ht="15" hidden="false" customHeight="false" outlineLevel="0" collapsed="false">
      <c r="A77" s="0" t="s">
        <v>385</v>
      </c>
      <c r="B77" s="0" t="s">
        <v>122</v>
      </c>
      <c r="C77" s="14" t="n">
        <v>45671</v>
      </c>
      <c r="D77" s="0" t="n">
        <v>773.09</v>
      </c>
      <c r="E77" s="15" t="s">
        <v>86</v>
      </c>
      <c r="F77" s="15" t="s">
        <v>381</v>
      </c>
      <c r="G77" s="15" t="s">
        <v>282</v>
      </c>
    </row>
    <row r="78" customFormat="false" ht="15" hidden="false" customHeight="false" outlineLevel="0" collapsed="false">
      <c r="A78" s="0" t="s">
        <v>386</v>
      </c>
      <c r="B78" s="0" t="s">
        <v>152</v>
      </c>
      <c r="C78" s="14" t="n">
        <v>45791</v>
      </c>
      <c r="D78" s="0" t="n">
        <v>3182.11</v>
      </c>
      <c r="E78" s="15" t="s">
        <v>101</v>
      </c>
      <c r="F78" s="15" t="s">
        <v>360</v>
      </c>
      <c r="G78" s="15" t="s">
        <v>302</v>
      </c>
    </row>
    <row r="79" customFormat="false" ht="15" hidden="false" customHeight="false" outlineLevel="0" collapsed="false">
      <c r="A79" s="0" t="s">
        <v>387</v>
      </c>
      <c r="B79" s="0" t="s">
        <v>143</v>
      </c>
      <c r="C79" s="14" t="n">
        <v>45916</v>
      </c>
      <c r="D79" s="0" t="n">
        <v>2202.92</v>
      </c>
      <c r="E79" s="15" t="s">
        <v>86</v>
      </c>
      <c r="F79" s="15" t="s">
        <v>300</v>
      </c>
      <c r="G79" s="15" t="s">
        <v>302</v>
      </c>
    </row>
    <row r="80" customFormat="false" ht="15" hidden="false" customHeight="false" outlineLevel="0" collapsed="false">
      <c r="A80" s="0" t="s">
        <v>388</v>
      </c>
      <c r="B80" s="0" t="s">
        <v>116</v>
      </c>
      <c r="C80" s="14" t="n">
        <v>46121</v>
      </c>
      <c r="D80" s="0" t="n">
        <v>13999.16</v>
      </c>
      <c r="E80" s="15" t="s">
        <v>86</v>
      </c>
      <c r="F80" s="15" t="s">
        <v>344</v>
      </c>
      <c r="G80" s="15" t="s">
        <v>321</v>
      </c>
    </row>
    <row r="81" customFormat="false" ht="15" hidden="false" customHeight="false" outlineLevel="0" collapsed="false">
      <c r="A81" s="0" t="s">
        <v>389</v>
      </c>
      <c r="B81" s="0" t="s">
        <v>128</v>
      </c>
      <c r="C81" s="14" t="n">
        <v>45697</v>
      </c>
      <c r="D81" s="0" t="n">
        <v>4652.88</v>
      </c>
      <c r="E81" s="15" t="s">
        <v>101</v>
      </c>
      <c r="F81" s="15" t="s">
        <v>284</v>
      </c>
      <c r="G81" s="15" t="s">
        <v>279</v>
      </c>
    </row>
    <row r="82" customFormat="false" ht="15" hidden="false" customHeight="false" outlineLevel="0" collapsed="false">
      <c r="A82" s="0" t="s">
        <v>390</v>
      </c>
      <c r="B82" s="0" t="s">
        <v>89</v>
      </c>
      <c r="C82" s="14" t="n">
        <v>45883</v>
      </c>
      <c r="D82" s="0" t="n">
        <v>131.26</v>
      </c>
      <c r="E82" s="15" t="s">
        <v>91</v>
      </c>
      <c r="F82" s="15" t="s">
        <v>304</v>
      </c>
      <c r="G82" s="15" t="s">
        <v>313</v>
      </c>
    </row>
    <row r="83" customFormat="false" ht="15" hidden="false" customHeight="false" outlineLevel="0" collapsed="false">
      <c r="A83" s="0" t="s">
        <v>391</v>
      </c>
      <c r="B83" s="0" t="s">
        <v>75</v>
      </c>
      <c r="C83" s="14" t="n">
        <v>46001</v>
      </c>
      <c r="D83" s="0" t="n">
        <v>370.46</v>
      </c>
      <c r="E83" s="15" t="s">
        <v>77</v>
      </c>
      <c r="F83" s="15" t="s">
        <v>306</v>
      </c>
      <c r="G83" s="15" t="s">
        <v>321</v>
      </c>
    </row>
    <row r="84" customFormat="false" ht="15" hidden="false" customHeight="false" outlineLevel="0" collapsed="false">
      <c r="A84" s="0" t="s">
        <v>392</v>
      </c>
      <c r="B84" s="0" t="s">
        <v>177</v>
      </c>
      <c r="C84" s="14" t="n">
        <v>45763</v>
      </c>
      <c r="D84" s="0" t="n">
        <v>2277.66</v>
      </c>
      <c r="E84" s="15" t="s">
        <v>77</v>
      </c>
      <c r="F84" s="15" t="s">
        <v>294</v>
      </c>
      <c r="G84" s="15" t="s">
        <v>279</v>
      </c>
    </row>
    <row r="85" customFormat="false" ht="15" hidden="false" customHeight="false" outlineLevel="0" collapsed="false">
      <c r="A85" s="0" t="s">
        <v>393</v>
      </c>
      <c r="B85" s="0" t="s">
        <v>122</v>
      </c>
      <c r="C85" s="14" t="n">
        <v>46037</v>
      </c>
      <c r="D85" s="0" t="n">
        <v>11559.96</v>
      </c>
      <c r="E85" s="15" t="s">
        <v>86</v>
      </c>
      <c r="F85" s="15" t="s">
        <v>317</v>
      </c>
      <c r="G85" s="15" t="s">
        <v>279</v>
      </c>
    </row>
    <row r="86" customFormat="false" ht="15" hidden="false" customHeight="false" outlineLevel="0" collapsed="false">
      <c r="A86" s="0" t="s">
        <v>394</v>
      </c>
      <c r="B86" s="0" t="s">
        <v>186</v>
      </c>
      <c r="C86" s="14" t="n">
        <v>45927</v>
      </c>
      <c r="D86" s="0" t="n">
        <v>1118.76</v>
      </c>
      <c r="E86" s="15" t="s">
        <v>86</v>
      </c>
      <c r="F86" s="15" t="s">
        <v>310</v>
      </c>
      <c r="G86" s="15" t="s">
        <v>279</v>
      </c>
    </row>
    <row r="87" customFormat="false" ht="15" hidden="false" customHeight="false" outlineLevel="0" collapsed="false">
      <c r="A87" s="0" t="s">
        <v>395</v>
      </c>
      <c r="B87" s="0" t="s">
        <v>143</v>
      </c>
      <c r="C87" s="14" t="n">
        <v>45790</v>
      </c>
      <c r="D87" s="0" t="n">
        <v>1602.67</v>
      </c>
      <c r="E87" s="15" t="s">
        <v>86</v>
      </c>
      <c r="F87" s="15" t="s">
        <v>327</v>
      </c>
      <c r="G87" s="15" t="s">
        <v>290</v>
      </c>
    </row>
    <row r="88" customFormat="false" ht="15" hidden="false" customHeight="false" outlineLevel="0" collapsed="false">
      <c r="A88" s="0" t="s">
        <v>396</v>
      </c>
      <c r="B88" s="0" t="s">
        <v>104</v>
      </c>
      <c r="C88" s="14" t="n">
        <v>46015</v>
      </c>
      <c r="D88" s="0" t="n">
        <v>2430.96</v>
      </c>
      <c r="E88" s="15" t="s">
        <v>106</v>
      </c>
      <c r="F88" s="15" t="s">
        <v>334</v>
      </c>
      <c r="G88" s="15" t="s">
        <v>279</v>
      </c>
    </row>
    <row r="89" customFormat="false" ht="15" hidden="false" customHeight="false" outlineLevel="0" collapsed="false">
      <c r="A89" s="0" t="s">
        <v>397</v>
      </c>
      <c r="B89" s="0" t="s">
        <v>75</v>
      </c>
      <c r="C89" s="14" t="n">
        <v>45661</v>
      </c>
      <c r="D89" s="0" t="n">
        <v>1239.53</v>
      </c>
      <c r="E89" s="15" t="s">
        <v>77</v>
      </c>
      <c r="F89" s="15" t="s">
        <v>298</v>
      </c>
      <c r="G89" s="15" t="s">
        <v>287</v>
      </c>
    </row>
    <row r="90" customFormat="false" ht="15" hidden="false" customHeight="false" outlineLevel="0" collapsed="false">
      <c r="A90" s="0" t="s">
        <v>398</v>
      </c>
      <c r="B90" s="0" t="s">
        <v>171</v>
      </c>
      <c r="C90" s="14" t="n">
        <v>46067</v>
      </c>
      <c r="D90" s="0" t="n">
        <v>6686.22</v>
      </c>
      <c r="E90" s="15" t="s">
        <v>106</v>
      </c>
      <c r="F90" s="15" t="s">
        <v>281</v>
      </c>
      <c r="G90" s="15" t="s">
        <v>292</v>
      </c>
    </row>
    <row r="91" customFormat="false" ht="15" hidden="false" customHeight="false" outlineLevel="0" collapsed="false">
      <c r="A91" s="0" t="s">
        <v>399</v>
      </c>
      <c r="B91" s="0" t="s">
        <v>125</v>
      </c>
      <c r="C91" s="14" t="n">
        <v>46077</v>
      </c>
      <c r="D91" s="0" t="n">
        <v>3940.78</v>
      </c>
      <c r="E91" s="15" t="s">
        <v>72</v>
      </c>
      <c r="F91" s="15" t="s">
        <v>294</v>
      </c>
      <c r="G91" s="15" t="s">
        <v>290</v>
      </c>
    </row>
    <row r="92" customFormat="false" ht="15" hidden="false" customHeight="false" outlineLevel="0" collapsed="false">
      <c r="A92" s="0" t="s">
        <v>400</v>
      </c>
      <c r="B92" s="0" t="s">
        <v>189</v>
      </c>
      <c r="C92" s="14" t="n">
        <v>45716</v>
      </c>
      <c r="D92" s="0" t="n">
        <v>625.95</v>
      </c>
      <c r="E92" s="15" t="s">
        <v>72</v>
      </c>
      <c r="F92" s="15" t="s">
        <v>317</v>
      </c>
      <c r="G92" s="15" t="s">
        <v>313</v>
      </c>
    </row>
    <row r="93" customFormat="false" ht="15" hidden="false" customHeight="false" outlineLevel="0" collapsed="false">
      <c r="A93" s="0" t="s">
        <v>401</v>
      </c>
      <c r="B93" s="0" t="s">
        <v>109</v>
      </c>
      <c r="C93" s="14" t="n">
        <v>45889</v>
      </c>
      <c r="D93" s="0" t="n">
        <v>5061.76</v>
      </c>
      <c r="E93" s="15" t="s">
        <v>101</v>
      </c>
      <c r="F93" s="15" t="s">
        <v>351</v>
      </c>
      <c r="G93" s="15" t="s">
        <v>287</v>
      </c>
    </row>
    <row r="94" customFormat="false" ht="15" hidden="false" customHeight="false" outlineLevel="0" collapsed="false">
      <c r="A94" s="0" t="s">
        <v>402</v>
      </c>
      <c r="B94" s="0" t="s">
        <v>158</v>
      </c>
      <c r="C94" s="14" t="n">
        <v>45753</v>
      </c>
      <c r="D94" s="0" t="n">
        <v>2302.86</v>
      </c>
      <c r="E94" s="15" t="s">
        <v>77</v>
      </c>
      <c r="F94" s="15" t="s">
        <v>317</v>
      </c>
      <c r="G94" s="15" t="s">
        <v>290</v>
      </c>
    </row>
    <row r="95" customFormat="false" ht="15" hidden="false" customHeight="false" outlineLevel="0" collapsed="false">
      <c r="A95" s="0" t="s">
        <v>403</v>
      </c>
      <c r="B95" s="0" t="s">
        <v>158</v>
      </c>
      <c r="C95" s="14" t="n">
        <v>46180</v>
      </c>
      <c r="D95" s="0" t="n">
        <v>420.44</v>
      </c>
      <c r="E95" s="15" t="s">
        <v>77</v>
      </c>
      <c r="F95" s="15" t="s">
        <v>284</v>
      </c>
      <c r="G95" s="15" t="s">
        <v>321</v>
      </c>
    </row>
    <row r="96" customFormat="false" ht="15" hidden="false" customHeight="false" outlineLevel="0" collapsed="false">
      <c r="A96" s="0" t="s">
        <v>404</v>
      </c>
      <c r="B96" s="0" t="s">
        <v>158</v>
      </c>
      <c r="C96" s="14" t="n">
        <v>45940</v>
      </c>
      <c r="D96" s="0" t="n">
        <v>226.65</v>
      </c>
      <c r="E96" s="15" t="s">
        <v>77</v>
      </c>
      <c r="F96" s="15" t="s">
        <v>284</v>
      </c>
      <c r="G96" s="15" t="s">
        <v>282</v>
      </c>
    </row>
    <row r="97" customFormat="false" ht="15" hidden="false" customHeight="false" outlineLevel="0" collapsed="false">
      <c r="A97" s="0" t="s">
        <v>405</v>
      </c>
      <c r="B97" s="0" t="s">
        <v>93</v>
      </c>
      <c r="C97" s="14" t="n">
        <v>45685</v>
      </c>
      <c r="D97" s="0" t="n">
        <v>814.32</v>
      </c>
      <c r="E97" s="15" t="s">
        <v>86</v>
      </c>
      <c r="F97" s="15" t="s">
        <v>289</v>
      </c>
      <c r="G97" s="15" t="s">
        <v>287</v>
      </c>
    </row>
    <row r="98" customFormat="false" ht="15" hidden="false" customHeight="false" outlineLevel="0" collapsed="false">
      <c r="A98" s="0" t="s">
        <v>406</v>
      </c>
      <c r="B98" s="0" t="s">
        <v>174</v>
      </c>
      <c r="C98" s="14" t="n">
        <v>45793</v>
      </c>
      <c r="D98" s="0" t="n">
        <v>1618.39</v>
      </c>
      <c r="E98" s="15" t="s">
        <v>91</v>
      </c>
      <c r="F98" s="15" t="s">
        <v>304</v>
      </c>
      <c r="G98" s="15" t="s">
        <v>287</v>
      </c>
    </row>
    <row r="99" customFormat="false" ht="15" hidden="false" customHeight="false" outlineLevel="0" collapsed="false">
      <c r="A99" s="0" t="s">
        <v>407</v>
      </c>
      <c r="B99" s="0" t="s">
        <v>167</v>
      </c>
      <c r="C99" s="14" t="n">
        <v>46120</v>
      </c>
      <c r="D99" s="0" t="n">
        <v>994</v>
      </c>
      <c r="E99" s="15" t="s">
        <v>72</v>
      </c>
      <c r="F99" s="15" t="s">
        <v>294</v>
      </c>
      <c r="G99" s="15" t="s">
        <v>279</v>
      </c>
    </row>
    <row r="100" customFormat="false" ht="15" hidden="false" customHeight="false" outlineLevel="0" collapsed="false">
      <c r="A100" s="0" t="s">
        <v>408</v>
      </c>
      <c r="B100" s="0" t="s">
        <v>104</v>
      </c>
      <c r="C100" s="14" t="n">
        <v>45906</v>
      </c>
      <c r="D100" s="0" t="n">
        <v>456.94</v>
      </c>
      <c r="E100" s="15" t="s">
        <v>106</v>
      </c>
      <c r="F100" s="15" t="s">
        <v>342</v>
      </c>
      <c r="G100" s="15" t="s">
        <v>287</v>
      </c>
    </row>
    <row r="101" customFormat="false" ht="15" hidden="false" customHeight="false" outlineLevel="0" collapsed="false">
      <c r="A101" s="0" t="s">
        <v>409</v>
      </c>
      <c r="B101" s="0" t="s">
        <v>93</v>
      </c>
      <c r="C101" s="14" t="n">
        <v>46094</v>
      </c>
      <c r="D101" s="0" t="n">
        <v>3515.6</v>
      </c>
      <c r="E101" s="15" t="s">
        <v>86</v>
      </c>
      <c r="F101" s="15" t="s">
        <v>342</v>
      </c>
      <c r="G101" s="15" t="s">
        <v>287</v>
      </c>
    </row>
    <row r="102" customFormat="false" ht="15" hidden="false" customHeight="false" outlineLevel="0" collapsed="false">
      <c r="A102" s="0" t="s">
        <v>410</v>
      </c>
      <c r="B102" s="0" t="s">
        <v>134</v>
      </c>
      <c r="C102" s="14" t="n">
        <v>46021</v>
      </c>
      <c r="D102" s="0" t="n">
        <v>702.04</v>
      </c>
      <c r="E102" s="15" t="s">
        <v>114</v>
      </c>
      <c r="F102" s="15" t="s">
        <v>306</v>
      </c>
      <c r="G102" s="15" t="s">
        <v>279</v>
      </c>
    </row>
    <row r="103" customFormat="false" ht="15" hidden="false" customHeight="false" outlineLevel="0" collapsed="false">
      <c r="A103" s="0" t="s">
        <v>411</v>
      </c>
      <c r="B103" s="0" t="s">
        <v>149</v>
      </c>
      <c r="C103" s="14" t="n">
        <v>46196</v>
      </c>
      <c r="D103" s="0" t="n">
        <v>582.3</v>
      </c>
      <c r="E103" s="15" t="s">
        <v>72</v>
      </c>
      <c r="F103" s="15" t="s">
        <v>346</v>
      </c>
      <c r="G103" s="15" t="s">
        <v>290</v>
      </c>
    </row>
    <row r="104" customFormat="false" ht="15" hidden="false" customHeight="false" outlineLevel="0" collapsed="false">
      <c r="A104" s="0" t="s">
        <v>412</v>
      </c>
      <c r="B104" s="0" t="s">
        <v>93</v>
      </c>
      <c r="C104" s="14" t="n">
        <v>45982</v>
      </c>
      <c r="D104" s="0" t="n">
        <v>2184.66</v>
      </c>
      <c r="E104" s="15" t="s">
        <v>86</v>
      </c>
      <c r="F104" s="15" t="s">
        <v>317</v>
      </c>
      <c r="G104" s="15" t="s">
        <v>282</v>
      </c>
    </row>
    <row r="105" customFormat="false" ht="15" hidden="false" customHeight="false" outlineLevel="0" collapsed="false">
      <c r="A105" s="0" t="s">
        <v>413</v>
      </c>
      <c r="B105" s="0" t="s">
        <v>89</v>
      </c>
      <c r="C105" s="14" t="n">
        <v>46175</v>
      </c>
      <c r="D105" s="0" t="n">
        <v>563.83</v>
      </c>
      <c r="E105" s="15" t="s">
        <v>91</v>
      </c>
      <c r="F105" s="15" t="s">
        <v>351</v>
      </c>
      <c r="G105" s="15" t="s">
        <v>279</v>
      </c>
    </row>
    <row r="106" customFormat="false" ht="15" hidden="false" customHeight="false" outlineLevel="0" collapsed="false">
      <c r="A106" s="0" t="s">
        <v>414</v>
      </c>
      <c r="B106" s="0" t="s">
        <v>149</v>
      </c>
      <c r="C106" s="14" t="n">
        <v>46143</v>
      </c>
      <c r="D106" s="0" t="n">
        <v>3835.01</v>
      </c>
      <c r="E106" s="15" t="s">
        <v>72</v>
      </c>
      <c r="F106" s="15" t="s">
        <v>344</v>
      </c>
      <c r="G106" s="15" t="s">
        <v>321</v>
      </c>
    </row>
    <row r="107" customFormat="false" ht="15" hidden="false" customHeight="false" outlineLevel="0" collapsed="false">
      <c r="A107" s="0" t="s">
        <v>415</v>
      </c>
      <c r="B107" s="0" t="s">
        <v>186</v>
      </c>
      <c r="C107" s="14" t="n">
        <v>45991</v>
      </c>
      <c r="D107" s="0" t="n">
        <v>402.4</v>
      </c>
      <c r="E107" s="15" t="s">
        <v>86</v>
      </c>
      <c r="F107" s="15" t="s">
        <v>344</v>
      </c>
      <c r="G107" s="15" t="s">
        <v>292</v>
      </c>
    </row>
    <row r="108" customFormat="false" ht="15" hidden="false" customHeight="false" outlineLevel="0" collapsed="false">
      <c r="A108" s="0" t="s">
        <v>416</v>
      </c>
      <c r="B108" s="0" t="s">
        <v>84</v>
      </c>
      <c r="C108" s="14" t="n">
        <v>46050</v>
      </c>
      <c r="D108" s="0" t="n">
        <v>1590.35</v>
      </c>
      <c r="E108" s="15" t="s">
        <v>86</v>
      </c>
      <c r="F108" s="15" t="s">
        <v>344</v>
      </c>
      <c r="G108" s="15" t="s">
        <v>282</v>
      </c>
    </row>
    <row r="109" customFormat="false" ht="15" hidden="false" customHeight="false" outlineLevel="0" collapsed="false">
      <c r="A109" s="0" t="s">
        <v>417</v>
      </c>
      <c r="B109" s="0" t="s">
        <v>116</v>
      </c>
      <c r="C109" s="14" t="n">
        <v>45933</v>
      </c>
      <c r="D109" s="0" t="n">
        <v>816.15</v>
      </c>
      <c r="E109" s="15" t="s">
        <v>86</v>
      </c>
      <c r="F109" s="15" t="s">
        <v>308</v>
      </c>
      <c r="G109" s="15" t="s">
        <v>292</v>
      </c>
    </row>
    <row r="110" customFormat="false" ht="15" hidden="false" customHeight="false" outlineLevel="0" collapsed="false">
      <c r="A110" s="0" t="s">
        <v>418</v>
      </c>
      <c r="B110" s="0" t="s">
        <v>116</v>
      </c>
      <c r="C110" s="14" t="n">
        <v>46110</v>
      </c>
      <c r="D110" s="0" t="n">
        <v>5798.93</v>
      </c>
      <c r="E110" s="15" t="s">
        <v>86</v>
      </c>
      <c r="F110" s="15" t="s">
        <v>294</v>
      </c>
      <c r="G110" s="15" t="s">
        <v>282</v>
      </c>
    </row>
    <row r="111" customFormat="false" ht="15" hidden="false" customHeight="false" outlineLevel="0" collapsed="false">
      <c r="A111" s="0" t="s">
        <v>419</v>
      </c>
      <c r="B111" s="0" t="s">
        <v>164</v>
      </c>
      <c r="C111" s="14" t="n">
        <v>45956</v>
      </c>
      <c r="D111" s="0" t="n">
        <v>3177.07</v>
      </c>
      <c r="E111" s="15" t="s">
        <v>77</v>
      </c>
      <c r="F111" s="15" t="s">
        <v>330</v>
      </c>
      <c r="G111" s="15" t="s">
        <v>302</v>
      </c>
    </row>
    <row r="112" customFormat="false" ht="15" hidden="false" customHeight="false" outlineLevel="0" collapsed="false">
      <c r="A112" s="0" t="s">
        <v>420</v>
      </c>
      <c r="B112" s="0" t="s">
        <v>131</v>
      </c>
      <c r="C112" s="14" t="n">
        <v>46146</v>
      </c>
      <c r="D112" s="0" t="n">
        <v>2099.16</v>
      </c>
      <c r="E112" s="15" t="s">
        <v>101</v>
      </c>
      <c r="F112" s="15" t="s">
        <v>344</v>
      </c>
      <c r="G112" s="15" t="s">
        <v>279</v>
      </c>
    </row>
    <row r="113" customFormat="false" ht="15" hidden="false" customHeight="false" outlineLevel="0" collapsed="false">
      <c r="A113" s="0" t="s">
        <v>421</v>
      </c>
      <c r="B113" s="0" t="s">
        <v>125</v>
      </c>
      <c r="C113" s="14" t="n">
        <v>46063</v>
      </c>
      <c r="D113" s="0" t="n">
        <v>2167.65</v>
      </c>
      <c r="E113" s="15" t="s">
        <v>72</v>
      </c>
      <c r="F113" s="15" t="s">
        <v>342</v>
      </c>
      <c r="G113" s="15" t="s">
        <v>282</v>
      </c>
    </row>
    <row r="114" customFormat="false" ht="15" hidden="false" customHeight="false" outlineLevel="0" collapsed="false">
      <c r="A114" s="0" t="s">
        <v>422</v>
      </c>
      <c r="B114" s="0" t="s">
        <v>134</v>
      </c>
      <c r="C114" s="14" t="n">
        <v>45916</v>
      </c>
      <c r="D114" s="0" t="n">
        <v>865.82</v>
      </c>
      <c r="E114" s="15" t="s">
        <v>114</v>
      </c>
      <c r="F114" s="15" t="s">
        <v>298</v>
      </c>
      <c r="G114" s="15" t="s">
        <v>321</v>
      </c>
    </row>
    <row r="115" customFormat="false" ht="15" hidden="false" customHeight="false" outlineLevel="0" collapsed="false">
      <c r="A115" s="0" t="s">
        <v>423</v>
      </c>
      <c r="B115" s="0" t="s">
        <v>93</v>
      </c>
      <c r="C115" s="14" t="n">
        <v>45799</v>
      </c>
      <c r="D115" s="0" t="n">
        <v>588.49</v>
      </c>
      <c r="E115" s="15" t="s">
        <v>86</v>
      </c>
      <c r="F115" s="15" t="s">
        <v>298</v>
      </c>
      <c r="G115" s="15" t="s">
        <v>313</v>
      </c>
    </row>
    <row r="116" customFormat="false" ht="15" hidden="false" customHeight="false" outlineLevel="0" collapsed="false">
      <c r="A116" s="0" t="s">
        <v>424</v>
      </c>
      <c r="B116" s="0" t="s">
        <v>195</v>
      </c>
      <c r="C116" s="14" t="n">
        <v>45792</v>
      </c>
      <c r="D116" s="0" t="n">
        <v>1755.83</v>
      </c>
      <c r="E116" s="15" t="s">
        <v>114</v>
      </c>
      <c r="F116" s="15" t="s">
        <v>281</v>
      </c>
      <c r="G116" s="15" t="s">
        <v>292</v>
      </c>
    </row>
    <row r="117" customFormat="false" ht="15" hidden="false" customHeight="false" outlineLevel="0" collapsed="false">
      <c r="A117" s="0" t="s">
        <v>425</v>
      </c>
      <c r="B117" s="0" t="s">
        <v>158</v>
      </c>
      <c r="C117" s="14" t="n">
        <v>46005</v>
      </c>
      <c r="D117" s="0" t="n">
        <v>946.66</v>
      </c>
      <c r="E117" s="15" t="s">
        <v>77</v>
      </c>
      <c r="F117" s="15" t="s">
        <v>308</v>
      </c>
      <c r="G117" s="15" t="s">
        <v>292</v>
      </c>
    </row>
    <row r="118" customFormat="false" ht="15" hidden="false" customHeight="false" outlineLevel="0" collapsed="false">
      <c r="A118" s="0" t="s">
        <v>426</v>
      </c>
      <c r="B118" s="0" t="s">
        <v>161</v>
      </c>
      <c r="C118" s="14" t="n">
        <v>46075</v>
      </c>
      <c r="D118" s="0" t="n">
        <v>17767.35</v>
      </c>
      <c r="E118" s="15" t="s">
        <v>72</v>
      </c>
      <c r="F118" s="15" t="s">
        <v>344</v>
      </c>
      <c r="G118" s="15" t="s">
        <v>313</v>
      </c>
    </row>
    <row r="119" customFormat="false" ht="15" hidden="false" customHeight="false" outlineLevel="0" collapsed="false">
      <c r="A119" s="0" t="s">
        <v>427</v>
      </c>
      <c r="B119" s="0" t="s">
        <v>75</v>
      </c>
      <c r="C119" s="14" t="n">
        <v>45942</v>
      </c>
      <c r="D119" s="0" t="n">
        <v>8633.55</v>
      </c>
      <c r="E119" s="15" t="s">
        <v>77</v>
      </c>
      <c r="F119" s="15" t="s">
        <v>360</v>
      </c>
      <c r="G119" s="15" t="s">
        <v>292</v>
      </c>
    </row>
    <row r="120" customFormat="false" ht="15" hidden="false" customHeight="false" outlineLevel="0" collapsed="false">
      <c r="A120" s="0" t="s">
        <v>428</v>
      </c>
      <c r="B120" s="0" t="s">
        <v>195</v>
      </c>
      <c r="C120" s="14" t="n">
        <v>45999</v>
      </c>
      <c r="D120" s="0" t="n">
        <v>1731.53</v>
      </c>
      <c r="E120" s="15" t="s">
        <v>114</v>
      </c>
      <c r="F120" s="15" t="s">
        <v>346</v>
      </c>
      <c r="G120" s="15" t="s">
        <v>279</v>
      </c>
    </row>
    <row r="121" customFormat="false" ht="15" hidden="false" customHeight="false" outlineLevel="0" collapsed="false">
      <c r="A121" s="0" t="s">
        <v>429</v>
      </c>
      <c r="B121" s="0" t="s">
        <v>155</v>
      </c>
      <c r="C121" s="14" t="n">
        <v>45807</v>
      </c>
      <c r="D121" s="0" t="n">
        <v>1559.4</v>
      </c>
      <c r="E121" s="15" t="s">
        <v>106</v>
      </c>
      <c r="F121" s="15" t="s">
        <v>346</v>
      </c>
      <c r="G121" s="15" t="s">
        <v>282</v>
      </c>
    </row>
    <row r="122" customFormat="false" ht="15" hidden="false" customHeight="false" outlineLevel="0" collapsed="false">
      <c r="A122" s="0" t="s">
        <v>430</v>
      </c>
      <c r="B122" s="0" t="s">
        <v>137</v>
      </c>
      <c r="C122" s="14" t="n">
        <v>45700</v>
      </c>
      <c r="D122" s="0" t="n">
        <v>1484.65</v>
      </c>
      <c r="E122" s="15" t="s">
        <v>106</v>
      </c>
      <c r="F122" s="15" t="s">
        <v>344</v>
      </c>
      <c r="G122" s="15" t="s">
        <v>302</v>
      </c>
    </row>
    <row r="123" customFormat="false" ht="15" hidden="false" customHeight="false" outlineLevel="0" collapsed="false">
      <c r="A123" s="0" t="s">
        <v>431</v>
      </c>
      <c r="B123" s="0" t="s">
        <v>122</v>
      </c>
      <c r="C123" s="14" t="n">
        <v>45813</v>
      </c>
      <c r="D123" s="0" t="n">
        <v>448.18</v>
      </c>
      <c r="E123" s="15" t="s">
        <v>86</v>
      </c>
      <c r="F123" s="15" t="s">
        <v>296</v>
      </c>
      <c r="G123" s="15" t="s">
        <v>292</v>
      </c>
    </row>
    <row r="124" customFormat="false" ht="15" hidden="false" customHeight="false" outlineLevel="0" collapsed="false">
      <c r="A124" s="0" t="s">
        <v>432</v>
      </c>
      <c r="B124" s="0" t="s">
        <v>164</v>
      </c>
      <c r="C124" s="14" t="n">
        <v>45806</v>
      </c>
      <c r="D124" s="0" t="n">
        <v>381.28</v>
      </c>
      <c r="E124" s="15" t="s">
        <v>77</v>
      </c>
      <c r="F124" s="15" t="s">
        <v>310</v>
      </c>
      <c r="G124" s="15" t="s">
        <v>321</v>
      </c>
    </row>
    <row r="125" customFormat="false" ht="15" hidden="false" customHeight="false" outlineLevel="0" collapsed="false">
      <c r="A125" s="0" t="s">
        <v>433</v>
      </c>
      <c r="B125" s="0" t="s">
        <v>131</v>
      </c>
      <c r="C125" s="14" t="n">
        <v>45832</v>
      </c>
      <c r="D125" s="0" t="n">
        <v>432.73</v>
      </c>
      <c r="E125" s="15" t="s">
        <v>101</v>
      </c>
      <c r="F125" s="15" t="s">
        <v>286</v>
      </c>
      <c r="G125" s="15" t="s">
        <v>292</v>
      </c>
    </row>
    <row r="126" customFormat="false" ht="15" hidden="false" customHeight="false" outlineLevel="0" collapsed="false">
      <c r="A126" s="0" t="s">
        <v>434</v>
      </c>
      <c r="B126" s="0" t="s">
        <v>177</v>
      </c>
      <c r="C126" s="14" t="n">
        <v>45952</v>
      </c>
      <c r="D126" s="0" t="n">
        <v>2005.68</v>
      </c>
      <c r="E126" s="15" t="s">
        <v>77</v>
      </c>
      <c r="F126" s="15" t="s">
        <v>317</v>
      </c>
      <c r="G126" s="15" t="s">
        <v>279</v>
      </c>
    </row>
    <row r="127" customFormat="false" ht="15" hidden="false" customHeight="false" outlineLevel="0" collapsed="false">
      <c r="A127" s="0" t="s">
        <v>435</v>
      </c>
      <c r="B127" s="0" t="s">
        <v>104</v>
      </c>
      <c r="C127" s="14" t="n">
        <v>45733</v>
      </c>
      <c r="D127" s="0" t="n">
        <v>12091.17</v>
      </c>
      <c r="E127" s="15" t="s">
        <v>106</v>
      </c>
      <c r="F127" s="15" t="s">
        <v>327</v>
      </c>
      <c r="G127" s="15" t="s">
        <v>313</v>
      </c>
    </row>
    <row r="128" customFormat="false" ht="15" hidden="false" customHeight="false" outlineLevel="0" collapsed="false">
      <c r="A128" s="0" t="s">
        <v>436</v>
      </c>
      <c r="B128" s="0" t="s">
        <v>80</v>
      </c>
      <c r="C128" s="14" t="n">
        <v>45784</v>
      </c>
      <c r="D128" s="0" t="n">
        <v>1425.03</v>
      </c>
      <c r="E128" s="15" t="s">
        <v>72</v>
      </c>
      <c r="F128" s="15" t="s">
        <v>296</v>
      </c>
      <c r="G128" s="15" t="s">
        <v>290</v>
      </c>
    </row>
    <row r="129" customFormat="false" ht="15" hidden="false" customHeight="false" outlineLevel="0" collapsed="false">
      <c r="A129" s="0" t="s">
        <v>437</v>
      </c>
      <c r="B129" s="0" t="s">
        <v>89</v>
      </c>
      <c r="C129" s="14" t="n">
        <v>46036</v>
      </c>
      <c r="D129" s="0" t="n">
        <v>13874.68</v>
      </c>
      <c r="E129" s="15" t="s">
        <v>91</v>
      </c>
      <c r="F129" s="15" t="s">
        <v>278</v>
      </c>
      <c r="G129" s="15" t="s">
        <v>287</v>
      </c>
    </row>
    <row r="130" customFormat="false" ht="15" hidden="false" customHeight="false" outlineLevel="0" collapsed="false">
      <c r="A130" s="0" t="s">
        <v>438</v>
      </c>
      <c r="B130" s="0" t="s">
        <v>155</v>
      </c>
      <c r="C130" s="14" t="n">
        <v>46042</v>
      </c>
      <c r="D130" s="0" t="n">
        <v>2603.15</v>
      </c>
      <c r="E130" s="15" t="s">
        <v>106</v>
      </c>
      <c r="F130" s="15" t="s">
        <v>294</v>
      </c>
      <c r="G130" s="15" t="s">
        <v>321</v>
      </c>
    </row>
    <row r="131" customFormat="false" ht="15" hidden="false" customHeight="false" outlineLevel="0" collapsed="false">
      <c r="A131" s="0" t="s">
        <v>439</v>
      </c>
      <c r="B131" s="0" t="s">
        <v>192</v>
      </c>
      <c r="C131" s="14" t="n">
        <v>45693</v>
      </c>
      <c r="D131" s="0" t="n">
        <v>3251.07</v>
      </c>
      <c r="E131" s="15" t="s">
        <v>91</v>
      </c>
      <c r="F131" s="15" t="s">
        <v>327</v>
      </c>
      <c r="G131" s="15" t="s">
        <v>290</v>
      </c>
    </row>
    <row r="132" customFormat="false" ht="15" hidden="false" customHeight="false" outlineLevel="0" collapsed="false">
      <c r="A132" s="0" t="s">
        <v>440</v>
      </c>
      <c r="B132" s="0" t="s">
        <v>96</v>
      </c>
      <c r="C132" s="14" t="n">
        <v>45880</v>
      </c>
      <c r="D132" s="0" t="n">
        <v>4244.35</v>
      </c>
      <c r="E132" s="15" t="s">
        <v>77</v>
      </c>
      <c r="F132" s="15" t="s">
        <v>360</v>
      </c>
      <c r="G132" s="15" t="s">
        <v>302</v>
      </c>
    </row>
    <row r="133" customFormat="false" ht="15" hidden="false" customHeight="false" outlineLevel="0" collapsed="false">
      <c r="A133" s="0" t="s">
        <v>441</v>
      </c>
      <c r="B133" s="0" t="s">
        <v>125</v>
      </c>
      <c r="C133" s="14" t="n">
        <v>45953</v>
      </c>
      <c r="D133" s="0" t="n">
        <v>8178.53</v>
      </c>
      <c r="E133" s="15" t="s">
        <v>72</v>
      </c>
      <c r="F133" s="15" t="s">
        <v>300</v>
      </c>
      <c r="G133" s="15" t="s">
        <v>302</v>
      </c>
    </row>
    <row r="134" customFormat="false" ht="15" hidden="false" customHeight="false" outlineLevel="0" collapsed="false">
      <c r="A134" s="0" t="s">
        <v>442</v>
      </c>
      <c r="B134" s="0" t="s">
        <v>96</v>
      </c>
      <c r="C134" s="14" t="n">
        <v>45884</v>
      </c>
      <c r="D134" s="0" t="n">
        <v>1297.3</v>
      </c>
      <c r="E134" s="15" t="s">
        <v>77</v>
      </c>
      <c r="F134" s="15" t="s">
        <v>298</v>
      </c>
      <c r="G134" s="15" t="s">
        <v>282</v>
      </c>
    </row>
    <row r="135" customFormat="false" ht="15" hidden="false" customHeight="false" outlineLevel="0" collapsed="false">
      <c r="A135" s="0" t="s">
        <v>443</v>
      </c>
      <c r="B135" s="0" t="s">
        <v>104</v>
      </c>
      <c r="C135" s="14" t="n">
        <v>45770</v>
      </c>
      <c r="D135" s="0" t="n">
        <v>1349.8</v>
      </c>
      <c r="E135" s="15" t="s">
        <v>106</v>
      </c>
      <c r="F135" s="15" t="s">
        <v>278</v>
      </c>
      <c r="G135" s="15" t="s">
        <v>290</v>
      </c>
    </row>
    <row r="136" customFormat="false" ht="15" hidden="false" customHeight="false" outlineLevel="0" collapsed="false">
      <c r="A136" s="0" t="s">
        <v>444</v>
      </c>
      <c r="B136" s="0" t="s">
        <v>146</v>
      </c>
      <c r="C136" s="14" t="n">
        <v>45886</v>
      </c>
      <c r="D136" s="0" t="n">
        <v>9053.44</v>
      </c>
      <c r="E136" s="15" t="s">
        <v>114</v>
      </c>
      <c r="F136" s="15" t="s">
        <v>334</v>
      </c>
      <c r="G136" s="15" t="s">
        <v>279</v>
      </c>
    </row>
    <row r="137" customFormat="false" ht="15" hidden="false" customHeight="false" outlineLevel="0" collapsed="false">
      <c r="A137" s="0" t="s">
        <v>445</v>
      </c>
      <c r="B137" s="0" t="s">
        <v>146</v>
      </c>
      <c r="C137" s="14" t="n">
        <v>46151</v>
      </c>
      <c r="D137" s="0" t="n">
        <v>974.82</v>
      </c>
      <c r="E137" s="15" t="s">
        <v>114</v>
      </c>
      <c r="F137" s="15" t="s">
        <v>294</v>
      </c>
      <c r="G137" s="15" t="s">
        <v>302</v>
      </c>
    </row>
    <row r="138" customFormat="false" ht="15" hidden="false" customHeight="false" outlineLevel="0" collapsed="false">
      <c r="A138" s="0" t="s">
        <v>446</v>
      </c>
      <c r="B138" s="0" t="s">
        <v>183</v>
      </c>
      <c r="C138" s="14" t="n">
        <v>45976</v>
      </c>
      <c r="D138" s="0" t="n">
        <v>5730.61</v>
      </c>
      <c r="E138" s="15" t="s">
        <v>86</v>
      </c>
      <c r="F138" s="15" t="s">
        <v>327</v>
      </c>
      <c r="G138" s="15" t="s">
        <v>290</v>
      </c>
    </row>
    <row r="139" customFormat="false" ht="15" hidden="false" customHeight="false" outlineLevel="0" collapsed="false">
      <c r="A139" s="0" t="s">
        <v>447</v>
      </c>
      <c r="B139" s="0" t="s">
        <v>201</v>
      </c>
      <c r="C139" s="14" t="n">
        <v>46037</v>
      </c>
      <c r="D139" s="0" t="n">
        <v>11169.56</v>
      </c>
      <c r="E139" s="15" t="s">
        <v>77</v>
      </c>
      <c r="F139" s="15" t="s">
        <v>308</v>
      </c>
      <c r="G139" s="15" t="s">
        <v>292</v>
      </c>
    </row>
    <row r="140" customFormat="false" ht="15" hidden="false" customHeight="false" outlineLevel="0" collapsed="false">
      <c r="A140" s="0" t="s">
        <v>448</v>
      </c>
      <c r="B140" s="0" t="s">
        <v>177</v>
      </c>
      <c r="C140" s="14" t="n">
        <v>46124</v>
      </c>
      <c r="D140" s="0" t="n">
        <v>573.05</v>
      </c>
      <c r="E140" s="15" t="s">
        <v>77</v>
      </c>
      <c r="F140" s="15" t="s">
        <v>344</v>
      </c>
      <c r="G140" s="15" t="s">
        <v>321</v>
      </c>
    </row>
    <row r="141" customFormat="false" ht="15" hidden="false" customHeight="false" outlineLevel="0" collapsed="false">
      <c r="A141" s="0" t="s">
        <v>449</v>
      </c>
      <c r="B141" s="0" t="s">
        <v>143</v>
      </c>
      <c r="C141" s="14" t="n">
        <v>46075</v>
      </c>
      <c r="D141" s="0" t="n">
        <v>267.6</v>
      </c>
      <c r="E141" s="15" t="s">
        <v>86</v>
      </c>
      <c r="F141" s="15" t="s">
        <v>334</v>
      </c>
      <c r="G141" s="15" t="s">
        <v>334</v>
      </c>
    </row>
    <row r="142" customFormat="false" ht="15" hidden="false" customHeight="false" outlineLevel="0" collapsed="false">
      <c r="A142" s="0" t="s">
        <v>450</v>
      </c>
      <c r="B142" s="0" t="s">
        <v>189</v>
      </c>
      <c r="C142" s="14" t="n">
        <v>45865</v>
      </c>
      <c r="D142" s="0" t="n">
        <v>634.26</v>
      </c>
      <c r="E142" s="15" t="s">
        <v>72</v>
      </c>
      <c r="F142" s="15" t="s">
        <v>344</v>
      </c>
      <c r="G142" s="15" t="s">
        <v>287</v>
      </c>
    </row>
    <row r="143" customFormat="false" ht="15" hidden="false" customHeight="false" outlineLevel="0" collapsed="false">
      <c r="A143" s="0" t="s">
        <v>451</v>
      </c>
      <c r="B143" s="0" t="s">
        <v>167</v>
      </c>
      <c r="C143" s="14" t="n">
        <v>45661</v>
      </c>
      <c r="D143" s="0" t="n">
        <v>858.6</v>
      </c>
      <c r="E143" s="15" t="s">
        <v>72</v>
      </c>
      <c r="F143" s="15" t="s">
        <v>330</v>
      </c>
      <c r="G143" s="15" t="s">
        <v>287</v>
      </c>
    </row>
    <row r="144" customFormat="false" ht="15" hidden="false" customHeight="false" outlineLevel="0" collapsed="false">
      <c r="A144" s="0" t="s">
        <v>452</v>
      </c>
      <c r="B144" s="0" t="s">
        <v>149</v>
      </c>
      <c r="C144" s="14" t="n">
        <v>45849</v>
      </c>
      <c r="D144" s="0" t="n">
        <v>1495.05</v>
      </c>
      <c r="E144" s="15" t="s">
        <v>72</v>
      </c>
      <c r="F144" s="15" t="s">
        <v>344</v>
      </c>
      <c r="G144" s="15" t="s">
        <v>313</v>
      </c>
    </row>
    <row r="145" customFormat="false" ht="15" hidden="false" customHeight="false" outlineLevel="0" collapsed="false">
      <c r="A145" s="0" t="s">
        <v>453</v>
      </c>
      <c r="B145" s="0" t="s">
        <v>192</v>
      </c>
      <c r="C145" s="14" t="n">
        <v>46068</v>
      </c>
      <c r="D145" s="0" t="n">
        <v>4226.43</v>
      </c>
      <c r="E145" s="15" t="s">
        <v>91</v>
      </c>
      <c r="F145" s="15" t="s">
        <v>334</v>
      </c>
      <c r="G145" s="15" t="s">
        <v>302</v>
      </c>
    </row>
    <row r="146" customFormat="false" ht="15" hidden="false" customHeight="false" outlineLevel="0" collapsed="false">
      <c r="A146" s="0" t="s">
        <v>454</v>
      </c>
      <c r="B146" s="0" t="s">
        <v>167</v>
      </c>
      <c r="C146" s="14" t="n">
        <v>46123</v>
      </c>
      <c r="D146" s="0" t="n">
        <v>203.15</v>
      </c>
      <c r="E146" s="15" t="s">
        <v>72</v>
      </c>
      <c r="F146" s="15" t="s">
        <v>289</v>
      </c>
      <c r="G146" s="15" t="s">
        <v>287</v>
      </c>
    </row>
    <row r="147" customFormat="false" ht="15" hidden="false" customHeight="false" outlineLevel="0" collapsed="false">
      <c r="A147" s="0" t="s">
        <v>455</v>
      </c>
      <c r="B147" s="0" t="s">
        <v>70</v>
      </c>
      <c r="C147" s="14" t="n">
        <v>46177</v>
      </c>
      <c r="D147" s="0" t="n">
        <v>1362.11</v>
      </c>
      <c r="E147" s="15" t="s">
        <v>72</v>
      </c>
      <c r="F147" s="15" t="s">
        <v>304</v>
      </c>
      <c r="G147" s="15" t="s">
        <v>302</v>
      </c>
    </row>
    <row r="148" customFormat="false" ht="15" hidden="false" customHeight="false" outlineLevel="0" collapsed="false">
      <c r="A148" s="0" t="s">
        <v>456</v>
      </c>
      <c r="B148" s="0" t="s">
        <v>189</v>
      </c>
      <c r="C148" s="14" t="n">
        <v>45886</v>
      </c>
      <c r="D148" s="0" t="n">
        <v>3143.41</v>
      </c>
      <c r="E148" s="15" t="s">
        <v>72</v>
      </c>
      <c r="F148" s="15" t="s">
        <v>317</v>
      </c>
      <c r="G148" s="15" t="s">
        <v>290</v>
      </c>
    </row>
    <row r="149" customFormat="false" ht="15" hidden="false" customHeight="false" outlineLevel="0" collapsed="false">
      <c r="A149" s="0" t="s">
        <v>457</v>
      </c>
      <c r="B149" s="0" t="s">
        <v>89</v>
      </c>
      <c r="C149" s="14" t="n">
        <v>46065</v>
      </c>
      <c r="D149" s="0" t="n">
        <v>13042.87</v>
      </c>
      <c r="E149" s="15" t="s">
        <v>91</v>
      </c>
      <c r="F149" s="15" t="s">
        <v>284</v>
      </c>
      <c r="G149" s="15" t="s">
        <v>279</v>
      </c>
    </row>
    <row r="150" customFormat="false" ht="15" hidden="false" customHeight="false" outlineLevel="0" collapsed="false">
      <c r="A150" s="0" t="s">
        <v>458</v>
      </c>
      <c r="B150" s="0" t="s">
        <v>198</v>
      </c>
      <c r="C150" s="14" t="n">
        <v>45955</v>
      </c>
      <c r="D150" s="0" t="n">
        <v>4664.8</v>
      </c>
      <c r="E150" s="15" t="s">
        <v>86</v>
      </c>
      <c r="F150" s="15" t="s">
        <v>308</v>
      </c>
      <c r="G150" s="15" t="s">
        <v>282</v>
      </c>
    </row>
    <row r="151" customFormat="false" ht="15" hidden="false" customHeight="false" outlineLevel="0" collapsed="false">
      <c r="A151" s="0" t="s">
        <v>459</v>
      </c>
      <c r="B151" s="0" t="s">
        <v>125</v>
      </c>
      <c r="C151" s="14" t="n">
        <v>45986</v>
      </c>
      <c r="D151" s="0" t="n">
        <v>2106.89</v>
      </c>
      <c r="E151" s="15" t="s">
        <v>72</v>
      </c>
      <c r="F151" s="15" t="s">
        <v>296</v>
      </c>
      <c r="G151" s="15" t="s">
        <v>321</v>
      </c>
    </row>
    <row r="152" customFormat="false" ht="15" hidden="false" customHeight="false" outlineLevel="0" collapsed="false">
      <c r="A152" s="0" t="s">
        <v>460</v>
      </c>
      <c r="B152" s="0" t="s">
        <v>99</v>
      </c>
      <c r="C152" s="14" t="n">
        <v>45778</v>
      </c>
      <c r="D152" s="0" t="n">
        <v>7303.36</v>
      </c>
      <c r="E152" s="15" t="s">
        <v>101</v>
      </c>
      <c r="F152" s="15" t="s">
        <v>278</v>
      </c>
      <c r="G152" s="15" t="s">
        <v>321</v>
      </c>
    </row>
    <row r="153" customFormat="false" ht="15" hidden="false" customHeight="false" outlineLevel="0" collapsed="false">
      <c r="A153" s="0" t="s">
        <v>461</v>
      </c>
      <c r="B153" s="0" t="s">
        <v>70</v>
      </c>
      <c r="C153" s="14" t="n">
        <v>45777</v>
      </c>
      <c r="D153" s="0" t="n">
        <v>2285.28</v>
      </c>
      <c r="E153" s="15" t="s">
        <v>72</v>
      </c>
      <c r="F153" s="15" t="s">
        <v>346</v>
      </c>
      <c r="G153" s="15" t="s">
        <v>302</v>
      </c>
    </row>
    <row r="154" customFormat="false" ht="15" hidden="false" customHeight="false" outlineLevel="0" collapsed="false">
      <c r="A154" s="0" t="s">
        <v>462</v>
      </c>
      <c r="B154" s="0" t="s">
        <v>134</v>
      </c>
      <c r="C154" s="14" t="n">
        <v>45895</v>
      </c>
      <c r="D154" s="0" t="n">
        <v>298.46</v>
      </c>
      <c r="E154" s="15" t="s">
        <v>114</v>
      </c>
      <c r="F154" s="15" t="s">
        <v>351</v>
      </c>
      <c r="G154" s="15" t="s">
        <v>302</v>
      </c>
    </row>
    <row r="155" customFormat="false" ht="15" hidden="false" customHeight="false" outlineLevel="0" collapsed="false">
      <c r="A155" s="0" t="s">
        <v>463</v>
      </c>
      <c r="B155" s="0" t="s">
        <v>131</v>
      </c>
      <c r="C155" s="14" t="n">
        <v>45673</v>
      </c>
      <c r="D155" s="0" t="n">
        <v>2062.27</v>
      </c>
      <c r="E155" s="15" t="s">
        <v>101</v>
      </c>
      <c r="F155" s="15" t="s">
        <v>312</v>
      </c>
      <c r="G155" s="15" t="s">
        <v>279</v>
      </c>
    </row>
    <row r="156" customFormat="false" ht="15" hidden="false" customHeight="false" outlineLevel="0" collapsed="false">
      <c r="A156" s="0" t="s">
        <v>464</v>
      </c>
      <c r="B156" s="0" t="s">
        <v>155</v>
      </c>
      <c r="C156" s="14" t="n">
        <v>45841</v>
      </c>
      <c r="D156" s="0" t="n">
        <v>8142.95</v>
      </c>
      <c r="E156" s="15" t="s">
        <v>106</v>
      </c>
      <c r="F156" s="15" t="s">
        <v>304</v>
      </c>
      <c r="G156" s="15" t="s">
        <v>282</v>
      </c>
    </row>
    <row r="157" customFormat="false" ht="15" hidden="false" customHeight="false" outlineLevel="0" collapsed="false">
      <c r="A157" s="0" t="s">
        <v>465</v>
      </c>
      <c r="B157" s="0" t="s">
        <v>131</v>
      </c>
      <c r="C157" s="14" t="n">
        <v>46028</v>
      </c>
      <c r="D157" s="0" t="n">
        <v>499.89</v>
      </c>
      <c r="E157" s="15" t="s">
        <v>101</v>
      </c>
      <c r="F157" s="15" t="s">
        <v>294</v>
      </c>
      <c r="G157" s="15" t="s">
        <v>279</v>
      </c>
    </row>
    <row r="158" customFormat="false" ht="15" hidden="false" customHeight="false" outlineLevel="0" collapsed="false">
      <c r="A158" s="0" t="s">
        <v>466</v>
      </c>
      <c r="B158" s="0" t="s">
        <v>96</v>
      </c>
      <c r="C158" s="14" t="n">
        <v>45878</v>
      </c>
      <c r="D158" s="0" t="n">
        <v>2573.09</v>
      </c>
      <c r="E158" s="15" t="s">
        <v>77</v>
      </c>
      <c r="F158" s="15" t="s">
        <v>334</v>
      </c>
      <c r="G158" s="15" t="s">
        <v>287</v>
      </c>
    </row>
    <row r="159" customFormat="false" ht="15" hidden="false" customHeight="false" outlineLevel="0" collapsed="false">
      <c r="A159" s="0" t="s">
        <v>467</v>
      </c>
      <c r="B159" s="0" t="s">
        <v>75</v>
      </c>
      <c r="C159" s="14" t="n">
        <v>45747</v>
      </c>
      <c r="D159" s="0" t="n">
        <v>2238.27</v>
      </c>
      <c r="E159" s="15" t="s">
        <v>77</v>
      </c>
      <c r="F159" s="15" t="s">
        <v>300</v>
      </c>
      <c r="G159" s="15" t="s">
        <v>290</v>
      </c>
    </row>
    <row r="160" customFormat="false" ht="15" hidden="false" customHeight="false" outlineLevel="0" collapsed="false">
      <c r="A160" s="0" t="s">
        <v>468</v>
      </c>
      <c r="B160" s="0" t="s">
        <v>70</v>
      </c>
      <c r="C160" s="14" t="n">
        <v>45912</v>
      </c>
      <c r="D160" s="0" t="n">
        <v>332.16</v>
      </c>
      <c r="E160" s="15" t="s">
        <v>72</v>
      </c>
      <c r="F160" s="15" t="s">
        <v>298</v>
      </c>
      <c r="G160" s="15" t="s">
        <v>279</v>
      </c>
    </row>
    <row r="161" customFormat="false" ht="15" hidden="false" customHeight="false" outlineLevel="0" collapsed="false">
      <c r="A161" s="0" t="s">
        <v>469</v>
      </c>
      <c r="B161" s="0" t="s">
        <v>143</v>
      </c>
      <c r="C161" s="14" t="n">
        <v>45727</v>
      </c>
      <c r="D161" s="0" t="n">
        <v>390.27</v>
      </c>
      <c r="E161" s="15" t="s">
        <v>86</v>
      </c>
      <c r="F161" s="15" t="s">
        <v>308</v>
      </c>
      <c r="G161" s="15" t="s">
        <v>321</v>
      </c>
    </row>
    <row r="162" customFormat="false" ht="15" hidden="false" customHeight="false" outlineLevel="0" collapsed="false">
      <c r="A162" s="0" t="s">
        <v>470</v>
      </c>
      <c r="B162" s="0" t="s">
        <v>186</v>
      </c>
      <c r="C162" s="14" t="n">
        <v>45997</v>
      </c>
      <c r="D162" s="0" t="n">
        <v>783.53</v>
      </c>
      <c r="E162" s="15" t="s">
        <v>86</v>
      </c>
      <c r="F162" s="15" t="s">
        <v>312</v>
      </c>
      <c r="G162" s="15" t="s">
        <v>321</v>
      </c>
    </row>
    <row r="163" customFormat="false" ht="15" hidden="false" customHeight="false" outlineLevel="0" collapsed="false">
      <c r="A163" s="0" t="s">
        <v>471</v>
      </c>
      <c r="B163" s="0" t="s">
        <v>155</v>
      </c>
      <c r="C163" s="14" t="n">
        <v>45672</v>
      </c>
      <c r="D163" s="0" t="n">
        <v>2198.89</v>
      </c>
      <c r="E163" s="15" t="s">
        <v>106</v>
      </c>
      <c r="F163" s="15" t="s">
        <v>304</v>
      </c>
      <c r="G163" s="15" t="s">
        <v>321</v>
      </c>
    </row>
    <row r="164" customFormat="false" ht="15" hidden="false" customHeight="false" outlineLevel="0" collapsed="false">
      <c r="A164" s="0" t="s">
        <v>472</v>
      </c>
      <c r="B164" s="0" t="s">
        <v>112</v>
      </c>
      <c r="C164" s="14" t="n">
        <v>45872</v>
      </c>
      <c r="D164" s="0" t="n">
        <v>327.42</v>
      </c>
      <c r="E164" s="15" t="s">
        <v>114</v>
      </c>
      <c r="F164" s="15" t="s">
        <v>284</v>
      </c>
      <c r="G164" s="15" t="s">
        <v>302</v>
      </c>
    </row>
    <row r="165" customFormat="false" ht="15" hidden="false" customHeight="false" outlineLevel="0" collapsed="false">
      <c r="A165" s="0" t="s">
        <v>473</v>
      </c>
      <c r="B165" s="0" t="s">
        <v>122</v>
      </c>
      <c r="C165" s="14" t="n">
        <v>45965</v>
      </c>
      <c r="D165" s="0" t="n">
        <v>12338.24</v>
      </c>
      <c r="E165" s="15" t="s">
        <v>86</v>
      </c>
      <c r="F165" s="15" t="s">
        <v>317</v>
      </c>
      <c r="G165" s="15" t="s">
        <v>290</v>
      </c>
    </row>
    <row r="166" customFormat="false" ht="15" hidden="false" customHeight="false" outlineLevel="0" collapsed="false">
      <c r="A166" s="0" t="s">
        <v>474</v>
      </c>
      <c r="B166" s="0" t="s">
        <v>146</v>
      </c>
      <c r="C166" s="14" t="n">
        <v>45672</v>
      </c>
      <c r="D166" s="0" t="n">
        <v>1431.29</v>
      </c>
      <c r="E166" s="15" t="s">
        <v>114</v>
      </c>
      <c r="F166" s="15" t="s">
        <v>346</v>
      </c>
      <c r="G166" s="15" t="s">
        <v>290</v>
      </c>
    </row>
    <row r="167" customFormat="false" ht="15" hidden="false" customHeight="false" outlineLevel="0" collapsed="false">
      <c r="A167" s="0" t="s">
        <v>475</v>
      </c>
      <c r="B167" s="0" t="s">
        <v>164</v>
      </c>
      <c r="C167" s="14" t="n">
        <v>46008</v>
      </c>
      <c r="D167" s="0" t="n">
        <v>9458.18</v>
      </c>
      <c r="E167" s="15" t="s">
        <v>77</v>
      </c>
      <c r="F167" s="15" t="s">
        <v>294</v>
      </c>
      <c r="G167" s="15" t="s">
        <v>313</v>
      </c>
    </row>
    <row r="168" customFormat="false" ht="15" hidden="false" customHeight="false" outlineLevel="0" collapsed="false">
      <c r="A168" s="0" t="s">
        <v>476</v>
      </c>
      <c r="B168" s="0" t="s">
        <v>180</v>
      </c>
      <c r="C168" s="14" t="n">
        <v>45731</v>
      </c>
      <c r="D168" s="0" t="n">
        <v>354.26</v>
      </c>
      <c r="E168" s="15" t="s">
        <v>86</v>
      </c>
      <c r="F168" s="15" t="s">
        <v>304</v>
      </c>
      <c r="G168" s="15" t="s">
        <v>287</v>
      </c>
    </row>
    <row r="169" customFormat="false" ht="15" hidden="false" customHeight="false" outlineLevel="0" collapsed="false">
      <c r="A169" s="0" t="s">
        <v>477</v>
      </c>
      <c r="B169" s="0" t="s">
        <v>152</v>
      </c>
      <c r="C169" s="14" t="n">
        <v>45909</v>
      </c>
      <c r="D169" s="0" t="n">
        <v>1640.65</v>
      </c>
      <c r="E169" s="15" t="s">
        <v>101</v>
      </c>
      <c r="F169" s="15" t="s">
        <v>308</v>
      </c>
      <c r="G169" s="15" t="s">
        <v>302</v>
      </c>
    </row>
    <row r="170" customFormat="false" ht="15" hidden="false" customHeight="false" outlineLevel="0" collapsed="false">
      <c r="A170" s="0" t="s">
        <v>478</v>
      </c>
      <c r="B170" s="0" t="s">
        <v>112</v>
      </c>
      <c r="C170" s="14" t="n">
        <v>45685</v>
      </c>
      <c r="D170" s="0" t="n">
        <v>14457.87</v>
      </c>
      <c r="E170" s="15" t="s">
        <v>114</v>
      </c>
      <c r="F170" s="15" t="s">
        <v>278</v>
      </c>
      <c r="G170" s="15" t="s">
        <v>302</v>
      </c>
    </row>
    <row r="171" customFormat="false" ht="15" hidden="false" customHeight="false" outlineLevel="0" collapsed="false">
      <c r="A171" s="0" t="s">
        <v>479</v>
      </c>
      <c r="B171" s="0" t="s">
        <v>112</v>
      </c>
      <c r="C171" s="14" t="n">
        <v>45864</v>
      </c>
      <c r="D171" s="0" t="n">
        <v>3828.96</v>
      </c>
      <c r="E171" s="15" t="s">
        <v>114</v>
      </c>
      <c r="F171" s="15" t="s">
        <v>360</v>
      </c>
      <c r="G171" s="15" t="s">
        <v>360</v>
      </c>
    </row>
    <row r="172" customFormat="false" ht="15" hidden="false" customHeight="false" outlineLevel="0" collapsed="false">
      <c r="A172" s="0" t="s">
        <v>480</v>
      </c>
      <c r="B172" s="0" t="s">
        <v>155</v>
      </c>
      <c r="C172" s="14" t="n">
        <v>45773</v>
      </c>
      <c r="D172" s="0" t="n">
        <v>1542.51</v>
      </c>
      <c r="E172" s="15" t="s">
        <v>106</v>
      </c>
      <c r="F172" s="15" t="s">
        <v>289</v>
      </c>
      <c r="G172" s="15" t="s">
        <v>313</v>
      </c>
    </row>
    <row r="173" customFormat="false" ht="15" hidden="false" customHeight="false" outlineLevel="0" collapsed="false">
      <c r="A173" s="0" t="s">
        <v>481</v>
      </c>
      <c r="B173" s="0" t="s">
        <v>140</v>
      </c>
      <c r="C173" s="14" t="n">
        <v>45836</v>
      </c>
      <c r="D173" s="0" t="n">
        <v>1235.82</v>
      </c>
      <c r="E173" s="15" t="s">
        <v>72</v>
      </c>
      <c r="F173" s="15" t="s">
        <v>310</v>
      </c>
      <c r="G173" s="15" t="s">
        <v>302</v>
      </c>
    </row>
    <row r="174" customFormat="false" ht="15" hidden="false" customHeight="false" outlineLevel="0" collapsed="false">
      <c r="A174" s="0" t="s">
        <v>482</v>
      </c>
      <c r="B174" s="0" t="s">
        <v>89</v>
      </c>
      <c r="C174" s="14" t="n">
        <v>46072</v>
      </c>
      <c r="D174" s="0" t="n">
        <v>21822.22</v>
      </c>
      <c r="E174" s="15" t="s">
        <v>91</v>
      </c>
      <c r="F174" s="15" t="s">
        <v>281</v>
      </c>
      <c r="G174" s="15" t="s">
        <v>287</v>
      </c>
    </row>
    <row r="175" customFormat="false" ht="15" hidden="false" customHeight="false" outlineLevel="0" collapsed="false">
      <c r="A175" s="0" t="s">
        <v>483</v>
      </c>
      <c r="B175" s="0" t="s">
        <v>70</v>
      </c>
      <c r="C175" s="14" t="n">
        <v>45864</v>
      </c>
      <c r="D175" s="0" t="n">
        <v>3828.8</v>
      </c>
      <c r="E175" s="15" t="s">
        <v>72</v>
      </c>
      <c r="F175" s="15" t="s">
        <v>300</v>
      </c>
      <c r="G175" s="15" t="s">
        <v>302</v>
      </c>
    </row>
    <row r="176" customFormat="false" ht="15" hidden="false" customHeight="false" outlineLevel="0" collapsed="false">
      <c r="A176" s="0" t="s">
        <v>484</v>
      </c>
      <c r="B176" s="0" t="s">
        <v>152</v>
      </c>
      <c r="C176" s="14" t="n">
        <v>46067</v>
      </c>
      <c r="D176" s="0" t="n">
        <v>2084.01</v>
      </c>
      <c r="E176" s="15" t="s">
        <v>101</v>
      </c>
      <c r="F176" s="15" t="s">
        <v>284</v>
      </c>
      <c r="G176" s="15" t="s">
        <v>321</v>
      </c>
    </row>
    <row r="177" customFormat="false" ht="15" hidden="false" customHeight="false" outlineLevel="0" collapsed="false">
      <c r="A177" s="0" t="s">
        <v>485</v>
      </c>
      <c r="B177" s="0" t="s">
        <v>80</v>
      </c>
      <c r="C177" s="14" t="n">
        <v>46111</v>
      </c>
      <c r="D177" s="0" t="n">
        <v>1489.22</v>
      </c>
      <c r="E177" s="15" t="s">
        <v>72</v>
      </c>
      <c r="F177" s="15" t="s">
        <v>310</v>
      </c>
      <c r="G177" s="15" t="s">
        <v>302</v>
      </c>
    </row>
    <row r="178" customFormat="false" ht="15" hidden="false" customHeight="false" outlineLevel="0" collapsed="false">
      <c r="A178" s="0" t="s">
        <v>486</v>
      </c>
      <c r="B178" s="0" t="s">
        <v>186</v>
      </c>
      <c r="C178" s="14" t="n">
        <v>45795</v>
      </c>
      <c r="D178" s="0" t="n">
        <v>1056.69</v>
      </c>
      <c r="E178" s="15" t="s">
        <v>86</v>
      </c>
      <c r="F178" s="15" t="s">
        <v>296</v>
      </c>
      <c r="G178" s="15" t="s">
        <v>290</v>
      </c>
    </row>
    <row r="179" customFormat="false" ht="15" hidden="false" customHeight="false" outlineLevel="0" collapsed="false">
      <c r="A179" s="0" t="s">
        <v>487</v>
      </c>
      <c r="B179" s="0" t="s">
        <v>104</v>
      </c>
      <c r="C179" s="14" t="n">
        <v>45702</v>
      </c>
      <c r="D179" s="0" t="n">
        <v>3628.81</v>
      </c>
      <c r="E179" s="15" t="s">
        <v>106</v>
      </c>
      <c r="F179" s="15" t="s">
        <v>298</v>
      </c>
      <c r="G179" s="15" t="s">
        <v>287</v>
      </c>
    </row>
    <row r="180" customFormat="false" ht="15" hidden="false" customHeight="false" outlineLevel="0" collapsed="false">
      <c r="A180" s="0" t="s">
        <v>488</v>
      </c>
      <c r="B180" s="0" t="s">
        <v>183</v>
      </c>
      <c r="C180" s="14" t="n">
        <v>45668</v>
      </c>
      <c r="D180" s="0" t="n">
        <v>588.95</v>
      </c>
      <c r="E180" s="15" t="s">
        <v>86</v>
      </c>
      <c r="F180" s="15" t="s">
        <v>334</v>
      </c>
      <c r="G180" s="15" t="s">
        <v>292</v>
      </c>
    </row>
    <row r="181" customFormat="false" ht="15" hidden="false" customHeight="false" outlineLevel="0" collapsed="false">
      <c r="A181" s="0" t="s">
        <v>489</v>
      </c>
      <c r="B181" s="0" t="s">
        <v>131</v>
      </c>
      <c r="C181" s="14" t="n">
        <v>45951</v>
      </c>
      <c r="D181" s="0" t="n">
        <v>2268.78</v>
      </c>
      <c r="E181" s="15" t="s">
        <v>101</v>
      </c>
      <c r="F181" s="15" t="s">
        <v>308</v>
      </c>
      <c r="G181" s="15" t="s">
        <v>302</v>
      </c>
    </row>
    <row r="182" customFormat="false" ht="15" hidden="false" customHeight="false" outlineLevel="0" collapsed="false">
      <c r="A182" s="0" t="s">
        <v>490</v>
      </c>
      <c r="B182" s="0" t="s">
        <v>143</v>
      </c>
      <c r="C182" s="14" t="n">
        <v>46202</v>
      </c>
      <c r="D182" s="0" t="n">
        <v>780.2</v>
      </c>
      <c r="E182" s="15" t="s">
        <v>86</v>
      </c>
      <c r="F182" s="15" t="s">
        <v>317</v>
      </c>
      <c r="G182" s="15" t="s">
        <v>290</v>
      </c>
    </row>
    <row r="183" customFormat="false" ht="15" hidden="false" customHeight="false" outlineLevel="0" collapsed="false">
      <c r="A183" s="0" t="s">
        <v>491</v>
      </c>
      <c r="B183" s="0" t="s">
        <v>180</v>
      </c>
      <c r="C183" s="14" t="n">
        <v>45848</v>
      </c>
      <c r="D183" s="0" t="n">
        <v>560.32</v>
      </c>
      <c r="E183" s="15" t="s">
        <v>86</v>
      </c>
      <c r="F183" s="15" t="s">
        <v>344</v>
      </c>
      <c r="G183" s="15" t="s">
        <v>279</v>
      </c>
    </row>
    <row r="184" customFormat="false" ht="15" hidden="false" customHeight="false" outlineLevel="0" collapsed="false">
      <c r="A184" s="0" t="s">
        <v>492</v>
      </c>
      <c r="B184" s="0" t="s">
        <v>89</v>
      </c>
      <c r="C184" s="14" t="n">
        <v>46012</v>
      </c>
      <c r="D184" s="0" t="n">
        <v>1987.68</v>
      </c>
      <c r="E184" s="15" t="s">
        <v>91</v>
      </c>
      <c r="F184" s="15" t="s">
        <v>298</v>
      </c>
      <c r="G184" s="15" t="s">
        <v>287</v>
      </c>
    </row>
    <row r="185" customFormat="false" ht="15" hidden="false" customHeight="false" outlineLevel="0" collapsed="false">
      <c r="A185" s="0" t="s">
        <v>493</v>
      </c>
      <c r="B185" s="0" t="s">
        <v>99</v>
      </c>
      <c r="C185" s="14" t="n">
        <v>46083</v>
      </c>
      <c r="D185" s="0" t="n">
        <v>795.03</v>
      </c>
      <c r="E185" s="15" t="s">
        <v>101</v>
      </c>
      <c r="F185" s="15" t="s">
        <v>306</v>
      </c>
      <c r="G185" s="15" t="s">
        <v>282</v>
      </c>
    </row>
    <row r="186" customFormat="false" ht="15" hidden="false" customHeight="false" outlineLevel="0" collapsed="false">
      <c r="A186" s="0" t="s">
        <v>494</v>
      </c>
      <c r="B186" s="0" t="s">
        <v>195</v>
      </c>
      <c r="C186" s="14" t="n">
        <v>46013</v>
      </c>
      <c r="D186" s="0" t="n">
        <v>1829.81</v>
      </c>
      <c r="E186" s="15" t="s">
        <v>114</v>
      </c>
      <c r="F186" s="15" t="s">
        <v>327</v>
      </c>
      <c r="G186" s="15" t="s">
        <v>292</v>
      </c>
    </row>
    <row r="187" customFormat="false" ht="15" hidden="false" customHeight="false" outlineLevel="0" collapsed="false">
      <c r="A187" s="0" t="s">
        <v>495</v>
      </c>
      <c r="B187" s="0" t="s">
        <v>131</v>
      </c>
      <c r="C187" s="14" t="n">
        <v>46069</v>
      </c>
      <c r="D187" s="0" t="n">
        <v>3351.54</v>
      </c>
      <c r="E187" s="15" t="s">
        <v>101</v>
      </c>
      <c r="F187" s="15" t="s">
        <v>304</v>
      </c>
      <c r="G187" s="15" t="s">
        <v>290</v>
      </c>
    </row>
    <row r="188" customFormat="false" ht="15" hidden="false" customHeight="false" outlineLevel="0" collapsed="false">
      <c r="A188" s="0" t="s">
        <v>496</v>
      </c>
      <c r="B188" s="0" t="s">
        <v>116</v>
      </c>
      <c r="C188" s="14" t="n">
        <v>46175</v>
      </c>
      <c r="D188" s="0" t="n">
        <v>2450.97</v>
      </c>
      <c r="E188" s="15" t="s">
        <v>86</v>
      </c>
      <c r="F188" s="15" t="s">
        <v>278</v>
      </c>
      <c r="G188" s="15" t="s">
        <v>279</v>
      </c>
    </row>
    <row r="189" customFormat="false" ht="15" hidden="false" customHeight="false" outlineLevel="0" collapsed="false">
      <c r="A189" s="0" t="s">
        <v>497</v>
      </c>
      <c r="B189" s="0" t="s">
        <v>99</v>
      </c>
      <c r="C189" s="14" t="n">
        <v>45766</v>
      </c>
      <c r="D189" s="0" t="n">
        <v>1825.14</v>
      </c>
      <c r="E189" s="15" t="s">
        <v>101</v>
      </c>
      <c r="F189" s="15" t="s">
        <v>286</v>
      </c>
      <c r="G189" s="15" t="s">
        <v>313</v>
      </c>
    </row>
    <row r="190" customFormat="false" ht="15" hidden="false" customHeight="false" outlineLevel="0" collapsed="false">
      <c r="A190" s="0" t="s">
        <v>498</v>
      </c>
      <c r="B190" s="0" t="s">
        <v>146</v>
      </c>
      <c r="C190" s="14" t="n">
        <v>45669</v>
      </c>
      <c r="D190" s="0" t="n">
        <v>18079.21</v>
      </c>
      <c r="E190" s="15" t="s">
        <v>114</v>
      </c>
      <c r="F190" s="15" t="s">
        <v>289</v>
      </c>
      <c r="G190" s="15" t="s">
        <v>290</v>
      </c>
    </row>
    <row r="191" customFormat="false" ht="15" hidden="false" customHeight="false" outlineLevel="0" collapsed="false">
      <c r="A191" s="0" t="s">
        <v>499</v>
      </c>
      <c r="B191" s="0" t="s">
        <v>112</v>
      </c>
      <c r="C191" s="14" t="n">
        <v>45741</v>
      </c>
      <c r="D191" s="0" t="n">
        <v>342.72</v>
      </c>
      <c r="E191" s="15" t="s">
        <v>114</v>
      </c>
      <c r="F191" s="15" t="s">
        <v>344</v>
      </c>
      <c r="G191" s="15" t="s">
        <v>287</v>
      </c>
    </row>
    <row r="192" customFormat="false" ht="15" hidden="false" customHeight="false" outlineLevel="0" collapsed="false">
      <c r="A192" s="0" t="s">
        <v>500</v>
      </c>
      <c r="B192" s="0" t="s">
        <v>96</v>
      </c>
      <c r="C192" s="14" t="n">
        <v>45726</v>
      </c>
      <c r="D192" s="0" t="n">
        <v>781.51</v>
      </c>
      <c r="E192" s="15" t="s">
        <v>77</v>
      </c>
      <c r="F192" s="15" t="s">
        <v>296</v>
      </c>
      <c r="G192" s="15" t="s">
        <v>302</v>
      </c>
    </row>
    <row r="193" customFormat="false" ht="15" hidden="false" customHeight="false" outlineLevel="0" collapsed="false">
      <c r="A193" s="0" t="s">
        <v>501</v>
      </c>
      <c r="B193" s="0" t="s">
        <v>143</v>
      </c>
      <c r="C193" s="14" t="n">
        <v>46022</v>
      </c>
      <c r="D193" s="0" t="n">
        <v>5652.95</v>
      </c>
      <c r="E193" s="15" t="s">
        <v>86</v>
      </c>
      <c r="F193" s="15" t="s">
        <v>306</v>
      </c>
      <c r="G193" s="15" t="s">
        <v>302</v>
      </c>
    </row>
    <row r="194" customFormat="false" ht="15" hidden="false" customHeight="false" outlineLevel="0" collapsed="false">
      <c r="A194" s="0" t="s">
        <v>502</v>
      </c>
      <c r="B194" s="0" t="s">
        <v>109</v>
      </c>
      <c r="C194" s="14" t="n">
        <v>45965</v>
      </c>
      <c r="D194" s="0" t="n">
        <v>133.11</v>
      </c>
      <c r="E194" s="15" t="s">
        <v>101</v>
      </c>
      <c r="F194" s="15" t="s">
        <v>284</v>
      </c>
      <c r="G194" s="15" t="s">
        <v>290</v>
      </c>
    </row>
    <row r="195" customFormat="false" ht="15" hidden="false" customHeight="false" outlineLevel="0" collapsed="false">
      <c r="A195" s="0" t="s">
        <v>503</v>
      </c>
      <c r="B195" s="0" t="s">
        <v>119</v>
      </c>
      <c r="C195" s="14" t="n">
        <v>45776</v>
      </c>
      <c r="D195" s="0" t="n">
        <v>17090.48</v>
      </c>
      <c r="E195" s="15" t="s">
        <v>86</v>
      </c>
      <c r="F195" s="15" t="s">
        <v>342</v>
      </c>
      <c r="G195" s="15" t="s">
        <v>279</v>
      </c>
    </row>
    <row r="196" customFormat="false" ht="15" hidden="false" customHeight="false" outlineLevel="0" collapsed="false">
      <c r="A196" s="0" t="s">
        <v>504</v>
      </c>
      <c r="B196" s="0" t="s">
        <v>125</v>
      </c>
      <c r="C196" s="14" t="n">
        <v>46039</v>
      </c>
      <c r="D196" s="0" t="n">
        <v>8157.32</v>
      </c>
      <c r="E196" s="15" t="s">
        <v>72</v>
      </c>
      <c r="F196" s="15" t="s">
        <v>289</v>
      </c>
      <c r="G196" s="15" t="s">
        <v>279</v>
      </c>
    </row>
    <row r="197" customFormat="false" ht="15" hidden="false" customHeight="false" outlineLevel="0" collapsed="false">
      <c r="A197" s="0" t="s">
        <v>505</v>
      </c>
      <c r="B197" s="0" t="s">
        <v>134</v>
      </c>
      <c r="C197" s="14" t="n">
        <v>46075</v>
      </c>
      <c r="D197" s="0" t="n">
        <v>547.49</v>
      </c>
      <c r="E197" s="15" t="s">
        <v>114</v>
      </c>
      <c r="F197" s="15" t="s">
        <v>342</v>
      </c>
      <c r="G197" s="15" t="s">
        <v>313</v>
      </c>
    </row>
    <row r="198" customFormat="false" ht="15" hidden="false" customHeight="false" outlineLevel="0" collapsed="false">
      <c r="A198" s="0" t="s">
        <v>506</v>
      </c>
      <c r="B198" s="0" t="s">
        <v>189</v>
      </c>
      <c r="C198" s="14" t="n">
        <v>45749</v>
      </c>
      <c r="D198" s="0" t="n">
        <v>10027.78</v>
      </c>
      <c r="E198" s="15" t="s">
        <v>72</v>
      </c>
      <c r="F198" s="15" t="s">
        <v>360</v>
      </c>
      <c r="G198" s="15" t="s">
        <v>302</v>
      </c>
    </row>
    <row r="199" customFormat="false" ht="15" hidden="false" customHeight="false" outlineLevel="0" collapsed="false">
      <c r="A199" s="0" t="s">
        <v>507</v>
      </c>
      <c r="B199" s="0" t="s">
        <v>174</v>
      </c>
      <c r="C199" s="14" t="n">
        <v>45988</v>
      </c>
      <c r="D199" s="0" t="n">
        <v>3204.84</v>
      </c>
      <c r="E199" s="15" t="s">
        <v>91</v>
      </c>
      <c r="F199" s="15" t="s">
        <v>308</v>
      </c>
      <c r="G199" s="15" t="s">
        <v>302</v>
      </c>
    </row>
    <row r="200" customFormat="false" ht="15" hidden="false" customHeight="false" outlineLevel="0" collapsed="false">
      <c r="A200" s="0" t="s">
        <v>508</v>
      </c>
      <c r="B200" s="0" t="s">
        <v>189</v>
      </c>
      <c r="C200" s="14" t="n">
        <v>46065</v>
      </c>
      <c r="D200" s="0" t="n">
        <v>2554.75</v>
      </c>
      <c r="E200" s="15" t="s">
        <v>72</v>
      </c>
      <c r="F200" s="15" t="s">
        <v>284</v>
      </c>
      <c r="G200" s="15" t="s">
        <v>302</v>
      </c>
    </row>
    <row r="201" customFormat="false" ht="15" hidden="false" customHeight="false" outlineLevel="0" collapsed="false">
      <c r="A201" s="0" t="s">
        <v>509</v>
      </c>
      <c r="B201" s="0" t="s">
        <v>189</v>
      </c>
      <c r="C201" s="14" t="n">
        <v>45720</v>
      </c>
      <c r="D201" s="0" t="n">
        <v>1471.18</v>
      </c>
      <c r="E201" s="15" t="s">
        <v>72</v>
      </c>
      <c r="F201" s="15" t="s">
        <v>342</v>
      </c>
      <c r="G201" s="15" t="s">
        <v>287</v>
      </c>
    </row>
    <row r="202" customFormat="false" ht="15" hidden="false" customHeight="false" outlineLevel="0" collapsed="false">
      <c r="A202" s="0" t="s">
        <v>510</v>
      </c>
      <c r="B202" s="0" t="s">
        <v>93</v>
      </c>
      <c r="C202" s="14" t="n">
        <v>46104</v>
      </c>
      <c r="D202" s="0" t="n">
        <v>682.63</v>
      </c>
      <c r="E202" s="15" t="s">
        <v>86</v>
      </c>
      <c r="F202" s="15" t="s">
        <v>327</v>
      </c>
      <c r="G202" s="15" t="s">
        <v>292</v>
      </c>
    </row>
    <row r="203" customFormat="false" ht="15" hidden="false" customHeight="false" outlineLevel="0" collapsed="false">
      <c r="A203" s="0" t="s">
        <v>511</v>
      </c>
      <c r="B203" s="0" t="s">
        <v>70</v>
      </c>
      <c r="C203" s="14" t="n">
        <v>46183</v>
      </c>
      <c r="D203" s="0" t="n">
        <v>2160.46</v>
      </c>
      <c r="E203" s="15" t="s">
        <v>72</v>
      </c>
      <c r="F203" s="15" t="s">
        <v>304</v>
      </c>
      <c r="G203" s="15" t="s">
        <v>321</v>
      </c>
    </row>
    <row r="204" customFormat="false" ht="15" hidden="false" customHeight="false" outlineLevel="0" collapsed="false">
      <c r="A204" s="0" t="s">
        <v>512</v>
      </c>
      <c r="B204" s="0" t="s">
        <v>140</v>
      </c>
      <c r="C204" s="14" t="n">
        <v>45716</v>
      </c>
      <c r="D204" s="0" t="n">
        <v>7251.89</v>
      </c>
      <c r="E204" s="15" t="s">
        <v>72</v>
      </c>
      <c r="F204" s="15" t="s">
        <v>300</v>
      </c>
      <c r="G204" s="15" t="s">
        <v>290</v>
      </c>
    </row>
    <row r="205" customFormat="false" ht="15" hidden="false" customHeight="false" outlineLevel="0" collapsed="false">
      <c r="A205" s="0" t="s">
        <v>513</v>
      </c>
      <c r="B205" s="0" t="s">
        <v>104</v>
      </c>
      <c r="C205" s="14" t="n">
        <v>45671</v>
      </c>
      <c r="D205" s="0" t="n">
        <v>4743.21</v>
      </c>
      <c r="E205" s="15" t="s">
        <v>106</v>
      </c>
      <c r="F205" s="15" t="s">
        <v>381</v>
      </c>
      <c r="G205" s="15" t="s">
        <v>292</v>
      </c>
    </row>
    <row r="206" customFormat="false" ht="15" hidden="false" customHeight="false" outlineLevel="0" collapsed="false">
      <c r="A206" s="0" t="s">
        <v>514</v>
      </c>
      <c r="B206" s="0" t="s">
        <v>84</v>
      </c>
      <c r="C206" s="14" t="n">
        <v>45828</v>
      </c>
      <c r="D206" s="0" t="n">
        <v>1892.29</v>
      </c>
      <c r="E206" s="15" t="s">
        <v>86</v>
      </c>
      <c r="F206" s="15" t="s">
        <v>381</v>
      </c>
      <c r="G206" s="15" t="s">
        <v>302</v>
      </c>
    </row>
    <row r="207" customFormat="false" ht="15" hidden="false" customHeight="false" outlineLevel="0" collapsed="false">
      <c r="A207" s="0" t="s">
        <v>515</v>
      </c>
      <c r="B207" s="0" t="s">
        <v>89</v>
      </c>
      <c r="C207" s="14" t="n">
        <v>46027</v>
      </c>
      <c r="D207" s="0" t="n">
        <v>1074.95</v>
      </c>
      <c r="E207" s="15" t="s">
        <v>91</v>
      </c>
      <c r="F207" s="15" t="s">
        <v>294</v>
      </c>
      <c r="G207" s="15" t="s">
        <v>313</v>
      </c>
    </row>
    <row r="208" customFormat="false" ht="15" hidden="false" customHeight="false" outlineLevel="0" collapsed="false">
      <c r="A208" s="0" t="s">
        <v>516</v>
      </c>
      <c r="B208" s="0" t="s">
        <v>161</v>
      </c>
      <c r="C208" s="14" t="n">
        <v>46180</v>
      </c>
      <c r="D208" s="0" t="n">
        <v>496.96</v>
      </c>
      <c r="E208" s="15" t="s">
        <v>72</v>
      </c>
      <c r="F208" s="15" t="s">
        <v>334</v>
      </c>
      <c r="G208" s="15" t="s">
        <v>287</v>
      </c>
    </row>
    <row r="209" customFormat="false" ht="15" hidden="false" customHeight="false" outlineLevel="0" collapsed="false">
      <c r="A209" s="0" t="s">
        <v>517</v>
      </c>
      <c r="B209" s="0" t="s">
        <v>183</v>
      </c>
      <c r="C209" s="14" t="n">
        <v>45874</v>
      </c>
      <c r="D209" s="0" t="n">
        <v>759.35</v>
      </c>
      <c r="E209" s="15" t="s">
        <v>86</v>
      </c>
      <c r="F209" s="15" t="s">
        <v>360</v>
      </c>
      <c r="G209" s="15" t="s">
        <v>282</v>
      </c>
    </row>
    <row r="210" customFormat="false" ht="15" hidden="false" customHeight="false" outlineLevel="0" collapsed="false">
      <c r="A210" s="0" t="s">
        <v>518</v>
      </c>
      <c r="B210" s="0" t="s">
        <v>171</v>
      </c>
      <c r="C210" s="14" t="n">
        <v>46047</v>
      </c>
      <c r="D210" s="0" t="n">
        <v>2745.78</v>
      </c>
      <c r="E210" s="15" t="s">
        <v>106</v>
      </c>
      <c r="F210" s="15" t="s">
        <v>296</v>
      </c>
      <c r="G210" s="15" t="s">
        <v>290</v>
      </c>
    </row>
    <row r="211" customFormat="false" ht="15" hidden="false" customHeight="false" outlineLevel="0" collapsed="false">
      <c r="A211" s="0" t="s">
        <v>519</v>
      </c>
      <c r="B211" s="0" t="s">
        <v>112</v>
      </c>
      <c r="C211" s="14" t="n">
        <v>45699</v>
      </c>
      <c r="D211" s="0" t="n">
        <v>1562.55</v>
      </c>
      <c r="E211" s="15" t="s">
        <v>114</v>
      </c>
      <c r="F211" s="15" t="s">
        <v>344</v>
      </c>
      <c r="G211" s="15" t="s">
        <v>321</v>
      </c>
    </row>
    <row r="212" customFormat="false" ht="15" hidden="false" customHeight="false" outlineLevel="0" collapsed="false">
      <c r="A212" s="0" t="s">
        <v>520</v>
      </c>
      <c r="B212" s="0" t="s">
        <v>140</v>
      </c>
      <c r="C212" s="14" t="n">
        <v>46034</v>
      </c>
      <c r="D212" s="0" t="n">
        <v>1854.08</v>
      </c>
      <c r="E212" s="15" t="s">
        <v>72</v>
      </c>
      <c r="F212" s="15" t="s">
        <v>337</v>
      </c>
      <c r="G212" s="15" t="s">
        <v>313</v>
      </c>
    </row>
    <row r="213" customFormat="false" ht="15" hidden="false" customHeight="false" outlineLevel="0" collapsed="false">
      <c r="A213" s="0" t="s">
        <v>521</v>
      </c>
      <c r="B213" s="0" t="s">
        <v>125</v>
      </c>
      <c r="C213" s="14" t="n">
        <v>45999</v>
      </c>
      <c r="D213" s="0" t="n">
        <v>4069.45</v>
      </c>
      <c r="E213" s="15" t="s">
        <v>72</v>
      </c>
      <c r="F213" s="15" t="s">
        <v>351</v>
      </c>
      <c r="G213" s="15" t="s">
        <v>287</v>
      </c>
    </row>
    <row r="214" customFormat="false" ht="15" hidden="false" customHeight="false" outlineLevel="0" collapsed="false">
      <c r="A214" s="0" t="s">
        <v>522</v>
      </c>
      <c r="B214" s="0" t="s">
        <v>84</v>
      </c>
      <c r="C214" s="14" t="n">
        <v>45713</v>
      </c>
      <c r="D214" s="0" t="n">
        <v>2117.88</v>
      </c>
      <c r="E214" s="15" t="s">
        <v>86</v>
      </c>
      <c r="F214" s="15" t="s">
        <v>298</v>
      </c>
      <c r="G214" s="15" t="s">
        <v>292</v>
      </c>
    </row>
    <row r="215" customFormat="false" ht="15" hidden="false" customHeight="false" outlineLevel="0" collapsed="false">
      <c r="A215" s="0" t="s">
        <v>523</v>
      </c>
      <c r="B215" s="0" t="s">
        <v>70</v>
      </c>
      <c r="C215" s="14" t="n">
        <v>46079</v>
      </c>
      <c r="D215" s="0" t="n">
        <v>266.54</v>
      </c>
      <c r="E215" s="15" t="s">
        <v>72</v>
      </c>
      <c r="F215" s="15" t="s">
        <v>346</v>
      </c>
      <c r="G215" s="15" t="s">
        <v>302</v>
      </c>
    </row>
    <row r="216" customFormat="false" ht="15" hidden="false" customHeight="false" outlineLevel="0" collapsed="false">
      <c r="A216" s="0" t="s">
        <v>524</v>
      </c>
      <c r="B216" s="0" t="s">
        <v>128</v>
      </c>
      <c r="C216" s="14" t="n">
        <v>46121</v>
      </c>
      <c r="D216" s="0" t="n">
        <v>1071.3</v>
      </c>
      <c r="E216" s="15" t="s">
        <v>101</v>
      </c>
      <c r="F216" s="15" t="s">
        <v>294</v>
      </c>
      <c r="G216" s="15" t="s">
        <v>282</v>
      </c>
    </row>
    <row r="217" customFormat="false" ht="15" hidden="false" customHeight="false" outlineLevel="0" collapsed="false">
      <c r="A217" s="0" t="s">
        <v>525</v>
      </c>
      <c r="B217" s="0" t="s">
        <v>128</v>
      </c>
      <c r="C217" s="14" t="n">
        <v>45985</v>
      </c>
      <c r="D217" s="0" t="n">
        <v>728.71</v>
      </c>
      <c r="E217" s="15" t="s">
        <v>101</v>
      </c>
      <c r="F217" s="15" t="s">
        <v>300</v>
      </c>
      <c r="G217" s="15" t="s">
        <v>287</v>
      </c>
    </row>
    <row r="218" customFormat="false" ht="15" hidden="false" customHeight="false" outlineLevel="0" collapsed="false">
      <c r="A218" s="0" t="s">
        <v>526</v>
      </c>
      <c r="B218" s="0" t="s">
        <v>149</v>
      </c>
      <c r="C218" s="14" t="n">
        <v>45723</v>
      </c>
      <c r="D218" s="0" t="n">
        <v>3728.38</v>
      </c>
      <c r="E218" s="15" t="s">
        <v>72</v>
      </c>
      <c r="F218" s="15" t="s">
        <v>278</v>
      </c>
      <c r="G218" s="15" t="s">
        <v>321</v>
      </c>
    </row>
    <row r="219" customFormat="false" ht="15" hidden="false" customHeight="false" outlineLevel="0" collapsed="false">
      <c r="A219" s="0" t="s">
        <v>527</v>
      </c>
      <c r="B219" s="0" t="s">
        <v>128</v>
      </c>
      <c r="C219" s="14" t="n">
        <v>46194</v>
      </c>
      <c r="D219" s="0" t="n">
        <v>5712.19</v>
      </c>
      <c r="E219" s="15" t="s">
        <v>101</v>
      </c>
      <c r="F219" s="15" t="s">
        <v>296</v>
      </c>
      <c r="G219" s="15" t="s">
        <v>287</v>
      </c>
    </row>
    <row r="220" customFormat="false" ht="15" hidden="false" customHeight="false" outlineLevel="0" collapsed="false">
      <c r="A220" s="0" t="s">
        <v>528</v>
      </c>
      <c r="B220" s="0" t="s">
        <v>174</v>
      </c>
      <c r="C220" s="14" t="n">
        <v>46084</v>
      </c>
      <c r="D220" s="0" t="n">
        <v>3449.51</v>
      </c>
      <c r="E220" s="15" t="s">
        <v>91</v>
      </c>
      <c r="F220" s="15" t="s">
        <v>278</v>
      </c>
      <c r="G220" s="15" t="s">
        <v>302</v>
      </c>
    </row>
    <row r="221" customFormat="false" ht="15" hidden="false" customHeight="false" outlineLevel="0" collapsed="false">
      <c r="A221" s="0" t="s">
        <v>529</v>
      </c>
      <c r="B221" s="0" t="s">
        <v>134</v>
      </c>
      <c r="C221" s="14" t="n">
        <v>45847</v>
      </c>
      <c r="D221" s="0" t="n">
        <v>1442.03</v>
      </c>
      <c r="E221" s="15" t="s">
        <v>114</v>
      </c>
      <c r="F221" s="15" t="s">
        <v>306</v>
      </c>
      <c r="G221" s="15" t="s">
        <v>287</v>
      </c>
    </row>
    <row r="222" customFormat="false" ht="15" hidden="false" customHeight="false" outlineLevel="0" collapsed="false">
      <c r="A222" s="0" t="s">
        <v>530</v>
      </c>
      <c r="B222" s="0" t="s">
        <v>96</v>
      </c>
      <c r="C222" s="14" t="n">
        <v>45891</v>
      </c>
      <c r="D222" s="0" t="n">
        <v>14974.83</v>
      </c>
      <c r="E222" s="15" t="s">
        <v>77</v>
      </c>
      <c r="F222" s="15" t="s">
        <v>296</v>
      </c>
      <c r="G222" s="15" t="s">
        <v>296</v>
      </c>
    </row>
    <row r="223" customFormat="false" ht="15" hidden="false" customHeight="false" outlineLevel="0" collapsed="false">
      <c r="A223" s="0" t="s">
        <v>531</v>
      </c>
      <c r="B223" s="0" t="s">
        <v>177</v>
      </c>
      <c r="C223" s="14" t="n">
        <v>45859</v>
      </c>
      <c r="D223" s="0" t="n">
        <v>877.63</v>
      </c>
      <c r="E223" s="15" t="s">
        <v>77</v>
      </c>
      <c r="F223" s="15" t="s">
        <v>334</v>
      </c>
      <c r="G223" s="15" t="s">
        <v>279</v>
      </c>
    </row>
    <row r="224" customFormat="false" ht="15" hidden="false" customHeight="false" outlineLevel="0" collapsed="false">
      <c r="A224" s="0" t="s">
        <v>532</v>
      </c>
      <c r="B224" s="0" t="s">
        <v>180</v>
      </c>
      <c r="C224" s="14" t="n">
        <v>45933</v>
      </c>
      <c r="D224" s="0" t="n">
        <v>2542.66</v>
      </c>
      <c r="E224" s="15" t="s">
        <v>86</v>
      </c>
      <c r="F224" s="15" t="s">
        <v>306</v>
      </c>
      <c r="G224" s="15" t="s">
        <v>292</v>
      </c>
    </row>
    <row r="225" customFormat="false" ht="15" hidden="false" customHeight="false" outlineLevel="0" collapsed="false">
      <c r="A225" s="0" t="s">
        <v>533</v>
      </c>
      <c r="B225" s="0" t="s">
        <v>96</v>
      </c>
      <c r="C225" s="14" t="n">
        <v>45843</v>
      </c>
      <c r="D225" s="0" t="n">
        <v>3210.01</v>
      </c>
      <c r="E225" s="15" t="s">
        <v>77</v>
      </c>
      <c r="F225" s="15" t="s">
        <v>286</v>
      </c>
      <c r="G225" s="15" t="s">
        <v>279</v>
      </c>
    </row>
    <row r="226" customFormat="false" ht="15" hidden="false" customHeight="false" outlineLevel="0" collapsed="false">
      <c r="A226" s="0" t="s">
        <v>534</v>
      </c>
      <c r="B226" s="0" t="s">
        <v>131</v>
      </c>
      <c r="C226" s="14" t="n">
        <v>46121</v>
      </c>
      <c r="D226" s="0" t="n">
        <v>610.78</v>
      </c>
      <c r="E226" s="15" t="s">
        <v>101</v>
      </c>
      <c r="F226" s="15" t="s">
        <v>337</v>
      </c>
      <c r="G226" s="15" t="s">
        <v>287</v>
      </c>
    </row>
    <row r="227" customFormat="false" ht="15" hidden="false" customHeight="false" outlineLevel="0" collapsed="false">
      <c r="A227" s="0" t="s">
        <v>535</v>
      </c>
      <c r="B227" s="0" t="s">
        <v>89</v>
      </c>
      <c r="C227" s="14" t="n">
        <v>46106</v>
      </c>
      <c r="D227" s="0" t="n">
        <v>4612.25</v>
      </c>
      <c r="E227" s="15" t="s">
        <v>91</v>
      </c>
      <c r="F227" s="15" t="s">
        <v>334</v>
      </c>
      <c r="G227" s="15" t="s">
        <v>313</v>
      </c>
    </row>
    <row r="228" customFormat="false" ht="15" hidden="false" customHeight="false" outlineLevel="0" collapsed="false">
      <c r="A228" s="0" t="s">
        <v>536</v>
      </c>
      <c r="B228" s="0" t="s">
        <v>174</v>
      </c>
      <c r="C228" s="14" t="n">
        <v>45715</v>
      </c>
      <c r="D228" s="0" t="n">
        <v>884.17</v>
      </c>
      <c r="E228" s="15" t="s">
        <v>91</v>
      </c>
      <c r="F228" s="15" t="s">
        <v>351</v>
      </c>
      <c r="G228" s="15" t="s">
        <v>302</v>
      </c>
    </row>
    <row r="229" customFormat="false" ht="15" hidden="false" customHeight="false" outlineLevel="0" collapsed="false">
      <c r="A229" s="0" t="s">
        <v>537</v>
      </c>
      <c r="B229" s="0" t="s">
        <v>80</v>
      </c>
      <c r="C229" s="14" t="n">
        <v>46181</v>
      </c>
      <c r="D229" s="0" t="n">
        <v>3538.33</v>
      </c>
      <c r="E229" s="15" t="s">
        <v>72</v>
      </c>
      <c r="F229" s="15" t="s">
        <v>342</v>
      </c>
      <c r="G229" s="15" t="s">
        <v>282</v>
      </c>
    </row>
    <row r="230" customFormat="false" ht="15" hidden="false" customHeight="false" outlineLevel="0" collapsed="false">
      <c r="A230" s="0" t="s">
        <v>538</v>
      </c>
      <c r="B230" s="0" t="s">
        <v>140</v>
      </c>
      <c r="C230" s="14" t="n">
        <v>46004</v>
      </c>
      <c r="D230" s="0" t="n">
        <v>1486.84</v>
      </c>
      <c r="E230" s="15" t="s">
        <v>72</v>
      </c>
      <c r="F230" s="15" t="s">
        <v>296</v>
      </c>
      <c r="G230" s="15" t="s">
        <v>279</v>
      </c>
    </row>
    <row r="231" customFormat="false" ht="15" hidden="false" customHeight="false" outlineLevel="0" collapsed="false">
      <c r="A231" s="0" t="s">
        <v>539</v>
      </c>
      <c r="B231" s="0" t="s">
        <v>171</v>
      </c>
      <c r="C231" s="14" t="n">
        <v>46109</v>
      </c>
      <c r="D231" s="0" t="n">
        <v>201.48</v>
      </c>
      <c r="E231" s="15" t="s">
        <v>106</v>
      </c>
      <c r="F231" s="15" t="s">
        <v>281</v>
      </c>
      <c r="G231" s="15" t="s">
        <v>282</v>
      </c>
    </row>
    <row r="232" customFormat="false" ht="15" hidden="false" customHeight="false" outlineLevel="0" collapsed="false">
      <c r="A232" s="0" t="s">
        <v>540</v>
      </c>
      <c r="B232" s="0" t="s">
        <v>186</v>
      </c>
      <c r="C232" s="14" t="n">
        <v>46043</v>
      </c>
      <c r="D232" s="0" t="n">
        <v>4010.98</v>
      </c>
      <c r="E232" s="15" t="s">
        <v>86</v>
      </c>
      <c r="F232" s="15" t="s">
        <v>327</v>
      </c>
      <c r="G232" s="15" t="s">
        <v>313</v>
      </c>
    </row>
    <row r="233" customFormat="false" ht="15" hidden="false" customHeight="false" outlineLevel="0" collapsed="false">
      <c r="A233" s="0" t="s">
        <v>541</v>
      </c>
      <c r="B233" s="0" t="s">
        <v>119</v>
      </c>
      <c r="C233" s="14" t="n">
        <v>45895</v>
      </c>
      <c r="D233" s="0" t="n">
        <v>1933.86</v>
      </c>
      <c r="E233" s="15" t="s">
        <v>86</v>
      </c>
      <c r="F233" s="15" t="s">
        <v>342</v>
      </c>
      <c r="G233" s="15" t="s">
        <v>282</v>
      </c>
    </row>
    <row r="234" customFormat="false" ht="15" hidden="false" customHeight="false" outlineLevel="0" collapsed="false">
      <c r="A234" s="0" t="s">
        <v>542</v>
      </c>
      <c r="B234" s="0" t="s">
        <v>89</v>
      </c>
      <c r="C234" s="14" t="n">
        <v>46057</v>
      </c>
      <c r="D234" s="0" t="n">
        <v>301.96</v>
      </c>
      <c r="E234" s="15" t="s">
        <v>91</v>
      </c>
      <c r="F234" s="15" t="s">
        <v>312</v>
      </c>
      <c r="G234" s="15" t="s">
        <v>302</v>
      </c>
    </row>
    <row r="235" customFormat="false" ht="15" hidden="false" customHeight="false" outlineLevel="0" collapsed="false">
      <c r="A235" s="0" t="s">
        <v>543</v>
      </c>
      <c r="B235" s="0" t="s">
        <v>96</v>
      </c>
      <c r="C235" s="14" t="n">
        <v>46184</v>
      </c>
      <c r="D235" s="0" t="n">
        <v>16728.17</v>
      </c>
      <c r="E235" s="15" t="s">
        <v>77</v>
      </c>
      <c r="F235" s="15" t="s">
        <v>306</v>
      </c>
      <c r="G235" s="15" t="s">
        <v>302</v>
      </c>
    </row>
    <row r="236" customFormat="false" ht="15" hidden="false" customHeight="false" outlineLevel="0" collapsed="false">
      <c r="A236" s="0" t="s">
        <v>544</v>
      </c>
      <c r="B236" s="0" t="s">
        <v>195</v>
      </c>
      <c r="C236" s="14" t="n">
        <v>45805</v>
      </c>
      <c r="D236" s="0" t="n">
        <v>594.08</v>
      </c>
      <c r="E236" s="15" t="s">
        <v>114</v>
      </c>
      <c r="F236" s="15" t="s">
        <v>308</v>
      </c>
      <c r="G236" s="15" t="s">
        <v>287</v>
      </c>
    </row>
    <row r="237" customFormat="false" ht="15" hidden="false" customHeight="false" outlineLevel="0" collapsed="false">
      <c r="A237" s="0" t="s">
        <v>545</v>
      </c>
      <c r="B237" s="0" t="s">
        <v>96</v>
      </c>
      <c r="C237" s="14" t="n">
        <v>46098</v>
      </c>
      <c r="D237" s="0" t="n">
        <v>4409.64</v>
      </c>
      <c r="E237" s="15" t="s">
        <v>77</v>
      </c>
      <c r="F237" s="15" t="s">
        <v>284</v>
      </c>
      <c r="G237" s="15" t="s">
        <v>287</v>
      </c>
    </row>
    <row r="238" customFormat="false" ht="15" hidden="false" customHeight="false" outlineLevel="0" collapsed="false">
      <c r="A238" s="0" t="s">
        <v>546</v>
      </c>
      <c r="B238" s="0" t="s">
        <v>140</v>
      </c>
      <c r="C238" s="14" t="n">
        <v>45951</v>
      </c>
      <c r="D238" s="0" t="n">
        <v>1370.36</v>
      </c>
      <c r="E238" s="15" t="s">
        <v>72</v>
      </c>
      <c r="F238" s="15" t="s">
        <v>289</v>
      </c>
      <c r="G238" s="15" t="s">
        <v>282</v>
      </c>
    </row>
    <row r="239" customFormat="false" ht="15" hidden="false" customHeight="false" outlineLevel="0" collapsed="false">
      <c r="A239" s="0" t="s">
        <v>547</v>
      </c>
      <c r="B239" s="0" t="s">
        <v>174</v>
      </c>
      <c r="C239" s="14" t="n">
        <v>45921</v>
      </c>
      <c r="D239" s="0" t="n">
        <v>480.9</v>
      </c>
      <c r="E239" s="15" t="s">
        <v>91</v>
      </c>
      <c r="F239" s="15" t="s">
        <v>346</v>
      </c>
      <c r="G239" s="15" t="s">
        <v>279</v>
      </c>
    </row>
    <row r="240" customFormat="false" ht="15" hidden="false" customHeight="false" outlineLevel="0" collapsed="false">
      <c r="A240" s="0" t="s">
        <v>548</v>
      </c>
      <c r="B240" s="0" t="s">
        <v>152</v>
      </c>
      <c r="C240" s="14" t="n">
        <v>45895</v>
      </c>
      <c r="D240" s="0" t="n">
        <v>728.26</v>
      </c>
      <c r="E240" s="15" t="s">
        <v>101</v>
      </c>
      <c r="F240" s="15" t="s">
        <v>317</v>
      </c>
      <c r="G240" s="15" t="s">
        <v>282</v>
      </c>
    </row>
    <row r="241" customFormat="false" ht="15" hidden="false" customHeight="false" outlineLevel="0" collapsed="false">
      <c r="A241" s="0" t="s">
        <v>549</v>
      </c>
      <c r="B241" s="0" t="s">
        <v>186</v>
      </c>
      <c r="C241" s="14" t="n">
        <v>46056</v>
      </c>
      <c r="D241" s="0" t="n">
        <v>4217.99</v>
      </c>
      <c r="E241" s="15" t="s">
        <v>86</v>
      </c>
      <c r="F241" s="15" t="s">
        <v>294</v>
      </c>
      <c r="G241" s="15" t="s">
        <v>282</v>
      </c>
    </row>
    <row r="242" customFormat="false" ht="15" hidden="false" customHeight="false" outlineLevel="0" collapsed="false">
      <c r="A242" s="0" t="s">
        <v>550</v>
      </c>
      <c r="B242" s="0" t="s">
        <v>180</v>
      </c>
      <c r="C242" s="14" t="n">
        <v>45804</v>
      </c>
      <c r="D242" s="0" t="n">
        <v>6467.02</v>
      </c>
      <c r="E242" s="15" t="s">
        <v>86</v>
      </c>
      <c r="F242" s="15" t="s">
        <v>304</v>
      </c>
      <c r="G242" s="15" t="s">
        <v>287</v>
      </c>
    </row>
    <row r="243" customFormat="false" ht="15" hidden="false" customHeight="false" outlineLevel="0" collapsed="false">
      <c r="A243" s="0" t="s">
        <v>551</v>
      </c>
      <c r="B243" s="0" t="s">
        <v>96</v>
      </c>
      <c r="C243" s="14" t="n">
        <v>46122</v>
      </c>
      <c r="D243" s="0" t="n">
        <v>2055.39</v>
      </c>
      <c r="E243" s="15" t="s">
        <v>77</v>
      </c>
      <c r="F243" s="15" t="s">
        <v>298</v>
      </c>
      <c r="G243" s="15" t="s">
        <v>282</v>
      </c>
    </row>
    <row r="244" customFormat="false" ht="15" hidden="false" customHeight="false" outlineLevel="0" collapsed="false">
      <c r="A244" s="0" t="s">
        <v>552</v>
      </c>
      <c r="B244" s="0" t="s">
        <v>137</v>
      </c>
      <c r="C244" s="14" t="n">
        <v>46110</v>
      </c>
      <c r="D244" s="0" t="n">
        <v>207.67</v>
      </c>
      <c r="E244" s="15" t="s">
        <v>106</v>
      </c>
      <c r="F244" s="15" t="s">
        <v>334</v>
      </c>
      <c r="G244" s="15" t="s">
        <v>313</v>
      </c>
    </row>
    <row r="245" customFormat="false" ht="15" hidden="false" customHeight="false" outlineLevel="0" collapsed="false">
      <c r="A245" s="0" t="s">
        <v>553</v>
      </c>
      <c r="B245" s="0" t="s">
        <v>149</v>
      </c>
      <c r="C245" s="14" t="n">
        <v>45705</v>
      </c>
      <c r="D245" s="0" t="n">
        <v>1766.28</v>
      </c>
      <c r="E245" s="15" t="s">
        <v>72</v>
      </c>
      <c r="F245" s="15" t="s">
        <v>310</v>
      </c>
      <c r="G245" s="15" t="s">
        <v>313</v>
      </c>
    </row>
    <row r="246" customFormat="false" ht="15" hidden="false" customHeight="false" outlineLevel="0" collapsed="false">
      <c r="A246" s="0" t="s">
        <v>554</v>
      </c>
      <c r="B246" s="0" t="s">
        <v>189</v>
      </c>
      <c r="C246" s="14" t="n">
        <v>46138</v>
      </c>
      <c r="D246" s="0" t="n">
        <v>1408.36</v>
      </c>
      <c r="E246" s="15" t="s">
        <v>72</v>
      </c>
      <c r="F246" s="15" t="s">
        <v>308</v>
      </c>
      <c r="G246" s="15" t="s">
        <v>321</v>
      </c>
    </row>
    <row r="247" customFormat="false" ht="15" hidden="false" customHeight="false" outlineLevel="0" collapsed="false">
      <c r="A247" s="0" t="s">
        <v>555</v>
      </c>
      <c r="B247" s="0" t="s">
        <v>171</v>
      </c>
      <c r="C247" s="14" t="n">
        <v>45790</v>
      </c>
      <c r="D247" s="0" t="n">
        <v>1546.99</v>
      </c>
      <c r="E247" s="15" t="s">
        <v>106</v>
      </c>
      <c r="F247" s="15" t="s">
        <v>284</v>
      </c>
      <c r="G247" s="15" t="s">
        <v>290</v>
      </c>
    </row>
    <row r="248" customFormat="false" ht="15" hidden="false" customHeight="false" outlineLevel="0" collapsed="false">
      <c r="A248" s="0" t="s">
        <v>556</v>
      </c>
      <c r="B248" s="0" t="s">
        <v>201</v>
      </c>
      <c r="C248" s="14" t="n">
        <v>45911</v>
      </c>
      <c r="D248" s="0" t="n">
        <v>5615.74</v>
      </c>
      <c r="E248" s="15" t="s">
        <v>77</v>
      </c>
      <c r="F248" s="15" t="s">
        <v>284</v>
      </c>
      <c r="G248" s="15" t="s">
        <v>292</v>
      </c>
    </row>
    <row r="249" customFormat="false" ht="15" hidden="false" customHeight="false" outlineLevel="0" collapsed="false">
      <c r="A249" s="0" t="s">
        <v>557</v>
      </c>
      <c r="B249" s="0" t="s">
        <v>183</v>
      </c>
      <c r="C249" s="14" t="n">
        <v>45990</v>
      </c>
      <c r="D249" s="0" t="n">
        <v>3821.71</v>
      </c>
      <c r="E249" s="15" t="s">
        <v>86</v>
      </c>
      <c r="F249" s="15" t="s">
        <v>344</v>
      </c>
      <c r="G249" s="15" t="s">
        <v>313</v>
      </c>
    </row>
    <row r="250" customFormat="false" ht="15" hidden="false" customHeight="false" outlineLevel="0" collapsed="false">
      <c r="A250" s="0" t="s">
        <v>558</v>
      </c>
      <c r="B250" s="0" t="s">
        <v>99</v>
      </c>
      <c r="C250" s="14" t="n">
        <v>45864</v>
      </c>
      <c r="D250" s="0" t="n">
        <v>943.22</v>
      </c>
      <c r="E250" s="15" t="s">
        <v>101</v>
      </c>
      <c r="F250" s="15" t="s">
        <v>342</v>
      </c>
      <c r="G250" s="15" t="s">
        <v>321</v>
      </c>
    </row>
    <row r="251" customFormat="false" ht="15" hidden="false" customHeight="false" outlineLevel="0" collapsed="false">
      <c r="A251" s="0" t="s">
        <v>559</v>
      </c>
      <c r="B251" s="0" t="s">
        <v>174</v>
      </c>
      <c r="C251" s="14" t="n">
        <v>45673</v>
      </c>
      <c r="D251" s="0" t="n">
        <v>618.31</v>
      </c>
      <c r="E251" s="15" t="s">
        <v>91</v>
      </c>
      <c r="F251" s="15" t="s">
        <v>298</v>
      </c>
      <c r="G251" s="15" t="s">
        <v>290</v>
      </c>
    </row>
    <row r="252" customFormat="false" ht="15" hidden="false" customHeight="false" outlineLevel="0" collapsed="false">
      <c r="A252" s="0" t="s">
        <v>560</v>
      </c>
      <c r="B252" s="0" t="s">
        <v>195</v>
      </c>
      <c r="C252" s="14" t="n">
        <v>46121</v>
      </c>
      <c r="D252" s="0" t="n">
        <v>17214.28</v>
      </c>
      <c r="E252" s="15" t="s">
        <v>114</v>
      </c>
      <c r="F252" s="15" t="s">
        <v>381</v>
      </c>
      <c r="G252" s="15" t="s">
        <v>282</v>
      </c>
    </row>
    <row r="253" customFormat="false" ht="15" hidden="false" customHeight="false" outlineLevel="0" collapsed="false">
      <c r="A253" s="0" t="s">
        <v>561</v>
      </c>
      <c r="B253" s="0" t="s">
        <v>89</v>
      </c>
      <c r="C253" s="14" t="n">
        <v>45757</v>
      </c>
      <c r="D253" s="0" t="n">
        <v>518.98</v>
      </c>
      <c r="E253" s="15" t="s">
        <v>91</v>
      </c>
      <c r="F253" s="15" t="s">
        <v>334</v>
      </c>
      <c r="G253" s="15" t="s">
        <v>287</v>
      </c>
    </row>
    <row r="254" customFormat="false" ht="15" hidden="false" customHeight="false" outlineLevel="0" collapsed="false">
      <c r="A254" s="0" t="s">
        <v>562</v>
      </c>
      <c r="B254" s="0" t="s">
        <v>140</v>
      </c>
      <c r="C254" s="14" t="n">
        <v>45773</v>
      </c>
      <c r="D254" s="0" t="n">
        <v>1164.57</v>
      </c>
      <c r="E254" s="15" t="s">
        <v>72</v>
      </c>
      <c r="F254" s="15" t="s">
        <v>310</v>
      </c>
      <c r="G254" s="15" t="s">
        <v>290</v>
      </c>
    </row>
    <row r="255" customFormat="false" ht="15" hidden="false" customHeight="false" outlineLevel="0" collapsed="false">
      <c r="A255" s="0" t="s">
        <v>563</v>
      </c>
      <c r="B255" s="0" t="s">
        <v>174</v>
      </c>
      <c r="C255" s="14" t="n">
        <v>46092</v>
      </c>
      <c r="D255" s="0" t="n">
        <v>796.57</v>
      </c>
      <c r="E255" s="15" t="s">
        <v>91</v>
      </c>
      <c r="F255" s="15" t="s">
        <v>381</v>
      </c>
      <c r="G255" s="15" t="s">
        <v>302</v>
      </c>
    </row>
    <row r="256" customFormat="false" ht="15" hidden="false" customHeight="false" outlineLevel="0" collapsed="false">
      <c r="A256" s="0" t="s">
        <v>564</v>
      </c>
      <c r="B256" s="0" t="s">
        <v>171</v>
      </c>
      <c r="C256" s="14" t="n">
        <v>45843</v>
      </c>
      <c r="D256" s="0" t="n">
        <v>1150.99</v>
      </c>
      <c r="E256" s="15" t="s">
        <v>106</v>
      </c>
      <c r="F256" s="15" t="s">
        <v>304</v>
      </c>
      <c r="G256" s="15" t="s">
        <v>290</v>
      </c>
    </row>
    <row r="257" customFormat="false" ht="15" hidden="false" customHeight="false" outlineLevel="0" collapsed="false">
      <c r="A257" s="0" t="s">
        <v>565</v>
      </c>
      <c r="B257" s="0" t="s">
        <v>96</v>
      </c>
      <c r="C257" s="14" t="n">
        <v>46137</v>
      </c>
      <c r="D257" s="0" t="n">
        <v>2121.27</v>
      </c>
      <c r="E257" s="15" t="s">
        <v>77</v>
      </c>
      <c r="F257" s="15" t="s">
        <v>337</v>
      </c>
      <c r="G257" s="15" t="s">
        <v>290</v>
      </c>
    </row>
    <row r="258" customFormat="false" ht="15" hidden="false" customHeight="false" outlineLevel="0" collapsed="false">
      <c r="A258" s="0" t="s">
        <v>566</v>
      </c>
      <c r="B258" s="0" t="s">
        <v>99</v>
      </c>
      <c r="C258" s="14" t="n">
        <v>46040</v>
      </c>
      <c r="D258" s="0" t="n">
        <v>646.51</v>
      </c>
      <c r="E258" s="15" t="s">
        <v>101</v>
      </c>
      <c r="F258" s="15" t="s">
        <v>351</v>
      </c>
      <c r="G258" s="15" t="s">
        <v>302</v>
      </c>
    </row>
    <row r="259" customFormat="false" ht="15" hidden="false" customHeight="false" outlineLevel="0" collapsed="false">
      <c r="A259" s="0" t="s">
        <v>567</v>
      </c>
      <c r="B259" s="0" t="s">
        <v>96</v>
      </c>
      <c r="C259" s="14" t="n">
        <v>45808</v>
      </c>
      <c r="D259" s="0" t="n">
        <v>231.64</v>
      </c>
      <c r="E259" s="15" t="s">
        <v>77</v>
      </c>
      <c r="F259" s="15" t="s">
        <v>310</v>
      </c>
      <c r="G259" s="15" t="s">
        <v>321</v>
      </c>
    </row>
    <row r="260" customFormat="false" ht="15" hidden="false" customHeight="false" outlineLevel="0" collapsed="false">
      <c r="A260" s="0" t="s">
        <v>568</v>
      </c>
      <c r="B260" s="0" t="s">
        <v>143</v>
      </c>
      <c r="C260" s="14" t="n">
        <v>45663</v>
      </c>
      <c r="D260" s="0" t="n">
        <v>585.14</v>
      </c>
      <c r="E260" s="15" t="s">
        <v>86</v>
      </c>
      <c r="F260" s="15" t="s">
        <v>306</v>
      </c>
      <c r="G260" s="15" t="s">
        <v>321</v>
      </c>
    </row>
    <row r="261" customFormat="false" ht="15" hidden="false" customHeight="false" outlineLevel="0" collapsed="false">
      <c r="A261" s="0" t="s">
        <v>569</v>
      </c>
      <c r="B261" s="0" t="s">
        <v>146</v>
      </c>
      <c r="C261" s="14" t="n">
        <v>46174</v>
      </c>
      <c r="D261" s="0" t="n">
        <v>2715.46</v>
      </c>
      <c r="E261" s="15" t="s">
        <v>114</v>
      </c>
      <c r="F261" s="15" t="s">
        <v>281</v>
      </c>
      <c r="G261" s="15" t="s">
        <v>279</v>
      </c>
    </row>
    <row r="262" customFormat="false" ht="15" hidden="false" customHeight="false" outlineLevel="0" collapsed="false">
      <c r="A262" s="0" t="s">
        <v>570</v>
      </c>
      <c r="B262" s="0" t="s">
        <v>99</v>
      </c>
      <c r="C262" s="14" t="n">
        <v>45704</v>
      </c>
      <c r="D262" s="0" t="n">
        <v>2645.79</v>
      </c>
      <c r="E262" s="15" t="s">
        <v>101</v>
      </c>
      <c r="F262" s="15" t="s">
        <v>308</v>
      </c>
      <c r="G262" s="15" t="s">
        <v>313</v>
      </c>
    </row>
    <row r="263" customFormat="false" ht="15" hidden="false" customHeight="false" outlineLevel="0" collapsed="false">
      <c r="A263" s="0" t="s">
        <v>571</v>
      </c>
      <c r="B263" s="0" t="s">
        <v>146</v>
      </c>
      <c r="C263" s="14" t="n">
        <v>46050</v>
      </c>
      <c r="D263" s="0" t="n">
        <v>5917.43</v>
      </c>
      <c r="E263" s="15" t="s">
        <v>114</v>
      </c>
      <c r="F263" s="15" t="s">
        <v>286</v>
      </c>
      <c r="G263" s="15" t="s">
        <v>282</v>
      </c>
    </row>
    <row r="264" customFormat="false" ht="15" hidden="false" customHeight="false" outlineLevel="0" collapsed="false">
      <c r="A264" s="0" t="s">
        <v>572</v>
      </c>
      <c r="B264" s="0" t="s">
        <v>80</v>
      </c>
      <c r="C264" s="14" t="n">
        <v>45924</v>
      </c>
      <c r="D264" s="0" t="n">
        <v>866.85</v>
      </c>
      <c r="E264" s="15" t="s">
        <v>72</v>
      </c>
      <c r="F264" s="15" t="s">
        <v>317</v>
      </c>
      <c r="G264" s="15" t="s">
        <v>287</v>
      </c>
    </row>
    <row r="265" customFormat="false" ht="15" hidden="false" customHeight="false" outlineLevel="0" collapsed="false">
      <c r="A265" s="0" t="s">
        <v>573</v>
      </c>
      <c r="B265" s="0" t="s">
        <v>131</v>
      </c>
      <c r="C265" s="14" t="n">
        <v>46071</v>
      </c>
      <c r="D265" s="0" t="n">
        <v>5943.52</v>
      </c>
      <c r="E265" s="15" t="s">
        <v>101</v>
      </c>
      <c r="F265" s="15" t="s">
        <v>281</v>
      </c>
      <c r="G265" s="15" t="s">
        <v>279</v>
      </c>
    </row>
    <row r="266" customFormat="false" ht="15" hidden="false" customHeight="false" outlineLevel="0" collapsed="false">
      <c r="A266" s="0" t="s">
        <v>574</v>
      </c>
      <c r="B266" s="0" t="s">
        <v>128</v>
      </c>
      <c r="C266" s="14" t="n">
        <v>46034</v>
      </c>
      <c r="D266" s="0" t="n">
        <v>2495.51</v>
      </c>
      <c r="E266" s="15" t="s">
        <v>101</v>
      </c>
      <c r="F266" s="15" t="s">
        <v>342</v>
      </c>
      <c r="G266" s="15" t="s">
        <v>287</v>
      </c>
    </row>
    <row r="267" customFormat="false" ht="15" hidden="false" customHeight="false" outlineLevel="0" collapsed="false">
      <c r="A267" s="0" t="s">
        <v>575</v>
      </c>
      <c r="B267" s="0" t="s">
        <v>84</v>
      </c>
      <c r="C267" s="14" t="n">
        <v>46010</v>
      </c>
      <c r="D267" s="0" t="n">
        <v>482.15</v>
      </c>
      <c r="E267" s="15" t="s">
        <v>86</v>
      </c>
      <c r="F267" s="15" t="s">
        <v>300</v>
      </c>
      <c r="G267" s="15" t="s">
        <v>287</v>
      </c>
    </row>
    <row r="268" customFormat="false" ht="15" hidden="false" customHeight="false" outlineLevel="0" collapsed="false">
      <c r="A268" s="0" t="s">
        <v>576</v>
      </c>
      <c r="B268" s="0" t="s">
        <v>186</v>
      </c>
      <c r="C268" s="14" t="n">
        <v>45925</v>
      </c>
      <c r="D268" s="0" t="n">
        <v>1274.7</v>
      </c>
      <c r="E268" s="15" t="s">
        <v>86</v>
      </c>
      <c r="F268" s="15" t="s">
        <v>381</v>
      </c>
      <c r="G268" s="15" t="s">
        <v>313</v>
      </c>
    </row>
    <row r="269" customFormat="false" ht="15" hidden="false" customHeight="false" outlineLevel="0" collapsed="false">
      <c r="A269" s="0" t="s">
        <v>577</v>
      </c>
      <c r="B269" s="0" t="s">
        <v>80</v>
      </c>
      <c r="C269" s="14" t="n">
        <v>46090</v>
      </c>
      <c r="D269" s="0" t="n">
        <v>2055.42</v>
      </c>
      <c r="E269" s="15" t="s">
        <v>72</v>
      </c>
      <c r="F269" s="15" t="s">
        <v>330</v>
      </c>
      <c r="G269" s="15" t="s">
        <v>302</v>
      </c>
    </row>
    <row r="270" customFormat="false" ht="15" hidden="false" customHeight="false" outlineLevel="0" collapsed="false">
      <c r="A270" s="0" t="s">
        <v>578</v>
      </c>
      <c r="B270" s="0" t="s">
        <v>116</v>
      </c>
      <c r="C270" s="14" t="n">
        <v>45708</v>
      </c>
      <c r="D270" s="0" t="n">
        <v>8984.32</v>
      </c>
      <c r="E270" s="15" t="s">
        <v>86</v>
      </c>
      <c r="F270" s="15" t="s">
        <v>344</v>
      </c>
      <c r="G270" s="15" t="s">
        <v>302</v>
      </c>
    </row>
    <row r="271" customFormat="false" ht="15" hidden="false" customHeight="false" outlineLevel="0" collapsed="false">
      <c r="A271" s="0" t="s">
        <v>579</v>
      </c>
      <c r="B271" s="0" t="s">
        <v>146</v>
      </c>
      <c r="C271" s="14" t="n">
        <v>45778</v>
      </c>
      <c r="D271" s="0" t="n">
        <v>4378.74</v>
      </c>
      <c r="E271" s="15" t="s">
        <v>114</v>
      </c>
      <c r="F271" s="15" t="s">
        <v>306</v>
      </c>
      <c r="G271" s="15" t="s">
        <v>279</v>
      </c>
    </row>
    <row r="272" customFormat="false" ht="15" hidden="false" customHeight="false" outlineLevel="0" collapsed="false">
      <c r="A272" s="0" t="s">
        <v>580</v>
      </c>
      <c r="B272" s="0" t="s">
        <v>171</v>
      </c>
      <c r="C272" s="14" t="n">
        <v>46035</v>
      </c>
      <c r="D272" s="0" t="n">
        <v>519.69</v>
      </c>
      <c r="E272" s="15" t="s">
        <v>106</v>
      </c>
      <c r="F272" s="15" t="s">
        <v>296</v>
      </c>
      <c r="G272" s="15" t="s">
        <v>290</v>
      </c>
    </row>
    <row r="273" customFormat="false" ht="15" hidden="false" customHeight="false" outlineLevel="0" collapsed="false">
      <c r="A273" s="0" t="s">
        <v>581</v>
      </c>
      <c r="B273" s="0" t="s">
        <v>131</v>
      </c>
      <c r="C273" s="14" t="n">
        <v>45824</v>
      </c>
      <c r="D273" s="0" t="n">
        <v>2656.9</v>
      </c>
      <c r="E273" s="15" t="s">
        <v>101</v>
      </c>
      <c r="F273" s="15" t="s">
        <v>308</v>
      </c>
      <c r="G273" s="15" t="s">
        <v>321</v>
      </c>
    </row>
    <row r="274" customFormat="false" ht="15" hidden="false" customHeight="false" outlineLevel="0" collapsed="false">
      <c r="A274" s="0" t="s">
        <v>582</v>
      </c>
      <c r="B274" s="0" t="s">
        <v>128</v>
      </c>
      <c r="C274" s="14" t="n">
        <v>45974</v>
      </c>
      <c r="D274" s="0" t="n">
        <v>611.97</v>
      </c>
      <c r="E274" s="15" t="s">
        <v>101</v>
      </c>
      <c r="F274" s="15" t="s">
        <v>351</v>
      </c>
      <c r="G274" s="15" t="s">
        <v>351</v>
      </c>
    </row>
    <row r="275" customFormat="false" ht="15" hidden="false" customHeight="false" outlineLevel="0" collapsed="false">
      <c r="A275" s="0" t="s">
        <v>583</v>
      </c>
      <c r="B275" s="0" t="s">
        <v>125</v>
      </c>
      <c r="C275" s="14" t="n">
        <v>45915</v>
      </c>
      <c r="D275" s="0" t="n">
        <v>3378.98</v>
      </c>
      <c r="E275" s="15" t="s">
        <v>72</v>
      </c>
      <c r="F275" s="15" t="s">
        <v>381</v>
      </c>
      <c r="G275" s="15" t="s">
        <v>282</v>
      </c>
    </row>
    <row r="276" customFormat="false" ht="15" hidden="false" customHeight="false" outlineLevel="0" collapsed="false">
      <c r="A276" s="0" t="s">
        <v>584</v>
      </c>
      <c r="B276" s="0" t="s">
        <v>158</v>
      </c>
      <c r="C276" s="14" t="n">
        <v>45947</v>
      </c>
      <c r="D276" s="0" t="n">
        <v>1729.73</v>
      </c>
      <c r="E276" s="15" t="s">
        <v>77</v>
      </c>
      <c r="F276" s="15" t="s">
        <v>308</v>
      </c>
      <c r="G276" s="15" t="s">
        <v>292</v>
      </c>
    </row>
    <row r="277" customFormat="false" ht="15" hidden="false" customHeight="false" outlineLevel="0" collapsed="false">
      <c r="A277" s="0" t="s">
        <v>585</v>
      </c>
      <c r="B277" s="0" t="s">
        <v>89</v>
      </c>
      <c r="C277" s="14" t="n">
        <v>45889</v>
      </c>
      <c r="D277" s="0" t="n">
        <v>225.68</v>
      </c>
      <c r="E277" s="15" t="s">
        <v>91</v>
      </c>
      <c r="F277" s="15" t="s">
        <v>304</v>
      </c>
      <c r="G277" s="15" t="s">
        <v>287</v>
      </c>
    </row>
    <row r="278" customFormat="false" ht="15" hidden="false" customHeight="false" outlineLevel="0" collapsed="false">
      <c r="A278" s="0" t="s">
        <v>586</v>
      </c>
      <c r="B278" s="0" t="s">
        <v>84</v>
      </c>
      <c r="C278" s="14" t="n">
        <v>46064</v>
      </c>
      <c r="D278" s="0" t="n">
        <v>1424.85</v>
      </c>
      <c r="E278" s="15" t="s">
        <v>86</v>
      </c>
      <c r="F278" s="15" t="s">
        <v>306</v>
      </c>
      <c r="G278" s="15" t="s">
        <v>279</v>
      </c>
    </row>
    <row r="279" customFormat="false" ht="15" hidden="false" customHeight="false" outlineLevel="0" collapsed="false">
      <c r="A279" s="0" t="s">
        <v>587</v>
      </c>
      <c r="B279" s="0" t="s">
        <v>201</v>
      </c>
      <c r="C279" s="14" t="n">
        <v>45838</v>
      </c>
      <c r="D279" s="0" t="n">
        <v>643.44</v>
      </c>
      <c r="E279" s="15" t="s">
        <v>77</v>
      </c>
      <c r="F279" s="15" t="s">
        <v>330</v>
      </c>
      <c r="G279" s="15" t="s">
        <v>279</v>
      </c>
    </row>
    <row r="280" customFormat="false" ht="15" hidden="false" customHeight="false" outlineLevel="0" collapsed="false">
      <c r="A280" s="0" t="s">
        <v>588</v>
      </c>
      <c r="B280" s="0" t="s">
        <v>134</v>
      </c>
      <c r="C280" s="14" t="n">
        <v>46041</v>
      </c>
      <c r="D280" s="0" t="n">
        <v>560.8</v>
      </c>
      <c r="E280" s="15" t="s">
        <v>114</v>
      </c>
      <c r="F280" s="15" t="s">
        <v>327</v>
      </c>
      <c r="G280" s="15" t="s">
        <v>302</v>
      </c>
    </row>
    <row r="281" customFormat="false" ht="15" hidden="false" customHeight="false" outlineLevel="0" collapsed="false">
      <c r="A281" s="0" t="s">
        <v>589</v>
      </c>
      <c r="B281" s="0" t="s">
        <v>195</v>
      </c>
      <c r="C281" s="14" t="n">
        <v>45805</v>
      </c>
      <c r="D281" s="0" t="n">
        <v>259.23</v>
      </c>
      <c r="E281" s="15" t="s">
        <v>114</v>
      </c>
      <c r="F281" s="15" t="s">
        <v>304</v>
      </c>
      <c r="G281" s="15" t="s">
        <v>313</v>
      </c>
    </row>
    <row r="282" customFormat="false" ht="15" hidden="false" customHeight="false" outlineLevel="0" collapsed="false">
      <c r="A282" s="0" t="s">
        <v>590</v>
      </c>
      <c r="B282" s="0" t="s">
        <v>112</v>
      </c>
      <c r="C282" s="14" t="n">
        <v>45795</v>
      </c>
      <c r="D282" s="0" t="n">
        <v>325.7</v>
      </c>
      <c r="E282" s="15" t="s">
        <v>114</v>
      </c>
      <c r="F282" s="15" t="s">
        <v>334</v>
      </c>
      <c r="G282" s="15" t="s">
        <v>292</v>
      </c>
    </row>
    <row r="283" customFormat="false" ht="15" hidden="false" customHeight="false" outlineLevel="0" collapsed="false">
      <c r="A283" s="0" t="s">
        <v>591</v>
      </c>
      <c r="B283" s="0" t="s">
        <v>174</v>
      </c>
      <c r="C283" s="14" t="n">
        <v>45723</v>
      </c>
      <c r="D283" s="0" t="n">
        <v>8611.23</v>
      </c>
      <c r="E283" s="15" t="s">
        <v>91</v>
      </c>
      <c r="F283" s="15" t="s">
        <v>284</v>
      </c>
      <c r="G283" s="15" t="s">
        <v>292</v>
      </c>
    </row>
    <row r="284" customFormat="false" ht="15" hidden="false" customHeight="false" outlineLevel="0" collapsed="false">
      <c r="A284" s="0" t="s">
        <v>592</v>
      </c>
      <c r="B284" s="0" t="s">
        <v>89</v>
      </c>
      <c r="C284" s="14" t="n">
        <v>45762</v>
      </c>
      <c r="D284" s="0" t="n">
        <v>1496.91</v>
      </c>
      <c r="E284" s="15" t="s">
        <v>91</v>
      </c>
      <c r="F284" s="15" t="s">
        <v>304</v>
      </c>
      <c r="G284" s="15" t="s">
        <v>313</v>
      </c>
    </row>
    <row r="285" customFormat="false" ht="15" hidden="false" customHeight="false" outlineLevel="0" collapsed="false">
      <c r="A285" s="0" t="s">
        <v>593</v>
      </c>
      <c r="B285" s="0" t="s">
        <v>174</v>
      </c>
      <c r="C285" s="14" t="n">
        <v>45723</v>
      </c>
      <c r="D285" s="0" t="n">
        <v>6053.15</v>
      </c>
      <c r="E285" s="15" t="s">
        <v>91</v>
      </c>
      <c r="F285" s="15" t="s">
        <v>306</v>
      </c>
      <c r="G285" s="15" t="s">
        <v>321</v>
      </c>
    </row>
    <row r="286" customFormat="false" ht="15" hidden="false" customHeight="false" outlineLevel="0" collapsed="false">
      <c r="A286" s="0" t="s">
        <v>594</v>
      </c>
      <c r="B286" s="0" t="s">
        <v>186</v>
      </c>
      <c r="C286" s="14" t="n">
        <v>45950</v>
      </c>
      <c r="D286" s="0" t="n">
        <v>3104.44</v>
      </c>
      <c r="E286" s="15" t="s">
        <v>86</v>
      </c>
      <c r="F286" s="15" t="s">
        <v>360</v>
      </c>
      <c r="G286" s="15" t="s">
        <v>279</v>
      </c>
    </row>
    <row r="287" customFormat="false" ht="15" hidden="false" customHeight="false" outlineLevel="0" collapsed="false">
      <c r="A287" s="0" t="s">
        <v>595</v>
      </c>
      <c r="B287" s="0" t="s">
        <v>167</v>
      </c>
      <c r="C287" s="14" t="n">
        <v>46073</v>
      </c>
      <c r="D287" s="0" t="n">
        <v>1405.31</v>
      </c>
      <c r="E287" s="15" t="s">
        <v>72</v>
      </c>
      <c r="F287" s="15" t="s">
        <v>289</v>
      </c>
      <c r="G287" s="15" t="s">
        <v>321</v>
      </c>
    </row>
    <row r="288" customFormat="false" ht="15" hidden="false" customHeight="false" outlineLevel="0" collapsed="false">
      <c r="A288" s="0" t="s">
        <v>596</v>
      </c>
      <c r="B288" s="0" t="s">
        <v>158</v>
      </c>
      <c r="C288" s="14" t="n">
        <v>45758</v>
      </c>
      <c r="D288" s="0" t="n">
        <v>3241.37</v>
      </c>
      <c r="E288" s="15" t="s">
        <v>77</v>
      </c>
      <c r="F288" s="15" t="s">
        <v>342</v>
      </c>
      <c r="G288" s="15" t="s">
        <v>313</v>
      </c>
    </row>
    <row r="289" customFormat="false" ht="15" hidden="false" customHeight="false" outlineLevel="0" collapsed="false">
      <c r="A289" s="0" t="s">
        <v>597</v>
      </c>
      <c r="B289" s="0" t="s">
        <v>189</v>
      </c>
      <c r="C289" s="14" t="n">
        <v>45775</v>
      </c>
      <c r="D289" s="0" t="n">
        <v>871.5</v>
      </c>
      <c r="E289" s="15" t="s">
        <v>72</v>
      </c>
      <c r="F289" s="15" t="s">
        <v>296</v>
      </c>
      <c r="G289" s="15" t="s">
        <v>302</v>
      </c>
    </row>
    <row r="290" customFormat="false" ht="15" hidden="false" customHeight="false" outlineLevel="0" collapsed="false">
      <c r="A290" s="0" t="s">
        <v>598</v>
      </c>
      <c r="B290" s="0" t="s">
        <v>137</v>
      </c>
      <c r="C290" s="14" t="n">
        <v>45921</v>
      </c>
      <c r="D290" s="0" t="n">
        <v>594.01</v>
      </c>
      <c r="E290" s="15" t="s">
        <v>106</v>
      </c>
      <c r="F290" s="15" t="s">
        <v>346</v>
      </c>
      <c r="G290" s="15" t="s">
        <v>290</v>
      </c>
    </row>
    <row r="291" customFormat="false" ht="15" hidden="false" customHeight="false" outlineLevel="0" collapsed="false">
      <c r="A291" s="0" t="s">
        <v>599</v>
      </c>
      <c r="B291" s="0" t="s">
        <v>161</v>
      </c>
      <c r="C291" s="14" t="n">
        <v>46052</v>
      </c>
      <c r="D291" s="0" t="n">
        <v>2962.24</v>
      </c>
      <c r="E291" s="15" t="s">
        <v>72</v>
      </c>
      <c r="F291" s="15" t="s">
        <v>286</v>
      </c>
      <c r="G291" s="15" t="s">
        <v>313</v>
      </c>
    </row>
    <row r="292" customFormat="false" ht="15" hidden="false" customHeight="false" outlineLevel="0" collapsed="false">
      <c r="A292" s="0" t="s">
        <v>600</v>
      </c>
      <c r="B292" s="0" t="s">
        <v>167</v>
      </c>
      <c r="C292" s="14" t="n">
        <v>46190</v>
      </c>
      <c r="D292" s="0" t="n">
        <v>201.83</v>
      </c>
      <c r="E292" s="15" t="s">
        <v>72</v>
      </c>
      <c r="F292" s="15" t="s">
        <v>317</v>
      </c>
      <c r="G292" s="15" t="s">
        <v>282</v>
      </c>
    </row>
    <row r="293" customFormat="false" ht="15" hidden="false" customHeight="false" outlineLevel="0" collapsed="false">
      <c r="A293" s="0" t="s">
        <v>601</v>
      </c>
      <c r="B293" s="0" t="s">
        <v>146</v>
      </c>
      <c r="C293" s="14" t="n">
        <v>45943</v>
      </c>
      <c r="D293" s="0" t="n">
        <v>7560.72</v>
      </c>
      <c r="E293" s="15" t="s">
        <v>114</v>
      </c>
      <c r="F293" s="15" t="s">
        <v>289</v>
      </c>
      <c r="G293" s="15" t="s">
        <v>321</v>
      </c>
    </row>
    <row r="294" customFormat="false" ht="15" hidden="false" customHeight="false" outlineLevel="0" collapsed="false">
      <c r="A294" s="0" t="s">
        <v>602</v>
      </c>
      <c r="B294" s="0" t="s">
        <v>177</v>
      </c>
      <c r="C294" s="14" t="n">
        <v>45812</v>
      </c>
      <c r="D294" s="0" t="n">
        <v>2957.14</v>
      </c>
      <c r="E294" s="15" t="s">
        <v>77</v>
      </c>
      <c r="F294" s="15" t="s">
        <v>298</v>
      </c>
      <c r="G294" s="15" t="s">
        <v>292</v>
      </c>
    </row>
    <row r="295" customFormat="false" ht="15" hidden="false" customHeight="false" outlineLevel="0" collapsed="false">
      <c r="A295" s="0" t="s">
        <v>603</v>
      </c>
      <c r="B295" s="0" t="s">
        <v>149</v>
      </c>
      <c r="C295" s="14" t="n">
        <v>45712</v>
      </c>
      <c r="D295" s="0" t="n">
        <v>1792.24</v>
      </c>
      <c r="E295" s="15" t="s">
        <v>72</v>
      </c>
      <c r="F295" s="15" t="s">
        <v>337</v>
      </c>
      <c r="G295" s="15" t="s">
        <v>287</v>
      </c>
    </row>
    <row r="296" customFormat="false" ht="15" hidden="false" customHeight="false" outlineLevel="0" collapsed="false">
      <c r="A296" s="0" t="s">
        <v>604</v>
      </c>
      <c r="B296" s="0" t="s">
        <v>183</v>
      </c>
      <c r="C296" s="14" t="n">
        <v>45763</v>
      </c>
      <c r="D296" s="0" t="n">
        <v>3587.55</v>
      </c>
      <c r="E296" s="15" t="s">
        <v>86</v>
      </c>
      <c r="F296" s="15" t="s">
        <v>304</v>
      </c>
      <c r="G296" s="15" t="s">
        <v>302</v>
      </c>
    </row>
    <row r="297" customFormat="false" ht="15" hidden="false" customHeight="false" outlineLevel="0" collapsed="false">
      <c r="A297" s="0" t="s">
        <v>605</v>
      </c>
      <c r="B297" s="0" t="s">
        <v>161</v>
      </c>
      <c r="C297" s="14" t="n">
        <v>45781</v>
      </c>
      <c r="D297" s="0" t="n">
        <v>13244.8</v>
      </c>
      <c r="E297" s="15" t="s">
        <v>72</v>
      </c>
      <c r="F297" s="15" t="s">
        <v>334</v>
      </c>
      <c r="G297" s="15" t="s">
        <v>321</v>
      </c>
    </row>
    <row r="298" customFormat="false" ht="15" hidden="false" customHeight="false" outlineLevel="0" collapsed="false">
      <c r="A298" s="0" t="s">
        <v>606</v>
      </c>
      <c r="B298" s="0" t="s">
        <v>186</v>
      </c>
      <c r="C298" s="14" t="n">
        <v>45755</v>
      </c>
      <c r="D298" s="0" t="n">
        <v>810.36</v>
      </c>
      <c r="E298" s="15" t="s">
        <v>86</v>
      </c>
      <c r="F298" s="15" t="s">
        <v>317</v>
      </c>
      <c r="G298" s="15" t="s">
        <v>317</v>
      </c>
    </row>
    <row r="299" customFormat="false" ht="15" hidden="false" customHeight="false" outlineLevel="0" collapsed="false">
      <c r="A299" s="0" t="s">
        <v>607</v>
      </c>
      <c r="B299" s="0" t="s">
        <v>104</v>
      </c>
      <c r="C299" s="14" t="n">
        <v>45665</v>
      </c>
      <c r="D299" s="0" t="n">
        <v>256.08</v>
      </c>
      <c r="E299" s="15" t="s">
        <v>106</v>
      </c>
      <c r="F299" s="15" t="s">
        <v>289</v>
      </c>
      <c r="G299" s="15" t="s">
        <v>321</v>
      </c>
    </row>
    <row r="300" customFormat="false" ht="15" hidden="false" customHeight="false" outlineLevel="0" collapsed="false">
      <c r="A300" s="0" t="s">
        <v>608</v>
      </c>
      <c r="B300" s="0" t="s">
        <v>109</v>
      </c>
      <c r="C300" s="14" t="n">
        <v>45949</v>
      </c>
      <c r="D300" s="0" t="n">
        <v>8486.94</v>
      </c>
      <c r="E300" s="15" t="s">
        <v>101</v>
      </c>
      <c r="F300" s="15" t="s">
        <v>317</v>
      </c>
      <c r="G300" s="15" t="s">
        <v>290</v>
      </c>
    </row>
    <row r="301" customFormat="false" ht="15" hidden="false" customHeight="false" outlineLevel="0" collapsed="false">
      <c r="A301" s="0" t="s">
        <v>609</v>
      </c>
      <c r="B301" s="0" t="s">
        <v>119</v>
      </c>
      <c r="C301" s="14" t="n">
        <v>45807</v>
      </c>
      <c r="D301" s="0" t="n">
        <v>3079.87</v>
      </c>
      <c r="E301" s="15" t="s">
        <v>86</v>
      </c>
      <c r="F301" s="15" t="s">
        <v>284</v>
      </c>
      <c r="G301" s="15" t="s">
        <v>302</v>
      </c>
    </row>
    <row r="302" customFormat="false" ht="15" hidden="false" customHeight="false" outlineLevel="0" collapsed="false">
      <c r="A302" s="0" t="s">
        <v>610</v>
      </c>
      <c r="B302" s="0" t="s">
        <v>134</v>
      </c>
      <c r="C302" s="14" t="n">
        <v>46188</v>
      </c>
      <c r="D302" s="0" t="n">
        <v>1424.65</v>
      </c>
      <c r="E302" s="15" t="s">
        <v>114</v>
      </c>
      <c r="F302" s="15" t="s">
        <v>337</v>
      </c>
      <c r="G302" s="15" t="s">
        <v>313</v>
      </c>
    </row>
    <row r="303" customFormat="false" ht="15" hidden="false" customHeight="false" outlineLevel="0" collapsed="false">
      <c r="A303" s="0" t="s">
        <v>611</v>
      </c>
      <c r="B303" s="0" t="s">
        <v>192</v>
      </c>
      <c r="C303" s="14" t="n">
        <v>45959</v>
      </c>
      <c r="D303" s="0" t="n">
        <v>4491.48</v>
      </c>
      <c r="E303" s="15" t="s">
        <v>91</v>
      </c>
      <c r="F303" s="15" t="s">
        <v>310</v>
      </c>
      <c r="G303" s="15" t="s">
        <v>302</v>
      </c>
    </row>
    <row r="304" customFormat="false" ht="15" hidden="false" customHeight="false" outlineLevel="0" collapsed="false">
      <c r="A304" s="0" t="s">
        <v>612</v>
      </c>
      <c r="B304" s="0" t="s">
        <v>89</v>
      </c>
      <c r="C304" s="14" t="n">
        <v>46038</v>
      </c>
      <c r="D304" s="0" t="n">
        <v>1494.98</v>
      </c>
      <c r="E304" s="15" t="s">
        <v>91</v>
      </c>
      <c r="F304" s="15" t="s">
        <v>337</v>
      </c>
      <c r="G304" s="15" t="s">
        <v>290</v>
      </c>
    </row>
    <row r="305" customFormat="false" ht="15" hidden="false" customHeight="false" outlineLevel="0" collapsed="false">
      <c r="A305" s="0" t="s">
        <v>613</v>
      </c>
      <c r="B305" s="0" t="s">
        <v>180</v>
      </c>
      <c r="C305" s="14" t="n">
        <v>45726</v>
      </c>
      <c r="D305" s="0" t="n">
        <v>1119.52</v>
      </c>
      <c r="E305" s="15" t="s">
        <v>86</v>
      </c>
      <c r="F305" s="15" t="s">
        <v>289</v>
      </c>
      <c r="G305" s="15" t="s">
        <v>313</v>
      </c>
    </row>
    <row r="306" customFormat="false" ht="15" hidden="false" customHeight="false" outlineLevel="0" collapsed="false">
      <c r="A306" s="0" t="s">
        <v>614</v>
      </c>
      <c r="B306" s="0" t="s">
        <v>93</v>
      </c>
      <c r="C306" s="14" t="n">
        <v>46131</v>
      </c>
      <c r="D306" s="0" t="n">
        <v>531.72</v>
      </c>
      <c r="E306" s="15" t="s">
        <v>86</v>
      </c>
      <c r="F306" s="15" t="s">
        <v>330</v>
      </c>
      <c r="G306" s="15" t="s">
        <v>282</v>
      </c>
    </row>
    <row r="307" customFormat="false" ht="15" hidden="false" customHeight="false" outlineLevel="0" collapsed="false">
      <c r="A307" s="0" t="s">
        <v>615</v>
      </c>
      <c r="B307" s="0" t="s">
        <v>195</v>
      </c>
      <c r="C307" s="14" t="n">
        <v>45925</v>
      </c>
      <c r="D307" s="0" t="n">
        <v>3672.05</v>
      </c>
      <c r="E307" s="15" t="s">
        <v>114</v>
      </c>
      <c r="F307" s="15" t="s">
        <v>304</v>
      </c>
      <c r="G307" s="15" t="s">
        <v>313</v>
      </c>
    </row>
    <row r="308" customFormat="false" ht="15" hidden="false" customHeight="false" outlineLevel="0" collapsed="false">
      <c r="A308" s="0" t="s">
        <v>616</v>
      </c>
      <c r="B308" s="0" t="s">
        <v>137</v>
      </c>
      <c r="C308" s="14" t="n">
        <v>46133</v>
      </c>
      <c r="D308" s="0" t="n">
        <v>6043.12</v>
      </c>
      <c r="E308" s="15" t="s">
        <v>106</v>
      </c>
      <c r="F308" s="15" t="s">
        <v>334</v>
      </c>
      <c r="G308" s="15" t="s">
        <v>290</v>
      </c>
    </row>
    <row r="309" customFormat="false" ht="15" hidden="false" customHeight="false" outlineLevel="0" collapsed="false">
      <c r="A309" s="0" t="s">
        <v>617</v>
      </c>
      <c r="B309" s="0" t="s">
        <v>122</v>
      </c>
      <c r="C309" s="14" t="n">
        <v>45970</v>
      </c>
      <c r="D309" s="0" t="n">
        <v>1017.03</v>
      </c>
      <c r="E309" s="15" t="s">
        <v>86</v>
      </c>
      <c r="F309" s="15" t="s">
        <v>327</v>
      </c>
      <c r="G309" s="15" t="s">
        <v>282</v>
      </c>
    </row>
    <row r="310" customFormat="false" ht="15" hidden="false" customHeight="false" outlineLevel="0" collapsed="false">
      <c r="A310" s="0" t="s">
        <v>618</v>
      </c>
      <c r="B310" s="0" t="s">
        <v>131</v>
      </c>
      <c r="C310" s="14" t="n">
        <v>45913</v>
      </c>
      <c r="D310" s="0" t="n">
        <v>33982.32</v>
      </c>
      <c r="E310" s="15" t="s">
        <v>101</v>
      </c>
      <c r="F310" s="15" t="s">
        <v>342</v>
      </c>
      <c r="G310" s="15" t="s">
        <v>292</v>
      </c>
    </row>
    <row r="311" customFormat="false" ht="15" hidden="false" customHeight="false" outlineLevel="0" collapsed="false">
      <c r="A311" s="0" t="s">
        <v>619</v>
      </c>
      <c r="B311" s="0" t="s">
        <v>158</v>
      </c>
      <c r="C311" s="14" t="n">
        <v>45898</v>
      </c>
      <c r="D311" s="0" t="n">
        <v>2011.97</v>
      </c>
      <c r="E311" s="15" t="s">
        <v>77</v>
      </c>
      <c r="F311" s="15" t="s">
        <v>278</v>
      </c>
      <c r="G311" s="15" t="s">
        <v>287</v>
      </c>
    </row>
    <row r="312" customFormat="false" ht="15" hidden="false" customHeight="false" outlineLevel="0" collapsed="false">
      <c r="A312" s="0" t="s">
        <v>620</v>
      </c>
      <c r="B312" s="0" t="s">
        <v>128</v>
      </c>
      <c r="C312" s="14" t="n">
        <v>45758</v>
      </c>
      <c r="D312" s="0" t="n">
        <v>1329.7</v>
      </c>
      <c r="E312" s="15" t="s">
        <v>101</v>
      </c>
      <c r="F312" s="15" t="s">
        <v>317</v>
      </c>
      <c r="G312" s="15" t="s">
        <v>321</v>
      </c>
    </row>
    <row r="313" customFormat="false" ht="15" hidden="false" customHeight="false" outlineLevel="0" collapsed="false">
      <c r="A313" s="0" t="s">
        <v>621</v>
      </c>
      <c r="B313" s="0" t="s">
        <v>158</v>
      </c>
      <c r="C313" s="14" t="n">
        <v>45686</v>
      </c>
      <c r="D313" s="0" t="n">
        <v>1801.08</v>
      </c>
      <c r="E313" s="15" t="s">
        <v>77</v>
      </c>
      <c r="F313" s="15" t="s">
        <v>381</v>
      </c>
      <c r="G313" s="15" t="s">
        <v>321</v>
      </c>
    </row>
    <row r="314" customFormat="false" ht="15" hidden="false" customHeight="false" outlineLevel="0" collapsed="false">
      <c r="A314" s="0" t="s">
        <v>622</v>
      </c>
      <c r="B314" s="0" t="s">
        <v>174</v>
      </c>
      <c r="C314" s="14" t="n">
        <v>46170</v>
      </c>
      <c r="D314" s="0" t="n">
        <v>275.18</v>
      </c>
      <c r="E314" s="15" t="s">
        <v>91</v>
      </c>
      <c r="F314" s="15" t="s">
        <v>334</v>
      </c>
      <c r="G314" s="15" t="s">
        <v>321</v>
      </c>
    </row>
    <row r="315" customFormat="false" ht="15" hidden="false" customHeight="false" outlineLevel="0" collapsed="false">
      <c r="A315" s="0" t="s">
        <v>623</v>
      </c>
      <c r="B315" s="0" t="s">
        <v>75</v>
      </c>
      <c r="C315" s="14" t="n">
        <v>45918</v>
      </c>
      <c r="D315" s="0" t="n">
        <v>2929.12</v>
      </c>
      <c r="E315" s="15" t="s">
        <v>77</v>
      </c>
      <c r="F315" s="15" t="s">
        <v>342</v>
      </c>
      <c r="G315" s="15" t="s">
        <v>279</v>
      </c>
    </row>
    <row r="316" customFormat="false" ht="15" hidden="false" customHeight="false" outlineLevel="0" collapsed="false">
      <c r="A316" s="0" t="s">
        <v>624</v>
      </c>
      <c r="B316" s="0" t="s">
        <v>125</v>
      </c>
      <c r="C316" s="14" t="n">
        <v>46106</v>
      </c>
      <c r="D316" s="0" t="n">
        <v>2560.65</v>
      </c>
      <c r="E316" s="15" t="s">
        <v>72</v>
      </c>
      <c r="F316" s="15" t="s">
        <v>284</v>
      </c>
      <c r="G316" s="15" t="s">
        <v>290</v>
      </c>
    </row>
    <row r="317" customFormat="false" ht="15" hidden="false" customHeight="false" outlineLevel="0" collapsed="false">
      <c r="A317" s="0" t="s">
        <v>625</v>
      </c>
      <c r="B317" s="0" t="s">
        <v>128</v>
      </c>
      <c r="C317" s="14" t="n">
        <v>45876</v>
      </c>
      <c r="D317" s="0" t="n">
        <v>1086.25</v>
      </c>
      <c r="E317" s="15" t="s">
        <v>101</v>
      </c>
      <c r="F317" s="15" t="s">
        <v>334</v>
      </c>
      <c r="G317" s="15" t="s">
        <v>292</v>
      </c>
    </row>
    <row r="318" customFormat="false" ht="15" hidden="false" customHeight="false" outlineLevel="0" collapsed="false">
      <c r="A318" s="0" t="s">
        <v>626</v>
      </c>
      <c r="B318" s="0" t="s">
        <v>198</v>
      </c>
      <c r="C318" s="14" t="n">
        <v>45698</v>
      </c>
      <c r="D318" s="0" t="n">
        <v>3484.24</v>
      </c>
      <c r="E318" s="15" t="s">
        <v>86</v>
      </c>
      <c r="F318" s="15" t="s">
        <v>346</v>
      </c>
      <c r="G318" s="15" t="s">
        <v>279</v>
      </c>
    </row>
    <row r="319" customFormat="false" ht="15" hidden="false" customHeight="false" outlineLevel="0" collapsed="false">
      <c r="A319" s="0" t="s">
        <v>627</v>
      </c>
      <c r="B319" s="0" t="s">
        <v>155</v>
      </c>
      <c r="C319" s="14" t="n">
        <v>46001</v>
      </c>
      <c r="D319" s="0" t="n">
        <v>4212.6</v>
      </c>
      <c r="E319" s="15" t="s">
        <v>106</v>
      </c>
      <c r="F319" s="15" t="s">
        <v>308</v>
      </c>
      <c r="G319" s="15" t="s">
        <v>279</v>
      </c>
    </row>
    <row r="320" customFormat="false" ht="15" hidden="false" customHeight="false" outlineLevel="0" collapsed="false">
      <c r="A320" s="0" t="s">
        <v>628</v>
      </c>
      <c r="B320" s="0" t="s">
        <v>177</v>
      </c>
      <c r="C320" s="14" t="n">
        <v>45687</v>
      </c>
      <c r="D320" s="0" t="n">
        <v>2560.27</v>
      </c>
      <c r="E320" s="15" t="s">
        <v>77</v>
      </c>
      <c r="F320" s="15" t="s">
        <v>294</v>
      </c>
      <c r="G320" s="15" t="s">
        <v>279</v>
      </c>
    </row>
    <row r="321" customFormat="false" ht="15" hidden="false" customHeight="false" outlineLevel="0" collapsed="false">
      <c r="A321" s="0" t="s">
        <v>629</v>
      </c>
      <c r="B321" s="0" t="s">
        <v>155</v>
      </c>
      <c r="C321" s="14" t="n">
        <v>45739</v>
      </c>
      <c r="D321" s="0" t="n">
        <v>3373.65</v>
      </c>
      <c r="E321" s="15" t="s">
        <v>106</v>
      </c>
      <c r="F321" s="15" t="s">
        <v>317</v>
      </c>
      <c r="G321" s="15" t="s">
        <v>321</v>
      </c>
    </row>
    <row r="322" customFormat="false" ht="15" hidden="false" customHeight="false" outlineLevel="0" collapsed="false">
      <c r="A322" s="0" t="s">
        <v>630</v>
      </c>
      <c r="B322" s="0" t="s">
        <v>174</v>
      </c>
      <c r="C322" s="14" t="n">
        <v>45964</v>
      </c>
      <c r="D322" s="0" t="n">
        <v>1093.64</v>
      </c>
      <c r="E322" s="15" t="s">
        <v>91</v>
      </c>
      <c r="F322" s="15" t="s">
        <v>327</v>
      </c>
      <c r="G322" s="15" t="s">
        <v>292</v>
      </c>
    </row>
    <row r="323" customFormat="false" ht="15" hidden="false" customHeight="false" outlineLevel="0" collapsed="false">
      <c r="A323" s="0" t="s">
        <v>631</v>
      </c>
      <c r="B323" s="0" t="s">
        <v>195</v>
      </c>
      <c r="C323" s="14" t="n">
        <v>45823</v>
      </c>
      <c r="D323" s="0" t="n">
        <v>1134.36</v>
      </c>
      <c r="E323" s="15" t="s">
        <v>114</v>
      </c>
      <c r="F323" s="15" t="s">
        <v>281</v>
      </c>
      <c r="G323" s="15" t="s">
        <v>313</v>
      </c>
    </row>
    <row r="324" customFormat="false" ht="15" hidden="false" customHeight="false" outlineLevel="0" collapsed="false">
      <c r="A324" s="0" t="s">
        <v>632</v>
      </c>
      <c r="B324" s="0" t="s">
        <v>183</v>
      </c>
      <c r="C324" s="14" t="n">
        <v>46199</v>
      </c>
      <c r="D324" s="0" t="n">
        <v>15734.46</v>
      </c>
      <c r="E324" s="15" t="s">
        <v>86</v>
      </c>
      <c r="F324" s="15" t="s">
        <v>360</v>
      </c>
      <c r="G324" s="15" t="s">
        <v>290</v>
      </c>
    </row>
    <row r="325" customFormat="false" ht="15" hidden="false" customHeight="false" outlineLevel="0" collapsed="false">
      <c r="A325" s="0" t="s">
        <v>633</v>
      </c>
      <c r="B325" s="0" t="s">
        <v>128</v>
      </c>
      <c r="C325" s="14" t="n">
        <v>45722</v>
      </c>
      <c r="D325" s="0" t="n">
        <v>1731.84</v>
      </c>
      <c r="E325" s="15" t="s">
        <v>101</v>
      </c>
      <c r="F325" s="15" t="s">
        <v>300</v>
      </c>
      <c r="G325" s="15" t="s">
        <v>300</v>
      </c>
    </row>
    <row r="326" customFormat="false" ht="15" hidden="false" customHeight="false" outlineLevel="0" collapsed="false">
      <c r="A326" s="0" t="s">
        <v>634</v>
      </c>
      <c r="B326" s="0" t="s">
        <v>146</v>
      </c>
      <c r="C326" s="14" t="n">
        <v>46074</v>
      </c>
      <c r="D326" s="0" t="n">
        <v>861.14</v>
      </c>
      <c r="E326" s="15" t="s">
        <v>114</v>
      </c>
      <c r="F326" s="15" t="s">
        <v>317</v>
      </c>
      <c r="G326" s="15" t="s">
        <v>317</v>
      </c>
    </row>
    <row r="327" customFormat="false" ht="15" hidden="false" customHeight="false" outlineLevel="0" collapsed="false">
      <c r="A327" s="0" t="s">
        <v>635</v>
      </c>
      <c r="B327" s="0" t="s">
        <v>104</v>
      </c>
      <c r="C327" s="14" t="n">
        <v>45988</v>
      </c>
      <c r="D327" s="0" t="n">
        <v>4424.59</v>
      </c>
      <c r="E327" s="15" t="s">
        <v>106</v>
      </c>
      <c r="F327" s="15" t="s">
        <v>342</v>
      </c>
      <c r="G327" s="15" t="s">
        <v>292</v>
      </c>
    </row>
    <row r="328" customFormat="false" ht="15" hidden="false" customHeight="false" outlineLevel="0" collapsed="false">
      <c r="A328" s="0" t="s">
        <v>636</v>
      </c>
      <c r="B328" s="0" t="s">
        <v>122</v>
      </c>
      <c r="C328" s="14" t="n">
        <v>46088</v>
      </c>
      <c r="D328" s="0" t="n">
        <v>2063.03</v>
      </c>
      <c r="E328" s="15" t="s">
        <v>86</v>
      </c>
      <c r="F328" s="15" t="s">
        <v>344</v>
      </c>
      <c r="G328" s="15" t="s">
        <v>290</v>
      </c>
    </row>
    <row r="329" customFormat="false" ht="15" hidden="false" customHeight="false" outlineLevel="0" collapsed="false">
      <c r="A329" s="0" t="s">
        <v>637</v>
      </c>
      <c r="B329" s="0" t="s">
        <v>93</v>
      </c>
      <c r="C329" s="14" t="n">
        <v>45780</v>
      </c>
      <c r="D329" s="0" t="n">
        <v>606.42</v>
      </c>
      <c r="E329" s="15" t="s">
        <v>86</v>
      </c>
      <c r="F329" s="15" t="s">
        <v>296</v>
      </c>
      <c r="G329" s="15" t="s">
        <v>287</v>
      </c>
    </row>
    <row r="330" customFormat="false" ht="15" hidden="false" customHeight="false" outlineLevel="0" collapsed="false">
      <c r="A330" s="0" t="s">
        <v>638</v>
      </c>
      <c r="B330" s="0" t="s">
        <v>75</v>
      </c>
      <c r="C330" s="14" t="n">
        <v>45942</v>
      </c>
      <c r="D330" s="0" t="n">
        <v>1652.62</v>
      </c>
      <c r="E330" s="15" t="s">
        <v>77</v>
      </c>
      <c r="F330" s="15" t="s">
        <v>312</v>
      </c>
      <c r="G330" s="15" t="s">
        <v>290</v>
      </c>
    </row>
    <row r="331" customFormat="false" ht="15" hidden="false" customHeight="false" outlineLevel="0" collapsed="false">
      <c r="A331" s="0" t="s">
        <v>639</v>
      </c>
      <c r="B331" s="0" t="s">
        <v>116</v>
      </c>
      <c r="C331" s="14" t="n">
        <v>45903</v>
      </c>
      <c r="D331" s="0" t="n">
        <v>609.35</v>
      </c>
      <c r="E331" s="15" t="s">
        <v>86</v>
      </c>
      <c r="F331" s="15" t="s">
        <v>317</v>
      </c>
      <c r="G331" s="15" t="s">
        <v>292</v>
      </c>
    </row>
    <row r="332" customFormat="false" ht="15" hidden="false" customHeight="false" outlineLevel="0" collapsed="false">
      <c r="A332" s="0" t="s">
        <v>640</v>
      </c>
      <c r="B332" s="0" t="s">
        <v>112</v>
      </c>
      <c r="C332" s="14" t="n">
        <v>45899</v>
      </c>
      <c r="D332" s="0" t="n">
        <v>1216.45</v>
      </c>
      <c r="E332" s="15" t="s">
        <v>114</v>
      </c>
      <c r="F332" s="15" t="s">
        <v>381</v>
      </c>
      <c r="G332" s="15" t="s">
        <v>302</v>
      </c>
    </row>
    <row r="333" customFormat="false" ht="15" hidden="false" customHeight="false" outlineLevel="0" collapsed="false">
      <c r="A333" s="0" t="s">
        <v>641</v>
      </c>
      <c r="B333" s="0" t="s">
        <v>192</v>
      </c>
      <c r="C333" s="14" t="n">
        <v>46126</v>
      </c>
      <c r="D333" s="0" t="n">
        <v>3585.97</v>
      </c>
      <c r="E333" s="15" t="s">
        <v>91</v>
      </c>
      <c r="F333" s="15" t="s">
        <v>300</v>
      </c>
      <c r="G333" s="15" t="s">
        <v>292</v>
      </c>
    </row>
    <row r="334" customFormat="false" ht="15" hidden="false" customHeight="false" outlineLevel="0" collapsed="false">
      <c r="A334" s="0" t="s">
        <v>642</v>
      </c>
      <c r="B334" s="0" t="s">
        <v>192</v>
      </c>
      <c r="C334" s="14" t="n">
        <v>46197</v>
      </c>
      <c r="D334" s="0" t="n">
        <v>10917.62</v>
      </c>
      <c r="E334" s="15" t="s">
        <v>91</v>
      </c>
      <c r="F334" s="15" t="s">
        <v>298</v>
      </c>
      <c r="G334" s="15" t="s">
        <v>282</v>
      </c>
    </row>
    <row r="335" customFormat="false" ht="15" hidden="false" customHeight="false" outlineLevel="0" collapsed="false">
      <c r="A335" s="0" t="s">
        <v>643</v>
      </c>
      <c r="B335" s="0" t="s">
        <v>93</v>
      </c>
      <c r="C335" s="14" t="n">
        <v>45824</v>
      </c>
      <c r="D335" s="0" t="n">
        <v>5413.88</v>
      </c>
      <c r="E335" s="15" t="s">
        <v>86</v>
      </c>
      <c r="F335" s="15" t="s">
        <v>296</v>
      </c>
      <c r="G335" s="15" t="s">
        <v>287</v>
      </c>
    </row>
    <row r="336" customFormat="false" ht="15" hidden="false" customHeight="false" outlineLevel="0" collapsed="false">
      <c r="A336" s="0" t="s">
        <v>644</v>
      </c>
      <c r="B336" s="0" t="s">
        <v>167</v>
      </c>
      <c r="C336" s="14" t="n">
        <v>45996</v>
      </c>
      <c r="D336" s="0" t="n">
        <v>4075.62</v>
      </c>
      <c r="E336" s="15" t="s">
        <v>72</v>
      </c>
      <c r="F336" s="15" t="s">
        <v>286</v>
      </c>
      <c r="G336" s="15" t="s">
        <v>321</v>
      </c>
    </row>
    <row r="337" customFormat="false" ht="15" hidden="false" customHeight="false" outlineLevel="0" collapsed="false">
      <c r="A337" s="0" t="s">
        <v>645</v>
      </c>
      <c r="B337" s="0" t="s">
        <v>192</v>
      </c>
      <c r="C337" s="14" t="n">
        <v>45990</v>
      </c>
      <c r="D337" s="0" t="n">
        <v>674.21</v>
      </c>
      <c r="E337" s="15" t="s">
        <v>91</v>
      </c>
      <c r="F337" s="15" t="s">
        <v>286</v>
      </c>
      <c r="G337" s="15" t="s">
        <v>313</v>
      </c>
    </row>
    <row r="338" customFormat="false" ht="15" hidden="false" customHeight="false" outlineLevel="0" collapsed="false">
      <c r="A338" s="0" t="s">
        <v>646</v>
      </c>
      <c r="B338" s="0" t="s">
        <v>96</v>
      </c>
      <c r="C338" s="14" t="n">
        <v>46061</v>
      </c>
      <c r="D338" s="0" t="n">
        <v>1314.98</v>
      </c>
      <c r="E338" s="15" t="s">
        <v>77</v>
      </c>
      <c r="F338" s="15" t="s">
        <v>334</v>
      </c>
      <c r="G338" s="15" t="s">
        <v>321</v>
      </c>
    </row>
    <row r="339" customFormat="false" ht="15" hidden="false" customHeight="false" outlineLevel="0" collapsed="false">
      <c r="A339" s="0" t="s">
        <v>647</v>
      </c>
      <c r="B339" s="0" t="s">
        <v>201</v>
      </c>
      <c r="C339" s="14" t="n">
        <v>46174</v>
      </c>
      <c r="D339" s="0" t="n">
        <v>499.83</v>
      </c>
      <c r="E339" s="15" t="s">
        <v>77</v>
      </c>
      <c r="F339" s="15" t="s">
        <v>327</v>
      </c>
      <c r="G339" s="15" t="s">
        <v>302</v>
      </c>
    </row>
    <row r="340" customFormat="false" ht="15" hidden="false" customHeight="false" outlineLevel="0" collapsed="false">
      <c r="A340" s="0" t="s">
        <v>648</v>
      </c>
      <c r="B340" s="0" t="s">
        <v>201</v>
      </c>
      <c r="C340" s="14" t="n">
        <v>45771</v>
      </c>
      <c r="D340" s="0" t="n">
        <v>427.04</v>
      </c>
      <c r="E340" s="15" t="s">
        <v>77</v>
      </c>
      <c r="F340" s="15" t="s">
        <v>327</v>
      </c>
      <c r="G340" s="15" t="s">
        <v>282</v>
      </c>
    </row>
    <row r="341" customFormat="false" ht="15" hidden="false" customHeight="false" outlineLevel="0" collapsed="false">
      <c r="A341" s="0" t="s">
        <v>649</v>
      </c>
      <c r="B341" s="0" t="s">
        <v>80</v>
      </c>
      <c r="C341" s="14" t="n">
        <v>45773</v>
      </c>
      <c r="D341" s="0" t="n">
        <v>1109.9</v>
      </c>
      <c r="E341" s="15" t="s">
        <v>72</v>
      </c>
      <c r="F341" s="15" t="s">
        <v>351</v>
      </c>
      <c r="G341" s="15" t="s">
        <v>290</v>
      </c>
    </row>
    <row r="342" customFormat="false" ht="15" hidden="false" customHeight="false" outlineLevel="0" collapsed="false">
      <c r="A342" s="0" t="s">
        <v>650</v>
      </c>
      <c r="B342" s="0" t="s">
        <v>70</v>
      </c>
      <c r="C342" s="14" t="n">
        <v>46017</v>
      </c>
      <c r="D342" s="0" t="n">
        <v>3284.61</v>
      </c>
      <c r="E342" s="15" t="s">
        <v>72</v>
      </c>
      <c r="F342" s="15" t="s">
        <v>334</v>
      </c>
      <c r="G342" s="15" t="s">
        <v>279</v>
      </c>
    </row>
    <row r="343" customFormat="false" ht="15" hidden="false" customHeight="false" outlineLevel="0" collapsed="false">
      <c r="A343" s="0" t="s">
        <v>651</v>
      </c>
      <c r="B343" s="0" t="s">
        <v>164</v>
      </c>
      <c r="C343" s="14" t="n">
        <v>45743</v>
      </c>
      <c r="D343" s="0" t="n">
        <v>2187.07</v>
      </c>
      <c r="E343" s="15" t="s">
        <v>77</v>
      </c>
      <c r="F343" s="15" t="s">
        <v>317</v>
      </c>
      <c r="G343" s="15" t="s">
        <v>282</v>
      </c>
    </row>
    <row r="344" customFormat="false" ht="15" hidden="false" customHeight="false" outlineLevel="0" collapsed="false">
      <c r="A344" s="0" t="s">
        <v>652</v>
      </c>
      <c r="B344" s="0" t="s">
        <v>158</v>
      </c>
      <c r="C344" s="14" t="n">
        <v>45752</v>
      </c>
      <c r="D344" s="0" t="n">
        <v>4407.35</v>
      </c>
      <c r="E344" s="15" t="s">
        <v>77</v>
      </c>
      <c r="F344" s="15" t="s">
        <v>284</v>
      </c>
      <c r="G344" s="15" t="s">
        <v>282</v>
      </c>
    </row>
    <row r="345" customFormat="false" ht="15" hidden="false" customHeight="false" outlineLevel="0" collapsed="false">
      <c r="A345" s="0" t="s">
        <v>653</v>
      </c>
      <c r="B345" s="0" t="s">
        <v>152</v>
      </c>
      <c r="C345" s="14" t="n">
        <v>45698</v>
      </c>
      <c r="D345" s="0" t="n">
        <v>814.56</v>
      </c>
      <c r="E345" s="15" t="s">
        <v>101</v>
      </c>
      <c r="F345" s="15" t="s">
        <v>337</v>
      </c>
      <c r="G345" s="15" t="s">
        <v>321</v>
      </c>
    </row>
    <row r="346" customFormat="false" ht="15" hidden="false" customHeight="false" outlineLevel="0" collapsed="false">
      <c r="A346" s="0" t="s">
        <v>654</v>
      </c>
      <c r="B346" s="0" t="s">
        <v>80</v>
      </c>
      <c r="C346" s="14" t="n">
        <v>45659</v>
      </c>
      <c r="D346" s="0" t="n">
        <v>988.16</v>
      </c>
      <c r="E346" s="15" t="s">
        <v>72</v>
      </c>
      <c r="F346" s="15" t="s">
        <v>381</v>
      </c>
      <c r="G346" s="15" t="s">
        <v>302</v>
      </c>
    </row>
    <row r="347" customFormat="false" ht="15" hidden="false" customHeight="false" outlineLevel="0" collapsed="false">
      <c r="A347" s="0" t="s">
        <v>655</v>
      </c>
      <c r="B347" s="0" t="s">
        <v>80</v>
      </c>
      <c r="C347" s="14" t="n">
        <v>45903</v>
      </c>
      <c r="D347" s="0" t="n">
        <v>721.3</v>
      </c>
      <c r="E347" s="15" t="s">
        <v>72</v>
      </c>
      <c r="F347" s="15" t="s">
        <v>281</v>
      </c>
      <c r="G347" s="15" t="s">
        <v>287</v>
      </c>
    </row>
    <row r="348" customFormat="false" ht="15" hidden="false" customHeight="false" outlineLevel="0" collapsed="false">
      <c r="A348" s="0" t="s">
        <v>656</v>
      </c>
      <c r="B348" s="0" t="s">
        <v>84</v>
      </c>
      <c r="C348" s="14" t="n">
        <v>45981</v>
      </c>
      <c r="D348" s="0" t="n">
        <v>5762.48</v>
      </c>
      <c r="E348" s="15" t="s">
        <v>86</v>
      </c>
      <c r="F348" s="15" t="s">
        <v>286</v>
      </c>
      <c r="G348" s="15" t="s">
        <v>290</v>
      </c>
    </row>
    <row r="349" customFormat="false" ht="15" hidden="false" customHeight="false" outlineLevel="0" collapsed="false">
      <c r="A349" s="0" t="s">
        <v>657</v>
      </c>
      <c r="B349" s="0" t="s">
        <v>89</v>
      </c>
      <c r="C349" s="14" t="n">
        <v>45816</v>
      </c>
      <c r="D349" s="0" t="n">
        <v>3958.91</v>
      </c>
      <c r="E349" s="15" t="s">
        <v>91</v>
      </c>
      <c r="F349" s="15" t="s">
        <v>304</v>
      </c>
      <c r="G349" s="15" t="s">
        <v>321</v>
      </c>
    </row>
    <row r="350" customFormat="false" ht="15" hidden="false" customHeight="false" outlineLevel="0" collapsed="false">
      <c r="A350" s="0" t="s">
        <v>658</v>
      </c>
      <c r="B350" s="0" t="s">
        <v>70</v>
      </c>
      <c r="C350" s="14" t="n">
        <v>45784</v>
      </c>
      <c r="D350" s="0" t="n">
        <v>3469.23</v>
      </c>
      <c r="E350" s="15" t="s">
        <v>72</v>
      </c>
      <c r="F350" s="15" t="s">
        <v>289</v>
      </c>
      <c r="G350" s="15" t="s">
        <v>292</v>
      </c>
    </row>
    <row r="351" customFormat="false" ht="15" hidden="false" customHeight="false" outlineLevel="0" collapsed="false">
      <c r="A351" s="0" t="s">
        <v>659</v>
      </c>
      <c r="B351" s="0" t="s">
        <v>161</v>
      </c>
      <c r="C351" s="14" t="n">
        <v>46043</v>
      </c>
      <c r="D351" s="0" t="n">
        <v>1655.98</v>
      </c>
      <c r="E351" s="15" t="s">
        <v>72</v>
      </c>
      <c r="F351" s="15" t="s">
        <v>289</v>
      </c>
      <c r="G351" s="15" t="s">
        <v>321</v>
      </c>
    </row>
    <row r="352" customFormat="false" ht="15" hidden="false" customHeight="false" outlineLevel="0" collapsed="false">
      <c r="A352" s="0" t="s">
        <v>660</v>
      </c>
      <c r="B352" s="0" t="s">
        <v>155</v>
      </c>
      <c r="C352" s="14" t="n">
        <v>46041</v>
      </c>
      <c r="D352" s="0" t="n">
        <v>1396.44</v>
      </c>
      <c r="E352" s="15" t="s">
        <v>106</v>
      </c>
      <c r="F352" s="15" t="s">
        <v>344</v>
      </c>
      <c r="G352" s="15" t="s">
        <v>321</v>
      </c>
    </row>
    <row r="353" customFormat="false" ht="15" hidden="false" customHeight="false" outlineLevel="0" collapsed="false">
      <c r="A353" s="0" t="s">
        <v>661</v>
      </c>
      <c r="B353" s="0" t="s">
        <v>70</v>
      </c>
      <c r="C353" s="14" t="n">
        <v>45905</v>
      </c>
      <c r="D353" s="0" t="n">
        <v>1682.49</v>
      </c>
      <c r="E353" s="15" t="s">
        <v>72</v>
      </c>
      <c r="F353" s="15" t="s">
        <v>294</v>
      </c>
      <c r="G353" s="15" t="s">
        <v>282</v>
      </c>
    </row>
    <row r="354" customFormat="false" ht="15" hidden="false" customHeight="false" outlineLevel="0" collapsed="false">
      <c r="A354" s="0" t="s">
        <v>662</v>
      </c>
      <c r="B354" s="0" t="s">
        <v>192</v>
      </c>
      <c r="C354" s="14" t="n">
        <v>46032</v>
      </c>
      <c r="D354" s="0" t="n">
        <v>1974.18</v>
      </c>
      <c r="E354" s="15" t="s">
        <v>91</v>
      </c>
      <c r="F354" s="15" t="s">
        <v>304</v>
      </c>
      <c r="G354" s="15" t="s">
        <v>292</v>
      </c>
    </row>
    <row r="355" customFormat="false" ht="15" hidden="false" customHeight="false" outlineLevel="0" collapsed="false">
      <c r="A355" s="0" t="s">
        <v>663</v>
      </c>
      <c r="B355" s="0" t="s">
        <v>89</v>
      </c>
      <c r="C355" s="14" t="n">
        <v>46161</v>
      </c>
      <c r="D355" s="0" t="n">
        <v>2573.5</v>
      </c>
      <c r="E355" s="15" t="s">
        <v>91</v>
      </c>
      <c r="F355" s="15" t="s">
        <v>327</v>
      </c>
      <c r="G355" s="15" t="s">
        <v>302</v>
      </c>
    </row>
    <row r="356" customFormat="false" ht="15" hidden="false" customHeight="false" outlineLevel="0" collapsed="false">
      <c r="A356" s="0" t="s">
        <v>664</v>
      </c>
      <c r="B356" s="0" t="s">
        <v>180</v>
      </c>
      <c r="C356" s="14" t="n">
        <v>46087</v>
      </c>
      <c r="D356" s="0" t="n">
        <v>3009.14</v>
      </c>
      <c r="E356" s="15" t="s">
        <v>86</v>
      </c>
      <c r="F356" s="15" t="s">
        <v>308</v>
      </c>
      <c r="G356" s="15" t="s">
        <v>279</v>
      </c>
    </row>
    <row r="357" customFormat="false" ht="15" hidden="false" customHeight="false" outlineLevel="0" collapsed="false">
      <c r="A357" s="0" t="s">
        <v>665</v>
      </c>
      <c r="B357" s="0" t="s">
        <v>140</v>
      </c>
      <c r="C357" s="14" t="n">
        <v>45998</v>
      </c>
      <c r="D357" s="0" t="n">
        <v>2928.06</v>
      </c>
      <c r="E357" s="15" t="s">
        <v>72</v>
      </c>
      <c r="F357" s="15" t="s">
        <v>296</v>
      </c>
      <c r="G357" s="15" t="s">
        <v>279</v>
      </c>
    </row>
    <row r="358" customFormat="false" ht="15" hidden="false" customHeight="false" outlineLevel="0" collapsed="false">
      <c r="A358" s="0" t="s">
        <v>666</v>
      </c>
      <c r="B358" s="0" t="s">
        <v>201</v>
      </c>
      <c r="C358" s="14" t="n">
        <v>46018</v>
      </c>
      <c r="D358" s="0" t="n">
        <v>3306.72</v>
      </c>
      <c r="E358" s="15" t="s">
        <v>77</v>
      </c>
      <c r="F358" s="15" t="s">
        <v>330</v>
      </c>
      <c r="G358" s="15" t="s">
        <v>321</v>
      </c>
    </row>
    <row r="359" customFormat="false" ht="15" hidden="false" customHeight="false" outlineLevel="0" collapsed="false">
      <c r="A359" s="0" t="s">
        <v>667</v>
      </c>
      <c r="B359" s="0" t="s">
        <v>137</v>
      </c>
      <c r="C359" s="14" t="n">
        <v>46166</v>
      </c>
      <c r="D359" s="0" t="n">
        <v>7330.11</v>
      </c>
      <c r="E359" s="15" t="s">
        <v>106</v>
      </c>
      <c r="F359" s="15" t="s">
        <v>342</v>
      </c>
      <c r="G359" s="15" t="s">
        <v>279</v>
      </c>
    </row>
    <row r="360" customFormat="false" ht="15" hidden="false" customHeight="false" outlineLevel="0" collapsed="false">
      <c r="A360" s="0" t="s">
        <v>668</v>
      </c>
      <c r="B360" s="0" t="s">
        <v>201</v>
      </c>
      <c r="C360" s="14" t="n">
        <v>45889</v>
      </c>
      <c r="D360" s="0" t="n">
        <v>305.65</v>
      </c>
      <c r="E360" s="15" t="s">
        <v>77</v>
      </c>
      <c r="F360" s="15" t="s">
        <v>289</v>
      </c>
      <c r="G360" s="15" t="s">
        <v>292</v>
      </c>
    </row>
    <row r="361" customFormat="false" ht="15" hidden="false" customHeight="false" outlineLevel="0" collapsed="false">
      <c r="A361" s="0" t="s">
        <v>669</v>
      </c>
      <c r="B361" s="0" t="s">
        <v>116</v>
      </c>
      <c r="C361" s="14" t="n">
        <v>45954</v>
      </c>
      <c r="D361" s="0" t="n">
        <v>695.44</v>
      </c>
      <c r="E361" s="15" t="s">
        <v>86</v>
      </c>
      <c r="F361" s="15" t="s">
        <v>381</v>
      </c>
      <c r="G361" s="15" t="s">
        <v>381</v>
      </c>
    </row>
    <row r="362" customFormat="false" ht="15" hidden="false" customHeight="false" outlineLevel="0" collapsed="false">
      <c r="A362" s="0" t="s">
        <v>670</v>
      </c>
      <c r="B362" s="0" t="s">
        <v>84</v>
      </c>
      <c r="C362" s="14" t="n">
        <v>46010</v>
      </c>
      <c r="D362" s="0" t="n">
        <v>8378.51</v>
      </c>
      <c r="E362" s="15" t="s">
        <v>86</v>
      </c>
      <c r="F362" s="15" t="s">
        <v>342</v>
      </c>
      <c r="G362" s="15" t="s">
        <v>302</v>
      </c>
    </row>
    <row r="363" customFormat="false" ht="15" hidden="false" customHeight="false" outlineLevel="0" collapsed="false">
      <c r="A363" s="0" t="s">
        <v>671</v>
      </c>
      <c r="B363" s="0" t="s">
        <v>89</v>
      </c>
      <c r="C363" s="14" t="n">
        <v>46153</v>
      </c>
      <c r="D363" s="0" t="n">
        <v>1194.11</v>
      </c>
      <c r="E363" s="15" t="s">
        <v>91</v>
      </c>
      <c r="F363" s="15" t="s">
        <v>330</v>
      </c>
      <c r="G363" s="15" t="s">
        <v>292</v>
      </c>
    </row>
    <row r="364" customFormat="false" ht="15" hidden="false" customHeight="false" outlineLevel="0" collapsed="false">
      <c r="A364" s="0" t="s">
        <v>672</v>
      </c>
      <c r="B364" s="0" t="s">
        <v>119</v>
      </c>
      <c r="C364" s="14" t="n">
        <v>46108</v>
      </c>
      <c r="D364" s="0" t="n">
        <v>755.76</v>
      </c>
      <c r="E364" s="15" t="s">
        <v>86</v>
      </c>
      <c r="F364" s="15" t="s">
        <v>281</v>
      </c>
      <c r="G364" s="15" t="s">
        <v>282</v>
      </c>
    </row>
    <row r="365" customFormat="false" ht="15" hidden="false" customHeight="false" outlineLevel="0" collapsed="false">
      <c r="A365" s="0" t="s">
        <v>673</v>
      </c>
      <c r="B365" s="0" t="s">
        <v>180</v>
      </c>
      <c r="C365" s="14" t="n">
        <v>45696</v>
      </c>
      <c r="D365" s="0" t="n">
        <v>14821.15</v>
      </c>
      <c r="E365" s="15" t="s">
        <v>86</v>
      </c>
      <c r="F365" s="15" t="s">
        <v>304</v>
      </c>
      <c r="G365" s="15" t="s">
        <v>292</v>
      </c>
    </row>
    <row r="366" customFormat="false" ht="15" hidden="false" customHeight="false" outlineLevel="0" collapsed="false">
      <c r="A366" s="0" t="s">
        <v>674</v>
      </c>
      <c r="B366" s="0" t="s">
        <v>122</v>
      </c>
      <c r="C366" s="14" t="n">
        <v>45748</v>
      </c>
      <c r="D366" s="0" t="n">
        <v>5777.41</v>
      </c>
      <c r="E366" s="15" t="s">
        <v>86</v>
      </c>
      <c r="F366" s="15" t="s">
        <v>312</v>
      </c>
      <c r="G366" s="15" t="s">
        <v>279</v>
      </c>
    </row>
    <row r="367" customFormat="false" ht="15" hidden="false" customHeight="false" outlineLevel="0" collapsed="false">
      <c r="A367" s="0" t="s">
        <v>675</v>
      </c>
      <c r="B367" s="0" t="s">
        <v>192</v>
      </c>
      <c r="C367" s="14" t="n">
        <v>45825</v>
      </c>
      <c r="D367" s="0" t="n">
        <v>4303.23</v>
      </c>
      <c r="E367" s="15" t="s">
        <v>91</v>
      </c>
      <c r="F367" s="15" t="s">
        <v>284</v>
      </c>
      <c r="G367" s="15" t="s">
        <v>321</v>
      </c>
    </row>
    <row r="368" customFormat="false" ht="15" hidden="false" customHeight="false" outlineLevel="0" collapsed="false">
      <c r="A368" s="0" t="s">
        <v>676</v>
      </c>
      <c r="B368" s="0" t="s">
        <v>186</v>
      </c>
      <c r="C368" s="14" t="n">
        <v>46066</v>
      </c>
      <c r="D368" s="0" t="n">
        <v>525.18</v>
      </c>
      <c r="E368" s="15" t="s">
        <v>86</v>
      </c>
      <c r="F368" s="15" t="s">
        <v>306</v>
      </c>
      <c r="G368" s="15" t="s">
        <v>321</v>
      </c>
    </row>
    <row r="369" customFormat="false" ht="15" hidden="false" customHeight="false" outlineLevel="0" collapsed="false">
      <c r="A369" s="0" t="s">
        <v>677</v>
      </c>
      <c r="B369" s="0" t="s">
        <v>140</v>
      </c>
      <c r="C369" s="14" t="n">
        <v>45968</v>
      </c>
      <c r="D369" s="0" t="n">
        <v>2740.38</v>
      </c>
      <c r="E369" s="15" t="s">
        <v>72</v>
      </c>
      <c r="F369" s="15" t="s">
        <v>308</v>
      </c>
      <c r="G369" s="15" t="s">
        <v>290</v>
      </c>
    </row>
    <row r="370" customFormat="false" ht="15" hidden="false" customHeight="false" outlineLevel="0" collapsed="false">
      <c r="A370" s="0" t="s">
        <v>678</v>
      </c>
      <c r="B370" s="0" t="s">
        <v>99</v>
      </c>
      <c r="C370" s="14" t="n">
        <v>45815</v>
      </c>
      <c r="D370" s="0" t="n">
        <v>9606.11</v>
      </c>
      <c r="E370" s="15" t="s">
        <v>101</v>
      </c>
      <c r="F370" s="15" t="s">
        <v>281</v>
      </c>
      <c r="G370" s="15" t="s">
        <v>313</v>
      </c>
    </row>
    <row r="371" customFormat="false" ht="15" hidden="false" customHeight="false" outlineLevel="0" collapsed="false">
      <c r="A371" s="0" t="s">
        <v>679</v>
      </c>
      <c r="B371" s="0" t="s">
        <v>143</v>
      </c>
      <c r="C371" s="14" t="n">
        <v>45725</v>
      </c>
      <c r="D371" s="0" t="n">
        <v>3156.13</v>
      </c>
      <c r="E371" s="15" t="s">
        <v>86</v>
      </c>
      <c r="F371" s="15" t="s">
        <v>310</v>
      </c>
      <c r="G371" s="15" t="s">
        <v>290</v>
      </c>
    </row>
    <row r="372" customFormat="false" ht="15" hidden="false" customHeight="false" outlineLevel="0" collapsed="false">
      <c r="A372" s="0" t="s">
        <v>680</v>
      </c>
      <c r="B372" s="0" t="s">
        <v>116</v>
      </c>
      <c r="C372" s="14" t="n">
        <v>46033</v>
      </c>
      <c r="D372" s="0" t="n">
        <v>1799.63</v>
      </c>
      <c r="E372" s="15" t="s">
        <v>86</v>
      </c>
      <c r="F372" s="15" t="s">
        <v>381</v>
      </c>
      <c r="G372" s="15" t="s">
        <v>282</v>
      </c>
    </row>
    <row r="373" customFormat="false" ht="15" hidden="false" customHeight="false" outlineLevel="0" collapsed="false">
      <c r="A373" s="0" t="s">
        <v>681</v>
      </c>
      <c r="B373" s="0" t="s">
        <v>192</v>
      </c>
      <c r="C373" s="14" t="n">
        <v>46039</v>
      </c>
      <c r="D373" s="0" t="n">
        <v>4160.94</v>
      </c>
      <c r="E373" s="15" t="s">
        <v>91</v>
      </c>
      <c r="F373" s="15" t="s">
        <v>284</v>
      </c>
      <c r="G373" s="15" t="s">
        <v>282</v>
      </c>
    </row>
    <row r="374" customFormat="false" ht="15" hidden="false" customHeight="false" outlineLevel="0" collapsed="false">
      <c r="A374" s="0" t="s">
        <v>682</v>
      </c>
      <c r="B374" s="0" t="s">
        <v>84</v>
      </c>
      <c r="C374" s="14" t="n">
        <v>46171</v>
      </c>
      <c r="D374" s="0" t="n">
        <v>1683.7</v>
      </c>
      <c r="E374" s="15" t="s">
        <v>86</v>
      </c>
      <c r="F374" s="15" t="s">
        <v>294</v>
      </c>
      <c r="G374" s="15" t="s">
        <v>290</v>
      </c>
    </row>
    <row r="375" customFormat="false" ht="15" hidden="false" customHeight="false" outlineLevel="0" collapsed="false">
      <c r="A375" s="0" t="s">
        <v>683</v>
      </c>
      <c r="B375" s="0" t="s">
        <v>84</v>
      </c>
      <c r="C375" s="14" t="n">
        <v>45930</v>
      </c>
      <c r="D375" s="0" t="n">
        <v>2002.66</v>
      </c>
      <c r="E375" s="15" t="s">
        <v>86</v>
      </c>
      <c r="F375" s="15" t="s">
        <v>337</v>
      </c>
      <c r="G375" s="15" t="s">
        <v>302</v>
      </c>
    </row>
    <row r="376" customFormat="false" ht="15" hidden="false" customHeight="false" outlineLevel="0" collapsed="false">
      <c r="A376" s="0" t="s">
        <v>684</v>
      </c>
      <c r="B376" s="0" t="s">
        <v>152</v>
      </c>
      <c r="C376" s="14" t="n">
        <v>45927</v>
      </c>
      <c r="D376" s="0" t="n">
        <v>1387.72</v>
      </c>
      <c r="E376" s="15" t="s">
        <v>101</v>
      </c>
      <c r="F376" s="15" t="s">
        <v>308</v>
      </c>
      <c r="G376" s="15" t="s">
        <v>287</v>
      </c>
    </row>
    <row r="377" customFormat="false" ht="15" hidden="false" customHeight="false" outlineLevel="0" collapsed="false">
      <c r="A377" s="0" t="s">
        <v>685</v>
      </c>
      <c r="B377" s="0" t="s">
        <v>183</v>
      </c>
      <c r="C377" s="14" t="n">
        <v>45701</v>
      </c>
      <c r="D377" s="0" t="n">
        <v>2387.19</v>
      </c>
      <c r="E377" s="15" t="s">
        <v>86</v>
      </c>
      <c r="F377" s="15" t="s">
        <v>306</v>
      </c>
      <c r="G377" s="15" t="s">
        <v>292</v>
      </c>
    </row>
    <row r="378" customFormat="false" ht="15" hidden="false" customHeight="false" outlineLevel="0" collapsed="false">
      <c r="A378" s="0" t="s">
        <v>686</v>
      </c>
      <c r="B378" s="0" t="s">
        <v>125</v>
      </c>
      <c r="C378" s="14" t="n">
        <v>45679</v>
      </c>
      <c r="D378" s="0" t="n">
        <v>4785.43</v>
      </c>
      <c r="E378" s="15" t="s">
        <v>72</v>
      </c>
      <c r="F378" s="15" t="s">
        <v>327</v>
      </c>
      <c r="G378" s="15" t="s">
        <v>327</v>
      </c>
    </row>
    <row r="379" customFormat="false" ht="15" hidden="false" customHeight="false" outlineLevel="0" collapsed="false">
      <c r="A379" s="0" t="s">
        <v>687</v>
      </c>
      <c r="B379" s="0" t="s">
        <v>84</v>
      </c>
      <c r="C379" s="14" t="n">
        <v>45893</v>
      </c>
      <c r="D379" s="0" t="n">
        <v>476.74</v>
      </c>
      <c r="E379" s="15" t="s">
        <v>86</v>
      </c>
      <c r="F379" s="15" t="s">
        <v>306</v>
      </c>
      <c r="G379" s="15" t="s">
        <v>279</v>
      </c>
    </row>
    <row r="380" customFormat="false" ht="15" hidden="false" customHeight="false" outlineLevel="0" collapsed="false">
      <c r="A380" s="0" t="s">
        <v>688</v>
      </c>
      <c r="B380" s="0" t="s">
        <v>161</v>
      </c>
      <c r="C380" s="14" t="n">
        <v>45833</v>
      </c>
      <c r="D380" s="0" t="n">
        <v>327.34</v>
      </c>
      <c r="E380" s="15" t="s">
        <v>72</v>
      </c>
      <c r="F380" s="15" t="s">
        <v>294</v>
      </c>
      <c r="G380" s="15" t="s">
        <v>302</v>
      </c>
    </row>
    <row r="381" customFormat="false" ht="15" hidden="false" customHeight="false" outlineLevel="0" collapsed="false">
      <c r="A381" s="0" t="s">
        <v>689</v>
      </c>
      <c r="B381" s="0" t="s">
        <v>84</v>
      </c>
      <c r="C381" s="14" t="n">
        <v>45794</v>
      </c>
      <c r="D381" s="0" t="n">
        <v>2106.84</v>
      </c>
      <c r="E381" s="15" t="s">
        <v>86</v>
      </c>
      <c r="F381" s="15" t="s">
        <v>337</v>
      </c>
      <c r="G381" s="15" t="s">
        <v>292</v>
      </c>
    </row>
    <row r="382" customFormat="false" ht="15" hidden="false" customHeight="false" outlineLevel="0" collapsed="false">
      <c r="A382" s="0" t="s">
        <v>690</v>
      </c>
      <c r="B382" s="0" t="s">
        <v>140</v>
      </c>
      <c r="C382" s="14" t="n">
        <v>45707</v>
      </c>
      <c r="D382" s="0" t="n">
        <v>175.5</v>
      </c>
      <c r="E382" s="15" t="s">
        <v>72</v>
      </c>
      <c r="F382" s="15" t="s">
        <v>344</v>
      </c>
      <c r="G382" s="15" t="s">
        <v>313</v>
      </c>
    </row>
    <row r="383" customFormat="false" ht="15" hidden="false" customHeight="false" outlineLevel="0" collapsed="false">
      <c r="A383" s="0" t="s">
        <v>691</v>
      </c>
      <c r="B383" s="0" t="s">
        <v>112</v>
      </c>
      <c r="C383" s="14" t="n">
        <v>46182</v>
      </c>
      <c r="D383" s="0" t="n">
        <v>7138.19</v>
      </c>
      <c r="E383" s="15" t="s">
        <v>114</v>
      </c>
      <c r="F383" s="15" t="s">
        <v>289</v>
      </c>
      <c r="G383" s="15" t="s">
        <v>279</v>
      </c>
    </row>
    <row r="384" customFormat="false" ht="15" hidden="false" customHeight="false" outlineLevel="0" collapsed="false">
      <c r="A384" s="0" t="s">
        <v>692</v>
      </c>
      <c r="B384" s="0" t="s">
        <v>152</v>
      </c>
      <c r="C384" s="14" t="n">
        <v>46113</v>
      </c>
      <c r="D384" s="0" t="n">
        <v>3683.41</v>
      </c>
      <c r="E384" s="15" t="s">
        <v>101</v>
      </c>
      <c r="F384" s="15" t="s">
        <v>381</v>
      </c>
      <c r="G384" s="15" t="s">
        <v>321</v>
      </c>
    </row>
    <row r="385" customFormat="false" ht="15" hidden="false" customHeight="false" outlineLevel="0" collapsed="false">
      <c r="A385" s="0" t="s">
        <v>693</v>
      </c>
      <c r="B385" s="0" t="s">
        <v>195</v>
      </c>
      <c r="C385" s="14" t="n">
        <v>45971</v>
      </c>
      <c r="D385" s="0" t="n">
        <v>851.6</v>
      </c>
      <c r="E385" s="15" t="s">
        <v>114</v>
      </c>
      <c r="F385" s="15" t="s">
        <v>304</v>
      </c>
      <c r="G385" s="15" t="s">
        <v>292</v>
      </c>
    </row>
    <row r="386" customFormat="false" ht="15" hidden="false" customHeight="false" outlineLevel="0" collapsed="false">
      <c r="A386" s="0" t="s">
        <v>694</v>
      </c>
      <c r="B386" s="0" t="s">
        <v>70</v>
      </c>
      <c r="C386" s="14" t="n">
        <v>46176</v>
      </c>
      <c r="D386" s="0" t="n">
        <v>321.55</v>
      </c>
      <c r="E386" s="15" t="s">
        <v>72</v>
      </c>
      <c r="F386" s="15" t="s">
        <v>284</v>
      </c>
      <c r="G386" s="15" t="s">
        <v>290</v>
      </c>
    </row>
    <row r="387" customFormat="false" ht="15" hidden="false" customHeight="false" outlineLevel="0" collapsed="false">
      <c r="A387" s="0" t="s">
        <v>695</v>
      </c>
      <c r="B387" s="0" t="s">
        <v>128</v>
      </c>
      <c r="C387" s="14" t="n">
        <v>46202</v>
      </c>
      <c r="D387" s="0" t="n">
        <v>2982.17</v>
      </c>
      <c r="E387" s="15" t="s">
        <v>101</v>
      </c>
      <c r="F387" s="15" t="s">
        <v>308</v>
      </c>
      <c r="G387" s="15" t="s">
        <v>282</v>
      </c>
    </row>
    <row r="388" customFormat="false" ht="15" hidden="false" customHeight="false" outlineLevel="0" collapsed="false">
      <c r="A388" s="0" t="s">
        <v>696</v>
      </c>
      <c r="B388" s="0" t="s">
        <v>99</v>
      </c>
      <c r="C388" s="14" t="n">
        <v>46024</v>
      </c>
      <c r="D388" s="0" t="n">
        <v>688.7</v>
      </c>
      <c r="E388" s="15" t="s">
        <v>101</v>
      </c>
      <c r="F388" s="15" t="s">
        <v>351</v>
      </c>
      <c r="G388" s="15" t="s">
        <v>282</v>
      </c>
    </row>
    <row r="389" customFormat="false" ht="15" hidden="false" customHeight="false" outlineLevel="0" collapsed="false">
      <c r="A389" s="0" t="s">
        <v>697</v>
      </c>
      <c r="B389" s="0" t="s">
        <v>155</v>
      </c>
      <c r="C389" s="14" t="n">
        <v>45804</v>
      </c>
      <c r="D389" s="0" t="n">
        <v>8582.35</v>
      </c>
      <c r="E389" s="15" t="s">
        <v>106</v>
      </c>
      <c r="F389" s="15" t="s">
        <v>298</v>
      </c>
      <c r="G389" s="15" t="s">
        <v>292</v>
      </c>
    </row>
    <row r="390" customFormat="false" ht="15" hidden="false" customHeight="false" outlineLevel="0" collapsed="false">
      <c r="A390" s="0" t="s">
        <v>698</v>
      </c>
      <c r="B390" s="0" t="s">
        <v>112</v>
      </c>
      <c r="C390" s="14" t="n">
        <v>45679</v>
      </c>
      <c r="D390" s="0" t="n">
        <v>4765.55</v>
      </c>
      <c r="E390" s="15" t="s">
        <v>114</v>
      </c>
      <c r="F390" s="15" t="s">
        <v>360</v>
      </c>
      <c r="G390" s="15" t="s">
        <v>287</v>
      </c>
    </row>
    <row r="391" customFormat="false" ht="15" hidden="false" customHeight="false" outlineLevel="0" collapsed="false">
      <c r="A391" s="0" t="s">
        <v>699</v>
      </c>
      <c r="B391" s="0" t="s">
        <v>75</v>
      </c>
      <c r="C391" s="14" t="n">
        <v>46070</v>
      </c>
      <c r="D391" s="0" t="n">
        <v>3276.88</v>
      </c>
      <c r="E391" s="15" t="s">
        <v>77</v>
      </c>
      <c r="F391" s="15" t="s">
        <v>330</v>
      </c>
      <c r="G391" s="15" t="s">
        <v>290</v>
      </c>
    </row>
    <row r="392" customFormat="false" ht="15" hidden="false" customHeight="false" outlineLevel="0" collapsed="false">
      <c r="A392" s="0" t="s">
        <v>700</v>
      </c>
      <c r="B392" s="0" t="s">
        <v>180</v>
      </c>
      <c r="C392" s="14" t="n">
        <v>45914</v>
      </c>
      <c r="D392" s="0" t="n">
        <v>1027.11</v>
      </c>
      <c r="E392" s="15" t="s">
        <v>86</v>
      </c>
      <c r="F392" s="15" t="s">
        <v>337</v>
      </c>
      <c r="G392" s="15" t="s">
        <v>279</v>
      </c>
    </row>
    <row r="393" customFormat="false" ht="15" hidden="false" customHeight="false" outlineLevel="0" collapsed="false">
      <c r="A393" s="0" t="s">
        <v>701</v>
      </c>
      <c r="B393" s="0" t="s">
        <v>171</v>
      </c>
      <c r="C393" s="14" t="n">
        <v>46013</v>
      </c>
      <c r="D393" s="0" t="n">
        <v>4853.33</v>
      </c>
      <c r="E393" s="15" t="s">
        <v>106</v>
      </c>
      <c r="F393" s="15" t="s">
        <v>298</v>
      </c>
      <c r="G393" s="15" t="s">
        <v>290</v>
      </c>
    </row>
    <row r="394" customFormat="false" ht="15" hidden="false" customHeight="false" outlineLevel="0" collapsed="false">
      <c r="A394" s="0" t="s">
        <v>702</v>
      </c>
      <c r="B394" s="0" t="s">
        <v>131</v>
      </c>
      <c r="C394" s="14" t="n">
        <v>46157</v>
      </c>
      <c r="D394" s="0" t="n">
        <v>4213.88</v>
      </c>
      <c r="E394" s="15" t="s">
        <v>101</v>
      </c>
      <c r="F394" s="15" t="s">
        <v>306</v>
      </c>
      <c r="G394" s="15" t="s">
        <v>321</v>
      </c>
    </row>
    <row r="395" customFormat="false" ht="15" hidden="false" customHeight="false" outlineLevel="0" collapsed="false">
      <c r="A395" s="0" t="s">
        <v>703</v>
      </c>
      <c r="B395" s="0" t="s">
        <v>134</v>
      </c>
      <c r="C395" s="14" t="n">
        <v>45756</v>
      </c>
      <c r="D395" s="0" t="n">
        <v>1024.13</v>
      </c>
      <c r="E395" s="15" t="s">
        <v>114</v>
      </c>
      <c r="F395" s="15" t="s">
        <v>294</v>
      </c>
      <c r="G395" s="15" t="s">
        <v>313</v>
      </c>
    </row>
    <row r="396" customFormat="false" ht="15" hidden="false" customHeight="false" outlineLevel="0" collapsed="false">
      <c r="A396" s="0" t="s">
        <v>704</v>
      </c>
      <c r="B396" s="0" t="s">
        <v>75</v>
      </c>
      <c r="C396" s="14" t="n">
        <v>45977</v>
      </c>
      <c r="D396" s="0" t="n">
        <v>6836.7</v>
      </c>
      <c r="E396" s="15" t="s">
        <v>77</v>
      </c>
      <c r="F396" s="15" t="s">
        <v>334</v>
      </c>
      <c r="G396" s="15" t="s">
        <v>290</v>
      </c>
    </row>
    <row r="397" customFormat="false" ht="15" hidden="false" customHeight="false" outlineLevel="0" collapsed="false">
      <c r="A397" s="0" t="s">
        <v>705</v>
      </c>
      <c r="B397" s="0" t="s">
        <v>167</v>
      </c>
      <c r="C397" s="14" t="n">
        <v>46003</v>
      </c>
      <c r="D397" s="0" t="n">
        <v>2800.96</v>
      </c>
      <c r="E397" s="15" t="s">
        <v>72</v>
      </c>
      <c r="F397" s="15" t="s">
        <v>278</v>
      </c>
      <c r="G397" s="15" t="s">
        <v>321</v>
      </c>
    </row>
    <row r="398" customFormat="false" ht="15" hidden="false" customHeight="false" outlineLevel="0" collapsed="false">
      <c r="A398" s="0" t="s">
        <v>706</v>
      </c>
      <c r="B398" s="0" t="s">
        <v>84</v>
      </c>
      <c r="C398" s="14" t="n">
        <v>45925</v>
      </c>
      <c r="D398" s="0" t="n">
        <v>2607.21</v>
      </c>
      <c r="E398" s="15" t="s">
        <v>86</v>
      </c>
      <c r="F398" s="15" t="s">
        <v>334</v>
      </c>
      <c r="G398" s="15" t="s">
        <v>313</v>
      </c>
    </row>
    <row r="399" customFormat="false" ht="15" hidden="false" customHeight="false" outlineLevel="0" collapsed="false">
      <c r="A399" s="0" t="s">
        <v>707</v>
      </c>
      <c r="B399" s="0" t="s">
        <v>122</v>
      </c>
      <c r="C399" s="14" t="n">
        <v>45707</v>
      </c>
      <c r="D399" s="0" t="n">
        <v>3346.97</v>
      </c>
      <c r="E399" s="15" t="s">
        <v>86</v>
      </c>
      <c r="F399" s="15" t="s">
        <v>281</v>
      </c>
      <c r="G399" s="15" t="s">
        <v>302</v>
      </c>
    </row>
    <row r="400" customFormat="false" ht="15" hidden="false" customHeight="false" outlineLevel="0" collapsed="false">
      <c r="A400" s="0" t="s">
        <v>708</v>
      </c>
      <c r="B400" s="0" t="s">
        <v>164</v>
      </c>
      <c r="C400" s="14" t="n">
        <v>45847</v>
      </c>
      <c r="D400" s="0" t="n">
        <v>927.7</v>
      </c>
      <c r="E400" s="15" t="s">
        <v>77</v>
      </c>
      <c r="F400" s="15" t="s">
        <v>327</v>
      </c>
      <c r="G400" s="15" t="s">
        <v>313</v>
      </c>
    </row>
    <row r="401" customFormat="false" ht="15" hidden="false" customHeight="false" outlineLevel="0" collapsed="false">
      <c r="A401" s="0" t="s">
        <v>709</v>
      </c>
      <c r="B401" s="0" t="s">
        <v>134</v>
      </c>
      <c r="C401" s="14" t="n">
        <v>45839</v>
      </c>
      <c r="D401" s="0" t="n">
        <v>1759.54</v>
      </c>
      <c r="E401" s="15" t="s">
        <v>114</v>
      </c>
      <c r="F401" s="15" t="s">
        <v>334</v>
      </c>
      <c r="G401" s="15" t="s">
        <v>290</v>
      </c>
    </row>
    <row r="402" customFormat="false" ht="15" hidden="false" customHeight="false" outlineLevel="0" collapsed="false">
      <c r="A402" s="0" t="s">
        <v>710</v>
      </c>
      <c r="B402" s="0" t="s">
        <v>167</v>
      </c>
      <c r="C402" s="14" t="n">
        <v>46023</v>
      </c>
      <c r="D402" s="0" t="n">
        <v>1478.45</v>
      </c>
      <c r="E402" s="15" t="s">
        <v>72</v>
      </c>
      <c r="F402" s="15" t="s">
        <v>294</v>
      </c>
      <c r="G402" s="15" t="s">
        <v>287</v>
      </c>
    </row>
    <row r="403" customFormat="false" ht="15" hidden="false" customHeight="false" outlineLevel="0" collapsed="false">
      <c r="A403" s="0" t="s">
        <v>711</v>
      </c>
      <c r="B403" s="0" t="s">
        <v>158</v>
      </c>
      <c r="C403" s="14" t="n">
        <v>46125</v>
      </c>
      <c r="D403" s="0" t="n">
        <v>5195.5</v>
      </c>
      <c r="E403" s="15" t="s">
        <v>77</v>
      </c>
      <c r="F403" s="15" t="s">
        <v>308</v>
      </c>
      <c r="G403" s="15" t="s">
        <v>287</v>
      </c>
    </row>
    <row r="404" customFormat="false" ht="15" hidden="false" customHeight="false" outlineLevel="0" collapsed="false">
      <c r="A404" s="0" t="s">
        <v>712</v>
      </c>
      <c r="B404" s="0" t="s">
        <v>155</v>
      </c>
      <c r="C404" s="14" t="n">
        <v>45837</v>
      </c>
      <c r="D404" s="0" t="n">
        <v>3949.44</v>
      </c>
      <c r="E404" s="15" t="s">
        <v>106</v>
      </c>
      <c r="F404" s="15" t="s">
        <v>308</v>
      </c>
      <c r="G404" s="15" t="s">
        <v>321</v>
      </c>
    </row>
    <row r="405" customFormat="false" ht="15" hidden="false" customHeight="false" outlineLevel="0" collapsed="false">
      <c r="A405" s="0" t="s">
        <v>713</v>
      </c>
      <c r="B405" s="0" t="s">
        <v>174</v>
      </c>
      <c r="C405" s="14" t="n">
        <v>46036</v>
      </c>
      <c r="D405" s="0" t="n">
        <v>1752.88</v>
      </c>
      <c r="E405" s="15" t="s">
        <v>91</v>
      </c>
      <c r="F405" s="15" t="s">
        <v>334</v>
      </c>
      <c r="G405" s="15" t="s">
        <v>321</v>
      </c>
    </row>
    <row r="406" customFormat="false" ht="15" hidden="false" customHeight="false" outlineLevel="0" collapsed="false">
      <c r="A406" s="0" t="s">
        <v>714</v>
      </c>
      <c r="B406" s="0" t="s">
        <v>80</v>
      </c>
      <c r="C406" s="14" t="n">
        <v>45815</v>
      </c>
      <c r="D406" s="0" t="n">
        <v>3826.85</v>
      </c>
      <c r="E406" s="15" t="s">
        <v>72</v>
      </c>
      <c r="F406" s="15" t="s">
        <v>286</v>
      </c>
      <c r="G406" s="15" t="s">
        <v>287</v>
      </c>
    </row>
    <row r="407" customFormat="false" ht="15" hidden="false" customHeight="false" outlineLevel="0" collapsed="false">
      <c r="A407" s="0" t="s">
        <v>715</v>
      </c>
      <c r="B407" s="0" t="s">
        <v>119</v>
      </c>
      <c r="C407" s="14" t="n">
        <v>46173</v>
      </c>
      <c r="D407" s="0" t="n">
        <v>1836.32</v>
      </c>
      <c r="E407" s="15" t="s">
        <v>86</v>
      </c>
      <c r="F407" s="15" t="s">
        <v>306</v>
      </c>
      <c r="G407" s="15" t="s">
        <v>302</v>
      </c>
    </row>
    <row r="408" customFormat="false" ht="15" hidden="false" customHeight="false" outlineLevel="0" collapsed="false">
      <c r="A408" s="0" t="s">
        <v>716</v>
      </c>
      <c r="B408" s="0" t="s">
        <v>137</v>
      </c>
      <c r="C408" s="14" t="n">
        <v>46101</v>
      </c>
      <c r="D408" s="0" t="n">
        <v>933.1</v>
      </c>
      <c r="E408" s="15" t="s">
        <v>106</v>
      </c>
      <c r="F408" s="15" t="s">
        <v>330</v>
      </c>
      <c r="G408" s="15" t="s">
        <v>290</v>
      </c>
    </row>
    <row r="409" customFormat="false" ht="15" hidden="false" customHeight="false" outlineLevel="0" collapsed="false">
      <c r="A409" s="0" t="s">
        <v>717</v>
      </c>
      <c r="B409" s="0" t="s">
        <v>116</v>
      </c>
      <c r="C409" s="14" t="n">
        <v>45957</v>
      </c>
      <c r="D409" s="0" t="n">
        <v>6538.37</v>
      </c>
      <c r="E409" s="15" t="s">
        <v>86</v>
      </c>
      <c r="F409" s="15" t="s">
        <v>284</v>
      </c>
      <c r="G409" s="15" t="s">
        <v>292</v>
      </c>
    </row>
    <row r="410" customFormat="false" ht="15" hidden="false" customHeight="false" outlineLevel="0" collapsed="false">
      <c r="A410" s="0" t="s">
        <v>718</v>
      </c>
      <c r="B410" s="0" t="s">
        <v>146</v>
      </c>
      <c r="C410" s="14" t="n">
        <v>45905</v>
      </c>
      <c r="D410" s="0" t="n">
        <v>3586.35</v>
      </c>
      <c r="E410" s="15" t="s">
        <v>114</v>
      </c>
      <c r="F410" s="15" t="s">
        <v>306</v>
      </c>
      <c r="G410" s="15" t="s">
        <v>290</v>
      </c>
    </row>
    <row r="411" customFormat="false" ht="15" hidden="false" customHeight="false" outlineLevel="0" collapsed="false">
      <c r="A411" s="0" t="s">
        <v>719</v>
      </c>
      <c r="B411" s="0" t="s">
        <v>167</v>
      </c>
      <c r="C411" s="14" t="n">
        <v>45829</v>
      </c>
      <c r="D411" s="0" t="n">
        <v>3705.05</v>
      </c>
      <c r="E411" s="15" t="s">
        <v>72</v>
      </c>
      <c r="F411" s="15" t="s">
        <v>286</v>
      </c>
      <c r="G411" s="15" t="s">
        <v>282</v>
      </c>
    </row>
    <row r="412" customFormat="false" ht="15" hidden="false" customHeight="false" outlineLevel="0" collapsed="false">
      <c r="A412" s="0" t="s">
        <v>720</v>
      </c>
      <c r="B412" s="0" t="s">
        <v>89</v>
      </c>
      <c r="C412" s="14" t="n">
        <v>45834</v>
      </c>
      <c r="D412" s="0" t="n">
        <v>4579.99</v>
      </c>
      <c r="E412" s="15" t="s">
        <v>91</v>
      </c>
      <c r="F412" s="15" t="s">
        <v>289</v>
      </c>
      <c r="G412" s="15" t="s">
        <v>292</v>
      </c>
    </row>
    <row r="413" customFormat="false" ht="15" hidden="false" customHeight="false" outlineLevel="0" collapsed="false">
      <c r="A413" s="0" t="s">
        <v>721</v>
      </c>
      <c r="B413" s="0" t="s">
        <v>125</v>
      </c>
      <c r="C413" s="14" t="n">
        <v>46186</v>
      </c>
      <c r="D413" s="0" t="n">
        <v>439.82</v>
      </c>
      <c r="E413" s="15" t="s">
        <v>72</v>
      </c>
      <c r="F413" s="15" t="s">
        <v>308</v>
      </c>
      <c r="G413" s="15" t="s">
        <v>279</v>
      </c>
    </row>
    <row r="414" customFormat="false" ht="15" hidden="false" customHeight="false" outlineLevel="0" collapsed="false">
      <c r="A414" s="0" t="s">
        <v>722</v>
      </c>
      <c r="B414" s="0" t="s">
        <v>109</v>
      </c>
      <c r="C414" s="14" t="n">
        <v>45878</v>
      </c>
      <c r="D414" s="0" t="n">
        <v>1348.19</v>
      </c>
      <c r="E414" s="15" t="s">
        <v>101</v>
      </c>
      <c r="F414" s="15" t="s">
        <v>296</v>
      </c>
      <c r="G414" s="15" t="s">
        <v>313</v>
      </c>
    </row>
    <row r="415" customFormat="false" ht="15" hidden="false" customHeight="false" outlineLevel="0" collapsed="false">
      <c r="A415" s="0" t="s">
        <v>723</v>
      </c>
      <c r="B415" s="0" t="s">
        <v>134</v>
      </c>
      <c r="C415" s="14" t="n">
        <v>45938</v>
      </c>
      <c r="D415" s="0" t="n">
        <v>2579.5</v>
      </c>
      <c r="E415" s="15" t="s">
        <v>114</v>
      </c>
      <c r="F415" s="15" t="s">
        <v>284</v>
      </c>
      <c r="G415" s="15" t="s">
        <v>290</v>
      </c>
    </row>
    <row r="416" customFormat="false" ht="15" hidden="false" customHeight="false" outlineLevel="0" collapsed="false">
      <c r="A416" s="0" t="s">
        <v>724</v>
      </c>
      <c r="B416" s="0" t="s">
        <v>70</v>
      </c>
      <c r="C416" s="14" t="n">
        <v>46196</v>
      </c>
      <c r="D416" s="0" t="n">
        <v>1874.41</v>
      </c>
      <c r="E416" s="15" t="s">
        <v>72</v>
      </c>
      <c r="F416" s="15" t="s">
        <v>346</v>
      </c>
      <c r="G416" s="15" t="s">
        <v>290</v>
      </c>
    </row>
    <row r="417" customFormat="false" ht="15" hidden="false" customHeight="false" outlineLevel="0" collapsed="false">
      <c r="A417" s="0" t="s">
        <v>725</v>
      </c>
      <c r="B417" s="0" t="s">
        <v>183</v>
      </c>
      <c r="C417" s="14" t="n">
        <v>46016</v>
      </c>
      <c r="D417" s="0" t="n">
        <v>1850.75</v>
      </c>
      <c r="E417" s="15" t="s">
        <v>86</v>
      </c>
      <c r="F417" s="15" t="s">
        <v>360</v>
      </c>
      <c r="G417" s="15" t="s">
        <v>292</v>
      </c>
    </row>
    <row r="418" customFormat="false" ht="15" hidden="false" customHeight="false" outlineLevel="0" collapsed="false">
      <c r="A418" s="0" t="s">
        <v>726</v>
      </c>
      <c r="B418" s="0" t="s">
        <v>93</v>
      </c>
      <c r="C418" s="14" t="n">
        <v>45953</v>
      </c>
      <c r="D418" s="0" t="n">
        <v>1673.73</v>
      </c>
      <c r="E418" s="15" t="s">
        <v>86</v>
      </c>
      <c r="F418" s="15" t="s">
        <v>284</v>
      </c>
      <c r="G418" s="15" t="s">
        <v>287</v>
      </c>
    </row>
    <row r="419" customFormat="false" ht="15" hidden="false" customHeight="false" outlineLevel="0" collapsed="false">
      <c r="A419" s="0" t="s">
        <v>727</v>
      </c>
      <c r="B419" s="0" t="s">
        <v>75</v>
      </c>
      <c r="C419" s="14" t="n">
        <v>45883</v>
      </c>
      <c r="D419" s="0" t="n">
        <v>3328.14</v>
      </c>
      <c r="E419" s="15" t="s">
        <v>77</v>
      </c>
      <c r="F419" s="15" t="s">
        <v>327</v>
      </c>
      <c r="G419" s="15" t="s">
        <v>313</v>
      </c>
    </row>
    <row r="420" customFormat="false" ht="15" hidden="false" customHeight="false" outlineLevel="0" collapsed="false">
      <c r="A420" s="0" t="s">
        <v>728</v>
      </c>
      <c r="B420" s="0" t="s">
        <v>146</v>
      </c>
      <c r="C420" s="14" t="n">
        <v>45760</v>
      </c>
      <c r="D420" s="0" t="n">
        <v>537.31</v>
      </c>
      <c r="E420" s="15" t="s">
        <v>114</v>
      </c>
      <c r="F420" s="15" t="s">
        <v>306</v>
      </c>
      <c r="G420" s="15" t="s">
        <v>282</v>
      </c>
    </row>
    <row r="421" customFormat="false" ht="15" hidden="false" customHeight="false" outlineLevel="0" collapsed="false">
      <c r="A421" s="0" t="s">
        <v>729</v>
      </c>
      <c r="B421" s="0" t="s">
        <v>96</v>
      </c>
      <c r="C421" s="14" t="n">
        <v>45855</v>
      </c>
      <c r="D421" s="0" t="n">
        <v>1115.7</v>
      </c>
      <c r="E421" s="15" t="s">
        <v>77</v>
      </c>
      <c r="F421" s="15" t="s">
        <v>346</v>
      </c>
      <c r="G421" s="15" t="s">
        <v>292</v>
      </c>
    </row>
    <row r="422" customFormat="false" ht="15" hidden="false" customHeight="false" outlineLevel="0" collapsed="false">
      <c r="A422" s="0" t="s">
        <v>730</v>
      </c>
      <c r="B422" s="0" t="s">
        <v>137</v>
      </c>
      <c r="C422" s="14" t="n">
        <v>46070</v>
      </c>
      <c r="D422" s="0" t="n">
        <v>1572.78</v>
      </c>
      <c r="E422" s="15" t="s">
        <v>106</v>
      </c>
      <c r="F422" s="15" t="s">
        <v>334</v>
      </c>
      <c r="G422" s="15" t="s">
        <v>321</v>
      </c>
    </row>
    <row r="423" customFormat="false" ht="15" hidden="false" customHeight="false" outlineLevel="0" collapsed="false">
      <c r="A423" s="0" t="s">
        <v>731</v>
      </c>
      <c r="B423" s="0" t="s">
        <v>155</v>
      </c>
      <c r="C423" s="14" t="n">
        <v>45998</v>
      </c>
      <c r="D423" s="0" t="n">
        <v>1440.58</v>
      </c>
      <c r="E423" s="15" t="s">
        <v>106</v>
      </c>
      <c r="F423" s="15" t="s">
        <v>337</v>
      </c>
      <c r="G423" s="15" t="s">
        <v>282</v>
      </c>
    </row>
    <row r="424" customFormat="false" ht="15" hidden="false" customHeight="false" outlineLevel="0" collapsed="false">
      <c r="A424" s="0" t="s">
        <v>732</v>
      </c>
      <c r="B424" s="0" t="s">
        <v>140</v>
      </c>
      <c r="C424" s="14" t="n">
        <v>46072</v>
      </c>
      <c r="D424" s="0" t="n">
        <v>308.34</v>
      </c>
      <c r="E424" s="15" t="s">
        <v>72</v>
      </c>
      <c r="F424" s="15" t="s">
        <v>304</v>
      </c>
      <c r="G424" s="15" t="s">
        <v>313</v>
      </c>
    </row>
    <row r="425" customFormat="false" ht="15" hidden="false" customHeight="false" outlineLevel="0" collapsed="false">
      <c r="A425" s="0" t="s">
        <v>733</v>
      </c>
      <c r="B425" s="0" t="s">
        <v>183</v>
      </c>
      <c r="C425" s="14" t="n">
        <v>45768</v>
      </c>
      <c r="D425" s="0" t="n">
        <v>303.89</v>
      </c>
      <c r="E425" s="15" t="s">
        <v>86</v>
      </c>
      <c r="F425" s="15" t="s">
        <v>308</v>
      </c>
      <c r="G425" s="15" t="s">
        <v>313</v>
      </c>
    </row>
    <row r="426" customFormat="false" ht="15" hidden="false" customHeight="false" outlineLevel="0" collapsed="false">
      <c r="A426" s="0" t="s">
        <v>734</v>
      </c>
      <c r="B426" s="0" t="s">
        <v>149</v>
      </c>
      <c r="C426" s="14" t="n">
        <v>45957</v>
      </c>
      <c r="D426" s="0" t="n">
        <v>4223.32</v>
      </c>
      <c r="E426" s="15" t="s">
        <v>72</v>
      </c>
      <c r="F426" s="15" t="s">
        <v>306</v>
      </c>
      <c r="G426" s="15" t="s">
        <v>282</v>
      </c>
    </row>
    <row r="427" customFormat="false" ht="15" hidden="false" customHeight="false" outlineLevel="0" collapsed="false">
      <c r="A427" s="0" t="s">
        <v>735</v>
      </c>
      <c r="B427" s="0" t="s">
        <v>125</v>
      </c>
      <c r="C427" s="14" t="n">
        <v>46163</v>
      </c>
      <c r="D427" s="0" t="n">
        <v>1084.38</v>
      </c>
      <c r="E427" s="15" t="s">
        <v>72</v>
      </c>
      <c r="F427" s="15" t="s">
        <v>351</v>
      </c>
      <c r="G427" s="15" t="s">
        <v>290</v>
      </c>
    </row>
    <row r="428" customFormat="false" ht="15" hidden="false" customHeight="false" outlineLevel="0" collapsed="false">
      <c r="A428" s="0" t="s">
        <v>736</v>
      </c>
      <c r="B428" s="0" t="s">
        <v>192</v>
      </c>
      <c r="C428" s="14" t="n">
        <v>45896</v>
      </c>
      <c r="D428" s="0" t="n">
        <v>3288.85</v>
      </c>
      <c r="E428" s="15" t="s">
        <v>91</v>
      </c>
      <c r="F428" s="15" t="s">
        <v>298</v>
      </c>
      <c r="G428" s="15" t="s">
        <v>321</v>
      </c>
    </row>
    <row r="429" customFormat="false" ht="15" hidden="false" customHeight="false" outlineLevel="0" collapsed="false">
      <c r="A429" s="0" t="s">
        <v>737</v>
      </c>
      <c r="B429" s="0" t="s">
        <v>75</v>
      </c>
      <c r="C429" s="14" t="n">
        <v>46038</v>
      </c>
      <c r="D429" s="0" t="n">
        <v>2979.58</v>
      </c>
      <c r="E429" s="15" t="s">
        <v>77</v>
      </c>
      <c r="F429" s="15" t="s">
        <v>381</v>
      </c>
      <c r="G429" s="15" t="s">
        <v>290</v>
      </c>
    </row>
    <row r="430" customFormat="false" ht="15" hidden="false" customHeight="false" outlineLevel="0" collapsed="false">
      <c r="A430" s="0" t="s">
        <v>738</v>
      </c>
      <c r="B430" s="0" t="s">
        <v>134</v>
      </c>
      <c r="C430" s="14" t="n">
        <v>45724</v>
      </c>
      <c r="D430" s="0" t="n">
        <v>209.66</v>
      </c>
      <c r="E430" s="15" t="s">
        <v>114</v>
      </c>
      <c r="F430" s="15" t="s">
        <v>344</v>
      </c>
      <c r="G430" s="15" t="s">
        <v>344</v>
      </c>
    </row>
    <row r="431" customFormat="false" ht="15" hidden="false" customHeight="false" outlineLevel="0" collapsed="false">
      <c r="A431" s="0" t="s">
        <v>739</v>
      </c>
      <c r="B431" s="0" t="s">
        <v>192</v>
      </c>
      <c r="C431" s="14" t="n">
        <v>46188</v>
      </c>
      <c r="D431" s="0" t="n">
        <v>3415.67</v>
      </c>
      <c r="E431" s="15" t="s">
        <v>91</v>
      </c>
      <c r="F431" s="15" t="s">
        <v>306</v>
      </c>
      <c r="G431" s="15" t="s">
        <v>313</v>
      </c>
    </row>
    <row r="432" customFormat="false" ht="15" hidden="false" customHeight="false" outlineLevel="0" collapsed="false">
      <c r="A432" s="0" t="s">
        <v>740</v>
      </c>
      <c r="B432" s="0" t="s">
        <v>158</v>
      </c>
      <c r="C432" s="14" t="n">
        <v>45989</v>
      </c>
      <c r="D432" s="0" t="n">
        <v>1992.56</v>
      </c>
      <c r="E432" s="15" t="s">
        <v>77</v>
      </c>
      <c r="F432" s="15" t="s">
        <v>346</v>
      </c>
      <c r="G432" s="15" t="s">
        <v>287</v>
      </c>
    </row>
    <row r="433" customFormat="false" ht="15" hidden="false" customHeight="false" outlineLevel="0" collapsed="false">
      <c r="A433" s="0" t="s">
        <v>741</v>
      </c>
      <c r="B433" s="0" t="s">
        <v>70</v>
      </c>
      <c r="C433" s="14" t="n">
        <v>45788</v>
      </c>
      <c r="D433" s="0" t="n">
        <v>2035.46</v>
      </c>
      <c r="E433" s="15" t="s">
        <v>72</v>
      </c>
      <c r="F433" s="15" t="s">
        <v>281</v>
      </c>
      <c r="G433" s="15" t="s">
        <v>313</v>
      </c>
    </row>
    <row r="434" customFormat="false" ht="15" hidden="false" customHeight="false" outlineLevel="0" collapsed="false">
      <c r="A434" s="0" t="s">
        <v>742</v>
      </c>
      <c r="B434" s="0" t="s">
        <v>93</v>
      </c>
      <c r="C434" s="14" t="n">
        <v>45744</v>
      </c>
      <c r="D434" s="0" t="n">
        <v>9019.36</v>
      </c>
      <c r="E434" s="15" t="s">
        <v>86</v>
      </c>
      <c r="F434" s="15" t="s">
        <v>337</v>
      </c>
      <c r="G434" s="15" t="s">
        <v>292</v>
      </c>
    </row>
    <row r="435" customFormat="false" ht="15" hidden="false" customHeight="false" outlineLevel="0" collapsed="false">
      <c r="A435" s="0" t="s">
        <v>743</v>
      </c>
      <c r="B435" s="0" t="s">
        <v>128</v>
      </c>
      <c r="C435" s="14" t="n">
        <v>45958</v>
      </c>
      <c r="D435" s="0" t="n">
        <v>1812.95</v>
      </c>
      <c r="E435" s="15" t="s">
        <v>101</v>
      </c>
      <c r="F435" s="15" t="s">
        <v>294</v>
      </c>
      <c r="G435" s="15" t="s">
        <v>313</v>
      </c>
    </row>
    <row r="436" customFormat="false" ht="15" hidden="false" customHeight="false" outlineLevel="0" collapsed="false">
      <c r="A436" s="0" t="s">
        <v>744</v>
      </c>
      <c r="B436" s="0" t="s">
        <v>149</v>
      </c>
      <c r="C436" s="14" t="n">
        <v>45958</v>
      </c>
      <c r="D436" s="0" t="n">
        <v>939.2</v>
      </c>
      <c r="E436" s="15" t="s">
        <v>72</v>
      </c>
      <c r="F436" s="15" t="s">
        <v>281</v>
      </c>
      <c r="G436" s="15" t="s">
        <v>313</v>
      </c>
    </row>
    <row r="437" customFormat="false" ht="15" hidden="false" customHeight="false" outlineLevel="0" collapsed="false">
      <c r="A437" s="0" t="s">
        <v>745</v>
      </c>
      <c r="B437" s="0" t="s">
        <v>104</v>
      </c>
      <c r="C437" s="14" t="n">
        <v>45708</v>
      </c>
      <c r="D437" s="0" t="n">
        <v>2749.82</v>
      </c>
      <c r="E437" s="15" t="s">
        <v>106</v>
      </c>
      <c r="F437" s="15" t="s">
        <v>351</v>
      </c>
      <c r="G437" s="15" t="s">
        <v>313</v>
      </c>
    </row>
    <row r="438" customFormat="false" ht="15" hidden="false" customHeight="false" outlineLevel="0" collapsed="false">
      <c r="A438" s="0" t="s">
        <v>746</v>
      </c>
      <c r="B438" s="0" t="s">
        <v>131</v>
      </c>
      <c r="C438" s="14" t="n">
        <v>46198</v>
      </c>
      <c r="D438" s="0" t="n">
        <v>4037.07</v>
      </c>
      <c r="E438" s="15" t="s">
        <v>101</v>
      </c>
      <c r="F438" s="15" t="s">
        <v>310</v>
      </c>
      <c r="G438" s="15" t="s">
        <v>282</v>
      </c>
    </row>
    <row r="439" customFormat="false" ht="15" hidden="false" customHeight="false" outlineLevel="0" collapsed="false">
      <c r="A439" s="0" t="s">
        <v>747</v>
      </c>
      <c r="B439" s="0" t="s">
        <v>119</v>
      </c>
      <c r="C439" s="14" t="n">
        <v>46155</v>
      </c>
      <c r="D439" s="0" t="n">
        <v>1201.82</v>
      </c>
      <c r="E439" s="15" t="s">
        <v>86</v>
      </c>
      <c r="F439" s="15" t="s">
        <v>304</v>
      </c>
      <c r="G439" s="15" t="s">
        <v>279</v>
      </c>
    </row>
    <row r="440" customFormat="false" ht="15" hidden="false" customHeight="false" outlineLevel="0" collapsed="false">
      <c r="A440" s="0" t="s">
        <v>748</v>
      </c>
      <c r="B440" s="0" t="s">
        <v>109</v>
      </c>
      <c r="C440" s="14" t="n">
        <v>45909</v>
      </c>
      <c r="D440" s="0" t="n">
        <v>1494.41</v>
      </c>
      <c r="E440" s="15" t="s">
        <v>101</v>
      </c>
      <c r="F440" s="15" t="s">
        <v>327</v>
      </c>
      <c r="G440" s="15" t="s">
        <v>302</v>
      </c>
    </row>
    <row r="441" customFormat="false" ht="15" hidden="false" customHeight="false" outlineLevel="0" collapsed="false">
      <c r="A441" s="0" t="s">
        <v>749</v>
      </c>
      <c r="B441" s="0" t="s">
        <v>75</v>
      </c>
      <c r="C441" s="14" t="n">
        <v>45722</v>
      </c>
      <c r="D441" s="0" t="n">
        <v>791.01</v>
      </c>
      <c r="E441" s="15" t="s">
        <v>77</v>
      </c>
      <c r="F441" s="15" t="s">
        <v>284</v>
      </c>
      <c r="G441" s="15" t="s">
        <v>279</v>
      </c>
    </row>
    <row r="442" customFormat="false" ht="15" hidden="false" customHeight="false" outlineLevel="0" collapsed="false">
      <c r="A442" s="0" t="s">
        <v>750</v>
      </c>
      <c r="B442" s="0" t="s">
        <v>134</v>
      </c>
      <c r="C442" s="14" t="n">
        <v>46111</v>
      </c>
      <c r="D442" s="0" t="n">
        <v>2064.66</v>
      </c>
      <c r="E442" s="15" t="s">
        <v>114</v>
      </c>
      <c r="F442" s="15" t="s">
        <v>306</v>
      </c>
      <c r="G442" s="15" t="s">
        <v>287</v>
      </c>
    </row>
    <row r="443" customFormat="false" ht="15" hidden="false" customHeight="false" outlineLevel="0" collapsed="false">
      <c r="A443" s="0" t="s">
        <v>751</v>
      </c>
      <c r="B443" s="0" t="s">
        <v>134</v>
      </c>
      <c r="C443" s="14" t="n">
        <v>45929</v>
      </c>
      <c r="D443" s="0" t="n">
        <v>882.52</v>
      </c>
      <c r="E443" s="15" t="s">
        <v>114</v>
      </c>
      <c r="F443" s="15" t="s">
        <v>278</v>
      </c>
      <c r="G443" s="15" t="s">
        <v>321</v>
      </c>
    </row>
    <row r="444" customFormat="false" ht="15" hidden="false" customHeight="false" outlineLevel="0" collapsed="false">
      <c r="A444" s="0" t="s">
        <v>752</v>
      </c>
      <c r="B444" s="0" t="s">
        <v>164</v>
      </c>
      <c r="C444" s="14" t="n">
        <v>46048</v>
      </c>
      <c r="D444" s="0" t="n">
        <v>3855.85</v>
      </c>
      <c r="E444" s="15" t="s">
        <v>77</v>
      </c>
      <c r="F444" s="15" t="s">
        <v>308</v>
      </c>
      <c r="G444" s="15" t="s">
        <v>287</v>
      </c>
    </row>
    <row r="445" customFormat="false" ht="15" hidden="false" customHeight="false" outlineLevel="0" collapsed="false">
      <c r="A445" s="0" t="s">
        <v>753</v>
      </c>
      <c r="B445" s="0" t="s">
        <v>161</v>
      </c>
      <c r="C445" s="14" t="n">
        <v>45935</v>
      </c>
      <c r="D445" s="0" t="n">
        <v>1396.94</v>
      </c>
      <c r="E445" s="15" t="s">
        <v>72</v>
      </c>
      <c r="F445" s="15" t="s">
        <v>306</v>
      </c>
      <c r="G445" s="15" t="s">
        <v>282</v>
      </c>
    </row>
    <row r="446" customFormat="false" ht="15" hidden="false" customHeight="false" outlineLevel="0" collapsed="false">
      <c r="A446" s="0" t="s">
        <v>754</v>
      </c>
      <c r="B446" s="0" t="s">
        <v>195</v>
      </c>
      <c r="C446" s="14" t="n">
        <v>45807</v>
      </c>
      <c r="D446" s="0" t="n">
        <v>1284.51</v>
      </c>
      <c r="E446" s="15" t="s">
        <v>114</v>
      </c>
      <c r="F446" s="15" t="s">
        <v>344</v>
      </c>
      <c r="G446" s="15" t="s">
        <v>313</v>
      </c>
    </row>
    <row r="447" customFormat="false" ht="15" hidden="false" customHeight="false" outlineLevel="0" collapsed="false">
      <c r="A447" s="0" t="s">
        <v>755</v>
      </c>
      <c r="B447" s="0" t="s">
        <v>171</v>
      </c>
      <c r="C447" s="14" t="n">
        <v>46112</v>
      </c>
      <c r="D447" s="0" t="n">
        <v>3088.46</v>
      </c>
      <c r="E447" s="15" t="s">
        <v>106</v>
      </c>
      <c r="F447" s="15" t="s">
        <v>327</v>
      </c>
      <c r="G447" s="15" t="s">
        <v>313</v>
      </c>
    </row>
    <row r="448" customFormat="false" ht="15" hidden="false" customHeight="false" outlineLevel="0" collapsed="false">
      <c r="A448" s="0" t="s">
        <v>756</v>
      </c>
      <c r="B448" s="0" t="s">
        <v>161</v>
      </c>
      <c r="C448" s="14" t="n">
        <v>46192</v>
      </c>
      <c r="D448" s="0" t="n">
        <v>10752.87</v>
      </c>
      <c r="E448" s="15" t="s">
        <v>72</v>
      </c>
      <c r="F448" s="15" t="s">
        <v>310</v>
      </c>
      <c r="G448" s="15" t="s">
        <v>287</v>
      </c>
    </row>
    <row r="449" customFormat="false" ht="15" hidden="false" customHeight="false" outlineLevel="0" collapsed="false">
      <c r="A449" s="0" t="s">
        <v>757</v>
      </c>
      <c r="B449" s="0" t="s">
        <v>104</v>
      </c>
      <c r="C449" s="14" t="n">
        <v>45790</v>
      </c>
      <c r="D449" s="0" t="n">
        <v>3083.99</v>
      </c>
      <c r="E449" s="15" t="s">
        <v>106</v>
      </c>
      <c r="F449" s="15" t="s">
        <v>289</v>
      </c>
      <c r="G449" s="15" t="s">
        <v>290</v>
      </c>
    </row>
    <row r="450" customFormat="false" ht="15" hidden="false" customHeight="false" outlineLevel="0" collapsed="false">
      <c r="A450" s="0" t="s">
        <v>758</v>
      </c>
      <c r="B450" s="0" t="s">
        <v>104</v>
      </c>
      <c r="C450" s="14" t="n">
        <v>45958</v>
      </c>
      <c r="D450" s="0" t="n">
        <v>2900.7</v>
      </c>
      <c r="E450" s="15" t="s">
        <v>106</v>
      </c>
      <c r="F450" s="15" t="s">
        <v>312</v>
      </c>
      <c r="G450" s="15" t="s">
        <v>290</v>
      </c>
    </row>
    <row r="451" customFormat="false" ht="15" hidden="false" customHeight="false" outlineLevel="0" collapsed="false">
      <c r="A451" s="0" t="s">
        <v>759</v>
      </c>
      <c r="B451" s="0" t="s">
        <v>137</v>
      </c>
      <c r="C451" s="14" t="n">
        <v>45867</v>
      </c>
      <c r="D451" s="0" t="n">
        <v>1846.25</v>
      </c>
      <c r="E451" s="15" t="s">
        <v>106</v>
      </c>
      <c r="F451" s="15" t="s">
        <v>294</v>
      </c>
      <c r="G451" s="15" t="s">
        <v>313</v>
      </c>
    </row>
    <row r="452" customFormat="false" ht="15" hidden="false" customHeight="false" outlineLevel="0" collapsed="false">
      <c r="A452" s="0" t="s">
        <v>760</v>
      </c>
      <c r="B452" s="0" t="s">
        <v>112</v>
      </c>
      <c r="C452" s="14" t="n">
        <v>46160</v>
      </c>
      <c r="D452" s="0" t="n">
        <v>1227.72</v>
      </c>
      <c r="E452" s="15" t="s">
        <v>114</v>
      </c>
      <c r="F452" s="15" t="s">
        <v>312</v>
      </c>
      <c r="G452" s="15" t="s">
        <v>313</v>
      </c>
    </row>
    <row r="453" customFormat="false" ht="15" hidden="false" customHeight="false" outlineLevel="0" collapsed="false">
      <c r="A453" s="0" t="s">
        <v>761</v>
      </c>
      <c r="B453" s="0" t="s">
        <v>201</v>
      </c>
      <c r="C453" s="14" t="n">
        <v>45934</v>
      </c>
      <c r="D453" s="0" t="n">
        <v>705.45</v>
      </c>
      <c r="E453" s="15" t="s">
        <v>77</v>
      </c>
      <c r="F453" s="15" t="s">
        <v>286</v>
      </c>
      <c r="G453" s="15" t="s">
        <v>279</v>
      </c>
    </row>
    <row r="454" customFormat="false" ht="15" hidden="false" customHeight="false" outlineLevel="0" collapsed="false">
      <c r="A454" s="0" t="s">
        <v>762</v>
      </c>
      <c r="B454" s="0" t="s">
        <v>158</v>
      </c>
      <c r="C454" s="14" t="n">
        <v>46137</v>
      </c>
      <c r="D454" s="0" t="n">
        <v>12801.13</v>
      </c>
      <c r="E454" s="15" t="s">
        <v>77</v>
      </c>
      <c r="F454" s="15" t="s">
        <v>330</v>
      </c>
      <c r="G454" s="15" t="s">
        <v>292</v>
      </c>
    </row>
    <row r="455" customFormat="false" ht="15" hidden="false" customHeight="false" outlineLevel="0" collapsed="false">
      <c r="A455" s="0" t="s">
        <v>763</v>
      </c>
      <c r="B455" s="0" t="s">
        <v>128</v>
      </c>
      <c r="C455" s="14" t="n">
        <v>46128</v>
      </c>
      <c r="D455" s="0" t="n">
        <v>4660.66</v>
      </c>
      <c r="E455" s="15" t="s">
        <v>101</v>
      </c>
      <c r="F455" s="15" t="s">
        <v>298</v>
      </c>
      <c r="G455" s="15" t="s">
        <v>321</v>
      </c>
    </row>
    <row r="456" customFormat="false" ht="15" hidden="false" customHeight="false" outlineLevel="0" collapsed="false">
      <c r="A456" s="0" t="s">
        <v>764</v>
      </c>
      <c r="B456" s="0" t="s">
        <v>112</v>
      </c>
      <c r="C456" s="14" t="n">
        <v>45808</v>
      </c>
      <c r="D456" s="0" t="n">
        <v>4354.54</v>
      </c>
      <c r="E456" s="15" t="s">
        <v>114</v>
      </c>
      <c r="F456" s="15" t="s">
        <v>286</v>
      </c>
      <c r="G456" s="15" t="s">
        <v>321</v>
      </c>
    </row>
    <row r="457" customFormat="false" ht="15" hidden="false" customHeight="false" outlineLevel="0" collapsed="false">
      <c r="A457" s="0" t="s">
        <v>765</v>
      </c>
      <c r="B457" s="0" t="s">
        <v>96</v>
      </c>
      <c r="C457" s="14" t="n">
        <v>46088</v>
      </c>
      <c r="D457" s="0" t="n">
        <v>1820.28</v>
      </c>
      <c r="E457" s="15" t="s">
        <v>77</v>
      </c>
      <c r="F457" s="15" t="s">
        <v>346</v>
      </c>
      <c r="G457" s="15" t="s">
        <v>290</v>
      </c>
    </row>
    <row r="458" customFormat="false" ht="15" hidden="false" customHeight="false" outlineLevel="0" collapsed="false">
      <c r="A458" s="0" t="s">
        <v>766</v>
      </c>
      <c r="B458" s="0" t="s">
        <v>70</v>
      </c>
      <c r="C458" s="14" t="n">
        <v>45884</v>
      </c>
      <c r="D458" s="0" t="n">
        <v>513.07</v>
      </c>
      <c r="E458" s="15" t="s">
        <v>72</v>
      </c>
      <c r="F458" s="15" t="s">
        <v>334</v>
      </c>
      <c r="G458" s="15" t="s">
        <v>321</v>
      </c>
    </row>
    <row r="459" customFormat="false" ht="15" hidden="false" customHeight="false" outlineLevel="0" collapsed="false">
      <c r="A459" s="0" t="s">
        <v>767</v>
      </c>
      <c r="B459" s="0" t="s">
        <v>164</v>
      </c>
      <c r="C459" s="14" t="n">
        <v>46167</v>
      </c>
      <c r="D459" s="0" t="n">
        <v>4649.2</v>
      </c>
      <c r="E459" s="15" t="s">
        <v>77</v>
      </c>
      <c r="F459" s="15" t="s">
        <v>281</v>
      </c>
      <c r="G459" s="15" t="s">
        <v>292</v>
      </c>
    </row>
    <row r="460" customFormat="false" ht="15" hidden="false" customHeight="false" outlineLevel="0" collapsed="false">
      <c r="A460" s="0" t="s">
        <v>768</v>
      </c>
      <c r="B460" s="0" t="s">
        <v>119</v>
      </c>
      <c r="C460" s="14" t="n">
        <v>45934</v>
      </c>
      <c r="D460" s="0" t="n">
        <v>1334.13</v>
      </c>
      <c r="E460" s="15" t="s">
        <v>86</v>
      </c>
      <c r="F460" s="15" t="s">
        <v>296</v>
      </c>
      <c r="G460" s="15" t="s">
        <v>313</v>
      </c>
    </row>
    <row r="461" customFormat="false" ht="15" hidden="false" customHeight="false" outlineLevel="0" collapsed="false">
      <c r="A461" s="0" t="s">
        <v>769</v>
      </c>
      <c r="B461" s="0" t="s">
        <v>112</v>
      </c>
      <c r="C461" s="14" t="n">
        <v>46105</v>
      </c>
      <c r="D461" s="0" t="n">
        <v>2328.91</v>
      </c>
      <c r="E461" s="15" t="s">
        <v>114</v>
      </c>
      <c r="F461" s="15" t="s">
        <v>296</v>
      </c>
      <c r="G461" s="15" t="s">
        <v>287</v>
      </c>
    </row>
    <row r="462" customFormat="false" ht="15" hidden="false" customHeight="false" outlineLevel="0" collapsed="false">
      <c r="A462" s="0" t="s">
        <v>770</v>
      </c>
      <c r="B462" s="0" t="s">
        <v>189</v>
      </c>
      <c r="C462" s="14" t="n">
        <v>45812</v>
      </c>
      <c r="D462" s="0" t="n">
        <v>460.42</v>
      </c>
      <c r="E462" s="15" t="s">
        <v>72</v>
      </c>
      <c r="F462" s="15" t="s">
        <v>286</v>
      </c>
      <c r="G462" s="15" t="s">
        <v>292</v>
      </c>
    </row>
    <row r="463" customFormat="false" ht="15" hidden="false" customHeight="false" outlineLevel="0" collapsed="false">
      <c r="A463" s="0" t="s">
        <v>771</v>
      </c>
      <c r="B463" s="0" t="s">
        <v>171</v>
      </c>
      <c r="C463" s="14" t="n">
        <v>45820</v>
      </c>
      <c r="D463" s="0" t="n">
        <v>820.42</v>
      </c>
      <c r="E463" s="15" t="s">
        <v>106</v>
      </c>
      <c r="F463" s="15" t="s">
        <v>281</v>
      </c>
      <c r="G463" s="15" t="s">
        <v>282</v>
      </c>
    </row>
    <row r="464" customFormat="false" ht="15" hidden="false" customHeight="false" outlineLevel="0" collapsed="false">
      <c r="A464" s="0" t="s">
        <v>772</v>
      </c>
      <c r="B464" s="0" t="s">
        <v>164</v>
      </c>
      <c r="C464" s="14" t="n">
        <v>45977</v>
      </c>
      <c r="D464" s="0" t="n">
        <v>1135.98</v>
      </c>
      <c r="E464" s="15" t="s">
        <v>77</v>
      </c>
      <c r="F464" s="15" t="s">
        <v>306</v>
      </c>
      <c r="G464" s="15" t="s">
        <v>279</v>
      </c>
    </row>
    <row r="465" customFormat="false" ht="15" hidden="false" customHeight="false" outlineLevel="0" collapsed="false">
      <c r="A465" s="0" t="s">
        <v>773</v>
      </c>
      <c r="B465" s="0" t="s">
        <v>96</v>
      </c>
      <c r="C465" s="14" t="n">
        <v>46202</v>
      </c>
      <c r="D465" s="0" t="n">
        <v>5599.82</v>
      </c>
      <c r="E465" s="15" t="s">
        <v>77</v>
      </c>
      <c r="F465" s="15" t="s">
        <v>310</v>
      </c>
      <c r="G465" s="15" t="s">
        <v>279</v>
      </c>
    </row>
    <row r="466" customFormat="false" ht="15" hidden="false" customHeight="false" outlineLevel="0" collapsed="false">
      <c r="A466" s="0" t="s">
        <v>774</v>
      </c>
      <c r="B466" s="0" t="s">
        <v>70</v>
      </c>
      <c r="C466" s="14" t="n">
        <v>45924</v>
      </c>
      <c r="D466" s="0" t="n">
        <v>15313.53</v>
      </c>
      <c r="E466" s="15" t="s">
        <v>72</v>
      </c>
      <c r="F466" s="15" t="s">
        <v>327</v>
      </c>
      <c r="G466" s="15" t="s">
        <v>287</v>
      </c>
    </row>
    <row r="467" customFormat="false" ht="15" hidden="false" customHeight="false" outlineLevel="0" collapsed="false">
      <c r="A467" s="0" t="s">
        <v>775</v>
      </c>
      <c r="B467" s="0" t="s">
        <v>96</v>
      </c>
      <c r="C467" s="14" t="n">
        <v>45738</v>
      </c>
      <c r="D467" s="0" t="n">
        <v>653.1</v>
      </c>
      <c r="E467" s="15" t="s">
        <v>77</v>
      </c>
      <c r="F467" s="15" t="s">
        <v>296</v>
      </c>
      <c r="G467" s="15" t="s">
        <v>292</v>
      </c>
    </row>
    <row r="468" customFormat="false" ht="15" hidden="false" customHeight="false" outlineLevel="0" collapsed="false">
      <c r="A468" s="0" t="s">
        <v>776</v>
      </c>
      <c r="B468" s="0" t="s">
        <v>99</v>
      </c>
      <c r="C468" s="14" t="n">
        <v>45951</v>
      </c>
      <c r="D468" s="0" t="n">
        <v>2324.66</v>
      </c>
      <c r="E468" s="15" t="s">
        <v>101</v>
      </c>
      <c r="F468" s="15" t="s">
        <v>308</v>
      </c>
      <c r="G468" s="15" t="s">
        <v>279</v>
      </c>
    </row>
    <row r="469" customFormat="false" ht="15" hidden="false" customHeight="false" outlineLevel="0" collapsed="false">
      <c r="A469" s="0" t="s">
        <v>777</v>
      </c>
      <c r="B469" s="0" t="s">
        <v>174</v>
      </c>
      <c r="C469" s="14" t="n">
        <v>45846</v>
      </c>
      <c r="D469" s="0" t="n">
        <v>1644.55</v>
      </c>
      <c r="E469" s="15" t="s">
        <v>91</v>
      </c>
      <c r="F469" s="15" t="s">
        <v>306</v>
      </c>
      <c r="G469" s="15" t="s">
        <v>306</v>
      </c>
    </row>
    <row r="470" customFormat="false" ht="15" hidden="false" customHeight="false" outlineLevel="0" collapsed="false">
      <c r="A470" s="0" t="s">
        <v>778</v>
      </c>
      <c r="B470" s="0" t="s">
        <v>80</v>
      </c>
      <c r="C470" s="14" t="n">
        <v>45958</v>
      </c>
      <c r="D470" s="0" t="n">
        <v>236.77</v>
      </c>
      <c r="E470" s="15" t="s">
        <v>72</v>
      </c>
      <c r="F470" s="15" t="s">
        <v>330</v>
      </c>
      <c r="G470" s="15" t="s">
        <v>279</v>
      </c>
    </row>
    <row r="471" customFormat="false" ht="15" hidden="false" customHeight="false" outlineLevel="0" collapsed="false">
      <c r="A471" s="0" t="s">
        <v>779</v>
      </c>
      <c r="B471" s="0" t="s">
        <v>155</v>
      </c>
      <c r="C471" s="14" t="n">
        <v>45954</v>
      </c>
      <c r="D471" s="0" t="n">
        <v>1018.47</v>
      </c>
      <c r="E471" s="15" t="s">
        <v>106</v>
      </c>
      <c r="F471" s="15" t="s">
        <v>360</v>
      </c>
      <c r="G471" s="15" t="s">
        <v>290</v>
      </c>
    </row>
    <row r="472" customFormat="false" ht="15" hidden="false" customHeight="false" outlineLevel="0" collapsed="false">
      <c r="A472" s="0" t="s">
        <v>780</v>
      </c>
      <c r="B472" s="0" t="s">
        <v>152</v>
      </c>
      <c r="C472" s="14" t="n">
        <v>45906</v>
      </c>
      <c r="D472" s="0" t="n">
        <v>3142.38</v>
      </c>
      <c r="E472" s="15" t="s">
        <v>101</v>
      </c>
      <c r="F472" s="15" t="s">
        <v>330</v>
      </c>
      <c r="G472" s="15" t="s">
        <v>290</v>
      </c>
    </row>
    <row r="473" customFormat="false" ht="15" hidden="false" customHeight="false" outlineLevel="0" collapsed="false">
      <c r="A473" s="0" t="s">
        <v>781</v>
      </c>
      <c r="B473" s="0" t="s">
        <v>183</v>
      </c>
      <c r="C473" s="14" t="n">
        <v>45833</v>
      </c>
      <c r="D473" s="0" t="n">
        <v>2788.31</v>
      </c>
      <c r="E473" s="15" t="s">
        <v>86</v>
      </c>
      <c r="F473" s="15" t="s">
        <v>289</v>
      </c>
      <c r="G473" s="15" t="s">
        <v>292</v>
      </c>
    </row>
    <row r="474" customFormat="false" ht="15" hidden="false" customHeight="false" outlineLevel="0" collapsed="false">
      <c r="A474" s="0" t="s">
        <v>782</v>
      </c>
      <c r="B474" s="0" t="s">
        <v>146</v>
      </c>
      <c r="C474" s="14" t="n">
        <v>45760</v>
      </c>
      <c r="D474" s="0" t="n">
        <v>12520.7</v>
      </c>
      <c r="E474" s="15" t="s">
        <v>114</v>
      </c>
      <c r="F474" s="15" t="s">
        <v>296</v>
      </c>
      <c r="G474" s="15" t="s">
        <v>292</v>
      </c>
    </row>
    <row r="475" customFormat="false" ht="15" hidden="false" customHeight="false" outlineLevel="0" collapsed="false">
      <c r="A475" s="0" t="s">
        <v>783</v>
      </c>
      <c r="B475" s="0" t="s">
        <v>137</v>
      </c>
      <c r="C475" s="14" t="n">
        <v>46038</v>
      </c>
      <c r="D475" s="0" t="n">
        <v>1099.38</v>
      </c>
      <c r="E475" s="15" t="s">
        <v>106</v>
      </c>
      <c r="F475" s="15" t="s">
        <v>330</v>
      </c>
      <c r="G475" s="15" t="s">
        <v>302</v>
      </c>
    </row>
    <row r="476" customFormat="false" ht="15" hidden="false" customHeight="false" outlineLevel="0" collapsed="false">
      <c r="A476" s="0" t="s">
        <v>784</v>
      </c>
      <c r="B476" s="0" t="s">
        <v>149</v>
      </c>
      <c r="C476" s="14" t="n">
        <v>45969</v>
      </c>
      <c r="D476" s="0" t="n">
        <v>3207.79</v>
      </c>
      <c r="E476" s="15" t="s">
        <v>72</v>
      </c>
      <c r="F476" s="15" t="s">
        <v>330</v>
      </c>
      <c r="G476" s="15" t="s">
        <v>290</v>
      </c>
    </row>
    <row r="477" customFormat="false" ht="15" hidden="false" customHeight="false" outlineLevel="0" collapsed="false">
      <c r="A477" s="0" t="s">
        <v>785</v>
      </c>
      <c r="B477" s="0" t="s">
        <v>70</v>
      </c>
      <c r="C477" s="14" t="n">
        <v>45785</v>
      </c>
      <c r="D477" s="0" t="n">
        <v>182.59</v>
      </c>
      <c r="E477" s="15" t="s">
        <v>72</v>
      </c>
      <c r="F477" s="15" t="s">
        <v>304</v>
      </c>
      <c r="G477" s="15" t="s">
        <v>290</v>
      </c>
    </row>
    <row r="478" customFormat="false" ht="15" hidden="false" customHeight="false" outlineLevel="0" collapsed="false">
      <c r="A478" s="0" t="s">
        <v>786</v>
      </c>
      <c r="B478" s="0" t="s">
        <v>201</v>
      </c>
      <c r="C478" s="14" t="n">
        <v>46080</v>
      </c>
      <c r="D478" s="0" t="n">
        <v>1223.73</v>
      </c>
      <c r="E478" s="15" t="s">
        <v>77</v>
      </c>
      <c r="F478" s="15" t="s">
        <v>304</v>
      </c>
      <c r="G478" s="15" t="s">
        <v>321</v>
      </c>
    </row>
    <row r="479" customFormat="false" ht="15" hidden="false" customHeight="false" outlineLevel="0" collapsed="false">
      <c r="A479" s="0" t="s">
        <v>787</v>
      </c>
      <c r="B479" s="0" t="s">
        <v>125</v>
      </c>
      <c r="C479" s="14" t="n">
        <v>45681</v>
      </c>
      <c r="D479" s="0" t="n">
        <v>585.34</v>
      </c>
      <c r="E479" s="15" t="s">
        <v>72</v>
      </c>
      <c r="F479" s="15" t="s">
        <v>330</v>
      </c>
      <c r="G479" s="15" t="s">
        <v>321</v>
      </c>
    </row>
    <row r="480" customFormat="false" ht="15" hidden="false" customHeight="false" outlineLevel="0" collapsed="false">
      <c r="A480" s="0" t="s">
        <v>788</v>
      </c>
      <c r="B480" s="0" t="s">
        <v>198</v>
      </c>
      <c r="C480" s="14" t="n">
        <v>46063</v>
      </c>
      <c r="D480" s="0" t="n">
        <v>40497.91</v>
      </c>
      <c r="E480" s="15" t="s">
        <v>86</v>
      </c>
      <c r="F480" s="15" t="s">
        <v>360</v>
      </c>
      <c r="G480" s="15" t="s">
        <v>287</v>
      </c>
    </row>
    <row r="481" customFormat="false" ht="15" hidden="false" customHeight="false" outlineLevel="0" collapsed="false">
      <c r="A481" s="0" t="s">
        <v>789</v>
      </c>
      <c r="B481" s="0" t="s">
        <v>128</v>
      </c>
      <c r="C481" s="14" t="n">
        <v>46042</v>
      </c>
      <c r="D481" s="0" t="n">
        <v>8071.8</v>
      </c>
      <c r="E481" s="15" t="s">
        <v>101</v>
      </c>
      <c r="F481" s="15" t="s">
        <v>296</v>
      </c>
      <c r="G481" s="15" t="s">
        <v>313</v>
      </c>
    </row>
    <row r="482" customFormat="false" ht="15" hidden="false" customHeight="false" outlineLevel="0" collapsed="false">
      <c r="A482" s="0" t="s">
        <v>790</v>
      </c>
      <c r="B482" s="0" t="s">
        <v>131</v>
      </c>
      <c r="C482" s="14" t="n">
        <v>46100</v>
      </c>
      <c r="D482" s="0" t="n">
        <v>11046.74</v>
      </c>
      <c r="E482" s="15" t="s">
        <v>101</v>
      </c>
      <c r="F482" s="15" t="s">
        <v>286</v>
      </c>
      <c r="G482" s="15" t="s">
        <v>287</v>
      </c>
    </row>
    <row r="483" customFormat="false" ht="15" hidden="false" customHeight="false" outlineLevel="0" collapsed="false">
      <c r="A483" s="0" t="s">
        <v>791</v>
      </c>
      <c r="B483" s="0" t="s">
        <v>116</v>
      </c>
      <c r="C483" s="14" t="n">
        <v>45868</v>
      </c>
      <c r="D483" s="0" t="n">
        <v>1395.93</v>
      </c>
      <c r="E483" s="15" t="s">
        <v>86</v>
      </c>
      <c r="F483" s="15" t="s">
        <v>278</v>
      </c>
      <c r="G483" s="15" t="s">
        <v>292</v>
      </c>
    </row>
    <row r="484" customFormat="false" ht="15" hidden="false" customHeight="false" outlineLevel="0" collapsed="false">
      <c r="A484" s="0" t="s">
        <v>792</v>
      </c>
      <c r="B484" s="0" t="s">
        <v>137</v>
      </c>
      <c r="C484" s="14" t="n">
        <v>46019</v>
      </c>
      <c r="D484" s="0" t="n">
        <v>2578.48</v>
      </c>
      <c r="E484" s="15" t="s">
        <v>106</v>
      </c>
      <c r="F484" s="15" t="s">
        <v>310</v>
      </c>
      <c r="G484" s="15" t="s">
        <v>321</v>
      </c>
    </row>
    <row r="485" customFormat="false" ht="15" hidden="false" customHeight="false" outlineLevel="0" collapsed="false">
      <c r="A485" s="0" t="s">
        <v>793</v>
      </c>
      <c r="B485" s="0" t="s">
        <v>84</v>
      </c>
      <c r="C485" s="14" t="n">
        <v>46105</v>
      </c>
      <c r="D485" s="0" t="n">
        <v>891.87</v>
      </c>
      <c r="E485" s="15" t="s">
        <v>86</v>
      </c>
      <c r="F485" s="15" t="s">
        <v>312</v>
      </c>
      <c r="G485" s="15" t="s">
        <v>282</v>
      </c>
    </row>
    <row r="486" customFormat="false" ht="15" hidden="false" customHeight="false" outlineLevel="0" collapsed="false">
      <c r="A486" s="0" t="s">
        <v>794</v>
      </c>
      <c r="B486" s="0" t="s">
        <v>89</v>
      </c>
      <c r="C486" s="14" t="n">
        <v>46192</v>
      </c>
      <c r="D486" s="0" t="n">
        <v>2408.27</v>
      </c>
      <c r="E486" s="15" t="s">
        <v>91</v>
      </c>
      <c r="F486" s="15" t="s">
        <v>289</v>
      </c>
      <c r="G486" s="15" t="s">
        <v>287</v>
      </c>
    </row>
    <row r="487" customFormat="false" ht="15" hidden="false" customHeight="false" outlineLevel="0" collapsed="false">
      <c r="A487" s="0" t="s">
        <v>795</v>
      </c>
      <c r="B487" s="0" t="s">
        <v>93</v>
      </c>
      <c r="C487" s="14" t="n">
        <v>45927</v>
      </c>
      <c r="D487" s="0" t="n">
        <v>1155.61</v>
      </c>
      <c r="E487" s="15" t="s">
        <v>86</v>
      </c>
      <c r="F487" s="15" t="s">
        <v>294</v>
      </c>
      <c r="G487" s="15" t="s">
        <v>279</v>
      </c>
    </row>
    <row r="488" customFormat="false" ht="15" hidden="false" customHeight="false" outlineLevel="0" collapsed="false">
      <c r="A488" s="0" t="s">
        <v>796</v>
      </c>
      <c r="B488" s="0" t="s">
        <v>96</v>
      </c>
      <c r="C488" s="14" t="n">
        <v>45678</v>
      </c>
      <c r="D488" s="0" t="n">
        <v>542.8</v>
      </c>
      <c r="E488" s="15" t="s">
        <v>77</v>
      </c>
      <c r="F488" s="15" t="s">
        <v>294</v>
      </c>
      <c r="G488" s="15" t="s">
        <v>292</v>
      </c>
    </row>
    <row r="489" customFormat="false" ht="15" hidden="false" customHeight="false" outlineLevel="0" collapsed="false">
      <c r="A489" s="0" t="s">
        <v>797</v>
      </c>
      <c r="B489" s="0" t="s">
        <v>143</v>
      </c>
      <c r="C489" s="14" t="n">
        <v>45931</v>
      </c>
      <c r="D489" s="0" t="n">
        <v>1208.25</v>
      </c>
      <c r="E489" s="15" t="s">
        <v>86</v>
      </c>
      <c r="F489" s="15" t="s">
        <v>346</v>
      </c>
      <c r="G489" s="15" t="s">
        <v>302</v>
      </c>
    </row>
    <row r="490" customFormat="false" ht="15" hidden="false" customHeight="false" outlineLevel="0" collapsed="false">
      <c r="A490" s="0" t="s">
        <v>798</v>
      </c>
      <c r="B490" s="0" t="s">
        <v>195</v>
      </c>
      <c r="C490" s="14" t="n">
        <v>45979</v>
      </c>
      <c r="D490" s="0" t="n">
        <v>1492.36</v>
      </c>
      <c r="E490" s="15" t="s">
        <v>114</v>
      </c>
      <c r="F490" s="15" t="s">
        <v>330</v>
      </c>
      <c r="G490" s="15" t="s">
        <v>282</v>
      </c>
    </row>
    <row r="491" customFormat="false" ht="15" hidden="false" customHeight="false" outlineLevel="0" collapsed="false">
      <c r="A491" s="0" t="s">
        <v>799</v>
      </c>
      <c r="B491" s="0" t="s">
        <v>119</v>
      </c>
      <c r="C491" s="14" t="n">
        <v>46131</v>
      </c>
      <c r="D491" s="0" t="n">
        <v>794.59</v>
      </c>
      <c r="E491" s="15" t="s">
        <v>86</v>
      </c>
      <c r="F491" s="15" t="s">
        <v>304</v>
      </c>
      <c r="G491" s="15" t="s">
        <v>287</v>
      </c>
    </row>
    <row r="492" customFormat="false" ht="15" hidden="false" customHeight="false" outlineLevel="0" collapsed="false">
      <c r="A492" s="0" t="s">
        <v>800</v>
      </c>
      <c r="B492" s="0" t="s">
        <v>128</v>
      </c>
      <c r="C492" s="14" t="n">
        <v>46134</v>
      </c>
      <c r="D492" s="0" t="n">
        <v>13637.91</v>
      </c>
      <c r="E492" s="15" t="s">
        <v>101</v>
      </c>
      <c r="F492" s="15" t="s">
        <v>298</v>
      </c>
      <c r="G492" s="15" t="s">
        <v>321</v>
      </c>
    </row>
    <row r="493" customFormat="false" ht="15" hidden="false" customHeight="false" outlineLevel="0" collapsed="false">
      <c r="A493" s="0" t="s">
        <v>801</v>
      </c>
      <c r="B493" s="0" t="s">
        <v>84</v>
      </c>
      <c r="C493" s="14" t="n">
        <v>45897</v>
      </c>
      <c r="D493" s="0" t="n">
        <v>984.21</v>
      </c>
      <c r="E493" s="15" t="s">
        <v>86</v>
      </c>
      <c r="F493" s="15" t="s">
        <v>296</v>
      </c>
      <c r="G493" s="15" t="s">
        <v>287</v>
      </c>
    </row>
    <row r="494" customFormat="false" ht="15" hidden="false" customHeight="false" outlineLevel="0" collapsed="false">
      <c r="A494" s="0" t="s">
        <v>802</v>
      </c>
      <c r="B494" s="0" t="s">
        <v>116</v>
      </c>
      <c r="C494" s="14" t="n">
        <v>45944</v>
      </c>
      <c r="D494" s="0" t="n">
        <v>2718.82</v>
      </c>
      <c r="E494" s="15" t="s">
        <v>86</v>
      </c>
      <c r="F494" s="15" t="s">
        <v>312</v>
      </c>
      <c r="G494" s="15" t="s">
        <v>302</v>
      </c>
    </row>
    <row r="495" customFormat="false" ht="15" hidden="false" customHeight="false" outlineLevel="0" collapsed="false">
      <c r="A495" s="0" t="s">
        <v>803</v>
      </c>
      <c r="B495" s="0" t="s">
        <v>161</v>
      </c>
      <c r="C495" s="14" t="n">
        <v>45907</v>
      </c>
      <c r="D495" s="0" t="n">
        <v>607.61</v>
      </c>
      <c r="E495" s="15" t="s">
        <v>72</v>
      </c>
      <c r="F495" s="15" t="s">
        <v>304</v>
      </c>
      <c r="G495" s="15" t="s">
        <v>282</v>
      </c>
    </row>
    <row r="496" customFormat="false" ht="15" hidden="false" customHeight="false" outlineLevel="0" collapsed="false">
      <c r="A496" s="0" t="s">
        <v>804</v>
      </c>
      <c r="B496" s="0" t="s">
        <v>125</v>
      </c>
      <c r="C496" s="14" t="n">
        <v>46051</v>
      </c>
      <c r="D496" s="0" t="n">
        <v>10927.52</v>
      </c>
      <c r="E496" s="15" t="s">
        <v>72</v>
      </c>
      <c r="F496" s="15" t="s">
        <v>327</v>
      </c>
      <c r="G496" s="15" t="s">
        <v>313</v>
      </c>
    </row>
    <row r="497" customFormat="false" ht="15" hidden="false" customHeight="false" outlineLevel="0" collapsed="false">
      <c r="A497" s="0" t="s">
        <v>805</v>
      </c>
      <c r="B497" s="0" t="s">
        <v>143</v>
      </c>
      <c r="C497" s="14" t="n">
        <v>45881</v>
      </c>
      <c r="D497" s="0" t="n">
        <v>1732.45</v>
      </c>
      <c r="E497" s="15" t="s">
        <v>86</v>
      </c>
      <c r="F497" s="15" t="s">
        <v>346</v>
      </c>
      <c r="G497" s="15" t="s">
        <v>290</v>
      </c>
    </row>
    <row r="498" customFormat="false" ht="15" hidden="false" customHeight="false" outlineLevel="0" collapsed="false">
      <c r="A498" s="0" t="s">
        <v>806</v>
      </c>
      <c r="B498" s="0" t="s">
        <v>122</v>
      </c>
      <c r="C498" s="14" t="n">
        <v>46014</v>
      </c>
      <c r="D498" s="0" t="n">
        <v>790.15</v>
      </c>
      <c r="E498" s="15" t="s">
        <v>86</v>
      </c>
      <c r="F498" s="15" t="s">
        <v>381</v>
      </c>
      <c r="G498" s="15" t="s">
        <v>302</v>
      </c>
    </row>
    <row r="499" customFormat="false" ht="15" hidden="false" customHeight="false" outlineLevel="0" collapsed="false">
      <c r="A499" s="0" t="s">
        <v>807</v>
      </c>
      <c r="B499" s="0" t="s">
        <v>104</v>
      </c>
      <c r="C499" s="14" t="n">
        <v>45742</v>
      </c>
      <c r="D499" s="0" t="n">
        <v>2141.21</v>
      </c>
      <c r="E499" s="15" t="s">
        <v>106</v>
      </c>
      <c r="F499" s="15" t="s">
        <v>327</v>
      </c>
      <c r="G499" s="15" t="s">
        <v>282</v>
      </c>
    </row>
    <row r="500" customFormat="false" ht="15" hidden="false" customHeight="false" outlineLevel="0" collapsed="false">
      <c r="A500" s="0" t="s">
        <v>808</v>
      </c>
      <c r="B500" s="0" t="s">
        <v>109</v>
      </c>
      <c r="C500" s="14" t="n">
        <v>45913</v>
      </c>
      <c r="D500" s="0" t="n">
        <v>426.29</v>
      </c>
      <c r="E500" s="15" t="s">
        <v>101</v>
      </c>
      <c r="F500" s="15" t="s">
        <v>284</v>
      </c>
      <c r="G500" s="15" t="s">
        <v>321</v>
      </c>
    </row>
    <row r="501" customFormat="false" ht="15" hidden="false" customHeight="false" outlineLevel="0" collapsed="false">
      <c r="A501" s="0" t="s">
        <v>809</v>
      </c>
      <c r="B501" s="0" t="s">
        <v>128</v>
      </c>
      <c r="C501" s="14" t="n">
        <v>46186</v>
      </c>
      <c r="D501" s="0" t="n">
        <v>1888.48</v>
      </c>
      <c r="E501" s="15" t="s">
        <v>101</v>
      </c>
      <c r="F501" s="15" t="s">
        <v>304</v>
      </c>
      <c r="G501" s="15" t="s">
        <v>321</v>
      </c>
    </row>
    <row r="502" customFormat="false" ht="15" hidden="false" customHeight="false" outlineLevel="0" collapsed="false">
      <c r="A502" s="0" t="s">
        <v>810</v>
      </c>
      <c r="B502" s="0" t="s">
        <v>171</v>
      </c>
      <c r="C502" s="14" t="n">
        <v>45842</v>
      </c>
      <c r="D502" s="0" t="n">
        <v>3958.3</v>
      </c>
      <c r="E502" s="15" t="s">
        <v>106</v>
      </c>
      <c r="F502" s="15" t="s">
        <v>344</v>
      </c>
      <c r="G502" s="15" t="s">
        <v>302</v>
      </c>
    </row>
    <row r="503" customFormat="false" ht="15" hidden="false" customHeight="false" outlineLevel="0" collapsed="false">
      <c r="A503" s="0" t="s">
        <v>811</v>
      </c>
      <c r="B503" s="0" t="s">
        <v>155</v>
      </c>
      <c r="C503" s="14" t="n">
        <v>46035</v>
      </c>
      <c r="D503" s="0" t="n">
        <v>3426.38</v>
      </c>
      <c r="E503" s="15" t="s">
        <v>106</v>
      </c>
      <c r="F503" s="15" t="s">
        <v>310</v>
      </c>
      <c r="G503" s="15" t="s">
        <v>290</v>
      </c>
    </row>
    <row r="504" customFormat="false" ht="15" hidden="false" customHeight="false" outlineLevel="0" collapsed="false">
      <c r="A504" s="0" t="s">
        <v>812</v>
      </c>
      <c r="B504" s="0" t="s">
        <v>180</v>
      </c>
      <c r="C504" s="14" t="n">
        <v>46012</v>
      </c>
      <c r="D504" s="0" t="n">
        <v>663.66</v>
      </c>
      <c r="E504" s="15" t="s">
        <v>86</v>
      </c>
      <c r="F504" s="15" t="s">
        <v>298</v>
      </c>
      <c r="G504" s="15" t="s">
        <v>321</v>
      </c>
    </row>
    <row r="505" customFormat="false" ht="15" hidden="false" customHeight="false" outlineLevel="0" collapsed="false">
      <c r="A505" s="0" t="s">
        <v>813</v>
      </c>
      <c r="B505" s="0" t="s">
        <v>152</v>
      </c>
      <c r="C505" s="14" t="n">
        <v>46122</v>
      </c>
      <c r="D505" s="0" t="n">
        <v>1251.61</v>
      </c>
      <c r="E505" s="15" t="s">
        <v>101</v>
      </c>
      <c r="F505" s="15" t="s">
        <v>304</v>
      </c>
      <c r="G505" s="15" t="s">
        <v>313</v>
      </c>
    </row>
    <row r="506" customFormat="false" ht="15" hidden="false" customHeight="false" outlineLevel="0" collapsed="false">
      <c r="A506" s="0" t="s">
        <v>814</v>
      </c>
      <c r="B506" s="0" t="s">
        <v>109</v>
      </c>
      <c r="C506" s="14" t="n">
        <v>46122</v>
      </c>
      <c r="D506" s="0" t="n">
        <v>980.08</v>
      </c>
      <c r="E506" s="15" t="s">
        <v>101</v>
      </c>
      <c r="F506" s="15" t="s">
        <v>281</v>
      </c>
      <c r="G506" s="15" t="s">
        <v>287</v>
      </c>
    </row>
    <row r="507" customFormat="false" ht="15" hidden="false" customHeight="false" outlineLevel="0" collapsed="false">
      <c r="A507" s="0" t="s">
        <v>815</v>
      </c>
      <c r="B507" s="0" t="s">
        <v>84</v>
      </c>
      <c r="C507" s="14" t="n">
        <v>46126</v>
      </c>
      <c r="D507" s="0" t="n">
        <v>2579.28</v>
      </c>
      <c r="E507" s="15" t="s">
        <v>86</v>
      </c>
      <c r="F507" s="15" t="s">
        <v>286</v>
      </c>
      <c r="G507" s="15" t="s">
        <v>279</v>
      </c>
    </row>
    <row r="508" customFormat="false" ht="15" hidden="false" customHeight="false" outlineLevel="0" collapsed="false">
      <c r="A508" s="0" t="s">
        <v>816</v>
      </c>
      <c r="B508" s="0" t="s">
        <v>167</v>
      </c>
      <c r="C508" s="14" t="n">
        <v>45865</v>
      </c>
      <c r="D508" s="0" t="n">
        <v>3221.77</v>
      </c>
      <c r="E508" s="15" t="s">
        <v>72</v>
      </c>
      <c r="F508" s="15" t="s">
        <v>330</v>
      </c>
      <c r="G508" s="15" t="s">
        <v>321</v>
      </c>
    </row>
    <row r="509" customFormat="false" ht="15" hidden="false" customHeight="false" outlineLevel="0" collapsed="false">
      <c r="A509" s="0" t="s">
        <v>817</v>
      </c>
      <c r="B509" s="0" t="s">
        <v>167</v>
      </c>
      <c r="C509" s="14" t="n">
        <v>45830</v>
      </c>
      <c r="D509" s="0" t="n">
        <v>130.66</v>
      </c>
      <c r="E509" s="15" t="s">
        <v>72</v>
      </c>
      <c r="F509" s="15" t="s">
        <v>308</v>
      </c>
      <c r="G509" s="15" t="s">
        <v>292</v>
      </c>
    </row>
    <row r="510" customFormat="false" ht="15" hidden="false" customHeight="false" outlineLevel="0" collapsed="false">
      <c r="A510" s="0" t="s">
        <v>818</v>
      </c>
      <c r="B510" s="0" t="s">
        <v>122</v>
      </c>
      <c r="C510" s="14" t="n">
        <v>46049</v>
      </c>
      <c r="D510" s="0" t="n">
        <v>1768.65</v>
      </c>
      <c r="E510" s="15" t="s">
        <v>86</v>
      </c>
      <c r="F510" s="15" t="s">
        <v>381</v>
      </c>
      <c r="G510" s="15" t="s">
        <v>287</v>
      </c>
    </row>
    <row r="511" customFormat="false" ht="15" hidden="false" customHeight="false" outlineLevel="0" collapsed="false">
      <c r="A511" s="0" t="s">
        <v>819</v>
      </c>
      <c r="B511" s="0" t="s">
        <v>183</v>
      </c>
      <c r="C511" s="14" t="n">
        <v>46071</v>
      </c>
      <c r="D511" s="0" t="n">
        <v>359.03</v>
      </c>
      <c r="E511" s="15" t="s">
        <v>86</v>
      </c>
      <c r="F511" s="15" t="s">
        <v>330</v>
      </c>
      <c r="G511" s="15" t="s">
        <v>287</v>
      </c>
    </row>
    <row r="512" customFormat="false" ht="15" hidden="false" customHeight="false" outlineLevel="0" collapsed="false">
      <c r="A512" s="0" t="s">
        <v>820</v>
      </c>
      <c r="B512" s="0" t="s">
        <v>131</v>
      </c>
      <c r="C512" s="14" t="n">
        <v>46133</v>
      </c>
      <c r="D512" s="0" t="n">
        <v>2508.58</v>
      </c>
      <c r="E512" s="15" t="s">
        <v>101</v>
      </c>
      <c r="F512" s="15" t="s">
        <v>308</v>
      </c>
      <c r="G512" s="15" t="s">
        <v>313</v>
      </c>
    </row>
    <row r="513" customFormat="false" ht="15" hidden="false" customHeight="false" outlineLevel="0" collapsed="false">
      <c r="A513" s="0" t="s">
        <v>821</v>
      </c>
      <c r="B513" s="0" t="s">
        <v>128</v>
      </c>
      <c r="C513" s="14" t="n">
        <v>45677</v>
      </c>
      <c r="D513" s="0" t="n">
        <v>730.52</v>
      </c>
      <c r="E513" s="15" t="s">
        <v>101</v>
      </c>
      <c r="F513" s="15" t="s">
        <v>298</v>
      </c>
      <c r="G513" s="15" t="s">
        <v>321</v>
      </c>
    </row>
    <row r="514" customFormat="false" ht="15" hidden="false" customHeight="false" outlineLevel="0" collapsed="false">
      <c r="A514" s="0" t="s">
        <v>822</v>
      </c>
      <c r="B514" s="0" t="s">
        <v>109</v>
      </c>
      <c r="C514" s="14" t="n">
        <v>45695</v>
      </c>
      <c r="D514" s="0" t="n">
        <v>1846.15</v>
      </c>
      <c r="E514" s="15" t="s">
        <v>101</v>
      </c>
      <c r="F514" s="15" t="s">
        <v>317</v>
      </c>
      <c r="G514" s="15" t="s">
        <v>317</v>
      </c>
    </row>
    <row r="515" customFormat="false" ht="15" hidden="false" customHeight="false" outlineLevel="0" collapsed="false">
      <c r="A515" s="0" t="s">
        <v>823</v>
      </c>
      <c r="B515" s="0" t="s">
        <v>134</v>
      </c>
      <c r="C515" s="14" t="n">
        <v>46001</v>
      </c>
      <c r="D515" s="0" t="n">
        <v>1888.25</v>
      </c>
      <c r="E515" s="15" t="s">
        <v>114</v>
      </c>
      <c r="F515" s="15" t="s">
        <v>360</v>
      </c>
      <c r="G515" s="15" t="s">
        <v>287</v>
      </c>
    </row>
    <row r="516" customFormat="false" ht="15" hidden="false" customHeight="false" outlineLevel="0" collapsed="false">
      <c r="A516" s="0" t="s">
        <v>824</v>
      </c>
      <c r="B516" s="0" t="s">
        <v>177</v>
      </c>
      <c r="C516" s="14" t="n">
        <v>46159</v>
      </c>
      <c r="D516" s="0" t="n">
        <v>3364.21</v>
      </c>
      <c r="E516" s="15" t="s">
        <v>77</v>
      </c>
      <c r="F516" s="15" t="s">
        <v>289</v>
      </c>
      <c r="G516" s="15" t="s">
        <v>290</v>
      </c>
    </row>
    <row r="517" customFormat="false" ht="15" hidden="false" customHeight="false" outlineLevel="0" collapsed="false">
      <c r="A517" s="0" t="s">
        <v>825</v>
      </c>
      <c r="B517" s="0" t="s">
        <v>177</v>
      </c>
      <c r="C517" s="14" t="n">
        <v>46201</v>
      </c>
      <c r="D517" s="0" t="n">
        <v>503.75</v>
      </c>
      <c r="E517" s="15" t="s">
        <v>77</v>
      </c>
      <c r="F517" s="15" t="s">
        <v>342</v>
      </c>
      <c r="G517" s="15" t="s">
        <v>287</v>
      </c>
    </row>
    <row r="518" customFormat="false" ht="15" hidden="false" customHeight="false" outlineLevel="0" collapsed="false">
      <c r="A518" s="0" t="s">
        <v>826</v>
      </c>
      <c r="B518" s="0" t="s">
        <v>116</v>
      </c>
      <c r="C518" s="14" t="n">
        <v>46064</v>
      </c>
      <c r="D518" s="0" t="n">
        <v>28542.14</v>
      </c>
      <c r="E518" s="15" t="s">
        <v>86</v>
      </c>
      <c r="F518" s="15" t="s">
        <v>327</v>
      </c>
      <c r="G518" s="15" t="s">
        <v>302</v>
      </c>
    </row>
    <row r="519" customFormat="false" ht="15" hidden="false" customHeight="false" outlineLevel="0" collapsed="false">
      <c r="A519" s="0" t="s">
        <v>827</v>
      </c>
      <c r="B519" s="0" t="s">
        <v>180</v>
      </c>
      <c r="C519" s="14" t="n">
        <v>45894</v>
      </c>
      <c r="D519" s="0" t="n">
        <v>13194.36</v>
      </c>
      <c r="E519" s="15" t="s">
        <v>86</v>
      </c>
      <c r="F519" s="15" t="s">
        <v>296</v>
      </c>
      <c r="G519" s="15" t="s">
        <v>279</v>
      </c>
    </row>
    <row r="520" customFormat="false" ht="15" hidden="false" customHeight="false" outlineLevel="0" collapsed="false">
      <c r="A520" s="0" t="s">
        <v>828</v>
      </c>
      <c r="B520" s="0" t="s">
        <v>137</v>
      </c>
      <c r="C520" s="14" t="n">
        <v>45711</v>
      </c>
      <c r="D520" s="0" t="n">
        <v>4569.01</v>
      </c>
      <c r="E520" s="15" t="s">
        <v>106</v>
      </c>
      <c r="F520" s="15" t="s">
        <v>286</v>
      </c>
      <c r="G520" s="15" t="s">
        <v>287</v>
      </c>
    </row>
    <row r="521" customFormat="false" ht="15" hidden="false" customHeight="false" outlineLevel="0" collapsed="false">
      <c r="A521" s="0" t="s">
        <v>829</v>
      </c>
      <c r="B521" s="0" t="s">
        <v>183</v>
      </c>
      <c r="C521" s="14" t="n">
        <v>46003</v>
      </c>
      <c r="D521" s="0" t="n">
        <v>999.65</v>
      </c>
      <c r="E521" s="15" t="s">
        <v>86</v>
      </c>
      <c r="F521" s="15" t="s">
        <v>351</v>
      </c>
      <c r="G521" s="15" t="s">
        <v>287</v>
      </c>
    </row>
    <row r="522" customFormat="false" ht="15" hidden="false" customHeight="false" outlineLevel="0" collapsed="false">
      <c r="A522" s="0" t="s">
        <v>830</v>
      </c>
      <c r="B522" s="0" t="s">
        <v>109</v>
      </c>
      <c r="C522" s="14" t="n">
        <v>46133</v>
      </c>
      <c r="D522" s="0" t="n">
        <v>2025.11</v>
      </c>
      <c r="E522" s="15" t="s">
        <v>101</v>
      </c>
      <c r="F522" s="15" t="s">
        <v>381</v>
      </c>
      <c r="G522" s="15" t="s">
        <v>321</v>
      </c>
    </row>
    <row r="523" customFormat="false" ht="15" hidden="false" customHeight="false" outlineLevel="0" collapsed="false">
      <c r="A523" s="0" t="s">
        <v>831</v>
      </c>
      <c r="B523" s="0" t="s">
        <v>119</v>
      </c>
      <c r="C523" s="14" t="n">
        <v>45899</v>
      </c>
      <c r="D523" s="0" t="n">
        <v>1346.34</v>
      </c>
      <c r="E523" s="15" t="s">
        <v>86</v>
      </c>
      <c r="F523" s="15" t="s">
        <v>351</v>
      </c>
      <c r="G523" s="15" t="s">
        <v>290</v>
      </c>
    </row>
    <row r="524" customFormat="false" ht="15" hidden="false" customHeight="false" outlineLevel="0" collapsed="false">
      <c r="A524" s="0" t="s">
        <v>832</v>
      </c>
      <c r="B524" s="0" t="s">
        <v>131</v>
      </c>
      <c r="C524" s="14" t="n">
        <v>46036</v>
      </c>
      <c r="D524" s="0" t="n">
        <v>473.72</v>
      </c>
      <c r="E524" s="15" t="s">
        <v>101</v>
      </c>
      <c r="F524" s="15" t="s">
        <v>306</v>
      </c>
      <c r="G524" s="15" t="s">
        <v>302</v>
      </c>
    </row>
    <row r="525" customFormat="false" ht="15" hidden="false" customHeight="false" outlineLevel="0" collapsed="false">
      <c r="A525" s="0" t="s">
        <v>833</v>
      </c>
      <c r="B525" s="0" t="s">
        <v>174</v>
      </c>
      <c r="C525" s="14" t="n">
        <v>46150</v>
      </c>
      <c r="D525" s="0" t="n">
        <v>6567.49</v>
      </c>
      <c r="E525" s="15" t="s">
        <v>91</v>
      </c>
      <c r="F525" s="15" t="s">
        <v>351</v>
      </c>
      <c r="G525" s="15" t="s">
        <v>313</v>
      </c>
    </row>
    <row r="526" customFormat="false" ht="15" hidden="false" customHeight="false" outlineLevel="0" collapsed="false">
      <c r="A526" s="0" t="s">
        <v>834</v>
      </c>
      <c r="B526" s="0" t="s">
        <v>131</v>
      </c>
      <c r="C526" s="14" t="n">
        <v>45683</v>
      </c>
      <c r="D526" s="0" t="n">
        <v>2503.97</v>
      </c>
      <c r="E526" s="15" t="s">
        <v>101</v>
      </c>
      <c r="F526" s="15" t="s">
        <v>312</v>
      </c>
      <c r="G526" s="15" t="s">
        <v>279</v>
      </c>
    </row>
    <row r="527" customFormat="false" ht="15" hidden="false" customHeight="false" outlineLevel="0" collapsed="false">
      <c r="A527" s="0" t="s">
        <v>835</v>
      </c>
      <c r="B527" s="0" t="s">
        <v>167</v>
      </c>
      <c r="C527" s="14" t="n">
        <v>46091</v>
      </c>
      <c r="D527" s="0" t="n">
        <v>4513.74</v>
      </c>
      <c r="E527" s="15" t="s">
        <v>72</v>
      </c>
      <c r="F527" s="15" t="s">
        <v>278</v>
      </c>
      <c r="G527" s="15" t="s">
        <v>313</v>
      </c>
    </row>
    <row r="528" customFormat="false" ht="15" hidden="false" customHeight="false" outlineLevel="0" collapsed="false">
      <c r="A528" s="0" t="s">
        <v>836</v>
      </c>
      <c r="B528" s="0" t="s">
        <v>164</v>
      </c>
      <c r="C528" s="14" t="n">
        <v>45817</v>
      </c>
      <c r="D528" s="0" t="n">
        <v>1308.52</v>
      </c>
      <c r="E528" s="15" t="s">
        <v>77</v>
      </c>
      <c r="F528" s="15" t="s">
        <v>296</v>
      </c>
      <c r="G528" s="15" t="s">
        <v>292</v>
      </c>
    </row>
    <row r="529" customFormat="false" ht="15" hidden="false" customHeight="false" outlineLevel="0" collapsed="false">
      <c r="A529" s="0" t="s">
        <v>837</v>
      </c>
      <c r="B529" s="0" t="s">
        <v>164</v>
      </c>
      <c r="C529" s="14" t="n">
        <v>45862</v>
      </c>
      <c r="D529" s="0" t="n">
        <v>2254.68</v>
      </c>
      <c r="E529" s="15" t="s">
        <v>77</v>
      </c>
      <c r="F529" s="15" t="s">
        <v>308</v>
      </c>
      <c r="G529" s="15" t="s">
        <v>321</v>
      </c>
    </row>
    <row r="530" customFormat="false" ht="15" hidden="false" customHeight="false" outlineLevel="0" collapsed="false">
      <c r="A530" s="0" t="s">
        <v>838</v>
      </c>
      <c r="B530" s="0" t="s">
        <v>149</v>
      </c>
      <c r="C530" s="14" t="n">
        <v>45737</v>
      </c>
      <c r="D530" s="0" t="n">
        <v>5770.92</v>
      </c>
      <c r="E530" s="15" t="s">
        <v>72</v>
      </c>
      <c r="F530" s="15" t="s">
        <v>289</v>
      </c>
      <c r="G530" s="15" t="s">
        <v>313</v>
      </c>
    </row>
    <row r="531" customFormat="false" ht="15" hidden="false" customHeight="false" outlineLevel="0" collapsed="false">
      <c r="A531" s="0" t="s">
        <v>839</v>
      </c>
      <c r="B531" s="0" t="s">
        <v>128</v>
      </c>
      <c r="C531" s="14" t="n">
        <v>45947</v>
      </c>
      <c r="D531" s="0" t="n">
        <v>2271.46</v>
      </c>
      <c r="E531" s="15" t="s">
        <v>101</v>
      </c>
      <c r="F531" s="15" t="s">
        <v>286</v>
      </c>
      <c r="G531" s="15" t="s">
        <v>290</v>
      </c>
    </row>
    <row r="532" customFormat="false" ht="15" hidden="false" customHeight="false" outlineLevel="0" collapsed="false">
      <c r="A532" s="0" t="s">
        <v>840</v>
      </c>
      <c r="B532" s="0" t="s">
        <v>116</v>
      </c>
      <c r="C532" s="14" t="n">
        <v>45966</v>
      </c>
      <c r="D532" s="0" t="n">
        <v>567.17</v>
      </c>
      <c r="E532" s="15" t="s">
        <v>86</v>
      </c>
      <c r="F532" s="15" t="s">
        <v>351</v>
      </c>
      <c r="G532" s="15" t="s">
        <v>287</v>
      </c>
    </row>
    <row r="533" customFormat="false" ht="15" hidden="false" customHeight="false" outlineLevel="0" collapsed="false">
      <c r="A533" s="0" t="s">
        <v>841</v>
      </c>
      <c r="B533" s="0" t="s">
        <v>109</v>
      </c>
      <c r="C533" s="14" t="n">
        <v>46089</v>
      </c>
      <c r="D533" s="0" t="n">
        <v>4021.66</v>
      </c>
      <c r="E533" s="15" t="s">
        <v>101</v>
      </c>
      <c r="F533" s="15" t="s">
        <v>294</v>
      </c>
      <c r="G533" s="15" t="s">
        <v>282</v>
      </c>
    </row>
    <row r="534" customFormat="false" ht="15" hidden="false" customHeight="false" outlineLevel="0" collapsed="false">
      <c r="A534" s="0" t="s">
        <v>842</v>
      </c>
      <c r="B534" s="0" t="s">
        <v>140</v>
      </c>
      <c r="C534" s="14" t="n">
        <v>45750</v>
      </c>
      <c r="D534" s="0" t="n">
        <v>2676.69</v>
      </c>
      <c r="E534" s="15" t="s">
        <v>72</v>
      </c>
      <c r="F534" s="15" t="s">
        <v>286</v>
      </c>
      <c r="G534" s="15" t="s">
        <v>313</v>
      </c>
    </row>
    <row r="535" customFormat="false" ht="15" hidden="false" customHeight="false" outlineLevel="0" collapsed="false">
      <c r="A535" s="0" t="s">
        <v>843</v>
      </c>
      <c r="B535" s="0" t="s">
        <v>75</v>
      </c>
      <c r="C535" s="14" t="n">
        <v>45701</v>
      </c>
      <c r="D535" s="0" t="n">
        <v>21176.94</v>
      </c>
      <c r="E535" s="15" t="s">
        <v>77</v>
      </c>
      <c r="F535" s="15" t="s">
        <v>334</v>
      </c>
      <c r="G535" s="15" t="s">
        <v>290</v>
      </c>
    </row>
    <row r="536" customFormat="false" ht="15" hidden="false" customHeight="false" outlineLevel="0" collapsed="false">
      <c r="A536" s="0" t="s">
        <v>844</v>
      </c>
      <c r="B536" s="0" t="s">
        <v>109</v>
      </c>
      <c r="C536" s="14" t="n">
        <v>46132</v>
      </c>
      <c r="D536" s="0" t="n">
        <v>3298.58</v>
      </c>
      <c r="E536" s="15" t="s">
        <v>101</v>
      </c>
      <c r="F536" s="15" t="s">
        <v>381</v>
      </c>
      <c r="G536" s="15" t="s">
        <v>321</v>
      </c>
    </row>
    <row r="537" customFormat="false" ht="15" hidden="false" customHeight="false" outlineLevel="0" collapsed="false">
      <c r="A537" s="0" t="s">
        <v>845</v>
      </c>
      <c r="B537" s="0" t="s">
        <v>174</v>
      </c>
      <c r="C537" s="14" t="n">
        <v>45995</v>
      </c>
      <c r="D537" s="0" t="n">
        <v>6459.27</v>
      </c>
      <c r="E537" s="15" t="s">
        <v>91</v>
      </c>
      <c r="F537" s="15" t="s">
        <v>294</v>
      </c>
      <c r="G537" s="15" t="s">
        <v>313</v>
      </c>
    </row>
    <row r="538" customFormat="false" ht="15" hidden="false" customHeight="false" outlineLevel="0" collapsed="false">
      <c r="A538" s="0" t="s">
        <v>846</v>
      </c>
      <c r="B538" s="0" t="s">
        <v>116</v>
      </c>
      <c r="C538" s="14" t="n">
        <v>45789</v>
      </c>
      <c r="D538" s="0" t="n">
        <v>622.67</v>
      </c>
      <c r="E538" s="15" t="s">
        <v>86</v>
      </c>
      <c r="F538" s="15" t="s">
        <v>281</v>
      </c>
      <c r="G538" s="15" t="s">
        <v>282</v>
      </c>
    </row>
    <row r="539" customFormat="false" ht="15" hidden="false" customHeight="false" outlineLevel="0" collapsed="false">
      <c r="A539" s="0" t="s">
        <v>847</v>
      </c>
      <c r="B539" s="0" t="s">
        <v>186</v>
      </c>
      <c r="C539" s="14" t="n">
        <v>46155</v>
      </c>
      <c r="D539" s="0" t="n">
        <v>591.95</v>
      </c>
      <c r="E539" s="15" t="s">
        <v>86</v>
      </c>
      <c r="F539" s="15" t="s">
        <v>310</v>
      </c>
      <c r="G539" s="15" t="s">
        <v>290</v>
      </c>
    </row>
    <row r="540" customFormat="false" ht="15" hidden="false" customHeight="false" outlineLevel="0" collapsed="false">
      <c r="A540" s="0" t="s">
        <v>848</v>
      </c>
      <c r="B540" s="0" t="s">
        <v>89</v>
      </c>
      <c r="C540" s="14" t="n">
        <v>45735</v>
      </c>
      <c r="D540" s="0" t="n">
        <v>4894.13</v>
      </c>
      <c r="E540" s="15" t="s">
        <v>91</v>
      </c>
      <c r="F540" s="15" t="s">
        <v>306</v>
      </c>
      <c r="G540" s="15" t="s">
        <v>313</v>
      </c>
    </row>
    <row r="541" customFormat="false" ht="15" hidden="false" customHeight="false" outlineLevel="0" collapsed="false">
      <c r="A541" s="0" t="s">
        <v>849</v>
      </c>
      <c r="B541" s="0" t="s">
        <v>152</v>
      </c>
      <c r="C541" s="14" t="n">
        <v>45909</v>
      </c>
      <c r="D541" s="0" t="n">
        <v>640.41</v>
      </c>
      <c r="E541" s="15" t="s">
        <v>101</v>
      </c>
      <c r="F541" s="15" t="s">
        <v>351</v>
      </c>
      <c r="G541" s="15" t="s">
        <v>279</v>
      </c>
    </row>
    <row r="542" customFormat="false" ht="15" hidden="false" customHeight="false" outlineLevel="0" collapsed="false">
      <c r="A542" s="0" t="s">
        <v>850</v>
      </c>
      <c r="B542" s="0" t="s">
        <v>128</v>
      </c>
      <c r="C542" s="14" t="n">
        <v>45796</v>
      </c>
      <c r="D542" s="0" t="n">
        <v>6607.07</v>
      </c>
      <c r="E542" s="15" t="s">
        <v>101</v>
      </c>
      <c r="F542" s="15" t="s">
        <v>312</v>
      </c>
      <c r="G542" s="15" t="s">
        <v>302</v>
      </c>
    </row>
    <row r="543" customFormat="false" ht="15" hidden="false" customHeight="false" outlineLevel="0" collapsed="false">
      <c r="A543" s="0" t="s">
        <v>851</v>
      </c>
      <c r="B543" s="0" t="s">
        <v>164</v>
      </c>
      <c r="C543" s="14" t="n">
        <v>45797</v>
      </c>
      <c r="D543" s="0" t="n">
        <v>525.01</v>
      </c>
      <c r="E543" s="15" t="s">
        <v>77</v>
      </c>
      <c r="F543" s="15" t="s">
        <v>342</v>
      </c>
      <c r="G543" s="15" t="s">
        <v>279</v>
      </c>
    </row>
    <row r="544" customFormat="false" ht="15" hidden="false" customHeight="false" outlineLevel="0" collapsed="false">
      <c r="A544" s="0" t="s">
        <v>852</v>
      </c>
      <c r="B544" s="0" t="s">
        <v>146</v>
      </c>
      <c r="C544" s="14" t="n">
        <v>45663</v>
      </c>
      <c r="D544" s="0" t="n">
        <v>517.06</v>
      </c>
      <c r="E544" s="15" t="s">
        <v>114</v>
      </c>
      <c r="F544" s="15" t="s">
        <v>289</v>
      </c>
      <c r="G544" s="15" t="s">
        <v>302</v>
      </c>
    </row>
    <row r="545" customFormat="false" ht="15" hidden="false" customHeight="false" outlineLevel="0" collapsed="false">
      <c r="A545" s="0" t="s">
        <v>853</v>
      </c>
      <c r="B545" s="0" t="s">
        <v>112</v>
      </c>
      <c r="C545" s="14" t="n">
        <v>46096</v>
      </c>
      <c r="D545" s="0" t="n">
        <v>316.1</v>
      </c>
      <c r="E545" s="15" t="s">
        <v>114</v>
      </c>
      <c r="F545" s="15" t="s">
        <v>306</v>
      </c>
      <c r="G545" s="15" t="s">
        <v>290</v>
      </c>
    </row>
    <row r="546" customFormat="false" ht="15" hidden="false" customHeight="false" outlineLevel="0" collapsed="false">
      <c r="A546" s="0" t="s">
        <v>854</v>
      </c>
      <c r="B546" s="0" t="s">
        <v>183</v>
      </c>
      <c r="C546" s="14" t="n">
        <v>46149</v>
      </c>
      <c r="D546" s="0" t="n">
        <v>4436.8</v>
      </c>
      <c r="E546" s="15" t="s">
        <v>86</v>
      </c>
      <c r="F546" s="15" t="s">
        <v>360</v>
      </c>
      <c r="G546" s="15" t="s">
        <v>313</v>
      </c>
    </row>
    <row r="547" customFormat="false" ht="15" hidden="false" customHeight="false" outlineLevel="0" collapsed="false">
      <c r="A547" s="0" t="s">
        <v>855</v>
      </c>
      <c r="B547" s="0" t="s">
        <v>158</v>
      </c>
      <c r="C547" s="14" t="n">
        <v>46027</v>
      </c>
      <c r="D547" s="0" t="n">
        <v>6594.42</v>
      </c>
      <c r="E547" s="15" t="s">
        <v>77</v>
      </c>
      <c r="F547" s="15" t="s">
        <v>327</v>
      </c>
      <c r="G547" s="15" t="s">
        <v>321</v>
      </c>
    </row>
    <row r="548" customFormat="false" ht="15" hidden="false" customHeight="false" outlineLevel="0" collapsed="false">
      <c r="A548" s="0" t="s">
        <v>856</v>
      </c>
      <c r="B548" s="0" t="s">
        <v>161</v>
      </c>
      <c r="C548" s="14" t="n">
        <v>45744</v>
      </c>
      <c r="D548" s="0" t="n">
        <v>836.54</v>
      </c>
      <c r="E548" s="15" t="s">
        <v>72</v>
      </c>
      <c r="F548" s="15" t="s">
        <v>308</v>
      </c>
      <c r="G548" s="15" t="s">
        <v>292</v>
      </c>
    </row>
    <row r="549" customFormat="false" ht="15" hidden="false" customHeight="false" outlineLevel="0" collapsed="false">
      <c r="A549" s="0" t="s">
        <v>857</v>
      </c>
      <c r="B549" s="0" t="s">
        <v>140</v>
      </c>
      <c r="C549" s="14" t="n">
        <v>45898</v>
      </c>
      <c r="D549" s="0" t="n">
        <v>1170.71</v>
      </c>
      <c r="E549" s="15" t="s">
        <v>72</v>
      </c>
      <c r="F549" s="15" t="s">
        <v>300</v>
      </c>
      <c r="G549" s="15" t="s">
        <v>290</v>
      </c>
    </row>
    <row r="550" customFormat="false" ht="15" hidden="false" customHeight="false" outlineLevel="0" collapsed="false">
      <c r="A550" s="0" t="s">
        <v>858</v>
      </c>
      <c r="B550" s="0" t="s">
        <v>161</v>
      </c>
      <c r="C550" s="14" t="n">
        <v>45846</v>
      </c>
      <c r="D550" s="0" t="n">
        <v>4155.49</v>
      </c>
      <c r="E550" s="15" t="s">
        <v>72</v>
      </c>
      <c r="F550" s="15" t="s">
        <v>334</v>
      </c>
      <c r="G550" s="15" t="s">
        <v>302</v>
      </c>
    </row>
    <row r="551" customFormat="false" ht="15" hidden="false" customHeight="false" outlineLevel="0" collapsed="false">
      <c r="A551" s="0" t="s">
        <v>859</v>
      </c>
      <c r="B551" s="0" t="s">
        <v>164</v>
      </c>
      <c r="C551" s="14" t="n">
        <v>45978</v>
      </c>
      <c r="D551" s="0" t="n">
        <v>813.95</v>
      </c>
      <c r="E551" s="15" t="s">
        <v>77</v>
      </c>
      <c r="F551" s="15" t="s">
        <v>294</v>
      </c>
      <c r="G551" s="15" t="s">
        <v>282</v>
      </c>
    </row>
    <row r="552" customFormat="false" ht="15" hidden="false" customHeight="false" outlineLevel="0" collapsed="false">
      <c r="A552" s="0" t="s">
        <v>860</v>
      </c>
      <c r="B552" s="0" t="s">
        <v>143</v>
      </c>
      <c r="C552" s="14" t="n">
        <v>46006</v>
      </c>
      <c r="D552" s="0" t="n">
        <v>219.09</v>
      </c>
      <c r="E552" s="15" t="s">
        <v>86</v>
      </c>
      <c r="F552" s="15" t="s">
        <v>300</v>
      </c>
      <c r="G552" s="15" t="s">
        <v>287</v>
      </c>
    </row>
    <row r="553" customFormat="false" ht="15" hidden="false" customHeight="false" outlineLevel="0" collapsed="false">
      <c r="A553" s="0" t="s">
        <v>861</v>
      </c>
      <c r="B553" s="0" t="s">
        <v>134</v>
      </c>
      <c r="C553" s="14" t="n">
        <v>45889</v>
      </c>
      <c r="D553" s="0" t="n">
        <v>313.99</v>
      </c>
      <c r="E553" s="15" t="s">
        <v>114</v>
      </c>
      <c r="F553" s="15" t="s">
        <v>289</v>
      </c>
      <c r="G553" s="15" t="s">
        <v>302</v>
      </c>
    </row>
    <row r="554" customFormat="false" ht="15" hidden="false" customHeight="false" outlineLevel="0" collapsed="false">
      <c r="A554" s="0" t="s">
        <v>862</v>
      </c>
      <c r="B554" s="0" t="s">
        <v>89</v>
      </c>
      <c r="C554" s="14" t="n">
        <v>45794</v>
      </c>
      <c r="D554" s="0" t="n">
        <v>7086.46</v>
      </c>
      <c r="E554" s="15" t="s">
        <v>91</v>
      </c>
      <c r="F554" s="15" t="s">
        <v>306</v>
      </c>
      <c r="G554" s="15" t="s">
        <v>287</v>
      </c>
    </row>
    <row r="555" customFormat="false" ht="15" hidden="false" customHeight="false" outlineLevel="0" collapsed="false">
      <c r="A555" s="0" t="s">
        <v>863</v>
      </c>
      <c r="B555" s="0" t="s">
        <v>143</v>
      </c>
      <c r="C555" s="14" t="n">
        <v>46118</v>
      </c>
      <c r="D555" s="0" t="n">
        <v>5679.33</v>
      </c>
      <c r="E555" s="15" t="s">
        <v>86</v>
      </c>
      <c r="F555" s="15" t="s">
        <v>381</v>
      </c>
      <c r="G555" s="15" t="s">
        <v>282</v>
      </c>
    </row>
    <row r="556" customFormat="false" ht="15" hidden="false" customHeight="false" outlineLevel="0" collapsed="false">
      <c r="A556" s="0" t="s">
        <v>864</v>
      </c>
      <c r="B556" s="0" t="s">
        <v>89</v>
      </c>
      <c r="C556" s="14" t="n">
        <v>45766</v>
      </c>
      <c r="D556" s="0" t="n">
        <v>745.67</v>
      </c>
      <c r="E556" s="15" t="s">
        <v>91</v>
      </c>
      <c r="F556" s="15" t="s">
        <v>286</v>
      </c>
      <c r="G556" s="15" t="s">
        <v>292</v>
      </c>
    </row>
    <row r="557" customFormat="false" ht="15" hidden="false" customHeight="false" outlineLevel="0" collapsed="false">
      <c r="A557" s="0" t="s">
        <v>865</v>
      </c>
      <c r="B557" s="0" t="s">
        <v>195</v>
      </c>
      <c r="C557" s="14" t="n">
        <v>45867</v>
      </c>
      <c r="D557" s="0" t="n">
        <v>2119.2</v>
      </c>
      <c r="E557" s="15" t="s">
        <v>114</v>
      </c>
      <c r="F557" s="15" t="s">
        <v>344</v>
      </c>
      <c r="G557" s="15" t="s">
        <v>287</v>
      </c>
    </row>
    <row r="558" customFormat="false" ht="15" hidden="false" customHeight="false" outlineLevel="0" collapsed="false">
      <c r="A558" s="0" t="s">
        <v>866</v>
      </c>
      <c r="B558" s="0" t="s">
        <v>125</v>
      </c>
      <c r="C558" s="14" t="n">
        <v>45921</v>
      </c>
      <c r="D558" s="0" t="n">
        <v>202.78</v>
      </c>
      <c r="E558" s="15" t="s">
        <v>72</v>
      </c>
      <c r="F558" s="15" t="s">
        <v>346</v>
      </c>
      <c r="G558" s="15" t="s">
        <v>313</v>
      </c>
    </row>
    <row r="559" customFormat="false" ht="15" hidden="false" customHeight="false" outlineLevel="0" collapsed="false">
      <c r="A559" s="0" t="s">
        <v>867</v>
      </c>
      <c r="B559" s="0" t="s">
        <v>149</v>
      </c>
      <c r="C559" s="14" t="n">
        <v>45787</v>
      </c>
      <c r="D559" s="0" t="n">
        <v>1869.57</v>
      </c>
      <c r="E559" s="15" t="s">
        <v>72</v>
      </c>
      <c r="F559" s="15" t="s">
        <v>351</v>
      </c>
      <c r="G559" s="15" t="s">
        <v>321</v>
      </c>
    </row>
    <row r="560" customFormat="false" ht="15" hidden="false" customHeight="false" outlineLevel="0" collapsed="false">
      <c r="A560" s="0" t="s">
        <v>868</v>
      </c>
      <c r="B560" s="0" t="s">
        <v>116</v>
      </c>
      <c r="C560" s="14" t="n">
        <v>45969</v>
      </c>
      <c r="D560" s="0" t="n">
        <v>1002.81</v>
      </c>
      <c r="E560" s="15" t="s">
        <v>86</v>
      </c>
      <c r="F560" s="15" t="s">
        <v>330</v>
      </c>
      <c r="G560" s="15" t="s">
        <v>282</v>
      </c>
    </row>
    <row r="561" customFormat="false" ht="15" hidden="false" customHeight="false" outlineLevel="0" collapsed="false">
      <c r="A561" s="0" t="s">
        <v>869</v>
      </c>
      <c r="B561" s="0" t="s">
        <v>137</v>
      </c>
      <c r="C561" s="14" t="n">
        <v>45971</v>
      </c>
      <c r="D561" s="0" t="n">
        <v>829.86</v>
      </c>
      <c r="E561" s="15" t="s">
        <v>106</v>
      </c>
      <c r="F561" s="15" t="s">
        <v>330</v>
      </c>
      <c r="G561" s="15" t="s">
        <v>290</v>
      </c>
    </row>
    <row r="562" customFormat="false" ht="15" hidden="false" customHeight="false" outlineLevel="0" collapsed="false">
      <c r="A562" s="0" t="s">
        <v>870</v>
      </c>
      <c r="B562" s="0" t="s">
        <v>195</v>
      </c>
      <c r="C562" s="14" t="n">
        <v>46199</v>
      </c>
      <c r="D562" s="0" t="n">
        <v>1964.42</v>
      </c>
      <c r="E562" s="15" t="s">
        <v>114</v>
      </c>
      <c r="F562" s="15" t="s">
        <v>284</v>
      </c>
      <c r="G562" s="15" t="s">
        <v>290</v>
      </c>
    </row>
    <row r="563" customFormat="false" ht="15" hidden="false" customHeight="false" outlineLevel="0" collapsed="false">
      <c r="A563" s="0" t="s">
        <v>871</v>
      </c>
      <c r="B563" s="0" t="s">
        <v>164</v>
      </c>
      <c r="C563" s="14" t="n">
        <v>45818</v>
      </c>
      <c r="D563" s="0" t="n">
        <v>3096.07</v>
      </c>
      <c r="E563" s="15" t="s">
        <v>77</v>
      </c>
      <c r="F563" s="15" t="s">
        <v>317</v>
      </c>
      <c r="G563" s="15" t="s">
        <v>313</v>
      </c>
    </row>
    <row r="564" customFormat="false" ht="15" hidden="false" customHeight="false" outlineLevel="0" collapsed="false">
      <c r="A564" s="0" t="s">
        <v>872</v>
      </c>
      <c r="B564" s="0" t="s">
        <v>143</v>
      </c>
      <c r="C564" s="14" t="n">
        <v>46190</v>
      </c>
      <c r="D564" s="0" t="n">
        <v>1700.5</v>
      </c>
      <c r="E564" s="15" t="s">
        <v>86</v>
      </c>
      <c r="F564" s="15" t="s">
        <v>306</v>
      </c>
      <c r="G564" s="15" t="s">
        <v>282</v>
      </c>
    </row>
    <row r="565" customFormat="false" ht="15" hidden="false" customHeight="false" outlineLevel="0" collapsed="false">
      <c r="A565" s="0" t="s">
        <v>873</v>
      </c>
      <c r="B565" s="0" t="s">
        <v>80</v>
      </c>
      <c r="C565" s="14" t="n">
        <v>46016</v>
      </c>
      <c r="D565" s="0" t="n">
        <v>1462.27</v>
      </c>
      <c r="E565" s="15" t="s">
        <v>72</v>
      </c>
      <c r="F565" s="15" t="s">
        <v>344</v>
      </c>
      <c r="G565" s="15" t="s">
        <v>279</v>
      </c>
    </row>
    <row r="566" customFormat="false" ht="15" hidden="false" customHeight="false" outlineLevel="0" collapsed="false">
      <c r="A566" s="0" t="s">
        <v>874</v>
      </c>
      <c r="B566" s="0" t="s">
        <v>149</v>
      </c>
      <c r="C566" s="14" t="n">
        <v>45807</v>
      </c>
      <c r="D566" s="0" t="n">
        <v>1476.77</v>
      </c>
      <c r="E566" s="15" t="s">
        <v>72</v>
      </c>
      <c r="F566" s="15" t="s">
        <v>360</v>
      </c>
      <c r="G566" s="15" t="s">
        <v>321</v>
      </c>
    </row>
    <row r="567" customFormat="false" ht="15" hidden="false" customHeight="false" outlineLevel="0" collapsed="false">
      <c r="A567" s="0" t="s">
        <v>875</v>
      </c>
      <c r="B567" s="0" t="s">
        <v>189</v>
      </c>
      <c r="C567" s="14" t="n">
        <v>45966</v>
      </c>
      <c r="D567" s="0" t="n">
        <v>3152.95</v>
      </c>
      <c r="E567" s="15" t="s">
        <v>72</v>
      </c>
      <c r="F567" s="15" t="s">
        <v>304</v>
      </c>
      <c r="G567" s="15" t="s">
        <v>321</v>
      </c>
    </row>
    <row r="568" customFormat="false" ht="15" hidden="false" customHeight="false" outlineLevel="0" collapsed="false">
      <c r="A568" s="0" t="s">
        <v>876</v>
      </c>
      <c r="B568" s="0" t="s">
        <v>80</v>
      </c>
      <c r="C568" s="14" t="n">
        <v>46031</v>
      </c>
      <c r="D568" s="0" t="n">
        <v>3405.2</v>
      </c>
      <c r="E568" s="15" t="s">
        <v>72</v>
      </c>
      <c r="F568" s="15" t="s">
        <v>360</v>
      </c>
      <c r="G568" s="15" t="s">
        <v>287</v>
      </c>
    </row>
    <row r="569" customFormat="false" ht="15" hidden="false" customHeight="false" outlineLevel="0" collapsed="false">
      <c r="A569" s="0" t="s">
        <v>877</v>
      </c>
      <c r="B569" s="0" t="s">
        <v>119</v>
      </c>
      <c r="C569" s="14" t="n">
        <v>46063</v>
      </c>
      <c r="D569" s="0" t="n">
        <v>290.16</v>
      </c>
      <c r="E569" s="15" t="s">
        <v>86</v>
      </c>
      <c r="F569" s="15" t="s">
        <v>284</v>
      </c>
      <c r="G569" s="15" t="s">
        <v>287</v>
      </c>
    </row>
    <row r="570" customFormat="false" ht="15" hidden="false" customHeight="false" outlineLevel="0" collapsed="false">
      <c r="A570" s="0" t="s">
        <v>878</v>
      </c>
      <c r="B570" s="0" t="s">
        <v>171</v>
      </c>
      <c r="C570" s="14" t="n">
        <v>45684</v>
      </c>
      <c r="D570" s="0" t="n">
        <v>3177.82</v>
      </c>
      <c r="E570" s="15" t="s">
        <v>106</v>
      </c>
      <c r="F570" s="15" t="s">
        <v>296</v>
      </c>
      <c r="G570" s="15" t="s">
        <v>292</v>
      </c>
    </row>
    <row r="571" customFormat="false" ht="15" hidden="false" customHeight="false" outlineLevel="0" collapsed="false">
      <c r="A571" s="0" t="s">
        <v>879</v>
      </c>
      <c r="B571" s="0" t="s">
        <v>116</v>
      </c>
      <c r="C571" s="14" t="n">
        <v>45988</v>
      </c>
      <c r="D571" s="0" t="n">
        <v>723.11</v>
      </c>
      <c r="E571" s="15" t="s">
        <v>86</v>
      </c>
      <c r="F571" s="15" t="s">
        <v>298</v>
      </c>
      <c r="G571" s="15" t="s">
        <v>287</v>
      </c>
    </row>
    <row r="572" customFormat="false" ht="15" hidden="false" customHeight="false" outlineLevel="0" collapsed="false">
      <c r="A572" s="0" t="s">
        <v>880</v>
      </c>
      <c r="B572" s="0" t="s">
        <v>104</v>
      </c>
      <c r="C572" s="14" t="n">
        <v>45928</v>
      </c>
      <c r="D572" s="0" t="n">
        <v>2363.54</v>
      </c>
      <c r="E572" s="15" t="s">
        <v>106</v>
      </c>
      <c r="F572" s="15" t="s">
        <v>278</v>
      </c>
      <c r="G572" s="15" t="s">
        <v>321</v>
      </c>
    </row>
    <row r="573" customFormat="false" ht="15" hidden="false" customHeight="false" outlineLevel="0" collapsed="false">
      <c r="A573" s="0" t="s">
        <v>881</v>
      </c>
      <c r="B573" s="0" t="s">
        <v>93</v>
      </c>
      <c r="C573" s="14" t="n">
        <v>46150</v>
      </c>
      <c r="D573" s="0" t="n">
        <v>1328.83</v>
      </c>
      <c r="E573" s="15" t="s">
        <v>86</v>
      </c>
      <c r="F573" s="15" t="s">
        <v>306</v>
      </c>
      <c r="G573" s="15" t="s">
        <v>287</v>
      </c>
    </row>
    <row r="574" customFormat="false" ht="15" hidden="false" customHeight="false" outlineLevel="0" collapsed="false">
      <c r="A574" s="0" t="s">
        <v>882</v>
      </c>
      <c r="B574" s="0" t="s">
        <v>140</v>
      </c>
      <c r="C574" s="14" t="n">
        <v>45813</v>
      </c>
      <c r="D574" s="0" t="n">
        <v>825.32</v>
      </c>
      <c r="E574" s="15" t="s">
        <v>72</v>
      </c>
      <c r="F574" s="15" t="s">
        <v>334</v>
      </c>
      <c r="G574" s="15" t="s">
        <v>287</v>
      </c>
    </row>
    <row r="575" customFormat="false" ht="15" hidden="false" customHeight="false" outlineLevel="0" collapsed="false">
      <c r="A575" s="0" t="s">
        <v>883</v>
      </c>
      <c r="B575" s="0" t="s">
        <v>189</v>
      </c>
      <c r="C575" s="14" t="n">
        <v>46093</v>
      </c>
      <c r="D575" s="0" t="n">
        <v>3318.83</v>
      </c>
      <c r="E575" s="15" t="s">
        <v>72</v>
      </c>
      <c r="F575" s="15" t="s">
        <v>300</v>
      </c>
      <c r="G575" s="15" t="s">
        <v>290</v>
      </c>
    </row>
    <row r="576" customFormat="false" ht="15" hidden="false" customHeight="false" outlineLevel="0" collapsed="false">
      <c r="A576" s="0" t="s">
        <v>884</v>
      </c>
      <c r="B576" s="0" t="s">
        <v>96</v>
      </c>
      <c r="C576" s="14" t="n">
        <v>45988</v>
      </c>
      <c r="D576" s="0" t="n">
        <v>2949.36</v>
      </c>
      <c r="E576" s="15" t="s">
        <v>77</v>
      </c>
      <c r="F576" s="15" t="s">
        <v>342</v>
      </c>
      <c r="G576" s="15" t="s">
        <v>321</v>
      </c>
    </row>
    <row r="577" customFormat="false" ht="15" hidden="false" customHeight="false" outlineLevel="0" collapsed="false">
      <c r="A577" s="0" t="s">
        <v>885</v>
      </c>
      <c r="B577" s="0" t="s">
        <v>99</v>
      </c>
      <c r="C577" s="14" t="n">
        <v>45850</v>
      </c>
      <c r="D577" s="0" t="n">
        <v>1733.53</v>
      </c>
      <c r="E577" s="15" t="s">
        <v>101</v>
      </c>
      <c r="F577" s="15" t="s">
        <v>330</v>
      </c>
      <c r="G577" s="15" t="s">
        <v>292</v>
      </c>
    </row>
    <row r="578" customFormat="false" ht="15" hidden="false" customHeight="false" outlineLevel="0" collapsed="false">
      <c r="A578" s="0" t="s">
        <v>886</v>
      </c>
      <c r="B578" s="0" t="s">
        <v>186</v>
      </c>
      <c r="C578" s="14" t="n">
        <v>46004</v>
      </c>
      <c r="D578" s="0" t="n">
        <v>2308.67</v>
      </c>
      <c r="E578" s="15" t="s">
        <v>86</v>
      </c>
      <c r="F578" s="15" t="s">
        <v>308</v>
      </c>
      <c r="G578" s="15" t="s">
        <v>279</v>
      </c>
    </row>
    <row r="579" customFormat="false" ht="15" hidden="false" customHeight="false" outlineLevel="0" collapsed="false">
      <c r="A579" s="0" t="s">
        <v>887</v>
      </c>
      <c r="B579" s="0" t="s">
        <v>167</v>
      </c>
      <c r="C579" s="14" t="n">
        <v>45996</v>
      </c>
      <c r="D579" s="0" t="n">
        <v>3697.76</v>
      </c>
      <c r="E579" s="15" t="s">
        <v>72</v>
      </c>
      <c r="F579" s="15" t="s">
        <v>306</v>
      </c>
      <c r="G579" s="15" t="s">
        <v>290</v>
      </c>
    </row>
    <row r="580" customFormat="false" ht="15" hidden="false" customHeight="false" outlineLevel="0" collapsed="false">
      <c r="A580" s="0" t="s">
        <v>888</v>
      </c>
      <c r="B580" s="0" t="s">
        <v>119</v>
      </c>
      <c r="C580" s="14" t="n">
        <v>46027</v>
      </c>
      <c r="D580" s="0" t="n">
        <v>1532.53</v>
      </c>
      <c r="E580" s="15" t="s">
        <v>86</v>
      </c>
      <c r="F580" s="15" t="s">
        <v>284</v>
      </c>
      <c r="G580" s="15" t="s">
        <v>302</v>
      </c>
    </row>
    <row r="581" customFormat="false" ht="15" hidden="false" customHeight="false" outlineLevel="0" collapsed="false">
      <c r="A581" s="0" t="s">
        <v>889</v>
      </c>
      <c r="B581" s="0" t="s">
        <v>134</v>
      </c>
      <c r="C581" s="14" t="n">
        <v>46050</v>
      </c>
      <c r="D581" s="0" t="n">
        <v>354.2</v>
      </c>
      <c r="E581" s="15" t="s">
        <v>114</v>
      </c>
      <c r="F581" s="15" t="s">
        <v>327</v>
      </c>
      <c r="G581" s="15" t="s">
        <v>290</v>
      </c>
    </row>
    <row r="582" customFormat="false" ht="15" hidden="false" customHeight="false" outlineLevel="0" collapsed="false">
      <c r="A582" s="0" t="s">
        <v>890</v>
      </c>
      <c r="B582" s="0" t="s">
        <v>143</v>
      </c>
      <c r="C582" s="14" t="n">
        <v>46017</v>
      </c>
      <c r="D582" s="0" t="n">
        <v>1077.17</v>
      </c>
      <c r="E582" s="15" t="s">
        <v>86</v>
      </c>
      <c r="F582" s="15" t="s">
        <v>337</v>
      </c>
      <c r="G582" s="15" t="s">
        <v>282</v>
      </c>
    </row>
    <row r="583" customFormat="false" ht="15" hidden="false" customHeight="false" outlineLevel="0" collapsed="false">
      <c r="A583" s="0" t="s">
        <v>891</v>
      </c>
      <c r="B583" s="0" t="s">
        <v>125</v>
      </c>
      <c r="C583" s="14" t="n">
        <v>46114</v>
      </c>
      <c r="D583" s="0" t="n">
        <v>968.37</v>
      </c>
      <c r="E583" s="15" t="s">
        <v>72</v>
      </c>
      <c r="F583" s="15" t="s">
        <v>346</v>
      </c>
      <c r="G583" s="15" t="s">
        <v>321</v>
      </c>
    </row>
    <row r="584" customFormat="false" ht="15" hidden="false" customHeight="false" outlineLevel="0" collapsed="false">
      <c r="A584" s="0" t="s">
        <v>892</v>
      </c>
      <c r="B584" s="0" t="s">
        <v>89</v>
      </c>
      <c r="C584" s="14" t="n">
        <v>46000</v>
      </c>
      <c r="D584" s="0" t="n">
        <v>1370.11</v>
      </c>
      <c r="E584" s="15" t="s">
        <v>91</v>
      </c>
      <c r="F584" s="15" t="s">
        <v>278</v>
      </c>
      <c r="G584" s="15" t="s">
        <v>282</v>
      </c>
    </row>
    <row r="585" customFormat="false" ht="15" hidden="false" customHeight="false" outlineLevel="0" collapsed="false">
      <c r="A585" s="0" t="s">
        <v>893</v>
      </c>
      <c r="B585" s="0" t="s">
        <v>93</v>
      </c>
      <c r="C585" s="14" t="n">
        <v>46150</v>
      </c>
      <c r="D585" s="0" t="n">
        <v>27454.9</v>
      </c>
      <c r="E585" s="15" t="s">
        <v>86</v>
      </c>
      <c r="F585" s="15" t="s">
        <v>310</v>
      </c>
      <c r="G585" s="15" t="s">
        <v>292</v>
      </c>
    </row>
    <row r="586" customFormat="false" ht="15" hidden="false" customHeight="false" outlineLevel="0" collapsed="false">
      <c r="A586" s="0" t="s">
        <v>894</v>
      </c>
      <c r="B586" s="0" t="s">
        <v>171</v>
      </c>
      <c r="C586" s="14" t="n">
        <v>46010</v>
      </c>
      <c r="D586" s="0" t="n">
        <v>3138.5</v>
      </c>
      <c r="E586" s="15" t="s">
        <v>106</v>
      </c>
      <c r="F586" s="15" t="s">
        <v>346</v>
      </c>
      <c r="G586" s="15" t="s">
        <v>287</v>
      </c>
    </row>
    <row r="587" customFormat="false" ht="15" hidden="false" customHeight="false" outlineLevel="0" collapsed="false">
      <c r="A587" s="0" t="s">
        <v>895</v>
      </c>
      <c r="B587" s="0" t="s">
        <v>112</v>
      </c>
      <c r="C587" s="14" t="n">
        <v>45826</v>
      </c>
      <c r="D587" s="0" t="n">
        <v>4085.56</v>
      </c>
      <c r="E587" s="15" t="s">
        <v>114</v>
      </c>
      <c r="F587" s="15" t="s">
        <v>281</v>
      </c>
      <c r="G587" s="15" t="s">
        <v>313</v>
      </c>
    </row>
    <row r="588" customFormat="false" ht="15" hidden="false" customHeight="false" outlineLevel="0" collapsed="false">
      <c r="A588" s="0" t="s">
        <v>896</v>
      </c>
      <c r="B588" s="0" t="s">
        <v>70</v>
      </c>
      <c r="C588" s="14" t="n">
        <v>45898</v>
      </c>
      <c r="D588" s="0" t="n">
        <v>2086.29</v>
      </c>
      <c r="E588" s="15" t="s">
        <v>72</v>
      </c>
      <c r="F588" s="15" t="s">
        <v>327</v>
      </c>
      <c r="G588" s="15" t="s">
        <v>321</v>
      </c>
    </row>
    <row r="589" customFormat="false" ht="15" hidden="false" customHeight="false" outlineLevel="0" collapsed="false">
      <c r="A589" s="0" t="s">
        <v>897</v>
      </c>
      <c r="B589" s="0" t="s">
        <v>161</v>
      </c>
      <c r="C589" s="14" t="n">
        <v>45973</v>
      </c>
      <c r="D589" s="0" t="n">
        <v>345.65</v>
      </c>
      <c r="E589" s="15" t="s">
        <v>72</v>
      </c>
      <c r="F589" s="15" t="s">
        <v>327</v>
      </c>
      <c r="G589" s="15" t="s">
        <v>302</v>
      </c>
    </row>
    <row r="590" customFormat="false" ht="15" hidden="false" customHeight="false" outlineLevel="0" collapsed="false">
      <c r="A590" s="0" t="s">
        <v>898</v>
      </c>
      <c r="B590" s="0" t="s">
        <v>140</v>
      </c>
      <c r="C590" s="14" t="n">
        <v>46057</v>
      </c>
      <c r="D590" s="0" t="n">
        <v>1516.39</v>
      </c>
      <c r="E590" s="15" t="s">
        <v>72</v>
      </c>
      <c r="F590" s="15" t="s">
        <v>312</v>
      </c>
      <c r="G590" s="15" t="s">
        <v>287</v>
      </c>
    </row>
    <row r="591" customFormat="false" ht="15" hidden="false" customHeight="false" outlineLevel="0" collapsed="false">
      <c r="A591" s="0" t="s">
        <v>899</v>
      </c>
      <c r="B591" s="0" t="s">
        <v>70</v>
      </c>
      <c r="C591" s="14" t="n">
        <v>45707</v>
      </c>
      <c r="D591" s="0" t="n">
        <v>19832.55</v>
      </c>
      <c r="E591" s="15" t="s">
        <v>72</v>
      </c>
      <c r="F591" s="15" t="s">
        <v>306</v>
      </c>
      <c r="G591" s="15" t="s">
        <v>287</v>
      </c>
    </row>
    <row r="592" customFormat="false" ht="15" hidden="false" customHeight="false" outlineLevel="0" collapsed="false">
      <c r="A592" s="0" t="s">
        <v>900</v>
      </c>
      <c r="B592" s="0" t="s">
        <v>116</v>
      </c>
      <c r="C592" s="14" t="n">
        <v>45818</v>
      </c>
      <c r="D592" s="0" t="n">
        <v>1703.61</v>
      </c>
      <c r="E592" s="15" t="s">
        <v>86</v>
      </c>
      <c r="F592" s="15" t="s">
        <v>330</v>
      </c>
      <c r="G592" s="15" t="s">
        <v>321</v>
      </c>
    </row>
    <row r="593" customFormat="false" ht="15" hidden="false" customHeight="false" outlineLevel="0" collapsed="false">
      <c r="A593" s="0" t="s">
        <v>901</v>
      </c>
      <c r="B593" s="0" t="s">
        <v>104</v>
      </c>
      <c r="C593" s="14" t="n">
        <v>46065</v>
      </c>
      <c r="D593" s="0" t="n">
        <v>2360.64</v>
      </c>
      <c r="E593" s="15" t="s">
        <v>106</v>
      </c>
      <c r="F593" s="15" t="s">
        <v>344</v>
      </c>
      <c r="G593" s="15" t="s">
        <v>302</v>
      </c>
    </row>
    <row r="594" customFormat="false" ht="15" hidden="false" customHeight="false" outlineLevel="0" collapsed="false">
      <c r="A594" s="0" t="s">
        <v>902</v>
      </c>
      <c r="B594" s="0" t="s">
        <v>104</v>
      </c>
      <c r="C594" s="14" t="n">
        <v>45753</v>
      </c>
      <c r="D594" s="0" t="n">
        <v>1484.72</v>
      </c>
      <c r="E594" s="15" t="s">
        <v>106</v>
      </c>
      <c r="F594" s="15" t="s">
        <v>304</v>
      </c>
      <c r="G594" s="15" t="s">
        <v>292</v>
      </c>
    </row>
    <row r="595" customFormat="false" ht="15" hidden="false" customHeight="false" outlineLevel="0" collapsed="false">
      <c r="A595" s="0" t="s">
        <v>903</v>
      </c>
      <c r="B595" s="0" t="s">
        <v>134</v>
      </c>
      <c r="C595" s="14" t="n">
        <v>45730</v>
      </c>
      <c r="D595" s="0" t="n">
        <v>1627.91</v>
      </c>
      <c r="E595" s="15" t="s">
        <v>114</v>
      </c>
      <c r="F595" s="15" t="s">
        <v>342</v>
      </c>
      <c r="G595" s="15" t="s">
        <v>279</v>
      </c>
    </row>
    <row r="596" customFormat="false" ht="15" hidden="false" customHeight="false" outlineLevel="0" collapsed="false">
      <c r="A596" s="0" t="s">
        <v>904</v>
      </c>
      <c r="B596" s="0" t="s">
        <v>70</v>
      </c>
      <c r="C596" s="14" t="n">
        <v>45951</v>
      </c>
      <c r="D596" s="0" t="n">
        <v>1090.07</v>
      </c>
      <c r="E596" s="15" t="s">
        <v>72</v>
      </c>
      <c r="F596" s="15" t="s">
        <v>308</v>
      </c>
      <c r="G596" s="15" t="s">
        <v>287</v>
      </c>
    </row>
    <row r="597" customFormat="false" ht="15" hidden="false" customHeight="false" outlineLevel="0" collapsed="false">
      <c r="A597" s="0" t="s">
        <v>905</v>
      </c>
      <c r="B597" s="0" t="s">
        <v>189</v>
      </c>
      <c r="C597" s="14" t="n">
        <v>46187</v>
      </c>
      <c r="D597" s="0" t="n">
        <v>4290.25</v>
      </c>
      <c r="E597" s="15" t="s">
        <v>72</v>
      </c>
      <c r="F597" s="15" t="s">
        <v>334</v>
      </c>
      <c r="G597" s="15" t="s">
        <v>282</v>
      </c>
    </row>
    <row r="598" customFormat="false" ht="15" hidden="false" customHeight="false" outlineLevel="0" collapsed="false">
      <c r="A598" s="0" t="s">
        <v>906</v>
      </c>
      <c r="B598" s="0" t="s">
        <v>155</v>
      </c>
      <c r="C598" s="14" t="n">
        <v>45947</v>
      </c>
      <c r="D598" s="0" t="n">
        <v>60188.25</v>
      </c>
      <c r="E598" s="15" t="s">
        <v>106</v>
      </c>
      <c r="F598" s="15" t="s">
        <v>381</v>
      </c>
      <c r="G598" s="15" t="s">
        <v>279</v>
      </c>
    </row>
    <row r="599" customFormat="false" ht="15" hidden="false" customHeight="false" outlineLevel="0" collapsed="false">
      <c r="A599" s="0" t="s">
        <v>907</v>
      </c>
      <c r="B599" s="0" t="s">
        <v>183</v>
      </c>
      <c r="C599" s="14" t="n">
        <v>46155</v>
      </c>
      <c r="D599" s="0" t="n">
        <v>7933.72</v>
      </c>
      <c r="E599" s="15" t="s">
        <v>86</v>
      </c>
      <c r="F599" s="15" t="s">
        <v>351</v>
      </c>
      <c r="G599" s="15" t="s">
        <v>290</v>
      </c>
    </row>
    <row r="600" customFormat="false" ht="15" hidden="false" customHeight="false" outlineLevel="0" collapsed="false">
      <c r="A600" s="0" t="s">
        <v>908</v>
      </c>
      <c r="B600" s="0" t="s">
        <v>152</v>
      </c>
      <c r="C600" s="14" t="n">
        <v>46110</v>
      </c>
      <c r="D600" s="0" t="n">
        <v>2753.96</v>
      </c>
      <c r="E600" s="15" t="s">
        <v>101</v>
      </c>
      <c r="F600" s="15" t="s">
        <v>284</v>
      </c>
      <c r="G600" s="15" t="s">
        <v>321</v>
      </c>
    </row>
    <row r="601" customFormat="false" ht="15" hidden="false" customHeight="false" outlineLevel="0" collapsed="false">
      <c r="A601" s="0" t="s">
        <v>909</v>
      </c>
      <c r="B601" s="0" t="s">
        <v>119</v>
      </c>
      <c r="C601" s="14" t="n">
        <v>45798</v>
      </c>
      <c r="D601" s="0" t="n">
        <v>5478.24</v>
      </c>
      <c r="E601" s="15" t="s">
        <v>86</v>
      </c>
      <c r="F601" s="15" t="s">
        <v>344</v>
      </c>
      <c r="G601" s="15" t="s">
        <v>279</v>
      </c>
    </row>
    <row r="602" customFormat="false" ht="15" hidden="false" customHeight="false" outlineLevel="0" collapsed="false">
      <c r="A602" s="0" t="s">
        <v>910</v>
      </c>
      <c r="B602" s="0" t="s">
        <v>104</v>
      </c>
      <c r="C602" s="14" t="n">
        <v>46107</v>
      </c>
      <c r="D602" s="0" t="n">
        <v>581.73</v>
      </c>
      <c r="E602" s="15" t="s">
        <v>106</v>
      </c>
      <c r="F602" s="15" t="s">
        <v>294</v>
      </c>
      <c r="G602" s="15" t="s">
        <v>287</v>
      </c>
    </row>
    <row r="603" customFormat="false" ht="15" hidden="false" customHeight="false" outlineLevel="0" collapsed="false">
      <c r="A603" s="0" t="s">
        <v>911</v>
      </c>
      <c r="B603" s="0" t="s">
        <v>89</v>
      </c>
      <c r="C603" s="14" t="n">
        <v>45920</v>
      </c>
      <c r="D603" s="0" t="n">
        <v>2739.78</v>
      </c>
      <c r="E603" s="15" t="s">
        <v>91</v>
      </c>
      <c r="F603" s="15" t="s">
        <v>304</v>
      </c>
      <c r="G603" s="15" t="s">
        <v>292</v>
      </c>
    </row>
    <row r="604" customFormat="false" ht="15" hidden="false" customHeight="false" outlineLevel="0" collapsed="false">
      <c r="A604" s="0" t="s">
        <v>912</v>
      </c>
      <c r="B604" s="0" t="s">
        <v>112</v>
      </c>
      <c r="C604" s="14" t="n">
        <v>46097</v>
      </c>
      <c r="D604" s="0" t="n">
        <v>329.34</v>
      </c>
      <c r="E604" s="15" t="s">
        <v>114</v>
      </c>
      <c r="F604" s="15" t="s">
        <v>312</v>
      </c>
      <c r="G604" s="15" t="s">
        <v>279</v>
      </c>
    </row>
    <row r="605" customFormat="false" ht="15" hidden="false" customHeight="false" outlineLevel="0" collapsed="false">
      <c r="A605" s="0" t="s">
        <v>913</v>
      </c>
      <c r="B605" s="0" t="s">
        <v>161</v>
      </c>
      <c r="C605" s="14" t="n">
        <v>46064</v>
      </c>
      <c r="D605" s="0" t="n">
        <v>1253.19</v>
      </c>
      <c r="E605" s="15" t="s">
        <v>72</v>
      </c>
      <c r="F605" s="15" t="s">
        <v>381</v>
      </c>
      <c r="G605" s="15" t="s">
        <v>287</v>
      </c>
    </row>
    <row r="606" customFormat="false" ht="15" hidden="false" customHeight="false" outlineLevel="0" collapsed="false">
      <c r="A606" s="0" t="s">
        <v>914</v>
      </c>
      <c r="B606" s="0" t="s">
        <v>152</v>
      </c>
      <c r="C606" s="14" t="n">
        <v>45842</v>
      </c>
      <c r="D606" s="0" t="n">
        <v>5307.07</v>
      </c>
      <c r="E606" s="15" t="s">
        <v>101</v>
      </c>
      <c r="F606" s="15" t="s">
        <v>346</v>
      </c>
      <c r="G606" s="15" t="s">
        <v>313</v>
      </c>
    </row>
    <row r="607" customFormat="false" ht="15" hidden="false" customHeight="false" outlineLevel="0" collapsed="false">
      <c r="A607" s="0" t="s">
        <v>915</v>
      </c>
      <c r="B607" s="0" t="s">
        <v>84</v>
      </c>
      <c r="C607" s="14" t="n">
        <v>45720</v>
      </c>
      <c r="D607" s="0" t="n">
        <v>4575.5</v>
      </c>
      <c r="E607" s="15" t="s">
        <v>86</v>
      </c>
      <c r="F607" s="15" t="s">
        <v>289</v>
      </c>
      <c r="G607" s="15" t="s">
        <v>321</v>
      </c>
    </row>
    <row r="608" customFormat="false" ht="15" hidden="false" customHeight="false" outlineLevel="0" collapsed="false">
      <c r="A608" s="0" t="s">
        <v>916</v>
      </c>
      <c r="B608" s="0" t="s">
        <v>119</v>
      </c>
      <c r="C608" s="14" t="n">
        <v>46182</v>
      </c>
      <c r="D608" s="0" t="n">
        <v>9603.81</v>
      </c>
      <c r="E608" s="15" t="s">
        <v>86</v>
      </c>
      <c r="F608" s="15" t="s">
        <v>381</v>
      </c>
      <c r="G608" s="15" t="s">
        <v>302</v>
      </c>
    </row>
    <row r="609" customFormat="false" ht="15" hidden="false" customHeight="false" outlineLevel="0" collapsed="false">
      <c r="A609" s="0" t="s">
        <v>917</v>
      </c>
      <c r="B609" s="0" t="s">
        <v>152</v>
      </c>
      <c r="C609" s="14" t="n">
        <v>45734</v>
      </c>
      <c r="D609" s="0" t="n">
        <v>4978.47</v>
      </c>
      <c r="E609" s="15" t="s">
        <v>101</v>
      </c>
      <c r="F609" s="15" t="s">
        <v>278</v>
      </c>
      <c r="G609" s="15" t="s">
        <v>279</v>
      </c>
    </row>
    <row r="610" customFormat="false" ht="15" hidden="false" customHeight="false" outlineLevel="0" collapsed="false">
      <c r="A610" s="0" t="s">
        <v>918</v>
      </c>
      <c r="B610" s="0" t="s">
        <v>174</v>
      </c>
      <c r="C610" s="14" t="n">
        <v>46184</v>
      </c>
      <c r="D610" s="0" t="n">
        <v>4144.18</v>
      </c>
      <c r="E610" s="15" t="s">
        <v>91</v>
      </c>
      <c r="F610" s="15" t="s">
        <v>306</v>
      </c>
      <c r="G610" s="15" t="s">
        <v>279</v>
      </c>
    </row>
    <row r="611" customFormat="false" ht="15" hidden="false" customHeight="false" outlineLevel="0" collapsed="false">
      <c r="A611" s="0" t="s">
        <v>919</v>
      </c>
      <c r="B611" s="0" t="s">
        <v>152</v>
      </c>
      <c r="C611" s="14" t="n">
        <v>46126</v>
      </c>
      <c r="D611" s="0" t="n">
        <v>4005.11</v>
      </c>
      <c r="E611" s="15" t="s">
        <v>101</v>
      </c>
      <c r="F611" s="15" t="s">
        <v>306</v>
      </c>
      <c r="G611" s="15" t="s">
        <v>302</v>
      </c>
    </row>
    <row r="612" customFormat="false" ht="15" hidden="false" customHeight="false" outlineLevel="0" collapsed="false">
      <c r="A612" s="0" t="s">
        <v>920</v>
      </c>
      <c r="B612" s="0" t="s">
        <v>80</v>
      </c>
      <c r="C612" s="14" t="n">
        <v>46052</v>
      </c>
      <c r="D612" s="0" t="n">
        <v>1866.99</v>
      </c>
      <c r="E612" s="15" t="s">
        <v>72</v>
      </c>
      <c r="F612" s="15" t="s">
        <v>351</v>
      </c>
      <c r="G612" s="15" t="s">
        <v>287</v>
      </c>
    </row>
    <row r="613" customFormat="false" ht="15" hidden="false" customHeight="false" outlineLevel="0" collapsed="false">
      <c r="A613" s="0" t="s">
        <v>921</v>
      </c>
      <c r="B613" s="0" t="s">
        <v>174</v>
      </c>
      <c r="C613" s="14" t="n">
        <v>46192</v>
      </c>
      <c r="D613" s="0" t="n">
        <v>21270.63</v>
      </c>
      <c r="E613" s="15" t="s">
        <v>91</v>
      </c>
      <c r="F613" s="15" t="s">
        <v>330</v>
      </c>
      <c r="G613" s="15" t="s">
        <v>302</v>
      </c>
    </row>
    <row r="614" customFormat="false" ht="15" hidden="false" customHeight="false" outlineLevel="0" collapsed="false">
      <c r="A614" s="0" t="s">
        <v>922</v>
      </c>
      <c r="B614" s="0" t="s">
        <v>174</v>
      </c>
      <c r="C614" s="14" t="n">
        <v>46185</v>
      </c>
      <c r="D614" s="0" t="n">
        <v>10172.24</v>
      </c>
      <c r="E614" s="15" t="s">
        <v>91</v>
      </c>
      <c r="F614" s="15" t="s">
        <v>308</v>
      </c>
      <c r="G614" s="15" t="s">
        <v>282</v>
      </c>
    </row>
    <row r="615" customFormat="false" ht="15" hidden="false" customHeight="false" outlineLevel="0" collapsed="false">
      <c r="A615" s="0" t="s">
        <v>923</v>
      </c>
      <c r="B615" s="0" t="s">
        <v>177</v>
      </c>
      <c r="C615" s="14" t="n">
        <v>46096</v>
      </c>
      <c r="D615" s="0" t="n">
        <v>718.68</v>
      </c>
      <c r="E615" s="15" t="s">
        <v>77</v>
      </c>
      <c r="F615" s="15" t="s">
        <v>298</v>
      </c>
      <c r="G615" s="15" t="s">
        <v>321</v>
      </c>
    </row>
    <row r="616" customFormat="false" ht="15" hidden="false" customHeight="false" outlineLevel="0" collapsed="false">
      <c r="A616" s="0" t="s">
        <v>924</v>
      </c>
      <c r="B616" s="0" t="s">
        <v>180</v>
      </c>
      <c r="C616" s="14" t="n">
        <v>45857</v>
      </c>
      <c r="D616" s="0" t="n">
        <v>666.83</v>
      </c>
      <c r="E616" s="15" t="s">
        <v>86</v>
      </c>
      <c r="F616" s="15" t="s">
        <v>281</v>
      </c>
      <c r="G616" s="15" t="s">
        <v>302</v>
      </c>
    </row>
    <row r="617" customFormat="false" ht="15" hidden="false" customHeight="false" outlineLevel="0" collapsed="false">
      <c r="A617" s="0" t="s">
        <v>925</v>
      </c>
      <c r="B617" s="0" t="s">
        <v>80</v>
      </c>
      <c r="C617" s="14" t="n">
        <v>46088</v>
      </c>
      <c r="D617" s="0" t="n">
        <v>1590.48</v>
      </c>
      <c r="E617" s="15" t="s">
        <v>72</v>
      </c>
      <c r="F617" s="15" t="s">
        <v>351</v>
      </c>
      <c r="G617" s="15" t="s">
        <v>290</v>
      </c>
    </row>
    <row r="618" customFormat="false" ht="15" hidden="false" customHeight="false" outlineLevel="0" collapsed="false">
      <c r="A618" s="0" t="s">
        <v>926</v>
      </c>
      <c r="B618" s="0" t="s">
        <v>96</v>
      </c>
      <c r="C618" s="14" t="n">
        <v>45665</v>
      </c>
      <c r="D618" s="0" t="n">
        <v>4880.22</v>
      </c>
      <c r="E618" s="15" t="s">
        <v>77</v>
      </c>
      <c r="F618" s="15" t="s">
        <v>284</v>
      </c>
      <c r="G618" s="15" t="s">
        <v>302</v>
      </c>
    </row>
    <row r="619" customFormat="false" ht="15" hidden="false" customHeight="false" outlineLevel="0" collapsed="false">
      <c r="A619" s="0" t="s">
        <v>927</v>
      </c>
      <c r="B619" s="0" t="s">
        <v>152</v>
      </c>
      <c r="C619" s="14" t="n">
        <v>45950</v>
      </c>
      <c r="D619" s="0" t="n">
        <v>2581.16</v>
      </c>
      <c r="E619" s="15" t="s">
        <v>101</v>
      </c>
      <c r="F619" s="15" t="s">
        <v>278</v>
      </c>
      <c r="G619" s="15" t="s">
        <v>279</v>
      </c>
    </row>
    <row r="620" customFormat="false" ht="15" hidden="false" customHeight="false" outlineLevel="0" collapsed="false">
      <c r="A620" s="0" t="s">
        <v>928</v>
      </c>
      <c r="B620" s="0" t="s">
        <v>192</v>
      </c>
      <c r="C620" s="14" t="n">
        <v>45905</v>
      </c>
      <c r="D620" s="0" t="n">
        <v>2022.62</v>
      </c>
      <c r="E620" s="15" t="s">
        <v>91</v>
      </c>
      <c r="F620" s="15" t="s">
        <v>342</v>
      </c>
      <c r="G620" s="15" t="s">
        <v>302</v>
      </c>
    </row>
    <row r="621" customFormat="false" ht="15" hidden="false" customHeight="false" outlineLevel="0" collapsed="false">
      <c r="A621" s="0" t="s">
        <v>929</v>
      </c>
      <c r="B621" s="0" t="s">
        <v>177</v>
      </c>
      <c r="C621" s="14" t="n">
        <v>46024</v>
      </c>
      <c r="D621" s="0" t="n">
        <v>2330.25</v>
      </c>
      <c r="E621" s="15" t="s">
        <v>77</v>
      </c>
      <c r="F621" s="15" t="s">
        <v>327</v>
      </c>
      <c r="G621" s="15" t="s">
        <v>279</v>
      </c>
    </row>
    <row r="622" customFormat="false" ht="15" hidden="false" customHeight="false" outlineLevel="0" collapsed="false">
      <c r="A622" s="0" t="s">
        <v>930</v>
      </c>
      <c r="B622" s="0" t="s">
        <v>167</v>
      </c>
      <c r="C622" s="14" t="n">
        <v>46024</v>
      </c>
      <c r="D622" s="0" t="n">
        <v>1142.31</v>
      </c>
      <c r="E622" s="15" t="s">
        <v>72</v>
      </c>
      <c r="F622" s="15" t="s">
        <v>381</v>
      </c>
      <c r="G622" s="15" t="s">
        <v>279</v>
      </c>
    </row>
    <row r="623" customFormat="false" ht="15" hidden="false" customHeight="false" outlineLevel="0" collapsed="false">
      <c r="A623" s="0" t="s">
        <v>931</v>
      </c>
      <c r="B623" s="0" t="s">
        <v>171</v>
      </c>
      <c r="C623" s="14" t="n">
        <v>45976</v>
      </c>
      <c r="D623" s="0" t="n">
        <v>5378.13</v>
      </c>
      <c r="E623" s="15" t="s">
        <v>106</v>
      </c>
      <c r="F623" s="15" t="s">
        <v>310</v>
      </c>
      <c r="G623" s="15" t="s">
        <v>290</v>
      </c>
    </row>
    <row r="624" customFormat="false" ht="15" hidden="false" customHeight="false" outlineLevel="0" collapsed="false">
      <c r="A624" s="0" t="s">
        <v>932</v>
      </c>
      <c r="B624" s="0" t="s">
        <v>75</v>
      </c>
      <c r="C624" s="14" t="n">
        <v>46106</v>
      </c>
      <c r="D624" s="0" t="n">
        <v>1479.77</v>
      </c>
      <c r="E624" s="15" t="s">
        <v>77</v>
      </c>
      <c r="F624" s="15" t="s">
        <v>351</v>
      </c>
      <c r="G624" s="15" t="s">
        <v>287</v>
      </c>
    </row>
    <row r="625" customFormat="false" ht="15" hidden="false" customHeight="false" outlineLevel="0" collapsed="false">
      <c r="A625" s="0" t="s">
        <v>933</v>
      </c>
      <c r="B625" s="0" t="s">
        <v>112</v>
      </c>
      <c r="C625" s="14" t="n">
        <v>46170</v>
      </c>
      <c r="D625" s="0" t="n">
        <v>2544.31</v>
      </c>
      <c r="E625" s="15" t="s">
        <v>114</v>
      </c>
      <c r="F625" s="15" t="s">
        <v>294</v>
      </c>
      <c r="G625" s="15" t="s">
        <v>294</v>
      </c>
    </row>
    <row r="626" customFormat="false" ht="15" hidden="false" customHeight="false" outlineLevel="0" collapsed="false">
      <c r="A626" s="0" t="s">
        <v>934</v>
      </c>
      <c r="B626" s="0" t="s">
        <v>96</v>
      </c>
      <c r="C626" s="14" t="n">
        <v>45717</v>
      </c>
      <c r="D626" s="0" t="n">
        <v>1679.49</v>
      </c>
      <c r="E626" s="15" t="s">
        <v>77</v>
      </c>
      <c r="F626" s="15" t="s">
        <v>289</v>
      </c>
      <c r="G626" s="15" t="s">
        <v>313</v>
      </c>
    </row>
    <row r="627" customFormat="false" ht="15" hidden="false" customHeight="false" outlineLevel="0" collapsed="false">
      <c r="A627" s="0" t="s">
        <v>935</v>
      </c>
      <c r="B627" s="0" t="s">
        <v>183</v>
      </c>
      <c r="C627" s="14" t="n">
        <v>45785</v>
      </c>
      <c r="D627" s="0" t="n">
        <v>2035.58</v>
      </c>
      <c r="E627" s="15" t="s">
        <v>86</v>
      </c>
      <c r="F627" s="15" t="s">
        <v>296</v>
      </c>
      <c r="G627" s="15" t="s">
        <v>287</v>
      </c>
    </row>
    <row r="628" customFormat="false" ht="15" hidden="false" customHeight="false" outlineLevel="0" collapsed="false">
      <c r="A628" s="0" t="s">
        <v>936</v>
      </c>
      <c r="B628" s="0" t="s">
        <v>155</v>
      </c>
      <c r="C628" s="14" t="n">
        <v>45671</v>
      </c>
      <c r="D628" s="0" t="n">
        <v>1499.87</v>
      </c>
      <c r="E628" s="15" t="s">
        <v>106</v>
      </c>
      <c r="F628" s="15" t="s">
        <v>294</v>
      </c>
      <c r="G628" s="15" t="s">
        <v>302</v>
      </c>
    </row>
    <row r="629" customFormat="false" ht="15" hidden="false" customHeight="false" outlineLevel="0" collapsed="false">
      <c r="A629" s="0" t="s">
        <v>937</v>
      </c>
      <c r="B629" s="0" t="s">
        <v>89</v>
      </c>
      <c r="C629" s="14" t="n">
        <v>46139</v>
      </c>
      <c r="D629" s="0" t="n">
        <v>2691.6</v>
      </c>
      <c r="E629" s="15" t="s">
        <v>91</v>
      </c>
      <c r="F629" s="15" t="s">
        <v>334</v>
      </c>
      <c r="G629" s="15" t="s">
        <v>292</v>
      </c>
    </row>
    <row r="630" customFormat="false" ht="15" hidden="false" customHeight="false" outlineLevel="0" collapsed="false">
      <c r="A630" s="0" t="s">
        <v>938</v>
      </c>
      <c r="B630" s="0" t="s">
        <v>99</v>
      </c>
      <c r="C630" s="14" t="n">
        <v>45963</v>
      </c>
      <c r="D630" s="0" t="n">
        <v>687.41</v>
      </c>
      <c r="E630" s="15" t="s">
        <v>101</v>
      </c>
      <c r="F630" s="15" t="s">
        <v>286</v>
      </c>
      <c r="G630" s="15" t="s">
        <v>279</v>
      </c>
    </row>
    <row r="631" customFormat="false" ht="15" hidden="false" customHeight="false" outlineLevel="0" collapsed="false">
      <c r="A631" s="0" t="s">
        <v>939</v>
      </c>
      <c r="B631" s="0" t="s">
        <v>174</v>
      </c>
      <c r="C631" s="14" t="n">
        <v>46156</v>
      </c>
      <c r="D631" s="0" t="n">
        <v>824.85</v>
      </c>
      <c r="E631" s="15" t="s">
        <v>91</v>
      </c>
      <c r="F631" s="15" t="s">
        <v>304</v>
      </c>
      <c r="G631" s="15" t="s">
        <v>292</v>
      </c>
    </row>
    <row r="632" customFormat="false" ht="15" hidden="false" customHeight="false" outlineLevel="0" collapsed="false">
      <c r="A632" s="0" t="s">
        <v>940</v>
      </c>
      <c r="B632" s="0" t="s">
        <v>131</v>
      </c>
      <c r="C632" s="14" t="n">
        <v>45778</v>
      </c>
      <c r="D632" s="0" t="n">
        <v>1560.82</v>
      </c>
      <c r="E632" s="15" t="s">
        <v>101</v>
      </c>
      <c r="F632" s="15" t="s">
        <v>360</v>
      </c>
      <c r="G632" s="15" t="s">
        <v>282</v>
      </c>
    </row>
    <row r="633" customFormat="false" ht="15" hidden="false" customHeight="false" outlineLevel="0" collapsed="false">
      <c r="A633" s="0" t="s">
        <v>941</v>
      </c>
      <c r="B633" s="0" t="s">
        <v>70</v>
      </c>
      <c r="C633" s="14" t="n">
        <v>45692</v>
      </c>
      <c r="D633" s="0" t="n">
        <v>113.06</v>
      </c>
      <c r="E633" s="15" t="s">
        <v>72</v>
      </c>
      <c r="F633" s="15" t="s">
        <v>360</v>
      </c>
      <c r="G633" s="15" t="s">
        <v>292</v>
      </c>
    </row>
    <row r="634" customFormat="false" ht="15" hidden="false" customHeight="false" outlineLevel="0" collapsed="false">
      <c r="A634" s="0" t="s">
        <v>942</v>
      </c>
      <c r="B634" s="0" t="s">
        <v>177</v>
      </c>
      <c r="C634" s="14" t="n">
        <v>46107</v>
      </c>
      <c r="D634" s="0" t="n">
        <v>827.43</v>
      </c>
      <c r="E634" s="15" t="s">
        <v>77</v>
      </c>
      <c r="F634" s="15" t="s">
        <v>298</v>
      </c>
      <c r="G634" s="15" t="s">
        <v>287</v>
      </c>
    </row>
    <row r="635" customFormat="false" ht="15" hidden="false" customHeight="false" outlineLevel="0" collapsed="false">
      <c r="A635" s="0" t="s">
        <v>943</v>
      </c>
      <c r="B635" s="0" t="s">
        <v>189</v>
      </c>
      <c r="C635" s="14" t="n">
        <v>46153</v>
      </c>
      <c r="D635" s="0" t="n">
        <v>11648.06</v>
      </c>
      <c r="E635" s="15" t="s">
        <v>72</v>
      </c>
      <c r="F635" s="15" t="s">
        <v>304</v>
      </c>
      <c r="G635" s="15" t="s">
        <v>302</v>
      </c>
    </row>
    <row r="636" customFormat="false" ht="15" hidden="false" customHeight="false" outlineLevel="0" collapsed="false">
      <c r="A636" s="0" t="s">
        <v>944</v>
      </c>
      <c r="B636" s="0" t="s">
        <v>116</v>
      </c>
      <c r="C636" s="14" t="n">
        <v>45822</v>
      </c>
      <c r="D636" s="0" t="n">
        <v>12577.05</v>
      </c>
      <c r="E636" s="15" t="s">
        <v>86</v>
      </c>
      <c r="F636" s="15" t="s">
        <v>300</v>
      </c>
      <c r="G636" s="15" t="s">
        <v>302</v>
      </c>
    </row>
    <row r="637" customFormat="false" ht="15" hidden="false" customHeight="false" outlineLevel="0" collapsed="false">
      <c r="A637" s="0" t="s">
        <v>945</v>
      </c>
      <c r="B637" s="0" t="s">
        <v>109</v>
      </c>
      <c r="C637" s="14" t="n">
        <v>45880</v>
      </c>
      <c r="D637" s="0" t="n">
        <v>1362.33</v>
      </c>
      <c r="E637" s="15" t="s">
        <v>101</v>
      </c>
      <c r="F637" s="15" t="s">
        <v>337</v>
      </c>
      <c r="G637" s="15" t="s">
        <v>321</v>
      </c>
    </row>
    <row r="638" customFormat="false" ht="15" hidden="false" customHeight="false" outlineLevel="0" collapsed="false">
      <c r="A638" s="0" t="s">
        <v>946</v>
      </c>
      <c r="B638" s="0" t="s">
        <v>183</v>
      </c>
      <c r="C638" s="14" t="n">
        <v>45734</v>
      </c>
      <c r="D638" s="0" t="n">
        <v>2061.29</v>
      </c>
      <c r="E638" s="15" t="s">
        <v>86</v>
      </c>
      <c r="F638" s="15" t="s">
        <v>334</v>
      </c>
      <c r="G638" s="15" t="s">
        <v>287</v>
      </c>
    </row>
    <row r="639" customFormat="false" ht="15" hidden="false" customHeight="false" outlineLevel="0" collapsed="false">
      <c r="A639" s="0" t="s">
        <v>947</v>
      </c>
      <c r="B639" s="0" t="s">
        <v>75</v>
      </c>
      <c r="C639" s="14" t="n">
        <v>46173</v>
      </c>
      <c r="D639" s="0" t="n">
        <v>1760.94</v>
      </c>
      <c r="E639" s="15" t="s">
        <v>77</v>
      </c>
      <c r="F639" s="15" t="s">
        <v>281</v>
      </c>
      <c r="G639" s="15" t="s">
        <v>287</v>
      </c>
    </row>
    <row r="640" customFormat="false" ht="15" hidden="false" customHeight="false" outlineLevel="0" collapsed="false">
      <c r="A640" s="0" t="s">
        <v>948</v>
      </c>
      <c r="B640" s="0" t="s">
        <v>104</v>
      </c>
      <c r="C640" s="14" t="n">
        <v>45823</v>
      </c>
      <c r="D640" s="0" t="n">
        <v>4559.69</v>
      </c>
      <c r="E640" s="15" t="s">
        <v>106</v>
      </c>
      <c r="F640" s="15" t="s">
        <v>337</v>
      </c>
      <c r="G640" s="15" t="s">
        <v>321</v>
      </c>
    </row>
    <row r="641" customFormat="false" ht="15" hidden="false" customHeight="false" outlineLevel="0" collapsed="false">
      <c r="A641" s="0" t="s">
        <v>949</v>
      </c>
      <c r="B641" s="0" t="s">
        <v>177</v>
      </c>
      <c r="C641" s="14" t="n">
        <v>45926</v>
      </c>
      <c r="D641" s="0" t="n">
        <v>285.04</v>
      </c>
      <c r="E641" s="15" t="s">
        <v>77</v>
      </c>
      <c r="F641" s="15" t="s">
        <v>284</v>
      </c>
      <c r="G641" s="15" t="s">
        <v>302</v>
      </c>
    </row>
    <row r="642" customFormat="false" ht="15" hidden="false" customHeight="false" outlineLevel="0" collapsed="false">
      <c r="A642" s="0" t="s">
        <v>950</v>
      </c>
      <c r="B642" s="0" t="s">
        <v>164</v>
      </c>
      <c r="C642" s="14" t="n">
        <v>45710</v>
      </c>
      <c r="D642" s="0" t="n">
        <v>2954.28</v>
      </c>
      <c r="E642" s="15" t="s">
        <v>77</v>
      </c>
      <c r="F642" s="15" t="s">
        <v>300</v>
      </c>
      <c r="G642" s="15" t="s">
        <v>321</v>
      </c>
    </row>
    <row r="643" customFormat="false" ht="15" hidden="false" customHeight="false" outlineLevel="0" collapsed="false">
      <c r="A643" s="0" t="s">
        <v>951</v>
      </c>
      <c r="B643" s="0" t="s">
        <v>201</v>
      </c>
      <c r="C643" s="14" t="n">
        <v>46141</v>
      </c>
      <c r="D643" s="0" t="n">
        <v>894.04</v>
      </c>
      <c r="E643" s="15" t="s">
        <v>77</v>
      </c>
      <c r="F643" s="15" t="s">
        <v>308</v>
      </c>
      <c r="G643" s="15" t="s">
        <v>279</v>
      </c>
    </row>
    <row r="644" customFormat="false" ht="15" hidden="false" customHeight="false" outlineLevel="0" collapsed="false">
      <c r="A644" s="0" t="s">
        <v>952</v>
      </c>
      <c r="B644" s="0" t="s">
        <v>164</v>
      </c>
      <c r="C644" s="14" t="n">
        <v>45731</v>
      </c>
      <c r="D644" s="0" t="n">
        <v>603.77</v>
      </c>
      <c r="E644" s="15" t="s">
        <v>77</v>
      </c>
      <c r="F644" s="15" t="s">
        <v>334</v>
      </c>
      <c r="G644" s="15" t="s">
        <v>282</v>
      </c>
    </row>
    <row r="645" customFormat="false" ht="15" hidden="false" customHeight="false" outlineLevel="0" collapsed="false">
      <c r="A645" s="0" t="s">
        <v>953</v>
      </c>
      <c r="B645" s="0" t="s">
        <v>161</v>
      </c>
      <c r="C645" s="14" t="n">
        <v>45905</v>
      </c>
      <c r="D645" s="0" t="n">
        <v>2681.96</v>
      </c>
      <c r="E645" s="15" t="s">
        <v>72</v>
      </c>
      <c r="F645" s="15" t="s">
        <v>312</v>
      </c>
      <c r="G645" s="15" t="s">
        <v>321</v>
      </c>
    </row>
    <row r="646" customFormat="false" ht="15" hidden="false" customHeight="false" outlineLevel="0" collapsed="false">
      <c r="A646" s="0" t="s">
        <v>954</v>
      </c>
      <c r="B646" s="0" t="s">
        <v>201</v>
      </c>
      <c r="C646" s="14" t="n">
        <v>46023</v>
      </c>
      <c r="D646" s="0" t="n">
        <v>767.92</v>
      </c>
      <c r="E646" s="15" t="s">
        <v>77</v>
      </c>
      <c r="F646" s="15" t="s">
        <v>381</v>
      </c>
      <c r="G646" s="15" t="s">
        <v>290</v>
      </c>
    </row>
    <row r="647" customFormat="false" ht="15" hidden="false" customHeight="false" outlineLevel="0" collapsed="false">
      <c r="A647" s="0" t="s">
        <v>955</v>
      </c>
      <c r="B647" s="0" t="s">
        <v>109</v>
      </c>
      <c r="C647" s="14" t="n">
        <v>46063</v>
      </c>
      <c r="D647" s="0" t="n">
        <v>2186.62</v>
      </c>
      <c r="E647" s="15" t="s">
        <v>101</v>
      </c>
      <c r="F647" s="15" t="s">
        <v>281</v>
      </c>
      <c r="G647" s="15" t="s">
        <v>287</v>
      </c>
    </row>
    <row r="648" customFormat="false" ht="15" hidden="false" customHeight="false" outlineLevel="0" collapsed="false">
      <c r="A648" s="0" t="s">
        <v>956</v>
      </c>
      <c r="B648" s="0" t="s">
        <v>146</v>
      </c>
      <c r="C648" s="14" t="n">
        <v>46173</v>
      </c>
      <c r="D648" s="0" t="n">
        <v>2778.4</v>
      </c>
      <c r="E648" s="15" t="s">
        <v>114</v>
      </c>
      <c r="F648" s="15" t="s">
        <v>317</v>
      </c>
      <c r="G648" s="15" t="s">
        <v>292</v>
      </c>
    </row>
    <row r="649" customFormat="false" ht="15" hidden="false" customHeight="false" outlineLevel="0" collapsed="false">
      <c r="A649" s="0" t="s">
        <v>957</v>
      </c>
      <c r="B649" s="0" t="s">
        <v>192</v>
      </c>
      <c r="C649" s="14" t="n">
        <v>45886</v>
      </c>
      <c r="D649" s="0" t="n">
        <v>989.27</v>
      </c>
      <c r="E649" s="15" t="s">
        <v>91</v>
      </c>
      <c r="F649" s="15" t="s">
        <v>317</v>
      </c>
      <c r="G649" s="15" t="s">
        <v>287</v>
      </c>
    </row>
    <row r="650" customFormat="false" ht="15" hidden="false" customHeight="false" outlineLevel="0" collapsed="false">
      <c r="A650" s="0" t="s">
        <v>958</v>
      </c>
      <c r="B650" s="0" t="s">
        <v>177</v>
      </c>
      <c r="C650" s="14" t="n">
        <v>46062</v>
      </c>
      <c r="D650" s="0" t="n">
        <v>1556.9</v>
      </c>
      <c r="E650" s="15" t="s">
        <v>77</v>
      </c>
      <c r="F650" s="15" t="s">
        <v>346</v>
      </c>
      <c r="G650" s="15" t="s">
        <v>302</v>
      </c>
    </row>
    <row r="651" customFormat="false" ht="15" hidden="false" customHeight="false" outlineLevel="0" collapsed="false">
      <c r="A651" s="0" t="s">
        <v>959</v>
      </c>
      <c r="B651" s="0" t="s">
        <v>112</v>
      </c>
      <c r="C651" s="14" t="n">
        <v>45742</v>
      </c>
      <c r="D651" s="0" t="n">
        <v>6662.15</v>
      </c>
      <c r="E651" s="15" t="s">
        <v>114</v>
      </c>
      <c r="F651" s="15" t="s">
        <v>308</v>
      </c>
      <c r="G651" s="15" t="s">
        <v>292</v>
      </c>
    </row>
    <row r="652" customFormat="false" ht="15" hidden="false" customHeight="false" outlineLevel="0" collapsed="false">
      <c r="A652" s="0" t="s">
        <v>960</v>
      </c>
      <c r="B652" s="0" t="s">
        <v>198</v>
      </c>
      <c r="C652" s="14" t="n">
        <v>45884</v>
      </c>
      <c r="D652" s="0" t="n">
        <v>5757.86</v>
      </c>
      <c r="E652" s="15" t="s">
        <v>86</v>
      </c>
      <c r="F652" s="15" t="s">
        <v>330</v>
      </c>
      <c r="G652" s="15" t="s">
        <v>279</v>
      </c>
    </row>
    <row r="653" customFormat="false" ht="15" hidden="false" customHeight="false" outlineLevel="0" collapsed="false">
      <c r="A653" s="0" t="s">
        <v>961</v>
      </c>
      <c r="B653" s="0" t="s">
        <v>171</v>
      </c>
      <c r="C653" s="14" t="n">
        <v>45711</v>
      </c>
      <c r="D653" s="0" t="n">
        <v>6110.21</v>
      </c>
      <c r="E653" s="15" t="s">
        <v>106</v>
      </c>
      <c r="F653" s="15" t="s">
        <v>337</v>
      </c>
      <c r="G653" s="15" t="s">
        <v>287</v>
      </c>
    </row>
    <row r="654" customFormat="false" ht="15" hidden="false" customHeight="false" outlineLevel="0" collapsed="false">
      <c r="A654" s="0" t="s">
        <v>962</v>
      </c>
      <c r="B654" s="0" t="s">
        <v>167</v>
      </c>
      <c r="C654" s="14" t="n">
        <v>45924</v>
      </c>
      <c r="D654" s="0" t="n">
        <v>228.89</v>
      </c>
      <c r="E654" s="15" t="s">
        <v>72</v>
      </c>
      <c r="F654" s="15" t="s">
        <v>298</v>
      </c>
      <c r="G654" s="15" t="s">
        <v>302</v>
      </c>
    </row>
    <row r="655" customFormat="false" ht="15" hidden="false" customHeight="false" outlineLevel="0" collapsed="false">
      <c r="A655" s="0" t="s">
        <v>963</v>
      </c>
      <c r="B655" s="0" t="s">
        <v>140</v>
      </c>
      <c r="C655" s="14" t="n">
        <v>45880</v>
      </c>
      <c r="D655" s="0" t="n">
        <v>887.06</v>
      </c>
      <c r="E655" s="15" t="s">
        <v>72</v>
      </c>
      <c r="F655" s="15" t="s">
        <v>334</v>
      </c>
      <c r="G655" s="15" t="s">
        <v>302</v>
      </c>
    </row>
    <row r="656" customFormat="false" ht="15" hidden="false" customHeight="false" outlineLevel="0" collapsed="false">
      <c r="A656" s="0" t="s">
        <v>964</v>
      </c>
      <c r="B656" s="0" t="s">
        <v>75</v>
      </c>
      <c r="C656" s="14" t="n">
        <v>46176</v>
      </c>
      <c r="D656" s="0" t="n">
        <v>2875.96</v>
      </c>
      <c r="E656" s="15" t="s">
        <v>77</v>
      </c>
      <c r="F656" s="15" t="s">
        <v>317</v>
      </c>
      <c r="G656" s="15" t="s">
        <v>279</v>
      </c>
    </row>
    <row r="657" customFormat="false" ht="15" hidden="false" customHeight="false" outlineLevel="0" collapsed="false">
      <c r="A657" s="0" t="s">
        <v>965</v>
      </c>
      <c r="B657" s="0" t="s">
        <v>84</v>
      </c>
      <c r="C657" s="14" t="n">
        <v>45675</v>
      </c>
      <c r="D657" s="0" t="n">
        <v>3337.25</v>
      </c>
      <c r="E657" s="15" t="s">
        <v>86</v>
      </c>
      <c r="F657" s="15" t="s">
        <v>296</v>
      </c>
      <c r="G657" s="15" t="s">
        <v>313</v>
      </c>
    </row>
    <row r="658" customFormat="false" ht="15" hidden="false" customHeight="false" outlineLevel="0" collapsed="false">
      <c r="A658" s="0" t="s">
        <v>966</v>
      </c>
      <c r="B658" s="0" t="s">
        <v>195</v>
      </c>
      <c r="C658" s="14" t="n">
        <v>45859</v>
      </c>
      <c r="D658" s="0" t="n">
        <v>3555.6</v>
      </c>
      <c r="E658" s="15" t="s">
        <v>114</v>
      </c>
      <c r="F658" s="15" t="s">
        <v>327</v>
      </c>
      <c r="G658" s="15" t="s">
        <v>321</v>
      </c>
    </row>
    <row r="659" customFormat="false" ht="15" hidden="false" customHeight="false" outlineLevel="0" collapsed="false">
      <c r="A659" s="0" t="s">
        <v>967</v>
      </c>
      <c r="B659" s="0" t="s">
        <v>116</v>
      </c>
      <c r="C659" s="14" t="n">
        <v>45899</v>
      </c>
      <c r="D659" s="0" t="n">
        <v>313.22</v>
      </c>
      <c r="E659" s="15" t="s">
        <v>86</v>
      </c>
      <c r="F659" s="15" t="s">
        <v>289</v>
      </c>
      <c r="G659" s="15" t="s">
        <v>287</v>
      </c>
    </row>
    <row r="660" customFormat="false" ht="15" hidden="false" customHeight="false" outlineLevel="0" collapsed="false">
      <c r="A660" s="0" t="s">
        <v>968</v>
      </c>
      <c r="B660" s="0" t="s">
        <v>70</v>
      </c>
      <c r="C660" s="14" t="n">
        <v>46176</v>
      </c>
      <c r="D660" s="0" t="n">
        <v>36063.86</v>
      </c>
      <c r="E660" s="15" t="s">
        <v>72</v>
      </c>
      <c r="F660" s="15" t="s">
        <v>381</v>
      </c>
      <c r="G660" s="15" t="s">
        <v>279</v>
      </c>
    </row>
    <row r="661" customFormat="false" ht="15" hidden="false" customHeight="false" outlineLevel="0" collapsed="false">
      <c r="A661" s="0" t="s">
        <v>969</v>
      </c>
      <c r="B661" s="0" t="s">
        <v>96</v>
      </c>
      <c r="C661" s="14" t="n">
        <v>46124</v>
      </c>
      <c r="D661" s="0" t="n">
        <v>1139.17</v>
      </c>
      <c r="E661" s="15" t="s">
        <v>77</v>
      </c>
      <c r="F661" s="15" t="s">
        <v>381</v>
      </c>
      <c r="G661" s="15" t="s">
        <v>290</v>
      </c>
    </row>
    <row r="662" customFormat="false" ht="15" hidden="false" customHeight="false" outlineLevel="0" collapsed="false">
      <c r="A662" s="0" t="s">
        <v>970</v>
      </c>
      <c r="B662" s="0" t="s">
        <v>155</v>
      </c>
      <c r="C662" s="14" t="n">
        <v>45712</v>
      </c>
      <c r="D662" s="0" t="n">
        <v>989.07</v>
      </c>
      <c r="E662" s="15" t="s">
        <v>106</v>
      </c>
      <c r="F662" s="15" t="s">
        <v>312</v>
      </c>
      <c r="G662" s="15" t="s">
        <v>321</v>
      </c>
    </row>
    <row r="663" customFormat="false" ht="15" hidden="false" customHeight="false" outlineLevel="0" collapsed="false">
      <c r="A663" s="0" t="s">
        <v>971</v>
      </c>
      <c r="B663" s="0" t="s">
        <v>198</v>
      </c>
      <c r="C663" s="14" t="n">
        <v>46031</v>
      </c>
      <c r="D663" s="0" t="n">
        <v>2423.18</v>
      </c>
      <c r="E663" s="15" t="s">
        <v>86</v>
      </c>
      <c r="F663" s="15" t="s">
        <v>308</v>
      </c>
      <c r="G663" s="15" t="s">
        <v>290</v>
      </c>
    </row>
    <row r="664" customFormat="false" ht="15" hidden="false" customHeight="false" outlineLevel="0" collapsed="false">
      <c r="A664" s="0" t="s">
        <v>972</v>
      </c>
      <c r="B664" s="0" t="s">
        <v>177</v>
      </c>
      <c r="C664" s="14" t="n">
        <v>45954</v>
      </c>
      <c r="D664" s="0" t="n">
        <v>2408.69</v>
      </c>
      <c r="E664" s="15" t="s">
        <v>77</v>
      </c>
      <c r="F664" s="15" t="s">
        <v>289</v>
      </c>
      <c r="G664" s="15" t="s">
        <v>279</v>
      </c>
    </row>
    <row r="665" customFormat="false" ht="15" hidden="false" customHeight="false" outlineLevel="0" collapsed="false">
      <c r="A665" s="0" t="s">
        <v>973</v>
      </c>
      <c r="B665" s="0" t="s">
        <v>70</v>
      </c>
      <c r="C665" s="14" t="n">
        <v>46190</v>
      </c>
      <c r="D665" s="0" t="n">
        <v>1303.38</v>
      </c>
      <c r="E665" s="15" t="s">
        <v>72</v>
      </c>
      <c r="F665" s="15" t="s">
        <v>281</v>
      </c>
      <c r="G665" s="15" t="s">
        <v>313</v>
      </c>
    </row>
    <row r="666" customFormat="false" ht="15" hidden="false" customHeight="false" outlineLevel="0" collapsed="false">
      <c r="A666" s="0" t="s">
        <v>974</v>
      </c>
      <c r="B666" s="0" t="s">
        <v>137</v>
      </c>
      <c r="C666" s="14" t="n">
        <v>45853</v>
      </c>
      <c r="D666" s="0" t="n">
        <v>414.94</v>
      </c>
      <c r="E666" s="15" t="s">
        <v>106</v>
      </c>
      <c r="F666" s="15" t="s">
        <v>312</v>
      </c>
      <c r="G666" s="15" t="s">
        <v>287</v>
      </c>
    </row>
    <row r="667" customFormat="false" ht="15" hidden="false" customHeight="false" outlineLevel="0" collapsed="false">
      <c r="A667" s="0" t="s">
        <v>975</v>
      </c>
      <c r="B667" s="0" t="s">
        <v>171</v>
      </c>
      <c r="C667" s="14" t="n">
        <v>45874</v>
      </c>
      <c r="D667" s="0" t="n">
        <v>526.61</v>
      </c>
      <c r="E667" s="15" t="s">
        <v>106</v>
      </c>
      <c r="F667" s="15" t="s">
        <v>278</v>
      </c>
      <c r="G667" s="15" t="s">
        <v>287</v>
      </c>
    </row>
    <row r="668" customFormat="false" ht="15" hidden="false" customHeight="false" outlineLevel="0" collapsed="false">
      <c r="A668" s="0" t="s">
        <v>976</v>
      </c>
      <c r="B668" s="0" t="s">
        <v>99</v>
      </c>
      <c r="C668" s="14" t="n">
        <v>45761</v>
      </c>
      <c r="D668" s="0" t="n">
        <v>1428.02</v>
      </c>
      <c r="E668" s="15" t="s">
        <v>101</v>
      </c>
      <c r="F668" s="15" t="s">
        <v>312</v>
      </c>
      <c r="G668" s="15" t="s">
        <v>287</v>
      </c>
    </row>
    <row r="669" customFormat="false" ht="15" hidden="false" customHeight="false" outlineLevel="0" collapsed="false">
      <c r="A669" s="0" t="s">
        <v>977</v>
      </c>
      <c r="B669" s="0" t="s">
        <v>99</v>
      </c>
      <c r="C669" s="14" t="n">
        <v>45724</v>
      </c>
      <c r="D669" s="0" t="n">
        <v>3315.09</v>
      </c>
      <c r="E669" s="15" t="s">
        <v>101</v>
      </c>
      <c r="F669" s="15" t="s">
        <v>284</v>
      </c>
      <c r="G669" s="15" t="s">
        <v>313</v>
      </c>
    </row>
    <row r="670" customFormat="false" ht="15" hidden="false" customHeight="false" outlineLevel="0" collapsed="false">
      <c r="A670" s="0" t="s">
        <v>978</v>
      </c>
      <c r="B670" s="0" t="s">
        <v>104</v>
      </c>
      <c r="C670" s="14" t="n">
        <v>46120</v>
      </c>
      <c r="D670" s="0" t="n">
        <v>1645.78</v>
      </c>
      <c r="E670" s="15" t="s">
        <v>106</v>
      </c>
      <c r="F670" s="15" t="s">
        <v>284</v>
      </c>
      <c r="G670" s="15" t="s">
        <v>292</v>
      </c>
    </row>
    <row r="671" customFormat="false" ht="15" hidden="false" customHeight="false" outlineLevel="0" collapsed="false">
      <c r="A671" s="0" t="s">
        <v>979</v>
      </c>
      <c r="B671" s="0" t="s">
        <v>104</v>
      </c>
      <c r="C671" s="14" t="n">
        <v>45905</v>
      </c>
      <c r="D671" s="0" t="n">
        <v>2048.02</v>
      </c>
      <c r="E671" s="15" t="s">
        <v>106</v>
      </c>
      <c r="F671" s="15" t="s">
        <v>381</v>
      </c>
      <c r="G671" s="15" t="s">
        <v>302</v>
      </c>
    </row>
    <row r="672" customFormat="false" ht="15" hidden="false" customHeight="false" outlineLevel="0" collapsed="false">
      <c r="A672" s="0" t="s">
        <v>980</v>
      </c>
      <c r="B672" s="0" t="s">
        <v>155</v>
      </c>
      <c r="C672" s="14" t="n">
        <v>46019</v>
      </c>
      <c r="D672" s="0" t="n">
        <v>1796.9</v>
      </c>
      <c r="E672" s="15" t="s">
        <v>106</v>
      </c>
      <c r="F672" s="15" t="s">
        <v>298</v>
      </c>
      <c r="G672" s="15" t="s">
        <v>302</v>
      </c>
    </row>
    <row r="673" customFormat="false" ht="15" hidden="false" customHeight="false" outlineLevel="0" collapsed="false">
      <c r="A673" s="0" t="s">
        <v>981</v>
      </c>
      <c r="B673" s="0" t="s">
        <v>116</v>
      </c>
      <c r="C673" s="14" t="n">
        <v>46007</v>
      </c>
      <c r="D673" s="0" t="n">
        <v>2764.38</v>
      </c>
      <c r="E673" s="15" t="s">
        <v>86</v>
      </c>
      <c r="F673" s="15" t="s">
        <v>304</v>
      </c>
      <c r="G673" s="15" t="s">
        <v>279</v>
      </c>
    </row>
    <row r="674" customFormat="false" ht="15" hidden="false" customHeight="false" outlineLevel="0" collapsed="false">
      <c r="A674" s="0" t="s">
        <v>982</v>
      </c>
      <c r="B674" s="0" t="s">
        <v>116</v>
      </c>
      <c r="C674" s="14" t="n">
        <v>45983</v>
      </c>
      <c r="D674" s="0" t="n">
        <v>3596.65</v>
      </c>
      <c r="E674" s="15" t="s">
        <v>86</v>
      </c>
      <c r="F674" s="15" t="s">
        <v>310</v>
      </c>
      <c r="G674" s="15" t="s">
        <v>282</v>
      </c>
    </row>
    <row r="675" customFormat="false" ht="15" hidden="false" customHeight="false" outlineLevel="0" collapsed="false">
      <c r="A675" s="0" t="s">
        <v>983</v>
      </c>
      <c r="B675" s="0" t="s">
        <v>96</v>
      </c>
      <c r="C675" s="14" t="n">
        <v>45669</v>
      </c>
      <c r="D675" s="0" t="n">
        <v>3806.21</v>
      </c>
      <c r="E675" s="15" t="s">
        <v>77</v>
      </c>
      <c r="F675" s="15" t="s">
        <v>286</v>
      </c>
      <c r="G675" s="15" t="s">
        <v>292</v>
      </c>
    </row>
    <row r="676" customFormat="false" ht="15" hidden="false" customHeight="false" outlineLevel="0" collapsed="false">
      <c r="A676" s="0" t="s">
        <v>984</v>
      </c>
      <c r="B676" s="0" t="s">
        <v>198</v>
      </c>
      <c r="C676" s="14" t="n">
        <v>46086</v>
      </c>
      <c r="D676" s="0" t="n">
        <v>2397.02</v>
      </c>
      <c r="E676" s="15" t="s">
        <v>86</v>
      </c>
      <c r="F676" s="15" t="s">
        <v>286</v>
      </c>
      <c r="G676" s="15" t="s">
        <v>287</v>
      </c>
    </row>
    <row r="677" customFormat="false" ht="15" hidden="false" customHeight="false" outlineLevel="0" collapsed="false">
      <c r="A677" s="0" t="s">
        <v>985</v>
      </c>
      <c r="B677" s="0" t="s">
        <v>186</v>
      </c>
      <c r="C677" s="14" t="n">
        <v>45790</v>
      </c>
      <c r="D677" s="0" t="n">
        <v>15935.12</v>
      </c>
      <c r="E677" s="15" t="s">
        <v>86</v>
      </c>
      <c r="F677" s="15" t="s">
        <v>344</v>
      </c>
      <c r="G677" s="15" t="s">
        <v>313</v>
      </c>
    </row>
    <row r="678" customFormat="false" ht="15" hidden="false" customHeight="false" outlineLevel="0" collapsed="false">
      <c r="A678" s="0" t="s">
        <v>986</v>
      </c>
      <c r="B678" s="0" t="s">
        <v>164</v>
      </c>
      <c r="C678" s="14" t="n">
        <v>45726</v>
      </c>
      <c r="D678" s="0" t="n">
        <v>524.67</v>
      </c>
      <c r="E678" s="15" t="s">
        <v>77</v>
      </c>
      <c r="F678" s="15" t="s">
        <v>294</v>
      </c>
      <c r="G678" s="15" t="s">
        <v>282</v>
      </c>
    </row>
    <row r="679" customFormat="false" ht="15" hidden="false" customHeight="false" outlineLevel="0" collapsed="false">
      <c r="A679" s="0" t="s">
        <v>987</v>
      </c>
      <c r="B679" s="0" t="s">
        <v>189</v>
      </c>
      <c r="C679" s="14" t="n">
        <v>45965</v>
      </c>
      <c r="D679" s="0" t="n">
        <v>331.41</v>
      </c>
      <c r="E679" s="15" t="s">
        <v>72</v>
      </c>
      <c r="F679" s="15" t="s">
        <v>298</v>
      </c>
      <c r="G679" s="15" t="s">
        <v>287</v>
      </c>
    </row>
    <row r="680" customFormat="false" ht="15" hidden="false" customHeight="false" outlineLevel="0" collapsed="false">
      <c r="A680" s="0" t="s">
        <v>988</v>
      </c>
      <c r="B680" s="0" t="s">
        <v>201</v>
      </c>
      <c r="C680" s="14" t="n">
        <v>45695</v>
      </c>
      <c r="D680" s="0" t="n">
        <v>979.13</v>
      </c>
      <c r="E680" s="15" t="s">
        <v>77</v>
      </c>
      <c r="F680" s="15" t="s">
        <v>298</v>
      </c>
      <c r="G680" s="15" t="s">
        <v>282</v>
      </c>
    </row>
    <row r="681" customFormat="false" ht="15" hidden="false" customHeight="false" outlineLevel="0" collapsed="false">
      <c r="A681" s="0" t="s">
        <v>989</v>
      </c>
      <c r="B681" s="0" t="s">
        <v>93</v>
      </c>
      <c r="C681" s="14" t="n">
        <v>46075</v>
      </c>
      <c r="D681" s="0" t="n">
        <v>3602.11</v>
      </c>
      <c r="E681" s="15" t="s">
        <v>86</v>
      </c>
      <c r="F681" s="15" t="s">
        <v>381</v>
      </c>
      <c r="G681" s="15" t="s">
        <v>313</v>
      </c>
    </row>
    <row r="682" customFormat="false" ht="15" hidden="false" customHeight="false" outlineLevel="0" collapsed="false">
      <c r="A682" s="0" t="s">
        <v>990</v>
      </c>
      <c r="B682" s="0" t="s">
        <v>125</v>
      </c>
      <c r="C682" s="14" t="n">
        <v>45770</v>
      </c>
      <c r="D682" s="0" t="n">
        <v>579.61</v>
      </c>
      <c r="E682" s="15" t="s">
        <v>72</v>
      </c>
      <c r="F682" s="15" t="s">
        <v>330</v>
      </c>
      <c r="G682" s="15" t="s">
        <v>290</v>
      </c>
    </row>
    <row r="683" customFormat="false" ht="15" hidden="false" customHeight="false" outlineLevel="0" collapsed="false">
      <c r="A683" s="0" t="s">
        <v>991</v>
      </c>
      <c r="B683" s="0" t="s">
        <v>134</v>
      </c>
      <c r="C683" s="14" t="n">
        <v>45775</v>
      </c>
      <c r="D683" s="0" t="n">
        <v>2463.86</v>
      </c>
      <c r="E683" s="15" t="s">
        <v>114</v>
      </c>
      <c r="F683" s="15" t="s">
        <v>289</v>
      </c>
      <c r="G683" s="15" t="s">
        <v>282</v>
      </c>
    </row>
    <row r="684" customFormat="false" ht="15" hidden="false" customHeight="false" outlineLevel="0" collapsed="false">
      <c r="A684" s="0" t="s">
        <v>992</v>
      </c>
      <c r="B684" s="0" t="s">
        <v>140</v>
      </c>
      <c r="C684" s="14" t="n">
        <v>46131</v>
      </c>
      <c r="D684" s="0" t="n">
        <v>2741.68</v>
      </c>
      <c r="E684" s="15" t="s">
        <v>72</v>
      </c>
      <c r="F684" s="15" t="s">
        <v>304</v>
      </c>
      <c r="G684" s="15" t="s">
        <v>279</v>
      </c>
    </row>
    <row r="685" customFormat="false" ht="15" hidden="false" customHeight="false" outlineLevel="0" collapsed="false">
      <c r="A685" s="0" t="s">
        <v>993</v>
      </c>
      <c r="B685" s="0" t="s">
        <v>146</v>
      </c>
      <c r="C685" s="14" t="n">
        <v>45837</v>
      </c>
      <c r="D685" s="0" t="n">
        <v>683.18</v>
      </c>
      <c r="E685" s="15" t="s">
        <v>114</v>
      </c>
      <c r="F685" s="15" t="s">
        <v>294</v>
      </c>
      <c r="G685" s="15" t="s">
        <v>292</v>
      </c>
    </row>
    <row r="686" customFormat="false" ht="15" hidden="false" customHeight="false" outlineLevel="0" collapsed="false">
      <c r="A686" s="0" t="s">
        <v>994</v>
      </c>
      <c r="B686" s="0" t="s">
        <v>167</v>
      </c>
      <c r="C686" s="14" t="n">
        <v>45738</v>
      </c>
      <c r="D686" s="0" t="n">
        <v>1624.72</v>
      </c>
      <c r="E686" s="15" t="s">
        <v>72</v>
      </c>
      <c r="F686" s="15" t="s">
        <v>284</v>
      </c>
      <c r="G686" s="15" t="s">
        <v>282</v>
      </c>
    </row>
    <row r="687" customFormat="false" ht="15" hidden="false" customHeight="false" outlineLevel="0" collapsed="false">
      <c r="A687" s="0" t="s">
        <v>995</v>
      </c>
      <c r="B687" s="0" t="s">
        <v>134</v>
      </c>
      <c r="C687" s="14" t="n">
        <v>46148</v>
      </c>
      <c r="D687" s="0" t="n">
        <v>1846.75</v>
      </c>
      <c r="E687" s="15" t="s">
        <v>114</v>
      </c>
      <c r="F687" s="15" t="s">
        <v>317</v>
      </c>
      <c r="G687" s="15" t="s">
        <v>279</v>
      </c>
    </row>
    <row r="688" customFormat="false" ht="15" hidden="false" customHeight="false" outlineLevel="0" collapsed="false">
      <c r="A688" s="0" t="s">
        <v>996</v>
      </c>
      <c r="B688" s="0" t="s">
        <v>183</v>
      </c>
      <c r="C688" s="14" t="n">
        <v>45659</v>
      </c>
      <c r="D688" s="0" t="n">
        <v>1307.64</v>
      </c>
      <c r="E688" s="15" t="s">
        <v>86</v>
      </c>
      <c r="F688" s="15" t="s">
        <v>281</v>
      </c>
      <c r="G688" s="15" t="s">
        <v>302</v>
      </c>
    </row>
    <row r="689" customFormat="false" ht="15" hidden="false" customHeight="false" outlineLevel="0" collapsed="false">
      <c r="A689" s="0" t="s">
        <v>997</v>
      </c>
      <c r="B689" s="0" t="s">
        <v>180</v>
      </c>
      <c r="C689" s="14" t="n">
        <v>46125</v>
      </c>
      <c r="D689" s="0" t="n">
        <v>1035.87</v>
      </c>
      <c r="E689" s="15" t="s">
        <v>86</v>
      </c>
      <c r="F689" s="15" t="s">
        <v>304</v>
      </c>
      <c r="G689" s="15" t="s">
        <v>290</v>
      </c>
    </row>
    <row r="690" customFormat="false" ht="15" hidden="false" customHeight="false" outlineLevel="0" collapsed="false">
      <c r="A690" s="0" t="s">
        <v>998</v>
      </c>
      <c r="B690" s="0" t="s">
        <v>192</v>
      </c>
      <c r="C690" s="14" t="n">
        <v>45736</v>
      </c>
      <c r="D690" s="0" t="n">
        <v>7340.64</v>
      </c>
      <c r="E690" s="15" t="s">
        <v>91</v>
      </c>
      <c r="F690" s="15" t="s">
        <v>381</v>
      </c>
      <c r="G690" s="15" t="s">
        <v>282</v>
      </c>
    </row>
    <row r="691" customFormat="false" ht="15" hidden="false" customHeight="false" outlineLevel="0" collapsed="false">
      <c r="A691" s="0" t="s">
        <v>999</v>
      </c>
      <c r="B691" s="0" t="s">
        <v>112</v>
      </c>
      <c r="C691" s="14" t="n">
        <v>45728</v>
      </c>
      <c r="D691" s="0" t="n">
        <v>957.43</v>
      </c>
      <c r="E691" s="15" t="s">
        <v>114</v>
      </c>
      <c r="F691" s="15" t="s">
        <v>300</v>
      </c>
      <c r="G691" s="15" t="s">
        <v>279</v>
      </c>
    </row>
    <row r="692" customFormat="false" ht="15" hidden="false" customHeight="false" outlineLevel="0" collapsed="false">
      <c r="A692" s="0" t="s">
        <v>1000</v>
      </c>
      <c r="B692" s="0" t="s">
        <v>109</v>
      </c>
      <c r="C692" s="14" t="n">
        <v>45794</v>
      </c>
      <c r="D692" s="0" t="n">
        <v>2237.12</v>
      </c>
      <c r="E692" s="15" t="s">
        <v>101</v>
      </c>
      <c r="F692" s="15" t="s">
        <v>337</v>
      </c>
      <c r="G692" s="15" t="s">
        <v>292</v>
      </c>
    </row>
    <row r="693" customFormat="false" ht="15" hidden="false" customHeight="false" outlineLevel="0" collapsed="false">
      <c r="A693" s="0" t="s">
        <v>1001</v>
      </c>
      <c r="B693" s="0" t="s">
        <v>198</v>
      </c>
      <c r="C693" s="14" t="n">
        <v>45753</v>
      </c>
      <c r="D693" s="0" t="n">
        <v>370.92</v>
      </c>
      <c r="E693" s="15" t="s">
        <v>86</v>
      </c>
      <c r="F693" s="15" t="s">
        <v>381</v>
      </c>
      <c r="G693" s="15" t="s">
        <v>292</v>
      </c>
    </row>
    <row r="694" customFormat="false" ht="15" hidden="false" customHeight="false" outlineLevel="0" collapsed="false">
      <c r="A694" s="0" t="s">
        <v>1002</v>
      </c>
      <c r="B694" s="0" t="s">
        <v>198</v>
      </c>
      <c r="C694" s="14" t="n">
        <v>46018</v>
      </c>
      <c r="D694" s="0" t="n">
        <v>629.25</v>
      </c>
      <c r="E694" s="15" t="s">
        <v>86</v>
      </c>
      <c r="F694" s="15" t="s">
        <v>310</v>
      </c>
      <c r="G694" s="15" t="s">
        <v>282</v>
      </c>
    </row>
    <row r="695" customFormat="false" ht="15" hidden="false" customHeight="false" outlineLevel="0" collapsed="false">
      <c r="A695" s="0" t="s">
        <v>1003</v>
      </c>
      <c r="B695" s="0" t="s">
        <v>167</v>
      </c>
      <c r="C695" s="14" t="n">
        <v>45672</v>
      </c>
      <c r="D695" s="0" t="n">
        <v>20520.56</v>
      </c>
      <c r="E695" s="15" t="s">
        <v>72</v>
      </c>
      <c r="F695" s="15" t="s">
        <v>289</v>
      </c>
      <c r="G695" s="15" t="s">
        <v>279</v>
      </c>
    </row>
    <row r="696" customFormat="false" ht="15" hidden="false" customHeight="false" outlineLevel="0" collapsed="false">
      <c r="A696" s="0" t="s">
        <v>1004</v>
      </c>
      <c r="B696" s="0" t="s">
        <v>131</v>
      </c>
      <c r="C696" s="14" t="n">
        <v>45666</v>
      </c>
      <c r="D696" s="0" t="n">
        <v>2964.49</v>
      </c>
      <c r="E696" s="15" t="s">
        <v>101</v>
      </c>
      <c r="F696" s="15" t="s">
        <v>294</v>
      </c>
      <c r="G696" s="15" t="s">
        <v>292</v>
      </c>
    </row>
    <row r="697" customFormat="false" ht="15" hidden="false" customHeight="false" outlineLevel="0" collapsed="false">
      <c r="A697" s="0" t="s">
        <v>1005</v>
      </c>
      <c r="B697" s="0" t="s">
        <v>109</v>
      </c>
      <c r="C697" s="14" t="n">
        <v>46088</v>
      </c>
      <c r="D697" s="0" t="n">
        <v>3993.23</v>
      </c>
      <c r="E697" s="15" t="s">
        <v>101</v>
      </c>
      <c r="F697" s="15" t="s">
        <v>306</v>
      </c>
      <c r="G697" s="15" t="s">
        <v>279</v>
      </c>
    </row>
    <row r="698" customFormat="false" ht="15" hidden="false" customHeight="false" outlineLevel="0" collapsed="false">
      <c r="A698" s="0" t="s">
        <v>1006</v>
      </c>
      <c r="B698" s="0" t="s">
        <v>186</v>
      </c>
      <c r="C698" s="14" t="n">
        <v>45787</v>
      </c>
      <c r="D698" s="0" t="n">
        <v>1604.06</v>
      </c>
      <c r="E698" s="15" t="s">
        <v>86</v>
      </c>
      <c r="F698" s="15" t="s">
        <v>304</v>
      </c>
      <c r="G698" s="15" t="s">
        <v>321</v>
      </c>
    </row>
    <row r="699" customFormat="false" ht="15" hidden="false" customHeight="false" outlineLevel="0" collapsed="false">
      <c r="A699" s="0" t="s">
        <v>1007</v>
      </c>
      <c r="B699" s="0" t="s">
        <v>198</v>
      </c>
      <c r="C699" s="14" t="n">
        <v>45834</v>
      </c>
      <c r="D699" s="0" t="n">
        <v>2211.07</v>
      </c>
      <c r="E699" s="15" t="s">
        <v>86</v>
      </c>
      <c r="F699" s="15" t="s">
        <v>294</v>
      </c>
      <c r="G699" s="15" t="s">
        <v>321</v>
      </c>
    </row>
    <row r="700" customFormat="false" ht="15" hidden="false" customHeight="false" outlineLevel="0" collapsed="false">
      <c r="A700" s="0" t="s">
        <v>1008</v>
      </c>
      <c r="B700" s="0" t="s">
        <v>109</v>
      </c>
      <c r="C700" s="14" t="n">
        <v>45752</v>
      </c>
      <c r="D700" s="0" t="n">
        <v>1034.65</v>
      </c>
      <c r="E700" s="15" t="s">
        <v>101</v>
      </c>
      <c r="F700" s="15" t="s">
        <v>281</v>
      </c>
      <c r="G700" s="15" t="s">
        <v>279</v>
      </c>
    </row>
    <row r="701" customFormat="false" ht="15" hidden="false" customHeight="false" outlineLevel="0" collapsed="false">
      <c r="A701" s="0" t="s">
        <v>1009</v>
      </c>
      <c r="B701" s="0" t="s">
        <v>122</v>
      </c>
      <c r="C701" s="14" t="n">
        <v>45686</v>
      </c>
      <c r="D701" s="0" t="n">
        <v>6197.2</v>
      </c>
      <c r="E701" s="15" t="s">
        <v>86</v>
      </c>
      <c r="F701" s="15" t="s">
        <v>342</v>
      </c>
      <c r="G701" s="15" t="s">
        <v>292</v>
      </c>
    </row>
    <row r="702" customFormat="false" ht="15" hidden="false" customHeight="false" outlineLevel="0" collapsed="false">
      <c r="A702" s="0" t="s">
        <v>1010</v>
      </c>
      <c r="B702" s="0" t="s">
        <v>177</v>
      </c>
      <c r="C702" s="14" t="n">
        <v>46062</v>
      </c>
      <c r="D702" s="0" t="n">
        <v>1848.76</v>
      </c>
      <c r="E702" s="15" t="s">
        <v>77</v>
      </c>
      <c r="F702" s="15" t="s">
        <v>308</v>
      </c>
      <c r="G702" s="15" t="s">
        <v>313</v>
      </c>
    </row>
    <row r="703" customFormat="false" ht="15" hidden="false" customHeight="false" outlineLevel="0" collapsed="false">
      <c r="A703" s="0" t="s">
        <v>1011</v>
      </c>
      <c r="B703" s="0" t="s">
        <v>198</v>
      </c>
      <c r="C703" s="14" t="n">
        <v>45944</v>
      </c>
      <c r="D703" s="0" t="n">
        <v>2842.44</v>
      </c>
      <c r="E703" s="15" t="s">
        <v>86</v>
      </c>
      <c r="F703" s="15" t="s">
        <v>344</v>
      </c>
      <c r="G703" s="15" t="s">
        <v>287</v>
      </c>
    </row>
    <row r="704" customFormat="false" ht="15" hidden="false" customHeight="false" outlineLevel="0" collapsed="false">
      <c r="A704" s="0" t="s">
        <v>1012</v>
      </c>
      <c r="B704" s="0" t="s">
        <v>134</v>
      </c>
      <c r="C704" s="14" t="n">
        <v>46064</v>
      </c>
      <c r="D704" s="0" t="n">
        <v>2826.44</v>
      </c>
      <c r="E704" s="15" t="s">
        <v>114</v>
      </c>
      <c r="F704" s="15" t="s">
        <v>330</v>
      </c>
      <c r="G704" s="15" t="s">
        <v>282</v>
      </c>
    </row>
    <row r="705" customFormat="false" ht="15" hidden="false" customHeight="false" outlineLevel="0" collapsed="false">
      <c r="A705" s="0" t="s">
        <v>1013</v>
      </c>
      <c r="B705" s="0" t="s">
        <v>201</v>
      </c>
      <c r="C705" s="14" t="n">
        <v>45917</v>
      </c>
      <c r="D705" s="0" t="n">
        <v>9307.71</v>
      </c>
      <c r="E705" s="15" t="s">
        <v>77</v>
      </c>
      <c r="F705" s="15" t="s">
        <v>346</v>
      </c>
      <c r="G705" s="15" t="s">
        <v>282</v>
      </c>
    </row>
    <row r="706" customFormat="false" ht="15" hidden="false" customHeight="false" outlineLevel="0" collapsed="false">
      <c r="A706" s="0" t="s">
        <v>1014</v>
      </c>
      <c r="B706" s="0" t="s">
        <v>195</v>
      </c>
      <c r="C706" s="14" t="n">
        <v>46082</v>
      </c>
      <c r="D706" s="0" t="n">
        <v>4662.39</v>
      </c>
      <c r="E706" s="15" t="s">
        <v>114</v>
      </c>
      <c r="F706" s="15" t="s">
        <v>306</v>
      </c>
      <c r="G706" s="15" t="s">
        <v>282</v>
      </c>
    </row>
    <row r="707" customFormat="false" ht="15" hidden="false" customHeight="false" outlineLevel="0" collapsed="false">
      <c r="A707" s="0" t="s">
        <v>1015</v>
      </c>
      <c r="B707" s="0" t="s">
        <v>201</v>
      </c>
      <c r="C707" s="14" t="n">
        <v>45937</v>
      </c>
      <c r="D707" s="0" t="n">
        <v>369.39</v>
      </c>
      <c r="E707" s="15" t="s">
        <v>77</v>
      </c>
      <c r="F707" s="15" t="s">
        <v>289</v>
      </c>
      <c r="G707" s="15" t="s">
        <v>287</v>
      </c>
    </row>
    <row r="708" customFormat="false" ht="15" hidden="false" customHeight="false" outlineLevel="0" collapsed="false">
      <c r="A708" s="0" t="s">
        <v>1016</v>
      </c>
      <c r="B708" s="0" t="s">
        <v>186</v>
      </c>
      <c r="C708" s="14" t="n">
        <v>45717</v>
      </c>
      <c r="D708" s="0" t="n">
        <v>21261.93</v>
      </c>
      <c r="E708" s="15" t="s">
        <v>86</v>
      </c>
      <c r="F708" s="15" t="s">
        <v>317</v>
      </c>
      <c r="G708" s="15" t="s">
        <v>302</v>
      </c>
    </row>
    <row r="709" customFormat="false" ht="15" hidden="false" customHeight="false" outlineLevel="0" collapsed="false">
      <c r="A709" s="0" t="s">
        <v>1017</v>
      </c>
      <c r="B709" s="0" t="s">
        <v>161</v>
      </c>
      <c r="C709" s="14" t="n">
        <v>45932</v>
      </c>
      <c r="D709" s="0" t="n">
        <v>739.64</v>
      </c>
      <c r="E709" s="15" t="s">
        <v>72</v>
      </c>
      <c r="F709" s="15" t="s">
        <v>281</v>
      </c>
      <c r="G709" s="15" t="s">
        <v>287</v>
      </c>
    </row>
    <row r="710" customFormat="false" ht="15" hidden="false" customHeight="false" outlineLevel="0" collapsed="false">
      <c r="A710" s="0" t="s">
        <v>1018</v>
      </c>
      <c r="B710" s="0" t="s">
        <v>140</v>
      </c>
      <c r="C710" s="14" t="n">
        <v>46173</v>
      </c>
      <c r="D710" s="0" t="n">
        <v>5478.42</v>
      </c>
      <c r="E710" s="15" t="s">
        <v>72</v>
      </c>
      <c r="F710" s="15" t="s">
        <v>289</v>
      </c>
      <c r="G710" s="15" t="s">
        <v>282</v>
      </c>
    </row>
    <row r="711" customFormat="false" ht="15" hidden="false" customHeight="false" outlineLevel="0" collapsed="false">
      <c r="A711" s="0" t="s">
        <v>1019</v>
      </c>
      <c r="B711" s="0" t="s">
        <v>171</v>
      </c>
      <c r="C711" s="14" t="n">
        <v>45681</v>
      </c>
      <c r="D711" s="0" t="n">
        <v>1081.06</v>
      </c>
      <c r="E711" s="15" t="s">
        <v>106</v>
      </c>
      <c r="F711" s="15" t="s">
        <v>289</v>
      </c>
      <c r="G711" s="15" t="s">
        <v>313</v>
      </c>
    </row>
    <row r="712" customFormat="false" ht="15" hidden="false" customHeight="false" outlineLevel="0" collapsed="false">
      <c r="A712" s="0" t="s">
        <v>1020</v>
      </c>
      <c r="B712" s="0" t="s">
        <v>149</v>
      </c>
      <c r="C712" s="14" t="n">
        <v>46084</v>
      </c>
      <c r="D712" s="0" t="n">
        <v>199.69</v>
      </c>
      <c r="E712" s="15" t="s">
        <v>72</v>
      </c>
      <c r="F712" s="15" t="s">
        <v>342</v>
      </c>
      <c r="G712" s="15" t="s">
        <v>279</v>
      </c>
    </row>
    <row r="713" customFormat="false" ht="15" hidden="false" customHeight="false" outlineLevel="0" collapsed="false">
      <c r="A713" s="0" t="s">
        <v>1021</v>
      </c>
      <c r="B713" s="0" t="s">
        <v>198</v>
      </c>
      <c r="C713" s="14" t="n">
        <v>46130</v>
      </c>
      <c r="D713" s="0" t="n">
        <v>1143.13</v>
      </c>
      <c r="E713" s="15" t="s">
        <v>86</v>
      </c>
      <c r="F713" s="15" t="s">
        <v>286</v>
      </c>
      <c r="G713" s="15" t="s">
        <v>287</v>
      </c>
    </row>
    <row r="714" customFormat="false" ht="15" hidden="false" customHeight="false" outlineLevel="0" collapsed="false">
      <c r="A714" s="0" t="s">
        <v>1022</v>
      </c>
      <c r="B714" s="0" t="s">
        <v>180</v>
      </c>
      <c r="C714" s="14" t="n">
        <v>45942</v>
      </c>
      <c r="D714" s="0" t="n">
        <v>3047.46</v>
      </c>
      <c r="E714" s="15" t="s">
        <v>86</v>
      </c>
      <c r="F714" s="15" t="s">
        <v>286</v>
      </c>
      <c r="G714" s="15" t="s">
        <v>279</v>
      </c>
    </row>
    <row r="715" customFormat="false" ht="15" hidden="false" customHeight="false" outlineLevel="0" collapsed="false">
      <c r="A715" s="0" t="s">
        <v>1023</v>
      </c>
      <c r="B715" s="0" t="s">
        <v>112</v>
      </c>
      <c r="C715" s="14" t="n">
        <v>45907</v>
      </c>
      <c r="D715" s="0" t="n">
        <v>1913.88</v>
      </c>
      <c r="E715" s="15" t="s">
        <v>114</v>
      </c>
      <c r="F715" s="15" t="s">
        <v>298</v>
      </c>
      <c r="G715" s="15" t="s">
        <v>292</v>
      </c>
    </row>
    <row r="716" customFormat="false" ht="15" hidden="false" customHeight="false" outlineLevel="0" collapsed="false">
      <c r="A716" s="0" t="s">
        <v>1024</v>
      </c>
      <c r="B716" s="0" t="s">
        <v>99</v>
      </c>
      <c r="C716" s="14" t="n">
        <v>46183</v>
      </c>
      <c r="D716" s="0" t="n">
        <v>866.83</v>
      </c>
      <c r="E716" s="15" t="s">
        <v>101</v>
      </c>
      <c r="F716" s="15" t="s">
        <v>278</v>
      </c>
      <c r="G716" s="15" t="s">
        <v>279</v>
      </c>
    </row>
    <row r="717" customFormat="false" ht="15" hidden="false" customHeight="false" outlineLevel="0" collapsed="false">
      <c r="A717" s="0" t="s">
        <v>1025</v>
      </c>
      <c r="B717" s="0" t="s">
        <v>143</v>
      </c>
      <c r="C717" s="14" t="n">
        <v>45691</v>
      </c>
      <c r="D717" s="0" t="n">
        <v>9584.39</v>
      </c>
      <c r="E717" s="15" t="s">
        <v>86</v>
      </c>
      <c r="F717" s="15" t="s">
        <v>346</v>
      </c>
      <c r="G717" s="15" t="s">
        <v>302</v>
      </c>
    </row>
    <row r="718" customFormat="false" ht="15" hidden="false" customHeight="false" outlineLevel="0" collapsed="false">
      <c r="A718" s="0" t="s">
        <v>1026</v>
      </c>
      <c r="B718" s="0" t="s">
        <v>96</v>
      </c>
      <c r="C718" s="14" t="n">
        <v>45919</v>
      </c>
      <c r="D718" s="0" t="n">
        <v>1413.3</v>
      </c>
      <c r="E718" s="15" t="s">
        <v>77</v>
      </c>
      <c r="F718" s="15" t="s">
        <v>300</v>
      </c>
      <c r="G718" s="15" t="s">
        <v>279</v>
      </c>
    </row>
    <row r="719" customFormat="false" ht="15" hidden="false" customHeight="false" outlineLevel="0" collapsed="false">
      <c r="A719" s="0" t="s">
        <v>1027</v>
      </c>
      <c r="B719" s="0" t="s">
        <v>186</v>
      </c>
      <c r="C719" s="14" t="n">
        <v>45876</v>
      </c>
      <c r="D719" s="0" t="n">
        <v>9255.12</v>
      </c>
      <c r="E719" s="15" t="s">
        <v>86</v>
      </c>
      <c r="F719" s="15" t="s">
        <v>304</v>
      </c>
      <c r="G719" s="15" t="s">
        <v>290</v>
      </c>
    </row>
    <row r="720" customFormat="false" ht="15" hidden="false" customHeight="false" outlineLevel="0" collapsed="false">
      <c r="A720" s="0" t="s">
        <v>1028</v>
      </c>
      <c r="B720" s="0" t="s">
        <v>171</v>
      </c>
      <c r="C720" s="14" t="n">
        <v>46031</v>
      </c>
      <c r="D720" s="0" t="n">
        <v>363.94</v>
      </c>
      <c r="E720" s="15" t="s">
        <v>106</v>
      </c>
      <c r="F720" s="15" t="s">
        <v>294</v>
      </c>
      <c r="G720" s="15" t="s">
        <v>287</v>
      </c>
    </row>
    <row r="721" customFormat="false" ht="15" hidden="false" customHeight="false" outlineLevel="0" collapsed="false">
      <c r="A721" s="0" t="s">
        <v>1029</v>
      </c>
      <c r="B721" s="0" t="s">
        <v>104</v>
      </c>
      <c r="C721" s="14" t="n">
        <v>45925</v>
      </c>
      <c r="D721" s="0" t="n">
        <v>12071.44</v>
      </c>
      <c r="E721" s="15" t="s">
        <v>106</v>
      </c>
      <c r="F721" s="15" t="s">
        <v>351</v>
      </c>
      <c r="G721" s="15" t="s">
        <v>279</v>
      </c>
    </row>
    <row r="722" customFormat="false" ht="15" hidden="false" customHeight="false" outlineLevel="0" collapsed="false">
      <c r="A722" s="0" t="s">
        <v>1030</v>
      </c>
      <c r="B722" s="0" t="s">
        <v>93</v>
      </c>
      <c r="C722" s="14" t="n">
        <v>46153</v>
      </c>
      <c r="D722" s="0" t="n">
        <v>296.66</v>
      </c>
      <c r="E722" s="15" t="s">
        <v>86</v>
      </c>
      <c r="F722" s="15" t="s">
        <v>317</v>
      </c>
      <c r="G722" s="15" t="s">
        <v>321</v>
      </c>
    </row>
    <row r="723" customFormat="false" ht="15" hidden="false" customHeight="false" outlineLevel="0" collapsed="false">
      <c r="A723" s="0" t="s">
        <v>1031</v>
      </c>
      <c r="B723" s="0" t="s">
        <v>198</v>
      </c>
      <c r="C723" s="14" t="n">
        <v>45698</v>
      </c>
      <c r="D723" s="0" t="n">
        <v>146.21</v>
      </c>
      <c r="E723" s="15" t="s">
        <v>86</v>
      </c>
      <c r="F723" s="15" t="s">
        <v>298</v>
      </c>
      <c r="G723" s="15" t="s">
        <v>287</v>
      </c>
    </row>
    <row r="724" customFormat="false" ht="15" hidden="false" customHeight="false" outlineLevel="0" collapsed="false">
      <c r="A724" s="0" t="s">
        <v>1032</v>
      </c>
      <c r="B724" s="0" t="s">
        <v>125</v>
      </c>
      <c r="C724" s="14" t="n">
        <v>45702</v>
      </c>
      <c r="D724" s="0" t="n">
        <v>2671.57</v>
      </c>
      <c r="E724" s="15" t="s">
        <v>72</v>
      </c>
      <c r="F724" s="15" t="s">
        <v>330</v>
      </c>
      <c r="G724" s="15" t="s">
        <v>302</v>
      </c>
    </row>
    <row r="725" customFormat="false" ht="15" hidden="false" customHeight="false" outlineLevel="0" collapsed="false">
      <c r="A725" s="0" t="s">
        <v>1033</v>
      </c>
      <c r="B725" s="0" t="s">
        <v>143</v>
      </c>
      <c r="C725" s="14" t="n">
        <v>45989</v>
      </c>
      <c r="D725" s="0" t="n">
        <v>1652.24</v>
      </c>
      <c r="E725" s="15" t="s">
        <v>86</v>
      </c>
      <c r="F725" s="15" t="s">
        <v>312</v>
      </c>
      <c r="G725" s="15" t="s">
        <v>287</v>
      </c>
    </row>
    <row r="726" customFormat="false" ht="15" hidden="false" customHeight="false" outlineLevel="0" collapsed="false">
      <c r="A726" s="0" t="s">
        <v>1034</v>
      </c>
      <c r="B726" s="0" t="s">
        <v>93</v>
      </c>
      <c r="C726" s="14" t="n">
        <v>45693</v>
      </c>
      <c r="D726" s="0" t="n">
        <v>2766.5</v>
      </c>
      <c r="E726" s="15" t="s">
        <v>86</v>
      </c>
      <c r="F726" s="15" t="s">
        <v>304</v>
      </c>
      <c r="G726" s="15" t="s">
        <v>287</v>
      </c>
    </row>
    <row r="727" customFormat="false" ht="15" hidden="false" customHeight="false" outlineLevel="0" collapsed="false">
      <c r="A727" s="0" t="s">
        <v>1035</v>
      </c>
      <c r="B727" s="0" t="s">
        <v>167</v>
      </c>
      <c r="C727" s="14" t="n">
        <v>45807</v>
      </c>
      <c r="D727" s="0" t="n">
        <v>5537.55</v>
      </c>
      <c r="E727" s="15" t="s">
        <v>72</v>
      </c>
      <c r="F727" s="15" t="s">
        <v>346</v>
      </c>
      <c r="G727" s="15" t="s">
        <v>279</v>
      </c>
    </row>
    <row r="728" customFormat="false" ht="15" hidden="false" customHeight="false" outlineLevel="0" collapsed="false">
      <c r="A728" s="0" t="s">
        <v>1036</v>
      </c>
      <c r="B728" s="0" t="s">
        <v>174</v>
      </c>
      <c r="C728" s="14" t="n">
        <v>46003</v>
      </c>
      <c r="D728" s="0" t="n">
        <v>4823.29</v>
      </c>
      <c r="E728" s="15" t="s">
        <v>91</v>
      </c>
      <c r="F728" s="15" t="s">
        <v>344</v>
      </c>
      <c r="G728" s="15" t="s">
        <v>292</v>
      </c>
    </row>
    <row r="729" customFormat="false" ht="15" hidden="false" customHeight="false" outlineLevel="0" collapsed="false">
      <c r="A729" s="0" t="s">
        <v>1037</v>
      </c>
      <c r="B729" s="0" t="s">
        <v>119</v>
      </c>
      <c r="C729" s="14" t="n">
        <v>45956</v>
      </c>
      <c r="D729" s="0" t="n">
        <v>2004.87</v>
      </c>
      <c r="E729" s="15" t="s">
        <v>86</v>
      </c>
      <c r="F729" s="15" t="s">
        <v>317</v>
      </c>
      <c r="G729" s="15" t="s">
        <v>317</v>
      </c>
    </row>
    <row r="730" customFormat="false" ht="15" hidden="false" customHeight="false" outlineLevel="0" collapsed="false">
      <c r="A730" s="0" t="s">
        <v>1038</v>
      </c>
      <c r="B730" s="0" t="s">
        <v>149</v>
      </c>
      <c r="C730" s="14" t="n">
        <v>45835</v>
      </c>
      <c r="D730" s="0" t="n">
        <v>368.64</v>
      </c>
      <c r="E730" s="15" t="s">
        <v>72</v>
      </c>
      <c r="F730" s="15" t="s">
        <v>289</v>
      </c>
      <c r="G730" s="15" t="s">
        <v>282</v>
      </c>
    </row>
    <row r="731" customFormat="false" ht="15" hidden="false" customHeight="false" outlineLevel="0" collapsed="false">
      <c r="A731" s="0" t="s">
        <v>1039</v>
      </c>
      <c r="B731" s="0" t="s">
        <v>180</v>
      </c>
      <c r="C731" s="14" t="n">
        <v>46200</v>
      </c>
      <c r="D731" s="0" t="n">
        <v>687.31</v>
      </c>
      <c r="E731" s="15" t="s">
        <v>86</v>
      </c>
      <c r="F731" s="15" t="s">
        <v>278</v>
      </c>
      <c r="G731" s="15" t="s">
        <v>321</v>
      </c>
    </row>
    <row r="732" customFormat="false" ht="15" hidden="false" customHeight="false" outlineLevel="0" collapsed="false">
      <c r="A732" s="0" t="s">
        <v>1040</v>
      </c>
      <c r="B732" s="0" t="s">
        <v>112</v>
      </c>
      <c r="C732" s="14" t="n">
        <v>45947</v>
      </c>
      <c r="D732" s="0" t="n">
        <v>18808.64</v>
      </c>
      <c r="E732" s="15" t="s">
        <v>114</v>
      </c>
      <c r="F732" s="15" t="s">
        <v>308</v>
      </c>
      <c r="G732" s="15" t="s">
        <v>279</v>
      </c>
    </row>
    <row r="733" customFormat="false" ht="15" hidden="false" customHeight="false" outlineLevel="0" collapsed="false">
      <c r="A733" s="0" t="s">
        <v>1041</v>
      </c>
      <c r="B733" s="0" t="s">
        <v>80</v>
      </c>
      <c r="C733" s="14" t="n">
        <v>45905</v>
      </c>
      <c r="D733" s="0" t="n">
        <v>2123.75</v>
      </c>
      <c r="E733" s="15" t="s">
        <v>72</v>
      </c>
      <c r="F733" s="15" t="s">
        <v>334</v>
      </c>
      <c r="G733" s="15" t="s">
        <v>321</v>
      </c>
    </row>
    <row r="734" customFormat="false" ht="15" hidden="false" customHeight="false" outlineLevel="0" collapsed="false">
      <c r="A734" s="0" t="s">
        <v>1042</v>
      </c>
      <c r="B734" s="0" t="s">
        <v>109</v>
      </c>
      <c r="C734" s="14" t="n">
        <v>45987</v>
      </c>
      <c r="D734" s="0" t="n">
        <v>2641.8</v>
      </c>
      <c r="E734" s="15" t="s">
        <v>101</v>
      </c>
      <c r="F734" s="15" t="s">
        <v>296</v>
      </c>
      <c r="G734" s="15" t="s">
        <v>287</v>
      </c>
    </row>
    <row r="735" customFormat="false" ht="15" hidden="false" customHeight="false" outlineLevel="0" collapsed="false">
      <c r="A735" s="0" t="s">
        <v>1043</v>
      </c>
      <c r="B735" s="0" t="s">
        <v>125</v>
      </c>
      <c r="C735" s="14" t="n">
        <v>45712</v>
      </c>
      <c r="D735" s="0" t="n">
        <v>2661.22</v>
      </c>
      <c r="E735" s="15" t="s">
        <v>72</v>
      </c>
      <c r="F735" s="15" t="s">
        <v>304</v>
      </c>
      <c r="G735" s="15" t="s">
        <v>321</v>
      </c>
    </row>
    <row r="736" customFormat="false" ht="15" hidden="false" customHeight="false" outlineLevel="0" collapsed="false">
      <c r="A736" s="0" t="s">
        <v>1044</v>
      </c>
      <c r="B736" s="0" t="s">
        <v>146</v>
      </c>
      <c r="C736" s="14" t="n">
        <v>46040</v>
      </c>
      <c r="D736" s="0" t="n">
        <v>2608</v>
      </c>
      <c r="E736" s="15" t="s">
        <v>114</v>
      </c>
      <c r="F736" s="15" t="s">
        <v>304</v>
      </c>
      <c r="G736" s="15" t="s">
        <v>287</v>
      </c>
    </row>
    <row r="737" customFormat="false" ht="15" hidden="false" customHeight="false" outlineLevel="0" collapsed="false">
      <c r="A737" s="0" t="s">
        <v>1045</v>
      </c>
      <c r="B737" s="0" t="s">
        <v>180</v>
      </c>
      <c r="C737" s="14" t="n">
        <v>46122</v>
      </c>
      <c r="D737" s="0" t="n">
        <v>19774.14</v>
      </c>
      <c r="E737" s="15" t="s">
        <v>86</v>
      </c>
      <c r="F737" s="15" t="s">
        <v>289</v>
      </c>
      <c r="G737" s="15" t="s">
        <v>292</v>
      </c>
    </row>
    <row r="738" customFormat="false" ht="15" hidden="false" customHeight="false" outlineLevel="0" collapsed="false">
      <c r="A738" s="0" t="s">
        <v>1046</v>
      </c>
      <c r="B738" s="0" t="s">
        <v>134</v>
      </c>
      <c r="C738" s="14" t="n">
        <v>46012</v>
      </c>
      <c r="D738" s="0" t="n">
        <v>393.39</v>
      </c>
      <c r="E738" s="15" t="s">
        <v>114</v>
      </c>
      <c r="F738" s="15" t="s">
        <v>286</v>
      </c>
      <c r="G738" s="15" t="s">
        <v>292</v>
      </c>
    </row>
    <row r="739" customFormat="false" ht="15" hidden="false" customHeight="false" outlineLevel="0" collapsed="false">
      <c r="A739" s="0" t="s">
        <v>1047</v>
      </c>
      <c r="B739" s="0" t="s">
        <v>122</v>
      </c>
      <c r="C739" s="14" t="n">
        <v>46077</v>
      </c>
      <c r="D739" s="0" t="n">
        <v>473.84</v>
      </c>
      <c r="E739" s="15" t="s">
        <v>86</v>
      </c>
      <c r="F739" s="15" t="s">
        <v>344</v>
      </c>
      <c r="G739" s="15" t="s">
        <v>313</v>
      </c>
    </row>
    <row r="740" customFormat="false" ht="15" hidden="false" customHeight="false" outlineLevel="0" collapsed="false">
      <c r="A740" s="0" t="s">
        <v>1048</v>
      </c>
      <c r="B740" s="0" t="s">
        <v>158</v>
      </c>
      <c r="C740" s="14" t="n">
        <v>46050</v>
      </c>
      <c r="D740" s="0" t="n">
        <v>19934.95</v>
      </c>
      <c r="E740" s="15" t="s">
        <v>77</v>
      </c>
      <c r="F740" s="15" t="s">
        <v>317</v>
      </c>
      <c r="G740" s="15" t="s">
        <v>290</v>
      </c>
    </row>
    <row r="741" customFormat="false" ht="15" hidden="false" customHeight="false" outlineLevel="0" collapsed="false">
      <c r="A741" s="0" t="s">
        <v>1049</v>
      </c>
      <c r="B741" s="0" t="s">
        <v>99</v>
      </c>
      <c r="C741" s="14" t="n">
        <v>45775</v>
      </c>
      <c r="D741" s="0" t="n">
        <v>812.03</v>
      </c>
      <c r="E741" s="15" t="s">
        <v>101</v>
      </c>
      <c r="F741" s="15" t="s">
        <v>300</v>
      </c>
      <c r="G741" s="15" t="s">
        <v>279</v>
      </c>
    </row>
    <row r="742" customFormat="false" ht="15" hidden="false" customHeight="false" outlineLevel="0" collapsed="false">
      <c r="A742" s="0" t="s">
        <v>1050</v>
      </c>
      <c r="B742" s="0" t="s">
        <v>155</v>
      </c>
      <c r="C742" s="14" t="n">
        <v>45904</v>
      </c>
      <c r="D742" s="0" t="n">
        <v>26179.49</v>
      </c>
      <c r="E742" s="15" t="s">
        <v>106</v>
      </c>
      <c r="F742" s="15" t="s">
        <v>330</v>
      </c>
      <c r="G742" s="15" t="s">
        <v>292</v>
      </c>
    </row>
    <row r="743" customFormat="false" ht="15" hidden="false" customHeight="false" outlineLevel="0" collapsed="false">
      <c r="A743" s="0" t="s">
        <v>1051</v>
      </c>
      <c r="B743" s="0" t="s">
        <v>96</v>
      </c>
      <c r="C743" s="14" t="n">
        <v>45782</v>
      </c>
      <c r="D743" s="0" t="n">
        <v>8117.27</v>
      </c>
      <c r="E743" s="15" t="s">
        <v>77</v>
      </c>
      <c r="F743" s="15" t="s">
        <v>381</v>
      </c>
      <c r="G743" s="15" t="s">
        <v>287</v>
      </c>
    </row>
    <row r="744" customFormat="false" ht="15" hidden="false" customHeight="false" outlineLevel="0" collapsed="false">
      <c r="A744" s="0" t="s">
        <v>1052</v>
      </c>
      <c r="B744" s="0" t="s">
        <v>195</v>
      </c>
      <c r="C744" s="14" t="n">
        <v>45842</v>
      </c>
      <c r="D744" s="0" t="n">
        <v>9161.11</v>
      </c>
      <c r="E744" s="15" t="s">
        <v>114</v>
      </c>
      <c r="F744" s="15" t="s">
        <v>300</v>
      </c>
      <c r="G744" s="15" t="s">
        <v>292</v>
      </c>
    </row>
    <row r="745" customFormat="false" ht="15" hidden="false" customHeight="false" outlineLevel="0" collapsed="false">
      <c r="A745" s="0" t="s">
        <v>1053</v>
      </c>
      <c r="B745" s="0" t="s">
        <v>146</v>
      </c>
      <c r="C745" s="14" t="n">
        <v>45905</v>
      </c>
      <c r="D745" s="0" t="n">
        <v>1056.4</v>
      </c>
      <c r="E745" s="15" t="s">
        <v>114</v>
      </c>
      <c r="F745" s="15" t="s">
        <v>344</v>
      </c>
      <c r="G745" s="15" t="s">
        <v>344</v>
      </c>
    </row>
    <row r="746" customFormat="false" ht="15" hidden="false" customHeight="false" outlineLevel="0" collapsed="false">
      <c r="A746" s="0" t="s">
        <v>1054</v>
      </c>
      <c r="B746" s="0" t="s">
        <v>125</v>
      </c>
      <c r="C746" s="14" t="n">
        <v>45884</v>
      </c>
      <c r="D746" s="0" t="n">
        <v>3577.81</v>
      </c>
      <c r="E746" s="15" t="s">
        <v>72</v>
      </c>
      <c r="F746" s="15" t="s">
        <v>304</v>
      </c>
      <c r="G746" s="15" t="s">
        <v>302</v>
      </c>
    </row>
    <row r="747" customFormat="false" ht="15" hidden="false" customHeight="false" outlineLevel="0" collapsed="false">
      <c r="A747" s="0" t="s">
        <v>1055</v>
      </c>
      <c r="B747" s="0" t="s">
        <v>93</v>
      </c>
      <c r="C747" s="14" t="n">
        <v>45709</v>
      </c>
      <c r="D747" s="0" t="n">
        <v>1478.7</v>
      </c>
      <c r="E747" s="15" t="s">
        <v>86</v>
      </c>
      <c r="F747" s="15" t="s">
        <v>306</v>
      </c>
      <c r="G747" s="15" t="s">
        <v>292</v>
      </c>
    </row>
    <row r="748" customFormat="false" ht="15" hidden="false" customHeight="false" outlineLevel="0" collapsed="false">
      <c r="A748" s="0" t="s">
        <v>1056</v>
      </c>
      <c r="B748" s="0" t="s">
        <v>158</v>
      </c>
      <c r="C748" s="14" t="n">
        <v>45890</v>
      </c>
      <c r="D748" s="0" t="n">
        <v>5071.62</v>
      </c>
      <c r="E748" s="15" t="s">
        <v>77</v>
      </c>
      <c r="F748" s="15" t="s">
        <v>351</v>
      </c>
      <c r="G748" s="15" t="s">
        <v>282</v>
      </c>
    </row>
    <row r="749" customFormat="false" ht="15" hidden="false" customHeight="false" outlineLevel="0" collapsed="false">
      <c r="A749" s="0" t="s">
        <v>1057</v>
      </c>
      <c r="B749" s="0" t="s">
        <v>180</v>
      </c>
      <c r="C749" s="14" t="n">
        <v>46020</v>
      </c>
      <c r="D749" s="0" t="n">
        <v>3714.97</v>
      </c>
      <c r="E749" s="15" t="s">
        <v>86</v>
      </c>
      <c r="F749" s="15" t="s">
        <v>360</v>
      </c>
      <c r="G749" s="15" t="s">
        <v>290</v>
      </c>
    </row>
    <row r="750" customFormat="false" ht="15" hidden="false" customHeight="false" outlineLevel="0" collapsed="false">
      <c r="A750" s="0" t="s">
        <v>1058</v>
      </c>
      <c r="B750" s="0" t="s">
        <v>155</v>
      </c>
      <c r="C750" s="14" t="n">
        <v>45861</v>
      </c>
      <c r="D750" s="0" t="n">
        <v>481.93</v>
      </c>
      <c r="E750" s="15" t="s">
        <v>106</v>
      </c>
      <c r="F750" s="15" t="s">
        <v>312</v>
      </c>
      <c r="G750" s="15" t="s">
        <v>313</v>
      </c>
    </row>
    <row r="751" customFormat="false" ht="15" hidden="false" customHeight="false" outlineLevel="0" collapsed="false">
      <c r="A751" s="0" t="s">
        <v>1059</v>
      </c>
      <c r="B751" s="0" t="s">
        <v>116</v>
      </c>
      <c r="C751" s="14" t="n">
        <v>45741</v>
      </c>
      <c r="D751" s="0" t="n">
        <v>3419.93</v>
      </c>
      <c r="E751" s="15" t="s">
        <v>86</v>
      </c>
      <c r="F751" s="15" t="s">
        <v>327</v>
      </c>
      <c r="G751" s="15" t="s">
        <v>302</v>
      </c>
    </row>
    <row r="752" customFormat="false" ht="15" hidden="false" customHeight="false" outlineLevel="0" collapsed="false">
      <c r="A752" s="0" t="s">
        <v>1060</v>
      </c>
      <c r="B752" s="0" t="s">
        <v>75</v>
      </c>
      <c r="C752" s="14" t="n">
        <v>46161</v>
      </c>
      <c r="D752" s="0" t="n">
        <v>2429.18</v>
      </c>
      <c r="E752" s="15" t="s">
        <v>77</v>
      </c>
      <c r="F752" s="15" t="s">
        <v>342</v>
      </c>
      <c r="G752" s="15" t="s">
        <v>282</v>
      </c>
    </row>
    <row r="753" customFormat="false" ht="15" hidden="false" customHeight="false" outlineLevel="0" collapsed="false">
      <c r="A753" s="0" t="s">
        <v>1061</v>
      </c>
      <c r="B753" s="0" t="s">
        <v>109</v>
      </c>
      <c r="C753" s="14" t="n">
        <v>45694</v>
      </c>
      <c r="D753" s="0" t="n">
        <v>5420.25</v>
      </c>
      <c r="E753" s="15" t="s">
        <v>101</v>
      </c>
      <c r="F753" s="15" t="s">
        <v>298</v>
      </c>
      <c r="G753" s="15" t="s">
        <v>287</v>
      </c>
    </row>
    <row r="754" customFormat="false" ht="15" hidden="false" customHeight="false" outlineLevel="0" collapsed="false">
      <c r="A754" s="0" t="s">
        <v>1062</v>
      </c>
      <c r="B754" s="0" t="s">
        <v>96</v>
      </c>
      <c r="C754" s="14" t="n">
        <v>46111</v>
      </c>
      <c r="D754" s="0" t="n">
        <v>4765.29</v>
      </c>
      <c r="E754" s="15" t="s">
        <v>77</v>
      </c>
      <c r="F754" s="15" t="s">
        <v>351</v>
      </c>
      <c r="G754" s="15" t="s">
        <v>279</v>
      </c>
    </row>
    <row r="755" customFormat="false" ht="15" hidden="false" customHeight="false" outlineLevel="0" collapsed="false">
      <c r="A755" s="0" t="s">
        <v>1063</v>
      </c>
      <c r="B755" s="0" t="s">
        <v>183</v>
      </c>
      <c r="C755" s="14" t="n">
        <v>45708</v>
      </c>
      <c r="D755" s="0" t="n">
        <v>5970.05</v>
      </c>
      <c r="E755" s="15" t="s">
        <v>86</v>
      </c>
      <c r="F755" s="15" t="s">
        <v>286</v>
      </c>
      <c r="G755" s="15" t="s">
        <v>292</v>
      </c>
    </row>
    <row r="756" customFormat="false" ht="15" hidden="false" customHeight="false" outlineLevel="0" collapsed="false">
      <c r="A756" s="0" t="s">
        <v>1064</v>
      </c>
      <c r="B756" s="0" t="s">
        <v>140</v>
      </c>
      <c r="C756" s="14" t="n">
        <v>45710</v>
      </c>
      <c r="D756" s="0" t="n">
        <v>1166.53</v>
      </c>
      <c r="E756" s="15" t="s">
        <v>72</v>
      </c>
      <c r="F756" s="15" t="s">
        <v>298</v>
      </c>
      <c r="G756" s="15" t="s">
        <v>282</v>
      </c>
    </row>
    <row r="757" customFormat="false" ht="15" hidden="false" customHeight="false" outlineLevel="0" collapsed="false">
      <c r="A757" s="0" t="s">
        <v>1065</v>
      </c>
      <c r="B757" s="0" t="s">
        <v>201</v>
      </c>
      <c r="C757" s="14" t="n">
        <v>46060</v>
      </c>
      <c r="D757" s="0" t="n">
        <v>305.02</v>
      </c>
      <c r="E757" s="15" t="s">
        <v>77</v>
      </c>
      <c r="F757" s="15" t="s">
        <v>310</v>
      </c>
      <c r="G757" s="15" t="s">
        <v>292</v>
      </c>
    </row>
    <row r="758" customFormat="false" ht="15" hidden="false" customHeight="false" outlineLevel="0" collapsed="false">
      <c r="A758" s="0" t="s">
        <v>1066</v>
      </c>
      <c r="B758" s="0" t="s">
        <v>99</v>
      </c>
      <c r="C758" s="14" t="n">
        <v>46100</v>
      </c>
      <c r="D758" s="0" t="n">
        <v>888.47</v>
      </c>
      <c r="E758" s="15" t="s">
        <v>101</v>
      </c>
      <c r="F758" s="15" t="s">
        <v>286</v>
      </c>
      <c r="G758" s="15" t="s">
        <v>287</v>
      </c>
    </row>
    <row r="759" customFormat="false" ht="15" hidden="false" customHeight="false" outlineLevel="0" collapsed="false">
      <c r="A759" s="0" t="s">
        <v>1067</v>
      </c>
      <c r="B759" s="0" t="s">
        <v>119</v>
      </c>
      <c r="C759" s="14" t="n">
        <v>45961</v>
      </c>
      <c r="D759" s="0" t="n">
        <v>5589.33</v>
      </c>
      <c r="E759" s="15" t="s">
        <v>86</v>
      </c>
      <c r="F759" s="15" t="s">
        <v>334</v>
      </c>
      <c r="G759" s="15" t="s">
        <v>321</v>
      </c>
    </row>
    <row r="760" customFormat="false" ht="15" hidden="false" customHeight="false" outlineLevel="0" collapsed="false">
      <c r="A760" s="0" t="s">
        <v>1068</v>
      </c>
      <c r="B760" s="0" t="s">
        <v>155</v>
      </c>
      <c r="C760" s="14" t="n">
        <v>45977</v>
      </c>
      <c r="D760" s="0" t="n">
        <v>1679.37</v>
      </c>
      <c r="E760" s="15" t="s">
        <v>106</v>
      </c>
      <c r="F760" s="15" t="s">
        <v>337</v>
      </c>
      <c r="G760" s="15" t="s">
        <v>292</v>
      </c>
    </row>
    <row r="761" customFormat="false" ht="15" hidden="false" customHeight="false" outlineLevel="0" collapsed="false">
      <c r="A761" s="0" t="s">
        <v>1069</v>
      </c>
      <c r="B761" s="0" t="s">
        <v>167</v>
      </c>
      <c r="C761" s="14" t="n">
        <v>45964</v>
      </c>
      <c r="D761" s="0" t="n">
        <v>723.52</v>
      </c>
      <c r="E761" s="15" t="s">
        <v>72</v>
      </c>
      <c r="F761" s="15" t="s">
        <v>351</v>
      </c>
      <c r="G761" s="15" t="s">
        <v>287</v>
      </c>
    </row>
    <row r="762" customFormat="false" ht="15" hidden="false" customHeight="false" outlineLevel="0" collapsed="false">
      <c r="A762" s="0" t="s">
        <v>1070</v>
      </c>
      <c r="B762" s="0" t="s">
        <v>161</v>
      </c>
      <c r="C762" s="14" t="n">
        <v>45837</v>
      </c>
      <c r="D762" s="0" t="n">
        <v>3110.63</v>
      </c>
      <c r="E762" s="15" t="s">
        <v>72</v>
      </c>
      <c r="F762" s="15" t="s">
        <v>286</v>
      </c>
      <c r="G762" s="15" t="s">
        <v>302</v>
      </c>
    </row>
    <row r="763" customFormat="false" ht="15" hidden="false" customHeight="false" outlineLevel="0" collapsed="false">
      <c r="A763" s="0" t="s">
        <v>1071</v>
      </c>
      <c r="B763" s="0" t="s">
        <v>201</v>
      </c>
      <c r="C763" s="14" t="n">
        <v>45724</v>
      </c>
      <c r="D763" s="0" t="n">
        <v>1751.47</v>
      </c>
      <c r="E763" s="15" t="s">
        <v>77</v>
      </c>
      <c r="F763" s="15" t="s">
        <v>308</v>
      </c>
      <c r="G763" s="15" t="s">
        <v>292</v>
      </c>
    </row>
    <row r="764" customFormat="false" ht="15" hidden="false" customHeight="false" outlineLevel="0" collapsed="false">
      <c r="A764" s="0" t="s">
        <v>1072</v>
      </c>
      <c r="B764" s="0" t="s">
        <v>122</v>
      </c>
      <c r="C764" s="14" t="n">
        <v>45850</v>
      </c>
      <c r="D764" s="0" t="n">
        <v>17936.73</v>
      </c>
      <c r="E764" s="15" t="s">
        <v>86</v>
      </c>
      <c r="F764" s="15" t="s">
        <v>346</v>
      </c>
      <c r="G764" s="15" t="s">
        <v>292</v>
      </c>
    </row>
    <row r="765" customFormat="false" ht="15" hidden="false" customHeight="false" outlineLevel="0" collapsed="false">
      <c r="A765" s="0" t="s">
        <v>1073</v>
      </c>
      <c r="B765" s="0" t="s">
        <v>198</v>
      </c>
      <c r="C765" s="14" t="n">
        <v>46020</v>
      </c>
      <c r="D765" s="0" t="n">
        <v>7872.8</v>
      </c>
      <c r="E765" s="15" t="s">
        <v>86</v>
      </c>
      <c r="F765" s="15" t="s">
        <v>308</v>
      </c>
      <c r="G765" s="15" t="s">
        <v>313</v>
      </c>
    </row>
    <row r="766" customFormat="false" ht="15" hidden="false" customHeight="false" outlineLevel="0" collapsed="false">
      <c r="A766" s="0" t="s">
        <v>1074</v>
      </c>
      <c r="B766" s="0" t="s">
        <v>167</v>
      </c>
      <c r="C766" s="14" t="n">
        <v>46066</v>
      </c>
      <c r="D766" s="0" t="n">
        <v>886.11</v>
      </c>
      <c r="E766" s="15" t="s">
        <v>72</v>
      </c>
      <c r="F766" s="15" t="s">
        <v>351</v>
      </c>
      <c r="G766" s="15" t="s">
        <v>282</v>
      </c>
    </row>
    <row r="767" customFormat="false" ht="15" hidden="false" customHeight="false" outlineLevel="0" collapsed="false">
      <c r="A767" s="0" t="s">
        <v>1075</v>
      </c>
      <c r="B767" s="0" t="s">
        <v>109</v>
      </c>
      <c r="C767" s="14" t="n">
        <v>46131</v>
      </c>
      <c r="D767" s="0" t="n">
        <v>944.22</v>
      </c>
      <c r="E767" s="15" t="s">
        <v>101</v>
      </c>
      <c r="F767" s="15" t="s">
        <v>306</v>
      </c>
      <c r="G767" s="15" t="s">
        <v>313</v>
      </c>
    </row>
    <row r="768" customFormat="false" ht="15" hidden="false" customHeight="false" outlineLevel="0" collapsed="false">
      <c r="A768" s="0" t="s">
        <v>1076</v>
      </c>
      <c r="B768" s="0" t="s">
        <v>146</v>
      </c>
      <c r="C768" s="14" t="n">
        <v>46050</v>
      </c>
      <c r="D768" s="0" t="n">
        <v>270.06</v>
      </c>
      <c r="E768" s="15" t="s">
        <v>114</v>
      </c>
      <c r="F768" s="15" t="s">
        <v>308</v>
      </c>
      <c r="G768" s="15" t="s">
        <v>282</v>
      </c>
    </row>
    <row r="769" customFormat="false" ht="15" hidden="false" customHeight="false" outlineLevel="0" collapsed="false">
      <c r="A769" s="0" t="s">
        <v>1077</v>
      </c>
      <c r="B769" s="0" t="s">
        <v>155</v>
      </c>
      <c r="C769" s="14" t="n">
        <v>46185</v>
      </c>
      <c r="D769" s="0" t="n">
        <v>6371.15</v>
      </c>
      <c r="E769" s="15" t="s">
        <v>106</v>
      </c>
      <c r="F769" s="15" t="s">
        <v>289</v>
      </c>
      <c r="G769" s="15" t="s">
        <v>321</v>
      </c>
    </row>
    <row r="770" customFormat="false" ht="15" hidden="false" customHeight="false" outlineLevel="0" collapsed="false">
      <c r="A770" s="0" t="s">
        <v>1078</v>
      </c>
      <c r="B770" s="0" t="s">
        <v>164</v>
      </c>
      <c r="C770" s="14" t="n">
        <v>45985</v>
      </c>
      <c r="D770" s="0" t="n">
        <v>2179.28</v>
      </c>
      <c r="E770" s="15" t="s">
        <v>77</v>
      </c>
      <c r="F770" s="15" t="s">
        <v>304</v>
      </c>
      <c r="G770" s="15" t="s">
        <v>313</v>
      </c>
    </row>
    <row r="771" customFormat="false" ht="15" hidden="false" customHeight="false" outlineLevel="0" collapsed="false">
      <c r="A771" s="0" t="s">
        <v>1079</v>
      </c>
      <c r="B771" s="0" t="s">
        <v>177</v>
      </c>
      <c r="C771" s="14" t="n">
        <v>45849</v>
      </c>
      <c r="D771" s="0" t="n">
        <v>4559.19</v>
      </c>
      <c r="E771" s="15" t="s">
        <v>77</v>
      </c>
      <c r="F771" s="15" t="s">
        <v>351</v>
      </c>
      <c r="G771" s="15" t="s">
        <v>290</v>
      </c>
    </row>
    <row r="772" customFormat="false" ht="15" hidden="false" customHeight="false" outlineLevel="0" collapsed="false">
      <c r="A772" s="0" t="s">
        <v>1080</v>
      </c>
      <c r="B772" s="0" t="s">
        <v>192</v>
      </c>
      <c r="C772" s="14" t="n">
        <v>45972</v>
      </c>
      <c r="D772" s="0" t="n">
        <v>1738.1</v>
      </c>
      <c r="E772" s="15" t="s">
        <v>91</v>
      </c>
      <c r="F772" s="15" t="s">
        <v>330</v>
      </c>
      <c r="G772" s="15" t="s">
        <v>292</v>
      </c>
    </row>
    <row r="773" customFormat="false" ht="15" hidden="false" customHeight="false" outlineLevel="0" collapsed="false">
      <c r="A773" s="0" t="s">
        <v>1081</v>
      </c>
      <c r="B773" s="0" t="s">
        <v>109</v>
      </c>
      <c r="C773" s="14" t="n">
        <v>45773</v>
      </c>
      <c r="D773" s="0" t="n">
        <v>8655.91</v>
      </c>
      <c r="E773" s="15" t="s">
        <v>101</v>
      </c>
      <c r="F773" s="15" t="s">
        <v>317</v>
      </c>
      <c r="G773" s="15" t="s">
        <v>290</v>
      </c>
    </row>
    <row r="774" customFormat="false" ht="15" hidden="false" customHeight="false" outlineLevel="0" collapsed="false">
      <c r="A774" s="0" t="s">
        <v>1082</v>
      </c>
      <c r="B774" s="0" t="s">
        <v>164</v>
      </c>
      <c r="C774" s="14" t="n">
        <v>46015</v>
      </c>
      <c r="D774" s="0" t="n">
        <v>3002.81</v>
      </c>
      <c r="E774" s="15" t="s">
        <v>77</v>
      </c>
      <c r="F774" s="15" t="s">
        <v>294</v>
      </c>
      <c r="G774" s="15" t="s">
        <v>282</v>
      </c>
    </row>
    <row r="775" customFormat="false" ht="15" hidden="false" customHeight="false" outlineLevel="0" collapsed="false">
      <c r="A775" s="0" t="s">
        <v>1083</v>
      </c>
      <c r="B775" s="0" t="s">
        <v>195</v>
      </c>
      <c r="C775" s="14" t="n">
        <v>45780</v>
      </c>
      <c r="D775" s="0" t="n">
        <v>2069.86</v>
      </c>
      <c r="E775" s="15" t="s">
        <v>114</v>
      </c>
      <c r="F775" s="15" t="s">
        <v>346</v>
      </c>
      <c r="G775" s="15" t="s">
        <v>292</v>
      </c>
    </row>
    <row r="776" customFormat="false" ht="15" hidden="false" customHeight="false" outlineLevel="0" collapsed="false">
      <c r="A776" s="0" t="s">
        <v>1084</v>
      </c>
      <c r="B776" s="0" t="s">
        <v>137</v>
      </c>
      <c r="C776" s="14" t="n">
        <v>45716</v>
      </c>
      <c r="D776" s="0" t="n">
        <v>1217.09</v>
      </c>
      <c r="E776" s="15" t="s">
        <v>106</v>
      </c>
      <c r="F776" s="15" t="s">
        <v>284</v>
      </c>
      <c r="G776" s="15" t="s">
        <v>287</v>
      </c>
    </row>
    <row r="777" customFormat="false" ht="15" hidden="false" customHeight="false" outlineLevel="0" collapsed="false">
      <c r="A777" s="0" t="s">
        <v>1085</v>
      </c>
      <c r="B777" s="0" t="s">
        <v>104</v>
      </c>
      <c r="C777" s="14" t="n">
        <v>46118</v>
      </c>
      <c r="D777" s="0" t="n">
        <v>680.64</v>
      </c>
      <c r="E777" s="15" t="s">
        <v>106</v>
      </c>
      <c r="F777" s="15" t="s">
        <v>289</v>
      </c>
      <c r="G777" s="15" t="s">
        <v>282</v>
      </c>
    </row>
    <row r="778" customFormat="false" ht="15" hidden="false" customHeight="false" outlineLevel="0" collapsed="false">
      <c r="A778" s="0" t="s">
        <v>1086</v>
      </c>
      <c r="B778" s="0" t="s">
        <v>186</v>
      </c>
      <c r="C778" s="14" t="n">
        <v>45858</v>
      </c>
      <c r="D778" s="0" t="n">
        <v>1467.37</v>
      </c>
      <c r="E778" s="15" t="s">
        <v>86</v>
      </c>
      <c r="F778" s="15" t="s">
        <v>381</v>
      </c>
      <c r="G778" s="15" t="s">
        <v>282</v>
      </c>
    </row>
    <row r="779" customFormat="false" ht="15" hidden="false" customHeight="false" outlineLevel="0" collapsed="false">
      <c r="A779" s="0" t="s">
        <v>1087</v>
      </c>
      <c r="B779" s="0" t="s">
        <v>112</v>
      </c>
      <c r="C779" s="14" t="n">
        <v>46073</v>
      </c>
      <c r="D779" s="0" t="n">
        <v>816.48</v>
      </c>
      <c r="E779" s="15" t="s">
        <v>114</v>
      </c>
      <c r="F779" s="15" t="s">
        <v>327</v>
      </c>
      <c r="G779" s="15" t="s">
        <v>302</v>
      </c>
    </row>
    <row r="780" customFormat="false" ht="15" hidden="false" customHeight="false" outlineLevel="0" collapsed="false">
      <c r="A780" s="0" t="s">
        <v>1088</v>
      </c>
      <c r="B780" s="0" t="s">
        <v>75</v>
      </c>
      <c r="C780" s="14" t="n">
        <v>45970</v>
      </c>
      <c r="D780" s="0" t="n">
        <v>1016.58</v>
      </c>
      <c r="E780" s="15" t="s">
        <v>77</v>
      </c>
      <c r="F780" s="15" t="s">
        <v>351</v>
      </c>
      <c r="G780" s="15" t="s">
        <v>290</v>
      </c>
    </row>
    <row r="781" customFormat="false" ht="15" hidden="false" customHeight="false" outlineLevel="0" collapsed="false">
      <c r="A781" s="0" t="s">
        <v>1089</v>
      </c>
      <c r="B781" s="0" t="s">
        <v>186</v>
      </c>
      <c r="C781" s="14" t="n">
        <v>46097</v>
      </c>
      <c r="D781" s="0" t="n">
        <v>7498.53</v>
      </c>
      <c r="E781" s="15" t="s">
        <v>86</v>
      </c>
      <c r="F781" s="15" t="s">
        <v>281</v>
      </c>
      <c r="G781" s="15" t="s">
        <v>282</v>
      </c>
    </row>
    <row r="782" customFormat="false" ht="15" hidden="false" customHeight="false" outlineLevel="0" collapsed="false">
      <c r="A782" s="0" t="s">
        <v>1090</v>
      </c>
      <c r="B782" s="0" t="s">
        <v>198</v>
      </c>
      <c r="C782" s="14" t="n">
        <v>46118</v>
      </c>
      <c r="D782" s="0" t="n">
        <v>348.88</v>
      </c>
      <c r="E782" s="15" t="s">
        <v>86</v>
      </c>
      <c r="F782" s="15" t="s">
        <v>334</v>
      </c>
      <c r="G782" s="15" t="s">
        <v>313</v>
      </c>
    </row>
    <row r="783" customFormat="false" ht="15" hidden="false" customHeight="false" outlineLevel="0" collapsed="false">
      <c r="A783" s="0" t="s">
        <v>1091</v>
      </c>
      <c r="B783" s="0" t="s">
        <v>183</v>
      </c>
      <c r="C783" s="14" t="n">
        <v>46189</v>
      </c>
      <c r="D783" s="0" t="n">
        <v>200.9</v>
      </c>
      <c r="E783" s="15" t="s">
        <v>86</v>
      </c>
      <c r="F783" s="15" t="s">
        <v>346</v>
      </c>
      <c r="G783" s="15" t="s">
        <v>321</v>
      </c>
    </row>
    <row r="784" customFormat="false" ht="15" hidden="false" customHeight="false" outlineLevel="0" collapsed="false">
      <c r="A784" s="0" t="s">
        <v>1092</v>
      </c>
      <c r="B784" s="0" t="s">
        <v>84</v>
      </c>
      <c r="C784" s="14" t="n">
        <v>46104</v>
      </c>
      <c r="D784" s="0" t="n">
        <v>1497.3</v>
      </c>
      <c r="E784" s="15" t="s">
        <v>86</v>
      </c>
      <c r="F784" s="15" t="s">
        <v>300</v>
      </c>
      <c r="G784" s="15" t="s">
        <v>302</v>
      </c>
    </row>
    <row r="785" customFormat="false" ht="15" hidden="false" customHeight="false" outlineLevel="0" collapsed="false">
      <c r="A785" s="0" t="s">
        <v>1093</v>
      </c>
      <c r="B785" s="0" t="s">
        <v>84</v>
      </c>
      <c r="C785" s="14" t="n">
        <v>45992</v>
      </c>
      <c r="D785" s="0" t="n">
        <v>2626.17</v>
      </c>
      <c r="E785" s="15" t="s">
        <v>86</v>
      </c>
      <c r="F785" s="15" t="s">
        <v>294</v>
      </c>
      <c r="G785" s="15" t="s">
        <v>302</v>
      </c>
    </row>
    <row r="786" customFormat="false" ht="15" hidden="false" customHeight="false" outlineLevel="0" collapsed="false">
      <c r="A786" s="0" t="s">
        <v>1094</v>
      </c>
      <c r="B786" s="0" t="s">
        <v>119</v>
      </c>
      <c r="C786" s="14" t="n">
        <v>46008</v>
      </c>
      <c r="D786" s="0" t="n">
        <v>2091.54</v>
      </c>
      <c r="E786" s="15" t="s">
        <v>86</v>
      </c>
      <c r="F786" s="15" t="s">
        <v>286</v>
      </c>
      <c r="G786" s="15" t="s">
        <v>313</v>
      </c>
    </row>
    <row r="787" customFormat="false" ht="15" hidden="false" customHeight="false" outlineLevel="0" collapsed="false">
      <c r="A787" s="0" t="s">
        <v>1095</v>
      </c>
      <c r="B787" s="0" t="s">
        <v>171</v>
      </c>
      <c r="C787" s="14" t="n">
        <v>45672</v>
      </c>
      <c r="D787" s="0" t="n">
        <v>994.15</v>
      </c>
      <c r="E787" s="15" t="s">
        <v>106</v>
      </c>
      <c r="F787" s="15" t="s">
        <v>289</v>
      </c>
      <c r="G787" s="15" t="s">
        <v>282</v>
      </c>
    </row>
    <row r="788" customFormat="false" ht="15" hidden="false" customHeight="false" outlineLevel="0" collapsed="false">
      <c r="A788" s="0" t="s">
        <v>1096</v>
      </c>
      <c r="B788" s="0" t="s">
        <v>128</v>
      </c>
      <c r="C788" s="14" t="n">
        <v>46164</v>
      </c>
      <c r="D788" s="0" t="n">
        <v>2802.36</v>
      </c>
      <c r="E788" s="15" t="s">
        <v>101</v>
      </c>
      <c r="F788" s="15" t="s">
        <v>286</v>
      </c>
      <c r="G788" s="15" t="s">
        <v>321</v>
      </c>
    </row>
    <row r="789" customFormat="false" ht="15" hidden="false" customHeight="false" outlineLevel="0" collapsed="false">
      <c r="A789" s="0" t="s">
        <v>1097</v>
      </c>
      <c r="B789" s="0" t="s">
        <v>174</v>
      </c>
      <c r="C789" s="14" t="n">
        <v>46110</v>
      </c>
      <c r="D789" s="0" t="n">
        <v>851.07</v>
      </c>
      <c r="E789" s="15" t="s">
        <v>91</v>
      </c>
      <c r="F789" s="15" t="s">
        <v>327</v>
      </c>
      <c r="G789" s="15" t="s">
        <v>321</v>
      </c>
    </row>
    <row r="790" customFormat="false" ht="15" hidden="false" customHeight="false" outlineLevel="0" collapsed="false">
      <c r="A790" s="0" t="s">
        <v>1098</v>
      </c>
      <c r="B790" s="0" t="s">
        <v>192</v>
      </c>
      <c r="C790" s="14" t="n">
        <v>45803</v>
      </c>
      <c r="D790" s="0" t="n">
        <v>14407.31</v>
      </c>
      <c r="E790" s="15" t="s">
        <v>91</v>
      </c>
      <c r="F790" s="15" t="s">
        <v>300</v>
      </c>
      <c r="G790" s="15" t="s">
        <v>302</v>
      </c>
    </row>
    <row r="791" customFormat="false" ht="15" hidden="false" customHeight="false" outlineLevel="0" collapsed="false">
      <c r="A791" s="0" t="s">
        <v>1099</v>
      </c>
      <c r="B791" s="0" t="s">
        <v>198</v>
      </c>
      <c r="C791" s="14" t="n">
        <v>45756</v>
      </c>
      <c r="D791" s="0" t="n">
        <v>562.05</v>
      </c>
      <c r="E791" s="15" t="s">
        <v>86</v>
      </c>
      <c r="F791" s="15" t="s">
        <v>294</v>
      </c>
      <c r="G791" s="15" t="s">
        <v>290</v>
      </c>
    </row>
    <row r="792" customFormat="false" ht="15" hidden="false" customHeight="false" outlineLevel="0" collapsed="false">
      <c r="A792" s="0" t="s">
        <v>1100</v>
      </c>
      <c r="B792" s="0" t="s">
        <v>189</v>
      </c>
      <c r="C792" s="14" t="n">
        <v>46040</v>
      </c>
      <c r="D792" s="0" t="n">
        <v>4017.91</v>
      </c>
      <c r="E792" s="15" t="s">
        <v>72</v>
      </c>
      <c r="F792" s="15" t="s">
        <v>289</v>
      </c>
      <c r="G792" s="15" t="s">
        <v>279</v>
      </c>
    </row>
    <row r="793" customFormat="false" ht="15" hidden="false" customHeight="false" outlineLevel="0" collapsed="false">
      <c r="A793" s="0" t="s">
        <v>1101</v>
      </c>
      <c r="B793" s="0" t="s">
        <v>174</v>
      </c>
      <c r="C793" s="14" t="n">
        <v>45826</v>
      </c>
      <c r="D793" s="0" t="n">
        <v>9338.22</v>
      </c>
      <c r="E793" s="15" t="s">
        <v>91</v>
      </c>
      <c r="F793" s="15" t="s">
        <v>360</v>
      </c>
      <c r="G793" s="15" t="s">
        <v>282</v>
      </c>
    </row>
    <row r="794" customFormat="false" ht="15" hidden="false" customHeight="false" outlineLevel="0" collapsed="false">
      <c r="A794" s="0" t="s">
        <v>1102</v>
      </c>
      <c r="B794" s="0" t="s">
        <v>164</v>
      </c>
      <c r="C794" s="14" t="n">
        <v>45843</v>
      </c>
      <c r="D794" s="0" t="n">
        <v>474.6</v>
      </c>
      <c r="E794" s="15" t="s">
        <v>77</v>
      </c>
      <c r="F794" s="15" t="s">
        <v>342</v>
      </c>
      <c r="G794" s="15" t="s">
        <v>302</v>
      </c>
    </row>
    <row r="795" customFormat="false" ht="15" hidden="false" customHeight="false" outlineLevel="0" collapsed="false">
      <c r="A795" s="0" t="s">
        <v>1103</v>
      </c>
      <c r="B795" s="0" t="s">
        <v>149</v>
      </c>
      <c r="C795" s="14" t="n">
        <v>45661</v>
      </c>
      <c r="D795" s="0" t="n">
        <v>857.39</v>
      </c>
      <c r="E795" s="15" t="s">
        <v>72</v>
      </c>
      <c r="F795" s="15" t="s">
        <v>281</v>
      </c>
      <c r="G795" s="15" t="s">
        <v>290</v>
      </c>
    </row>
    <row r="796" customFormat="false" ht="15" hidden="false" customHeight="false" outlineLevel="0" collapsed="false">
      <c r="A796" s="0" t="s">
        <v>1104</v>
      </c>
      <c r="B796" s="0" t="s">
        <v>80</v>
      </c>
      <c r="C796" s="14" t="n">
        <v>46132</v>
      </c>
      <c r="D796" s="0" t="n">
        <v>8319.43</v>
      </c>
      <c r="E796" s="15" t="s">
        <v>72</v>
      </c>
      <c r="F796" s="15" t="s">
        <v>342</v>
      </c>
      <c r="G796" s="15" t="s">
        <v>282</v>
      </c>
    </row>
    <row r="797" customFormat="false" ht="15" hidden="false" customHeight="false" outlineLevel="0" collapsed="false">
      <c r="A797" s="0" t="s">
        <v>1105</v>
      </c>
      <c r="B797" s="0" t="s">
        <v>171</v>
      </c>
      <c r="C797" s="14" t="n">
        <v>45966</v>
      </c>
      <c r="D797" s="0" t="n">
        <v>259.66</v>
      </c>
      <c r="E797" s="15" t="s">
        <v>106</v>
      </c>
      <c r="F797" s="15" t="s">
        <v>286</v>
      </c>
      <c r="G797" s="15" t="s">
        <v>321</v>
      </c>
    </row>
    <row r="798" customFormat="false" ht="15" hidden="false" customHeight="false" outlineLevel="0" collapsed="false">
      <c r="A798" s="0" t="s">
        <v>1106</v>
      </c>
      <c r="B798" s="0" t="s">
        <v>155</v>
      </c>
      <c r="C798" s="14" t="n">
        <v>45876</v>
      </c>
      <c r="D798" s="0" t="n">
        <v>1164.71</v>
      </c>
      <c r="E798" s="15" t="s">
        <v>106</v>
      </c>
      <c r="F798" s="15" t="s">
        <v>317</v>
      </c>
      <c r="G798" s="15" t="s">
        <v>287</v>
      </c>
    </row>
    <row r="799" customFormat="false" ht="15" hidden="false" customHeight="false" outlineLevel="0" collapsed="false">
      <c r="A799" s="0" t="s">
        <v>1107</v>
      </c>
      <c r="B799" s="0" t="s">
        <v>75</v>
      </c>
      <c r="C799" s="14" t="n">
        <v>45735</v>
      </c>
      <c r="D799" s="0" t="n">
        <v>820.16</v>
      </c>
      <c r="E799" s="15" t="s">
        <v>77</v>
      </c>
      <c r="F799" s="15" t="s">
        <v>278</v>
      </c>
      <c r="G799" s="15" t="s">
        <v>287</v>
      </c>
    </row>
    <row r="800" customFormat="false" ht="15" hidden="false" customHeight="false" outlineLevel="0" collapsed="false">
      <c r="A800" s="0" t="s">
        <v>1108</v>
      </c>
      <c r="B800" s="0" t="s">
        <v>171</v>
      </c>
      <c r="C800" s="14" t="n">
        <v>46003</v>
      </c>
      <c r="D800" s="0" t="n">
        <v>309.11</v>
      </c>
      <c r="E800" s="15" t="s">
        <v>106</v>
      </c>
      <c r="F800" s="15" t="s">
        <v>306</v>
      </c>
      <c r="G800" s="15" t="s">
        <v>292</v>
      </c>
    </row>
    <row r="801" customFormat="false" ht="15" hidden="false" customHeight="false" outlineLevel="0" collapsed="false">
      <c r="A801" s="0" t="s">
        <v>1109</v>
      </c>
      <c r="B801" s="0" t="s">
        <v>152</v>
      </c>
      <c r="C801" s="14" t="n">
        <v>45674</v>
      </c>
      <c r="D801" s="0" t="n">
        <v>1722.25</v>
      </c>
      <c r="E801" s="15" t="s">
        <v>101</v>
      </c>
      <c r="F801" s="15" t="s">
        <v>346</v>
      </c>
      <c r="G801" s="15" t="s">
        <v>282</v>
      </c>
    </row>
    <row r="802" customFormat="false" ht="15" hidden="false" customHeight="false" outlineLevel="0" collapsed="false">
      <c r="A802" s="0" t="s">
        <v>1110</v>
      </c>
      <c r="B802" s="0" t="s">
        <v>84</v>
      </c>
      <c r="C802" s="14" t="n">
        <v>46064</v>
      </c>
      <c r="D802" s="0" t="n">
        <v>1834.48</v>
      </c>
      <c r="E802" s="15" t="s">
        <v>86</v>
      </c>
      <c r="F802" s="15" t="s">
        <v>346</v>
      </c>
      <c r="G802" s="15" t="s">
        <v>287</v>
      </c>
    </row>
    <row r="803" customFormat="false" ht="15" hidden="false" customHeight="false" outlineLevel="0" collapsed="false">
      <c r="A803" s="0" t="s">
        <v>1111</v>
      </c>
      <c r="B803" s="0" t="s">
        <v>155</v>
      </c>
      <c r="C803" s="14" t="n">
        <v>45775</v>
      </c>
      <c r="D803" s="0" t="n">
        <v>2011.1</v>
      </c>
      <c r="E803" s="15" t="s">
        <v>106</v>
      </c>
      <c r="F803" s="15" t="s">
        <v>334</v>
      </c>
      <c r="G803" s="15" t="s">
        <v>313</v>
      </c>
    </row>
    <row r="804" customFormat="false" ht="15" hidden="false" customHeight="false" outlineLevel="0" collapsed="false">
      <c r="A804" s="0" t="s">
        <v>1112</v>
      </c>
      <c r="B804" s="0" t="s">
        <v>84</v>
      </c>
      <c r="C804" s="14" t="n">
        <v>45886</v>
      </c>
      <c r="D804" s="0" t="n">
        <v>1373.43</v>
      </c>
      <c r="E804" s="15" t="s">
        <v>86</v>
      </c>
      <c r="F804" s="15" t="s">
        <v>327</v>
      </c>
      <c r="G804" s="15" t="s">
        <v>279</v>
      </c>
    </row>
    <row r="805" customFormat="false" ht="15" hidden="false" customHeight="false" outlineLevel="0" collapsed="false">
      <c r="A805" s="0" t="s">
        <v>1113</v>
      </c>
      <c r="B805" s="0" t="s">
        <v>192</v>
      </c>
      <c r="C805" s="14" t="n">
        <v>45843</v>
      </c>
      <c r="D805" s="0" t="n">
        <v>2804.48</v>
      </c>
      <c r="E805" s="15" t="s">
        <v>91</v>
      </c>
      <c r="F805" s="15" t="s">
        <v>360</v>
      </c>
      <c r="G805" s="15" t="s">
        <v>282</v>
      </c>
    </row>
    <row r="806" customFormat="false" ht="15" hidden="false" customHeight="false" outlineLevel="0" collapsed="false">
      <c r="A806" s="0" t="s">
        <v>1114</v>
      </c>
      <c r="B806" s="0" t="s">
        <v>189</v>
      </c>
      <c r="C806" s="14" t="n">
        <v>45859</v>
      </c>
      <c r="D806" s="0" t="n">
        <v>241.56</v>
      </c>
      <c r="E806" s="15" t="s">
        <v>72</v>
      </c>
      <c r="F806" s="15" t="s">
        <v>306</v>
      </c>
      <c r="G806" s="15" t="s">
        <v>287</v>
      </c>
    </row>
    <row r="807" customFormat="false" ht="15" hidden="false" customHeight="false" outlineLevel="0" collapsed="false">
      <c r="A807" s="0" t="s">
        <v>1115</v>
      </c>
      <c r="B807" s="0" t="s">
        <v>152</v>
      </c>
      <c r="C807" s="14" t="n">
        <v>46051</v>
      </c>
      <c r="D807" s="0" t="n">
        <v>2328.97</v>
      </c>
      <c r="E807" s="15" t="s">
        <v>101</v>
      </c>
      <c r="F807" s="15" t="s">
        <v>317</v>
      </c>
      <c r="G807" s="15" t="s">
        <v>321</v>
      </c>
    </row>
    <row r="808" customFormat="false" ht="15" hidden="false" customHeight="false" outlineLevel="0" collapsed="false">
      <c r="A808" s="0" t="s">
        <v>1116</v>
      </c>
      <c r="B808" s="0" t="s">
        <v>171</v>
      </c>
      <c r="C808" s="14" t="n">
        <v>46081</v>
      </c>
      <c r="D808" s="0" t="n">
        <v>830.55</v>
      </c>
      <c r="E808" s="15" t="s">
        <v>106</v>
      </c>
      <c r="F808" s="15" t="s">
        <v>298</v>
      </c>
      <c r="G808" s="15" t="s">
        <v>321</v>
      </c>
    </row>
    <row r="809" customFormat="false" ht="15" hidden="false" customHeight="false" outlineLevel="0" collapsed="false">
      <c r="A809" s="0" t="s">
        <v>1117</v>
      </c>
      <c r="B809" s="0" t="s">
        <v>167</v>
      </c>
      <c r="C809" s="14" t="n">
        <v>45967</v>
      </c>
      <c r="D809" s="0" t="n">
        <v>1962.84</v>
      </c>
      <c r="E809" s="15" t="s">
        <v>72</v>
      </c>
      <c r="F809" s="15" t="s">
        <v>308</v>
      </c>
      <c r="G809" s="15" t="s">
        <v>279</v>
      </c>
    </row>
    <row r="810" customFormat="false" ht="15" hidden="false" customHeight="false" outlineLevel="0" collapsed="false">
      <c r="A810" s="0" t="s">
        <v>1118</v>
      </c>
      <c r="B810" s="0" t="s">
        <v>158</v>
      </c>
      <c r="C810" s="14" t="n">
        <v>45704</v>
      </c>
      <c r="D810" s="0" t="n">
        <v>254.85</v>
      </c>
      <c r="E810" s="15" t="s">
        <v>77</v>
      </c>
      <c r="F810" s="15" t="s">
        <v>289</v>
      </c>
      <c r="G810" s="15" t="s">
        <v>313</v>
      </c>
    </row>
    <row r="811" customFormat="false" ht="15" hidden="false" customHeight="false" outlineLevel="0" collapsed="false">
      <c r="A811" s="0" t="s">
        <v>1119</v>
      </c>
      <c r="B811" s="0" t="s">
        <v>195</v>
      </c>
      <c r="C811" s="14" t="n">
        <v>45686</v>
      </c>
      <c r="D811" s="0" t="n">
        <v>2755.05</v>
      </c>
      <c r="E811" s="15" t="s">
        <v>114</v>
      </c>
      <c r="F811" s="15" t="s">
        <v>289</v>
      </c>
      <c r="G811" s="15" t="s">
        <v>292</v>
      </c>
    </row>
    <row r="812" customFormat="false" ht="15" hidden="false" customHeight="false" outlineLevel="0" collapsed="false">
      <c r="A812" s="0" t="s">
        <v>1120</v>
      </c>
      <c r="B812" s="0" t="s">
        <v>149</v>
      </c>
      <c r="C812" s="14" t="n">
        <v>45743</v>
      </c>
      <c r="D812" s="0" t="n">
        <v>6224.71</v>
      </c>
      <c r="E812" s="15" t="s">
        <v>72</v>
      </c>
      <c r="F812" s="15" t="s">
        <v>284</v>
      </c>
      <c r="G812" s="15" t="s">
        <v>279</v>
      </c>
    </row>
    <row r="813" customFormat="false" ht="15" hidden="false" customHeight="false" outlineLevel="0" collapsed="false">
      <c r="A813" s="0" t="s">
        <v>1121</v>
      </c>
      <c r="B813" s="0" t="s">
        <v>180</v>
      </c>
      <c r="C813" s="14" t="n">
        <v>45994</v>
      </c>
      <c r="D813" s="0" t="n">
        <v>505.83</v>
      </c>
      <c r="E813" s="15" t="s">
        <v>86</v>
      </c>
      <c r="F813" s="15" t="s">
        <v>306</v>
      </c>
      <c r="G813" s="15" t="s">
        <v>290</v>
      </c>
    </row>
    <row r="814" customFormat="false" ht="15" hidden="false" customHeight="false" outlineLevel="0" collapsed="false">
      <c r="A814" s="0" t="s">
        <v>1122</v>
      </c>
      <c r="B814" s="0" t="s">
        <v>167</v>
      </c>
      <c r="C814" s="14" t="n">
        <v>46025</v>
      </c>
      <c r="D814" s="0" t="n">
        <v>3028.33</v>
      </c>
      <c r="E814" s="15" t="s">
        <v>72</v>
      </c>
      <c r="F814" s="15" t="s">
        <v>344</v>
      </c>
      <c r="G814" s="15" t="s">
        <v>287</v>
      </c>
    </row>
    <row r="815" customFormat="false" ht="15" hidden="false" customHeight="false" outlineLevel="0" collapsed="false">
      <c r="A815" s="0" t="s">
        <v>1123</v>
      </c>
      <c r="B815" s="0" t="s">
        <v>186</v>
      </c>
      <c r="C815" s="14" t="n">
        <v>45806</v>
      </c>
      <c r="D815" s="0" t="n">
        <v>556.23</v>
      </c>
      <c r="E815" s="15" t="s">
        <v>86</v>
      </c>
      <c r="F815" s="15" t="s">
        <v>306</v>
      </c>
      <c r="G815" s="15" t="s">
        <v>279</v>
      </c>
    </row>
    <row r="816" customFormat="false" ht="15" hidden="false" customHeight="false" outlineLevel="0" collapsed="false">
      <c r="A816" s="0" t="s">
        <v>1124</v>
      </c>
      <c r="B816" s="0" t="s">
        <v>143</v>
      </c>
      <c r="C816" s="14" t="n">
        <v>46018</v>
      </c>
      <c r="D816" s="0" t="n">
        <v>12577.38</v>
      </c>
      <c r="E816" s="15" t="s">
        <v>86</v>
      </c>
      <c r="F816" s="15" t="s">
        <v>281</v>
      </c>
      <c r="G816" s="15" t="s">
        <v>282</v>
      </c>
    </row>
    <row r="817" customFormat="false" ht="15" hidden="false" customHeight="false" outlineLevel="0" collapsed="false">
      <c r="A817" s="0" t="s">
        <v>1125</v>
      </c>
      <c r="B817" s="0" t="s">
        <v>189</v>
      </c>
      <c r="C817" s="14" t="n">
        <v>45922</v>
      </c>
      <c r="D817" s="0" t="n">
        <v>5102.06</v>
      </c>
      <c r="E817" s="15" t="s">
        <v>72</v>
      </c>
      <c r="F817" s="15" t="s">
        <v>286</v>
      </c>
      <c r="G817" s="15" t="s">
        <v>287</v>
      </c>
    </row>
    <row r="818" customFormat="false" ht="15" hidden="false" customHeight="false" outlineLevel="0" collapsed="false">
      <c r="A818" s="0" t="s">
        <v>1126</v>
      </c>
      <c r="B818" s="0" t="s">
        <v>174</v>
      </c>
      <c r="C818" s="14" t="n">
        <v>45898</v>
      </c>
      <c r="D818" s="0" t="n">
        <v>854.6</v>
      </c>
      <c r="E818" s="15" t="s">
        <v>91</v>
      </c>
      <c r="F818" s="15" t="s">
        <v>296</v>
      </c>
      <c r="G818" s="15" t="s">
        <v>282</v>
      </c>
    </row>
    <row r="819" customFormat="false" ht="15" hidden="false" customHeight="false" outlineLevel="0" collapsed="false">
      <c r="A819" s="0" t="s">
        <v>1127</v>
      </c>
      <c r="B819" s="0" t="s">
        <v>201</v>
      </c>
      <c r="C819" s="14" t="n">
        <v>45806</v>
      </c>
      <c r="D819" s="0" t="n">
        <v>1844.19</v>
      </c>
      <c r="E819" s="15" t="s">
        <v>77</v>
      </c>
      <c r="F819" s="15" t="s">
        <v>351</v>
      </c>
      <c r="G819" s="15" t="s">
        <v>282</v>
      </c>
    </row>
    <row r="820" customFormat="false" ht="15" hidden="false" customHeight="false" outlineLevel="0" collapsed="false">
      <c r="A820" s="0" t="s">
        <v>1128</v>
      </c>
      <c r="B820" s="0" t="s">
        <v>128</v>
      </c>
      <c r="C820" s="14" t="n">
        <v>46069</v>
      </c>
      <c r="D820" s="0" t="n">
        <v>2123.23</v>
      </c>
      <c r="E820" s="15" t="s">
        <v>101</v>
      </c>
      <c r="F820" s="15" t="s">
        <v>330</v>
      </c>
      <c r="G820" s="15" t="s">
        <v>290</v>
      </c>
    </row>
    <row r="821" customFormat="false" ht="15" hidden="false" customHeight="false" outlineLevel="0" collapsed="false">
      <c r="A821" s="0" t="s">
        <v>1129</v>
      </c>
      <c r="B821" s="0" t="s">
        <v>131</v>
      </c>
      <c r="C821" s="14" t="n">
        <v>45720</v>
      </c>
      <c r="D821" s="0" t="n">
        <v>424.45</v>
      </c>
      <c r="E821" s="15" t="s">
        <v>101</v>
      </c>
      <c r="F821" s="15" t="s">
        <v>317</v>
      </c>
      <c r="G821" s="15" t="s">
        <v>321</v>
      </c>
    </row>
    <row r="822" customFormat="false" ht="15" hidden="false" customHeight="false" outlineLevel="0" collapsed="false">
      <c r="A822" s="0" t="s">
        <v>1130</v>
      </c>
      <c r="B822" s="0" t="s">
        <v>93</v>
      </c>
      <c r="C822" s="14" t="n">
        <v>45892</v>
      </c>
      <c r="D822" s="0" t="n">
        <v>751.88</v>
      </c>
      <c r="E822" s="15" t="s">
        <v>86</v>
      </c>
      <c r="F822" s="15" t="s">
        <v>327</v>
      </c>
      <c r="G822" s="15" t="s">
        <v>292</v>
      </c>
    </row>
    <row r="823" customFormat="false" ht="15" hidden="false" customHeight="false" outlineLevel="0" collapsed="false">
      <c r="A823" s="0" t="s">
        <v>1131</v>
      </c>
      <c r="B823" s="0" t="s">
        <v>158</v>
      </c>
      <c r="C823" s="14" t="n">
        <v>45812</v>
      </c>
      <c r="D823" s="0" t="n">
        <v>2408.48</v>
      </c>
      <c r="E823" s="15" t="s">
        <v>77</v>
      </c>
      <c r="F823" s="15" t="s">
        <v>334</v>
      </c>
      <c r="G823" s="15" t="s">
        <v>282</v>
      </c>
    </row>
    <row r="824" customFormat="false" ht="15" hidden="false" customHeight="false" outlineLevel="0" collapsed="false">
      <c r="A824" s="0" t="s">
        <v>1132</v>
      </c>
      <c r="B824" s="0" t="s">
        <v>155</v>
      </c>
      <c r="C824" s="14" t="n">
        <v>46027</v>
      </c>
      <c r="D824" s="0" t="n">
        <v>197.82</v>
      </c>
      <c r="E824" s="15" t="s">
        <v>106</v>
      </c>
      <c r="F824" s="15" t="s">
        <v>346</v>
      </c>
      <c r="G824" s="15" t="s">
        <v>282</v>
      </c>
    </row>
    <row r="825" customFormat="false" ht="15" hidden="false" customHeight="false" outlineLevel="0" collapsed="false">
      <c r="A825" s="0" t="s">
        <v>1133</v>
      </c>
      <c r="B825" s="0" t="s">
        <v>122</v>
      </c>
      <c r="C825" s="14" t="n">
        <v>45923</v>
      </c>
      <c r="D825" s="0" t="n">
        <v>5024.64</v>
      </c>
      <c r="E825" s="15" t="s">
        <v>86</v>
      </c>
      <c r="F825" s="15" t="s">
        <v>337</v>
      </c>
      <c r="G825" s="15" t="s">
        <v>302</v>
      </c>
    </row>
    <row r="826" customFormat="false" ht="15" hidden="false" customHeight="false" outlineLevel="0" collapsed="false">
      <c r="A826" s="0" t="s">
        <v>1134</v>
      </c>
      <c r="B826" s="0" t="s">
        <v>183</v>
      </c>
      <c r="C826" s="14" t="n">
        <v>46021</v>
      </c>
      <c r="D826" s="0" t="n">
        <v>4289.12</v>
      </c>
      <c r="E826" s="15" t="s">
        <v>86</v>
      </c>
      <c r="F826" s="15" t="s">
        <v>304</v>
      </c>
      <c r="G826" s="15" t="s">
        <v>279</v>
      </c>
    </row>
    <row r="827" customFormat="false" ht="15" hidden="false" customHeight="false" outlineLevel="0" collapsed="false">
      <c r="A827" s="0" t="s">
        <v>1135</v>
      </c>
      <c r="B827" s="0" t="s">
        <v>75</v>
      </c>
      <c r="C827" s="14" t="n">
        <v>45682</v>
      </c>
      <c r="D827" s="0" t="n">
        <v>264.62</v>
      </c>
      <c r="E827" s="15" t="s">
        <v>77</v>
      </c>
      <c r="F827" s="15" t="s">
        <v>298</v>
      </c>
      <c r="G827" s="15" t="s">
        <v>287</v>
      </c>
    </row>
    <row r="828" customFormat="false" ht="15" hidden="false" customHeight="false" outlineLevel="0" collapsed="false">
      <c r="A828" s="0" t="s">
        <v>1136</v>
      </c>
      <c r="B828" s="0" t="s">
        <v>75</v>
      </c>
      <c r="C828" s="14" t="n">
        <v>45873</v>
      </c>
      <c r="D828" s="0" t="n">
        <v>18783.05</v>
      </c>
      <c r="E828" s="15" t="s">
        <v>77</v>
      </c>
      <c r="F828" s="15" t="s">
        <v>308</v>
      </c>
      <c r="G828" s="15" t="s">
        <v>313</v>
      </c>
    </row>
    <row r="829" customFormat="false" ht="15" hidden="false" customHeight="false" outlineLevel="0" collapsed="false">
      <c r="A829" s="0" t="s">
        <v>1137</v>
      </c>
      <c r="B829" s="0" t="s">
        <v>174</v>
      </c>
      <c r="C829" s="14" t="n">
        <v>45984</v>
      </c>
      <c r="D829" s="0" t="n">
        <v>796.83</v>
      </c>
      <c r="E829" s="15" t="s">
        <v>91</v>
      </c>
      <c r="F829" s="15" t="s">
        <v>300</v>
      </c>
      <c r="G829" s="15" t="s">
        <v>287</v>
      </c>
    </row>
    <row r="830" customFormat="false" ht="15" hidden="false" customHeight="false" outlineLevel="0" collapsed="false">
      <c r="A830" s="0" t="s">
        <v>1138</v>
      </c>
      <c r="B830" s="0" t="s">
        <v>183</v>
      </c>
      <c r="C830" s="14" t="n">
        <v>45662</v>
      </c>
      <c r="D830" s="0" t="n">
        <v>115.93</v>
      </c>
      <c r="E830" s="15" t="s">
        <v>86</v>
      </c>
      <c r="F830" s="15" t="s">
        <v>344</v>
      </c>
      <c r="G830" s="15" t="s">
        <v>290</v>
      </c>
    </row>
    <row r="831" customFormat="false" ht="15" hidden="false" customHeight="false" outlineLevel="0" collapsed="false">
      <c r="A831" s="0" t="s">
        <v>1139</v>
      </c>
      <c r="B831" s="0" t="s">
        <v>198</v>
      </c>
      <c r="C831" s="14" t="n">
        <v>45822</v>
      </c>
      <c r="D831" s="0" t="n">
        <v>2115.29</v>
      </c>
      <c r="E831" s="15" t="s">
        <v>86</v>
      </c>
      <c r="F831" s="15" t="s">
        <v>304</v>
      </c>
      <c r="G831" s="15" t="s">
        <v>313</v>
      </c>
    </row>
    <row r="832" customFormat="false" ht="15" hidden="false" customHeight="false" outlineLevel="0" collapsed="false">
      <c r="A832" s="0" t="s">
        <v>1140</v>
      </c>
      <c r="B832" s="0" t="s">
        <v>192</v>
      </c>
      <c r="C832" s="14" t="n">
        <v>45773</v>
      </c>
      <c r="D832" s="0" t="n">
        <v>1027.6</v>
      </c>
      <c r="E832" s="15" t="s">
        <v>91</v>
      </c>
      <c r="F832" s="15" t="s">
        <v>346</v>
      </c>
      <c r="G832" s="15" t="s">
        <v>287</v>
      </c>
    </row>
    <row r="833" customFormat="false" ht="15" hidden="false" customHeight="false" outlineLevel="0" collapsed="false">
      <c r="A833" s="0" t="s">
        <v>1141</v>
      </c>
      <c r="B833" s="0" t="s">
        <v>80</v>
      </c>
      <c r="C833" s="14" t="n">
        <v>45732</v>
      </c>
      <c r="D833" s="0" t="n">
        <v>1165</v>
      </c>
      <c r="E833" s="15" t="s">
        <v>72</v>
      </c>
      <c r="F833" s="15" t="s">
        <v>312</v>
      </c>
      <c r="G833" s="15" t="s">
        <v>287</v>
      </c>
    </row>
    <row r="834" customFormat="false" ht="15" hidden="false" customHeight="false" outlineLevel="0" collapsed="false">
      <c r="A834" s="0" t="s">
        <v>1142</v>
      </c>
      <c r="B834" s="0" t="s">
        <v>192</v>
      </c>
      <c r="C834" s="14" t="n">
        <v>45797</v>
      </c>
      <c r="D834" s="0" t="n">
        <v>1553.94</v>
      </c>
      <c r="E834" s="15" t="s">
        <v>91</v>
      </c>
      <c r="F834" s="15" t="s">
        <v>337</v>
      </c>
      <c r="G834" s="15" t="s">
        <v>287</v>
      </c>
    </row>
    <row r="835" customFormat="false" ht="15" hidden="false" customHeight="false" outlineLevel="0" collapsed="false">
      <c r="A835" s="0" t="s">
        <v>1143</v>
      </c>
      <c r="B835" s="0" t="s">
        <v>152</v>
      </c>
      <c r="C835" s="14" t="n">
        <v>45836</v>
      </c>
      <c r="D835" s="0" t="n">
        <v>764.25</v>
      </c>
      <c r="E835" s="15" t="s">
        <v>101</v>
      </c>
      <c r="F835" s="15" t="s">
        <v>284</v>
      </c>
      <c r="G835" s="15" t="s">
        <v>321</v>
      </c>
    </row>
    <row r="836" customFormat="false" ht="15" hidden="false" customHeight="false" outlineLevel="0" collapsed="false">
      <c r="A836" s="0" t="s">
        <v>1144</v>
      </c>
      <c r="B836" s="0" t="s">
        <v>146</v>
      </c>
      <c r="C836" s="14" t="n">
        <v>45662</v>
      </c>
      <c r="D836" s="0" t="n">
        <v>8318.12</v>
      </c>
      <c r="E836" s="15" t="s">
        <v>114</v>
      </c>
      <c r="F836" s="15" t="s">
        <v>310</v>
      </c>
      <c r="G836" s="15" t="s">
        <v>310</v>
      </c>
    </row>
    <row r="837" customFormat="false" ht="15" hidden="false" customHeight="false" outlineLevel="0" collapsed="false">
      <c r="A837" s="0" t="s">
        <v>1145</v>
      </c>
      <c r="B837" s="0" t="s">
        <v>161</v>
      </c>
      <c r="C837" s="14" t="n">
        <v>46065</v>
      </c>
      <c r="D837" s="0" t="n">
        <v>2564.63</v>
      </c>
      <c r="E837" s="15" t="s">
        <v>72</v>
      </c>
      <c r="F837" s="15" t="s">
        <v>346</v>
      </c>
      <c r="G837" s="15" t="s">
        <v>290</v>
      </c>
    </row>
    <row r="838" customFormat="false" ht="15" hidden="false" customHeight="false" outlineLevel="0" collapsed="false">
      <c r="A838" s="0" t="s">
        <v>1146</v>
      </c>
      <c r="B838" s="0" t="s">
        <v>189</v>
      </c>
      <c r="C838" s="14" t="n">
        <v>45753</v>
      </c>
      <c r="D838" s="0" t="n">
        <v>5467.62</v>
      </c>
      <c r="E838" s="15" t="s">
        <v>72</v>
      </c>
      <c r="F838" s="15" t="s">
        <v>360</v>
      </c>
      <c r="G838" s="15" t="s">
        <v>279</v>
      </c>
    </row>
    <row r="839" customFormat="false" ht="15" hidden="false" customHeight="false" outlineLevel="0" collapsed="false">
      <c r="A839" s="0" t="s">
        <v>1147</v>
      </c>
      <c r="B839" s="0" t="s">
        <v>104</v>
      </c>
      <c r="C839" s="14" t="n">
        <v>45865</v>
      </c>
      <c r="D839" s="0" t="n">
        <v>4948.03</v>
      </c>
      <c r="E839" s="15" t="s">
        <v>106</v>
      </c>
      <c r="F839" s="15" t="s">
        <v>289</v>
      </c>
      <c r="G839" s="15" t="s">
        <v>313</v>
      </c>
    </row>
    <row r="840" customFormat="false" ht="15" hidden="false" customHeight="false" outlineLevel="0" collapsed="false">
      <c r="A840" s="0" t="s">
        <v>1148</v>
      </c>
      <c r="B840" s="0" t="s">
        <v>167</v>
      </c>
      <c r="C840" s="14" t="n">
        <v>46041</v>
      </c>
      <c r="D840" s="0" t="n">
        <v>1631.21</v>
      </c>
      <c r="E840" s="15" t="s">
        <v>72</v>
      </c>
      <c r="F840" s="15" t="s">
        <v>344</v>
      </c>
      <c r="G840" s="15" t="s">
        <v>287</v>
      </c>
    </row>
    <row r="841" customFormat="false" ht="15" hidden="false" customHeight="false" outlineLevel="0" collapsed="false">
      <c r="A841" s="0" t="s">
        <v>1149</v>
      </c>
      <c r="B841" s="0" t="s">
        <v>201</v>
      </c>
      <c r="C841" s="14" t="n">
        <v>45930</v>
      </c>
      <c r="D841" s="0" t="n">
        <v>819.06</v>
      </c>
      <c r="E841" s="15" t="s">
        <v>77</v>
      </c>
      <c r="F841" s="15" t="s">
        <v>298</v>
      </c>
      <c r="G841" s="15" t="s">
        <v>313</v>
      </c>
    </row>
    <row r="842" customFormat="false" ht="15" hidden="false" customHeight="false" outlineLevel="0" collapsed="false">
      <c r="A842" s="0" t="s">
        <v>1150</v>
      </c>
      <c r="B842" s="0" t="s">
        <v>104</v>
      </c>
      <c r="C842" s="14" t="n">
        <v>46112</v>
      </c>
      <c r="D842" s="0" t="n">
        <v>1380.81</v>
      </c>
      <c r="E842" s="15" t="s">
        <v>106</v>
      </c>
      <c r="F842" s="15" t="s">
        <v>381</v>
      </c>
      <c r="G842" s="15" t="s">
        <v>282</v>
      </c>
    </row>
    <row r="843" customFormat="false" ht="15" hidden="false" customHeight="false" outlineLevel="0" collapsed="false">
      <c r="A843" s="0" t="s">
        <v>1151</v>
      </c>
      <c r="B843" s="0" t="s">
        <v>164</v>
      </c>
      <c r="C843" s="14" t="n">
        <v>46097</v>
      </c>
      <c r="D843" s="0" t="n">
        <v>537.91</v>
      </c>
      <c r="E843" s="15" t="s">
        <v>77</v>
      </c>
      <c r="F843" s="15" t="s">
        <v>304</v>
      </c>
      <c r="G843" s="15" t="s">
        <v>279</v>
      </c>
    </row>
    <row r="844" customFormat="false" ht="15" hidden="false" customHeight="false" outlineLevel="0" collapsed="false">
      <c r="A844" s="0" t="s">
        <v>1152</v>
      </c>
      <c r="B844" s="0" t="s">
        <v>198</v>
      </c>
      <c r="C844" s="14" t="n">
        <v>45697</v>
      </c>
      <c r="D844" s="0" t="n">
        <v>2224.01</v>
      </c>
      <c r="E844" s="15" t="s">
        <v>86</v>
      </c>
      <c r="F844" s="15" t="s">
        <v>344</v>
      </c>
      <c r="G844" s="15" t="s">
        <v>344</v>
      </c>
    </row>
    <row r="845" customFormat="false" ht="15" hidden="false" customHeight="false" outlineLevel="0" collapsed="false">
      <c r="A845" s="0" t="s">
        <v>1153</v>
      </c>
      <c r="B845" s="0" t="s">
        <v>137</v>
      </c>
      <c r="C845" s="14" t="n">
        <v>46127</v>
      </c>
      <c r="D845" s="0" t="n">
        <v>972.49</v>
      </c>
      <c r="E845" s="15" t="s">
        <v>106</v>
      </c>
      <c r="F845" s="15" t="s">
        <v>278</v>
      </c>
      <c r="G845" s="15" t="s">
        <v>279</v>
      </c>
    </row>
    <row r="846" customFormat="false" ht="15" hidden="false" customHeight="false" outlineLevel="0" collapsed="false">
      <c r="A846" s="0" t="s">
        <v>1154</v>
      </c>
      <c r="B846" s="0" t="s">
        <v>116</v>
      </c>
      <c r="C846" s="14" t="n">
        <v>45681</v>
      </c>
      <c r="D846" s="0" t="n">
        <v>5021.94</v>
      </c>
      <c r="E846" s="15" t="s">
        <v>86</v>
      </c>
      <c r="F846" s="15" t="s">
        <v>351</v>
      </c>
      <c r="G846" s="15" t="s">
        <v>290</v>
      </c>
    </row>
    <row r="847" customFormat="false" ht="15" hidden="false" customHeight="false" outlineLevel="0" collapsed="false">
      <c r="A847" s="0" t="s">
        <v>1155</v>
      </c>
      <c r="B847" s="0" t="s">
        <v>96</v>
      </c>
      <c r="C847" s="14" t="n">
        <v>45668</v>
      </c>
      <c r="D847" s="0" t="n">
        <v>5287.19</v>
      </c>
      <c r="E847" s="15" t="s">
        <v>77</v>
      </c>
      <c r="F847" s="15" t="s">
        <v>289</v>
      </c>
      <c r="G847" s="15" t="s">
        <v>313</v>
      </c>
    </row>
    <row r="848" customFormat="false" ht="15" hidden="false" customHeight="false" outlineLevel="0" collapsed="false">
      <c r="A848" s="0" t="s">
        <v>1156</v>
      </c>
      <c r="B848" s="0" t="s">
        <v>140</v>
      </c>
      <c r="C848" s="14" t="n">
        <v>46160</v>
      </c>
      <c r="D848" s="0" t="n">
        <v>7892.6</v>
      </c>
      <c r="E848" s="15" t="s">
        <v>72</v>
      </c>
      <c r="F848" s="15" t="s">
        <v>278</v>
      </c>
      <c r="G848" s="15" t="s">
        <v>287</v>
      </c>
    </row>
    <row r="849" customFormat="false" ht="15" hidden="false" customHeight="false" outlineLevel="0" collapsed="false">
      <c r="A849" s="0" t="s">
        <v>1157</v>
      </c>
      <c r="B849" s="0" t="s">
        <v>167</v>
      </c>
      <c r="C849" s="14" t="n">
        <v>46127</v>
      </c>
      <c r="D849" s="0" t="n">
        <v>5336.94</v>
      </c>
      <c r="E849" s="15" t="s">
        <v>72</v>
      </c>
      <c r="F849" s="15" t="s">
        <v>381</v>
      </c>
      <c r="G849" s="15" t="s">
        <v>287</v>
      </c>
    </row>
    <row r="850" customFormat="false" ht="15" hidden="false" customHeight="false" outlineLevel="0" collapsed="false">
      <c r="A850" s="0" t="s">
        <v>1158</v>
      </c>
      <c r="B850" s="0" t="s">
        <v>180</v>
      </c>
      <c r="C850" s="14" t="n">
        <v>45971</v>
      </c>
      <c r="D850" s="0" t="n">
        <v>2474.64</v>
      </c>
      <c r="E850" s="15" t="s">
        <v>86</v>
      </c>
      <c r="F850" s="15" t="s">
        <v>334</v>
      </c>
      <c r="G850" s="15" t="s">
        <v>321</v>
      </c>
    </row>
    <row r="851" customFormat="false" ht="15" hidden="false" customHeight="false" outlineLevel="0" collapsed="false">
      <c r="A851" s="0" t="s">
        <v>1159</v>
      </c>
      <c r="B851" s="0" t="s">
        <v>122</v>
      </c>
      <c r="C851" s="14" t="n">
        <v>45970</v>
      </c>
      <c r="D851" s="0" t="n">
        <v>4104.49</v>
      </c>
      <c r="E851" s="15" t="s">
        <v>86</v>
      </c>
      <c r="F851" s="15" t="s">
        <v>327</v>
      </c>
      <c r="G851" s="15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7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27.75" hidden="false" customHeight="true" outlineLevel="0" collapsed="false">
      <c r="A1" s="7" t="s">
        <v>1160</v>
      </c>
      <c r="B1" s="7" t="s">
        <v>272</v>
      </c>
      <c r="C1" s="7" t="s">
        <v>1161</v>
      </c>
      <c r="D1" s="7" t="s">
        <v>1162</v>
      </c>
    </row>
    <row r="2" customFormat="false" ht="15" hidden="false" customHeight="false" outlineLevel="0" collapsed="false">
      <c r="A2" s="0" t="s">
        <v>1163</v>
      </c>
      <c r="B2" s="0" t="s">
        <v>796</v>
      </c>
      <c r="C2" s="14" t="n">
        <v>45690</v>
      </c>
      <c r="D2" s="0" t="n">
        <v>542.8</v>
      </c>
    </row>
    <row r="3" customFormat="false" ht="15" hidden="false" customHeight="false" outlineLevel="0" collapsed="false">
      <c r="A3" s="0" t="s">
        <v>1164</v>
      </c>
      <c r="B3" s="0" t="s">
        <v>869</v>
      </c>
      <c r="C3" s="14" t="n">
        <v>45986</v>
      </c>
      <c r="D3" s="0" t="n">
        <v>829.86</v>
      </c>
    </row>
    <row r="4" customFormat="false" ht="15" hidden="false" customHeight="false" outlineLevel="0" collapsed="false">
      <c r="A4" s="0" t="s">
        <v>1165</v>
      </c>
      <c r="B4" s="0" t="s">
        <v>495</v>
      </c>
      <c r="C4" s="14" t="n">
        <v>46079</v>
      </c>
      <c r="D4" s="0" t="n">
        <v>3351.54</v>
      </c>
    </row>
    <row r="5" customFormat="false" ht="15" hidden="false" customHeight="false" outlineLevel="0" collapsed="false">
      <c r="A5" s="0" t="s">
        <v>1166</v>
      </c>
      <c r="B5" s="0" t="s">
        <v>1116</v>
      </c>
      <c r="C5" s="14" t="n">
        <v>46100</v>
      </c>
      <c r="D5" s="0" t="n">
        <v>830.55</v>
      </c>
    </row>
    <row r="6" customFormat="false" ht="15" hidden="false" customHeight="false" outlineLevel="0" collapsed="false">
      <c r="A6" s="0" t="s">
        <v>1167</v>
      </c>
      <c r="B6" s="0" t="s">
        <v>803</v>
      </c>
      <c r="C6" s="14" t="n">
        <v>45912</v>
      </c>
      <c r="D6" s="0" t="n">
        <v>607.61</v>
      </c>
    </row>
    <row r="7" customFormat="false" ht="15" hidden="false" customHeight="false" outlineLevel="0" collapsed="false">
      <c r="A7" s="0" t="s">
        <v>1168</v>
      </c>
      <c r="B7" s="0" t="s">
        <v>608</v>
      </c>
      <c r="C7" s="14" t="n">
        <v>45957</v>
      </c>
      <c r="D7" s="0" t="n">
        <v>8486.94</v>
      </c>
    </row>
    <row r="8" customFormat="false" ht="15" hidden="false" customHeight="false" outlineLevel="0" collapsed="false">
      <c r="A8" s="0" t="s">
        <v>1169</v>
      </c>
      <c r="B8" s="0" t="s">
        <v>1152</v>
      </c>
      <c r="C8" s="14" t="n">
        <v>45703</v>
      </c>
      <c r="D8" s="0" t="n">
        <v>2224.01</v>
      </c>
    </row>
    <row r="9" customFormat="false" ht="15" hidden="false" customHeight="false" outlineLevel="0" collapsed="false">
      <c r="A9" s="0" t="s">
        <v>1170</v>
      </c>
      <c r="B9" s="0" t="s">
        <v>1086</v>
      </c>
      <c r="C9" s="14" t="n">
        <v>45863</v>
      </c>
      <c r="D9" s="0" t="n">
        <v>1467.37</v>
      </c>
    </row>
    <row r="10" customFormat="false" ht="15" hidden="false" customHeight="false" outlineLevel="0" collapsed="false">
      <c r="A10" s="0" t="s">
        <v>1171</v>
      </c>
      <c r="B10" s="0" t="s">
        <v>1062</v>
      </c>
      <c r="C10" s="14" t="n">
        <v>46125</v>
      </c>
      <c r="D10" s="0" t="n">
        <v>4765.29</v>
      </c>
    </row>
    <row r="11" customFormat="false" ht="15" hidden="false" customHeight="false" outlineLevel="0" collapsed="false">
      <c r="A11" s="0" t="s">
        <v>1172</v>
      </c>
      <c r="B11" s="0" t="s">
        <v>1065</v>
      </c>
      <c r="C11" s="14" t="n">
        <v>46079</v>
      </c>
      <c r="D11" s="0" t="n">
        <v>305.02</v>
      </c>
    </row>
    <row r="12" customFormat="false" ht="15" hidden="false" customHeight="false" outlineLevel="0" collapsed="false">
      <c r="A12" s="0" t="s">
        <v>1173</v>
      </c>
      <c r="B12" s="0" t="s">
        <v>297</v>
      </c>
      <c r="C12" s="14" t="n">
        <v>46013</v>
      </c>
      <c r="D12" s="0" t="n">
        <v>6038.81</v>
      </c>
    </row>
    <row r="13" customFormat="false" ht="15" hidden="false" customHeight="false" outlineLevel="0" collapsed="false">
      <c r="A13" s="0" t="s">
        <v>1174</v>
      </c>
      <c r="B13" s="0" t="s">
        <v>1129</v>
      </c>
      <c r="C13" s="14" t="n">
        <v>45738</v>
      </c>
      <c r="D13" s="0" t="n">
        <v>424.45</v>
      </c>
    </row>
    <row r="14" customFormat="false" ht="15" hidden="false" customHeight="false" outlineLevel="0" collapsed="false">
      <c r="A14" s="0" t="s">
        <v>1175</v>
      </c>
      <c r="B14" s="0" t="s">
        <v>596</v>
      </c>
      <c r="C14" s="14" t="n">
        <v>45764</v>
      </c>
      <c r="D14" s="0" t="n">
        <v>3241.37</v>
      </c>
    </row>
    <row r="15" customFormat="false" ht="15" hidden="false" customHeight="false" outlineLevel="0" collapsed="false">
      <c r="A15" s="0" t="s">
        <v>1176</v>
      </c>
      <c r="B15" s="0" t="s">
        <v>1085</v>
      </c>
      <c r="C15" s="14" t="n">
        <v>46134</v>
      </c>
      <c r="D15" s="0" t="n">
        <v>680.64</v>
      </c>
    </row>
    <row r="16" customFormat="false" ht="15" hidden="false" customHeight="false" outlineLevel="0" collapsed="false">
      <c r="A16" s="0" t="s">
        <v>1177</v>
      </c>
      <c r="B16" s="0" t="s">
        <v>1145</v>
      </c>
      <c r="C16" s="14" t="n">
        <v>46071</v>
      </c>
      <c r="D16" s="0" t="n">
        <v>2564.63</v>
      </c>
    </row>
    <row r="17" customFormat="false" ht="15" hidden="false" customHeight="false" outlineLevel="0" collapsed="false">
      <c r="A17" s="0" t="s">
        <v>1178</v>
      </c>
      <c r="B17" s="0" t="s">
        <v>1156</v>
      </c>
      <c r="C17" s="14" t="n">
        <v>46175</v>
      </c>
      <c r="D17" s="0" t="n">
        <v>7892.6</v>
      </c>
    </row>
    <row r="18" customFormat="false" ht="15" hidden="false" customHeight="false" outlineLevel="0" collapsed="false">
      <c r="A18" s="0" t="s">
        <v>1179</v>
      </c>
      <c r="B18" s="0" t="s">
        <v>969</v>
      </c>
      <c r="C18" s="14" t="n">
        <v>46136</v>
      </c>
      <c r="D18" s="0" t="n">
        <v>1139.17</v>
      </c>
    </row>
    <row r="19" customFormat="false" ht="15" hidden="false" customHeight="false" outlineLevel="0" collapsed="false">
      <c r="A19" s="0" t="s">
        <v>1180</v>
      </c>
      <c r="B19" s="0" t="s">
        <v>526</v>
      </c>
      <c r="C19" s="14" t="n">
        <v>45739</v>
      </c>
      <c r="D19" s="0" t="n">
        <v>3728.38</v>
      </c>
    </row>
    <row r="20" customFormat="false" ht="15" hidden="false" customHeight="false" outlineLevel="0" collapsed="false">
      <c r="A20" s="0" t="s">
        <v>1181</v>
      </c>
      <c r="B20" s="0" t="s">
        <v>736</v>
      </c>
      <c r="C20" s="14" t="n">
        <v>45909</v>
      </c>
      <c r="D20" s="0" t="n">
        <v>3288.85</v>
      </c>
    </row>
    <row r="21" customFormat="false" ht="15" hidden="false" customHeight="false" outlineLevel="0" collapsed="false">
      <c r="A21" s="0" t="s">
        <v>1182</v>
      </c>
      <c r="B21" s="0" t="s">
        <v>394</v>
      </c>
      <c r="C21" s="14" t="n">
        <v>45944</v>
      </c>
      <c r="D21" s="0" t="n">
        <v>1118.76</v>
      </c>
    </row>
    <row r="22" customFormat="false" ht="15" hidden="false" customHeight="false" outlineLevel="0" collapsed="false">
      <c r="A22" s="0" t="s">
        <v>1183</v>
      </c>
      <c r="B22" s="0" t="s">
        <v>973</v>
      </c>
      <c r="C22" s="14" t="n">
        <v>46204</v>
      </c>
      <c r="D22" s="0" t="n">
        <v>1303.38</v>
      </c>
    </row>
    <row r="23" customFormat="false" ht="15" hidden="false" customHeight="false" outlineLevel="0" collapsed="false">
      <c r="A23" s="0" t="s">
        <v>1184</v>
      </c>
      <c r="B23" s="0" t="s">
        <v>617</v>
      </c>
      <c r="C23" s="14" t="n">
        <v>45984</v>
      </c>
      <c r="D23" s="0" t="n">
        <v>1017.03</v>
      </c>
    </row>
    <row r="24" customFormat="false" ht="15" hidden="false" customHeight="false" outlineLevel="0" collapsed="false">
      <c r="A24" s="0" t="s">
        <v>1185</v>
      </c>
      <c r="B24" s="0" t="s">
        <v>983</v>
      </c>
      <c r="C24" s="14" t="n">
        <v>45684</v>
      </c>
      <c r="D24" s="0" t="n">
        <v>3806.21</v>
      </c>
    </row>
    <row r="25" customFormat="false" ht="15" hidden="false" customHeight="false" outlineLevel="0" collapsed="false">
      <c r="A25" s="0" t="s">
        <v>1186</v>
      </c>
      <c r="B25" s="0" t="s">
        <v>793</v>
      </c>
      <c r="C25" s="14" t="n">
        <v>46108</v>
      </c>
      <c r="D25" s="0" t="n">
        <v>891.87</v>
      </c>
    </row>
    <row r="26" customFormat="false" ht="15" hidden="false" customHeight="false" outlineLevel="0" collapsed="false">
      <c r="A26" s="0" t="s">
        <v>1187</v>
      </c>
      <c r="B26" s="0" t="s">
        <v>1151</v>
      </c>
      <c r="C26" s="14" t="n">
        <v>46105</v>
      </c>
      <c r="D26" s="0" t="n">
        <v>537.91</v>
      </c>
    </row>
    <row r="27" customFormat="false" ht="15" hidden="false" customHeight="false" outlineLevel="0" collapsed="false">
      <c r="A27" s="0" t="s">
        <v>1188</v>
      </c>
      <c r="B27" s="0" t="s">
        <v>1099</v>
      </c>
      <c r="C27" s="14" t="n">
        <v>45765</v>
      </c>
      <c r="D27" s="0" t="n">
        <v>562.05</v>
      </c>
    </row>
    <row r="28" customFormat="false" ht="15" hidden="false" customHeight="false" outlineLevel="0" collapsed="false">
      <c r="A28" s="0" t="s">
        <v>1189</v>
      </c>
      <c r="B28" s="0" t="s">
        <v>681</v>
      </c>
      <c r="C28" s="14" t="n">
        <v>46049</v>
      </c>
      <c r="D28" s="0" t="n">
        <v>4160.94</v>
      </c>
    </row>
    <row r="29" customFormat="false" ht="15" hidden="false" customHeight="false" outlineLevel="0" collapsed="false">
      <c r="A29" s="0" t="s">
        <v>1190</v>
      </c>
      <c r="B29" s="0" t="s">
        <v>548</v>
      </c>
      <c r="C29" s="14" t="n">
        <v>45910</v>
      </c>
      <c r="D29" s="0" t="n">
        <v>728.26</v>
      </c>
    </row>
    <row r="30" customFormat="false" ht="15" hidden="false" customHeight="false" outlineLevel="0" collapsed="false">
      <c r="A30" s="0" t="s">
        <v>1191</v>
      </c>
      <c r="B30" s="0" t="s">
        <v>1029</v>
      </c>
      <c r="C30" s="14" t="n">
        <v>45941</v>
      </c>
      <c r="D30" s="0" t="n">
        <v>12071.44</v>
      </c>
    </row>
    <row r="31" customFormat="false" ht="15" hidden="false" customHeight="false" outlineLevel="0" collapsed="false">
      <c r="A31" s="0" t="s">
        <v>1192</v>
      </c>
      <c r="B31" s="0" t="s">
        <v>1093</v>
      </c>
      <c r="C31" s="14" t="n">
        <v>45996</v>
      </c>
      <c r="D31" s="0" t="n">
        <v>2626.17</v>
      </c>
    </row>
    <row r="32" customFormat="false" ht="15" hidden="false" customHeight="false" outlineLevel="0" collapsed="false">
      <c r="A32" s="0" t="s">
        <v>1193</v>
      </c>
      <c r="B32" s="0" t="s">
        <v>491</v>
      </c>
      <c r="C32" s="14" t="n">
        <v>45857</v>
      </c>
      <c r="D32" s="0" t="n">
        <v>560.32</v>
      </c>
    </row>
    <row r="33" customFormat="false" ht="15" hidden="false" customHeight="false" outlineLevel="0" collapsed="false">
      <c r="A33" s="0" t="s">
        <v>1194</v>
      </c>
      <c r="B33" s="0" t="s">
        <v>555</v>
      </c>
      <c r="C33" s="14" t="n">
        <v>45802</v>
      </c>
      <c r="D33" s="0" t="n">
        <v>1546.99</v>
      </c>
    </row>
    <row r="34" customFormat="false" ht="15" hidden="false" customHeight="false" outlineLevel="0" collapsed="false">
      <c r="A34" s="0" t="s">
        <v>1195</v>
      </c>
      <c r="B34" s="0" t="s">
        <v>1045</v>
      </c>
      <c r="C34" s="14" t="n">
        <v>46124</v>
      </c>
      <c r="D34" s="0" t="n">
        <v>19774.14</v>
      </c>
    </row>
    <row r="35" customFormat="false" ht="15" hidden="false" customHeight="false" outlineLevel="0" collapsed="false">
      <c r="A35" s="0" t="s">
        <v>1196</v>
      </c>
      <c r="B35" s="0" t="s">
        <v>534</v>
      </c>
      <c r="C35" s="14" t="n">
        <v>46136</v>
      </c>
      <c r="D35" s="0" t="n">
        <v>610.78</v>
      </c>
    </row>
    <row r="36" customFormat="false" ht="15" hidden="false" customHeight="false" outlineLevel="0" collapsed="false">
      <c r="A36" s="0" t="s">
        <v>1197</v>
      </c>
      <c r="B36" s="0" t="s">
        <v>601</v>
      </c>
      <c r="C36" s="14" t="n">
        <v>45957</v>
      </c>
      <c r="D36" s="0" t="n">
        <v>7560.72</v>
      </c>
    </row>
    <row r="37" customFormat="false" ht="15" hidden="false" customHeight="false" outlineLevel="0" collapsed="false">
      <c r="A37" s="0" t="s">
        <v>1198</v>
      </c>
      <c r="B37" s="0" t="s">
        <v>967</v>
      </c>
      <c r="C37" s="14" t="n">
        <v>45907</v>
      </c>
      <c r="D37" s="0" t="n">
        <v>313.22</v>
      </c>
    </row>
    <row r="38" customFormat="false" ht="15" hidden="false" customHeight="false" outlineLevel="0" collapsed="false">
      <c r="A38" s="0" t="s">
        <v>1199</v>
      </c>
      <c r="B38" s="0" t="s">
        <v>315</v>
      </c>
      <c r="C38" s="14" t="n">
        <v>45804</v>
      </c>
      <c r="D38" s="0" t="n">
        <v>246.87</v>
      </c>
    </row>
    <row r="39" customFormat="false" ht="15" hidden="false" customHeight="false" outlineLevel="0" collapsed="false">
      <c r="A39" s="0" t="s">
        <v>1200</v>
      </c>
      <c r="B39" s="0" t="s">
        <v>1092</v>
      </c>
      <c r="C39" s="14" t="n">
        <v>46116</v>
      </c>
      <c r="D39" s="0" t="n">
        <v>1497.3</v>
      </c>
    </row>
    <row r="40" customFormat="false" ht="15" hidden="false" customHeight="false" outlineLevel="0" collapsed="false">
      <c r="A40" s="0" t="s">
        <v>1201</v>
      </c>
      <c r="B40" s="0" t="s">
        <v>391</v>
      </c>
      <c r="C40" s="14" t="n">
        <v>46004</v>
      </c>
      <c r="D40" s="0" t="n">
        <v>370.46</v>
      </c>
    </row>
    <row r="41" customFormat="false" ht="15" hidden="false" customHeight="false" outlineLevel="0" collapsed="false">
      <c r="A41" s="0" t="s">
        <v>1202</v>
      </c>
      <c r="B41" s="0" t="s">
        <v>485</v>
      </c>
      <c r="C41" s="14" t="n">
        <v>46115</v>
      </c>
      <c r="D41" s="0" t="n">
        <v>1489.22</v>
      </c>
    </row>
    <row r="42" customFormat="false" ht="15" hidden="false" customHeight="false" outlineLevel="0" collapsed="false">
      <c r="A42" s="0" t="s">
        <v>1203</v>
      </c>
      <c r="B42" s="0" t="s">
        <v>941</v>
      </c>
      <c r="C42" s="14" t="n">
        <v>45700</v>
      </c>
      <c r="D42" s="0" t="n">
        <v>113.06</v>
      </c>
    </row>
    <row r="43" customFormat="false" ht="15" hidden="false" customHeight="false" outlineLevel="0" collapsed="false">
      <c r="A43" s="0" t="s">
        <v>1204</v>
      </c>
      <c r="B43" s="0" t="s">
        <v>515</v>
      </c>
      <c r="C43" s="14" t="n">
        <v>46046</v>
      </c>
      <c r="D43" s="0" t="n">
        <v>1074.95</v>
      </c>
    </row>
    <row r="44" customFormat="false" ht="15" hidden="false" customHeight="false" outlineLevel="0" collapsed="false">
      <c r="A44" s="0" t="s">
        <v>1205</v>
      </c>
      <c r="B44" s="0" t="s">
        <v>1054</v>
      </c>
      <c r="C44" s="14" t="n">
        <v>45904</v>
      </c>
      <c r="D44" s="0" t="n">
        <v>3577.81</v>
      </c>
    </row>
    <row r="45" customFormat="false" ht="15" hidden="false" customHeight="false" outlineLevel="0" collapsed="false">
      <c r="A45" s="0" t="s">
        <v>1206</v>
      </c>
      <c r="B45" s="0" t="s">
        <v>427</v>
      </c>
      <c r="C45" s="14" t="n">
        <v>45948</v>
      </c>
      <c r="D45" s="0" t="n">
        <v>8633.55</v>
      </c>
    </row>
    <row r="46" customFormat="false" ht="15" hidden="false" customHeight="false" outlineLevel="0" collapsed="false">
      <c r="A46" s="0" t="s">
        <v>1207</v>
      </c>
      <c r="B46" s="0" t="s">
        <v>832</v>
      </c>
      <c r="C46" s="14" t="n">
        <v>46043</v>
      </c>
      <c r="D46" s="0" t="n">
        <v>473.72</v>
      </c>
    </row>
    <row r="47" customFormat="false" ht="15" hidden="false" customHeight="false" outlineLevel="0" collapsed="false">
      <c r="A47" s="0" t="s">
        <v>1208</v>
      </c>
      <c r="B47" s="0" t="s">
        <v>812</v>
      </c>
      <c r="C47" s="14" t="n">
        <v>46014</v>
      </c>
      <c r="D47" s="0" t="n">
        <v>663.66</v>
      </c>
    </row>
    <row r="48" customFormat="false" ht="15" hidden="false" customHeight="false" outlineLevel="0" collapsed="false">
      <c r="A48" s="0" t="s">
        <v>1209</v>
      </c>
      <c r="B48" s="0" t="s">
        <v>587</v>
      </c>
      <c r="C48" s="14" t="n">
        <v>45856</v>
      </c>
      <c r="D48" s="0" t="n">
        <v>643.44</v>
      </c>
    </row>
    <row r="49" customFormat="false" ht="15" hidden="false" customHeight="false" outlineLevel="0" collapsed="false">
      <c r="A49" s="0" t="s">
        <v>1210</v>
      </c>
      <c r="B49" s="0" t="s">
        <v>383</v>
      </c>
      <c r="C49" s="14" t="n">
        <v>45798</v>
      </c>
      <c r="D49" s="0" t="n">
        <v>1736.82</v>
      </c>
    </row>
    <row r="50" customFormat="false" ht="15" hidden="false" customHeight="false" outlineLevel="0" collapsed="false">
      <c r="A50" s="0" t="s">
        <v>1211</v>
      </c>
      <c r="B50" s="0" t="s">
        <v>833</v>
      </c>
      <c r="C50" s="14" t="n">
        <v>46160</v>
      </c>
      <c r="D50" s="0" t="n">
        <v>6567.49</v>
      </c>
    </row>
    <row r="51" customFormat="false" ht="15" hidden="false" customHeight="false" outlineLevel="0" collapsed="false">
      <c r="A51" s="0" t="s">
        <v>1212</v>
      </c>
      <c r="B51" s="0" t="s">
        <v>665</v>
      </c>
      <c r="C51" s="14" t="n">
        <v>46007</v>
      </c>
      <c r="D51" s="0" t="n">
        <v>2928.06</v>
      </c>
    </row>
    <row r="52" customFormat="false" ht="15" hidden="false" customHeight="false" outlineLevel="0" collapsed="false">
      <c r="A52" s="0" t="s">
        <v>1213</v>
      </c>
      <c r="B52" s="0" t="s">
        <v>365</v>
      </c>
      <c r="C52" s="14" t="n">
        <v>45909</v>
      </c>
      <c r="D52" s="0" t="n">
        <v>7649.01</v>
      </c>
    </row>
    <row r="53" customFormat="false" ht="15" hidden="false" customHeight="false" outlineLevel="0" collapsed="false">
      <c r="A53" s="0" t="s">
        <v>1214</v>
      </c>
      <c r="B53" s="0" t="s">
        <v>986</v>
      </c>
      <c r="C53" s="14" t="n">
        <v>45730</v>
      </c>
      <c r="D53" s="0" t="n">
        <v>524.67</v>
      </c>
    </row>
    <row r="54" customFormat="false" ht="15" hidden="false" customHeight="false" outlineLevel="0" collapsed="false">
      <c r="A54" s="0" t="s">
        <v>1215</v>
      </c>
      <c r="B54" s="0" t="s">
        <v>1154</v>
      </c>
      <c r="C54" s="14" t="n">
        <v>45695</v>
      </c>
      <c r="D54" s="0" t="n">
        <v>5021.94</v>
      </c>
    </row>
    <row r="55" customFormat="false" ht="15" hidden="false" customHeight="false" outlineLevel="0" collapsed="false">
      <c r="A55" s="0" t="s">
        <v>1216</v>
      </c>
      <c r="B55" s="0" t="s">
        <v>908</v>
      </c>
      <c r="C55" s="14" t="n">
        <v>46119</v>
      </c>
      <c r="D55" s="0" t="n">
        <v>2753.96</v>
      </c>
    </row>
    <row r="56" customFormat="false" ht="15" hidden="false" customHeight="false" outlineLevel="0" collapsed="false">
      <c r="A56" s="0" t="s">
        <v>1217</v>
      </c>
      <c r="B56" s="0" t="s">
        <v>1011</v>
      </c>
      <c r="C56" s="14" t="n">
        <v>45949</v>
      </c>
      <c r="D56" s="0" t="n">
        <v>2842.44</v>
      </c>
    </row>
    <row r="57" customFormat="false" ht="15" hidden="false" customHeight="false" outlineLevel="0" collapsed="false">
      <c r="A57" s="0" t="s">
        <v>1218</v>
      </c>
      <c r="B57" s="0" t="s">
        <v>1006</v>
      </c>
      <c r="C57" s="14" t="n">
        <v>45792</v>
      </c>
      <c r="D57" s="0" t="n">
        <v>1604.06</v>
      </c>
    </row>
    <row r="58" customFormat="false" ht="15" hidden="false" customHeight="false" outlineLevel="0" collapsed="false">
      <c r="A58" s="0" t="s">
        <v>1219</v>
      </c>
      <c r="B58" s="0" t="s">
        <v>338</v>
      </c>
      <c r="C58" s="14" t="n">
        <v>45867</v>
      </c>
      <c r="D58" s="0" t="n">
        <v>7427.81</v>
      </c>
    </row>
    <row r="59" customFormat="false" ht="15" hidden="false" customHeight="false" outlineLevel="0" collapsed="false">
      <c r="A59" s="0" t="s">
        <v>1220</v>
      </c>
      <c r="B59" s="0" t="s">
        <v>1112</v>
      </c>
      <c r="C59" s="14" t="n">
        <v>45899</v>
      </c>
      <c r="D59" s="0" t="n">
        <v>1373.43</v>
      </c>
    </row>
    <row r="60" customFormat="false" ht="15" hidden="false" customHeight="false" outlineLevel="0" collapsed="false">
      <c r="A60" s="0" t="s">
        <v>1221</v>
      </c>
      <c r="B60" s="0" t="s">
        <v>1064</v>
      </c>
      <c r="C60" s="14" t="n">
        <v>45729</v>
      </c>
      <c r="D60" s="0" t="n">
        <v>1166.53</v>
      </c>
    </row>
    <row r="61" customFormat="false" ht="15" hidden="false" customHeight="false" outlineLevel="0" collapsed="false">
      <c r="A61" s="0" t="s">
        <v>1222</v>
      </c>
      <c r="B61" s="0" t="s">
        <v>404</v>
      </c>
      <c r="C61" s="14" t="n">
        <v>45954</v>
      </c>
      <c r="D61" s="0" t="n">
        <v>226.65</v>
      </c>
    </row>
    <row r="62" customFormat="false" ht="15" hidden="false" customHeight="false" outlineLevel="0" collapsed="false">
      <c r="A62" s="0" t="s">
        <v>1223</v>
      </c>
      <c r="B62" s="0" t="s">
        <v>935</v>
      </c>
      <c r="C62" s="14" t="n">
        <v>45788</v>
      </c>
      <c r="D62" s="0" t="n">
        <v>2035.58</v>
      </c>
    </row>
    <row r="63" customFormat="false" ht="15" hidden="false" customHeight="false" outlineLevel="0" collapsed="false">
      <c r="A63" s="0" t="s">
        <v>1224</v>
      </c>
      <c r="B63" s="0" t="s">
        <v>1016</v>
      </c>
      <c r="C63" s="14" t="n">
        <v>45720</v>
      </c>
      <c r="D63" s="0" t="n">
        <v>21261.93</v>
      </c>
    </row>
    <row r="64" customFormat="false" ht="15" hidden="false" customHeight="false" outlineLevel="0" collapsed="false">
      <c r="A64" s="0" t="s">
        <v>1225</v>
      </c>
      <c r="B64" s="0" t="s">
        <v>641</v>
      </c>
      <c r="C64" s="14" t="n">
        <v>46135</v>
      </c>
      <c r="D64" s="0" t="n">
        <v>3585.97</v>
      </c>
    </row>
    <row r="65" customFormat="false" ht="15" hidden="false" customHeight="false" outlineLevel="0" collapsed="false">
      <c r="A65" s="0" t="s">
        <v>1226</v>
      </c>
      <c r="B65" s="0" t="s">
        <v>976</v>
      </c>
      <c r="C65" s="14" t="n">
        <v>45773</v>
      </c>
      <c r="D65" s="0" t="n">
        <v>1428.02</v>
      </c>
    </row>
    <row r="66" customFormat="false" ht="15" hidden="false" customHeight="false" outlineLevel="0" collapsed="false">
      <c r="A66" s="0" t="s">
        <v>1227</v>
      </c>
      <c r="B66" s="0" t="s">
        <v>702</v>
      </c>
      <c r="C66" s="14" t="n">
        <v>46173</v>
      </c>
      <c r="D66" s="0" t="n">
        <v>4213.88</v>
      </c>
    </row>
    <row r="67" customFormat="false" ht="15" hidden="false" customHeight="false" outlineLevel="0" collapsed="false">
      <c r="A67" s="0" t="s">
        <v>1228</v>
      </c>
      <c r="B67" s="0" t="s">
        <v>859</v>
      </c>
      <c r="C67" s="14" t="n">
        <v>45979</v>
      </c>
      <c r="D67" s="0" t="n">
        <v>813.95</v>
      </c>
    </row>
    <row r="68" customFormat="false" ht="15" hidden="false" customHeight="false" outlineLevel="0" collapsed="false">
      <c r="A68" s="0" t="s">
        <v>1229</v>
      </c>
      <c r="B68" s="0" t="s">
        <v>551</v>
      </c>
      <c r="C68" s="14" t="n">
        <v>46125</v>
      </c>
      <c r="D68" s="0" t="n">
        <v>2055.39</v>
      </c>
    </row>
    <row r="69" customFormat="false" ht="15" hidden="false" customHeight="false" outlineLevel="0" collapsed="false">
      <c r="A69" s="0" t="s">
        <v>1230</v>
      </c>
      <c r="B69" s="0" t="s">
        <v>400</v>
      </c>
      <c r="C69" s="14" t="n">
        <v>45731</v>
      </c>
      <c r="D69" s="0" t="n">
        <v>625.95</v>
      </c>
    </row>
    <row r="70" customFormat="false" ht="15" hidden="false" customHeight="false" outlineLevel="0" collapsed="false">
      <c r="A70" s="0" t="s">
        <v>1231</v>
      </c>
      <c r="B70" s="0" t="s">
        <v>567</v>
      </c>
      <c r="C70" s="14" t="n">
        <v>45820</v>
      </c>
      <c r="D70" s="0" t="n">
        <v>231.64</v>
      </c>
    </row>
    <row r="71" customFormat="false" ht="15" hidden="false" customHeight="false" outlineLevel="0" collapsed="false">
      <c r="A71" s="0" t="s">
        <v>1232</v>
      </c>
      <c r="B71" s="0" t="s">
        <v>355</v>
      </c>
      <c r="C71" s="14" t="n">
        <v>45905</v>
      </c>
      <c r="D71" s="0" t="n">
        <v>2845.35</v>
      </c>
    </row>
    <row r="72" customFormat="false" ht="15" hidden="false" customHeight="false" outlineLevel="0" collapsed="false">
      <c r="A72" s="0" t="s">
        <v>1233</v>
      </c>
      <c r="B72" s="0" t="s">
        <v>870</v>
      </c>
      <c r="C72" s="14" t="n">
        <v>46213</v>
      </c>
      <c r="D72" s="0" t="n">
        <v>1964.42</v>
      </c>
    </row>
    <row r="73" customFormat="false" ht="15" hidden="false" customHeight="false" outlineLevel="0" collapsed="false">
      <c r="A73" s="0" t="s">
        <v>1234</v>
      </c>
      <c r="B73" s="0" t="s">
        <v>725</v>
      </c>
      <c r="C73" s="14" t="n">
        <v>46032</v>
      </c>
      <c r="D73" s="0" t="n">
        <v>1850.75</v>
      </c>
    </row>
    <row r="74" customFormat="false" ht="15" hidden="false" customHeight="false" outlineLevel="0" collapsed="false">
      <c r="A74" s="0" t="s">
        <v>1235</v>
      </c>
      <c r="B74" s="0" t="s">
        <v>318</v>
      </c>
      <c r="C74" s="14" t="n">
        <v>45904</v>
      </c>
      <c r="D74" s="0" t="n">
        <v>9960.57</v>
      </c>
    </row>
    <row r="75" customFormat="false" ht="15" hidden="false" customHeight="false" outlineLevel="0" collapsed="false">
      <c r="A75" s="0" t="s">
        <v>1236</v>
      </c>
      <c r="B75" s="0" t="s">
        <v>411</v>
      </c>
      <c r="C75" s="14" t="n">
        <v>46215</v>
      </c>
      <c r="D75" s="0" t="n">
        <v>582.3</v>
      </c>
    </row>
    <row r="76" customFormat="false" ht="15" hidden="false" customHeight="false" outlineLevel="0" collapsed="false">
      <c r="A76" s="0" t="s">
        <v>1237</v>
      </c>
      <c r="B76" s="0" t="s">
        <v>552</v>
      </c>
      <c r="C76" s="14" t="n">
        <v>46126</v>
      </c>
      <c r="D76" s="0" t="n">
        <v>207.67</v>
      </c>
    </row>
    <row r="77" customFormat="false" ht="15" hidden="false" customHeight="false" outlineLevel="0" collapsed="false">
      <c r="A77" s="0" t="s">
        <v>1238</v>
      </c>
      <c r="B77" s="0" t="s">
        <v>374</v>
      </c>
      <c r="C77" s="14" t="n">
        <v>45752</v>
      </c>
      <c r="D77" s="0" t="n">
        <v>420.01</v>
      </c>
    </row>
    <row r="78" customFormat="false" ht="15" hidden="false" customHeight="false" outlineLevel="0" collapsed="false">
      <c r="A78" s="0" t="s">
        <v>1239</v>
      </c>
      <c r="B78" s="0" t="s">
        <v>1141</v>
      </c>
      <c r="C78" s="14" t="n">
        <v>45747</v>
      </c>
      <c r="D78" s="0" t="n">
        <v>1069.76</v>
      </c>
    </row>
    <row r="79" customFormat="false" ht="15" hidden="false" customHeight="false" outlineLevel="0" collapsed="false">
      <c r="A79" s="0" t="s">
        <v>1240</v>
      </c>
      <c r="B79" s="0" t="s">
        <v>611</v>
      </c>
      <c r="C79" s="14" t="n">
        <v>45965</v>
      </c>
      <c r="D79" s="0" t="n">
        <v>4491.48</v>
      </c>
    </row>
    <row r="80" customFormat="false" ht="15" hidden="false" customHeight="false" outlineLevel="0" collapsed="false">
      <c r="A80" s="0" t="s">
        <v>1241</v>
      </c>
      <c r="B80" s="0" t="s">
        <v>464</v>
      </c>
      <c r="C80" s="14" t="n">
        <v>45842</v>
      </c>
      <c r="D80" s="0" t="n">
        <v>8142.95</v>
      </c>
    </row>
    <row r="81" customFormat="false" ht="15" hidden="false" customHeight="false" outlineLevel="0" collapsed="false">
      <c r="A81" s="0" t="s">
        <v>1242</v>
      </c>
      <c r="B81" s="0" t="s">
        <v>886</v>
      </c>
      <c r="C81" s="14" t="n">
        <v>46018</v>
      </c>
      <c r="D81" s="0" t="n">
        <v>2308.67</v>
      </c>
    </row>
    <row r="82" customFormat="false" ht="15" hidden="false" customHeight="false" outlineLevel="0" collapsed="false">
      <c r="A82" s="0" t="s">
        <v>1243</v>
      </c>
      <c r="B82" s="0" t="s">
        <v>358</v>
      </c>
      <c r="C82" s="14" t="n">
        <v>46155</v>
      </c>
      <c r="D82" s="0" t="n">
        <v>306.49</v>
      </c>
    </row>
    <row r="83" customFormat="false" ht="15" hidden="false" customHeight="false" outlineLevel="0" collapsed="false">
      <c r="A83" s="0" t="s">
        <v>1244</v>
      </c>
      <c r="B83" s="0" t="s">
        <v>808</v>
      </c>
      <c r="C83" s="14" t="n">
        <v>45923</v>
      </c>
      <c r="D83" s="0" t="n">
        <v>426.29</v>
      </c>
    </row>
    <row r="84" customFormat="false" ht="15" hidden="false" customHeight="false" outlineLevel="0" collapsed="false">
      <c r="A84" s="0" t="s">
        <v>1245</v>
      </c>
      <c r="B84" s="0" t="s">
        <v>850</v>
      </c>
      <c r="C84" s="14" t="n">
        <v>45805</v>
      </c>
      <c r="D84" s="0" t="n">
        <v>6607.07</v>
      </c>
    </row>
    <row r="85" customFormat="false" ht="15" hidden="false" customHeight="false" outlineLevel="0" collapsed="false">
      <c r="A85" s="0" t="s">
        <v>1246</v>
      </c>
      <c r="B85" s="0" t="s">
        <v>369</v>
      </c>
      <c r="C85" s="14" t="n">
        <v>45910</v>
      </c>
      <c r="D85" s="0" t="n">
        <v>5144.03</v>
      </c>
    </row>
    <row r="86" customFormat="false" ht="15" hidden="false" customHeight="false" outlineLevel="0" collapsed="false">
      <c r="A86" s="0" t="s">
        <v>1247</v>
      </c>
      <c r="B86" s="0" t="s">
        <v>1115</v>
      </c>
      <c r="C86" s="14" t="n">
        <v>46063</v>
      </c>
      <c r="D86" s="0" t="n">
        <v>2328.97</v>
      </c>
    </row>
    <row r="87" customFormat="false" ht="15" hidden="false" customHeight="false" outlineLevel="0" collapsed="false">
      <c r="A87" s="0" t="s">
        <v>1248</v>
      </c>
      <c r="B87" s="0" t="s">
        <v>1012</v>
      </c>
      <c r="C87" s="14" t="n">
        <v>46070</v>
      </c>
      <c r="D87" s="0" t="n">
        <v>2826.44</v>
      </c>
    </row>
    <row r="88" customFormat="false" ht="15" hidden="false" customHeight="false" outlineLevel="0" collapsed="false">
      <c r="A88" s="0" t="s">
        <v>1249</v>
      </c>
      <c r="B88" s="0" t="s">
        <v>853</v>
      </c>
      <c r="C88" s="14" t="n">
        <v>46106</v>
      </c>
      <c r="D88" s="0" t="n">
        <v>316.1</v>
      </c>
    </row>
    <row r="89" customFormat="false" ht="15" hidden="false" customHeight="false" outlineLevel="0" collapsed="false">
      <c r="A89" s="0" t="s">
        <v>1250</v>
      </c>
      <c r="B89" s="0" t="s">
        <v>899</v>
      </c>
      <c r="C89" s="14" t="n">
        <v>45715</v>
      </c>
      <c r="D89" s="0" t="n">
        <v>19832.55</v>
      </c>
    </row>
    <row r="90" customFormat="false" ht="15" hidden="false" customHeight="false" outlineLevel="0" collapsed="false">
      <c r="A90" s="0" t="s">
        <v>1251</v>
      </c>
      <c r="B90" s="0" t="s">
        <v>953</v>
      </c>
      <c r="C90" s="14" t="n">
        <v>45908</v>
      </c>
      <c r="D90" s="0" t="n">
        <v>2681.96</v>
      </c>
    </row>
    <row r="91" customFormat="false" ht="15" hidden="false" customHeight="false" outlineLevel="0" collapsed="false">
      <c r="A91" s="0" t="s">
        <v>1252</v>
      </c>
      <c r="B91" s="0" t="s">
        <v>1090</v>
      </c>
      <c r="C91" s="14" t="n">
        <v>46119</v>
      </c>
      <c r="D91" s="0" t="n">
        <v>348.88</v>
      </c>
    </row>
    <row r="92" customFormat="false" ht="15" hidden="false" customHeight="false" outlineLevel="0" collapsed="false">
      <c r="A92" s="0" t="s">
        <v>1253</v>
      </c>
      <c r="B92" s="0" t="s">
        <v>1100</v>
      </c>
      <c r="C92" s="14" t="n">
        <v>46043</v>
      </c>
      <c r="D92" s="0" t="n">
        <v>4017.91</v>
      </c>
    </row>
    <row r="93" customFormat="false" ht="15" hidden="false" customHeight="false" outlineLevel="0" collapsed="false">
      <c r="A93" s="0" t="s">
        <v>1254</v>
      </c>
      <c r="B93" s="0" t="s">
        <v>993</v>
      </c>
      <c r="C93" s="14" t="n">
        <v>45845</v>
      </c>
      <c r="D93" s="0" t="n">
        <v>683.18</v>
      </c>
    </row>
    <row r="94" customFormat="false" ht="15" hidden="false" customHeight="false" outlineLevel="0" collapsed="false">
      <c r="A94" s="0" t="s">
        <v>1255</v>
      </c>
      <c r="B94" s="0" t="s">
        <v>696</v>
      </c>
      <c r="C94" s="14" t="n">
        <v>46039</v>
      </c>
      <c r="D94" s="0" t="n">
        <v>559.93</v>
      </c>
    </row>
    <row r="95" customFormat="false" ht="15" hidden="false" customHeight="false" outlineLevel="0" collapsed="false">
      <c r="A95" s="0" t="s">
        <v>1256</v>
      </c>
      <c r="B95" s="0" t="s">
        <v>924</v>
      </c>
      <c r="C95" s="14" t="n">
        <v>45861</v>
      </c>
      <c r="D95" s="0" t="n">
        <v>666.83</v>
      </c>
    </row>
    <row r="96" customFormat="false" ht="15" hidden="false" customHeight="false" outlineLevel="0" collapsed="false">
      <c r="A96" s="0" t="s">
        <v>1257</v>
      </c>
      <c r="B96" s="0" t="s">
        <v>578</v>
      </c>
      <c r="C96" s="14" t="n">
        <v>45722</v>
      </c>
      <c r="D96" s="0" t="n">
        <v>8984.32</v>
      </c>
    </row>
    <row r="97" customFormat="false" ht="15" hidden="false" customHeight="false" outlineLevel="0" collapsed="false">
      <c r="A97" s="0" t="s">
        <v>1258</v>
      </c>
      <c r="B97" s="0" t="s">
        <v>431</v>
      </c>
      <c r="C97" s="14" t="n">
        <v>45829</v>
      </c>
      <c r="D97" s="0" t="n">
        <v>448.18</v>
      </c>
    </row>
    <row r="98" customFormat="false" ht="15" hidden="false" customHeight="false" outlineLevel="0" collapsed="false">
      <c r="A98" s="0" t="s">
        <v>1259</v>
      </c>
      <c r="B98" s="0" t="s">
        <v>718</v>
      </c>
      <c r="C98" s="14" t="n">
        <v>45918</v>
      </c>
      <c r="D98" s="0" t="n">
        <v>3586.35</v>
      </c>
    </row>
    <row r="99" customFormat="false" ht="15" hidden="false" customHeight="false" outlineLevel="0" collapsed="false">
      <c r="A99" s="0" t="s">
        <v>1260</v>
      </c>
      <c r="B99" s="0" t="s">
        <v>831</v>
      </c>
      <c r="C99" s="14" t="n">
        <v>45903</v>
      </c>
      <c r="D99" s="0" t="n">
        <v>1346.34</v>
      </c>
    </row>
    <row r="100" customFormat="false" ht="15" hidden="false" customHeight="false" outlineLevel="0" collapsed="false">
      <c r="A100" s="0" t="s">
        <v>1261</v>
      </c>
      <c r="B100" s="0" t="s">
        <v>395</v>
      </c>
      <c r="C100" s="14" t="n">
        <v>45802</v>
      </c>
      <c r="D100" s="0" t="n">
        <v>1602.67</v>
      </c>
    </row>
    <row r="101" customFormat="false" ht="15" hidden="false" customHeight="false" outlineLevel="0" collapsed="false">
      <c r="A101" s="0" t="s">
        <v>1262</v>
      </c>
      <c r="B101" s="0" t="s">
        <v>558</v>
      </c>
      <c r="C101" s="14" t="n">
        <v>45869</v>
      </c>
      <c r="D101" s="0" t="n">
        <v>943.22</v>
      </c>
    </row>
    <row r="102" customFormat="false" ht="15" hidden="false" customHeight="false" outlineLevel="0" collapsed="false">
      <c r="A102" s="0" t="s">
        <v>1263</v>
      </c>
      <c r="B102" s="0" t="s">
        <v>1135</v>
      </c>
      <c r="C102" s="14" t="n">
        <v>45687</v>
      </c>
      <c r="D102" s="0" t="n">
        <v>264.62</v>
      </c>
    </row>
    <row r="103" customFormat="false" ht="15" hidden="false" customHeight="false" outlineLevel="0" collapsed="false">
      <c r="A103" s="0" t="s">
        <v>1264</v>
      </c>
      <c r="B103" s="0" t="s">
        <v>655</v>
      </c>
      <c r="C103" s="14" t="n">
        <v>45908</v>
      </c>
      <c r="D103" s="0" t="n">
        <v>721.3</v>
      </c>
    </row>
    <row r="104" customFormat="false" ht="15" hidden="false" customHeight="false" outlineLevel="0" collapsed="false">
      <c r="A104" s="0" t="s">
        <v>1265</v>
      </c>
      <c r="B104" s="0" t="s">
        <v>746</v>
      </c>
      <c r="C104" s="14" t="n">
        <v>46217</v>
      </c>
      <c r="D104" s="0" t="n">
        <v>3199.41</v>
      </c>
    </row>
    <row r="105" customFormat="false" ht="15" hidden="false" customHeight="false" outlineLevel="0" collapsed="false">
      <c r="A105" s="0" t="s">
        <v>1266</v>
      </c>
      <c r="B105" s="0" t="s">
        <v>747</v>
      </c>
      <c r="C105" s="14" t="n">
        <v>46170</v>
      </c>
      <c r="D105" s="0" t="n">
        <v>1201.82</v>
      </c>
    </row>
    <row r="106" customFormat="false" ht="15" hidden="false" customHeight="false" outlineLevel="0" collapsed="false">
      <c r="A106" s="0" t="s">
        <v>1267</v>
      </c>
      <c r="B106" s="0" t="s">
        <v>421</v>
      </c>
      <c r="C106" s="14" t="n">
        <v>46070</v>
      </c>
      <c r="D106" s="0" t="n">
        <v>2167.65</v>
      </c>
    </row>
    <row r="107" customFormat="false" ht="15" hidden="false" customHeight="false" outlineLevel="0" collapsed="false">
      <c r="A107" s="0" t="s">
        <v>1268</v>
      </c>
      <c r="B107" s="0" t="s">
        <v>838</v>
      </c>
      <c r="C107" s="14" t="n">
        <v>45742</v>
      </c>
      <c r="D107" s="0" t="n">
        <v>5770.92</v>
      </c>
    </row>
    <row r="108" customFormat="false" ht="15" hidden="false" customHeight="false" outlineLevel="0" collapsed="false">
      <c r="A108" s="0" t="s">
        <v>1269</v>
      </c>
      <c r="B108" s="0" t="s">
        <v>737</v>
      </c>
      <c r="C108" s="14" t="n">
        <v>46058</v>
      </c>
      <c r="D108" s="0" t="n">
        <v>2979.58</v>
      </c>
    </row>
    <row r="109" customFormat="false" ht="15" hidden="false" customHeight="false" outlineLevel="0" collapsed="false">
      <c r="A109" s="0" t="s">
        <v>1270</v>
      </c>
      <c r="B109" s="0" t="s">
        <v>1121</v>
      </c>
      <c r="C109" s="14" t="n">
        <v>46001</v>
      </c>
      <c r="D109" s="0" t="n">
        <v>505.83</v>
      </c>
    </row>
    <row r="110" customFormat="false" ht="15" hidden="false" customHeight="false" outlineLevel="0" collapsed="false">
      <c r="A110" s="0" t="s">
        <v>1271</v>
      </c>
      <c r="B110" s="0" t="s">
        <v>743</v>
      </c>
      <c r="C110" s="14" t="n">
        <v>45962</v>
      </c>
      <c r="D110" s="0" t="n">
        <v>1812.95</v>
      </c>
    </row>
    <row r="111" customFormat="false" ht="15" hidden="false" customHeight="false" outlineLevel="0" collapsed="false">
      <c r="A111" s="0" t="s">
        <v>1272</v>
      </c>
      <c r="B111" s="0" t="s">
        <v>497</v>
      </c>
      <c r="C111" s="14" t="n">
        <v>45770</v>
      </c>
      <c r="D111" s="0" t="n">
        <v>1825.14</v>
      </c>
    </row>
    <row r="112" customFormat="false" ht="15" hidden="false" customHeight="false" outlineLevel="0" collapsed="false">
      <c r="A112" s="0" t="s">
        <v>1273</v>
      </c>
      <c r="B112" s="0" t="s">
        <v>511</v>
      </c>
      <c r="C112" s="14" t="n">
        <v>46196</v>
      </c>
      <c r="D112" s="0" t="n">
        <v>2160.46</v>
      </c>
    </row>
    <row r="113" customFormat="false" ht="15" hidden="false" customHeight="false" outlineLevel="0" collapsed="false">
      <c r="A113" s="0" t="s">
        <v>1274</v>
      </c>
      <c r="B113" s="0" t="s">
        <v>1008</v>
      </c>
      <c r="C113" s="14" t="n">
        <v>45766</v>
      </c>
      <c r="D113" s="0" t="n">
        <v>1034.65</v>
      </c>
    </row>
    <row r="114" customFormat="false" ht="15" hidden="false" customHeight="false" outlineLevel="0" collapsed="false">
      <c r="A114" s="0" t="s">
        <v>1275</v>
      </c>
      <c r="B114" s="0" t="s">
        <v>767</v>
      </c>
      <c r="C114" s="14" t="n">
        <v>46172</v>
      </c>
      <c r="D114" s="0" t="n">
        <v>4649.2</v>
      </c>
    </row>
    <row r="115" customFormat="false" ht="15" hidden="false" customHeight="false" outlineLevel="0" collapsed="false">
      <c r="A115" s="0" t="s">
        <v>1276</v>
      </c>
      <c r="B115" s="0" t="s">
        <v>1015</v>
      </c>
      <c r="C115" s="14" t="n">
        <v>45940</v>
      </c>
      <c r="D115" s="0" t="n">
        <v>369.39</v>
      </c>
    </row>
    <row r="116" customFormat="false" ht="15" hidden="false" customHeight="false" outlineLevel="0" collapsed="false">
      <c r="A116" s="0" t="s">
        <v>1277</v>
      </c>
      <c r="B116" s="0" t="s">
        <v>417</v>
      </c>
      <c r="C116" s="14" t="n">
        <v>45953</v>
      </c>
      <c r="D116" s="0" t="n">
        <v>816.15</v>
      </c>
    </row>
    <row r="117" customFormat="false" ht="15" hidden="false" customHeight="false" outlineLevel="0" collapsed="false">
      <c r="A117" s="0" t="s">
        <v>1278</v>
      </c>
      <c r="B117" s="0" t="s">
        <v>572</v>
      </c>
      <c r="C117" s="14" t="n">
        <v>45944</v>
      </c>
      <c r="D117" s="0" t="n">
        <v>866.85</v>
      </c>
    </row>
    <row r="118" customFormat="false" ht="15" hidden="false" customHeight="false" outlineLevel="0" collapsed="false">
      <c r="A118" s="0" t="s">
        <v>1279</v>
      </c>
      <c r="B118" s="0" t="s">
        <v>357</v>
      </c>
      <c r="C118" s="14" t="n">
        <v>46028</v>
      </c>
      <c r="D118" s="0" t="n">
        <v>22892.64</v>
      </c>
    </row>
    <row r="119" customFormat="false" ht="15" hidden="false" customHeight="false" outlineLevel="0" collapsed="false">
      <c r="A119" s="0" t="s">
        <v>1280</v>
      </c>
      <c r="B119" s="0" t="s">
        <v>784</v>
      </c>
      <c r="C119" s="14" t="n">
        <v>45979</v>
      </c>
      <c r="D119" s="0" t="n">
        <v>3207.79</v>
      </c>
    </row>
    <row r="120" customFormat="false" ht="15" hidden="false" customHeight="false" outlineLevel="0" collapsed="false">
      <c r="A120" s="0" t="s">
        <v>1281</v>
      </c>
      <c r="B120" s="0" t="s">
        <v>554</v>
      </c>
      <c r="C120" s="14" t="n">
        <v>46158</v>
      </c>
      <c r="D120" s="0" t="n">
        <v>1408.36</v>
      </c>
    </row>
    <row r="121" customFormat="false" ht="15" hidden="false" customHeight="false" outlineLevel="0" collapsed="false">
      <c r="A121" s="0" t="s">
        <v>1282</v>
      </c>
      <c r="B121" s="0" t="s">
        <v>490</v>
      </c>
      <c r="C121" s="14" t="n">
        <v>46215</v>
      </c>
      <c r="D121" s="0" t="n">
        <v>780.2</v>
      </c>
    </row>
    <row r="122" customFormat="false" ht="15" hidden="false" customHeight="false" outlineLevel="0" collapsed="false">
      <c r="A122" s="0" t="s">
        <v>1283</v>
      </c>
      <c r="B122" s="0" t="s">
        <v>798</v>
      </c>
      <c r="C122" s="14" t="n">
        <v>45981</v>
      </c>
      <c r="D122" s="0" t="n">
        <v>1492.36</v>
      </c>
    </row>
    <row r="123" customFormat="false" ht="15" hidden="false" customHeight="false" outlineLevel="0" collapsed="false">
      <c r="A123" s="0" t="s">
        <v>1284</v>
      </c>
      <c r="B123" s="0" t="s">
        <v>927</v>
      </c>
      <c r="C123" s="14" t="n">
        <v>45958</v>
      </c>
      <c r="D123" s="0" t="n">
        <v>2581.16</v>
      </c>
    </row>
    <row r="124" customFormat="false" ht="15" hidden="false" customHeight="false" outlineLevel="0" collapsed="false">
      <c r="A124" s="0" t="s">
        <v>1285</v>
      </c>
      <c r="B124" s="0" t="s">
        <v>368</v>
      </c>
      <c r="C124" s="14" t="n">
        <v>45915</v>
      </c>
      <c r="D124" s="0" t="n">
        <v>672.96</v>
      </c>
    </row>
    <row r="125" customFormat="false" ht="15" hidden="false" customHeight="false" outlineLevel="0" collapsed="false">
      <c r="A125" s="0" t="s">
        <v>1286</v>
      </c>
      <c r="B125" s="0" t="s">
        <v>660</v>
      </c>
      <c r="C125" s="14" t="n">
        <v>46061</v>
      </c>
      <c r="D125" s="0" t="n">
        <v>1396.44</v>
      </c>
    </row>
    <row r="126" customFormat="false" ht="15" hidden="false" customHeight="false" outlineLevel="0" collapsed="false">
      <c r="A126" s="0" t="s">
        <v>1287</v>
      </c>
      <c r="B126" s="0" t="s">
        <v>722</v>
      </c>
      <c r="C126" s="14" t="n">
        <v>45879</v>
      </c>
      <c r="D126" s="0" t="n">
        <v>1348.19</v>
      </c>
    </row>
    <row r="127" customFormat="false" ht="15" hidden="false" customHeight="false" outlineLevel="0" collapsed="false">
      <c r="A127" s="0" t="s">
        <v>1288</v>
      </c>
      <c r="B127" s="0" t="s">
        <v>458</v>
      </c>
      <c r="C127" s="14" t="n">
        <v>45966</v>
      </c>
      <c r="D127" s="0" t="n">
        <v>4664.8</v>
      </c>
    </row>
    <row r="128" customFormat="false" ht="15" hidden="false" customHeight="false" outlineLevel="0" collapsed="false">
      <c r="A128" s="0" t="s">
        <v>1289</v>
      </c>
      <c r="B128" s="0" t="s">
        <v>285</v>
      </c>
      <c r="C128" s="14" t="n">
        <v>45782</v>
      </c>
      <c r="D128" s="0" t="n">
        <v>889.24</v>
      </c>
    </row>
    <row r="129" customFormat="false" ht="15" hidden="false" customHeight="false" outlineLevel="0" collapsed="false">
      <c r="A129" s="0" t="s">
        <v>1290</v>
      </c>
      <c r="B129" s="0" t="s">
        <v>543</v>
      </c>
      <c r="C129" s="14" t="n">
        <v>46202</v>
      </c>
      <c r="D129" s="0" t="n">
        <v>16728.17</v>
      </c>
    </row>
    <row r="130" customFormat="false" ht="15" hidden="false" customHeight="false" outlineLevel="0" collapsed="false">
      <c r="A130" s="0" t="s">
        <v>1291</v>
      </c>
      <c r="B130" s="0" t="s">
        <v>314</v>
      </c>
      <c r="C130" s="14" t="n">
        <v>46198</v>
      </c>
      <c r="D130" s="0" t="n">
        <v>5629.98</v>
      </c>
    </row>
    <row r="131" customFormat="false" ht="15" hidden="false" customHeight="false" outlineLevel="0" collapsed="false">
      <c r="A131" s="0" t="s">
        <v>1292</v>
      </c>
      <c r="B131" s="0" t="s">
        <v>599</v>
      </c>
      <c r="C131" s="14" t="n">
        <v>46055</v>
      </c>
      <c r="D131" s="0" t="n">
        <v>1571.14</v>
      </c>
    </row>
    <row r="132" customFormat="false" ht="15" hidden="false" customHeight="false" outlineLevel="0" collapsed="false">
      <c r="A132" s="0" t="s">
        <v>1293</v>
      </c>
      <c r="B132" s="0" t="s">
        <v>804</v>
      </c>
      <c r="C132" s="14" t="n">
        <v>46060</v>
      </c>
      <c r="D132" s="0" t="n">
        <v>10927.52</v>
      </c>
    </row>
    <row r="133" customFormat="false" ht="15" hidden="false" customHeight="false" outlineLevel="0" collapsed="false">
      <c r="A133" s="0" t="s">
        <v>1294</v>
      </c>
      <c r="B133" s="0" t="s">
        <v>907</v>
      </c>
      <c r="C133" s="14" t="n">
        <v>46157</v>
      </c>
      <c r="D133" s="0" t="n">
        <v>7933.72</v>
      </c>
    </row>
    <row r="134" customFormat="false" ht="15" hidden="false" customHeight="false" outlineLevel="0" collapsed="false">
      <c r="A134" s="0" t="s">
        <v>1295</v>
      </c>
      <c r="B134" s="0" t="s">
        <v>915</v>
      </c>
      <c r="C134" s="14" t="n">
        <v>45733</v>
      </c>
      <c r="D134" s="0" t="n">
        <v>4575.5</v>
      </c>
    </row>
    <row r="135" customFormat="false" ht="15" hidden="false" customHeight="false" outlineLevel="0" collapsed="false">
      <c r="A135" s="0" t="s">
        <v>1296</v>
      </c>
      <c r="B135" s="0" t="s">
        <v>837</v>
      </c>
      <c r="C135" s="14" t="n">
        <v>45879</v>
      </c>
      <c r="D135" s="0" t="n">
        <v>2254.68</v>
      </c>
    </row>
    <row r="136" customFormat="false" ht="15" hidden="false" customHeight="false" outlineLevel="0" collapsed="false">
      <c r="A136" s="0" t="s">
        <v>1297</v>
      </c>
      <c r="B136" s="0" t="s">
        <v>663</v>
      </c>
      <c r="C136" s="14" t="n">
        <v>46175</v>
      </c>
      <c r="D136" s="0" t="n">
        <v>2573.5</v>
      </c>
    </row>
    <row r="137" customFormat="false" ht="15" hidden="false" customHeight="false" outlineLevel="0" collapsed="false">
      <c r="A137" s="0" t="s">
        <v>1298</v>
      </c>
      <c r="B137" s="0" t="s">
        <v>740</v>
      </c>
      <c r="C137" s="14" t="n">
        <v>45992</v>
      </c>
      <c r="D137" s="0" t="n">
        <v>1992.56</v>
      </c>
    </row>
    <row r="138" customFormat="false" ht="15" hidden="false" customHeight="false" outlineLevel="0" collapsed="false">
      <c r="A138" s="0" t="s">
        <v>1299</v>
      </c>
      <c r="B138" s="0" t="s">
        <v>904</v>
      </c>
      <c r="C138" s="14" t="n">
        <v>45969</v>
      </c>
      <c r="D138" s="0" t="n">
        <v>1090.07</v>
      </c>
    </row>
    <row r="139" customFormat="false" ht="15" hidden="false" customHeight="false" outlineLevel="0" collapsed="false">
      <c r="A139" s="0" t="s">
        <v>1300</v>
      </c>
      <c r="B139" s="0" t="s">
        <v>416</v>
      </c>
      <c r="C139" s="14" t="n">
        <v>46059</v>
      </c>
      <c r="D139" s="0" t="n">
        <v>1590.35</v>
      </c>
    </row>
    <row r="140" customFormat="false" ht="15" hidden="false" customHeight="false" outlineLevel="0" collapsed="false">
      <c r="A140" s="0" t="s">
        <v>1301</v>
      </c>
      <c r="B140" s="0" t="s">
        <v>323</v>
      </c>
      <c r="C140" s="14" t="n">
        <v>45939</v>
      </c>
      <c r="D140" s="0" t="n">
        <v>1058.03</v>
      </c>
    </row>
    <row r="141" customFormat="false" ht="15" hidden="false" customHeight="false" outlineLevel="0" collapsed="false">
      <c r="A141" s="0" t="s">
        <v>1302</v>
      </c>
      <c r="B141" s="0" t="s">
        <v>378</v>
      </c>
      <c r="C141" s="14" t="n">
        <v>45847</v>
      </c>
      <c r="D141" s="0" t="n">
        <v>3409.89</v>
      </c>
    </row>
    <row r="142" customFormat="false" ht="15" hidden="false" customHeight="false" outlineLevel="0" collapsed="false">
      <c r="A142" s="0" t="s">
        <v>1303</v>
      </c>
      <c r="B142" s="0" t="s">
        <v>860</v>
      </c>
      <c r="C142" s="14" t="n">
        <v>46011</v>
      </c>
      <c r="D142" s="0" t="n">
        <v>219.09</v>
      </c>
    </row>
    <row r="143" customFormat="false" ht="15" hidden="false" customHeight="false" outlineLevel="0" collapsed="false">
      <c r="A143" s="0" t="s">
        <v>1304</v>
      </c>
      <c r="B143" s="0" t="s">
        <v>721</v>
      </c>
      <c r="C143" s="14" t="n">
        <v>46199</v>
      </c>
      <c r="D143" s="0" t="n">
        <v>439.82</v>
      </c>
    </row>
    <row r="144" customFormat="false" ht="15" hidden="false" customHeight="false" outlineLevel="0" collapsed="false">
      <c r="A144" s="0" t="s">
        <v>1305</v>
      </c>
      <c r="B144" s="0" t="s">
        <v>1070</v>
      </c>
      <c r="C144" s="14" t="n">
        <v>45840</v>
      </c>
      <c r="D144" s="0" t="n">
        <v>3110.63</v>
      </c>
    </row>
    <row r="145" customFormat="false" ht="15" hidden="false" customHeight="false" outlineLevel="0" collapsed="false">
      <c r="A145" s="0" t="s">
        <v>1306</v>
      </c>
      <c r="B145" s="0" t="s">
        <v>1043</v>
      </c>
      <c r="C145" s="14" t="n">
        <v>45726</v>
      </c>
      <c r="D145" s="0" t="n">
        <v>2661.22</v>
      </c>
    </row>
    <row r="146" customFormat="false" ht="15" hidden="false" customHeight="false" outlineLevel="0" collapsed="false">
      <c r="A146" s="0" t="s">
        <v>1307</v>
      </c>
      <c r="B146" s="0" t="s">
        <v>783</v>
      </c>
      <c r="C146" s="14" t="n">
        <v>46046</v>
      </c>
      <c r="D146" s="0" t="n">
        <v>1099.38</v>
      </c>
    </row>
    <row r="147" customFormat="false" ht="15" hidden="false" customHeight="false" outlineLevel="0" collapsed="false">
      <c r="A147" s="0" t="s">
        <v>1308</v>
      </c>
      <c r="B147" s="0" t="s">
        <v>429</v>
      </c>
      <c r="C147" s="14" t="n">
        <v>45810</v>
      </c>
      <c r="D147" s="0" t="n">
        <v>1559.4</v>
      </c>
    </row>
    <row r="148" customFormat="false" ht="15" hidden="false" customHeight="false" outlineLevel="0" collapsed="false">
      <c r="A148" s="0" t="s">
        <v>1309</v>
      </c>
      <c r="B148" s="0" t="s">
        <v>517</v>
      </c>
      <c r="C148" s="14" t="n">
        <v>45878</v>
      </c>
      <c r="D148" s="0" t="n">
        <v>759.35</v>
      </c>
    </row>
    <row r="149" customFormat="false" ht="15" hidden="false" customHeight="false" outlineLevel="0" collapsed="false">
      <c r="A149" s="0" t="s">
        <v>1310</v>
      </c>
      <c r="B149" s="0" t="s">
        <v>1126</v>
      </c>
      <c r="C149" s="14" t="n">
        <v>45918</v>
      </c>
      <c r="D149" s="0" t="n">
        <v>854.6</v>
      </c>
    </row>
    <row r="150" customFormat="false" ht="15" hidden="false" customHeight="false" outlineLevel="0" collapsed="false">
      <c r="A150" s="0" t="s">
        <v>1311</v>
      </c>
      <c r="B150" s="0" t="s">
        <v>977</v>
      </c>
      <c r="C150" s="14" t="n">
        <v>45730</v>
      </c>
      <c r="D150" s="0" t="n">
        <v>3315.09</v>
      </c>
    </row>
    <row r="151" customFormat="false" ht="15" hidden="false" customHeight="false" outlineLevel="0" collapsed="false">
      <c r="A151" s="0" t="s">
        <v>1312</v>
      </c>
      <c r="B151" s="0" t="s">
        <v>897</v>
      </c>
      <c r="C151" s="14" t="n">
        <v>45978</v>
      </c>
      <c r="D151" s="0" t="n">
        <v>345.65</v>
      </c>
    </row>
    <row r="152" customFormat="false" ht="15" hidden="false" customHeight="false" outlineLevel="0" collapsed="false">
      <c r="A152" s="0" t="s">
        <v>1313</v>
      </c>
      <c r="B152" s="0" t="s">
        <v>557</v>
      </c>
      <c r="C152" s="14" t="n">
        <v>45996</v>
      </c>
      <c r="D152" s="0" t="n">
        <v>3821.71</v>
      </c>
    </row>
    <row r="153" customFormat="false" ht="15" hidden="false" customHeight="false" outlineLevel="0" collapsed="false">
      <c r="A153" s="0" t="s">
        <v>1314</v>
      </c>
      <c r="B153" s="0" t="s">
        <v>512</v>
      </c>
      <c r="C153" s="14" t="n">
        <v>45728</v>
      </c>
      <c r="D153" s="0" t="n">
        <v>7251.89</v>
      </c>
    </row>
    <row r="154" customFormat="false" ht="15" hidden="false" customHeight="false" outlineLevel="0" collapsed="false">
      <c r="A154" s="0" t="s">
        <v>1315</v>
      </c>
      <c r="B154" s="0" t="s">
        <v>430</v>
      </c>
      <c r="C154" s="14" t="n">
        <v>45709</v>
      </c>
      <c r="D154" s="0" t="n">
        <v>1484.65</v>
      </c>
    </row>
    <row r="155" customFormat="false" ht="15" hidden="false" customHeight="false" outlineLevel="0" collapsed="false">
      <c r="A155" s="0" t="s">
        <v>1316</v>
      </c>
      <c r="B155" s="0" t="s">
        <v>565</v>
      </c>
      <c r="C155" s="14" t="n">
        <v>46142</v>
      </c>
      <c r="D155" s="0" t="n">
        <v>2121.27</v>
      </c>
    </row>
    <row r="156" customFormat="false" ht="15" hidden="false" customHeight="false" outlineLevel="0" collapsed="false">
      <c r="A156" s="0" t="s">
        <v>1317</v>
      </c>
      <c r="B156" s="0" t="s">
        <v>1009</v>
      </c>
      <c r="C156" s="14" t="n">
        <v>45695</v>
      </c>
      <c r="D156" s="0" t="n">
        <v>6197.2</v>
      </c>
    </row>
    <row r="157" customFormat="false" ht="15" hidden="false" customHeight="false" outlineLevel="0" collapsed="false">
      <c r="A157" s="0" t="s">
        <v>1318</v>
      </c>
      <c r="B157" s="0" t="s">
        <v>504</v>
      </c>
      <c r="C157" s="14" t="n">
        <v>46043</v>
      </c>
      <c r="D157" s="0" t="n">
        <v>8157.32</v>
      </c>
    </row>
    <row r="158" customFormat="false" ht="15" hidden="false" customHeight="false" outlineLevel="0" collapsed="false">
      <c r="A158" s="0" t="s">
        <v>1319</v>
      </c>
      <c r="B158" s="0" t="s">
        <v>847</v>
      </c>
      <c r="C158" s="14" t="n">
        <v>46156</v>
      </c>
      <c r="D158" s="0" t="n">
        <v>591.95</v>
      </c>
    </row>
    <row r="159" customFormat="false" ht="15" hidden="false" customHeight="false" outlineLevel="0" collapsed="false">
      <c r="A159" s="0" t="s">
        <v>1320</v>
      </c>
      <c r="B159" s="0" t="s">
        <v>1067</v>
      </c>
      <c r="C159" s="14" t="n">
        <v>45975</v>
      </c>
      <c r="D159" s="0" t="n">
        <v>5589.33</v>
      </c>
    </row>
    <row r="160" customFormat="false" ht="15" hidden="false" customHeight="false" outlineLevel="0" collapsed="false">
      <c r="A160" s="0" t="s">
        <v>1321</v>
      </c>
      <c r="B160" s="0" t="s">
        <v>755</v>
      </c>
      <c r="C160" s="14" t="n">
        <v>46115</v>
      </c>
      <c r="D160" s="0" t="n">
        <v>3088.46</v>
      </c>
    </row>
    <row r="161" customFormat="false" ht="15" hidden="false" customHeight="false" outlineLevel="0" collapsed="false">
      <c r="A161" s="0" t="s">
        <v>1322</v>
      </c>
      <c r="B161" s="0" t="s">
        <v>621</v>
      </c>
      <c r="C161" s="14" t="n">
        <v>45705</v>
      </c>
      <c r="D161" s="0" t="n">
        <v>1801.08</v>
      </c>
    </row>
    <row r="162" customFormat="false" ht="15" hidden="false" customHeight="false" outlineLevel="0" collapsed="false">
      <c r="A162" s="0" t="s">
        <v>1323</v>
      </c>
      <c r="B162" s="0" t="s">
        <v>974</v>
      </c>
      <c r="C162" s="14" t="n">
        <v>45869</v>
      </c>
      <c r="D162" s="0" t="n">
        <v>414.94</v>
      </c>
    </row>
    <row r="163" customFormat="false" ht="15" hidden="false" customHeight="false" outlineLevel="0" collapsed="false">
      <c r="A163" s="0" t="s">
        <v>1324</v>
      </c>
      <c r="B163" s="0" t="s">
        <v>505</v>
      </c>
      <c r="C163" s="14" t="n">
        <v>46087</v>
      </c>
      <c r="D163" s="0" t="n">
        <v>547.49</v>
      </c>
    </row>
    <row r="164" customFormat="false" ht="15" hidden="false" customHeight="false" outlineLevel="0" collapsed="false">
      <c r="A164" s="0" t="s">
        <v>1325</v>
      </c>
      <c r="B164" s="0" t="s">
        <v>370</v>
      </c>
      <c r="C164" s="14" t="n">
        <v>45793</v>
      </c>
      <c r="D164" s="0" t="n">
        <v>2886.68</v>
      </c>
    </row>
    <row r="165" customFormat="false" ht="15" hidden="false" customHeight="false" outlineLevel="0" collapsed="false">
      <c r="A165" s="0" t="s">
        <v>1326</v>
      </c>
      <c r="B165" s="0" t="s">
        <v>673</v>
      </c>
      <c r="C165" s="14" t="n">
        <v>45702</v>
      </c>
      <c r="D165" s="0" t="n">
        <v>14821.15</v>
      </c>
    </row>
    <row r="166" customFormat="false" ht="15" hidden="false" customHeight="false" outlineLevel="0" collapsed="false">
      <c r="A166" s="0" t="s">
        <v>1327</v>
      </c>
      <c r="B166" s="0" t="s">
        <v>651</v>
      </c>
      <c r="C166" s="14" t="n">
        <v>45747</v>
      </c>
      <c r="D166" s="0" t="n">
        <v>2187.07</v>
      </c>
    </row>
    <row r="167" customFormat="false" ht="15" hidden="false" customHeight="false" outlineLevel="0" collapsed="false">
      <c r="A167" s="0" t="s">
        <v>1328</v>
      </c>
      <c r="B167" s="0" t="s">
        <v>1042</v>
      </c>
      <c r="C167" s="14" t="n">
        <v>45991</v>
      </c>
      <c r="D167" s="0" t="n">
        <v>2641.8</v>
      </c>
    </row>
    <row r="168" customFormat="false" ht="15" hidden="false" customHeight="false" outlineLevel="0" collapsed="false">
      <c r="A168" s="0" t="s">
        <v>1329</v>
      </c>
      <c r="B168" s="0" t="s">
        <v>758</v>
      </c>
      <c r="C168" s="14" t="n">
        <v>45975</v>
      </c>
      <c r="D168" s="0" t="n">
        <v>2571.21</v>
      </c>
    </row>
    <row r="169" customFormat="false" ht="15" hidden="false" customHeight="false" outlineLevel="0" collapsed="false">
      <c r="A169" s="0" t="s">
        <v>1330</v>
      </c>
      <c r="B169" s="0" t="s">
        <v>714</v>
      </c>
      <c r="C169" s="14" t="n">
        <v>45816</v>
      </c>
      <c r="D169" s="0" t="n">
        <v>3826.85</v>
      </c>
    </row>
    <row r="170" customFormat="false" ht="15" hidden="false" customHeight="false" outlineLevel="0" collapsed="false">
      <c r="A170" s="0" t="s">
        <v>1331</v>
      </c>
      <c r="B170" s="0" t="s">
        <v>960</v>
      </c>
      <c r="C170" s="14" t="n">
        <v>45900</v>
      </c>
      <c r="D170" s="0" t="n">
        <v>5757.86</v>
      </c>
    </row>
    <row r="171" customFormat="false" ht="15" hidden="false" customHeight="false" outlineLevel="0" collapsed="false">
      <c r="A171" s="0" t="s">
        <v>1332</v>
      </c>
      <c r="B171" s="0" t="s">
        <v>991</v>
      </c>
      <c r="C171" s="14" t="n">
        <v>45780</v>
      </c>
      <c r="D171" s="0" t="n">
        <v>2463.86</v>
      </c>
    </row>
    <row r="172" customFormat="false" ht="15" hidden="false" customHeight="false" outlineLevel="0" collapsed="false">
      <c r="A172" s="0" t="s">
        <v>1333</v>
      </c>
      <c r="B172" s="0" t="s">
        <v>445</v>
      </c>
      <c r="C172" s="14" t="n">
        <v>46153</v>
      </c>
      <c r="D172" s="0" t="n">
        <v>974.82</v>
      </c>
    </row>
    <row r="173" customFormat="false" ht="15" hidden="false" customHeight="false" outlineLevel="0" collapsed="false">
      <c r="A173" s="0" t="s">
        <v>1334</v>
      </c>
      <c r="B173" s="0" t="s">
        <v>533</v>
      </c>
      <c r="C173" s="14" t="n">
        <v>45857</v>
      </c>
      <c r="D173" s="0" t="n">
        <v>3210.01</v>
      </c>
    </row>
    <row r="174" customFormat="false" ht="15" hidden="false" customHeight="false" outlineLevel="0" collapsed="false">
      <c r="A174" s="0" t="s">
        <v>1335</v>
      </c>
      <c r="B174" s="0" t="s">
        <v>982</v>
      </c>
      <c r="C174" s="14" t="n">
        <v>45991</v>
      </c>
      <c r="D174" s="0" t="n">
        <v>3596.65</v>
      </c>
    </row>
    <row r="175" customFormat="false" ht="15" hidden="false" customHeight="false" outlineLevel="0" collapsed="false">
      <c r="A175" s="0" t="s">
        <v>1336</v>
      </c>
      <c r="B175" s="0" t="s">
        <v>444</v>
      </c>
      <c r="C175" s="14" t="n">
        <v>45897</v>
      </c>
      <c r="D175" s="0" t="n">
        <v>9053.44</v>
      </c>
    </row>
    <row r="176" customFormat="false" ht="15" hidden="false" customHeight="false" outlineLevel="0" collapsed="false">
      <c r="A176" s="0" t="s">
        <v>1337</v>
      </c>
      <c r="B176" s="0" t="s">
        <v>1101</v>
      </c>
      <c r="C176" s="14" t="n">
        <v>45829</v>
      </c>
      <c r="D176" s="0" t="n">
        <v>9338.22</v>
      </c>
    </row>
    <row r="177" customFormat="false" ht="15" hidden="false" customHeight="false" outlineLevel="0" collapsed="false">
      <c r="A177" s="0" t="s">
        <v>1338</v>
      </c>
      <c r="B177" s="0" t="s">
        <v>414</v>
      </c>
      <c r="C177" s="14" t="n">
        <v>46147</v>
      </c>
      <c r="D177" s="0" t="n">
        <v>3835.01</v>
      </c>
    </row>
    <row r="178" customFormat="false" ht="15" hidden="false" customHeight="false" outlineLevel="0" collapsed="false">
      <c r="A178" s="0" t="s">
        <v>1339</v>
      </c>
      <c r="B178" s="0" t="s">
        <v>628</v>
      </c>
      <c r="C178" s="14" t="n">
        <v>45689</v>
      </c>
      <c r="D178" s="0" t="n">
        <v>2560.27</v>
      </c>
    </row>
    <row r="179" customFormat="false" ht="15" hidden="false" customHeight="false" outlineLevel="0" collapsed="false">
      <c r="A179" s="0" t="s">
        <v>1340</v>
      </c>
      <c r="B179" s="0" t="s">
        <v>1132</v>
      </c>
      <c r="C179" s="14" t="n">
        <v>46044</v>
      </c>
      <c r="D179" s="0" t="n">
        <v>197.82</v>
      </c>
    </row>
    <row r="180" customFormat="false" ht="15" hidden="false" customHeight="false" outlineLevel="0" collapsed="false">
      <c r="A180" s="0" t="s">
        <v>1341</v>
      </c>
      <c r="B180" s="0" t="s">
        <v>366</v>
      </c>
      <c r="C180" s="14" t="n">
        <v>45987</v>
      </c>
      <c r="D180" s="0" t="n">
        <v>3881</v>
      </c>
    </row>
    <row r="181" customFormat="false" ht="15" hidden="false" customHeight="false" outlineLevel="0" collapsed="false">
      <c r="A181" s="0" t="s">
        <v>1342</v>
      </c>
      <c r="B181" s="0" t="s">
        <v>790</v>
      </c>
      <c r="C181" s="14" t="n">
        <v>46115</v>
      </c>
      <c r="D181" s="0" t="n">
        <v>11046.74</v>
      </c>
    </row>
    <row r="182" customFormat="false" ht="15" hidden="false" customHeight="false" outlineLevel="0" collapsed="false">
      <c r="A182" s="0" t="s">
        <v>1343</v>
      </c>
      <c r="B182" s="0" t="s">
        <v>827</v>
      </c>
      <c r="C182" s="14" t="n">
        <v>45904</v>
      </c>
      <c r="D182" s="0" t="n">
        <v>13194.36</v>
      </c>
    </row>
    <row r="183" customFormat="false" ht="15" hidden="false" customHeight="false" outlineLevel="0" collapsed="false">
      <c r="A183" s="0" t="s">
        <v>1344</v>
      </c>
      <c r="B183" s="0" t="s">
        <v>624</v>
      </c>
      <c r="C183" s="14" t="n">
        <v>46124</v>
      </c>
      <c r="D183" s="0" t="n">
        <v>2560.65</v>
      </c>
    </row>
    <row r="184" customFormat="false" ht="15" hidden="false" customHeight="false" outlineLevel="0" collapsed="false">
      <c r="A184" s="0" t="s">
        <v>1345</v>
      </c>
      <c r="B184" s="0" t="s">
        <v>584</v>
      </c>
      <c r="C184" s="14" t="n">
        <v>45959</v>
      </c>
      <c r="D184" s="0" t="n">
        <v>1729.73</v>
      </c>
    </row>
    <row r="185" customFormat="false" ht="15" hidden="false" customHeight="false" outlineLevel="0" collapsed="false">
      <c r="A185" s="0" t="s">
        <v>1346</v>
      </c>
      <c r="B185" s="0" t="s">
        <v>1147</v>
      </c>
      <c r="C185" s="14" t="n">
        <v>45884</v>
      </c>
      <c r="D185" s="0" t="n">
        <v>4948.03</v>
      </c>
    </row>
    <row r="186" customFormat="false" ht="15" hidden="false" customHeight="false" outlineLevel="0" collapsed="false">
      <c r="A186" s="0" t="s">
        <v>1347</v>
      </c>
      <c r="B186" s="0" t="s">
        <v>769</v>
      </c>
      <c r="C186" s="14" t="n">
        <v>46125</v>
      </c>
      <c r="D186" s="0" t="n">
        <v>2328.91</v>
      </c>
    </row>
    <row r="187" customFormat="false" ht="15" hidden="false" customHeight="false" outlineLevel="0" collapsed="false">
      <c r="A187" s="0" t="s">
        <v>1348</v>
      </c>
      <c r="B187" s="0" t="s">
        <v>575</v>
      </c>
      <c r="C187" s="14" t="n">
        <v>46022</v>
      </c>
      <c r="D187" s="0" t="n">
        <v>482.15</v>
      </c>
    </row>
    <row r="188" customFormat="false" ht="15" hidden="false" customHeight="false" outlineLevel="0" collapsed="false">
      <c r="A188" s="0" t="s">
        <v>1349</v>
      </c>
      <c r="B188" s="0" t="s">
        <v>912</v>
      </c>
      <c r="C188" s="14" t="n">
        <v>46113</v>
      </c>
      <c r="D188" s="0" t="n">
        <v>329.34</v>
      </c>
    </row>
    <row r="189" customFormat="false" ht="15" hidden="false" customHeight="false" outlineLevel="0" collapsed="false">
      <c r="A189" s="0" t="s">
        <v>1350</v>
      </c>
      <c r="B189" s="0" t="s">
        <v>650</v>
      </c>
      <c r="C189" s="14" t="n">
        <v>46024</v>
      </c>
      <c r="D189" s="0" t="n">
        <v>3284.61</v>
      </c>
    </row>
    <row r="190" customFormat="false" ht="15" hidden="false" customHeight="false" outlineLevel="0" collapsed="false">
      <c r="A190" s="0" t="s">
        <v>1351</v>
      </c>
      <c r="B190" s="0" t="s">
        <v>868</v>
      </c>
      <c r="C190" s="14" t="n">
        <v>45987</v>
      </c>
      <c r="D190" s="0" t="n">
        <v>1002.81</v>
      </c>
    </row>
    <row r="191" customFormat="false" ht="15" hidden="false" customHeight="false" outlineLevel="0" collapsed="false">
      <c r="A191" s="0" t="s">
        <v>1352</v>
      </c>
      <c r="B191" s="0" t="s">
        <v>339</v>
      </c>
      <c r="C191" s="14" t="n">
        <v>45704</v>
      </c>
      <c r="D191" s="0" t="n">
        <v>3858.14</v>
      </c>
    </row>
    <row r="192" customFormat="false" ht="15" hidden="false" customHeight="false" outlineLevel="0" collapsed="false">
      <c r="A192" s="0" t="s">
        <v>1353</v>
      </c>
      <c r="B192" s="0" t="s">
        <v>1049</v>
      </c>
      <c r="C192" s="14" t="n">
        <v>45789</v>
      </c>
      <c r="D192" s="0" t="n">
        <v>603.9</v>
      </c>
    </row>
    <row r="193" customFormat="false" ht="15" hidden="false" customHeight="false" outlineLevel="0" collapsed="false">
      <c r="A193" s="0" t="s">
        <v>1354</v>
      </c>
      <c r="B193" s="0" t="s">
        <v>805</v>
      </c>
      <c r="C193" s="14" t="n">
        <v>45882</v>
      </c>
      <c r="D193" s="0" t="n">
        <v>1732.45</v>
      </c>
    </row>
    <row r="194" customFormat="false" ht="15" hidden="false" customHeight="false" outlineLevel="0" collapsed="false">
      <c r="A194" s="0" t="s">
        <v>1355</v>
      </c>
      <c r="B194" s="0" t="s">
        <v>1020</v>
      </c>
      <c r="C194" s="14" t="n">
        <v>46085</v>
      </c>
      <c r="D194" s="0" t="n">
        <v>199.69</v>
      </c>
    </row>
    <row r="195" customFormat="false" ht="15" hidden="false" customHeight="false" outlineLevel="0" collapsed="false">
      <c r="A195" s="0" t="s">
        <v>1356</v>
      </c>
      <c r="B195" s="0" t="s">
        <v>1052</v>
      </c>
      <c r="C195" s="14" t="n">
        <v>45855</v>
      </c>
      <c r="D195" s="0" t="n">
        <v>9161.11</v>
      </c>
    </row>
    <row r="196" customFormat="false" ht="15" hidden="false" customHeight="false" outlineLevel="0" collapsed="false">
      <c r="A196" s="0" t="s">
        <v>1357</v>
      </c>
      <c r="B196" s="0" t="s">
        <v>348</v>
      </c>
      <c r="C196" s="14" t="n">
        <v>45831</v>
      </c>
      <c r="D196" s="0" t="n">
        <v>1814.85</v>
      </c>
    </row>
    <row r="197" customFormat="false" ht="15" hidden="false" customHeight="false" outlineLevel="0" collapsed="false">
      <c r="A197" s="0" t="s">
        <v>1358</v>
      </c>
      <c r="B197" s="0" t="s">
        <v>549</v>
      </c>
      <c r="C197" s="14" t="n">
        <v>46073</v>
      </c>
      <c r="D197" s="0" t="n">
        <v>4217.99</v>
      </c>
    </row>
    <row r="198" customFormat="false" ht="15" hidden="false" customHeight="false" outlineLevel="0" collapsed="false">
      <c r="A198" s="0" t="s">
        <v>1359</v>
      </c>
      <c r="B198" s="0" t="s">
        <v>1083</v>
      </c>
      <c r="C198" s="14" t="n">
        <v>45794</v>
      </c>
      <c r="D198" s="0" t="n">
        <v>2069.86</v>
      </c>
    </row>
    <row r="199" customFormat="false" ht="15" hidden="false" customHeight="false" outlineLevel="0" collapsed="false">
      <c r="A199" s="0" t="s">
        <v>1360</v>
      </c>
      <c r="B199" s="0" t="s">
        <v>1073</v>
      </c>
      <c r="C199" s="14" t="n">
        <v>46022</v>
      </c>
      <c r="D199" s="0" t="n">
        <v>7872.8</v>
      </c>
    </row>
    <row r="200" customFormat="false" ht="15" hidden="false" customHeight="false" outlineLevel="0" collapsed="false">
      <c r="A200" s="0" t="s">
        <v>1361</v>
      </c>
      <c r="B200" s="0" t="s">
        <v>1118</v>
      </c>
      <c r="C200" s="14" t="n">
        <v>45709</v>
      </c>
      <c r="D200" s="0" t="n">
        <v>254.85</v>
      </c>
    </row>
    <row r="201" customFormat="false" ht="15" hidden="false" customHeight="false" outlineLevel="0" collapsed="false">
      <c r="A201" s="0" t="s">
        <v>1362</v>
      </c>
      <c r="B201" s="0" t="s">
        <v>418</v>
      </c>
      <c r="C201" s="14" t="n">
        <v>46113</v>
      </c>
      <c r="D201" s="0" t="n">
        <v>3503.5</v>
      </c>
    </row>
    <row r="202" customFormat="false" ht="15" hidden="false" customHeight="false" outlineLevel="0" collapsed="false">
      <c r="A202" s="0" t="s">
        <v>1363</v>
      </c>
      <c r="B202" s="0" t="s">
        <v>862</v>
      </c>
      <c r="C202" s="14" t="n">
        <v>45811</v>
      </c>
      <c r="D202" s="0" t="n">
        <v>7086.46</v>
      </c>
    </row>
    <row r="203" customFormat="false" ht="15" hidden="false" customHeight="false" outlineLevel="0" collapsed="false">
      <c r="A203" s="0" t="s">
        <v>1364</v>
      </c>
      <c r="B203" s="0" t="s">
        <v>1157</v>
      </c>
      <c r="C203" s="14" t="n">
        <v>46139</v>
      </c>
      <c r="D203" s="0" t="n">
        <v>5336.94</v>
      </c>
    </row>
    <row r="204" customFormat="false" ht="15" hidden="false" customHeight="false" outlineLevel="0" collapsed="false">
      <c r="A204" s="0" t="s">
        <v>1365</v>
      </c>
      <c r="B204" s="0" t="s">
        <v>957</v>
      </c>
      <c r="C204" s="14" t="n">
        <v>45889</v>
      </c>
      <c r="D204" s="0" t="n">
        <v>989.27</v>
      </c>
    </row>
    <row r="205" customFormat="false" ht="15" hidden="false" customHeight="false" outlineLevel="0" collapsed="false">
      <c r="A205" s="0" t="s">
        <v>1366</v>
      </c>
      <c r="B205" s="0" t="s">
        <v>685</v>
      </c>
      <c r="C205" s="14" t="n">
        <v>45718</v>
      </c>
      <c r="D205" s="0" t="n">
        <v>2387.19</v>
      </c>
    </row>
    <row r="206" customFormat="false" ht="15" hidden="false" customHeight="false" outlineLevel="0" collapsed="false">
      <c r="A206" s="0" t="s">
        <v>1367</v>
      </c>
      <c r="B206" s="0" t="s">
        <v>277</v>
      </c>
      <c r="C206" s="14" t="n">
        <v>46104</v>
      </c>
      <c r="D206" s="0" t="n">
        <v>1309.32</v>
      </c>
    </row>
    <row r="207" customFormat="false" ht="15" hidden="false" customHeight="false" outlineLevel="0" collapsed="false">
      <c r="A207" s="0" t="s">
        <v>1368</v>
      </c>
      <c r="B207" s="0" t="s">
        <v>1148</v>
      </c>
      <c r="C207" s="14" t="n">
        <v>46060</v>
      </c>
      <c r="D207" s="0" t="n">
        <v>1631.21</v>
      </c>
    </row>
    <row r="208" customFormat="false" ht="15" hidden="false" customHeight="false" outlineLevel="0" collapsed="false">
      <c r="A208" s="0" t="s">
        <v>1369</v>
      </c>
      <c r="B208" s="0" t="s">
        <v>883</v>
      </c>
      <c r="C208" s="14" t="n">
        <v>46098</v>
      </c>
      <c r="D208" s="0" t="n">
        <v>3318.83</v>
      </c>
    </row>
    <row r="209" customFormat="false" ht="15" hidden="false" customHeight="false" outlineLevel="0" collapsed="false">
      <c r="A209" s="0" t="s">
        <v>1370</v>
      </c>
      <c r="B209" s="0" t="s">
        <v>384</v>
      </c>
      <c r="C209" s="14" t="n">
        <v>45775</v>
      </c>
      <c r="D209" s="0" t="n">
        <v>2776.3</v>
      </c>
    </row>
    <row r="210" customFormat="false" ht="15" hidden="false" customHeight="false" outlineLevel="0" collapsed="false">
      <c r="A210" s="0" t="s">
        <v>1371</v>
      </c>
      <c r="B210" s="0" t="s">
        <v>470</v>
      </c>
      <c r="C210" s="14" t="n">
        <v>46010</v>
      </c>
      <c r="D210" s="0" t="n">
        <v>783.53</v>
      </c>
    </row>
    <row r="211" customFormat="false" ht="15" hidden="false" customHeight="false" outlineLevel="0" collapsed="false">
      <c r="A211" s="0" t="s">
        <v>1372</v>
      </c>
      <c r="B211" s="0" t="s">
        <v>678</v>
      </c>
      <c r="C211" s="14" t="n">
        <v>45826</v>
      </c>
      <c r="D211" s="0" t="n">
        <v>9606.11</v>
      </c>
    </row>
    <row r="212" customFormat="false" ht="15" hidden="false" customHeight="false" outlineLevel="0" collapsed="false">
      <c r="A212" s="0" t="s">
        <v>1373</v>
      </c>
      <c r="B212" s="0" t="s">
        <v>375</v>
      </c>
      <c r="C212" s="14" t="n">
        <v>45713</v>
      </c>
      <c r="D212" s="0" t="n">
        <v>3847.67</v>
      </c>
    </row>
    <row r="213" customFormat="false" ht="15" hidden="false" customHeight="false" outlineLevel="0" collapsed="false">
      <c r="A213" s="0" t="s">
        <v>1374</v>
      </c>
      <c r="B213" s="0" t="s">
        <v>789</v>
      </c>
      <c r="C213" s="14" t="n">
        <v>46049</v>
      </c>
      <c r="D213" s="0" t="n">
        <v>8071.8</v>
      </c>
    </row>
    <row r="214" customFormat="false" ht="15" hidden="false" customHeight="false" outlineLevel="0" collapsed="false">
      <c r="A214" s="0" t="s">
        <v>1375</v>
      </c>
      <c r="B214" s="0" t="s">
        <v>609</v>
      </c>
      <c r="C214" s="14" t="n">
        <v>45826</v>
      </c>
      <c r="D214" s="0" t="n">
        <v>3079.87</v>
      </c>
    </row>
    <row r="215" customFormat="false" ht="15" hidden="false" customHeight="false" outlineLevel="0" collapsed="false">
      <c r="A215" s="0" t="s">
        <v>1376</v>
      </c>
      <c r="B215" s="0" t="s">
        <v>765</v>
      </c>
      <c r="C215" s="14" t="n">
        <v>46092</v>
      </c>
      <c r="D215" s="0" t="n">
        <v>1820.28</v>
      </c>
    </row>
    <row r="216" customFormat="false" ht="15" hidden="false" customHeight="false" outlineLevel="0" collapsed="false">
      <c r="A216" s="0" t="s">
        <v>1377</v>
      </c>
      <c r="B216" s="0" t="s">
        <v>528</v>
      </c>
      <c r="C216" s="14" t="n">
        <v>46099</v>
      </c>
      <c r="D216" s="0" t="n">
        <v>3449.51</v>
      </c>
    </row>
    <row r="217" customFormat="false" ht="15" hidden="false" customHeight="false" outlineLevel="0" collapsed="false">
      <c r="A217" s="0" t="s">
        <v>1378</v>
      </c>
      <c r="B217" s="0" t="s">
        <v>773</v>
      </c>
      <c r="C217" s="14" t="n">
        <v>46206</v>
      </c>
      <c r="D217" s="0" t="n">
        <v>5599.82</v>
      </c>
    </row>
    <row r="218" customFormat="false" ht="15" hidden="false" customHeight="false" outlineLevel="0" collapsed="false">
      <c r="A218" s="0" t="s">
        <v>1379</v>
      </c>
      <c r="B218" s="0" t="s">
        <v>731</v>
      </c>
      <c r="C218" s="14" t="n">
        <v>46005</v>
      </c>
      <c r="D218" s="0" t="n">
        <v>1440.58</v>
      </c>
    </row>
    <row r="219" customFormat="false" ht="15" hidden="false" customHeight="false" outlineLevel="0" collapsed="false">
      <c r="A219" s="0" t="s">
        <v>1380</v>
      </c>
      <c r="B219" s="0" t="s">
        <v>856</v>
      </c>
      <c r="C219" s="14" t="n">
        <v>45759</v>
      </c>
      <c r="D219" s="0" t="n">
        <v>836.54</v>
      </c>
    </row>
    <row r="220" customFormat="false" ht="15" hidden="false" customHeight="false" outlineLevel="0" collapsed="false">
      <c r="A220" s="0" t="s">
        <v>1381</v>
      </c>
      <c r="B220" s="0" t="s">
        <v>782</v>
      </c>
      <c r="C220" s="14" t="n">
        <v>45764</v>
      </c>
      <c r="D220" s="0" t="n">
        <v>12520.7</v>
      </c>
    </row>
    <row r="221" customFormat="false" ht="15" hidden="false" customHeight="false" outlineLevel="0" collapsed="false">
      <c r="A221" s="0" t="s">
        <v>1382</v>
      </c>
      <c r="B221" s="0" t="s">
        <v>1134</v>
      </c>
      <c r="C221" s="14" t="n">
        <v>46031</v>
      </c>
      <c r="D221" s="0" t="n">
        <v>4289.12</v>
      </c>
    </row>
    <row r="222" customFormat="false" ht="15" hidden="false" customHeight="false" outlineLevel="0" collapsed="false">
      <c r="A222" s="0" t="s">
        <v>1383</v>
      </c>
      <c r="B222" s="0" t="s">
        <v>469</v>
      </c>
      <c r="C222" s="14" t="n">
        <v>45747</v>
      </c>
      <c r="D222" s="0" t="n">
        <v>341.94</v>
      </c>
    </row>
    <row r="223" customFormat="false" ht="15" hidden="false" customHeight="false" outlineLevel="0" collapsed="false">
      <c r="A223" s="0" t="s">
        <v>1384</v>
      </c>
      <c r="B223" s="0" t="s">
        <v>961</v>
      </c>
      <c r="C223" s="14" t="n">
        <v>45722</v>
      </c>
      <c r="D223" s="0" t="n">
        <v>6110.21</v>
      </c>
    </row>
    <row r="224" customFormat="false" ht="15" hidden="false" customHeight="false" outlineLevel="0" collapsed="false">
      <c r="A224" s="0" t="s">
        <v>1385</v>
      </c>
      <c r="B224" s="0" t="s">
        <v>471</v>
      </c>
      <c r="C224" s="14" t="n">
        <v>45680</v>
      </c>
      <c r="D224" s="0" t="n">
        <v>2198.89</v>
      </c>
    </row>
    <row r="225" customFormat="false" ht="15" hidden="false" customHeight="false" outlineLevel="0" collapsed="false">
      <c r="A225" s="0" t="s">
        <v>1386</v>
      </c>
      <c r="B225" s="0" t="s">
        <v>826</v>
      </c>
      <c r="C225" s="14" t="n">
        <v>46077</v>
      </c>
      <c r="D225" s="0" t="n">
        <v>28542.14</v>
      </c>
    </row>
    <row r="226" customFormat="false" ht="15" hidden="false" customHeight="false" outlineLevel="0" collapsed="false">
      <c r="A226" s="0" t="s">
        <v>1387</v>
      </c>
      <c r="B226" s="0" t="s">
        <v>1019</v>
      </c>
      <c r="C226" s="14" t="n">
        <v>45691</v>
      </c>
      <c r="D226" s="0" t="n">
        <v>1081.06</v>
      </c>
    </row>
    <row r="227" customFormat="false" ht="15" hidden="false" customHeight="false" outlineLevel="0" collapsed="false">
      <c r="A227" s="0" t="s">
        <v>1388</v>
      </c>
      <c r="B227" s="0" t="s">
        <v>1138</v>
      </c>
      <c r="C227" s="14" t="n">
        <v>45668</v>
      </c>
      <c r="D227" s="0" t="n">
        <v>79.06</v>
      </c>
    </row>
    <row r="228" customFormat="false" ht="15" hidden="false" customHeight="false" outlineLevel="0" collapsed="false">
      <c r="A228" s="0" t="s">
        <v>1389</v>
      </c>
      <c r="B228" s="0" t="s">
        <v>1124</v>
      </c>
      <c r="C228" s="14" t="n">
        <v>46033</v>
      </c>
      <c r="D228" s="0" t="n">
        <v>12577.38</v>
      </c>
    </row>
    <row r="229" customFormat="false" ht="15" hidden="false" customHeight="false" outlineLevel="0" collapsed="false">
      <c r="A229" s="0" t="s">
        <v>1390</v>
      </c>
      <c r="B229" s="0" t="s">
        <v>671</v>
      </c>
      <c r="C229" s="14" t="n">
        <v>46171</v>
      </c>
      <c r="D229" s="0" t="n">
        <v>1194.11</v>
      </c>
    </row>
    <row r="230" customFormat="false" ht="15" hidden="false" customHeight="false" outlineLevel="0" collapsed="false">
      <c r="A230" s="0" t="s">
        <v>1391</v>
      </c>
      <c r="B230" s="0" t="s">
        <v>753</v>
      </c>
      <c r="C230" s="14" t="n">
        <v>45950</v>
      </c>
      <c r="D230" s="0" t="n">
        <v>1396.94</v>
      </c>
    </row>
    <row r="231" customFormat="false" ht="15" hidden="false" customHeight="false" outlineLevel="0" collapsed="false">
      <c r="A231" s="0" t="s">
        <v>1392</v>
      </c>
      <c r="B231" s="0" t="s">
        <v>307</v>
      </c>
      <c r="C231" s="14" t="n">
        <v>45725</v>
      </c>
      <c r="D231" s="0" t="n">
        <v>1222.88</v>
      </c>
    </row>
    <row r="232" customFormat="false" ht="15" hidden="false" customHeight="false" outlineLevel="0" collapsed="false">
      <c r="A232" s="0" t="s">
        <v>1393</v>
      </c>
      <c r="B232" s="0" t="s">
        <v>962</v>
      </c>
      <c r="C232" s="14" t="n">
        <v>45926</v>
      </c>
      <c r="D232" s="0" t="n">
        <v>228.89</v>
      </c>
    </row>
    <row r="233" customFormat="false" ht="15" hidden="false" customHeight="false" outlineLevel="0" collapsed="false">
      <c r="A233" s="0" t="s">
        <v>1394</v>
      </c>
      <c r="B233" s="0" t="s">
        <v>762</v>
      </c>
      <c r="C233" s="14" t="n">
        <v>46145</v>
      </c>
      <c r="D233" s="0" t="n">
        <v>12801.13</v>
      </c>
    </row>
    <row r="234" customFormat="false" ht="15" hidden="false" customHeight="false" outlineLevel="0" collapsed="false">
      <c r="A234" s="0" t="s">
        <v>1395</v>
      </c>
      <c r="B234" s="0" t="s">
        <v>713</v>
      </c>
      <c r="C234" s="14" t="n">
        <v>46049</v>
      </c>
      <c r="D234" s="0" t="n">
        <v>1752.88</v>
      </c>
    </row>
    <row r="235" customFormat="false" ht="15" hidden="false" customHeight="false" outlineLevel="0" collapsed="false">
      <c r="A235" s="0" t="s">
        <v>1396</v>
      </c>
      <c r="B235" s="0" t="s">
        <v>739</v>
      </c>
      <c r="C235" s="14" t="n">
        <v>46191</v>
      </c>
      <c r="D235" s="0" t="n">
        <v>3415.67</v>
      </c>
    </row>
    <row r="236" customFormat="false" ht="15" hidden="false" customHeight="false" outlineLevel="0" collapsed="false">
      <c r="A236" s="0" t="s">
        <v>1397</v>
      </c>
      <c r="B236" s="0" t="s">
        <v>630</v>
      </c>
      <c r="C236" s="14" t="n">
        <v>45973</v>
      </c>
      <c r="D236" s="0" t="n">
        <v>1093.64</v>
      </c>
    </row>
    <row r="237" customFormat="false" ht="15" hidden="false" customHeight="false" outlineLevel="0" collapsed="false">
      <c r="A237" s="0" t="s">
        <v>1398</v>
      </c>
      <c r="B237" s="0" t="s">
        <v>402</v>
      </c>
      <c r="C237" s="14" t="n">
        <v>45756</v>
      </c>
      <c r="D237" s="0" t="n">
        <v>1218.24</v>
      </c>
    </row>
    <row r="238" customFormat="false" ht="15" hidden="false" customHeight="false" outlineLevel="0" collapsed="false">
      <c r="A238" s="0" t="s">
        <v>1399</v>
      </c>
      <c r="B238" s="0" t="s">
        <v>435</v>
      </c>
      <c r="C238" s="14" t="n">
        <v>45748</v>
      </c>
      <c r="D238" s="0" t="n">
        <v>12091.17</v>
      </c>
    </row>
    <row r="239" customFormat="false" ht="15" hidden="false" customHeight="false" outlineLevel="0" collapsed="false">
      <c r="A239" s="0" t="s">
        <v>1400</v>
      </c>
      <c r="B239" s="0" t="s">
        <v>424</v>
      </c>
      <c r="C239" s="14" t="n">
        <v>45795</v>
      </c>
      <c r="D239" s="0" t="n">
        <v>1755.83</v>
      </c>
    </row>
    <row r="240" customFormat="false" ht="15" hidden="false" customHeight="false" outlineLevel="0" collapsed="false">
      <c r="A240" s="0" t="s">
        <v>1401</v>
      </c>
      <c r="B240" s="0" t="s">
        <v>1053</v>
      </c>
      <c r="C240" s="14" t="n">
        <v>45916</v>
      </c>
      <c r="D240" s="0" t="n">
        <v>1056.4</v>
      </c>
    </row>
    <row r="241" customFormat="false" ht="15" hidden="false" customHeight="false" outlineLevel="0" collapsed="false">
      <c r="A241" s="0" t="s">
        <v>1402</v>
      </c>
      <c r="B241" s="0" t="s">
        <v>964</v>
      </c>
      <c r="C241" s="14" t="n">
        <v>46191</v>
      </c>
      <c r="D241" s="0" t="n">
        <v>2875.96</v>
      </c>
    </row>
    <row r="242" customFormat="false" ht="15" hidden="false" customHeight="false" outlineLevel="0" collapsed="false">
      <c r="A242" s="0" t="s">
        <v>1403</v>
      </c>
      <c r="B242" s="0" t="s">
        <v>568</v>
      </c>
      <c r="C242" s="14" t="n">
        <v>45682</v>
      </c>
      <c r="D242" s="0" t="n">
        <v>585.14</v>
      </c>
    </row>
    <row r="243" customFormat="false" ht="15" hidden="false" customHeight="false" outlineLevel="0" collapsed="false">
      <c r="A243" s="0" t="s">
        <v>1404</v>
      </c>
      <c r="B243" s="0" t="s">
        <v>386</v>
      </c>
      <c r="C243" s="14" t="n">
        <v>45804</v>
      </c>
      <c r="D243" s="0" t="n">
        <v>3182.11</v>
      </c>
    </row>
    <row r="244" customFormat="false" ht="15" hidden="false" customHeight="false" outlineLevel="0" collapsed="false">
      <c r="A244" s="0" t="s">
        <v>1405</v>
      </c>
      <c r="B244" s="0" t="s">
        <v>1146</v>
      </c>
      <c r="C244" s="14" t="n">
        <v>45766</v>
      </c>
      <c r="D244" s="0" t="n">
        <v>5467.62</v>
      </c>
    </row>
    <row r="245" customFormat="false" ht="15" hidden="false" customHeight="false" outlineLevel="0" collapsed="false">
      <c r="A245" s="0" t="s">
        <v>1406</v>
      </c>
      <c r="B245" s="0" t="s">
        <v>1007</v>
      </c>
      <c r="C245" s="14" t="n">
        <v>45840</v>
      </c>
      <c r="D245" s="0" t="n">
        <v>2211.07</v>
      </c>
    </row>
    <row r="246" customFormat="false" ht="15" hidden="false" customHeight="false" outlineLevel="0" collapsed="false">
      <c r="A246" s="0" t="s">
        <v>1407</v>
      </c>
      <c r="B246" s="0" t="s">
        <v>1051</v>
      </c>
      <c r="C246" s="14" t="n">
        <v>45788</v>
      </c>
      <c r="D246" s="0" t="n">
        <v>8117.27</v>
      </c>
    </row>
    <row r="247" customFormat="false" ht="15" hidden="false" customHeight="false" outlineLevel="0" collapsed="false">
      <c r="A247" s="0" t="s">
        <v>1408</v>
      </c>
      <c r="B247" s="0" t="s">
        <v>499</v>
      </c>
      <c r="C247" s="14" t="n">
        <v>45756</v>
      </c>
      <c r="D247" s="0" t="n">
        <v>342.72</v>
      </c>
    </row>
    <row r="248" customFormat="false" ht="15" hidden="false" customHeight="false" outlineLevel="0" collapsed="false">
      <c r="A248" s="0" t="s">
        <v>1409</v>
      </c>
      <c r="B248" s="0" t="s">
        <v>695</v>
      </c>
      <c r="C248" s="14" t="n">
        <v>46204</v>
      </c>
      <c r="D248" s="0" t="n">
        <v>2982.17</v>
      </c>
    </row>
    <row r="249" customFormat="false" ht="15" hidden="false" customHeight="false" outlineLevel="0" collapsed="false">
      <c r="A249" s="0" t="s">
        <v>1410</v>
      </c>
      <c r="B249" s="0" t="s">
        <v>442</v>
      </c>
      <c r="C249" s="14" t="n">
        <v>45904</v>
      </c>
      <c r="D249" s="0" t="n">
        <v>1297.3</v>
      </c>
    </row>
    <row r="250" customFormat="false" ht="15" hidden="false" customHeight="false" outlineLevel="0" collapsed="false">
      <c r="A250" s="0" t="s">
        <v>1411</v>
      </c>
      <c r="B250" s="0" t="s">
        <v>676</v>
      </c>
      <c r="C250" s="14" t="n">
        <v>46076</v>
      </c>
      <c r="D250" s="0" t="n">
        <v>525.18</v>
      </c>
    </row>
    <row r="251" customFormat="false" ht="15" hidden="false" customHeight="false" outlineLevel="0" collapsed="false">
      <c r="A251" s="0" t="s">
        <v>1412</v>
      </c>
      <c r="B251" s="0" t="s">
        <v>864</v>
      </c>
      <c r="C251" s="14" t="n">
        <v>45784</v>
      </c>
      <c r="D251" s="0" t="n">
        <v>745.67</v>
      </c>
    </row>
    <row r="252" customFormat="false" ht="15" hidden="false" customHeight="false" outlineLevel="0" collapsed="false">
      <c r="A252" s="0" t="s">
        <v>1413</v>
      </c>
      <c r="B252" s="0" t="s">
        <v>839</v>
      </c>
      <c r="C252" s="14" t="n">
        <v>45950</v>
      </c>
      <c r="D252" s="0" t="n">
        <v>2271.46</v>
      </c>
    </row>
    <row r="253" customFormat="false" ht="15" hidden="false" customHeight="false" outlineLevel="0" collapsed="false">
      <c r="A253" s="0" t="s">
        <v>1414</v>
      </c>
      <c r="B253" s="0" t="s">
        <v>1069</v>
      </c>
      <c r="C253" s="14" t="n">
        <v>45969</v>
      </c>
      <c r="D253" s="0" t="n">
        <v>723.52</v>
      </c>
    </row>
    <row r="254" customFormat="false" ht="15" hidden="false" customHeight="false" outlineLevel="0" collapsed="false">
      <c r="A254" s="0" t="s">
        <v>1415</v>
      </c>
      <c r="B254" s="0" t="s">
        <v>556</v>
      </c>
      <c r="C254" s="14" t="n">
        <v>45928</v>
      </c>
      <c r="D254" s="0" t="n">
        <v>5615.74</v>
      </c>
    </row>
    <row r="255" customFormat="false" ht="15" hidden="false" customHeight="false" outlineLevel="0" collapsed="false">
      <c r="A255" s="0" t="s">
        <v>1416</v>
      </c>
      <c r="B255" s="0" t="s">
        <v>1144</v>
      </c>
      <c r="C255" s="14" t="n">
        <v>45680</v>
      </c>
      <c r="D255" s="0" t="n">
        <v>8318.12</v>
      </c>
    </row>
    <row r="256" customFormat="false" ht="15" hidden="false" customHeight="false" outlineLevel="0" collapsed="false">
      <c r="A256" s="0" t="s">
        <v>1417</v>
      </c>
      <c r="B256" s="0" t="s">
        <v>873</v>
      </c>
      <c r="C256" s="14" t="n">
        <v>46029</v>
      </c>
      <c r="D256" s="0" t="n">
        <v>1462.27</v>
      </c>
    </row>
    <row r="257" customFormat="false" ht="15" hidden="false" customHeight="false" outlineLevel="0" collapsed="false">
      <c r="A257" s="0" t="s">
        <v>1418</v>
      </c>
      <c r="B257" s="0" t="s">
        <v>347</v>
      </c>
      <c r="C257" s="14" t="n">
        <v>46062</v>
      </c>
      <c r="D257" s="0" t="n">
        <v>1410.52</v>
      </c>
    </row>
    <row r="258" customFormat="false" ht="15" hidden="false" customHeight="false" outlineLevel="0" collapsed="false">
      <c r="A258" s="0" t="s">
        <v>1419</v>
      </c>
      <c r="B258" s="0" t="s">
        <v>399</v>
      </c>
      <c r="C258" s="14" t="n">
        <v>46093</v>
      </c>
      <c r="D258" s="0" t="n">
        <v>3940.78</v>
      </c>
    </row>
    <row r="259" customFormat="false" ht="15" hidden="false" customHeight="false" outlineLevel="0" collapsed="false">
      <c r="A259" s="0" t="s">
        <v>1420</v>
      </c>
      <c r="B259" s="0" t="s">
        <v>738</v>
      </c>
      <c r="C259" s="14" t="n">
        <v>45743</v>
      </c>
      <c r="D259" s="0" t="n">
        <v>209.66</v>
      </c>
    </row>
    <row r="260" customFormat="false" ht="15" hidden="false" customHeight="false" outlineLevel="0" collapsed="false">
      <c r="A260" s="0" t="s">
        <v>1421</v>
      </c>
      <c r="B260" s="0" t="s">
        <v>664</v>
      </c>
      <c r="C260" s="14" t="n">
        <v>46100</v>
      </c>
      <c r="D260" s="0" t="n">
        <v>3009.14</v>
      </c>
    </row>
    <row r="261" customFormat="false" ht="15" hidden="false" customHeight="false" outlineLevel="0" collapsed="false">
      <c r="A261" s="0" t="s">
        <v>1422</v>
      </c>
      <c r="B261" s="0" t="s">
        <v>377</v>
      </c>
      <c r="C261" s="14" t="n">
        <v>46003</v>
      </c>
      <c r="D261" s="0" t="n">
        <v>2227.94</v>
      </c>
    </row>
    <row r="262" customFormat="false" ht="15" hidden="false" customHeight="false" outlineLevel="0" collapsed="false">
      <c r="A262" s="0" t="s">
        <v>1423</v>
      </c>
      <c r="B262" s="0" t="s">
        <v>619</v>
      </c>
      <c r="C262" s="14" t="n">
        <v>45906</v>
      </c>
      <c r="D262" s="0" t="n">
        <v>1739.97</v>
      </c>
    </row>
    <row r="263" customFormat="false" ht="15" hidden="false" customHeight="false" outlineLevel="0" collapsed="false">
      <c r="A263" s="0" t="s">
        <v>1424</v>
      </c>
      <c r="B263" s="0" t="s">
        <v>449</v>
      </c>
      <c r="C263" s="14" t="n">
        <v>46084</v>
      </c>
      <c r="D263" s="0" t="n">
        <v>267.6</v>
      </c>
    </row>
    <row r="264" customFormat="false" ht="15" hidden="false" customHeight="false" outlineLevel="0" collapsed="false">
      <c r="A264" s="0" t="s">
        <v>1425</v>
      </c>
      <c r="B264" s="0" t="s">
        <v>816</v>
      </c>
      <c r="C264" s="14" t="n">
        <v>45881</v>
      </c>
      <c r="D264" s="0" t="n">
        <v>3221.77</v>
      </c>
    </row>
    <row r="265" customFormat="false" ht="15" hidden="false" customHeight="false" outlineLevel="0" collapsed="false">
      <c r="A265" s="0" t="s">
        <v>1426</v>
      </c>
      <c r="B265" s="0" t="s">
        <v>428</v>
      </c>
      <c r="C265" s="14" t="n">
        <v>46018</v>
      </c>
      <c r="D265" s="0" t="n">
        <v>1731.53</v>
      </c>
    </row>
    <row r="266" customFormat="false" ht="15" hidden="false" customHeight="false" outlineLevel="0" collapsed="false">
      <c r="A266" s="0" t="s">
        <v>1427</v>
      </c>
      <c r="B266" s="0" t="s">
        <v>932</v>
      </c>
      <c r="C266" s="14" t="n">
        <v>46112</v>
      </c>
      <c r="D266" s="0" t="n">
        <v>1479.77</v>
      </c>
    </row>
    <row r="267" customFormat="false" ht="15" hidden="false" customHeight="false" outlineLevel="0" collapsed="false">
      <c r="A267" s="0" t="s">
        <v>1428</v>
      </c>
      <c r="B267" s="0" t="s">
        <v>1096</v>
      </c>
      <c r="C267" s="14" t="n">
        <v>46172</v>
      </c>
      <c r="D267" s="0" t="n">
        <v>2802.36</v>
      </c>
    </row>
    <row r="268" customFormat="false" ht="15" hidden="false" customHeight="false" outlineLevel="0" collapsed="false">
      <c r="A268" s="0" t="s">
        <v>1429</v>
      </c>
      <c r="B268" s="0" t="s">
        <v>709</v>
      </c>
      <c r="C268" s="14" t="n">
        <v>45841</v>
      </c>
      <c r="D268" s="0" t="n">
        <v>1759.54</v>
      </c>
    </row>
    <row r="269" customFormat="false" ht="15" hidden="false" customHeight="false" outlineLevel="0" collapsed="false">
      <c r="A269" s="0" t="s">
        <v>1430</v>
      </c>
      <c r="B269" s="0" t="s">
        <v>615</v>
      </c>
      <c r="C269" s="14" t="n">
        <v>45933</v>
      </c>
      <c r="D269" s="0" t="n">
        <v>3672.05</v>
      </c>
    </row>
    <row r="270" customFormat="false" ht="15" hidden="false" customHeight="false" outlineLevel="0" collapsed="false">
      <c r="A270" s="0" t="s">
        <v>1431</v>
      </c>
      <c r="B270" s="0" t="s">
        <v>1103</v>
      </c>
      <c r="C270" s="14" t="n">
        <v>45674</v>
      </c>
      <c r="D270" s="0" t="n">
        <v>857.39</v>
      </c>
    </row>
    <row r="271" customFormat="false" ht="15" hidden="false" customHeight="false" outlineLevel="0" collapsed="false">
      <c r="A271" s="0" t="s">
        <v>1432</v>
      </c>
      <c r="B271" s="0" t="s">
        <v>922</v>
      </c>
      <c r="C271" s="14" t="n">
        <v>46191</v>
      </c>
      <c r="D271" s="0" t="n">
        <v>10172.24</v>
      </c>
    </row>
    <row r="272" customFormat="false" ht="15" hidden="false" customHeight="false" outlineLevel="0" collapsed="false">
      <c r="A272" s="0" t="s">
        <v>1433</v>
      </c>
      <c r="B272" s="0" t="s">
        <v>309</v>
      </c>
      <c r="C272" s="14" t="n">
        <v>46205</v>
      </c>
      <c r="D272" s="0" t="n">
        <v>3344.32</v>
      </c>
    </row>
    <row r="273" customFormat="false" ht="15" hidden="false" customHeight="false" outlineLevel="0" collapsed="false">
      <c r="A273" s="0" t="s">
        <v>1434</v>
      </c>
      <c r="B273" s="0" t="s">
        <v>392</v>
      </c>
      <c r="C273" s="14" t="n">
        <v>45775</v>
      </c>
      <c r="D273" s="0" t="n">
        <v>2277.66</v>
      </c>
    </row>
    <row r="274" customFormat="false" ht="15" hidden="false" customHeight="false" outlineLevel="0" collapsed="false">
      <c r="A274" s="0" t="s">
        <v>1435</v>
      </c>
      <c r="B274" s="0" t="s">
        <v>902</v>
      </c>
      <c r="C274" s="14" t="n">
        <v>45754</v>
      </c>
      <c r="D274" s="0" t="n">
        <v>1484.72</v>
      </c>
    </row>
    <row r="275" customFormat="false" ht="15" hidden="false" customHeight="false" outlineLevel="0" collapsed="false">
      <c r="A275" s="0" t="s">
        <v>1436</v>
      </c>
      <c r="B275" s="0" t="s">
        <v>698</v>
      </c>
      <c r="C275" s="14" t="n">
        <v>45691</v>
      </c>
      <c r="D275" s="0" t="n">
        <v>4765.55</v>
      </c>
    </row>
    <row r="276" customFormat="false" ht="15" hidden="false" customHeight="false" outlineLevel="0" collapsed="false">
      <c r="A276" s="0" t="s">
        <v>1437</v>
      </c>
      <c r="B276" s="0" t="s">
        <v>398</v>
      </c>
      <c r="C276" s="14" t="n">
        <v>46086</v>
      </c>
      <c r="D276" s="0" t="n">
        <v>6686.22</v>
      </c>
    </row>
    <row r="277" customFormat="false" ht="15" hidden="false" customHeight="false" outlineLevel="0" collapsed="false">
      <c r="A277" s="0" t="s">
        <v>1438</v>
      </c>
      <c r="B277" s="0" t="s">
        <v>583</v>
      </c>
      <c r="C277" s="14" t="n">
        <v>45922</v>
      </c>
      <c r="D277" s="0" t="n">
        <v>3378.98</v>
      </c>
    </row>
    <row r="278" customFormat="false" ht="15" hidden="false" customHeight="false" outlineLevel="0" collapsed="false">
      <c r="A278" s="0" t="s">
        <v>1439</v>
      </c>
      <c r="B278" s="0" t="s">
        <v>482</v>
      </c>
      <c r="C278" s="14" t="n">
        <v>46088</v>
      </c>
      <c r="D278" s="0" t="n">
        <v>21822.22</v>
      </c>
    </row>
    <row r="279" customFormat="false" ht="15" hidden="false" customHeight="false" outlineLevel="0" collapsed="false">
      <c r="A279" s="0" t="s">
        <v>1440</v>
      </c>
      <c r="B279" s="0" t="s">
        <v>742</v>
      </c>
      <c r="C279" s="14" t="n">
        <v>45750</v>
      </c>
      <c r="D279" s="0" t="n">
        <v>9019.36</v>
      </c>
    </row>
    <row r="280" customFormat="false" ht="15" hidden="false" customHeight="false" outlineLevel="0" collapsed="false">
      <c r="A280" s="0" t="s">
        <v>1441</v>
      </c>
      <c r="B280" s="0" t="s">
        <v>413</v>
      </c>
      <c r="C280" s="14" t="n">
        <v>46178</v>
      </c>
      <c r="D280" s="0" t="n">
        <v>563.83</v>
      </c>
    </row>
    <row r="281" customFormat="false" ht="15" hidden="false" customHeight="false" outlineLevel="0" collapsed="false">
      <c r="A281" s="0" t="s">
        <v>1442</v>
      </c>
      <c r="B281" s="0" t="s">
        <v>820</v>
      </c>
      <c r="C281" s="14" t="n">
        <v>46153</v>
      </c>
      <c r="D281" s="0" t="n">
        <v>2508.58</v>
      </c>
    </row>
    <row r="282" customFormat="false" ht="15" hidden="false" customHeight="false" outlineLevel="0" collapsed="false">
      <c r="A282" s="0" t="s">
        <v>1443</v>
      </c>
      <c r="B282" s="0" t="s">
        <v>649</v>
      </c>
      <c r="C282" s="14" t="n">
        <v>45790</v>
      </c>
      <c r="D282" s="0" t="n">
        <v>1109.9</v>
      </c>
    </row>
    <row r="283" customFormat="false" ht="15" hidden="false" customHeight="false" outlineLevel="0" collapsed="false">
      <c r="A283" s="0" t="s">
        <v>1444</v>
      </c>
      <c r="B283" s="0" t="s">
        <v>353</v>
      </c>
      <c r="C283" s="14" t="n">
        <v>45830</v>
      </c>
      <c r="D283" s="0" t="n">
        <v>5899.58</v>
      </c>
    </row>
    <row r="284" customFormat="false" ht="15" hidden="false" customHeight="false" outlineLevel="0" collapsed="false">
      <c r="A284" s="0" t="s">
        <v>1445</v>
      </c>
      <c r="B284" s="0" t="s">
        <v>724</v>
      </c>
      <c r="C284" s="14" t="n">
        <v>46203</v>
      </c>
      <c r="D284" s="0" t="n">
        <v>1874.41</v>
      </c>
    </row>
    <row r="285" customFormat="false" ht="15" hidden="false" customHeight="false" outlineLevel="0" collapsed="false">
      <c r="A285" s="0" t="s">
        <v>1446</v>
      </c>
      <c r="B285" s="0" t="s">
        <v>604</v>
      </c>
      <c r="C285" s="14" t="n">
        <v>45774</v>
      </c>
      <c r="D285" s="0" t="n">
        <v>3587.55</v>
      </c>
    </row>
    <row r="286" customFormat="false" ht="15" hidden="false" customHeight="false" outlineLevel="0" collapsed="false">
      <c r="A286" s="0" t="s">
        <v>1447</v>
      </c>
      <c r="B286" s="0" t="s">
        <v>822</v>
      </c>
      <c r="C286" s="14" t="n">
        <v>45706</v>
      </c>
      <c r="D286" s="0" t="n">
        <v>1846.15</v>
      </c>
    </row>
    <row r="287" customFormat="false" ht="15" hidden="false" customHeight="false" outlineLevel="0" collapsed="false">
      <c r="A287" s="0" t="s">
        <v>1448</v>
      </c>
      <c r="B287" s="0" t="s">
        <v>946</v>
      </c>
      <c r="C287" s="14" t="n">
        <v>45739</v>
      </c>
      <c r="D287" s="0" t="n">
        <v>2061.29</v>
      </c>
    </row>
    <row r="288" customFormat="false" ht="15" hidden="false" customHeight="false" outlineLevel="0" collapsed="false">
      <c r="A288" s="0" t="s">
        <v>1449</v>
      </c>
      <c r="B288" s="0" t="s">
        <v>303</v>
      </c>
      <c r="C288" s="14" t="n">
        <v>45955</v>
      </c>
      <c r="D288" s="0" t="n">
        <v>15002.72</v>
      </c>
    </row>
    <row r="289" customFormat="false" ht="15" hidden="false" customHeight="false" outlineLevel="0" collapsed="false">
      <c r="A289" s="0" t="s">
        <v>1450</v>
      </c>
      <c r="B289" s="0" t="s">
        <v>524</v>
      </c>
      <c r="C289" s="14" t="n">
        <v>46138</v>
      </c>
      <c r="D289" s="0" t="n">
        <v>1071.3</v>
      </c>
    </row>
    <row r="290" customFormat="false" ht="15" hidden="false" customHeight="false" outlineLevel="0" collapsed="false">
      <c r="A290" s="0" t="s">
        <v>1451</v>
      </c>
      <c r="B290" s="0" t="s">
        <v>917</v>
      </c>
      <c r="C290" s="14" t="n">
        <v>45737</v>
      </c>
      <c r="D290" s="0" t="n">
        <v>4978.47</v>
      </c>
    </row>
    <row r="291" customFormat="false" ht="15" hidden="false" customHeight="false" outlineLevel="0" collapsed="false">
      <c r="A291" s="0" t="s">
        <v>1452</v>
      </c>
      <c r="B291" s="0" t="s">
        <v>457</v>
      </c>
      <c r="C291" s="14" t="n">
        <v>46078</v>
      </c>
      <c r="D291" s="0" t="n">
        <v>13042.87</v>
      </c>
    </row>
    <row r="292" customFormat="false" ht="15" hidden="false" customHeight="false" outlineLevel="0" collapsed="false">
      <c r="A292" s="0" t="s">
        <v>1453</v>
      </c>
      <c r="B292" s="0" t="s">
        <v>759</v>
      </c>
      <c r="C292" s="14" t="n">
        <v>45878</v>
      </c>
      <c r="D292" s="0" t="n">
        <v>1846.25</v>
      </c>
    </row>
    <row r="293" customFormat="false" ht="15" hidden="false" customHeight="false" outlineLevel="0" collapsed="false">
      <c r="A293" s="0" t="s">
        <v>1454</v>
      </c>
      <c r="B293" s="0" t="s">
        <v>989</v>
      </c>
      <c r="C293" s="14" t="n">
        <v>46080</v>
      </c>
      <c r="D293" s="0" t="n">
        <v>3602.11</v>
      </c>
    </row>
    <row r="294" customFormat="false" ht="15" hidden="false" customHeight="false" outlineLevel="0" collapsed="false">
      <c r="A294" s="0" t="s">
        <v>1455</v>
      </c>
      <c r="B294" s="0" t="s">
        <v>745</v>
      </c>
      <c r="C294" s="14" t="n">
        <v>45722</v>
      </c>
      <c r="D294" s="0" t="n">
        <v>2749.82</v>
      </c>
    </row>
    <row r="295" customFormat="false" ht="15" hidden="false" customHeight="false" outlineLevel="0" collapsed="false">
      <c r="A295" s="0" t="s">
        <v>1456</v>
      </c>
      <c r="B295" s="0" t="s">
        <v>984</v>
      </c>
      <c r="C295" s="14" t="n">
        <v>46102</v>
      </c>
      <c r="D295" s="0" t="n">
        <v>2397.02</v>
      </c>
    </row>
    <row r="296" customFormat="false" ht="15" hidden="false" customHeight="false" outlineLevel="0" collapsed="false">
      <c r="A296" s="0" t="s">
        <v>1457</v>
      </c>
      <c r="B296" s="0" t="s">
        <v>934</v>
      </c>
      <c r="C296" s="14" t="n">
        <v>45723</v>
      </c>
      <c r="D296" s="0" t="n">
        <v>1679.49</v>
      </c>
    </row>
    <row r="297" customFormat="false" ht="15" hidden="false" customHeight="false" outlineLevel="0" collapsed="false">
      <c r="A297" s="0" t="s">
        <v>1458</v>
      </c>
      <c r="B297" s="0" t="s">
        <v>865</v>
      </c>
      <c r="C297" s="14" t="n">
        <v>45885</v>
      </c>
      <c r="D297" s="0" t="n">
        <v>2119.2</v>
      </c>
    </row>
    <row r="298" customFormat="false" ht="15" hidden="false" customHeight="false" outlineLevel="0" collapsed="false">
      <c r="A298" s="0" t="s">
        <v>1459</v>
      </c>
      <c r="B298" s="0" t="s">
        <v>483</v>
      </c>
      <c r="C298" s="14" t="n">
        <v>45884</v>
      </c>
      <c r="D298" s="0" t="n">
        <v>3828.8</v>
      </c>
    </row>
    <row r="299" customFormat="false" ht="15" hidden="false" customHeight="false" outlineLevel="0" collapsed="false">
      <c r="A299" s="0" t="s">
        <v>1460</v>
      </c>
      <c r="B299" s="0" t="s">
        <v>1057</v>
      </c>
      <c r="C299" s="14" t="n">
        <v>46028</v>
      </c>
      <c r="D299" s="0" t="n">
        <v>3714.97</v>
      </c>
    </row>
    <row r="300" customFormat="false" ht="15" hidden="false" customHeight="false" outlineLevel="0" collapsed="false">
      <c r="A300" s="0" t="s">
        <v>1461</v>
      </c>
      <c r="B300" s="0" t="s">
        <v>536</v>
      </c>
      <c r="C300" s="14" t="n">
        <v>45721</v>
      </c>
      <c r="D300" s="0" t="n">
        <v>884.17</v>
      </c>
    </row>
    <row r="301" customFormat="false" ht="15" hidden="false" customHeight="false" outlineLevel="0" collapsed="false">
      <c r="A301" s="0" t="s">
        <v>1462</v>
      </c>
      <c r="B301" s="0" t="s">
        <v>333</v>
      </c>
      <c r="C301" s="14" t="n">
        <v>46060</v>
      </c>
      <c r="D301" s="0" t="n">
        <v>644.78</v>
      </c>
    </row>
    <row r="302" customFormat="false" ht="15" hidden="false" customHeight="false" outlineLevel="0" collapsed="false">
      <c r="A302" s="0" t="s">
        <v>1463</v>
      </c>
      <c r="B302" s="0" t="s">
        <v>669</v>
      </c>
      <c r="C302" s="14" t="n">
        <v>45955</v>
      </c>
      <c r="D302" s="0" t="n">
        <v>695.44</v>
      </c>
    </row>
    <row r="303" customFormat="false" ht="15" hidden="false" customHeight="false" outlineLevel="0" collapsed="false">
      <c r="A303" s="0" t="s">
        <v>1464</v>
      </c>
      <c r="B303" s="0" t="s">
        <v>854</v>
      </c>
      <c r="C303" s="14" t="n">
        <v>46168</v>
      </c>
      <c r="D303" s="0" t="n">
        <v>4436.8</v>
      </c>
    </row>
    <row r="304" customFormat="false" ht="15" hidden="false" customHeight="false" outlineLevel="0" collapsed="false">
      <c r="A304" s="0" t="s">
        <v>1465</v>
      </c>
      <c r="B304" s="0" t="s">
        <v>806</v>
      </c>
      <c r="C304" s="14" t="n">
        <v>46033</v>
      </c>
      <c r="D304" s="0" t="n">
        <v>609.26</v>
      </c>
    </row>
    <row r="305" customFormat="false" ht="15" hidden="false" customHeight="false" outlineLevel="0" collapsed="false">
      <c r="A305" s="0" t="s">
        <v>1466</v>
      </c>
      <c r="B305" s="0" t="s">
        <v>595</v>
      </c>
      <c r="C305" s="14" t="n">
        <v>46093</v>
      </c>
      <c r="D305" s="0" t="n">
        <v>1405.31</v>
      </c>
    </row>
    <row r="306" customFormat="false" ht="15" hidden="false" customHeight="false" outlineLevel="0" collapsed="false">
      <c r="A306" s="0" t="s">
        <v>1467</v>
      </c>
      <c r="B306" s="0" t="s">
        <v>639</v>
      </c>
      <c r="C306" s="14" t="n">
        <v>45922</v>
      </c>
      <c r="D306" s="0" t="n">
        <v>609.35</v>
      </c>
    </row>
    <row r="307" customFormat="false" ht="15" hidden="false" customHeight="false" outlineLevel="0" collapsed="false">
      <c r="A307" s="0" t="s">
        <v>1468</v>
      </c>
      <c r="B307" s="0" t="s">
        <v>1088</v>
      </c>
      <c r="C307" s="14" t="n">
        <v>45986</v>
      </c>
      <c r="D307" s="0" t="n">
        <v>1016.58</v>
      </c>
    </row>
    <row r="308" customFormat="false" ht="15" hidden="false" customHeight="false" outlineLevel="0" collapsed="false">
      <c r="A308" s="0" t="s">
        <v>1469</v>
      </c>
      <c r="B308" s="0" t="s">
        <v>426</v>
      </c>
      <c r="C308" s="14" t="n">
        <v>46078</v>
      </c>
      <c r="D308" s="0" t="n">
        <v>17767.35</v>
      </c>
    </row>
    <row r="309" customFormat="false" ht="15" hidden="false" customHeight="false" outlineLevel="0" collapsed="false">
      <c r="A309" s="0" t="s">
        <v>1470</v>
      </c>
      <c r="B309" s="0" t="s">
        <v>1123</v>
      </c>
      <c r="C309" s="14" t="n">
        <v>45817</v>
      </c>
      <c r="D309" s="0" t="n">
        <v>556.23</v>
      </c>
    </row>
    <row r="310" customFormat="false" ht="15" hidden="false" customHeight="false" outlineLevel="0" collapsed="false">
      <c r="A310" s="0" t="s">
        <v>1471</v>
      </c>
      <c r="B310" s="0" t="s">
        <v>405</v>
      </c>
      <c r="C310" s="14" t="n">
        <v>45688</v>
      </c>
      <c r="D310" s="0" t="n">
        <v>814.32</v>
      </c>
    </row>
    <row r="311" customFormat="false" ht="15" hidden="false" customHeight="false" outlineLevel="0" collapsed="false">
      <c r="A311" s="0" t="s">
        <v>1472</v>
      </c>
      <c r="B311" s="0" t="s">
        <v>1018</v>
      </c>
      <c r="C311" s="14" t="n">
        <v>46184</v>
      </c>
      <c r="D311" s="0" t="n">
        <v>5478.42</v>
      </c>
    </row>
    <row r="312" customFormat="false" ht="15" hidden="false" customHeight="false" outlineLevel="0" collapsed="false">
      <c r="A312" s="0" t="s">
        <v>1473</v>
      </c>
      <c r="B312" s="0" t="s">
        <v>763</v>
      </c>
      <c r="C312" s="14" t="n">
        <v>46137</v>
      </c>
      <c r="D312" s="0" t="n">
        <v>4660.66</v>
      </c>
    </row>
    <row r="313" customFormat="false" ht="15" hidden="false" customHeight="false" outlineLevel="0" collapsed="false">
      <c r="A313" s="0" t="s">
        <v>1474</v>
      </c>
      <c r="B313" s="0" t="s">
        <v>654</v>
      </c>
      <c r="C313" s="14" t="n">
        <v>45662</v>
      </c>
      <c r="D313" s="0" t="n">
        <v>988.16</v>
      </c>
    </row>
    <row r="314" customFormat="false" ht="15" hidden="false" customHeight="false" outlineLevel="0" collapsed="false">
      <c r="A314" s="0" t="s">
        <v>1475</v>
      </c>
      <c r="B314" s="0" t="s">
        <v>692</v>
      </c>
      <c r="C314" s="14" t="n">
        <v>46117</v>
      </c>
      <c r="D314" s="0" t="n">
        <v>3683.41</v>
      </c>
    </row>
    <row r="315" customFormat="false" ht="15" hidden="false" customHeight="false" outlineLevel="0" collapsed="false">
      <c r="A315" s="0" t="s">
        <v>1476</v>
      </c>
      <c r="B315" s="0" t="s">
        <v>656</v>
      </c>
      <c r="C315" s="14" t="n">
        <v>45983</v>
      </c>
      <c r="D315" s="0" t="n">
        <v>5762.48</v>
      </c>
    </row>
    <row r="316" customFormat="false" ht="15" hidden="false" customHeight="false" outlineLevel="0" collapsed="false">
      <c r="A316" s="0" t="s">
        <v>1477</v>
      </c>
      <c r="B316" s="0" t="s">
        <v>756</v>
      </c>
      <c r="C316" s="14" t="n">
        <v>46206</v>
      </c>
      <c r="D316" s="0" t="n">
        <v>10752.87</v>
      </c>
    </row>
    <row r="317" customFormat="false" ht="15" hidden="false" customHeight="false" outlineLevel="0" collapsed="false">
      <c r="A317" s="0" t="s">
        <v>1478</v>
      </c>
      <c r="B317" s="0" t="s">
        <v>371</v>
      </c>
      <c r="C317" s="14" t="n">
        <v>45929</v>
      </c>
      <c r="D317" s="0" t="n">
        <v>5496.95</v>
      </c>
    </row>
    <row r="318" customFormat="false" ht="15" hidden="false" customHeight="false" outlineLevel="0" collapsed="false">
      <c r="A318" s="0" t="s">
        <v>1479</v>
      </c>
      <c r="B318" s="0" t="s">
        <v>514</v>
      </c>
      <c r="C318" s="14" t="n">
        <v>45841</v>
      </c>
      <c r="D318" s="0" t="n">
        <v>1892.29</v>
      </c>
    </row>
    <row r="319" customFormat="false" ht="15" hidden="false" customHeight="false" outlineLevel="0" collapsed="false">
      <c r="A319" s="0" t="s">
        <v>1480</v>
      </c>
      <c r="B319" s="0" t="s">
        <v>894</v>
      </c>
      <c r="C319" s="14" t="n">
        <v>46023</v>
      </c>
      <c r="D319" s="0" t="n">
        <v>3138.5</v>
      </c>
    </row>
    <row r="320" customFormat="false" ht="15" hidden="false" customHeight="false" outlineLevel="0" collapsed="false">
      <c r="A320" s="0" t="s">
        <v>1481</v>
      </c>
      <c r="B320" s="0" t="s">
        <v>494</v>
      </c>
      <c r="C320" s="14" t="n">
        <v>46029</v>
      </c>
      <c r="D320" s="0" t="n">
        <v>1829.81</v>
      </c>
    </row>
    <row r="321" customFormat="false" ht="15" hidden="false" customHeight="false" outlineLevel="0" collapsed="false">
      <c r="A321" s="0" t="s">
        <v>1482</v>
      </c>
      <c r="B321" s="0" t="s">
        <v>401</v>
      </c>
      <c r="C321" s="14" t="n">
        <v>45908</v>
      </c>
      <c r="D321" s="0" t="n">
        <v>5061.76</v>
      </c>
    </row>
    <row r="322" customFormat="false" ht="15" hidden="false" customHeight="false" outlineLevel="0" collapsed="false">
      <c r="A322" s="0" t="s">
        <v>1483</v>
      </c>
      <c r="B322" s="0" t="s">
        <v>1113</v>
      </c>
      <c r="C322" s="14" t="n">
        <v>45851</v>
      </c>
      <c r="D322" s="0" t="n">
        <v>2804.48</v>
      </c>
    </row>
    <row r="323" customFormat="false" ht="15" hidden="false" customHeight="false" outlineLevel="0" collapsed="false">
      <c r="A323" s="0" t="s">
        <v>1484</v>
      </c>
      <c r="B323" s="0" t="s">
        <v>811</v>
      </c>
      <c r="C323" s="14" t="n">
        <v>46038</v>
      </c>
      <c r="D323" s="0" t="n">
        <v>3426.38</v>
      </c>
    </row>
    <row r="324" customFormat="false" ht="15" hidden="false" customHeight="false" outlineLevel="0" collapsed="false">
      <c r="A324" s="0" t="s">
        <v>1485</v>
      </c>
      <c r="B324" s="0" t="s">
        <v>1000</v>
      </c>
      <c r="C324" s="14" t="n">
        <v>45796</v>
      </c>
      <c r="D324" s="0" t="n">
        <v>2237.12</v>
      </c>
    </row>
    <row r="325" customFormat="false" ht="15" hidden="false" customHeight="false" outlineLevel="0" collapsed="false">
      <c r="A325" s="0" t="s">
        <v>1486</v>
      </c>
      <c r="B325" s="0" t="s">
        <v>331</v>
      </c>
      <c r="C325" s="14" t="n">
        <v>46173</v>
      </c>
      <c r="D325" s="0" t="n">
        <v>11338.1</v>
      </c>
    </row>
    <row r="326" customFormat="false" ht="15" hidden="false" customHeight="false" outlineLevel="0" collapsed="false">
      <c r="A326" s="0" t="s">
        <v>1487</v>
      </c>
      <c r="B326" s="0" t="s">
        <v>363</v>
      </c>
      <c r="C326" s="14" t="n">
        <v>45662</v>
      </c>
      <c r="D326" s="0" t="n">
        <v>1474.66</v>
      </c>
    </row>
    <row r="327" customFormat="false" ht="15" hidden="false" customHeight="false" outlineLevel="0" collapsed="false">
      <c r="A327" s="0" t="s">
        <v>1488</v>
      </c>
      <c r="B327" s="0" t="s">
        <v>881</v>
      </c>
      <c r="C327" s="14" t="n">
        <v>46156</v>
      </c>
      <c r="D327" s="0" t="n">
        <v>1328.83</v>
      </c>
    </row>
    <row r="328" customFormat="false" ht="15" hidden="false" customHeight="false" outlineLevel="0" collapsed="false">
      <c r="A328" s="0" t="s">
        <v>1489</v>
      </c>
      <c r="B328" s="0" t="s">
        <v>680</v>
      </c>
      <c r="C328" s="14" t="n">
        <v>46039</v>
      </c>
      <c r="D328" s="0" t="n">
        <v>1799.63</v>
      </c>
    </row>
    <row r="329" customFormat="false" ht="15" hidden="false" customHeight="false" outlineLevel="0" collapsed="false">
      <c r="A329" s="0" t="s">
        <v>1490</v>
      </c>
      <c r="B329" s="0" t="s">
        <v>942</v>
      </c>
      <c r="C329" s="14" t="n">
        <v>46125</v>
      </c>
      <c r="D329" s="0" t="n">
        <v>827.43</v>
      </c>
    </row>
    <row r="330" customFormat="false" ht="15" hidden="false" customHeight="false" outlineLevel="0" collapsed="false">
      <c r="A330" s="0" t="s">
        <v>1491</v>
      </c>
      <c r="B330" s="0" t="s">
        <v>456</v>
      </c>
      <c r="C330" s="14" t="n">
        <v>45889</v>
      </c>
      <c r="D330" s="0" t="n">
        <v>3143.41</v>
      </c>
    </row>
    <row r="331" customFormat="false" ht="15" hidden="false" customHeight="false" outlineLevel="0" collapsed="false">
      <c r="A331" s="0" t="s">
        <v>1492</v>
      </c>
      <c r="B331" s="0" t="s">
        <v>531</v>
      </c>
      <c r="C331" s="14" t="n">
        <v>45879</v>
      </c>
      <c r="D331" s="0" t="n">
        <v>877.63</v>
      </c>
    </row>
    <row r="332" customFormat="false" ht="15" hidden="false" customHeight="false" outlineLevel="0" collapsed="false">
      <c r="A332" s="0" t="s">
        <v>1493</v>
      </c>
      <c r="B332" s="0" t="s">
        <v>892</v>
      </c>
      <c r="C332" s="14" t="n">
        <v>46001</v>
      </c>
      <c r="D332" s="0" t="n">
        <v>1370.11</v>
      </c>
    </row>
    <row r="333" customFormat="false" ht="15" hidden="false" customHeight="false" outlineLevel="0" collapsed="false">
      <c r="A333" s="0" t="s">
        <v>1494</v>
      </c>
      <c r="B333" s="0" t="s">
        <v>1119</v>
      </c>
      <c r="C333" s="14" t="n">
        <v>45692</v>
      </c>
      <c r="D333" s="0" t="n">
        <v>2755.05</v>
      </c>
    </row>
    <row r="334" customFormat="false" ht="15" hidden="false" customHeight="false" outlineLevel="0" collapsed="false">
      <c r="A334" s="0" t="s">
        <v>1495</v>
      </c>
      <c r="B334" s="0" t="s">
        <v>791</v>
      </c>
      <c r="C334" s="14" t="n">
        <v>45882</v>
      </c>
      <c r="D334" s="0" t="n">
        <v>1395.93</v>
      </c>
    </row>
    <row r="335" customFormat="false" ht="15" hidden="false" customHeight="false" outlineLevel="0" collapsed="false">
      <c r="A335" s="0" t="s">
        <v>1496</v>
      </c>
      <c r="B335" s="0" t="s">
        <v>757</v>
      </c>
      <c r="C335" s="14" t="n">
        <v>45794</v>
      </c>
      <c r="D335" s="0" t="n">
        <v>3083.99</v>
      </c>
    </row>
    <row r="336" customFormat="false" ht="15" hidden="false" customHeight="false" outlineLevel="0" collapsed="false">
      <c r="A336" s="0" t="s">
        <v>1497</v>
      </c>
      <c r="B336" s="0" t="s">
        <v>659</v>
      </c>
      <c r="C336" s="14" t="n">
        <v>46050</v>
      </c>
      <c r="D336" s="0" t="n">
        <v>1655.98</v>
      </c>
    </row>
    <row r="337" customFormat="false" ht="15" hidden="false" customHeight="false" outlineLevel="0" collapsed="false">
      <c r="A337" s="0" t="s">
        <v>1498</v>
      </c>
      <c r="B337" s="0" t="s">
        <v>475</v>
      </c>
      <c r="C337" s="14" t="n">
        <v>46026</v>
      </c>
      <c r="D337" s="0" t="n">
        <v>9458.18</v>
      </c>
    </row>
    <row r="338" customFormat="false" ht="15" hidden="false" customHeight="false" outlineLevel="0" collapsed="false">
      <c r="A338" s="0" t="s">
        <v>1499</v>
      </c>
      <c r="B338" s="0" t="s">
        <v>794</v>
      </c>
      <c r="C338" s="14" t="n">
        <v>46210</v>
      </c>
      <c r="D338" s="0" t="n">
        <v>2408.27</v>
      </c>
    </row>
    <row r="339" customFormat="false" ht="15" hidden="false" customHeight="false" outlineLevel="0" collapsed="false">
      <c r="A339" s="0" t="s">
        <v>1500</v>
      </c>
      <c r="B339" s="0" t="s">
        <v>390</v>
      </c>
      <c r="C339" s="14" t="n">
        <v>45893</v>
      </c>
      <c r="D339" s="0" t="n">
        <v>131.26</v>
      </c>
    </row>
    <row r="340" customFormat="false" ht="15" hidden="false" customHeight="false" outlineLevel="0" collapsed="false">
      <c r="A340" s="0" t="s">
        <v>1501</v>
      </c>
      <c r="B340" s="0" t="s">
        <v>1068</v>
      </c>
      <c r="C340" s="14" t="n">
        <v>45981</v>
      </c>
      <c r="D340" s="0" t="n">
        <v>1271.78</v>
      </c>
    </row>
    <row r="341" customFormat="false" ht="15" hidden="false" customHeight="false" outlineLevel="0" collapsed="false">
      <c r="A341" s="0" t="s">
        <v>1502</v>
      </c>
      <c r="B341" s="0" t="s">
        <v>620</v>
      </c>
      <c r="C341" s="14" t="n">
        <v>45774</v>
      </c>
      <c r="D341" s="0" t="n">
        <v>1329.7</v>
      </c>
    </row>
    <row r="342" customFormat="false" ht="15" hidden="false" customHeight="false" outlineLevel="0" collapsed="false">
      <c r="A342" s="0" t="s">
        <v>1503</v>
      </c>
      <c r="B342" s="0" t="s">
        <v>569</v>
      </c>
      <c r="C342" s="14" t="n">
        <v>46186</v>
      </c>
      <c r="D342" s="0" t="n">
        <v>1464.81</v>
      </c>
    </row>
    <row r="343" customFormat="false" ht="15" hidden="false" customHeight="false" outlineLevel="0" collapsed="false">
      <c r="A343" s="0" t="s">
        <v>1504</v>
      </c>
      <c r="B343" s="0" t="s">
        <v>633</v>
      </c>
      <c r="C343" s="14" t="n">
        <v>45742</v>
      </c>
      <c r="D343" s="0" t="n">
        <v>1731.84</v>
      </c>
    </row>
    <row r="344" customFormat="false" ht="15" hidden="false" customHeight="false" outlineLevel="0" collapsed="false">
      <c r="A344" s="0" t="s">
        <v>1505</v>
      </c>
      <c r="B344" s="0" t="s">
        <v>299</v>
      </c>
      <c r="C344" s="14" t="n">
        <v>45879</v>
      </c>
      <c r="D344" s="0" t="n">
        <v>721.2</v>
      </c>
    </row>
    <row r="345" customFormat="false" ht="15" hidden="false" customHeight="false" outlineLevel="0" collapsed="false">
      <c r="A345" s="0" t="s">
        <v>1506</v>
      </c>
      <c r="B345" s="0" t="s">
        <v>887</v>
      </c>
      <c r="C345" s="14" t="n">
        <v>46006</v>
      </c>
      <c r="D345" s="0" t="n">
        <v>3697.76</v>
      </c>
    </row>
    <row r="346" customFormat="false" ht="15" hidden="false" customHeight="false" outlineLevel="0" collapsed="false">
      <c r="A346" s="0" t="s">
        <v>1507</v>
      </c>
      <c r="B346" s="0" t="s">
        <v>744</v>
      </c>
      <c r="C346" s="14" t="n">
        <v>45974</v>
      </c>
      <c r="D346" s="0" t="n">
        <v>939.2</v>
      </c>
    </row>
    <row r="347" customFormat="false" ht="15" hidden="false" customHeight="false" outlineLevel="0" collapsed="false">
      <c r="A347" s="0" t="s">
        <v>1508</v>
      </c>
      <c r="B347" s="0" t="s">
        <v>979</v>
      </c>
      <c r="C347" s="14" t="n">
        <v>45915</v>
      </c>
      <c r="D347" s="0" t="n">
        <v>2048.02</v>
      </c>
    </row>
    <row r="348" customFormat="false" ht="15" hidden="false" customHeight="false" outlineLevel="0" collapsed="false">
      <c r="A348" s="0" t="s">
        <v>1509</v>
      </c>
      <c r="B348" s="0" t="s">
        <v>489</v>
      </c>
      <c r="C348" s="14" t="n">
        <v>45967</v>
      </c>
      <c r="D348" s="0" t="n">
        <v>2268.78</v>
      </c>
    </row>
    <row r="349" customFormat="false" ht="15" hidden="false" customHeight="false" outlineLevel="0" collapsed="false">
      <c r="A349" s="0" t="s">
        <v>1510</v>
      </c>
      <c r="B349" s="0" t="s">
        <v>328</v>
      </c>
      <c r="C349" s="14" t="n">
        <v>46053</v>
      </c>
      <c r="D349" s="0" t="n">
        <v>1558.36</v>
      </c>
    </row>
    <row r="350" customFormat="false" ht="15" hidden="false" customHeight="false" outlineLevel="0" collapsed="false">
      <c r="A350" s="0" t="s">
        <v>1511</v>
      </c>
      <c r="B350" s="0" t="s">
        <v>682</v>
      </c>
      <c r="C350" s="14" t="n">
        <v>46189</v>
      </c>
      <c r="D350" s="0" t="n">
        <v>1683.7</v>
      </c>
    </row>
    <row r="351" customFormat="false" ht="15" hidden="false" customHeight="false" outlineLevel="0" collapsed="false">
      <c r="A351" s="0" t="s">
        <v>1512</v>
      </c>
      <c r="B351" s="0" t="s">
        <v>674</v>
      </c>
      <c r="C351" s="14" t="n">
        <v>45760</v>
      </c>
      <c r="D351" s="0" t="n">
        <v>5777.41</v>
      </c>
    </row>
    <row r="352" customFormat="false" ht="15" hidden="false" customHeight="false" outlineLevel="0" collapsed="false">
      <c r="A352" s="0" t="s">
        <v>1513</v>
      </c>
      <c r="B352" s="0" t="s">
        <v>603</v>
      </c>
      <c r="C352" s="14" t="n">
        <v>45724</v>
      </c>
      <c r="D352" s="0" t="n">
        <v>1792.24</v>
      </c>
    </row>
    <row r="353" customFormat="false" ht="15" hidden="false" customHeight="false" outlineLevel="0" collapsed="false">
      <c r="A353" s="0" t="s">
        <v>1514</v>
      </c>
      <c r="B353" s="0" t="s">
        <v>835</v>
      </c>
      <c r="C353" s="14" t="n">
        <v>46093</v>
      </c>
      <c r="D353" s="0" t="n">
        <v>4513.74</v>
      </c>
    </row>
    <row r="354" customFormat="false" ht="15" hidden="false" customHeight="false" outlineLevel="0" collapsed="false">
      <c r="A354" s="0" t="s">
        <v>1515</v>
      </c>
      <c r="B354" s="0" t="s">
        <v>291</v>
      </c>
      <c r="C354" s="14" t="n">
        <v>46144</v>
      </c>
      <c r="D354" s="0" t="n">
        <v>1359.77</v>
      </c>
    </row>
    <row r="355" customFormat="false" ht="15" hidden="false" customHeight="false" outlineLevel="0" collapsed="false">
      <c r="A355" s="0" t="s">
        <v>1516</v>
      </c>
      <c r="B355" s="0" t="s">
        <v>507</v>
      </c>
      <c r="C355" s="14" t="n">
        <v>45997</v>
      </c>
      <c r="D355" s="0" t="n">
        <v>3204.84</v>
      </c>
    </row>
    <row r="356" customFormat="false" ht="15" hidden="false" customHeight="false" outlineLevel="0" collapsed="false">
      <c r="A356" s="0" t="s">
        <v>1517</v>
      </c>
      <c r="B356" s="0" t="s">
        <v>980</v>
      </c>
      <c r="C356" s="14" t="n">
        <v>46024</v>
      </c>
      <c r="D356" s="0" t="n">
        <v>1796.9</v>
      </c>
    </row>
    <row r="357" customFormat="false" ht="15" hidden="false" customHeight="false" outlineLevel="0" collapsed="false">
      <c r="A357" s="0" t="s">
        <v>1518</v>
      </c>
      <c r="B357" s="0" t="s">
        <v>1139</v>
      </c>
      <c r="C357" s="14" t="n">
        <v>45826</v>
      </c>
      <c r="D357" s="0" t="n">
        <v>2115.29</v>
      </c>
    </row>
    <row r="358" customFormat="false" ht="15" hidden="false" customHeight="false" outlineLevel="0" collapsed="false">
      <c r="A358" s="0" t="s">
        <v>1519</v>
      </c>
      <c r="B358" s="0" t="s">
        <v>848</v>
      </c>
      <c r="C358" s="14" t="n">
        <v>45747</v>
      </c>
      <c r="D358" s="0" t="n">
        <v>4894.13</v>
      </c>
    </row>
    <row r="359" customFormat="false" ht="15" hidden="false" customHeight="false" outlineLevel="0" collapsed="false">
      <c r="A359" s="0" t="s">
        <v>1520</v>
      </c>
      <c r="B359" s="0" t="s">
        <v>571</v>
      </c>
      <c r="C359" s="14" t="n">
        <v>46064</v>
      </c>
      <c r="D359" s="0" t="n">
        <v>5917.43</v>
      </c>
    </row>
    <row r="360" customFormat="false" ht="15" hidden="false" customHeight="false" outlineLevel="0" collapsed="false">
      <c r="A360" s="0" t="s">
        <v>1521</v>
      </c>
      <c r="B360" s="0" t="s">
        <v>998</v>
      </c>
      <c r="C360" s="14" t="n">
        <v>45755</v>
      </c>
      <c r="D360" s="0" t="n">
        <v>7340.64</v>
      </c>
    </row>
    <row r="361" customFormat="false" ht="15" hidden="false" customHeight="false" outlineLevel="0" collapsed="false">
      <c r="A361" s="0" t="s">
        <v>1522</v>
      </c>
      <c r="B361" s="0" t="s">
        <v>432</v>
      </c>
      <c r="C361" s="14" t="n">
        <v>45808</v>
      </c>
      <c r="D361" s="0" t="n">
        <v>381.28</v>
      </c>
    </row>
    <row r="362" customFormat="false" ht="15" hidden="false" customHeight="false" outlineLevel="0" collapsed="false">
      <c r="A362" s="0" t="s">
        <v>1523</v>
      </c>
      <c r="B362" s="0" t="s">
        <v>987</v>
      </c>
      <c r="C362" s="14" t="n">
        <v>45982</v>
      </c>
      <c r="D362" s="0" t="n">
        <v>331.41</v>
      </c>
    </row>
    <row r="363" customFormat="false" ht="15" hidden="false" customHeight="false" outlineLevel="0" collapsed="false">
      <c r="A363" s="0" t="s">
        <v>1524</v>
      </c>
      <c r="B363" s="0" t="s">
        <v>343</v>
      </c>
      <c r="C363" s="14" t="n">
        <v>45847</v>
      </c>
      <c r="D363" s="0" t="n">
        <v>21146.76</v>
      </c>
    </row>
    <row r="364" customFormat="false" ht="15" hidden="false" customHeight="false" outlineLevel="0" collapsed="false">
      <c r="A364" s="0" t="s">
        <v>1525</v>
      </c>
      <c r="B364" s="0" t="s">
        <v>668</v>
      </c>
      <c r="C364" s="14" t="n">
        <v>45905</v>
      </c>
      <c r="D364" s="0" t="n">
        <v>305.65</v>
      </c>
    </row>
    <row r="365" customFormat="false" ht="15" hidden="false" customHeight="false" outlineLevel="0" collapsed="false">
      <c r="A365" s="0" t="s">
        <v>1526</v>
      </c>
      <c r="B365" s="0" t="s">
        <v>1040</v>
      </c>
      <c r="C365" s="14" t="n">
        <v>45955</v>
      </c>
      <c r="D365" s="0" t="n">
        <v>18808.64</v>
      </c>
    </row>
    <row r="366" customFormat="false" ht="15" hidden="false" customHeight="false" outlineLevel="0" collapsed="false">
      <c r="A366" s="0" t="s">
        <v>1527</v>
      </c>
      <c r="B366" s="0" t="s">
        <v>644</v>
      </c>
      <c r="C366" s="14" t="n">
        <v>45999</v>
      </c>
      <c r="D366" s="0" t="n">
        <v>4075.62</v>
      </c>
    </row>
    <row r="367" customFormat="false" ht="15" hidden="false" customHeight="false" outlineLevel="0" collapsed="false">
      <c r="A367" s="0" t="s">
        <v>1528</v>
      </c>
      <c r="B367" s="0" t="s">
        <v>914</v>
      </c>
      <c r="C367" s="14" t="n">
        <v>45844</v>
      </c>
      <c r="D367" s="0" t="n">
        <v>5307.07</v>
      </c>
    </row>
    <row r="368" customFormat="false" ht="15" hidden="false" customHeight="false" outlineLevel="0" collapsed="false">
      <c r="A368" s="0" t="s">
        <v>1529</v>
      </c>
      <c r="B368" s="0" t="s">
        <v>1094</v>
      </c>
      <c r="C368" s="14" t="n">
        <v>46025</v>
      </c>
      <c r="D368" s="0" t="n">
        <v>2091.54</v>
      </c>
    </row>
    <row r="369" customFormat="false" ht="15" hidden="false" customHeight="false" outlineLevel="0" collapsed="false">
      <c r="A369" s="0" t="s">
        <v>1530</v>
      </c>
      <c r="B369" s="0" t="s">
        <v>472</v>
      </c>
      <c r="C369" s="14" t="n">
        <v>45892</v>
      </c>
      <c r="D369" s="0" t="n">
        <v>327.42</v>
      </c>
    </row>
    <row r="370" customFormat="false" ht="15" hidden="false" customHeight="false" outlineLevel="0" collapsed="false">
      <c r="A370" s="0" t="s">
        <v>1531</v>
      </c>
      <c r="B370" s="0" t="s">
        <v>376</v>
      </c>
      <c r="C370" s="14" t="n">
        <v>45953</v>
      </c>
      <c r="D370" s="0" t="n">
        <v>158.45</v>
      </c>
    </row>
    <row r="371" customFormat="false" ht="15" hidden="false" customHeight="false" outlineLevel="0" collapsed="false">
      <c r="A371" s="0" t="s">
        <v>1532</v>
      </c>
      <c r="B371" s="0" t="s">
        <v>434</v>
      </c>
      <c r="C371" s="14" t="n">
        <v>45958</v>
      </c>
      <c r="D371" s="0" t="n">
        <v>2005.68</v>
      </c>
    </row>
    <row r="372" customFormat="false" ht="15" hidden="false" customHeight="false" outlineLevel="0" collapsed="false">
      <c r="A372" s="0" t="s">
        <v>1533</v>
      </c>
      <c r="B372" s="0" t="s">
        <v>345</v>
      </c>
      <c r="C372" s="14" t="n">
        <v>46127</v>
      </c>
      <c r="D372" s="0" t="n">
        <v>869.11</v>
      </c>
    </row>
    <row r="373" customFormat="false" ht="15" hidden="false" customHeight="false" outlineLevel="0" collapsed="false">
      <c r="A373" s="0" t="s">
        <v>1534</v>
      </c>
      <c r="B373" s="0" t="s">
        <v>288</v>
      </c>
      <c r="C373" s="14" t="n">
        <v>45850</v>
      </c>
      <c r="D373" s="0" t="n">
        <v>3058.04</v>
      </c>
    </row>
    <row r="374" customFormat="false" ht="15" hidden="false" customHeight="false" outlineLevel="0" collapsed="false">
      <c r="A374" s="0" t="s">
        <v>1535</v>
      </c>
      <c r="B374" s="0" t="s">
        <v>336</v>
      </c>
      <c r="C374" s="14" t="n">
        <v>46037</v>
      </c>
      <c r="D374" s="0" t="n">
        <v>10173.53</v>
      </c>
    </row>
    <row r="375" customFormat="false" ht="15" hidden="false" customHeight="false" outlineLevel="0" collapsed="false">
      <c r="A375" s="0" t="s">
        <v>1536</v>
      </c>
      <c r="B375" s="0" t="s">
        <v>840</v>
      </c>
      <c r="C375" s="14" t="n">
        <v>45971</v>
      </c>
      <c r="D375" s="0" t="n">
        <v>567.17</v>
      </c>
    </row>
    <row r="376" customFormat="false" ht="15" hidden="false" customHeight="false" outlineLevel="0" collapsed="false">
      <c r="A376" s="0" t="s">
        <v>1537</v>
      </c>
      <c r="B376" s="0" t="s">
        <v>981</v>
      </c>
      <c r="C376" s="14" t="n">
        <v>46016</v>
      </c>
      <c r="D376" s="0" t="n">
        <v>2764.38</v>
      </c>
    </row>
    <row r="377" customFormat="false" ht="15" hidden="false" customHeight="false" outlineLevel="0" collapsed="false">
      <c r="A377" s="0" t="s">
        <v>1538</v>
      </c>
      <c r="B377" s="0" t="s">
        <v>645</v>
      </c>
      <c r="C377" s="14" t="n">
        <v>45993</v>
      </c>
      <c r="D377" s="0" t="n">
        <v>674.21</v>
      </c>
    </row>
    <row r="378" customFormat="false" ht="15" hidden="false" customHeight="false" outlineLevel="0" collapsed="false">
      <c r="A378" s="0" t="s">
        <v>1539</v>
      </c>
      <c r="B378" s="0" t="s">
        <v>590</v>
      </c>
      <c r="C378" s="14" t="n">
        <v>45813</v>
      </c>
      <c r="D378" s="0" t="n">
        <v>325.7</v>
      </c>
    </row>
    <row r="379" customFormat="false" ht="15" hidden="false" customHeight="false" outlineLevel="0" collapsed="false">
      <c r="A379" s="0" t="s">
        <v>1540</v>
      </c>
      <c r="B379" s="0" t="s">
        <v>900</v>
      </c>
      <c r="C379" s="14" t="n">
        <v>45829</v>
      </c>
      <c r="D379" s="0" t="n">
        <v>1703.61</v>
      </c>
    </row>
    <row r="380" customFormat="false" ht="15" hidden="false" customHeight="false" outlineLevel="0" collapsed="false">
      <c r="A380" s="0" t="s">
        <v>1541</v>
      </c>
      <c r="B380" s="0" t="s">
        <v>409</v>
      </c>
      <c r="C380" s="14" t="n">
        <v>46111</v>
      </c>
      <c r="D380" s="0" t="n">
        <v>3515.6</v>
      </c>
    </row>
    <row r="381" customFormat="false" ht="15" hidden="false" customHeight="false" outlineLevel="0" collapsed="false">
      <c r="A381" s="0" t="s">
        <v>1542</v>
      </c>
      <c r="B381" s="0" t="s">
        <v>939</v>
      </c>
      <c r="C381" s="14" t="n">
        <v>46157</v>
      </c>
      <c r="D381" s="0" t="n">
        <v>824.85</v>
      </c>
    </row>
    <row r="382" customFormat="false" ht="15" hidden="false" customHeight="false" outlineLevel="0" collapsed="false">
      <c r="A382" s="0" t="s">
        <v>1543</v>
      </c>
      <c r="B382" s="0" t="s">
        <v>959</v>
      </c>
      <c r="C382" s="14" t="n">
        <v>45762</v>
      </c>
      <c r="D382" s="0" t="n">
        <v>6662.15</v>
      </c>
    </row>
    <row r="383" customFormat="false" ht="15" hidden="false" customHeight="false" outlineLevel="0" collapsed="false">
      <c r="A383" s="0" t="s">
        <v>1544</v>
      </c>
      <c r="B383" s="0" t="s">
        <v>546</v>
      </c>
      <c r="C383" s="14" t="n">
        <v>45965</v>
      </c>
      <c r="D383" s="0" t="n">
        <v>1370.36</v>
      </c>
    </row>
    <row r="384" customFormat="false" ht="15" hidden="false" customHeight="false" outlineLevel="0" collapsed="false">
      <c r="A384" s="0" t="s">
        <v>1545</v>
      </c>
      <c r="B384" s="0" t="s">
        <v>777</v>
      </c>
      <c r="C384" s="14" t="n">
        <v>45851</v>
      </c>
      <c r="D384" s="0" t="n">
        <v>1644.55</v>
      </c>
    </row>
    <row r="385" customFormat="false" ht="15" hidden="false" customHeight="false" outlineLevel="0" collapsed="false">
      <c r="A385" s="0" t="s">
        <v>1546</v>
      </c>
      <c r="B385" s="0" t="s">
        <v>880</v>
      </c>
      <c r="C385" s="14" t="n">
        <v>45947</v>
      </c>
      <c r="D385" s="0" t="n">
        <v>2363.54</v>
      </c>
    </row>
    <row r="386" customFormat="false" ht="15" hidden="false" customHeight="false" outlineLevel="0" collapsed="false">
      <c r="A386" s="0" t="s">
        <v>1547</v>
      </c>
      <c r="B386" s="0" t="s">
        <v>829</v>
      </c>
      <c r="C386" s="14" t="n">
        <v>46007</v>
      </c>
      <c r="D386" s="0" t="n">
        <v>999.65</v>
      </c>
    </row>
    <row r="387" customFormat="false" ht="15" hidden="false" customHeight="false" outlineLevel="0" collapsed="false">
      <c r="A387" s="0" t="s">
        <v>1548</v>
      </c>
      <c r="B387" s="0" t="s">
        <v>1075</v>
      </c>
      <c r="C387" s="14" t="n">
        <v>46150</v>
      </c>
      <c r="D387" s="0" t="n">
        <v>944.22</v>
      </c>
    </row>
    <row r="388" customFormat="false" ht="15" hidden="false" customHeight="false" outlineLevel="0" collapsed="false">
      <c r="A388" s="0" t="s">
        <v>1549</v>
      </c>
      <c r="B388" s="0" t="s">
        <v>1089</v>
      </c>
      <c r="C388" s="14" t="n">
        <v>46107</v>
      </c>
      <c r="D388" s="0" t="n">
        <v>7498.53</v>
      </c>
    </row>
    <row r="389" customFormat="false" ht="15" hidden="false" customHeight="false" outlineLevel="0" collapsed="false">
      <c r="A389" s="0" t="s">
        <v>1550</v>
      </c>
      <c r="B389" s="0" t="s">
        <v>949</v>
      </c>
      <c r="C389" s="14" t="n">
        <v>45938</v>
      </c>
      <c r="D389" s="0" t="n">
        <v>285.04</v>
      </c>
    </row>
    <row r="390" customFormat="false" ht="15" hidden="false" customHeight="false" outlineLevel="0" collapsed="false">
      <c r="A390" s="0" t="s">
        <v>1551</v>
      </c>
      <c r="B390" s="0" t="s">
        <v>1082</v>
      </c>
      <c r="C390" s="14" t="n">
        <v>46024</v>
      </c>
      <c r="D390" s="0" t="n">
        <v>3002.81</v>
      </c>
    </row>
    <row r="391" customFormat="false" ht="15" hidden="false" customHeight="false" outlineLevel="0" collapsed="false">
      <c r="A391" s="0" t="s">
        <v>1552</v>
      </c>
      <c r="B391" s="0" t="s">
        <v>845</v>
      </c>
      <c r="C391" s="14" t="n">
        <v>46011</v>
      </c>
      <c r="D391" s="0" t="n">
        <v>6459.27</v>
      </c>
    </row>
    <row r="392" customFormat="false" ht="15" hidden="false" customHeight="false" outlineLevel="0" collapsed="false">
      <c r="A392" s="0" t="s">
        <v>1553</v>
      </c>
      <c r="B392" s="0" t="s">
        <v>928</v>
      </c>
      <c r="C392" s="14" t="n">
        <v>45921</v>
      </c>
      <c r="D392" s="0" t="n">
        <v>1261.99</v>
      </c>
    </row>
    <row r="393" customFormat="false" ht="15" hidden="false" customHeight="false" outlineLevel="0" collapsed="false">
      <c r="A393" s="0" t="s">
        <v>1554</v>
      </c>
      <c r="B393" s="0" t="s">
        <v>662</v>
      </c>
      <c r="C393" s="14" t="n">
        <v>46037</v>
      </c>
      <c r="D393" s="0" t="n">
        <v>1974.18</v>
      </c>
    </row>
    <row r="394" customFormat="false" ht="15" hidden="false" customHeight="false" outlineLevel="0" collapsed="false">
      <c r="A394" s="0" t="s">
        <v>1555</v>
      </c>
      <c r="B394" s="0" t="s">
        <v>1110</v>
      </c>
      <c r="C394" s="14" t="n">
        <v>46077</v>
      </c>
      <c r="D394" s="0" t="n">
        <v>1651.6</v>
      </c>
    </row>
    <row r="395" customFormat="false" ht="15" hidden="false" customHeight="false" outlineLevel="0" collapsed="false">
      <c r="A395" s="0" t="s">
        <v>1556</v>
      </c>
      <c r="B395" s="0" t="s">
        <v>814</v>
      </c>
      <c r="C395" s="14" t="n">
        <v>46133</v>
      </c>
      <c r="D395" s="0" t="n">
        <v>980.08</v>
      </c>
    </row>
    <row r="396" customFormat="false" ht="15" hidden="false" customHeight="false" outlineLevel="0" collapsed="false">
      <c r="A396" s="0" t="s">
        <v>1557</v>
      </c>
      <c r="B396" s="0" t="s">
        <v>305</v>
      </c>
      <c r="C396" s="14" t="n">
        <v>46171</v>
      </c>
      <c r="D396" s="0" t="n">
        <v>911.91</v>
      </c>
    </row>
    <row r="397" customFormat="false" ht="15" hidden="false" customHeight="false" outlineLevel="0" collapsed="false">
      <c r="A397" s="0" t="s">
        <v>1558</v>
      </c>
      <c r="B397" s="0" t="s">
        <v>496</v>
      </c>
      <c r="C397" s="14" t="n">
        <v>46184</v>
      </c>
      <c r="D397" s="0" t="n">
        <v>2450.97</v>
      </c>
    </row>
    <row r="398" customFormat="false" ht="15" hidden="false" customHeight="false" outlineLevel="0" collapsed="false">
      <c r="A398" s="0" t="s">
        <v>1559</v>
      </c>
      <c r="B398" s="0" t="s">
        <v>920</v>
      </c>
      <c r="C398" s="14" t="n">
        <v>46053</v>
      </c>
      <c r="D398" s="0" t="n">
        <v>1866.99</v>
      </c>
    </row>
    <row r="399" customFormat="false" ht="15" hidden="false" customHeight="false" outlineLevel="0" collapsed="false">
      <c r="A399" s="0" t="s">
        <v>1560</v>
      </c>
      <c r="B399" s="0" t="s">
        <v>891</v>
      </c>
      <c r="C399" s="14" t="n">
        <v>46124</v>
      </c>
      <c r="D399" s="0" t="n">
        <v>968.37</v>
      </c>
    </row>
    <row r="400" customFormat="false" ht="15" hidden="false" customHeight="false" outlineLevel="0" collapsed="false">
      <c r="A400" s="0" t="s">
        <v>1561</v>
      </c>
      <c r="B400" s="0" t="s">
        <v>1081</v>
      </c>
      <c r="C400" s="14" t="n">
        <v>45789</v>
      </c>
      <c r="D400" s="0" t="n">
        <v>8655.91</v>
      </c>
    </row>
    <row r="401" customFormat="false" ht="15" hidden="false" customHeight="false" outlineLevel="0" collapsed="false">
      <c r="A401" s="0" t="s">
        <v>1562</v>
      </c>
      <c r="B401" s="0" t="s">
        <v>684</v>
      </c>
      <c r="C401" s="14" t="n">
        <v>45931</v>
      </c>
      <c r="D401" s="0" t="n">
        <v>1387.72</v>
      </c>
    </row>
    <row r="402" customFormat="false" ht="15" hidden="false" customHeight="false" outlineLevel="0" collapsed="false">
      <c r="A402" s="0" t="s">
        <v>1563</v>
      </c>
      <c r="B402" s="0" t="s">
        <v>570</v>
      </c>
      <c r="C402" s="14" t="n">
        <v>45712</v>
      </c>
      <c r="D402" s="0" t="n">
        <v>2645.79</v>
      </c>
    </row>
    <row r="403" customFormat="false" ht="15" hidden="false" customHeight="false" outlineLevel="0" collapsed="false">
      <c r="A403" s="0" t="s">
        <v>1564</v>
      </c>
      <c r="B403" s="0" t="s">
        <v>884</v>
      </c>
      <c r="C403" s="14" t="n">
        <v>46003</v>
      </c>
      <c r="D403" s="0" t="n">
        <v>2949.36</v>
      </c>
    </row>
    <row r="404" customFormat="false" ht="15" hidden="false" customHeight="false" outlineLevel="0" collapsed="false">
      <c r="A404" s="0" t="s">
        <v>1565</v>
      </c>
      <c r="B404" s="0" t="s">
        <v>643</v>
      </c>
      <c r="C404" s="14" t="n">
        <v>45835</v>
      </c>
      <c r="D404" s="0" t="n">
        <v>5413.88</v>
      </c>
    </row>
    <row r="405" customFormat="false" ht="15" hidden="false" customHeight="false" outlineLevel="0" collapsed="false">
      <c r="A405" s="0" t="s">
        <v>1566</v>
      </c>
      <c r="B405" s="0" t="s">
        <v>463</v>
      </c>
      <c r="C405" s="14" t="n">
        <v>45687</v>
      </c>
      <c r="D405" s="0" t="n">
        <v>2062.27</v>
      </c>
    </row>
    <row r="406" customFormat="false" ht="15" hidden="false" customHeight="false" outlineLevel="0" collapsed="false">
      <c r="A406" s="0" t="s">
        <v>1567</v>
      </c>
      <c r="B406" s="0" t="s">
        <v>706</v>
      </c>
      <c r="C406" s="14" t="n">
        <v>45928</v>
      </c>
      <c r="D406" s="0" t="n">
        <v>2607.21</v>
      </c>
    </row>
    <row r="407" customFormat="false" ht="15" hidden="false" customHeight="false" outlineLevel="0" collapsed="false">
      <c r="A407" s="0" t="s">
        <v>1568</v>
      </c>
      <c r="B407" s="0" t="s">
        <v>895</v>
      </c>
      <c r="C407" s="14" t="n">
        <v>45833</v>
      </c>
      <c r="D407" s="0" t="n">
        <v>4085.56</v>
      </c>
    </row>
    <row r="408" customFormat="false" ht="15" hidden="false" customHeight="false" outlineLevel="0" collapsed="false">
      <c r="A408" s="0" t="s">
        <v>1569</v>
      </c>
      <c r="B408" s="0" t="s">
        <v>614</v>
      </c>
      <c r="C408" s="14" t="n">
        <v>46145</v>
      </c>
      <c r="D408" s="0" t="n">
        <v>531.72</v>
      </c>
    </row>
    <row r="409" customFormat="false" ht="15" hidden="false" customHeight="false" outlineLevel="0" collapsed="false">
      <c r="A409" s="0" t="s">
        <v>1570</v>
      </c>
      <c r="B409" s="0" t="s">
        <v>510</v>
      </c>
      <c r="C409" s="14" t="n">
        <v>46121</v>
      </c>
      <c r="D409" s="0" t="n">
        <v>682.63</v>
      </c>
    </row>
    <row r="410" customFormat="false" ht="15" hidden="false" customHeight="false" outlineLevel="0" collapsed="false">
      <c r="A410" s="0" t="s">
        <v>1571</v>
      </c>
      <c r="B410" s="0" t="s">
        <v>704</v>
      </c>
      <c r="C410" s="14" t="n">
        <v>45979</v>
      </c>
      <c r="D410" s="0" t="n">
        <v>6836.7</v>
      </c>
    </row>
    <row r="411" customFormat="false" ht="15" hidden="false" customHeight="false" outlineLevel="0" collapsed="false">
      <c r="A411" s="0" t="s">
        <v>1572</v>
      </c>
      <c r="B411" s="0" t="s">
        <v>1122</v>
      </c>
      <c r="C411" s="14" t="n">
        <v>46031</v>
      </c>
      <c r="D411" s="0" t="n">
        <v>3028.33</v>
      </c>
    </row>
    <row r="412" customFormat="false" ht="15" hidden="false" customHeight="false" outlineLevel="0" collapsed="false">
      <c r="A412" s="0" t="s">
        <v>1573</v>
      </c>
      <c r="B412" s="0" t="s">
        <v>683</v>
      </c>
      <c r="C412" s="14" t="n">
        <v>45947</v>
      </c>
      <c r="D412" s="0" t="n">
        <v>2002.66</v>
      </c>
    </row>
    <row r="413" customFormat="false" ht="15" hidden="false" customHeight="false" outlineLevel="0" collapsed="false">
      <c r="A413" s="0" t="s">
        <v>1574</v>
      </c>
      <c r="B413" s="0" t="s">
        <v>774</v>
      </c>
      <c r="C413" s="14" t="n">
        <v>45941</v>
      </c>
      <c r="D413" s="0" t="n">
        <v>15313.53</v>
      </c>
    </row>
    <row r="414" customFormat="false" ht="15" hidden="false" customHeight="false" outlineLevel="0" collapsed="false">
      <c r="A414" s="0" t="s">
        <v>1575</v>
      </c>
      <c r="B414" s="0" t="s">
        <v>388</v>
      </c>
      <c r="C414" s="14" t="n">
        <v>46122</v>
      </c>
      <c r="D414" s="0" t="n">
        <v>13999.16</v>
      </c>
    </row>
    <row r="415" customFormat="false" ht="15" hidden="false" customHeight="false" outlineLevel="0" collapsed="false">
      <c r="A415" s="0" t="s">
        <v>1576</v>
      </c>
      <c r="B415" s="0" t="s">
        <v>622</v>
      </c>
      <c r="C415" s="14" t="n">
        <v>46177</v>
      </c>
      <c r="D415" s="0" t="n">
        <v>275.18</v>
      </c>
    </row>
    <row r="416" customFormat="false" ht="15" hidden="false" customHeight="false" outlineLevel="0" collapsed="false">
      <c r="A416" s="0" t="s">
        <v>1577</v>
      </c>
      <c r="B416" s="0" t="s">
        <v>1080</v>
      </c>
      <c r="C416" s="14" t="n">
        <v>45980</v>
      </c>
      <c r="D416" s="0" t="n">
        <v>908.59</v>
      </c>
    </row>
    <row r="417" customFormat="false" ht="15" hidden="false" customHeight="false" outlineLevel="0" collapsed="false">
      <c r="A417" s="0" t="s">
        <v>1578</v>
      </c>
      <c r="B417" s="0" t="s">
        <v>929</v>
      </c>
      <c r="C417" s="14" t="n">
        <v>46036</v>
      </c>
      <c r="D417" s="0" t="n">
        <v>2330.25</v>
      </c>
    </row>
    <row r="418" customFormat="false" ht="15" hidden="false" customHeight="false" outlineLevel="0" collapsed="false">
      <c r="A418" s="0" t="s">
        <v>1579</v>
      </c>
      <c r="B418" s="0" t="s">
        <v>349</v>
      </c>
      <c r="C418" s="14" t="n">
        <v>45835</v>
      </c>
      <c r="D418" s="0" t="n">
        <v>1238.85</v>
      </c>
    </row>
    <row r="419" customFormat="false" ht="15" hidden="false" customHeight="false" outlineLevel="0" collapsed="false">
      <c r="A419" s="0" t="s">
        <v>1580</v>
      </c>
      <c r="B419" s="0" t="s">
        <v>1021</v>
      </c>
      <c r="C419" s="14" t="n">
        <v>46145</v>
      </c>
      <c r="D419" s="0" t="n">
        <v>1143.13</v>
      </c>
    </row>
    <row r="420" customFormat="false" ht="15" hidden="false" customHeight="false" outlineLevel="0" collapsed="false">
      <c r="A420" s="0" t="s">
        <v>1581</v>
      </c>
      <c r="B420" s="0" t="s">
        <v>443</v>
      </c>
      <c r="C420" s="14" t="n">
        <v>45774</v>
      </c>
      <c r="D420" s="0" t="n">
        <v>1349.8</v>
      </c>
    </row>
    <row r="421" customFormat="false" ht="15" hidden="false" customHeight="false" outlineLevel="0" collapsed="false">
      <c r="A421" s="0" t="s">
        <v>1582</v>
      </c>
      <c r="B421" s="0" t="s">
        <v>1055</v>
      </c>
      <c r="C421" s="14" t="n">
        <v>45717</v>
      </c>
      <c r="D421" s="0" t="n">
        <v>1478.7</v>
      </c>
    </row>
    <row r="422" customFormat="false" ht="15" hidden="false" customHeight="false" outlineLevel="0" collapsed="false">
      <c r="A422" s="0" t="s">
        <v>1583</v>
      </c>
      <c r="B422" s="0" t="s">
        <v>699</v>
      </c>
      <c r="C422" s="14" t="n">
        <v>46090</v>
      </c>
      <c r="D422" s="0" t="n">
        <v>3276.88</v>
      </c>
    </row>
    <row r="423" customFormat="false" ht="15" hidden="false" customHeight="false" outlineLevel="0" collapsed="false">
      <c r="A423" s="0" t="s">
        <v>1584</v>
      </c>
      <c r="B423" s="0" t="s">
        <v>877</v>
      </c>
      <c r="C423" s="14" t="n">
        <v>46079</v>
      </c>
      <c r="D423" s="0" t="n">
        <v>290.16</v>
      </c>
    </row>
    <row r="424" customFormat="false" ht="15" hidden="false" customHeight="false" outlineLevel="0" collapsed="false">
      <c r="A424" s="0" t="s">
        <v>1585</v>
      </c>
      <c r="B424" s="0" t="s">
        <v>1002</v>
      </c>
      <c r="C424" s="14" t="n">
        <v>46030</v>
      </c>
      <c r="D424" s="0" t="n">
        <v>629.25</v>
      </c>
    </row>
    <row r="425" customFormat="false" ht="15" hidden="false" customHeight="false" outlineLevel="0" collapsed="false">
      <c r="A425" s="0" t="s">
        <v>1586</v>
      </c>
      <c r="B425" s="0" t="s">
        <v>863</v>
      </c>
      <c r="C425" s="14" t="n">
        <v>46127</v>
      </c>
      <c r="D425" s="0" t="n">
        <v>5679.33</v>
      </c>
    </row>
    <row r="426" customFormat="false" ht="15" hidden="false" customHeight="false" outlineLevel="0" collapsed="false">
      <c r="A426" s="0" t="s">
        <v>1587</v>
      </c>
      <c r="B426" s="0" t="s">
        <v>560</v>
      </c>
      <c r="C426" s="14" t="n">
        <v>46124</v>
      </c>
      <c r="D426" s="0" t="n">
        <v>17214.28</v>
      </c>
    </row>
    <row r="427" customFormat="false" ht="15" hidden="false" customHeight="false" outlineLevel="0" collapsed="false">
      <c r="A427" s="0" t="s">
        <v>1588</v>
      </c>
      <c r="B427" s="0" t="s">
        <v>909</v>
      </c>
      <c r="C427" s="14" t="n">
        <v>45811</v>
      </c>
      <c r="D427" s="0" t="n">
        <v>4843.97</v>
      </c>
    </row>
    <row r="428" customFormat="false" ht="15" hidden="false" customHeight="false" outlineLevel="0" collapsed="false">
      <c r="A428" s="0" t="s">
        <v>1589</v>
      </c>
      <c r="B428" s="0" t="s">
        <v>1030</v>
      </c>
      <c r="C428" s="14" t="n">
        <v>46160</v>
      </c>
      <c r="D428" s="0" t="n">
        <v>296.66</v>
      </c>
    </row>
    <row r="429" customFormat="false" ht="15" hidden="false" customHeight="false" outlineLevel="0" collapsed="false">
      <c r="A429" s="0" t="s">
        <v>1590</v>
      </c>
      <c r="B429" s="0" t="s">
        <v>749</v>
      </c>
      <c r="C429" s="14" t="n">
        <v>45730</v>
      </c>
      <c r="D429" s="0" t="n">
        <v>791.01</v>
      </c>
    </row>
    <row r="430" customFormat="false" ht="15" hidden="false" customHeight="false" outlineLevel="0" collapsed="false">
      <c r="A430" s="0" t="s">
        <v>1591</v>
      </c>
      <c r="B430" s="0" t="s">
        <v>502</v>
      </c>
      <c r="C430" s="14" t="n">
        <v>45974</v>
      </c>
      <c r="D430" s="0" t="n">
        <v>133.11</v>
      </c>
    </row>
    <row r="431" customFormat="false" ht="15" hidden="false" customHeight="false" outlineLevel="0" collapsed="false">
      <c r="A431" s="0" t="s">
        <v>1592</v>
      </c>
      <c r="B431" s="0" t="s">
        <v>530</v>
      </c>
      <c r="C431" s="14" t="n">
        <v>45908</v>
      </c>
      <c r="D431" s="0" t="n">
        <v>12745.63</v>
      </c>
    </row>
    <row r="432" customFormat="false" ht="15" hidden="false" customHeight="false" outlineLevel="0" collapsed="false">
      <c r="A432" s="0" t="s">
        <v>1593</v>
      </c>
      <c r="B432" s="0" t="s">
        <v>1136</v>
      </c>
      <c r="C432" s="14" t="n">
        <v>45874</v>
      </c>
      <c r="D432" s="0" t="n">
        <v>18783.05</v>
      </c>
    </row>
    <row r="433" customFormat="false" ht="15" hidden="false" customHeight="false" outlineLevel="0" collapsed="false">
      <c r="A433" s="0" t="s">
        <v>1594</v>
      </c>
      <c r="B433" s="0" t="s">
        <v>828</v>
      </c>
      <c r="C433" s="14" t="n">
        <v>45716</v>
      </c>
      <c r="D433" s="0" t="n">
        <v>4569.01</v>
      </c>
    </row>
    <row r="434" customFormat="false" ht="15" hidden="false" customHeight="false" outlineLevel="0" collapsed="false">
      <c r="A434" s="0" t="s">
        <v>1595</v>
      </c>
      <c r="B434" s="0" t="s">
        <v>992</v>
      </c>
      <c r="C434" s="14" t="n">
        <v>46151</v>
      </c>
      <c r="D434" s="0" t="n">
        <v>2741.68</v>
      </c>
    </row>
    <row r="435" customFormat="false" ht="15" hidden="false" customHeight="false" outlineLevel="0" collapsed="false">
      <c r="A435" s="0" t="s">
        <v>1596</v>
      </c>
      <c r="B435" s="0" t="s">
        <v>948</v>
      </c>
      <c r="C435" s="14" t="n">
        <v>45831</v>
      </c>
      <c r="D435" s="0" t="n">
        <v>4559.69</v>
      </c>
    </row>
    <row r="436" customFormat="false" ht="15" hidden="false" customHeight="false" outlineLevel="0" collapsed="false">
      <c r="A436" s="0" t="s">
        <v>1597</v>
      </c>
      <c r="B436" s="0" t="s">
        <v>332</v>
      </c>
      <c r="C436" s="14" t="n">
        <v>45961</v>
      </c>
      <c r="D436" s="0" t="n">
        <v>877.47</v>
      </c>
    </row>
    <row r="437" customFormat="false" ht="15" hidden="false" customHeight="false" outlineLevel="0" collapsed="false">
      <c r="A437" s="0" t="s">
        <v>1598</v>
      </c>
      <c r="B437" s="0" t="s">
        <v>801</v>
      </c>
      <c r="C437" s="14" t="n">
        <v>45906</v>
      </c>
      <c r="D437" s="0" t="n">
        <v>984.21</v>
      </c>
    </row>
    <row r="438" customFormat="false" ht="15" hidden="false" customHeight="false" outlineLevel="0" collapsed="false">
      <c r="A438" s="0" t="s">
        <v>1599</v>
      </c>
      <c r="B438" s="0" t="s">
        <v>889</v>
      </c>
      <c r="C438" s="14" t="n">
        <v>46063</v>
      </c>
      <c r="D438" s="0" t="n">
        <v>354.2</v>
      </c>
    </row>
    <row r="439" customFormat="false" ht="15" hidden="false" customHeight="false" outlineLevel="0" collapsed="false">
      <c r="A439" s="0" t="s">
        <v>1600</v>
      </c>
      <c r="B439" s="0" t="s">
        <v>705</v>
      </c>
      <c r="C439" s="14" t="n">
        <v>46018</v>
      </c>
      <c r="D439" s="0" t="n">
        <v>2800.96</v>
      </c>
    </row>
    <row r="440" customFormat="false" ht="15" hidden="false" customHeight="false" outlineLevel="0" collapsed="false">
      <c r="A440" s="0" t="s">
        <v>1601</v>
      </c>
      <c r="B440" s="0" t="s">
        <v>467</v>
      </c>
      <c r="C440" s="14" t="n">
        <v>45762</v>
      </c>
      <c r="D440" s="0" t="n">
        <v>2238.27</v>
      </c>
    </row>
    <row r="441" customFormat="false" ht="15" hidden="false" customHeight="false" outlineLevel="0" collapsed="false">
      <c r="A441" s="0" t="s">
        <v>1602</v>
      </c>
      <c r="B441" s="0" t="s">
        <v>918</v>
      </c>
      <c r="C441" s="14" t="n">
        <v>46201</v>
      </c>
      <c r="D441" s="0" t="n">
        <v>4144.18</v>
      </c>
    </row>
    <row r="442" customFormat="false" ht="15" hidden="false" customHeight="false" outlineLevel="0" collapsed="false">
      <c r="A442" s="0" t="s">
        <v>1603</v>
      </c>
      <c r="B442" s="0" t="s">
        <v>582</v>
      </c>
      <c r="C442" s="14" t="n">
        <v>45987</v>
      </c>
      <c r="D442" s="0" t="n">
        <v>611.97</v>
      </c>
    </row>
    <row r="443" customFormat="false" ht="15" hidden="false" customHeight="false" outlineLevel="0" collapsed="false">
      <c r="A443" s="0" t="s">
        <v>1604</v>
      </c>
      <c r="B443" s="0" t="s">
        <v>1128</v>
      </c>
      <c r="C443" s="14" t="n">
        <v>46070</v>
      </c>
      <c r="D443" s="0" t="n">
        <v>2123.23</v>
      </c>
    </row>
    <row r="444" customFormat="false" ht="15" hidden="false" customHeight="false" outlineLevel="0" collapsed="false">
      <c r="A444" s="0" t="s">
        <v>1605</v>
      </c>
      <c r="B444" s="0" t="s">
        <v>819</v>
      </c>
      <c r="C444" s="14" t="n">
        <v>46083</v>
      </c>
      <c r="D444" s="0" t="n">
        <v>359.03</v>
      </c>
    </row>
    <row r="445" customFormat="false" ht="15" hidden="false" customHeight="false" outlineLevel="0" collapsed="false">
      <c r="A445" s="0" t="s">
        <v>1606</v>
      </c>
      <c r="B445" s="0" t="s">
        <v>616</v>
      </c>
      <c r="C445" s="14" t="n">
        <v>46153</v>
      </c>
      <c r="D445" s="0" t="n">
        <v>6043.12</v>
      </c>
    </row>
    <row r="446" customFormat="false" ht="15" hidden="false" customHeight="false" outlineLevel="0" collapsed="false">
      <c r="A446" s="0" t="s">
        <v>1607</v>
      </c>
      <c r="B446" s="0" t="s">
        <v>911</v>
      </c>
      <c r="C446" s="14" t="n">
        <v>45930</v>
      </c>
      <c r="D446" s="0" t="n">
        <v>2739.78</v>
      </c>
    </row>
    <row r="447" customFormat="false" ht="15" hidden="false" customHeight="false" outlineLevel="0" collapsed="false">
      <c r="A447" s="0" t="s">
        <v>1608</v>
      </c>
      <c r="B447" s="0" t="s">
        <v>950</v>
      </c>
      <c r="C447" s="14" t="n">
        <v>45726</v>
      </c>
      <c r="D447" s="0" t="n">
        <v>2954.28</v>
      </c>
    </row>
    <row r="448" customFormat="false" ht="15" hidden="false" customHeight="false" outlineLevel="0" collapsed="false">
      <c r="A448" s="0" t="s">
        <v>1609</v>
      </c>
      <c r="B448" s="0" t="s">
        <v>412</v>
      </c>
      <c r="C448" s="14" t="n">
        <v>45991</v>
      </c>
      <c r="D448" s="0" t="n">
        <v>2184.66</v>
      </c>
    </row>
    <row r="449" customFormat="false" ht="15" hidden="false" customHeight="false" outlineLevel="0" collapsed="false">
      <c r="A449" s="0" t="s">
        <v>1610</v>
      </c>
      <c r="B449" s="0" t="s">
        <v>361</v>
      </c>
      <c r="C449" s="14" t="n">
        <v>45831</v>
      </c>
      <c r="D449" s="0" t="n">
        <v>1369.29</v>
      </c>
    </row>
    <row r="450" customFormat="false" ht="15" hidden="false" customHeight="false" outlineLevel="0" collapsed="false">
      <c r="A450" s="0" t="s">
        <v>1611</v>
      </c>
      <c r="B450" s="0" t="s">
        <v>466</v>
      </c>
      <c r="C450" s="14" t="n">
        <v>45888</v>
      </c>
      <c r="D450" s="0" t="n">
        <v>2573.09</v>
      </c>
    </row>
    <row r="451" customFormat="false" ht="15" hidden="false" customHeight="false" outlineLevel="0" collapsed="false">
      <c r="A451" s="0" t="s">
        <v>1612</v>
      </c>
      <c r="B451" s="0" t="s">
        <v>817</v>
      </c>
      <c r="C451" s="14" t="n">
        <v>45847</v>
      </c>
      <c r="D451" s="0" t="n">
        <v>130.66</v>
      </c>
    </row>
    <row r="452" customFormat="false" ht="15" hidden="false" customHeight="false" outlineLevel="0" collapsed="false">
      <c r="A452" s="0" t="s">
        <v>1613</v>
      </c>
      <c r="B452" s="0" t="s">
        <v>712</v>
      </c>
      <c r="C452" s="14" t="n">
        <v>45839</v>
      </c>
      <c r="D452" s="0" t="n">
        <v>3949.44</v>
      </c>
    </row>
    <row r="453" customFormat="false" ht="15" hidden="false" customHeight="false" outlineLevel="0" collapsed="false">
      <c r="A453" s="0" t="s">
        <v>1614</v>
      </c>
      <c r="B453" s="0" t="s">
        <v>821</v>
      </c>
      <c r="C453" s="14" t="n">
        <v>45697</v>
      </c>
      <c r="D453" s="0" t="n">
        <v>730.52</v>
      </c>
    </row>
    <row r="454" customFormat="false" ht="15" hidden="false" customHeight="false" outlineLevel="0" collapsed="false">
      <c r="A454" s="0" t="s">
        <v>1615</v>
      </c>
      <c r="B454" s="0" t="s">
        <v>407</v>
      </c>
      <c r="C454" s="14" t="n">
        <v>46131</v>
      </c>
      <c r="D454" s="0" t="n">
        <v>994</v>
      </c>
    </row>
    <row r="455" customFormat="false" ht="15" hidden="false" customHeight="false" outlineLevel="0" collapsed="false">
      <c r="A455" s="0" t="s">
        <v>1616</v>
      </c>
      <c r="B455" s="0" t="s">
        <v>851</v>
      </c>
      <c r="C455" s="14" t="n">
        <v>45798</v>
      </c>
      <c r="D455" s="0" t="n">
        <v>525.01</v>
      </c>
    </row>
    <row r="456" customFormat="false" ht="15" hidden="false" customHeight="false" outlineLevel="0" collapsed="false">
      <c r="A456" s="0" t="s">
        <v>1617</v>
      </c>
      <c r="B456" s="0" t="s">
        <v>438</v>
      </c>
      <c r="C456" s="14" t="n">
        <v>46052</v>
      </c>
      <c r="D456" s="0" t="n">
        <v>2603.15</v>
      </c>
    </row>
    <row r="457" customFormat="false" ht="15" hidden="false" customHeight="false" outlineLevel="0" collapsed="false">
      <c r="A457" s="0" t="s">
        <v>1618</v>
      </c>
      <c r="B457" s="0" t="s">
        <v>688</v>
      </c>
      <c r="C457" s="14" t="n">
        <v>45847</v>
      </c>
      <c r="D457" s="0" t="n">
        <v>327.34</v>
      </c>
    </row>
    <row r="458" customFormat="false" ht="15" hidden="false" customHeight="false" outlineLevel="0" collapsed="false">
      <c r="A458" s="0" t="s">
        <v>1619</v>
      </c>
      <c r="B458" s="0" t="s">
        <v>487</v>
      </c>
      <c r="C458" s="14" t="n">
        <v>45704</v>
      </c>
      <c r="D458" s="0" t="n">
        <v>3628.81</v>
      </c>
    </row>
    <row r="459" customFormat="false" ht="15" hidden="false" customHeight="false" outlineLevel="0" collapsed="false">
      <c r="A459" s="0" t="s">
        <v>1620</v>
      </c>
      <c r="B459" s="0" t="s">
        <v>657</v>
      </c>
      <c r="C459" s="14" t="n">
        <v>45835</v>
      </c>
      <c r="D459" s="0" t="n">
        <v>3958.91</v>
      </c>
    </row>
    <row r="460" customFormat="false" ht="15" hidden="false" customHeight="false" outlineLevel="0" collapsed="false">
      <c r="A460" s="0" t="s">
        <v>1621</v>
      </c>
      <c r="B460" s="0" t="s">
        <v>420</v>
      </c>
      <c r="C460" s="14" t="n">
        <v>46157</v>
      </c>
      <c r="D460" s="0" t="n">
        <v>2099.16</v>
      </c>
    </row>
    <row r="461" customFormat="false" ht="15" hidden="false" customHeight="false" outlineLevel="0" collapsed="false">
      <c r="A461" s="0" t="s">
        <v>1622</v>
      </c>
      <c r="B461" s="0" t="s">
        <v>945</v>
      </c>
      <c r="C461" s="14" t="n">
        <v>45888</v>
      </c>
      <c r="D461" s="0" t="n">
        <v>1362.33</v>
      </c>
    </row>
    <row r="462" customFormat="false" ht="15" hidden="false" customHeight="false" outlineLevel="0" collapsed="false">
      <c r="A462" s="0" t="s">
        <v>1623</v>
      </c>
      <c r="B462" s="0" t="s">
        <v>689</v>
      </c>
      <c r="C462" s="14" t="n">
        <v>45810</v>
      </c>
      <c r="D462" s="0" t="n">
        <v>2106.84</v>
      </c>
    </row>
    <row r="463" customFormat="false" ht="15" hidden="false" customHeight="false" outlineLevel="0" collapsed="false">
      <c r="A463" s="0" t="s">
        <v>1624</v>
      </c>
      <c r="B463" s="0" t="s">
        <v>501</v>
      </c>
      <c r="C463" s="14" t="n">
        <v>46034</v>
      </c>
      <c r="D463" s="0" t="n">
        <v>5652.95</v>
      </c>
    </row>
    <row r="464" customFormat="false" ht="15" hidden="false" customHeight="false" outlineLevel="0" collapsed="false">
      <c r="A464" s="0" t="s">
        <v>1625</v>
      </c>
      <c r="B464" s="0" t="s">
        <v>729</v>
      </c>
      <c r="C464" s="14" t="n">
        <v>45861</v>
      </c>
      <c r="D464" s="0" t="n">
        <v>1115.7</v>
      </c>
    </row>
    <row r="465" customFormat="false" ht="15" hidden="false" customHeight="false" outlineLevel="0" collapsed="false">
      <c r="A465" s="0" t="s">
        <v>1626</v>
      </c>
      <c r="B465" s="0" t="s">
        <v>792</v>
      </c>
      <c r="C465" s="14" t="n">
        <v>46037</v>
      </c>
      <c r="D465" s="0" t="n">
        <v>2578.48</v>
      </c>
    </row>
    <row r="466" customFormat="false" ht="15" hidden="false" customHeight="false" outlineLevel="0" collapsed="false">
      <c r="A466" s="0" t="s">
        <v>1627</v>
      </c>
      <c r="B466" s="0" t="s">
        <v>653</v>
      </c>
      <c r="C466" s="14" t="n">
        <v>45702</v>
      </c>
      <c r="D466" s="0" t="n">
        <v>814.56</v>
      </c>
    </row>
    <row r="467" customFormat="false" ht="15" hidden="false" customHeight="false" outlineLevel="0" collapsed="false">
      <c r="A467" s="0" t="s">
        <v>1628</v>
      </c>
      <c r="B467" s="0" t="s">
        <v>923</v>
      </c>
      <c r="C467" s="14" t="n">
        <v>46105</v>
      </c>
      <c r="D467" s="0" t="n">
        <v>718.68</v>
      </c>
    </row>
    <row r="468" customFormat="false" ht="15" hidden="false" customHeight="false" outlineLevel="0" collapsed="false">
      <c r="A468" s="0" t="s">
        <v>1629</v>
      </c>
      <c r="B468" s="0" t="s">
        <v>452</v>
      </c>
      <c r="C468" s="14" t="n">
        <v>45867</v>
      </c>
      <c r="D468" s="0" t="n">
        <v>1495.05</v>
      </c>
    </row>
    <row r="469" customFormat="false" ht="15" hidden="false" customHeight="false" outlineLevel="0" collapsed="false">
      <c r="A469" s="0" t="s">
        <v>1630</v>
      </c>
      <c r="B469" s="0" t="s">
        <v>995</v>
      </c>
      <c r="C469" s="14" t="n">
        <v>46154</v>
      </c>
      <c r="D469" s="0" t="n">
        <v>1846.75</v>
      </c>
    </row>
    <row r="470" customFormat="false" ht="15" hidden="false" customHeight="false" outlineLevel="0" collapsed="false">
      <c r="A470" s="0" t="s">
        <v>1631</v>
      </c>
      <c r="B470" s="0" t="s">
        <v>293</v>
      </c>
      <c r="C470" s="14" t="n">
        <v>46195</v>
      </c>
      <c r="D470" s="0" t="n">
        <v>3708.39</v>
      </c>
    </row>
    <row r="471" customFormat="false" ht="15" hidden="false" customHeight="false" outlineLevel="0" collapsed="false">
      <c r="A471" s="0" t="s">
        <v>1632</v>
      </c>
      <c r="B471" s="0" t="s">
        <v>841</v>
      </c>
      <c r="C471" s="14" t="n">
        <v>46097</v>
      </c>
      <c r="D471" s="0" t="n">
        <v>4021.66</v>
      </c>
    </row>
    <row r="472" customFormat="false" ht="15" hidden="false" customHeight="false" outlineLevel="0" collapsed="false">
      <c r="A472" s="0" t="s">
        <v>1633</v>
      </c>
      <c r="B472" s="0" t="s">
        <v>577</v>
      </c>
      <c r="C472" s="14" t="n">
        <v>46100</v>
      </c>
      <c r="D472" s="0" t="n">
        <v>2055.42</v>
      </c>
    </row>
    <row r="473" customFormat="false" ht="15" hidden="false" customHeight="false" outlineLevel="0" collapsed="false">
      <c r="A473" s="0" t="s">
        <v>1634</v>
      </c>
      <c r="B473" s="0" t="s">
        <v>1032</v>
      </c>
      <c r="C473" s="14" t="n">
        <v>45713</v>
      </c>
      <c r="D473" s="0" t="n">
        <v>2671.57</v>
      </c>
    </row>
    <row r="474" customFormat="false" ht="15" hidden="false" customHeight="false" outlineLevel="0" collapsed="false">
      <c r="A474" s="0" t="s">
        <v>1635</v>
      </c>
      <c r="B474" s="0" t="s">
        <v>547</v>
      </c>
      <c r="C474" s="14" t="n">
        <v>45940</v>
      </c>
      <c r="D474" s="0" t="n">
        <v>480.9</v>
      </c>
    </row>
    <row r="475" customFormat="false" ht="15" hidden="false" customHeight="false" outlineLevel="0" collapsed="false">
      <c r="A475" s="0" t="s">
        <v>1636</v>
      </c>
      <c r="B475" s="0" t="s">
        <v>875</v>
      </c>
      <c r="C475" s="14" t="n">
        <v>45970</v>
      </c>
      <c r="D475" s="0" t="n">
        <v>3152.95</v>
      </c>
    </row>
    <row r="476" customFormat="false" ht="15" hidden="false" customHeight="false" outlineLevel="0" collapsed="false">
      <c r="A476" s="0" t="s">
        <v>1637</v>
      </c>
      <c r="B476" s="0" t="s">
        <v>710</v>
      </c>
      <c r="C476" s="14" t="n">
        <v>46042</v>
      </c>
      <c r="D476" s="0" t="n">
        <v>1478.45</v>
      </c>
    </row>
    <row r="477" customFormat="false" ht="15" hidden="false" customHeight="false" outlineLevel="0" collapsed="false">
      <c r="A477" s="0" t="s">
        <v>1638</v>
      </c>
      <c r="B477" s="0" t="s">
        <v>693</v>
      </c>
      <c r="C477" s="14" t="n">
        <v>45991</v>
      </c>
      <c r="D477" s="0" t="n">
        <v>851.6</v>
      </c>
    </row>
    <row r="478" customFormat="false" ht="15" hidden="false" customHeight="false" outlineLevel="0" collapsed="false">
      <c r="A478" s="0" t="s">
        <v>1639</v>
      </c>
      <c r="B478" s="0" t="s">
        <v>367</v>
      </c>
      <c r="C478" s="14" t="n">
        <v>46021</v>
      </c>
      <c r="D478" s="0" t="n">
        <v>3262.21</v>
      </c>
    </row>
    <row r="479" customFormat="false" ht="15" hidden="false" customHeight="false" outlineLevel="0" collapsed="false">
      <c r="A479" s="0" t="s">
        <v>1640</v>
      </c>
      <c r="B479" s="0" t="s">
        <v>997</v>
      </c>
      <c r="C479" s="14" t="n">
        <v>46138</v>
      </c>
      <c r="D479" s="0" t="n">
        <v>1035.87</v>
      </c>
    </row>
    <row r="480" customFormat="false" ht="15" hidden="false" customHeight="false" outlineLevel="0" collapsed="false">
      <c r="A480" s="0" t="s">
        <v>1641</v>
      </c>
      <c r="B480" s="0" t="s">
        <v>542</v>
      </c>
      <c r="C480" s="14" t="n">
        <v>46071</v>
      </c>
      <c r="D480" s="0" t="n">
        <v>301.96</v>
      </c>
    </row>
    <row r="481" customFormat="false" ht="15" hidden="false" customHeight="false" outlineLevel="0" collapsed="false">
      <c r="A481" s="0" t="s">
        <v>1642</v>
      </c>
      <c r="B481" s="0" t="s">
        <v>1091</v>
      </c>
      <c r="C481" s="14" t="n">
        <v>46194</v>
      </c>
      <c r="D481" s="0" t="n">
        <v>200.9</v>
      </c>
    </row>
    <row r="482" customFormat="false" ht="15" hidden="false" customHeight="false" outlineLevel="0" collapsed="false">
      <c r="A482" s="0" t="s">
        <v>1643</v>
      </c>
      <c r="B482" s="0" t="s">
        <v>1010</v>
      </c>
      <c r="C482" s="14" t="n">
        <v>46069</v>
      </c>
      <c r="D482" s="0" t="n">
        <v>1848.76</v>
      </c>
    </row>
    <row r="483" customFormat="false" ht="15" hidden="false" customHeight="false" outlineLevel="0" collapsed="false">
      <c r="A483" s="0" t="s">
        <v>1644</v>
      </c>
      <c r="B483" s="0" t="s">
        <v>752</v>
      </c>
      <c r="C483" s="14" t="n">
        <v>46067</v>
      </c>
      <c r="D483" s="0" t="n">
        <v>3855.85</v>
      </c>
    </row>
    <row r="484" customFormat="false" ht="15" hidden="false" customHeight="false" outlineLevel="0" collapsed="false">
      <c r="A484" s="0" t="s">
        <v>1645</v>
      </c>
      <c r="B484" s="0" t="s">
        <v>513</v>
      </c>
      <c r="C484" s="14" t="n">
        <v>45686</v>
      </c>
      <c r="D484" s="0" t="n">
        <v>4743.21</v>
      </c>
    </row>
    <row r="485" customFormat="false" ht="15" hidden="false" customHeight="false" outlineLevel="0" collapsed="false">
      <c r="A485" s="0" t="s">
        <v>1646</v>
      </c>
      <c r="B485" s="0" t="s">
        <v>910</v>
      </c>
      <c r="C485" s="14" t="n">
        <v>46113</v>
      </c>
      <c r="D485" s="0" t="n">
        <v>581.73</v>
      </c>
    </row>
    <row r="486" customFormat="false" ht="15" hidden="false" customHeight="false" outlineLevel="0" collapsed="false">
      <c r="A486" s="0" t="s">
        <v>1647</v>
      </c>
      <c r="B486" s="0" t="s">
        <v>594</v>
      </c>
      <c r="C486" s="14" t="n">
        <v>45966</v>
      </c>
      <c r="D486" s="0" t="n">
        <v>3104.44</v>
      </c>
    </row>
    <row r="487" customFormat="false" ht="15" hidden="false" customHeight="false" outlineLevel="0" collapsed="false">
      <c r="A487" s="0" t="s">
        <v>1648</v>
      </c>
      <c r="B487" s="0" t="s">
        <v>408</v>
      </c>
      <c r="C487" s="14" t="n">
        <v>45912</v>
      </c>
      <c r="D487" s="0" t="n">
        <v>456.94</v>
      </c>
    </row>
    <row r="488" customFormat="false" ht="15" hidden="false" customHeight="false" outlineLevel="0" collapsed="false">
      <c r="A488" s="0" t="s">
        <v>1649</v>
      </c>
      <c r="B488" s="0" t="s">
        <v>283</v>
      </c>
      <c r="C488" s="14" t="n">
        <v>45672</v>
      </c>
      <c r="D488" s="0" t="n">
        <v>1676.95</v>
      </c>
    </row>
    <row r="489" customFormat="false" ht="15" hidden="false" customHeight="false" outlineLevel="0" collapsed="false">
      <c r="A489" s="0" t="s">
        <v>1650</v>
      </c>
      <c r="B489" s="0" t="s">
        <v>1143</v>
      </c>
      <c r="C489" s="14" t="n">
        <v>45842</v>
      </c>
      <c r="D489" s="0" t="n">
        <v>764.25</v>
      </c>
    </row>
    <row r="490" customFormat="false" ht="15" hidden="false" customHeight="false" outlineLevel="0" collapsed="false">
      <c r="A490" s="0" t="s">
        <v>1651</v>
      </c>
      <c r="B490" s="0" t="s">
        <v>944</v>
      </c>
      <c r="C490" s="14" t="n">
        <v>45828</v>
      </c>
      <c r="D490" s="0" t="n">
        <v>12577.05</v>
      </c>
    </row>
    <row r="491" customFormat="false" ht="15" hidden="false" customHeight="false" outlineLevel="0" collapsed="false">
      <c r="A491" s="0" t="s">
        <v>1652</v>
      </c>
      <c r="B491" s="0" t="s">
        <v>797</v>
      </c>
      <c r="C491" s="14" t="n">
        <v>45934</v>
      </c>
      <c r="D491" s="0" t="n">
        <v>1208.25</v>
      </c>
    </row>
    <row r="492" customFormat="false" ht="15" hidden="false" customHeight="false" outlineLevel="0" collapsed="false">
      <c r="A492" s="0" t="s">
        <v>1653</v>
      </c>
      <c r="B492" s="0" t="s">
        <v>527</v>
      </c>
      <c r="C492" s="14" t="n">
        <v>46208</v>
      </c>
      <c r="D492" s="0" t="n">
        <v>5712.19</v>
      </c>
    </row>
    <row r="493" customFormat="false" ht="15" hidden="false" customHeight="false" outlineLevel="0" collapsed="false">
      <c r="A493" s="0" t="s">
        <v>1654</v>
      </c>
      <c r="B493" s="0" t="s">
        <v>670</v>
      </c>
      <c r="C493" s="14" t="n">
        <v>46023</v>
      </c>
      <c r="D493" s="0" t="n">
        <v>8378.51</v>
      </c>
    </row>
    <row r="494" customFormat="false" ht="15" hidden="false" customHeight="false" outlineLevel="0" collapsed="false">
      <c r="A494" s="0" t="s">
        <v>1655</v>
      </c>
      <c r="B494" s="0" t="s">
        <v>354</v>
      </c>
      <c r="C494" s="14" t="n">
        <v>45743</v>
      </c>
      <c r="D494" s="0" t="n">
        <v>31348.72</v>
      </c>
    </row>
    <row r="495" customFormat="false" ht="15" hidden="false" customHeight="false" outlineLevel="0" collapsed="false">
      <c r="A495" s="0" t="s">
        <v>1656</v>
      </c>
      <c r="B495" s="0" t="s">
        <v>1127</v>
      </c>
      <c r="C495" s="14" t="n">
        <v>45808</v>
      </c>
      <c r="D495" s="0" t="n">
        <v>1844.19</v>
      </c>
    </row>
    <row r="496" customFormat="false" ht="15" hidden="false" customHeight="false" outlineLevel="0" collapsed="false">
      <c r="A496" s="0" t="s">
        <v>1657</v>
      </c>
      <c r="B496" s="0" t="s">
        <v>732</v>
      </c>
      <c r="C496" s="14" t="n">
        <v>46084</v>
      </c>
      <c r="D496" s="0" t="n">
        <v>308.34</v>
      </c>
    </row>
    <row r="497" customFormat="false" ht="15" hidden="false" customHeight="false" outlineLevel="0" collapsed="false">
      <c r="A497" s="0" t="s">
        <v>1658</v>
      </c>
      <c r="B497" s="0" t="s">
        <v>535</v>
      </c>
      <c r="C497" s="14" t="n">
        <v>46117</v>
      </c>
      <c r="D497" s="0" t="n">
        <v>4612.25</v>
      </c>
    </row>
    <row r="498" customFormat="false" ht="15" hidden="false" customHeight="false" outlineLevel="0" collapsed="false">
      <c r="A498" s="0" t="s">
        <v>1659</v>
      </c>
      <c r="B498" s="0" t="s">
        <v>316</v>
      </c>
      <c r="C498" s="14" t="n">
        <v>45734</v>
      </c>
      <c r="D498" s="0" t="n">
        <v>2051.54</v>
      </c>
    </row>
    <row r="499" customFormat="false" ht="15" hidden="false" customHeight="false" outlineLevel="0" collapsed="false">
      <c r="A499" s="0" t="s">
        <v>1660</v>
      </c>
      <c r="B499" s="0" t="s">
        <v>478</v>
      </c>
      <c r="C499" s="14" t="n">
        <v>45686</v>
      </c>
      <c r="D499" s="0" t="n">
        <v>14457.87</v>
      </c>
    </row>
    <row r="500" customFormat="false" ht="15" hidden="false" customHeight="false" outlineLevel="0" collapsed="false">
      <c r="A500" s="0" t="s">
        <v>1661</v>
      </c>
      <c r="B500" s="0" t="s">
        <v>538</v>
      </c>
      <c r="C500" s="14" t="n">
        <v>46012</v>
      </c>
      <c r="D500" s="0" t="n">
        <v>1486.84</v>
      </c>
    </row>
    <row r="501" customFormat="false" ht="15" hidden="false" customHeight="false" outlineLevel="0" collapsed="false">
      <c r="A501" s="0" t="s">
        <v>1662</v>
      </c>
      <c r="B501" s="0" t="s">
        <v>602</v>
      </c>
      <c r="C501" s="14" t="n">
        <v>45824</v>
      </c>
      <c r="D501" s="0" t="n">
        <v>2957.14</v>
      </c>
    </row>
    <row r="502" customFormat="false" ht="15" hidden="false" customHeight="false" outlineLevel="0" collapsed="false">
      <c r="A502" s="0" t="s">
        <v>1663</v>
      </c>
      <c r="B502" s="0" t="s">
        <v>687</v>
      </c>
      <c r="C502" s="14" t="n">
        <v>45897</v>
      </c>
      <c r="D502" s="0" t="n">
        <v>476.74</v>
      </c>
    </row>
    <row r="503" customFormat="false" ht="15" hidden="false" customHeight="false" outlineLevel="0" collapsed="false">
      <c r="A503" s="0" t="s">
        <v>1664</v>
      </c>
      <c r="B503" s="0" t="s">
        <v>1108</v>
      </c>
      <c r="C503" s="14" t="n">
        <v>46022</v>
      </c>
      <c r="D503" s="0" t="n">
        <v>309.11</v>
      </c>
    </row>
    <row r="504" customFormat="false" ht="15" hidden="false" customHeight="false" outlineLevel="0" collapsed="false">
      <c r="A504" s="0" t="s">
        <v>1665</v>
      </c>
      <c r="B504" s="0" t="s">
        <v>707</v>
      </c>
      <c r="C504" s="14" t="n">
        <v>45710</v>
      </c>
      <c r="D504" s="0" t="n">
        <v>3346.97</v>
      </c>
    </row>
    <row r="505" customFormat="false" ht="15" hidden="false" customHeight="false" outlineLevel="0" collapsed="false">
      <c r="A505" s="0" t="s">
        <v>1666</v>
      </c>
      <c r="B505" s="0" t="s">
        <v>537</v>
      </c>
      <c r="C505" s="14" t="n">
        <v>46191</v>
      </c>
      <c r="D505" s="0" t="n">
        <v>3538.33</v>
      </c>
    </row>
    <row r="506" customFormat="false" ht="15" hidden="false" customHeight="false" outlineLevel="0" collapsed="false">
      <c r="A506" s="0" t="s">
        <v>1667</v>
      </c>
      <c r="B506" s="0" t="s">
        <v>1023</v>
      </c>
      <c r="C506" s="14" t="n">
        <v>45922</v>
      </c>
      <c r="D506" s="0" t="n">
        <v>1913.88</v>
      </c>
    </row>
    <row r="507" customFormat="false" ht="15" hidden="false" customHeight="false" outlineLevel="0" collapsed="false">
      <c r="A507" s="0" t="s">
        <v>1668</v>
      </c>
      <c r="B507" s="0" t="s">
        <v>951</v>
      </c>
      <c r="C507" s="14" t="n">
        <v>46161</v>
      </c>
      <c r="D507" s="0" t="n">
        <v>894.04</v>
      </c>
    </row>
    <row r="508" customFormat="false" ht="15" hidden="false" customHeight="false" outlineLevel="0" collapsed="false">
      <c r="A508" s="0" t="s">
        <v>1669</v>
      </c>
      <c r="B508" s="0" t="s">
        <v>638</v>
      </c>
      <c r="C508" s="14" t="n">
        <v>45956</v>
      </c>
      <c r="D508" s="0" t="n">
        <v>1652.62</v>
      </c>
    </row>
    <row r="509" customFormat="false" ht="15" hidden="false" customHeight="false" outlineLevel="0" collapsed="false">
      <c r="A509" s="0" t="s">
        <v>1670</v>
      </c>
      <c r="B509" s="0" t="s">
        <v>593</v>
      </c>
      <c r="C509" s="14" t="n">
        <v>45728</v>
      </c>
      <c r="D509" s="0" t="n">
        <v>6053.15</v>
      </c>
    </row>
    <row r="510" customFormat="false" ht="15" hidden="false" customHeight="false" outlineLevel="0" collapsed="false">
      <c r="A510" s="0" t="s">
        <v>1671</v>
      </c>
      <c r="B510" s="0" t="s">
        <v>1107</v>
      </c>
      <c r="C510" s="14" t="n">
        <v>45751</v>
      </c>
      <c r="D510" s="0" t="n">
        <v>820.16</v>
      </c>
    </row>
    <row r="511" customFormat="false" ht="15" hidden="false" customHeight="false" outlineLevel="0" collapsed="false">
      <c r="A511" s="0" t="s">
        <v>1672</v>
      </c>
      <c r="B511" s="0" t="s">
        <v>971</v>
      </c>
      <c r="C511" s="14" t="n">
        <v>46038</v>
      </c>
      <c r="D511" s="0" t="n">
        <v>2423.18</v>
      </c>
    </row>
    <row r="512" customFormat="false" ht="15" hidden="false" customHeight="false" outlineLevel="0" collapsed="false">
      <c r="A512" s="0" t="s">
        <v>1673</v>
      </c>
      <c r="B512" s="0" t="s">
        <v>947</v>
      </c>
      <c r="C512" s="14" t="n">
        <v>46186</v>
      </c>
      <c r="D512" s="0" t="n">
        <v>1058.23</v>
      </c>
    </row>
    <row r="513" customFormat="false" ht="15" hidden="false" customHeight="false" outlineLevel="0" collapsed="false">
      <c r="A513" s="0" t="s">
        <v>1674</v>
      </c>
      <c r="B513" s="0" t="s">
        <v>888</v>
      </c>
      <c r="C513" s="14" t="n">
        <v>46032</v>
      </c>
      <c r="D513" s="0" t="n">
        <v>1532.53</v>
      </c>
    </row>
    <row r="514" customFormat="false" ht="15" hidden="false" customHeight="false" outlineLevel="0" collapsed="false">
      <c r="A514" s="0" t="s">
        <v>1675</v>
      </c>
      <c r="B514" s="0" t="s">
        <v>403</v>
      </c>
      <c r="C514" s="14" t="n">
        <v>46181</v>
      </c>
      <c r="D514" s="0" t="n">
        <v>420.44</v>
      </c>
    </row>
    <row r="515" customFormat="false" ht="15" hidden="false" customHeight="false" outlineLevel="0" collapsed="false">
      <c r="A515" s="0" t="s">
        <v>1676</v>
      </c>
      <c r="B515" s="0" t="s">
        <v>523</v>
      </c>
      <c r="C515" s="14" t="n">
        <v>46085</v>
      </c>
      <c r="D515" s="0" t="n">
        <v>266.54</v>
      </c>
    </row>
    <row r="516" customFormat="false" ht="15" hidden="false" customHeight="false" outlineLevel="0" collapsed="false">
      <c r="A516" s="0" t="s">
        <v>1677</v>
      </c>
      <c r="B516" s="0" t="s">
        <v>647</v>
      </c>
      <c r="C516" s="14" t="n">
        <v>46176</v>
      </c>
      <c r="D516" s="0" t="n">
        <v>499.83</v>
      </c>
    </row>
    <row r="517" customFormat="false" ht="15" hidden="false" customHeight="false" outlineLevel="0" collapsed="false">
      <c r="A517" s="0" t="s">
        <v>1678</v>
      </c>
      <c r="B517" s="0" t="s">
        <v>735</v>
      </c>
      <c r="C517" s="14" t="n">
        <v>46172</v>
      </c>
      <c r="D517" s="0" t="n">
        <v>1084.38</v>
      </c>
    </row>
    <row r="518" customFormat="false" ht="15" hidden="false" customHeight="false" outlineLevel="0" collapsed="false">
      <c r="A518" s="0" t="s">
        <v>1679</v>
      </c>
      <c r="B518" s="0" t="s">
        <v>990</v>
      </c>
      <c r="C518" s="14" t="n">
        <v>45790</v>
      </c>
      <c r="D518" s="0" t="n">
        <v>549.24</v>
      </c>
    </row>
    <row r="519" customFormat="false" ht="15" hidden="false" customHeight="false" outlineLevel="0" collapsed="false">
      <c r="A519" s="0" t="s">
        <v>1680</v>
      </c>
      <c r="B519" s="0" t="s">
        <v>425</v>
      </c>
      <c r="C519" s="14" t="n">
        <v>46009</v>
      </c>
      <c r="D519" s="0" t="n">
        <v>946.66</v>
      </c>
    </row>
    <row r="520" customFormat="false" ht="15" hidden="false" customHeight="false" outlineLevel="0" collapsed="false">
      <c r="A520" s="0" t="s">
        <v>1681</v>
      </c>
      <c r="B520" s="0" t="s">
        <v>468</v>
      </c>
      <c r="C520" s="14" t="n">
        <v>45913</v>
      </c>
      <c r="D520" s="0" t="n">
        <v>183.39</v>
      </c>
    </row>
    <row r="521" customFormat="false" ht="15" hidden="false" customHeight="false" outlineLevel="0" collapsed="false">
      <c r="A521" s="0" t="s">
        <v>1682</v>
      </c>
      <c r="B521" s="0" t="s">
        <v>1153</v>
      </c>
      <c r="C521" s="14" t="n">
        <v>46142</v>
      </c>
      <c r="D521" s="0" t="n">
        <v>972.49</v>
      </c>
    </row>
    <row r="522" customFormat="false" ht="15" hidden="false" customHeight="false" outlineLevel="0" collapsed="false">
      <c r="A522" s="0" t="s">
        <v>1683</v>
      </c>
      <c r="B522" s="0" t="s">
        <v>422</v>
      </c>
      <c r="C522" s="14" t="n">
        <v>45934</v>
      </c>
      <c r="D522" s="0" t="n">
        <v>865.82</v>
      </c>
    </row>
    <row r="523" customFormat="false" ht="15" hidden="false" customHeight="false" outlineLevel="0" collapsed="false">
      <c r="A523" s="0" t="s">
        <v>1684</v>
      </c>
      <c r="B523" s="0" t="s">
        <v>340</v>
      </c>
      <c r="C523" s="14" t="n">
        <v>46025</v>
      </c>
      <c r="D523" s="0" t="n">
        <v>1031.9</v>
      </c>
    </row>
    <row r="524" customFormat="false" ht="15" hidden="false" customHeight="false" outlineLevel="0" collapsed="false">
      <c r="A524" s="0" t="s">
        <v>1685</v>
      </c>
      <c r="B524" s="0" t="s">
        <v>415</v>
      </c>
      <c r="C524" s="14" t="n">
        <v>45992</v>
      </c>
      <c r="D524" s="0" t="n">
        <v>402.4</v>
      </c>
    </row>
    <row r="525" customFormat="false" ht="15" hidden="false" customHeight="false" outlineLevel="0" collapsed="false">
      <c r="A525" s="0" t="s">
        <v>1686</v>
      </c>
      <c r="B525" s="0" t="s">
        <v>672</v>
      </c>
      <c r="C525" s="14" t="n">
        <v>46112</v>
      </c>
      <c r="D525" s="0" t="n">
        <v>755.76</v>
      </c>
    </row>
    <row r="526" customFormat="false" ht="15" hidden="false" customHeight="false" outlineLevel="0" collapsed="false">
      <c r="A526" s="0" t="s">
        <v>1687</v>
      </c>
      <c r="B526" s="0" t="s">
        <v>675</v>
      </c>
      <c r="C526" s="14" t="n">
        <v>45834</v>
      </c>
      <c r="D526" s="0" t="n">
        <v>4303.23</v>
      </c>
    </row>
    <row r="527" customFormat="false" ht="15" hidden="false" customHeight="false" outlineLevel="0" collapsed="false">
      <c r="A527" s="0" t="s">
        <v>1688</v>
      </c>
      <c r="B527" s="0" t="s">
        <v>751</v>
      </c>
      <c r="C527" s="14" t="n">
        <v>45934</v>
      </c>
      <c r="D527" s="0" t="n">
        <v>882.52</v>
      </c>
    </row>
    <row r="528" customFormat="false" ht="15" hidden="false" customHeight="false" outlineLevel="0" collapsed="false">
      <c r="A528" s="0" t="s">
        <v>1689</v>
      </c>
      <c r="B528" s="0" t="s">
        <v>661</v>
      </c>
      <c r="C528" s="14" t="n">
        <v>45909</v>
      </c>
      <c r="D528" s="0" t="n">
        <v>1682.49</v>
      </c>
    </row>
    <row r="529" customFormat="false" ht="15" hidden="false" customHeight="false" outlineLevel="0" collapsed="false">
      <c r="A529" s="0" t="s">
        <v>1690</v>
      </c>
      <c r="B529" s="0" t="s">
        <v>1140</v>
      </c>
      <c r="C529" s="14" t="n">
        <v>45793</v>
      </c>
      <c r="D529" s="0" t="n">
        <v>1027.6</v>
      </c>
    </row>
    <row r="530" customFormat="false" ht="15" hidden="false" customHeight="false" outlineLevel="0" collapsed="false">
      <c r="A530" s="0" t="s">
        <v>1691</v>
      </c>
      <c r="B530" s="0" t="s">
        <v>559</v>
      </c>
      <c r="C530" s="14" t="n">
        <v>45677</v>
      </c>
      <c r="D530" s="0" t="n">
        <v>618.31</v>
      </c>
    </row>
    <row r="531" customFormat="false" ht="15" hidden="false" customHeight="false" outlineLevel="0" collapsed="false">
      <c r="A531" s="0" t="s">
        <v>1692</v>
      </c>
      <c r="B531" s="0" t="s">
        <v>1033</v>
      </c>
      <c r="C531" s="14" t="n">
        <v>46005</v>
      </c>
      <c r="D531" s="0" t="n">
        <v>1652.24</v>
      </c>
    </row>
    <row r="532" customFormat="false" ht="15" hidden="false" customHeight="false" outlineLevel="0" collapsed="false">
      <c r="A532" s="0" t="s">
        <v>1693</v>
      </c>
      <c r="B532" s="0" t="s">
        <v>985</v>
      </c>
      <c r="C532" s="14" t="n">
        <v>45797</v>
      </c>
      <c r="D532" s="0" t="n">
        <v>15935.12</v>
      </c>
    </row>
    <row r="533" customFormat="false" ht="15" hidden="false" customHeight="false" outlineLevel="0" collapsed="false">
      <c r="A533" s="0" t="s">
        <v>1694</v>
      </c>
      <c r="B533" s="0" t="s">
        <v>716</v>
      </c>
      <c r="C533" s="14" t="n">
        <v>46118</v>
      </c>
      <c r="D533" s="0" t="n">
        <v>933.1</v>
      </c>
    </row>
    <row r="534" customFormat="false" ht="15" hidden="false" customHeight="false" outlineLevel="0" collapsed="false">
      <c r="A534" s="0" t="s">
        <v>1695</v>
      </c>
      <c r="B534" s="0" t="s">
        <v>1036</v>
      </c>
      <c r="C534" s="14" t="n">
        <v>46015</v>
      </c>
      <c r="D534" s="0" t="n">
        <v>4823.29</v>
      </c>
    </row>
    <row r="535" customFormat="false" ht="15" hidden="false" customHeight="false" outlineLevel="0" collapsed="false">
      <c r="A535" s="0" t="s">
        <v>1696</v>
      </c>
      <c r="B535" s="0" t="s">
        <v>474</v>
      </c>
      <c r="C535" s="14" t="n">
        <v>45682</v>
      </c>
      <c r="D535" s="0" t="n">
        <v>1431.29</v>
      </c>
    </row>
    <row r="536" customFormat="false" ht="15" hidden="false" customHeight="false" outlineLevel="0" collapsed="false">
      <c r="A536" s="0" t="s">
        <v>1697</v>
      </c>
      <c r="B536" s="0" t="s">
        <v>1056</v>
      </c>
      <c r="C536" s="14" t="n">
        <v>45908</v>
      </c>
      <c r="D536" s="0" t="n">
        <v>5071.62</v>
      </c>
    </row>
    <row r="537" customFormat="false" ht="15" hidden="false" customHeight="false" outlineLevel="0" collapsed="false">
      <c r="A537" s="0" t="s">
        <v>1698</v>
      </c>
      <c r="B537" s="0" t="s">
        <v>999</v>
      </c>
      <c r="C537" s="14" t="n">
        <v>45735</v>
      </c>
      <c r="D537" s="0" t="n">
        <v>957.43</v>
      </c>
    </row>
    <row r="538" customFormat="false" ht="15" hidden="false" customHeight="false" outlineLevel="0" collapsed="false">
      <c r="A538" s="0" t="s">
        <v>1699</v>
      </c>
      <c r="B538" s="0" t="s">
        <v>1014</v>
      </c>
      <c r="C538" s="14" t="n">
        <v>46098</v>
      </c>
      <c r="D538" s="0" t="n">
        <v>4662.39</v>
      </c>
    </row>
    <row r="539" customFormat="false" ht="15" hidden="false" customHeight="false" outlineLevel="0" collapsed="false">
      <c r="A539" s="0" t="s">
        <v>1700</v>
      </c>
      <c r="B539" s="0" t="s">
        <v>393</v>
      </c>
      <c r="C539" s="14" t="n">
        <v>46038</v>
      </c>
      <c r="D539" s="0" t="n">
        <v>6242.97</v>
      </c>
    </row>
    <row r="540" customFormat="false" ht="15" hidden="false" customHeight="false" outlineLevel="0" collapsed="false">
      <c r="A540" s="0" t="s">
        <v>1701</v>
      </c>
      <c r="B540" s="0" t="s">
        <v>903</v>
      </c>
      <c r="C540" s="14" t="n">
        <v>45734</v>
      </c>
      <c r="D540" s="0" t="n">
        <v>1627.91</v>
      </c>
    </row>
    <row r="541" customFormat="false" ht="15" hidden="false" customHeight="false" outlineLevel="0" collapsed="false">
      <c r="A541" s="0" t="s">
        <v>1702</v>
      </c>
      <c r="B541" s="0" t="s">
        <v>605</v>
      </c>
      <c r="C541" s="14" t="n">
        <v>45797</v>
      </c>
      <c r="D541" s="0" t="n">
        <v>13244.8</v>
      </c>
    </row>
    <row r="542" customFormat="false" ht="15" hidden="false" customHeight="false" outlineLevel="0" collapsed="false">
      <c r="A542" s="0" t="s">
        <v>1703</v>
      </c>
      <c r="B542" s="0" t="s">
        <v>379</v>
      </c>
      <c r="C542" s="14" t="n">
        <v>46107</v>
      </c>
      <c r="D542" s="0" t="n">
        <v>426.18</v>
      </c>
    </row>
    <row r="543" customFormat="false" ht="15" hidden="false" customHeight="false" outlineLevel="0" collapsed="false">
      <c r="A543" s="0" t="s">
        <v>1704</v>
      </c>
      <c r="B543" s="0" t="s">
        <v>1058</v>
      </c>
      <c r="C543" s="14" t="n">
        <v>45864</v>
      </c>
      <c r="D543" s="0" t="n">
        <v>481.93</v>
      </c>
    </row>
    <row r="544" customFormat="false" ht="15" hidden="false" customHeight="false" outlineLevel="0" collapsed="false">
      <c r="A544" s="0" t="s">
        <v>1705</v>
      </c>
      <c r="B544" s="0" t="s">
        <v>1097</v>
      </c>
      <c r="C544" s="14" t="n">
        <v>46114</v>
      </c>
      <c r="D544" s="0" t="n">
        <v>851.07</v>
      </c>
    </row>
    <row r="545" customFormat="false" ht="15" hidden="false" customHeight="false" outlineLevel="0" collapsed="false">
      <c r="A545" s="0" t="s">
        <v>1706</v>
      </c>
      <c r="B545" s="0" t="s">
        <v>1044</v>
      </c>
      <c r="C545" s="14" t="n">
        <v>46048</v>
      </c>
      <c r="D545" s="0" t="n">
        <v>2608</v>
      </c>
    </row>
    <row r="546" customFormat="false" ht="15" hidden="false" customHeight="false" outlineLevel="0" collapsed="false">
      <c r="A546" s="0" t="s">
        <v>1707</v>
      </c>
      <c r="B546" s="0" t="s">
        <v>861</v>
      </c>
      <c r="C546" s="14" t="n">
        <v>45899</v>
      </c>
      <c r="D546" s="0" t="n">
        <v>313.99</v>
      </c>
    </row>
    <row r="547" customFormat="false" ht="15" hidden="false" customHeight="false" outlineLevel="0" collapsed="false">
      <c r="A547" s="0" t="s">
        <v>1708</v>
      </c>
      <c r="B547" s="0" t="s">
        <v>437</v>
      </c>
      <c r="C547" s="14" t="n">
        <v>46038</v>
      </c>
      <c r="D547" s="0" t="n">
        <v>13874.68</v>
      </c>
    </row>
    <row r="548" customFormat="false" ht="15" hidden="false" customHeight="false" outlineLevel="0" collapsed="false">
      <c r="A548" s="0" t="s">
        <v>1709</v>
      </c>
      <c r="B548" s="0" t="s">
        <v>1034</v>
      </c>
      <c r="C548" s="14" t="n">
        <v>45699</v>
      </c>
      <c r="D548" s="0" t="n">
        <v>2766.5</v>
      </c>
    </row>
    <row r="549" customFormat="false" ht="15" hidden="false" customHeight="false" outlineLevel="0" collapsed="false">
      <c r="A549" s="0" t="s">
        <v>1710</v>
      </c>
      <c r="B549" s="0" t="s">
        <v>280</v>
      </c>
      <c r="C549" s="14" t="n">
        <v>45792</v>
      </c>
      <c r="D549" s="0" t="n">
        <v>1749.66</v>
      </c>
    </row>
    <row r="550" customFormat="false" ht="15" hidden="false" customHeight="false" outlineLevel="0" collapsed="false">
      <c r="A550" s="0" t="s">
        <v>1711</v>
      </c>
      <c r="B550" s="0" t="s">
        <v>1027</v>
      </c>
      <c r="C550" s="14" t="n">
        <v>45887</v>
      </c>
      <c r="D550" s="0" t="n">
        <v>9255.12</v>
      </c>
    </row>
    <row r="551" customFormat="false" ht="15" hidden="false" customHeight="false" outlineLevel="0" collapsed="false">
      <c r="A551" s="0" t="s">
        <v>1712</v>
      </c>
      <c r="B551" s="0" t="s">
        <v>849</v>
      </c>
      <c r="C551" s="14" t="n">
        <v>45913</v>
      </c>
      <c r="D551" s="0" t="n">
        <v>640.41</v>
      </c>
    </row>
    <row r="552" customFormat="false" ht="15" hidden="false" customHeight="false" outlineLevel="0" collapsed="false">
      <c r="A552" s="0" t="s">
        <v>1713</v>
      </c>
      <c r="B552" s="0" t="s">
        <v>618</v>
      </c>
      <c r="C552" s="14" t="n">
        <v>45915</v>
      </c>
      <c r="D552" s="0" t="n">
        <v>19107.49</v>
      </c>
    </row>
    <row r="553" customFormat="false" ht="15" hidden="false" customHeight="false" outlineLevel="0" collapsed="false">
      <c r="A553" s="0" t="s">
        <v>1714</v>
      </c>
      <c r="B553" s="0" t="s">
        <v>720</v>
      </c>
      <c r="C553" s="14" t="n">
        <v>45840</v>
      </c>
      <c r="D553" s="0" t="n">
        <v>4579.99</v>
      </c>
    </row>
    <row r="554" customFormat="false" ht="15" hidden="false" customHeight="false" outlineLevel="0" collapsed="false">
      <c r="A554" s="0" t="s">
        <v>1715</v>
      </c>
      <c r="B554" s="0" t="s">
        <v>481</v>
      </c>
      <c r="C554" s="14" t="n">
        <v>45851</v>
      </c>
      <c r="D554" s="0" t="n">
        <v>1235.82</v>
      </c>
    </row>
    <row r="555" customFormat="false" ht="15" hidden="false" customHeight="false" outlineLevel="0" collapsed="false">
      <c r="A555" s="0" t="s">
        <v>1716</v>
      </c>
      <c r="B555" s="0" t="s">
        <v>727</v>
      </c>
      <c r="C555" s="14" t="n">
        <v>45892</v>
      </c>
      <c r="D555" s="0" t="n">
        <v>3328.14</v>
      </c>
    </row>
    <row r="556" customFormat="false" ht="15" hidden="false" customHeight="false" outlineLevel="0" collapsed="false">
      <c r="A556" s="0" t="s">
        <v>1717</v>
      </c>
      <c r="B556" s="0" t="s">
        <v>954</v>
      </c>
      <c r="C556" s="14" t="n">
        <v>46026</v>
      </c>
      <c r="D556" s="0" t="n">
        <v>767.92</v>
      </c>
    </row>
    <row r="557" customFormat="false" ht="15" hidden="false" customHeight="false" outlineLevel="0" collapsed="false">
      <c r="A557" s="0" t="s">
        <v>1718</v>
      </c>
      <c r="B557" s="0" t="s">
        <v>770</v>
      </c>
      <c r="C557" s="14" t="n">
        <v>45823</v>
      </c>
      <c r="D557" s="0" t="n">
        <v>460.42</v>
      </c>
    </row>
    <row r="558" customFormat="false" ht="15" hidden="false" customHeight="false" outlineLevel="0" collapsed="false">
      <c r="A558" s="0" t="s">
        <v>1719</v>
      </c>
      <c r="B558" s="0" t="s">
        <v>1046</v>
      </c>
      <c r="C558" s="14" t="n">
        <v>46025</v>
      </c>
      <c r="D558" s="0" t="n">
        <v>393.39</v>
      </c>
    </row>
    <row r="559" customFormat="false" ht="15" hidden="false" customHeight="false" outlineLevel="0" collapsed="false">
      <c r="A559" s="0" t="s">
        <v>1720</v>
      </c>
      <c r="B559" s="0" t="s">
        <v>733</v>
      </c>
      <c r="C559" s="14" t="n">
        <v>45783</v>
      </c>
      <c r="D559" s="0" t="n">
        <v>303.89</v>
      </c>
    </row>
    <row r="560" customFormat="false" ht="15" hidden="false" customHeight="false" outlineLevel="0" collapsed="false">
      <c r="A560" s="0" t="s">
        <v>1721</v>
      </c>
      <c r="B560" s="0" t="s">
        <v>625</v>
      </c>
      <c r="C560" s="14" t="n">
        <v>45889</v>
      </c>
      <c r="D560" s="0" t="n">
        <v>1086.25</v>
      </c>
    </row>
    <row r="561" customFormat="false" ht="15" hidden="false" customHeight="false" outlineLevel="0" collapsed="false">
      <c r="A561" s="0" t="s">
        <v>1722</v>
      </c>
      <c r="B561" s="0" t="s">
        <v>686</v>
      </c>
      <c r="C561" s="14" t="n">
        <v>45695</v>
      </c>
      <c r="D561" s="0" t="n">
        <v>4785.43</v>
      </c>
    </row>
    <row r="562" customFormat="false" ht="15" hidden="false" customHeight="false" outlineLevel="0" collapsed="false">
      <c r="A562" s="0" t="s">
        <v>1723</v>
      </c>
      <c r="B562" s="0" t="s">
        <v>834</v>
      </c>
      <c r="C562" s="14" t="n">
        <v>45689</v>
      </c>
      <c r="D562" s="0" t="n">
        <v>2503.97</v>
      </c>
    </row>
    <row r="563" customFormat="false" ht="15" hidden="false" customHeight="false" outlineLevel="0" collapsed="false">
      <c r="A563" s="0" t="s">
        <v>1724</v>
      </c>
      <c r="B563" s="0" t="s">
        <v>1047</v>
      </c>
      <c r="C563" s="14" t="n">
        <v>46079</v>
      </c>
      <c r="D563" s="0" t="n">
        <v>473.84</v>
      </c>
    </row>
    <row r="564" customFormat="false" ht="15" hidden="false" customHeight="false" outlineLevel="0" collapsed="false">
      <c r="A564" s="0" t="s">
        <v>1725</v>
      </c>
      <c r="B564" s="0" t="s">
        <v>748</v>
      </c>
      <c r="C564" s="14" t="n">
        <v>45915</v>
      </c>
      <c r="D564" s="0" t="n">
        <v>1494.41</v>
      </c>
    </row>
    <row r="565" customFormat="false" ht="15" hidden="false" customHeight="false" outlineLevel="0" collapsed="false">
      <c r="A565" s="0" t="s">
        <v>1726</v>
      </c>
      <c r="B565" s="0" t="s">
        <v>933</v>
      </c>
      <c r="C565" s="14" t="n">
        <v>46189</v>
      </c>
      <c r="D565" s="0" t="n">
        <v>2544.31</v>
      </c>
    </row>
    <row r="566" customFormat="false" ht="15" hidden="false" customHeight="false" outlineLevel="0" collapsed="false">
      <c r="A566" s="0" t="s">
        <v>1727</v>
      </c>
      <c r="B566" s="0" t="s">
        <v>460</v>
      </c>
      <c r="C566" s="14" t="n">
        <v>45797</v>
      </c>
      <c r="D566" s="0" t="n">
        <v>7303.36</v>
      </c>
    </row>
    <row r="567" customFormat="false" ht="15" hidden="false" customHeight="false" outlineLevel="0" collapsed="false">
      <c r="A567" s="0" t="s">
        <v>1728</v>
      </c>
      <c r="B567" s="0" t="s">
        <v>1159</v>
      </c>
      <c r="C567" s="14" t="n">
        <v>45976</v>
      </c>
      <c r="D567" s="0" t="n">
        <v>4104.49</v>
      </c>
    </row>
    <row r="568" customFormat="false" ht="15" hidden="false" customHeight="false" outlineLevel="0" collapsed="false">
      <c r="A568" s="0" t="s">
        <v>1729</v>
      </c>
      <c r="B568" s="0" t="s">
        <v>866</v>
      </c>
      <c r="C568" s="14" t="n">
        <v>45933</v>
      </c>
      <c r="D568" s="0" t="n">
        <v>202.78</v>
      </c>
    </row>
    <row r="569" customFormat="false" ht="15" hidden="false" customHeight="false" outlineLevel="0" collapsed="false">
      <c r="A569" s="0" t="s">
        <v>1730</v>
      </c>
      <c r="B569" s="0" t="s">
        <v>994</v>
      </c>
      <c r="C569" s="14" t="n">
        <v>45743</v>
      </c>
      <c r="D569" s="0" t="n">
        <v>1624.72</v>
      </c>
    </row>
    <row r="570" customFormat="false" ht="15" hidden="false" customHeight="false" outlineLevel="0" collapsed="false">
      <c r="A570" s="0" t="s">
        <v>1731</v>
      </c>
      <c r="B570" s="0" t="s">
        <v>719</v>
      </c>
      <c r="C570" s="14" t="n">
        <v>45845</v>
      </c>
      <c r="D570" s="0" t="n">
        <v>3705.05</v>
      </c>
    </row>
    <row r="571" customFormat="false" ht="15" hidden="false" customHeight="false" outlineLevel="0" collapsed="false">
      <c r="A571" s="0" t="s">
        <v>1732</v>
      </c>
      <c r="B571" s="0" t="s">
        <v>453</v>
      </c>
      <c r="C571" s="14" t="n">
        <v>46082</v>
      </c>
      <c r="D571" s="0" t="n">
        <v>4226.43</v>
      </c>
    </row>
    <row r="572" customFormat="false" ht="15" hidden="false" customHeight="false" outlineLevel="0" collapsed="false">
      <c r="A572" s="0" t="s">
        <v>1733</v>
      </c>
      <c r="B572" s="0" t="s">
        <v>836</v>
      </c>
      <c r="C572" s="14" t="n">
        <v>45820</v>
      </c>
      <c r="D572" s="0" t="n">
        <v>1308.52</v>
      </c>
    </row>
    <row r="573" customFormat="false" ht="15" hidden="false" customHeight="false" outlineLevel="0" collapsed="false">
      <c r="A573" s="0" t="s">
        <v>1734</v>
      </c>
      <c r="B573" s="0" t="s">
        <v>1041</v>
      </c>
      <c r="C573" s="14" t="n">
        <v>45916</v>
      </c>
      <c r="D573" s="0" t="n">
        <v>1891.73</v>
      </c>
    </row>
    <row r="574" customFormat="false" ht="15" hidden="false" customHeight="false" outlineLevel="0" collapsed="false">
      <c r="A574" s="0" t="s">
        <v>1735</v>
      </c>
      <c r="B574" s="0" t="s">
        <v>1013</v>
      </c>
      <c r="C574" s="14" t="n">
        <v>45934</v>
      </c>
      <c r="D574" s="0" t="n">
        <v>9307.71</v>
      </c>
    </row>
    <row r="575" customFormat="false" ht="15" hidden="false" customHeight="false" outlineLevel="0" collapsed="false">
      <c r="A575" s="0" t="s">
        <v>1736</v>
      </c>
      <c r="B575" s="0" t="s">
        <v>518</v>
      </c>
      <c r="C575" s="14" t="n">
        <v>46066</v>
      </c>
      <c r="D575" s="0" t="n">
        <v>2745.78</v>
      </c>
    </row>
    <row r="576" customFormat="false" ht="15" hidden="false" customHeight="false" outlineLevel="0" collapsed="false">
      <c r="A576" s="0" t="s">
        <v>1737</v>
      </c>
      <c r="B576" s="0" t="s">
        <v>750</v>
      </c>
      <c r="C576" s="14" t="n">
        <v>46119</v>
      </c>
      <c r="D576" s="0" t="n">
        <v>2064.66</v>
      </c>
    </row>
    <row r="577" customFormat="false" ht="15" hidden="false" customHeight="false" outlineLevel="0" collapsed="false">
      <c r="A577" s="0" t="s">
        <v>1738</v>
      </c>
      <c r="B577" s="0" t="s">
        <v>441</v>
      </c>
      <c r="C577" s="14" t="n">
        <v>45964</v>
      </c>
      <c r="D577" s="0" t="n">
        <v>8178.53</v>
      </c>
    </row>
    <row r="578" customFormat="false" ht="15" hidden="false" customHeight="false" outlineLevel="0" collapsed="false">
      <c r="A578" s="0" t="s">
        <v>1739</v>
      </c>
      <c r="B578" s="0" t="s">
        <v>690</v>
      </c>
      <c r="C578" s="14" t="n">
        <v>45727</v>
      </c>
      <c r="D578" s="0" t="n">
        <v>175.5</v>
      </c>
    </row>
    <row r="579" customFormat="false" ht="15" hidden="false" customHeight="false" outlineLevel="0" collapsed="false">
      <c r="A579" s="0" t="s">
        <v>1740</v>
      </c>
      <c r="B579" s="0" t="s">
        <v>484</v>
      </c>
      <c r="C579" s="14" t="n">
        <v>46075</v>
      </c>
      <c r="D579" s="0" t="n">
        <v>2084.01</v>
      </c>
    </row>
    <row r="580" customFormat="false" ht="15" hidden="false" customHeight="false" outlineLevel="0" collapsed="false">
      <c r="A580" s="0" t="s">
        <v>1741</v>
      </c>
      <c r="B580" s="0" t="s">
        <v>843</v>
      </c>
      <c r="C580" s="14" t="n">
        <v>45714</v>
      </c>
      <c r="D580" s="0" t="n">
        <v>21176.94</v>
      </c>
    </row>
    <row r="581" customFormat="false" ht="15" hidden="false" customHeight="false" outlineLevel="0" collapsed="false">
      <c r="A581" s="0" t="s">
        <v>1742</v>
      </c>
      <c r="B581" s="0" t="s">
        <v>580</v>
      </c>
      <c r="C581" s="14" t="n">
        <v>46053</v>
      </c>
      <c r="D581" s="0" t="n">
        <v>519.69</v>
      </c>
    </row>
    <row r="582" customFormat="false" ht="15" hidden="false" customHeight="false" outlineLevel="0" collapsed="false">
      <c r="A582" s="0" t="s">
        <v>1743</v>
      </c>
      <c r="B582" s="0" t="s">
        <v>717</v>
      </c>
      <c r="C582" s="14" t="n">
        <v>45977</v>
      </c>
      <c r="D582" s="0" t="n">
        <v>6538.37</v>
      </c>
    </row>
    <row r="583" customFormat="false" ht="15" hidden="false" customHeight="false" outlineLevel="0" collapsed="false">
      <c r="A583" s="0" t="s">
        <v>1744</v>
      </c>
      <c r="B583" s="0" t="s">
        <v>913</v>
      </c>
      <c r="C583" s="14" t="n">
        <v>46070</v>
      </c>
      <c r="D583" s="0" t="n">
        <v>1253.19</v>
      </c>
    </row>
    <row r="584" customFormat="false" ht="15" hidden="false" customHeight="false" outlineLevel="0" collapsed="false">
      <c r="A584" s="0" t="s">
        <v>1745</v>
      </c>
      <c r="B584" s="0" t="s">
        <v>433</v>
      </c>
      <c r="C584" s="14" t="n">
        <v>45848</v>
      </c>
      <c r="D584" s="0" t="n">
        <v>432.73</v>
      </c>
    </row>
    <row r="585" customFormat="false" ht="15" hidden="false" customHeight="false" outlineLevel="0" collapsed="false">
      <c r="A585" s="0" t="s">
        <v>1746</v>
      </c>
      <c r="B585" s="0" t="s">
        <v>448</v>
      </c>
      <c r="C585" s="14" t="n">
        <v>46130</v>
      </c>
      <c r="D585" s="0" t="n">
        <v>573.05</v>
      </c>
    </row>
    <row r="586" customFormat="false" ht="15" hidden="false" customHeight="false" outlineLevel="0" collapsed="false">
      <c r="A586" s="0" t="s">
        <v>1747</v>
      </c>
      <c r="B586" s="0" t="s">
        <v>359</v>
      </c>
      <c r="C586" s="14" t="n">
        <v>46009</v>
      </c>
      <c r="D586" s="0" t="n">
        <v>5034.71</v>
      </c>
    </row>
    <row r="587" customFormat="false" ht="15" hidden="false" customHeight="false" outlineLevel="0" collapsed="false">
      <c r="A587" s="0" t="s">
        <v>1748</v>
      </c>
      <c r="B587" s="0" t="s">
        <v>585</v>
      </c>
      <c r="C587" s="14" t="n">
        <v>45900</v>
      </c>
      <c r="D587" s="0" t="n">
        <v>225.68</v>
      </c>
    </row>
    <row r="588" customFormat="false" ht="15" hidden="false" customHeight="false" outlineLevel="0" collapsed="false">
      <c r="A588" s="0" t="s">
        <v>1749</v>
      </c>
      <c r="B588" s="0" t="s">
        <v>1133</v>
      </c>
      <c r="C588" s="14" t="n">
        <v>45925</v>
      </c>
      <c r="D588" s="0" t="n">
        <v>5024.64</v>
      </c>
    </row>
    <row r="589" customFormat="false" ht="15" hidden="false" customHeight="false" outlineLevel="0" collapsed="false">
      <c r="A589" s="0" t="s">
        <v>1750</v>
      </c>
      <c r="B589" s="0" t="s">
        <v>652</v>
      </c>
      <c r="C589" s="14" t="n">
        <v>45770</v>
      </c>
      <c r="D589" s="0" t="n">
        <v>4407.35</v>
      </c>
    </row>
    <row r="590" customFormat="false" ht="15" hidden="false" customHeight="false" outlineLevel="0" collapsed="false">
      <c r="A590" s="0" t="s">
        <v>1751</v>
      </c>
      <c r="B590" s="0" t="s">
        <v>566</v>
      </c>
      <c r="C590" s="14" t="n">
        <v>46053</v>
      </c>
      <c r="D590" s="0" t="n">
        <v>646.51</v>
      </c>
    </row>
    <row r="591" customFormat="false" ht="15" hidden="false" customHeight="false" outlineLevel="0" collapsed="false">
      <c r="A591" s="0" t="s">
        <v>1752</v>
      </c>
      <c r="B591" s="0" t="s">
        <v>492</v>
      </c>
      <c r="C591" s="14" t="n">
        <v>46015</v>
      </c>
      <c r="D591" s="0" t="n">
        <v>1987.68</v>
      </c>
    </row>
    <row r="592" customFormat="false" ht="15" hidden="false" customHeight="false" outlineLevel="0" collapsed="false">
      <c r="A592" s="0" t="s">
        <v>1753</v>
      </c>
      <c r="B592" s="0" t="s">
        <v>610</v>
      </c>
      <c r="C592" s="14" t="n">
        <v>46207</v>
      </c>
      <c r="D592" s="0" t="n">
        <v>1424.65</v>
      </c>
    </row>
    <row r="593" customFormat="false" ht="15" hidden="false" customHeight="false" outlineLevel="0" collapsed="false">
      <c r="A593" s="0" t="s">
        <v>1754</v>
      </c>
      <c r="B593" s="0" t="s">
        <v>988</v>
      </c>
      <c r="C593" s="14" t="n">
        <v>45711</v>
      </c>
      <c r="D593" s="0" t="n">
        <v>979.13</v>
      </c>
    </row>
    <row r="594" customFormat="false" ht="15" hidden="false" customHeight="false" outlineLevel="0" collapsed="false">
      <c r="A594" s="0" t="s">
        <v>1755</v>
      </c>
      <c r="B594" s="0" t="s">
        <v>550</v>
      </c>
      <c r="C594" s="14" t="n">
        <v>45808</v>
      </c>
      <c r="D594" s="0" t="n">
        <v>6467.02</v>
      </c>
    </row>
    <row r="595" customFormat="false" ht="15" hidden="false" customHeight="false" outlineLevel="0" collapsed="false">
      <c r="A595" s="0" t="s">
        <v>1756</v>
      </c>
      <c r="B595" s="0" t="s">
        <v>540</v>
      </c>
      <c r="C595" s="14" t="n">
        <v>46044</v>
      </c>
      <c r="D595" s="0" t="n">
        <v>4010.98</v>
      </c>
    </row>
    <row r="596" customFormat="false" ht="15" hidden="false" customHeight="false" outlineLevel="0" collapsed="false">
      <c r="A596" s="0" t="s">
        <v>1757</v>
      </c>
      <c r="B596" s="0" t="s">
        <v>636</v>
      </c>
      <c r="C596" s="14" t="n">
        <v>46102</v>
      </c>
      <c r="D596" s="0" t="n">
        <v>1541.28</v>
      </c>
    </row>
    <row r="597" customFormat="false" ht="15" hidden="false" customHeight="false" outlineLevel="0" collapsed="false">
      <c r="A597" s="0" t="s">
        <v>1758</v>
      </c>
      <c r="B597" s="0" t="s">
        <v>768</v>
      </c>
      <c r="C597" s="14" t="n">
        <v>45937</v>
      </c>
      <c r="D597" s="0" t="n">
        <v>1334.13</v>
      </c>
    </row>
    <row r="598" customFormat="false" ht="15" hidden="false" customHeight="false" outlineLevel="0" collapsed="false">
      <c r="A598" s="0" t="s">
        <v>1759</v>
      </c>
      <c r="B598" s="0" t="s">
        <v>775</v>
      </c>
      <c r="C598" s="14" t="n">
        <v>45758</v>
      </c>
      <c r="D598" s="0" t="n">
        <v>653.1</v>
      </c>
    </row>
    <row r="599" customFormat="false" ht="15" hidden="false" customHeight="false" outlineLevel="0" collapsed="false">
      <c r="A599" s="0" t="s">
        <v>1760</v>
      </c>
      <c r="B599" s="0" t="s">
        <v>473</v>
      </c>
      <c r="C599" s="14" t="n">
        <v>45982</v>
      </c>
      <c r="D599" s="0" t="n">
        <v>12338.24</v>
      </c>
    </row>
    <row r="600" customFormat="false" ht="15" hidden="false" customHeight="false" outlineLevel="0" collapsed="false">
      <c r="A600" s="0" t="s">
        <v>1761</v>
      </c>
      <c r="B600" s="0" t="s">
        <v>477</v>
      </c>
      <c r="C600" s="14" t="n">
        <v>45924</v>
      </c>
      <c r="D600" s="0" t="n">
        <v>1640.65</v>
      </c>
    </row>
    <row r="601" customFormat="false" ht="15" hidden="false" customHeight="false" outlineLevel="0" collapsed="false">
      <c r="A601" s="0" t="s">
        <v>1762</v>
      </c>
      <c r="B601" s="0" t="s">
        <v>455</v>
      </c>
      <c r="C601" s="14" t="n">
        <v>46189</v>
      </c>
      <c r="D601" s="0" t="n">
        <v>1362.11</v>
      </c>
    </row>
    <row r="602" customFormat="false" ht="15" hidden="false" customHeight="false" outlineLevel="0" collapsed="false">
      <c r="A602" s="0" t="s">
        <v>1763</v>
      </c>
      <c r="B602" s="0" t="s">
        <v>516</v>
      </c>
      <c r="C602" s="14" t="n">
        <v>46188</v>
      </c>
      <c r="D602" s="0" t="n">
        <v>496.96</v>
      </c>
    </row>
    <row r="603" customFormat="false" ht="15" hidden="false" customHeight="false" outlineLevel="0" collapsed="false">
      <c r="A603" s="0" t="s">
        <v>1764</v>
      </c>
      <c r="B603" s="0" t="s">
        <v>810</v>
      </c>
      <c r="C603" s="14" t="n">
        <v>45853</v>
      </c>
      <c r="D603" s="0" t="n">
        <v>3958.3</v>
      </c>
    </row>
    <row r="604" customFormat="false" ht="15" hidden="false" customHeight="false" outlineLevel="0" collapsed="false">
      <c r="A604" s="0" t="s">
        <v>1765</v>
      </c>
      <c r="B604" s="0" t="s">
        <v>498</v>
      </c>
      <c r="C604" s="14" t="n">
        <v>45689</v>
      </c>
      <c r="D604" s="0" t="n">
        <v>18079.21</v>
      </c>
    </row>
    <row r="605" customFormat="false" ht="15" hidden="false" customHeight="false" outlineLevel="0" collapsed="false">
      <c r="A605" s="0" t="s">
        <v>1766</v>
      </c>
      <c r="B605" s="0" t="s">
        <v>634</v>
      </c>
      <c r="C605" s="14" t="n">
        <v>46086</v>
      </c>
      <c r="D605" s="0" t="n">
        <v>861.14</v>
      </c>
    </row>
    <row r="606" customFormat="false" ht="15" hidden="false" customHeight="false" outlineLevel="0" collapsed="false">
      <c r="A606" s="0" t="s">
        <v>1767</v>
      </c>
      <c r="B606" s="0" t="s">
        <v>1031</v>
      </c>
      <c r="C606" s="14" t="n">
        <v>45702</v>
      </c>
      <c r="D606" s="0" t="n">
        <v>146.21</v>
      </c>
    </row>
    <row r="607" customFormat="false" ht="15" hidden="false" customHeight="false" outlineLevel="0" collapsed="false">
      <c r="A607" s="0" t="s">
        <v>1768</v>
      </c>
      <c r="B607" s="0" t="s">
        <v>1071</v>
      </c>
      <c r="C607" s="14" t="n">
        <v>45732</v>
      </c>
      <c r="D607" s="0" t="n">
        <v>1155.64</v>
      </c>
    </row>
    <row r="608" customFormat="false" ht="15" hidden="false" customHeight="false" outlineLevel="0" collapsed="false">
      <c r="A608" s="0" t="s">
        <v>1769</v>
      </c>
      <c r="B608" s="0" t="s">
        <v>885</v>
      </c>
      <c r="C608" s="14" t="n">
        <v>45860</v>
      </c>
      <c r="D608" s="0" t="n">
        <v>1733.53</v>
      </c>
    </row>
    <row r="609" customFormat="false" ht="15" hidden="false" customHeight="false" outlineLevel="0" collapsed="false">
      <c r="A609" s="0" t="s">
        <v>1770</v>
      </c>
      <c r="B609" s="0" t="s">
        <v>389</v>
      </c>
      <c r="C609" s="14" t="n">
        <v>45709</v>
      </c>
      <c r="D609" s="0" t="n">
        <v>4652.88</v>
      </c>
    </row>
    <row r="610" customFormat="false" ht="15" hidden="false" customHeight="false" outlineLevel="0" collapsed="false">
      <c r="A610" s="0" t="s">
        <v>1771</v>
      </c>
      <c r="B610" s="0" t="s">
        <v>996</v>
      </c>
      <c r="C610" s="14" t="n">
        <v>45661</v>
      </c>
      <c r="D610" s="0" t="n">
        <v>1307.64</v>
      </c>
    </row>
    <row r="611" customFormat="false" ht="15" hidden="false" customHeight="false" outlineLevel="0" collapsed="false">
      <c r="A611" s="0" t="s">
        <v>1772</v>
      </c>
      <c r="B611" s="0" t="s">
        <v>1078</v>
      </c>
      <c r="C611" s="14" t="n">
        <v>46001</v>
      </c>
      <c r="D611" s="0" t="n">
        <v>2179.28</v>
      </c>
    </row>
    <row r="612" customFormat="false" ht="15" hidden="false" customHeight="false" outlineLevel="0" collapsed="false">
      <c r="A612" s="0" t="s">
        <v>1773</v>
      </c>
      <c r="B612" s="0" t="s">
        <v>1028</v>
      </c>
      <c r="C612" s="14" t="n">
        <v>46045</v>
      </c>
      <c r="D612" s="0" t="n">
        <v>363.94</v>
      </c>
    </row>
    <row r="613" customFormat="false" ht="15" hidden="false" customHeight="false" outlineLevel="0" collapsed="false">
      <c r="A613" s="0" t="s">
        <v>1774</v>
      </c>
      <c r="B613" s="0" t="s">
        <v>539</v>
      </c>
      <c r="C613" s="14" t="n">
        <v>46129</v>
      </c>
      <c r="D613" s="0" t="n">
        <v>201.48</v>
      </c>
    </row>
    <row r="614" customFormat="false" ht="15" hidden="false" customHeight="false" outlineLevel="0" collapsed="false">
      <c r="A614" s="0" t="s">
        <v>1775</v>
      </c>
      <c r="B614" s="0" t="s">
        <v>968</v>
      </c>
      <c r="C614" s="14" t="n">
        <v>46180</v>
      </c>
      <c r="D614" s="0" t="n">
        <v>36063.86</v>
      </c>
    </row>
    <row r="615" customFormat="false" ht="15" hidden="false" customHeight="false" outlineLevel="0" collapsed="false">
      <c r="A615" s="0" t="s">
        <v>1776</v>
      </c>
      <c r="B615" s="0" t="s">
        <v>410</v>
      </c>
      <c r="C615" s="14" t="n">
        <v>46034</v>
      </c>
      <c r="D615" s="0" t="n">
        <v>702.04</v>
      </c>
    </row>
    <row r="616" customFormat="false" ht="15" hidden="false" customHeight="false" outlineLevel="0" collapsed="false">
      <c r="A616" s="0" t="s">
        <v>1777</v>
      </c>
      <c r="B616" s="0" t="s">
        <v>600</v>
      </c>
      <c r="C616" s="14" t="n">
        <v>46197</v>
      </c>
      <c r="D616" s="0" t="n">
        <v>201.83</v>
      </c>
    </row>
    <row r="617" customFormat="false" ht="15" hidden="false" customHeight="false" outlineLevel="0" collapsed="false">
      <c r="A617" s="0" t="s">
        <v>1778</v>
      </c>
      <c r="B617" s="0" t="s">
        <v>754</v>
      </c>
      <c r="C617" s="14" t="n">
        <v>45811</v>
      </c>
      <c r="D617" s="0" t="n">
        <v>1284.51</v>
      </c>
    </row>
    <row r="618" customFormat="false" ht="15" hidden="false" customHeight="false" outlineLevel="0" collapsed="false">
      <c r="A618" s="0" t="s">
        <v>1779</v>
      </c>
      <c r="B618" s="0" t="s">
        <v>1117</v>
      </c>
      <c r="C618" s="14" t="n">
        <v>45969</v>
      </c>
      <c r="D618" s="0" t="n">
        <v>1962.84</v>
      </c>
    </row>
    <row r="619" customFormat="false" ht="15" hidden="false" customHeight="false" outlineLevel="0" collapsed="false">
      <c r="A619" s="0" t="s">
        <v>1780</v>
      </c>
      <c r="B619" s="0" t="s">
        <v>362</v>
      </c>
      <c r="C619" s="14" t="n">
        <v>45975</v>
      </c>
      <c r="D619" s="0" t="n">
        <v>2783.02</v>
      </c>
    </row>
    <row r="620" customFormat="false" ht="15" hidden="false" customHeight="false" outlineLevel="0" collapsed="false">
      <c r="A620" s="0" t="s">
        <v>1781</v>
      </c>
      <c r="B620" s="0" t="s">
        <v>701</v>
      </c>
      <c r="C620" s="14" t="n">
        <v>46028</v>
      </c>
      <c r="D620" s="0" t="n">
        <v>4853.33</v>
      </c>
    </row>
    <row r="621" customFormat="false" ht="15" hidden="false" customHeight="false" outlineLevel="0" collapsed="false">
      <c r="A621" s="0" t="s">
        <v>1782</v>
      </c>
      <c r="B621" s="0" t="s">
        <v>1131</v>
      </c>
      <c r="C621" s="14" t="n">
        <v>45831</v>
      </c>
      <c r="D621" s="0" t="n">
        <v>2408.48</v>
      </c>
    </row>
    <row r="622" customFormat="false" ht="15" hidden="false" customHeight="false" outlineLevel="0" collapsed="false">
      <c r="A622" s="0" t="s">
        <v>1783</v>
      </c>
      <c r="B622" s="0" t="s">
        <v>1158</v>
      </c>
      <c r="C622" s="14" t="n">
        <v>45976</v>
      </c>
      <c r="D622" s="0" t="n">
        <v>2474.64</v>
      </c>
    </row>
    <row r="623" customFormat="false" ht="15" hidden="false" customHeight="false" outlineLevel="0" collapsed="false">
      <c r="A623" s="0" t="s">
        <v>1784</v>
      </c>
      <c r="B623" s="0" t="s">
        <v>561</v>
      </c>
      <c r="C623" s="14" t="n">
        <v>45758</v>
      </c>
      <c r="D623" s="0" t="n">
        <v>518.98</v>
      </c>
    </row>
    <row r="624" customFormat="false" ht="15" hidden="false" customHeight="false" outlineLevel="0" collapsed="false">
      <c r="A624" s="0" t="s">
        <v>1785</v>
      </c>
      <c r="B624" s="0" t="s">
        <v>809</v>
      </c>
      <c r="C624" s="14" t="n">
        <v>46188</v>
      </c>
      <c r="D624" s="0" t="n">
        <v>1888.48</v>
      </c>
    </row>
    <row r="625" customFormat="false" ht="15" hidden="false" customHeight="false" outlineLevel="0" collapsed="false">
      <c r="A625" s="0" t="s">
        <v>1786</v>
      </c>
      <c r="B625" s="0" t="s">
        <v>785</v>
      </c>
      <c r="C625" s="14" t="n">
        <v>45799</v>
      </c>
      <c r="D625" s="0" t="n">
        <v>182.59</v>
      </c>
    </row>
    <row r="626" customFormat="false" ht="15" hidden="false" customHeight="false" outlineLevel="0" collapsed="false">
      <c r="A626" s="0" t="s">
        <v>1787</v>
      </c>
      <c r="B626" s="0" t="s">
        <v>581</v>
      </c>
      <c r="C626" s="14" t="n">
        <v>45840</v>
      </c>
      <c r="D626" s="0" t="n">
        <v>2656.9</v>
      </c>
    </row>
    <row r="627" customFormat="false" ht="15" hidden="false" customHeight="false" outlineLevel="0" collapsed="false">
      <c r="A627" s="0" t="s">
        <v>1788</v>
      </c>
      <c r="B627" s="0" t="s">
        <v>352</v>
      </c>
      <c r="C627" s="14" t="n">
        <v>45883</v>
      </c>
      <c r="D627" s="0" t="n">
        <v>1076.83</v>
      </c>
    </row>
    <row r="628" customFormat="false" ht="15" hidden="false" customHeight="false" outlineLevel="0" collapsed="false">
      <c r="A628" s="0" t="s">
        <v>1789</v>
      </c>
      <c r="B628" s="0" t="s">
        <v>423</v>
      </c>
      <c r="C628" s="14" t="n">
        <v>45805</v>
      </c>
      <c r="D628" s="0" t="n">
        <v>588.49</v>
      </c>
    </row>
    <row r="629" customFormat="false" ht="15" hidden="false" customHeight="false" outlineLevel="0" collapsed="false">
      <c r="A629" s="0" t="s">
        <v>1790</v>
      </c>
      <c r="B629" s="0" t="s">
        <v>324</v>
      </c>
      <c r="C629" s="14" t="n">
        <v>45872</v>
      </c>
      <c r="D629" s="0" t="n">
        <v>2179.18</v>
      </c>
    </row>
    <row r="630" customFormat="false" ht="15" hidden="false" customHeight="false" outlineLevel="0" collapsed="false">
      <c r="A630" s="0" t="s">
        <v>1791</v>
      </c>
      <c r="B630" s="0" t="s">
        <v>521</v>
      </c>
      <c r="C630" s="14" t="n">
        <v>46019</v>
      </c>
      <c r="D630" s="0" t="n">
        <v>4069.45</v>
      </c>
    </row>
    <row r="631" customFormat="false" ht="15" hidden="false" customHeight="false" outlineLevel="0" collapsed="false">
      <c r="A631" s="0" t="s">
        <v>1792</v>
      </c>
      <c r="B631" s="0" t="s">
        <v>930</v>
      </c>
      <c r="C631" s="14" t="n">
        <v>46035</v>
      </c>
      <c r="D631" s="0" t="n">
        <v>1142.31</v>
      </c>
    </row>
    <row r="632" customFormat="false" ht="15" hidden="false" customHeight="false" outlineLevel="0" collapsed="false">
      <c r="A632" s="0" t="s">
        <v>1793</v>
      </c>
      <c r="B632" s="0" t="s">
        <v>479</v>
      </c>
      <c r="C632" s="14" t="n">
        <v>45877</v>
      </c>
      <c r="D632" s="0" t="n">
        <v>3828.96</v>
      </c>
    </row>
    <row r="633" customFormat="false" ht="15" hidden="false" customHeight="false" outlineLevel="0" collapsed="false">
      <c r="A633" s="0" t="s">
        <v>1794</v>
      </c>
      <c r="B633" s="0" t="s">
        <v>901</v>
      </c>
      <c r="C633" s="14" t="n">
        <v>46085</v>
      </c>
      <c r="D633" s="0" t="n">
        <v>2360.64</v>
      </c>
    </row>
    <row r="634" customFormat="false" ht="15" hidden="false" customHeight="false" outlineLevel="0" collapsed="false">
      <c r="A634" s="0" t="s">
        <v>1795</v>
      </c>
      <c r="B634" s="0" t="s">
        <v>1137</v>
      </c>
      <c r="C634" s="14" t="n">
        <v>45992</v>
      </c>
      <c r="D634" s="0" t="n">
        <v>796.83</v>
      </c>
    </row>
    <row r="635" customFormat="false" ht="15" hidden="false" customHeight="false" outlineLevel="0" collapsed="false">
      <c r="A635" s="0" t="s">
        <v>1796</v>
      </c>
      <c r="B635" s="0" t="s">
        <v>906</v>
      </c>
      <c r="C635" s="14" t="n">
        <v>45958</v>
      </c>
      <c r="D635" s="0" t="n">
        <v>60188.25</v>
      </c>
    </row>
    <row r="636" customFormat="false" ht="15" hidden="false" customHeight="false" outlineLevel="0" collapsed="false">
      <c r="A636" s="0" t="s">
        <v>1797</v>
      </c>
      <c r="B636" s="0" t="s">
        <v>830</v>
      </c>
      <c r="C636" s="14" t="n">
        <v>46148</v>
      </c>
      <c r="D636" s="0" t="n">
        <v>2025.11</v>
      </c>
    </row>
    <row r="637" customFormat="false" ht="15" hidden="false" customHeight="false" outlineLevel="0" collapsed="false">
      <c r="A637" s="0" t="s">
        <v>1798</v>
      </c>
      <c r="B637" s="0" t="s">
        <v>335</v>
      </c>
      <c r="C637" s="14" t="n">
        <v>46067</v>
      </c>
      <c r="D637" s="0" t="n">
        <v>10749.2</v>
      </c>
    </row>
    <row r="638" customFormat="false" ht="15" hidden="false" customHeight="false" outlineLevel="0" collapsed="false">
      <c r="A638" s="0" t="s">
        <v>1799</v>
      </c>
      <c r="B638" s="0" t="s">
        <v>921</v>
      </c>
      <c r="C638" s="14" t="n">
        <v>46209</v>
      </c>
      <c r="D638" s="0" t="n">
        <v>21270.63</v>
      </c>
    </row>
    <row r="639" customFormat="false" ht="15" hidden="false" customHeight="false" outlineLevel="0" collapsed="false">
      <c r="A639" s="0" t="s">
        <v>1800</v>
      </c>
      <c r="B639" s="0" t="s">
        <v>419</v>
      </c>
      <c r="C639" s="14" t="n">
        <v>45974</v>
      </c>
      <c r="D639" s="0" t="n">
        <v>3177.07</v>
      </c>
    </row>
    <row r="640" customFormat="false" ht="15" hidden="false" customHeight="false" outlineLevel="0" collapsed="false">
      <c r="A640" s="0" t="s">
        <v>1801</v>
      </c>
      <c r="B640" s="0" t="s">
        <v>446</v>
      </c>
      <c r="C640" s="14" t="n">
        <v>45994</v>
      </c>
      <c r="D640" s="0" t="n">
        <v>5730.61</v>
      </c>
    </row>
    <row r="641" customFormat="false" ht="15" hidden="false" customHeight="false" outlineLevel="0" collapsed="false">
      <c r="A641" s="0" t="s">
        <v>1802</v>
      </c>
      <c r="B641" s="0" t="s">
        <v>640</v>
      </c>
      <c r="C641" s="14" t="n">
        <v>45906</v>
      </c>
      <c r="D641" s="0" t="n">
        <v>1216.45</v>
      </c>
    </row>
    <row r="642" customFormat="false" ht="15" hidden="false" customHeight="false" outlineLevel="0" collapsed="false">
      <c r="A642" s="0" t="s">
        <v>1803</v>
      </c>
      <c r="B642" s="0" t="s">
        <v>532</v>
      </c>
      <c r="C642" s="14" t="n">
        <v>45943</v>
      </c>
      <c r="D642" s="0" t="n">
        <v>2542.66</v>
      </c>
    </row>
    <row r="643" customFormat="false" ht="15" hidden="false" customHeight="false" outlineLevel="0" collapsed="false">
      <c r="A643" s="0" t="s">
        <v>1804</v>
      </c>
      <c r="B643" s="0" t="s">
        <v>329</v>
      </c>
      <c r="C643" s="14" t="n">
        <v>45663</v>
      </c>
      <c r="D643" s="0" t="n">
        <v>1249.67</v>
      </c>
    </row>
    <row r="644" customFormat="false" ht="15" hidden="false" customHeight="false" outlineLevel="0" collapsed="false">
      <c r="A644" s="0" t="s">
        <v>1805</v>
      </c>
      <c r="B644" s="0" t="s">
        <v>597</v>
      </c>
      <c r="C644" s="14" t="n">
        <v>45781</v>
      </c>
      <c r="D644" s="0" t="n">
        <v>871.5</v>
      </c>
    </row>
    <row r="645" customFormat="false" ht="15" hidden="false" customHeight="false" outlineLevel="0" collapsed="false">
      <c r="A645" s="0" t="s">
        <v>1806</v>
      </c>
      <c r="B645" s="0" t="s">
        <v>364</v>
      </c>
      <c r="C645" s="14" t="n">
        <v>45825</v>
      </c>
      <c r="D645" s="0" t="n">
        <v>1567.44</v>
      </c>
    </row>
    <row r="646" customFormat="false" ht="15" hidden="false" customHeight="false" outlineLevel="0" collapsed="false">
      <c r="A646" s="0" t="s">
        <v>1807</v>
      </c>
      <c r="B646" s="0" t="s">
        <v>1060</v>
      </c>
      <c r="C646" s="14" t="n">
        <v>46173</v>
      </c>
      <c r="D646" s="0" t="n">
        <v>2429.18</v>
      </c>
    </row>
    <row r="647" customFormat="false" ht="15" hidden="false" customHeight="false" outlineLevel="0" collapsed="false">
      <c r="A647" s="0" t="s">
        <v>1808</v>
      </c>
      <c r="B647" s="0" t="s">
        <v>1076</v>
      </c>
      <c r="C647" s="14" t="n">
        <v>46069</v>
      </c>
      <c r="D647" s="0" t="n">
        <v>270.06</v>
      </c>
    </row>
    <row r="648" customFormat="false" ht="15" hidden="false" customHeight="false" outlineLevel="0" collapsed="false">
      <c r="A648" s="0" t="s">
        <v>1809</v>
      </c>
      <c r="B648" s="0" t="s">
        <v>356</v>
      </c>
      <c r="C648" s="14" t="n">
        <v>46184</v>
      </c>
      <c r="D648" s="0" t="n">
        <v>10325.83</v>
      </c>
    </row>
    <row r="649" customFormat="false" ht="15" hidden="false" customHeight="false" outlineLevel="0" collapsed="false">
      <c r="A649" s="0" t="s">
        <v>1810</v>
      </c>
      <c r="B649" s="0" t="s">
        <v>1079</v>
      </c>
      <c r="C649" s="14" t="n">
        <v>45867</v>
      </c>
      <c r="D649" s="0" t="n">
        <v>4559.19</v>
      </c>
    </row>
    <row r="650" customFormat="false" ht="15" hidden="false" customHeight="false" outlineLevel="0" collapsed="false">
      <c r="A650" s="0" t="s">
        <v>1811</v>
      </c>
      <c r="B650" s="0" t="s">
        <v>1142</v>
      </c>
      <c r="C650" s="14" t="n">
        <v>45811</v>
      </c>
      <c r="D650" s="0" t="n">
        <v>1553.94</v>
      </c>
    </row>
    <row r="651" customFormat="false" ht="15" hidden="false" customHeight="false" outlineLevel="0" collapsed="false">
      <c r="A651" s="0" t="s">
        <v>1812</v>
      </c>
      <c r="B651" s="0" t="s">
        <v>952</v>
      </c>
      <c r="C651" s="14" t="n">
        <v>45748</v>
      </c>
      <c r="D651" s="0" t="n">
        <v>603.77</v>
      </c>
    </row>
    <row r="652" customFormat="false" ht="15" hidden="false" customHeight="false" outlineLevel="0" collapsed="false">
      <c r="A652" s="0" t="s">
        <v>1813</v>
      </c>
      <c r="B652" s="0" t="s">
        <v>855</v>
      </c>
      <c r="C652" s="14" t="n">
        <v>46040</v>
      </c>
      <c r="D652" s="0" t="n">
        <v>6594.42</v>
      </c>
    </row>
    <row r="653" customFormat="false" ht="15" hidden="false" customHeight="false" outlineLevel="0" collapsed="false">
      <c r="A653" s="0" t="s">
        <v>1814</v>
      </c>
      <c r="B653" s="0" t="s">
        <v>787</v>
      </c>
      <c r="C653" s="14" t="n">
        <v>45683</v>
      </c>
      <c r="D653" s="0" t="n">
        <v>585.34</v>
      </c>
    </row>
    <row r="654" customFormat="false" ht="15" hidden="false" customHeight="false" outlineLevel="0" collapsed="false">
      <c r="A654" s="0" t="s">
        <v>1815</v>
      </c>
      <c r="B654" s="0" t="s">
        <v>857</v>
      </c>
      <c r="C654" s="14" t="n">
        <v>45904</v>
      </c>
      <c r="D654" s="0" t="n">
        <v>1170.71</v>
      </c>
    </row>
    <row r="655" customFormat="false" ht="15" hidden="false" customHeight="false" outlineLevel="0" collapsed="false">
      <c r="A655" s="0" t="s">
        <v>1816</v>
      </c>
      <c r="B655" s="0" t="s">
        <v>372</v>
      </c>
      <c r="C655" s="14" t="n">
        <v>46158</v>
      </c>
      <c r="D655" s="0" t="n">
        <v>1566.24</v>
      </c>
    </row>
    <row r="656" customFormat="false" ht="15" hidden="false" customHeight="false" outlineLevel="0" collapsed="false">
      <c r="A656" s="0" t="s">
        <v>1817</v>
      </c>
      <c r="B656" s="0" t="s">
        <v>723</v>
      </c>
      <c r="C656" s="14" t="n">
        <v>45940</v>
      </c>
      <c r="D656" s="0" t="n">
        <v>2579.5</v>
      </c>
    </row>
    <row r="657" customFormat="false" ht="15" hidden="false" customHeight="false" outlineLevel="0" collapsed="false">
      <c r="A657" s="0" t="s">
        <v>1818</v>
      </c>
      <c r="B657" s="0" t="s">
        <v>694</v>
      </c>
      <c r="C657" s="14" t="n">
        <v>46186</v>
      </c>
      <c r="D657" s="0" t="n">
        <v>321.55</v>
      </c>
    </row>
    <row r="658" customFormat="false" ht="15" hidden="false" customHeight="false" outlineLevel="0" collapsed="false">
      <c r="A658" s="0" t="s">
        <v>1819</v>
      </c>
      <c r="B658" s="0" t="s">
        <v>1066</v>
      </c>
      <c r="C658" s="14" t="n">
        <v>46118</v>
      </c>
      <c r="D658" s="0" t="n">
        <v>769.69</v>
      </c>
    </row>
    <row r="659" customFormat="false" ht="15" hidden="false" customHeight="false" outlineLevel="0" collapsed="false">
      <c r="A659" s="0" t="s">
        <v>1820</v>
      </c>
      <c r="B659" s="0" t="s">
        <v>632</v>
      </c>
      <c r="C659" s="14" t="n">
        <v>46203</v>
      </c>
      <c r="D659" s="0" t="n">
        <v>15734.46</v>
      </c>
    </row>
    <row r="660" customFormat="false" ht="15" hidden="false" customHeight="false" outlineLevel="0" collapsed="false">
      <c r="A660" s="0" t="s">
        <v>1821</v>
      </c>
      <c r="B660" s="0" t="s">
        <v>761</v>
      </c>
      <c r="C660" s="14" t="n">
        <v>45952</v>
      </c>
      <c r="D660" s="0" t="n">
        <v>705.45</v>
      </c>
    </row>
    <row r="661" customFormat="false" ht="15" hidden="false" customHeight="false" outlineLevel="0" collapsed="false">
      <c r="A661" s="0" t="s">
        <v>1822</v>
      </c>
      <c r="B661" s="0" t="s">
        <v>972</v>
      </c>
      <c r="C661" s="14" t="n">
        <v>45972</v>
      </c>
      <c r="D661" s="0" t="n">
        <v>2408.69</v>
      </c>
    </row>
    <row r="662" customFormat="false" ht="15" hidden="false" customHeight="false" outlineLevel="0" collapsed="false">
      <c r="A662" s="0" t="s">
        <v>1823</v>
      </c>
      <c r="B662" s="0" t="s">
        <v>544</v>
      </c>
      <c r="C662" s="14" t="n">
        <v>45822</v>
      </c>
      <c r="D662" s="0" t="n">
        <v>594.08</v>
      </c>
    </row>
    <row r="663" customFormat="false" ht="15" hidden="false" customHeight="false" outlineLevel="0" collapsed="false">
      <c r="A663" s="0" t="s">
        <v>1824</v>
      </c>
      <c r="B663" s="0" t="s">
        <v>966</v>
      </c>
      <c r="C663" s="14" t="n">
        <v>45869</v>
      </c>
      <c r="D663" s="0" t="n">
        <v>3555.6</v>
      </c>
    </row>
    <row r="664" customFormat="false" ht="15" hidden="false" customHeight="false" outlineLevel="0" collapsed="false">
      <c r="A664" s="0" t="s">
        <v>1825</v>
      </c>
      <c r="B664" s="0" t="s">
        <v>867</v>
      </c>
      <c r="C664" s="14" t="n">
        <v>45789</v>
      </c>
      <c r="D664" s="0" t="n">
        <v>1869.57</v>
      </c>
    </row>
    <row r="665" customFormat="false" ht="15" hidden="false" customHeight="false" outlineLevel="0" collapsed="false">
      <c r="A665" s="0" t="s">
        <v>1826</v>
      </c>
      <c r="B665" s="0" t="s">
        <v>772</v>
      </c>
      <c r="C665" s="14" t="n">
        <v>45990</v>
      </c>
      <c r="D665" s="0" t="n">
        <v>1135.98</v>
      </c>
    </row>
    <row r="666" customFormat="false" ht="15" hidden="false" customHeight="false" outlineLevel="0" collapsed="false">
      <c r="A666" s="0" t="s">
        <v>1827</v>
      </c>
      <c r="B666" s="0" t="s">
        <v>734</v>
      </c>
      <c r="C666" s="14" t="n">
        <v>45968</v>
      </c>
      <c r="D666" s="0" t="n">
        <v>4223.32</v>
      </c>
    </row>
    <row r="667" customFormat="false" ht="15" hidden="false" customHeight="false" outlineLevel="0" collapsed="false">
      <c r="A667" s="0" t="s">
        <v>1828</v>
      </c>
      <c r="B667" s="0" t="s">
        <v>1150</v>
      </c>
      <c r="C667" s="14" t="n">
        <v>46114</v>
      </c>
      <c r="D667" s="0" t="n">
        <v>846.58</v>
      </c>
    </row>
    <row r="668" customFormat="false" ht="15" hidden="false" customHeight="false" outlineLevel="0" collapsed="false">
      <c r="A668" s="0" t="s">
        <v>1829</v>
      </c>
      <c r="B668" s="0" t="s">
        <v>613</v>
      </c>
      <c r="C668" s="14" t="n">
        <v>45746</v>
      </c>
      <c r="D668" s="0" t="n">
        <v>1119.52</v>
      </c>
    </row>
    <row r="669" customFormat="false" ht="15" hidden="false" customHeight="false" outlineLevel="0" collapsed="false">
      <c r="A669" s="0" t="s">
        <v>1830</v>
      </c>
      <c r="B669" s="0" t="s">
        <v>1072</v>
      </c>
      <c r="C669" s="14" t="n">
        <v>45865</v>
      </c>
      <c r="D669" s="0" t="n">
        <v>17936.73</v>
      </c>
    </row>
    <row r="670" customFormat="false" ht="15" hidden="false" customHeight="false" outlineLevel="0" collapsed="false">
      <c r="A670" s="0" t="s">
        <v>1831</v>
      </c>
      <c r="B670" s="0" t="s">
        <v>529</v>
      </c>
      <c r="C670" s="14" t="n">
        <v>45859</v>
      </c>
      <c r="D670" s="0" t="n">
        <v>1442.03</v>
      </c>
    </row>
    <row r="671" customFormat="false" ht="15" hidden="false" customHeight="false" outlineLevel="0" collapsed="false">
      <c r="A671" s="0" t="s">
        <v>1832</v>
      </c>
      <c r="B671" s="0" t="s">
        <v>1050</v>
      </c>
      <c r="C671" s="14" t="n">
        <v>45922</v>
      </c>
      <c r="D671" s="0" t="n">
        <v>26179.49</v>
      </c>
    </row>
    <row r="672" customFormat="false" ht="15" hidden="false" customHeight="false" outlineLevel="0" collapsed="false">
      <c r="A672" s="0" t="s">
        <v>1833</v>
      </c>
      <c r="B672" s="0" t="s">
        <v>606</v>
      </c>
      <c r="C672" s="14" t="n">
        <v>45762</v>
      </c>
      <c r="D672" s="0" t="n">
        <v>810.36</v>
      </c>
    </row>
    <row r="673" customFormat="false" ht="15" hidden="false" customHeight="false" outlineLevel="0" collapsed="false">
      <c r="A673" s="0" t="s">
        <v>1834</v>
      </c>
      <c r="B673" s="0" t="s">
        <v>320</v>
      </c>
      <c r="C673" s="14" t="n">
        <v>45835</v>
      </c>
      <c r="D673" s="0" t="n">
        <v>1879.55</v>
      </c>
    </row>
    <row r="674" customFormat="false" ht="15" hidden="false" customHeight="false" outlineLevel="0" collapsed="false">
      <c r="A674" s="0" t="s">
        <v>1835</v>
      </c>
      <c r="B674" s="0" t="s">
        <v>730</v>
      </c>
      <c r="C674" s="14" t="n">
        <v>46076</v>
      </c>
      <c r="D674" s="0" t="n">
        <v>1572.78</v>
      </c>
    </row>
    <row r="675" customFormat="false" ht="15" hidden="false" customHeight="false" outlineLevel="0" collapsed="false">
      <c r="A675" s="0" t="s">
        <v>1836</v>
      </c>
      <c r="B675" s="0" t="s">
        <v>635</v>
      </c>
      <c r="C675" s="14" t="n">
        <v>45991</v>
      </c>
      <c r="D675" s="0" t="n">
        <v>4424.59</v>
      </c>
    </row>
    <row r="676" customFormat="false" ht="15" hidden="false" customHeight="false" outlineLevel="0" collapsed="false">
      <c r="A676" s="0" t="s">
        <v>1837</v>
      </c>
      <c r="B676" s="0" t="s">
        <v>509</v>
      </c>
      <c r="C676" s="14" t="n">
        <v>45726</v>
      </c>
      <c r="D676" s="0" t="n">
        <v>1471.18</v>
      </c>
    </row>
    <row r="677" customFormat="false" ht="15" hidden="false" customHeight="false" outlineLevel="0" collapsed="false">
      <c r="A677" s="0" t="s">
        <v>1838</v>
      </c>
      <c r="B677" s="0" t="s">
        <v>760</v>
      </c>
      <c r="C677" s="14" t="n">
        <v>46164</v>
      </c>
      <c r="D677" s="0" t="n">
        <v>1227.72</v>
      </c>
    </row>
    <row r="678" customFormat="false" ht="15" hidden="false" customHeight="false" outlineLevel="0" collapsed="false">
      <c r="A678" s="0" t="s">
        <v>1839</v>
      </c>
      <c r="B678" s="0" t="s">
        <v>447</v>
      </c>
      <c r="C678" s="14" t="n">
        <v>46051</v>
      </c>
      <c r="D678" s="0" t="n">
        <v>11169.56</v>
      </c>
    </row>
    <row r="679" customFormat="false" ht="15" hidden="false" customHeight="false" outlineLevel="0" collapsed="false">
      <c r="A679" s="0" t="s">
        <v>1840</v>
      </c>
      <c r="B679" s="0" t="s">
        <v>846</v>
      </c>
      <c r="C679" s="14" t="n">
        <v>45798</v>
      </c>
      <c r="D679" s="0" t="n">
        <v>622.67</v>
      </c>
    </row>
    <row r="680" customFormat="false" ht="15" hidden="false" customHeight="false" outlineLevel="0" collapsed="false">
      <c r="A680" s="0" t="s">
        <v>1841</v>
      </c>
      <c r="B680" s="0" t="s">
        <v>956</v>
      </c>
      <c r="C680" s="14" t="n">
        <v>46192</v>
      </c>
      <c r="D680" s="0" t="n">
        <v>2778.4</v>
      </c>
    </row>
    <row r="681" customFormat="false" ht="15" hidden="false" customHeight="false" outlineLevel="0" collapsed="false">
      <c r="A681" s="0" t="s">
        <v>1842</v>
      </c>
      <c r="B681" s="0" t="s">
        <v>938</v>
      </c>
      <c r="C681" s="14" t="n">
        <v>45964</v>
      </c>
      <c r="D681" s="0" t="n">
        <v>687.41</v>
      </c>
    </row>
    <row r="682" customFormat="false" ht="15" hidden="false" customHeight="false" outlineLevel="0" collapsed="false">
      <c r="A682" s="0" t="s">
        <v>1843</v>
      </c>
      <c r="B682" s="0" t="s">
        <v>522</v>
      </c>
      <c r="C682" s="14" t="n">
        <v>45718</v>
      </c>
      <c r="D682" s="0" t="n">
        <v>1943.97</v>
      </c>
    </row>
    <row r="683" customFormat="false" ht="15" hidden="false" customHeight="false" outlineLevel="0" collapsed="false">
      <c r="A683" s="0" t="s">
        <v>1844</v>
      </c>
      <c r="B683" s="0" t="s">
        <v>1130</v>
      </c>
      <c r="C683" s="14" t="n">
        <v>45912</v>
      </c>
      <c r="D683" s="0" t="n">
        <v>751.88</v>
      </c>
    </row>
    <row r="684" customFormat="false" ht="15" hidden="false" customHeight="false" outlineLevel="0" collapsed="false">
      <c r="A684" s="0" t="s">
        <v>1845</v>
      </c>
      <c r="B684" s="0" t="s">
        <v>1106</v>
      </c>
      <c r="C684" s="14" t="n">
        <v>45896</v>
      </c>
      <c r="D684" s="0" t="n">
        <v>1164.71</v>
      </c>
    </row>
    <row r="685" customFormat="false" ht="15" hidden="false" customHeight="false" outlineLevel="0" collapsed="false">
      <c r="A685" s="0" t="s">
        <v>1846</v>
      </c>
      <c r="B685" s="0" t="s">
        <v>1095</v>
      </c>
      <c r="C685" s="14" t="n">
        <v>45682</v>
      </c>
      <c r="D685" s="0" t="n">
        <v>994.15</v>
      </c>
    </row>
    <row r="686" customFormat="false" ht="15" hidden="false" customHeight="false" outlineLevel="0" collapsed="false">
      <c r="A686" s="0" t="s">
        <v>1847</v>
      </c>
      <c r="B686" s="0" t="s">
        <v>815</v>
      </c>
      <c r="C686" s="14" t="n">
        <v>46145</v>
      </c>
      <c r="D686" s="0" t="n">
        <v>2579.28</v>
      </c>
    </row>
    <row r="687" customFormat="false" ht="15" hidden="false" customHeight="false" outlineLevel="0" collapsed="false">
      <c r="A687" s="0" t="s">
        <v>1848</v>
      </c>
      <c r="B687" s="0" t="s">
        <v>1001</v>
      </c>
      <c r="C687" s="14" t="n">
        <v>45756</v>
      </c>
      <c r="D687" s="0" t="n">
        <v>370.92</v>
      </c>
    </row>
    <row r="688" customFormat="false" ht="15" hidden="false" customHeight="false" outlineLevel="0" collapsed="false">
      <c r="A688" s="0" t="s">
        <v>1849</v>
      </c>
      <c r="B688" s="0" t="s">
        <v>541</v>
      </c>
      <c r="C688" s="14" t="n">
        <v>45906</v>
      </c>
      <c r="D688" s="0" t="n">
        <v>1933.86</v>
      </c>
    </row>
    <row r="689" customFormat="false" ht="15" hidden="false" customHeight="false" outlineLevel="0" collapsed="false">
      <c r="A689" s="0" t="s">
        <v>1850</v>
      </c>
      <c r="B689" s="0" t="s">
        <v>715</v>
      </c>
      <c r="C689" s="14" t="n">
        <v>46179</v>
      </c>
      <c r="D689" s="0" t="n">
        <v>1836.32</v>
      </c>
    </row>
    <row r="690" customFormat="false" ht="15" hidden="false" customHeight="false" outlineLevel="0" collapsed="false">
      <c r="A690" s="0" t="s">
        <v>1851</v>
      </c>
      <c r="B690" s="0" t="s">
        <v>878</v>
      </c>
      <c r="C690" s="14" t="n">
        <v>45701</v>
      </c>
      <c r="D690" s="0" t="n">
        <v>3177.82</v>
      </c>
    </row>
    <row r="691" customFormat="false" ht="15" hidden="false" customHeight="false" outlineLevel="0" collapsed="false">
      <c r="A691" s="0" t="s">
        <v>1852</v>
      </c>
      <c r="B691" s="0" t="s">
        <v>627</v>
      </c>
      <c r="C691" s="14" t="n">
        <v>46019</v>
      </c>
      <c r="D691" s="0" t="n">
        <v>4212.6</v>
      </c>
    </row>
    <row r="692" customFormat="false" ht="15" hidden="false" customHeight="false" outlineLevel="0" collapsed="false">
      <c r="A692" s="0" t="s">
        <v>1853</v>
      </c>
      <c r="B692" s="0" t="s">
        <v>493</v>
      </c>
      <c r="C692" s="14" t="n">
        <v>46086</v>
      </c>
      <c r="D692" s="0" t="n">
        <v>795.03</v>
      </c>
    </row>
    <row r="693" customFormat="false" ht="15" hidden="false" customHeight="false" outlineLevel="0" collapsed="false">
      <c r="A693" s="0" t="s">
        <v>1854</v>
      </c>
      <c r="B693" s="0" t="s">
        <v>1039</v>
      </c>
      <c r="C693" s="14" t="n">
        <v>46207</v>
      </c>
      <c r="D693" s="0" t="n">
        <v>687.31</v>
      </c>
    </row>
    <row r="694" customFormat="false" ht="15" hidden="false" customHeight="false" outlineLevel="0" collapsed="false">
      <c r="A694" s="0" t="s">
        <v>1855</v>
      </c>
      <c r="B694" s="0" t="s">
        <v>1037</v>
      </c>
      <c r="C694" s="14" t="n">
        <v>45967</v>
      </c>
      <c r="D694" s="0" t="n">
        <v>2004.87</v>
      </c>
    </row>
    <row r="695" customFormat="false" ht="15" hidden="false" customHeight="false" outlineLevel="0" collapsed="false">
      <c r="A695" s="0" t="s">
        <v>1856</v>
      </c>
      <c r="B695" s="0" t="s">
        <v>1003</v>
      </c>
      <c r="C695" s="14" t="n">
        <v>45679</v>
      </c>
      <c r="D695" s="0" t="n">
        <v>20520.56</v>
      </c>
    </row>
    <row r="696" customFormat="false" ht="15" hidden="false" customHeight="false" outlineLevel="0" collapsed="false">
      <c r="A696" s="0" t="s">
        <v>1857</v>
      </c>
      <c r="B696" s="0" t="s">
        <v>919</v>
      </c>
      <c r="C696" s="14" t="n">
        <v>46146</v>
      </c>
      <c r="D696" s="0" t="n">
        <v>4005.11</v>
      </c>
    </row>
    <row r="697" customFormat="false" ht="15" hidden="false" customHeight="false" outlineLevel="0" collapsed="false">
      <c r="A697" s="0" t="s">
        <v>1858</v>
      </c>
      <c r="B697" s="0" t="s">
        <v>936</v>
      </c>
      <c r="C697" s="14" t="n">
        <v>45689</v>
      </c>
      <c r="D697" s="0" t="n">
        <v>1499.87</v>
      </c>
    </row>
    <row r="698" customFormat="false" ht="15" hidden="false" customHeight="false" outlineLevel="0" collapsed="false">
      <c r="A698" s="0" t="s">
        <v>1859</v>
      </c>
      <c r="B698" s="0" t="s">
        <v>795</v>
      </c>
      <c r="C698" s="14" t="n">
        <v>45928</v>
      </c>
      <c r="D698" s="0" t="n">
        <v>1155.61</v>
      </c>
    </row>
    <row r="699" customFormat="false" ht="15" hidden="false" customHeight="false" outlineLevel="0" collapsed="false">
      <c r="A699" s="0" t="s">
        <v>1860</v>
      </c>
      <c r="B699" s="0" t="s">
        <v>588</v>
      </c>
      <c r="C699" s="14" t="n">
        <v>46053</v>
      </c>
      <c r="D699" s="0" t="n">
        <v>560.8</v>
      </c>
    </row>
    <row r="700" customFormat="false" ht="15" hidden="false" customHeight="false" outlineLevel="0" collapsed="false">
      <c r="A700" s="0" t="s">
        <v>1861</v>
      </c>
      <c r="B700" s="0" t="s">
        <v>940</v>
      </c>
      <c r="C700" s="14" t="n">
        <v>45798</v>
      </c>
      <c r="D700" s="0" t="n">
        <v>1560.82</v>
      </c>
    </row>
    <row r="701" customFormat="false" ht="15" hidden="false" customHeight="false" outlineLevel="0" collapsed="false">
      <c r="A701" s="0" t="s">
        <v>1862</v>
      </c>
      <c r="B701" s="0" t="s">
        <v>319</v>
      </c>
      <c r="C701" s="14" t="n">
        <v>46063</v>
      </c>
      <c r="D701" s="0" t="n">
        <v>15696.57</v>
      </c>
    </row>
    <row r="702" customFormat="false" ht="15" hidden="false" customHeight="false" outlineLevel="0" collapsed="false">
      <c r="A702" s="0" t="s">
        <v>1863</v>
      </c>
      <c r="B702" s="0" t="s">
        <v>480</v>
      </c>
      <c r="C702" s="14" t="n">
        <v>45784</v>
      </c>
      <c r="D702" s="0" t="n">
        <v>1542.51</v>
      </c>
    </row>
    <row r="703" customFormat="false" ht="15" hidden="false" customHeight="false" outlineLevel="0" collapsed="false">
      <c r="A703" s="0" t="s">
        <v>1864</v>
      </c>
      <c r="B703" s="0" t="s">
        <v>711</v>
      </c>
      <c r="C703" s="14" t="n">
        <v>46129</v>
      </c>
      <c r="D703" s="0" t="n">
        <v>5195.5</v>
      </c>
    </row>
    <row r="704" customFormat="false" ht="15" hidden="false" customHeight="false" outlineLevel="0" collapsed="false">
      <c r="A704" s="0" t="s">
        <v>1865</v>
      </c>
      <c r="B704" s="0" t="s">
        <v>1098</v>
      </c>
      <c r="C704" s="14" t="n">
        <v>45821</v>
      </c>
      <c r="D704" s="0" t="n">
        <v>14407.31</v>
      </c>
    </row>
    <row r="705" customFormat="false" ht="15" hidden="false" customHeight="false" outlineLevel="0" collapsed="false">
      <c r="A705" s="0" t="s">
        <v>1866</v>
      </c>
      <c r="B705" s="0" t="s">
        <v>876</v>
      </c>
      <c r="C705" s="14" t="n">
        <v>46032</v>
      </c>
      <c r="D705" s="0" t="n">
        <v>3405.2</v>
      </c>
    </row>
    <row r="706" customFormat="false" ht="15" hidden="false" customHeight="false" outlineLevel="0" collapsed="false">
      <c r="A706" s="0" t="s">
        <v>1867</v>
      </c>
      <c r="B706" s="0" t="s">
        <v>486</v>
      </c>
      <c r="C706" s="14" t="n">
        <v>45807</v>
      </c>
      <c r="D706" s="0" t="n">
        <v>1056.69</v>
      </c>
    </row>
    <row r="707" customFormat="false" ht="15" hidden="false" customHeight="false" outlineLevel="0" collapsed="false">
      <c r="A707" s="0" t="s">
        <v>1868</v>
      </c>
      <c r="B707" s="0" t="s">
        <v>637</v>
      </c>
      <c r="C707" s="14" t="n">
        <v>45797</v>
      </c>
      <c r="D707" s="0" t="n">
        <v>606.42</v>
      </c>
    </row>
    <row r="708" customFormat="false" ht="15" hidden="false" customHeight="false" outlineLevel="0" collapsed="false">
      <c r="A708" s="0" t="s">
        <v>1869</v>
      </c>
      <c r="B708" s="0" t="s">
        <v>508</v>
      </c>
      <c r="C708" s="14" t="n">
        <v>46067</v>
      </c>
      <c r="D708" s="0" t="n">
        <v>2554.75</v>
      </c>
    </row>
    <row r="709" customFormat="false" ht="15" hidden="false" customHeight="false" outlineLevel="0" collapsed="false">
      <c r="A709" s="0" t="s">
        <v>1870</v>
      </c>
      <c r="B709" s="0" t="s">
        <v>780</v>
      </c>
      <c r="C709" s="14" t="n">
        <v>45913</v>
      </c>
      <c r="D709" s="0" t="n">
        <v>3142.38</v>
      </c>
    </row>
    <row r="710" customFormat="false" ht="15" hidden="false" customHeight="false" outlineLevel="0" collapsed="false">
      <c r="A710" s="0" t="s">
        <v>1871</v>
      </c>
      <c r="B710" s="0" t="s">
        <v>1026</v>
      </c>
      <c r="C710" s="14" t="n">
        <v>45922</v>
      </c>
      <c r="D710" s="0" t="n">
        <v>1413.3</v>
      </c>
    </row>
    <row r="711" customFormat="false" ht="15" hidden="false" customHeight="false" outlineLevel="0" collapsed="false">
      <c r="A711" s="0" t="s">
        <v>1872</v>
      </c>
      <c r="B711" s="0" t="s">
        <v>1004</v>
      </c>
      <c r="C711" s="14" t="n">
        <v>45672</v>
      </c>
      <c r="D711" s="0" t="n">
        <v>2964.49</v>
      </c>
    </row>
    <row r="712" customFormat="false" ht="15" hidden="false" customHeight="false" outlineLevel="0" collapsed="false">
      <c r="A712" s="0" t="s">
        <v>1873</v>
      </c>
      <c r="B712" s="0" t="s">
        <v>576</v>
      </c>
      <c r="C712" s="14" t="n">
        <v>45943</v>
      </c>
      <c r="D712" s="0" t="n">
        <v>1274.7</v>
      </c>
    </row>
    <row r="713" customFormat="false" ht="15" hidden="false" customHeight="false" outlineLevel="0" collapsed="false">
      <c r="A713" s="0" t="s">
        <v>1874</v>
      </c>
      <c r="B713" s="0" t="s">
        <v>925</v>
      </c>
      <c r="C713" s="14" t="n">
        <v>46091</v>
      </c>
      <c r="D713" s="0" t="n">
        <v>1590.48</v>
      </c>
    </row>
    <row r="714" customFormat="false" ht="15" hidden="false" customHeight="false" outlineLevel="0" collapsed="false">
      <c r="A714" s="0" t="s">
        <v>1875</v>
      </c>
      <c r="B714" s="0" t="s">
        <v>802</v>
      </c>
      <c r="C714" s="14" t="n">
        <v>45951</v>
      </c>
      <c r="D714" s="0" t="n">
        <v>2718.82</v>
      </c>
    </row>
    <row r="715" customFormat="false" ht="15" hidden="false" customHeight="false" outlineLevel="0" collapsed="false">
      <c r="A715" s="0" t="s">
        <v>1876</v>
      </c>
      <c r="B715" s="0" t="s">
        <v>440</v>
      </c>
      <c r="C715" s="14" t="n">
        <v>45894</v>
      </c>
      <c r="D715" s="0" t="n">
        <v>4244.35</v>
      </c>
    </row>
    <row r="716" customFormat="false" ht="15" hidden="false" customHeight="false" outlineLevel="0" collapsed="false">
      <c r="A716" s="0" t="s">
        <v>1877</v>
      </c>
      <c r="B716" s="0" t="s">
        <v>648</v>
      </c>
      <c r="C716" s="14" t="n">
        <v>45778</v>
      </c>
      <c r="D716" s="0" t="n">
        <v>427.04</v>
      </c>
    </row>
    <row r="717" customFormat="false" ht="15" hidden="false" customHeight="false" outlineLevel="0" collapsed="false">
      <c r="A717" s="0" t="s">
        <v>1878</v>
      </c>
      <c r="B717" s="0" t="s">
        <v>1035</v>
      </c>
      <c r="C717" s="14" t="n">
        <v>45821</v>
      </c>
      <c r="D717" s="0" t="n">
        <v>5537.55</v>
      </c>
    </row>
    <row r="718" customFormat="false" ht="15" hidden="false" customHeight="false" outlineLevel="0" collapsed="false">
      <c r="A718" s="0" t="s">
        <v>1879</v>
      </c>
      <c r="B718" s="0" t="s">
        <v>799</v>
      </c>
      <c r="C718" s="14" t="n">
        <v>46134</v>
      </c>
      <c r="D718" s="0" t="n">
        <v>794.59</v>
      </c>
    </row>
    <row r="719" customFormat="false" ht="15" hidden="false" customHeight="false" outlineLevel="0" collapsed="false">
      <c r="A719" s="0" t="s">
        <v>1880</v>
      </c>
      <c r="B719" s="0" t="s">
        <v>882</v>
      </c>
      <c r="C719" s="14" t="n">
        <v>45818</v>
      </c>
      <c r="D719" s="0" t="n">
        <v>678.9</v>
      </c>
    </row>
    <row r="720" customFormat="false" ht="15" hidden="false" customHeight="false" outlineLevel="0" collapsed="false">
      <c r="A720" s="0" t="s">
        <v>1881</v>
      </c>
      <c r="B720" s="0" t="s">
        <v>916</v>
      </c>
      <c r="C720" s="14" t="n">
        <v>46184</v>
      </c>
      <c r="D720" s="0" t="n">
        <v>9603.81</v>
      </c>
    </row>
    <row r="721" customFormat="false" ht="15" hidden="false" customHeight="false" outlineLevel="0" collapsed="false">
      <c r="A721" s="0" t="s">
        <v>1882</v>
      </c>
      <c r="B721" s="0" t="s">
        <v>503</v>
      </c>
      <c r="C721" s="14" t="n">
        <v>45778</v>
      </c>
      <c r="D721" s="0" t="n">
        <v>17090.48</v>
      </c>
    </row>
    <row r="722" customFormat="false" ht="15" hidden="false" customHeight="false" outlineLevel="0" collapsed="false">
      <c r="A722" s="0" t="s">
        <v>1883</v>
      </c>
      <c r="B722" s="0" t="s">
        <v>450</v>
      </c>
      <c r="C722" s="14" t="n">
        <v>45874</v>
      </c>
      <c r="D722" s="0" t="n">
        <v>634.26</v>
      </c>
    </row>
    <row r="723" customFormat="false" ht="15" hidden="false" customHeight="false" outlineLevel="0" collapsed="false">
      <c r="A723" s="0" t="s">
        <v>1884</v>
      </c>
      <c r="B723" s="0" t="s">
        <v>726</v>
      </c>
      <c r="C723" s="14" t="n">
        <v>45972</v>
      </c>
      <c r="D723" s="0" t="n">
        <v>1673.73</v>
      </c>
    </row>
    <row r="724" customFormat="false" ht="15" hidden="false" customHeight="false" outlineLevel="0" collapsed="false">
      <c r="A724" s="0" t="s">
        <v>1885</v>
      </c>
      <c r="B724" s="0" t="s">
        <v>970</v>
      </c>
      <c r="C724" s="14" t="n">
        <v>45721</v>
      </c>
      <c r="D724" s="0" t="n">
        <v>989.07</v>
      </c>
    </row>
    <row r="725" customFormat="false" ht="15" hidden="false" customHeight="false" outlineLevel="0" collapsed="false">
      <c r="A725" s="0" t="s">
        <v>1886</v>
      </c>
      <c r="B725" s="0" t="s">
        <v>786</v>
      </c>
      <c r="C725" s="14" t="n">
        <v>46095</v>
      </c>
      <c r="D725" s="0" t="n">
        <v>1223.73</v>
      </c>
    </row>
    <row r="726" customFormat="false" ht="15" hidden="false" customHeight="false" outlineLevel="0" collapsed="false">
      <c r="A726" s="0" t="s">
        <v>1887</v>
      </c>
      <c r="B726" s="0" t="s">
        <v>1024</v>
      </c>
      <c r="C726" s="14" t="n">
        <v>46197</v>
      </c>
      <c r="D726" s="0" t="n">
        <v>866.83</v>
      </c>
    </row>
    <row r="727" customFormat="false" ht="15" hidden="false" customHeight="false" outlineLevel="0" collapsed="false">
      <c r="A727" s="0" t="s">
        <v>1888</v>
      </c>
      <c r="B727" s="0" t="s">
        <v>462</v>
      </c>
      <c r="C727" s="14" t="n">
        <v>45908</v>
      </c>
      <c r="D727" s="0" t="n">
        <v>298.46</v>
      </c>
    </row>
    <row r="728" customFormat="false" ht="15" hidden="false" customHeight="false" outlineLevel="0" collapsed="false">
      <c r="A728" s="0" t="s">
        <v>1889</v>
      </c>
      <c r="B728" s="0" t="s">
        <v>1074</v>
      </c>
      <c r="C728" s="14" t="n">
        <v>46084</v>
      </c>
      <c r="D728" s="0" t="n">
        <v>730.27</v>
      </c>
    </row>
    <row r="729" customFormat="false" ht="15" hidden="false" customHeight="false" outlineLevel="0" collapsed="false">
      <c r="A729" s="0" t="s">
        <v>1890</v>
      </c>
      <c r="B729" s="0" t="s">
        <v>301</v>
      </c>
      <c r="C729" s="14" t="n">
        <v>46195</v>
      </c>
      <c r="D729" s="0" t="n">
        <v>760.24</v>
      </c>
    </row>
    <row r="730" customFormat="false" ht="15" hidden="false" customHeight="false" outlineLevel="0" collapsed="false">
      <c r="A730" s="0" t="s">
        <v>1891</v>
      </c>
      <c r="B730" s="0" t="s">
        <v>579</v>
      </c>
      <c r="C730" s="14" t="n">
        <v>45797</v>
      </c>
      <c r="D730" s="0" t="n">
        <v>3860.79</v>
      </c>
    </row>
    <row r="731" customFormat="false" ht="15" hidden="false" customHeight="false" outlineLevel="0" collapsed="false">
      <c r="A731" s="0" t="s">
        <v>1892</v>
      </c>
      <c r="B731" s="0" t="s">
        <v>406</v>
      </c>
      <c r="C731" s="14" t="n">
        <v>45805</v>
      </c>
      <c r="D731" s="0" t="n">
        <v>1618.39</v>
      </c>
    </row>
    <row r="732" customFormat="false" ht="15" hidden="false" customHeight="false" outlineLevel="0" collapsed="false">
      <c r="A732" s="0" t="s">
        <v>1893</v>
      </c>
      <c r="B732" s="0" t="s">
        <v>520</v>
      </c>
      <c r="C732" s="14" t="n">
        <v>46038</v>
      </c>
      <c r="D732" s="0" t="n">
        <v>1854.08</v>
      </c>
    </row>
    <row r="733" customFormat="false" ht="15" hidden="false" customHeight="false" outlineLevel="0" collapsed="false">
      <c r="A733" s="0" t="s">
        <v>1894</v>
      </c>
      <c r="B733" s="0" t="s">
        <v>1149</v>
      </c>
      <c r="C733" s="14" t="n">
        <v>45940</v>
      </c>
      <c r="D733" s="0" t="n">
        <v>819.06</v>
      </c>
    </row>
    <row r="734" customFormat="false" ht="15" hidden="false" customHeight="false" outlineLevel="0" collapsed="false">
      <c r="A734" s="0" t="s">
        <v>1895</v>
      </c>
      <c r="B734" s="0" t="s">
        <v>879</v>
      </c>
      <c r="C734" s="14" t="n">
        <v>45998</v>
      </c>
      <c r="D734" s="0" t="n">
        <v>723.11</v>
      </c>
    </row>
    <row r="735" customFormat="false" ht="15" hidden="false" customHeight="false" outlineLevel="0" collapsed="false">
      <c r="A735" s="0" t="s">
        <v>1896</v>
      </c>
      <c r="B735" s="0" t="s">
        <v>858</v>
      </c>
      <c r="C735" s="14" t="n">
        <v>45861</v>
      </c>
      <c r="D735" s="0" t="n">
        <v>4155.49</v>
      </c>
    </row>
    <row r="736" customFormat="false" ht="15" hidden="false" customHeight="false" outlineLevel="0" collapsed="false">
      <c r="A736" s="0" t="s">
        <v>1897</v>
      </c>
      <c r="B736" s="0" t="s">
        <v>1114</v>
      </c>
      <c r="C736" s="14" t="n">
        <v>45860</v>
      </c>
      <c r="D736" s="0" t="n">
        <v>241.56</v>
      </c>
    </row>
    <row r="737" customFormat="false" ht="15" hidden="false" customHeight="false" outlineLevel="0" collapsed="false">
      <c r="A737" s="0" t="s">
        <v>1898</v>
      </c>
      <c r="B737" s="0" t="s">
        <v>842</v>
      </c>
      <c r="C737" s="14" t="n">
        <v>45768</v>
      </c>
      <c r="D737" s="0" t="n">
        <v>2676.69</v>
      </c>
    </row>
    <row r="738" customFormat="false" ht="15" hidden="false" customHeight="false" outlineLevel="0" collapsed="false">
      <c r="A738" s="0" t="s">
        <v>1899</v>
      </c>
      <c r="B738" s="0" t="s">
        <v>1105</v>
      </c>
      <c r="C738" s="14" t="n">
        <v>45979</v>
      </c>
      <c r="D738" s="0" t="n">
        <v>259.66</v>
      </c>
    </row>
    <row r="739" customFormat="false" ht="15" hidden="false" customHeight="false" outlineLevel="0" collapsed="false">
      <c r="A739" s="0" t="s">
        <v>1900</v>
      </c>
      <c r="B739" s="0" t="s">
        <v>642</v>
      </c>
      <c r="C739" s="14" t="n">
        <v>46215</v>
      </c>
      <c r="D739" s="0" t="n">
        <v>10917.62</v>
      </c>
    </row>
    <row r="740" customFormat="false" ht="15" hidden="false" customHeight="false" outlineLevel="0" collapsed="false">
      <c r="A740" s="0" t="s">
        <v>1901</v>
      </c>
      <c r="B740" s="0" t="s">
        <v>385</v>
      </c>
      <c r="C740" s="14" t="n">
        <v>45676</v>
      </c>
      <c r="D740" s="0" t="n">
        <v>773.09</v>
      </c>
    </row>
    <row r="741" customFormat="false" ht="15" hidden="false" customHeight="false" outlineLevel="0" collapsed="false">
      <c r="A741" s="0" t="s">
        <v>1902</v>
      </c>
      <c r="B741" s="0" t="s">
        <v>1022</v>
      </c>
      <c r="C741" s="14" t="n">
        <v>45954</v>
      </c>
      <c r="D741" s="0" t="n">
        <v>3047.46</v>
      </c>
    </row>
    <row r="742" customFormat="false" ht="15" hidden="false" customHeight="false" outlineLevel="0" collapsed="false">
      <c r="A742" s="0" t="s">
        <v>1903</v>
      </c>
      <c r="B742" s="0" t="s">
        <v>387</v>
      </c>
      <c r="C742" s="14" t="n">
        <v>45917</v>
      </c>
      <c r="D742" s="0" t="n">
        <v>2202.92</v>
      </c>
    </row>
    <row r="743" customFormat="false" ht="15" hidden="false" customHeight="false" outlineLevel="0" collapsed="false">
      <c r="A743" s="0" t="s">
        <v>1904</v>
      </c>
      <c r="B743" s="0" t="s">
        <v>573</v>
      </c>
      <c r="C743" s="14" t="n">
        <v>46089</v>
      </c>
      <c r="D743" s="0" t="n">
        <v>5943.52</v>
      </c>
    </row>
    <row r="744" customFormat="false" ht="15" hidden="false" customHeight="false" outlineLevel="0" collapsed="false">
      <c r="A744" s="0" t="s">
        <v>1905</v>
      </c>
      <c r="B744" s="0" t="s">
        <v>1155</v>
      </c>
      <c r="C744" s="14" t="n">
        <v>45670</v>
      </c>
      <c r="D744" s="0" t="n">
        <v>4063.18</v>
      </c>
    </row>
    <row r="745" customFormat="false" ht="15" hidden="false" customHeight="false" outlineLevel="0" collapsed="false">
      <c r="A745" s="0" t="s">
        <v>1906</v>
      </c>
      <c r="B745" s="0" t="s">
        <v>459</v>
      </c>
      <c r="C745" s="14" t="n">
        <v>46004</v>
      </c>
      <c r="D745" s="0" t="n">
        <v>2106.89</v>
      </c>
    </row>
    <row r="746" customFormat="false" ht="15" hidden="false" customHeight="false" outlineLevel="0" collapsed="false">
      <c r="A746" s="0" t="s">
        <v>1907</v>
      </c>
      <c r="B746" s="0" t="s">
        <v>1104</v>
      </c>
      <c r="C746" s="14" t="n">
        <v>46135</v>
      </c>
      <c r="D746" s="0" t="n">
        <v>8319.43</v>
      </c>
    </row>
    <row r="747" customFormat="false" ht="15" hidden="false" customHeight="false" outlineLevel="0" collapsed="false">
      <c r="A747" s="0" t="s">
        <v>1908</v>
      </c>
      <c r="B747" s="0" t="s">
        <v>824</v>
      </c>
      <c r="C747" s="14" t="n">
        <v>46171</v>
      </c>
      <c r="D747" s="0" t="n">
        <v>3364.21</v>
      </c>
    </row>
    <row r="748" customFormat="false" ht="15" hidden="false" customHeight="false" outlineLevel="0" collapsed="false">
      <c r="A748" s="0" t="s">
        <v>1909</v>
      </c>
      <c r="B748" s="0" t="s">
        <v>1111</v>
      </c>
      <c r="C748" s="14" t="n">
        <v>45792</v>
      </c>
      <c r="D748" s="0" t="n">
        <v>2011.1</v>
      </c>
    </row>
    <row r="749" customFormat="false" ht="15" hidden="false" customHeight="false" outlineLevel="0" collapsed="false">
      <c r="A749" s="0" t="s">
        <v>1910</v>
      </c>
      <c r="B749" s="0" t="s">
        <v>779</v>
      </c>
      <c r="C749" s="14" t="n">
        <v>45960</v>
      </c>
      <c r="D749" s="0" t="n">
        <v>1018.47</v>
      </c>
    </row>
    <row r="750" customFormat="false" ht="15" hidden="false" customHeight="false" outlineLevel="0" collapsed="false">
      <c r="A750" s="0" t="s">
        <v>1911</v>
      </c>
      <c r="B750" s="0" t="s">
        <v>874</v>
      </c>
      <c r="C750" s="14" t="n">
        <v>45816</v>
      </c>
      <c r="D750" s="0" t="n">
        <v>1476.77</v>
      </c>
    </row>
    <row r="751" customFormat="false" ht="15" hidden="false" customHeight="false" outlineLevel="0" collapsed="false">
      <c r="A751" s="0" t="s">
        <v>1912</v>
      </c>
      <c r="B751" s="0" t="s">
        <v>771</v>
      </c>
      <c r="C751" s="14" t="n">
        <v>45826</v>
      </c>
      <c r="D751" s="0" t="n">
        <v>820.42</v>
      </c>
    </row>
    <row r="752" customFormat="false" ht="15" hidden="false" customHeight="false" outlineLevel="0" collapsed="false">
      <c r="A752" s="0" t="s">
        <v>1913</v>
      </c>
      <c r="B752" s="0" t="s">
        <v>563</v>
      </c>
      <c r="C752" s="14" t="n">
        <v>46111</v>
      </c>
      <c r="D752" s="0" t="n">
        <v>796.57</v>
      </c>
    </row>
    <row r="753" customFormat="false" ht="15" hidden="false" customHeight="false" outlineLevel="0" collapsed="false">
      <c r="A753" s="0" t="s">
        <v>1914</v>
      </c>
      <c r="B753" s="0" t="s">
        <v>679</v>
      </c>
      <c r="C753" s="14" t="n">
        <v>45743</v>
      </c>
      <c r="D753" s="0" t="n">
        <v>3156.13</v>
      </c>
    </row>
    <row r="754" customFormat="false" ht="15" hidden="false" customHeight="false" outlineLevel="0" collapsed="false">
      <c r="A754" s="0" t="s">
        <v>1915</v>
      </c>
      <c r="B754" s="0" t="s">
        <v>631</v>
      </c>
      <c r="C754" s="14" t="n">
        <v>45841</v>
      </c>
      <c r="D754" s="0" t="n">
        <v>1134.36</v>
      </c>
    </row>
    <row r="755" customFormat="false" ht="15" hidden="false" customHeight="false" outlineLevel="0" collapsed="false">
      <c r="A755" s="0" t="s">
        <v>1916</v>
      </c>
      <c r="B755" s="0" t="s">
        <v>1005</v>
      </c>
      <c r="C755" s="14" t="n">
        <v>46091</v>
      </c>
      <c r="D755" s="0" t="n">
        <v>3993.23</v>
      </c>
    </row>
    <row r="756" customFormat="false" ht="15" hidden="false" customHeight="false" outlineLevel="0" collapsed="false">
      <c r="A756" s="0" t="s">
        <v>1917</v>
      </c>
      <c r="B756" s="0" t="s">
        <v>461</v>
      </c>
      <c r="C756" s="14" t="n">
        <v>45784</v>
      </c>
      <c r="D756" s="0" t="n">
        <v>2285.28</v>
      </c>
    </row>
    <row r="757" customFormat="false" ht="15" hidden="false" customHeight="false" outlineLevel="0" collapsed="false">
      <c r="A757" s="0" t="s">
        <v>1918</v>
      </c>
      <c r="B757" s="0" t="s">
        <v>1120</v>
      </c>
      <c r="C757" s="14" t="n">
        <v>45759</v>
      </c>
      <c r="D757" s="0" t="n">
        <v>6224.71</v>
      </c>
    </row>
    <row r="758" customFormat="false" ht="15" hidden="false" customHeight="false" outlineLevel="0" collapsed="false">
      <c r="A758" s="0" t="s">
        <v>1919</v>
      </c>
      <c r="B758" s="0" t="s">
        <v>612</v>
      </c>
      <c r="C758" s="14" t="n">
        <v>46050</v>
      </c>
      <c r="D758" s="0" t="n">
        <v>1494.98</v>
      </c>
    </row>
    <row r="759" customFormat="false" ht="15" hidden="false" customHeight="false" outlineLevel="0" collapsed="false">
      <c r="A759" s="0" t="s">
        <v>1920</v>
      </c>
      <c r="B759" s="0" t="s">
        <v>500</v>
      </c>
      <c r="C759" s="14" t="n">
        <v>45734</v>
      </c>
      <c r="D759" s="0" t="n">
        <v>781.51</v>
      </c>
    </row>
    <row r="760" customFormat="false" ht="15" hidden="false" customHeight="false" outlineLevel="0" collapsed="false">
      <c r="A760" s="0" t="s">
        <v>1921</v>
      </c>
      <c r="B760" s="0" t="s">
        <v>896</v>
      </c>
      <c r="C760" s="14" t="n">
        <v>45918</v>
      </c>
      <c r="D760" s="0" t="n">
        <v>2086.29</v>
      </c>
    </row>
    <row r="761" customFormat="false" ht="15" hidden="false" customHeight="false" outlineLevel="0" collapsed="false">
      <c r="A761" s="0" t="s">
        <v>1922</v>
      </c>
      <c r="B761" s="0" t="s">
        <v>658</v>
      </c>
      <c r="C761" s="14" t="n">
        <v>45791</v>
      </c>
      <c r="D761" s="0" t="n">
        <v>3469.23</v>
      </c>
    </row>
    <row r="762" customFormat="false" ht="15" hidden="false" customHeight="false" outlineLevel="0" collapsed="false">
      <c r="A762" s="0" t="s">
        <v>1923</v>
      </c>
      <c r="B762" s="0" t="s">
        <v>553</v>
      </c>
      <c r="C762" s="14" t="n">
        <v>45720</v>
      </c>
      <c r="D762" s="0" t="n">
        <v>1766.28</v>
      </c>
    </row>
    <row r="763" customFormat="false" ht="15" hidden="false" customHeight="false" outlineLevel="0" collapsed="false">
      <c r="A763" s="0" t="s">
        <v>1924</v>
      </c>
      <c r="B763" s="0" t="s">
        <v>397</v>
      </c>
      <c r="C763" s="14" t="n">
        <v>45671</v>
      </c>
      <c r="D763" s="0" t="n">
        <v>1239.53</v>
      </c>
    </row>
    <row r="764" customFormat="false" ht="15" hidden="false" customHeight="false" outlineLevel="0" collapsed="false">
      <c r="A764" s="0" t="s">
        <v>1925</v>
      </c>
      <c r="B764" s="0" t="s">
        <v>1061</v>
      </c>
      <c r="C764" s="14" t="n">
        <v>45699</v>
      </c>
      <c r="D764" s="0" t="n">
        <v>5420.25</v>
      </c>
    </row>
    <row r="765" customFormat="false" ht="15" hidden="false" customHeight="false" outlineLevel="0" collapsed="false">
      <c r="A765" s="0" t="s">
        <v>1926</v>
      </c>
      <c r="B765" s="0" t="s">
        <v>965</v>
      </c>
      <c r="C765" s="14" t="n">
        <v>45687</v>
      </c>
      <c r="D765" s="0" t="n">
        <v>3337.25</v>
      </c>
    </row>
    <row r="766" customFormat="false" ht="15" hidden="false" customHeight="false" outlineLevel="0" collapsed="false">
      <c r="A766" s="0" t="s">
        <v>1927</v>
      </c>
      <c r="B766" s="0" t="s">
        <v>1084</v>
      </c>
      <c r="C766" s="14" t="n">
        <v>45730</v>
      </c>
      <c r="D766" s="0" t="n">
        <v>1217.09</v>
      </c>
    </row>
    <row r="767" customFormat="false" ht="15" hidden="false" customHeight="false" outlineLevel="0" collapsed="false">
      <c r="A767" s="0" t="s">
        <v>1928</v>
      </c>
      <c r="B767" s="0" t="s">
        <v>728</v>
      </c>
      <c r="C767" s="14" t="n">
        <v>45771</v>
      </c>
      <c r="D767" s="0" t="n">
        <v>537.31</v>
      </c>
    </row>
    <row r="768" customFormat="false" ht="15" hidden="false" customHeight="false" outlineLevel="0" collapsed="false">
      <c r="A768" s="0" t="s">
        <v>1929</v>
      </c>
      <c r="B768" s="0" t="s">
        <v>598</v>
      </c>
      <c r="C768" s="14" t="n">
        <v>45929</v>
      </c>
      <c r="D768" s="0" t="n">
        <v>594.01</v>
      </c>
    </row>
    <row r="769" customFormat="false" ht="15" hidden="false" customHeight="false" outlineLevel="0" collapsed="false">
      <c r="A769" s="0" t="s">
        <v>1930</v>
      </c>
      <c r="B769" s="0" t="s">
        <v>958</v>
      </c>
      <c r="C769" s="14" t="n">
        <v>46076</v>
      </c>
      <c r="D769" s="0" t="n">
        <v>1556.9</v>
      </c>
    </row>
    <row r="770" customFormat="false" ht="15" hidden="false" customHeight="false" outlineLevel="0" collapsed="false">
      <c r="A770" s="0" t="s">
        <v>1931</v>
      </c>
      <c r="B770" s="0" t="s">
        <v>476</v>
      </c>
      <c r="C770" s="14" t="n">
        <v>45743</v>
      </c>
      <c r="D770" s="0" t="n">
        <v>354.26</v>
      </c>
    </row>
    <row r="771" customFormat="false" ht="15" hidden="false" customHeight="false" outlineLevel="0" collapsed="false">
      <c r="A771" s="0" t="s">
        <v>1932</v>
      </c>
      <c r="B771" s="0" t="s">
        <v>905</v>
      </c>
      <c r="C771" s="14" t="n">
        <v>46198</v>
      </c>
      <c r="D771" s="0" t="n">
        <v>4290.25</v>
      </c>
    </row>
    <row r="772" customFormat="false" ht="15" hidden="false" customHeight="false" outlineLevel="0" collapsed="false">
      <c r="A772" s="0" t="s">
        <v>1933</v>
      </c>
      <c r="B772" s="0" t="s">
        <v>1109</v>
      </c>
      <c r="C772" s="14" t="n">
        <v>45689</v>
      </c>
      <c r="D772" s="0" t="n">
        <v>1722.25</v>
      </c>
    </row>
    <row r="773" customFormat="false" ht="15" hidden="false" customHeight="false" outlineLevel="0" collapsed="false">
      <c r="A773" s="0" t="s">
        <v>1934</v>
      </c>
      <c r="B773" s="0" t="s">
        <v>465</v>
      </c>
      <c r="C773" s="14" t="n">
        <v>46038</v>
      </c>
      <c r="D773" s="0" t="n">
        <v>499.89</v>
      </c>
    </row>
    <row r="774" customFormat="false" ht="15" hidden="false" customHeight="false" outlineLevel="0" collapsed="false">
      <c r="A774" s="0" t="s">
        <v>1935</v>
      </c>
      <c r="B774" s="0" t="s">
        <v>666</v>
      </c>
      <c r="C774" s="14" t="n">
        <v>46022</v>
      </c>
      <c r="D774" s="0" t="n">
        <v>3306.72</v>
      </c>
    </row>
    <row r="775" customFormat="false" ht="15" hidden="false" customHeight="false" outlineLevel="0" collapsed="false">
      <c r="A775" s="0" t="s">
        <v>1936</v>
      </c>
      <c r="B775" s="0" t="s">
        <v>691</v>
      </c>
      <c r="C775" s="14" t="n">
        <v>46202</v>
      </c>
      <c r="D775" s="0" t="n">
        <v>7138.19</v>
      </c>
    </row>
    <row r="776" customFormat="false" ht="15" hidden="false" customHeight="false" outlineLevel="0" collapsed="false">
      <c r="A776" s="0" t="s">
        <v>1937</v>
      </c>
      <c r="B776" s="0" t="s">
        <v>589</v>
      </c>
      <c r="C776" s="14" t="n">
        <v>45814</v>
      </c>
      <c r="D776" s="0" t="n">
        <v>259.23</v>
      </c>
    </row>
    <row r="777" customFormat="false" ht="15" hidden="false" customHeight="false" outlineLevel="0" collapsed="false">
      <c r="A777" s="0" t="s">
        <v>1938</v>
      </c>
      <c r="B777" s="0" t="s">
        <v>436</v>
      </c>
      <c r="C777" s="14" t="n">
        <v>45789</v>
      </c>
      <c r="D777" s="0" t="n">
        <v>1425.03</v>
      </c>
    </row>
    <row r="778" customFormat="false" ht="15" hidden="false" customHeight="false" outlineLevel="0" collapsed="false">
      <c r="A778" s="0" t="s">
        <v>1939</v>
      </c>
      <c r="B778" s="0" t="s">
        <v>1017</v>
      </c>
      <c r="C778" s="14" t="n">
        <v>45939</v>
      </c>
      <c r="D778" s="0" t="n">
        <v>739.64</v>
      </c>
    </row>
    <row r="779" customFormat="false" ht="15" hidden="false" customHeight="false" outlineLevel="0" collapsed="false">
      <c r="A779" s="0" t="s">
        <v>1940</v>
      </c>
      <c r="B779" s="0" t="s">
        <v>1087</v>
      </c>
      <c r="C779" s="14" t="n">
        <v>46076</v>
      </c>
      <c r="D779" s="0" t="n">
        <v>816.48</v>
      </c>
    </row>
    <row r="780" customFormat="false" ht="15" hidden="false" customHeight="false" outlineLevel="0" collapsed="false">
      <c r="A780" s="0" t="s">
        <v>1941</v>
      </c>
      <c r="B780" s="0" t="s">
        <v>322</v>
      </c>
      <c r="C780" s="14" t="n">
        <v>45989</v>
      </c>
      <c r="D780" s="0" t="n">
        <v>883.86</v>
      </c>
    </row>
    <row r="781" customFormat="false" ht="15" hidden="false" customHeight="false" outlineLevel="0" collapsed="false">
      <c r="A781" s="0" t="s">
        <v>1942</v>
      </c>
      <c r="B781" s="0" t="s">
        <v>926</v>
      </c>
      <c r="C781" s="14" t="n">
        <v>45666</v>
      </c>
      <c r="D781" s="0" t="n">
        <v>4880.22</v>
      </c>
    </row>
    <row r="782" customFormat="false" ht="15" hidden="false" customHeight="false" outlineLevel="0" collapsed="false">
      <c r="A782" s="0" t="s">
        <v>1943</v>
      </c>
      <c r="B782" s="0" t="s">
        <v>975</v>
      </c>
      <c r="C782" s="14" t="n">
        <v>45893</v>
      </c>
      <c r="D782" s="0" t="n">
        <v>526.61</v>
      </c>
    </row>
    <row r="783" customFormat="false" ht="15" hidden="false" customHeight="false" outlineLevel="0" collapsed="false">
      <c r="A783" s="0" t="s">
        <v>1944</v>
      </c>
      <c r="B783" s="0" t="s">
        <v>592</v>
      </c>
      <c r="C783" s="14" t="n">
        <v>45781</v>
      </c>
      <c r="D783" s="0" t="n">
        <v>1496.91</v>
      </c>
    </row>
    <row r="784" customFormat="false" ht="15" hidden="false" customHeight="false" outlineLevel="0" collapsed="false">
      <c r="A784" s="0" t="s">
        <v>1945</v>
      </c>
      <c r="B784" s="0" t="s">
        <v>781</v>
      </c>
      <c r="C784" s="14" t="n">
        <v>45835</v>
      </c>
      <c r="D784" s="0" t="n">
        <v>2788.31</v>
      </c>
    </row>
    <row r="785" customFormat="false" ht="15" hidden="false" customHeight="false" outlineLevel="0" collapsed="false">
      <c r="A785" s="0" t="s">
        <v>1946</v>
      </c>
      <c r="B785" s="0" t="s">
        <v>1048</v>
      </c>
      <c r="C785" s="14" t="n">
        <v>46068</v>
      </c>
      <c r="D785" s="0" t="n">
        <v>19934.95</v>
      </c>
    </row>
    <row r="786" customFormat="false" ht="15" hidden="false" customHeight="false" outlineLevel="0" collapsed="false">
      <c r="A786" s="0" t="s">
        <v>1947</v>
      </c>
      <c r="B786" s="0" t="s">
        <v>677</v>
      </c>
      <c r="C786" s="14" t="n">
        <v>45986</v>
      </c>
      <c r="D786" s="0" t="n">
        <v>2740.38</v>
      </c>
    </row>
    <row r="787" customFormat="false" ht="15" hidden="false" customHeight="false" outlineLevel="0" collapsed="false">
      <c r="A787" s="0" t="s">
        <v>1948</v>
      </c>
      <c r="B787" s="0" t="s">
        <v>325</v>
      </c>
      <c r="C787" s="14" t="n">
        <v>45977</v>
      </c>
      <c r="D787" s="0" t="n">
        <v>1994.87</v>
      </c>
    </row>
    <row r="788" customFormat="false" ht="15" hidden="false" customHeight="false" outlineLevel="0" collapsed="false">
      <c r="A788" s="0" t="s">
        <v>1949</v>
      </c>
      <c r="B788" s="0" t="s">
        <v>506</v>
      </c>
      <c r="C788" s="14" t="n">
        <v>45757</v>
      </c>
      <c r="D788" s="0" t="n">
        <v>10027.78</v>
      </c>
    </row>
    <row r="789" customFormat="false" ht="15" hidden="false" customHeight="false" outlineLevel="0" collapsed="false">
      <c r="A789" s="0" t="s">
        <v>1950</v>
      </c>
      <c r="B789" s="0" t="s">
        <v>373</v>
      </c>
      <c r="C789" s="14" t="n">
        <v>46110</v>
      </c>
      <c r="D789" s="0" t="n">
        <v>17358.33</v>
      </c>
    </row>
    <row r="790" customFormat="false" ht="15" hidden="false" customHeight="false" outlineLevel="0" collapsed="false">
      <c r="A790" s="0" t="s">
        <v>1951</v>
      </c>
      <c r="B790" s="0" t="s">
        <v>311</v>
      </c>
      <c r="C790" s="14" t="n">
        <v>45765</v>
      </c>
      <c r="D790" s="0" t="n">
        <v>4721.09</v>
      </c>
    </row>
    <row r="791" customFormat="false" ht="15" hidden="false" customHeight="false" outlineLevel="0" collapsed="false">
      <c r="A791" s="0" t="s">
        <v>1952</v>
      </c>
      <c r="B791" s="0" t="s">
        <v>776</v>
      </c>
      <c r="C791" s="14" t="n">
        <v>45968</v>
      </c>
      <c r="D791" s="0" t="n">
        <v>2324.66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8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27.75" hidden="false" customHeight="true" outlineLevel="0" collapsed="false">
      <c r="A1" s="7" t="s">
        <v>1953</v>
      </c>
      <c r="B1" s="7" t="s">
        <v>272</v>
      </c>
      <c r="C1" s="7" t="s">
        <v>63</v>
      </c>
      <c r="D1" s="7" t="s">
        <v>1954</v>
      </c>
      <c r="E1" s="7" t="s">
        <v>1955</v>
      </c>
      <c r="F1" s="7" t="s">
        <v>1956</v>
      </c>
    </row>
    <row r="2" customFormat="false" ht="15" hidden="false" customHeight="false" outlineLevel="0" collapsed="false">
      <c r="A2" s="0" t="s">
        <v>1957</v>
      </c>
      <c r="B2" s="0" t="s">
        <v>277</v>
      </c>
      <c r="C2" s="0" t="s">
        <v>140</v>
      </c>
      <c r="D2" s="14" t="n">
        <v>46109</v>
      </c>
      <c r="E2" s="0" t="n">
        <v>1417.41</v>
      </c>
      <c r="F2" s="14" t="n">
        <v>46139</v>
      </c>
    </row>
    <row r="3" customFormat="false" ht="15" hidden="false" customHeight="false" outlineLevel="0" collapsed="false">
      <c r="A3" s="0" t="s">
        <v>1958</v>
      </c>
      <c r="B3" s="0" t="s">
        <v>280</v>
      </c>
      <c r="C3" s="0" t="s">
        <v>183</v>
      </c>
      <c r="D3" s="14" t="n">
        <v>45803</v>
      </c>
      <c r="E3" s="0" t="n">
        <v>1749.66</v>
      </c>
      <c r="F3" s="14" t="n">
        <v>45848</v>
      </c>
    </row>
    <row r="4" customFormat="false" ht="15" hidden="false" customHeight="false" outlineLevel="0" collapsed="false">
      <c r="A4" s="0" t="s">
        <v>1959</v>
      </c>
      <c r="B4" s="0" t="s">
        <v>283</v>
      </c>
      <c r="C4" s="0" t="s">
        <v>122</v>
      </c>
      <c r="D4" s="14" t="n">
        <v>45676</v>
      </c>
      <c r="E4" s="0" t="n">
        <v>2691.35</v>
      </c>
      <c r="F4" s="14" t="n">
        <v>45706</v>
      </c>
    </row>
    <row r="5" customFormat="false" ht="15" hidden="false" customHeight="false" outlineLevel="0" collapsed="false">
      <c r="A5" s="0" t="s">
        <v>1960</v>
      </c>
      <c r="B5" s="0" t="s">
        <v>285</v>
      </c>
      <c r="C5" s="0" t="s">
        <v>201</v>
      </c>
      <c r="D5" s="14" t="n">
        <v>45783</v>
      </c>
      <c r="E5" s="0" t="n">
        <v>889.24</v>
      </c>
      <c r="F5" s="14" t="n">
        <v>45798</v>
      </c>
    </row>
    <row r="6" customFormat="false" ht="15" hidden="false" customHeight="false" outlineLevel="0" collapsed="false">
      <c r="A6" s="0" t="s">
        <v>1961</v>
      </c>
      <c r="B6" s="0" t="s">
        <v>288</v>
      </c>
      <c r="C6" s="0" t="s">
        <v>146</v>
      </c>
      <c r="D6" s="14" t="n">
        <v>45861</v>
      </c>
      <c r="E6" s="0" t="n">
        <v>3058.04</v>
      </c>
      <c r="F6" s="14" t="n">
        <v>45891</v>
      </c>
    </row>
    <row r="7" customFormat="false" ht="15" hidden="false" customHeight="false" outlineLevel="0" collapsed="false">
      <c r="A7" s="0" t="s">
        <v>1962</v>
      </c>
      <c r="B7" s="0" t="s">
        <v>291</v>
      </c>
      <c r="C7" s="0" t="s">
        <v>201</v>
      </c>
      <c r="D7" s="14" t="n">
        <v>46132</v>
      </c>
      <c r="E7" s="0" t="n">
        <v>1359.77</v>
      </c>
      <c r="F7" s="14" t="n">
        <v>46147</v>
      </c>
    </row>
    <row r="8" customFormat="false" ht="15" hidden="false" customHeight="false" outlineLevel="0" collapsed="false">
      <c r="A8" s="0" t="s">
        <v>1963</v>
      </c>
      <c r="B8" s="0" t="s">
        <v>293</v>
      </c>
      <c r="C8" s="0" t="s">
        <v>201</v>
      </c>
      <c r="D8" s="14" t="n">
        <v>46188</v>
      </c>
      <c r="E8" s="0" t="n">
        <v>3708.39</v>
      </c>
      <c r="F8" s="14" t="n">
        <v>46203</v>
      </c>
    </row>
    <row r="9" customFormat="false" ht="15" hidden="false" customHeight="false" outlineLevel="0" collapsed="false">
      <c r="A9" s="0" t="s">
        <v>1964</v>
      </c>
      <c r="B9" s="0" t="s">
        <v>295</v>
      </c>
      <c r="C9" s="0" t="s">
        <v>125</v>
      </c>
      <c r="D9" s="14" t="n">
        <v>45833</v>
      </c>
      <c r="E9" s="0" t="n">
        <v>6081.19</v>
      </c>
      <c r="F9" s="14" t="n">
        <v>45863</v>
      </c>
    </row>
    <row r="10" customFormat="false" ht="15" hidden="false" customHeight="false" outlineLevel="0" collapsed="false">
      <c r="A10" s="0" t="s">
        <v>1965</v>
      </c>
      <c r="B10" s="0" t="s">
        <v>297</v>
      </c>
      <c r="C10" s="0" t="s">
        <v>134</v>
      </c>
      <c r="D10" s="14" t="n">
        <v>46020</v>
      </c>
      <c r="E10" s="0" t="n">
        <v>6038.81</v>
      </c>
      <c r="F10" s="14" t="n">
        <v>46050</v>
      </c>
    </row>
    <row r="11" customFormat="false" ht="15" hidden="false" customHeight="false" outlineLevel="0" collapsed="false">
      <c r="A11" s="0" t="s">
        <v>1966</v>
      </c>
      <c r="B11" s="0" t="s">
        <v>299</v>
      </c>
      <c r="C11" s="0" t="s">
        <v>89</v>
      </c>
      <c r="D11" s="14" t="n">
        <v>45878</v>
      </c>
      <c r="E11" s="0" t="n">
        <v>1466.07</v>
      </c>
      <c r="F11" s="14" t="n">
        <v>45893</v>
      </c>
    </row>
    <row r="12" customFormat="false" ht="15" hidden="false" customHeight="false" outlineLevel="0" collapsed="false">
      <c r="A12" s="0" t="s">
        <v>1967</v>
      </c>
      <c r="B12" s="0" t="s">
        <v>301</v>
      </c>
      <c r="C12" s="0" t="s">
        <v>152</v>
      </c>
      <c r="D12" s="14" t="n">
        <v>46210</v>
      </c>
      <c r="E12" s="0" t="n">
        <v>760.24</v>
      </c>
      <c r="F12" s="14" t="n">
        <v>46270</v>
      </c>
    </row>
    <row r="13" customFormat="false" ht="15" hidden="false" customHeight="false" outlineLevel="0" collapsed="false">
      <c r="A13" s="0" t="s">
        <v>1968</v>
      </c>
      <c r="B13" s="0" t="s">
        <v>303</v>
      </c>
      <c r="C13" s="0" t="s">
        <v>186</v>
      </c>
      <c r="D13" s="14" t="n">
        <v>45975</v>
      </c>
      <c r="E13" s="0" t="n">
        <v>15002.72</v>
      </c>
      <c r="F13" s="14" t="n">
        <v>45990</v>
      </c>
    </row>
    <row r="14" customFormat="false" ht="15" hidden="false" customHeight="false" outlineLevel="0" collapsed="false">
      <c r="A14" s="0" t="s">
        <v>1969</v>
      </c>
      <c r="B14" s="0" t="s">
        <v>305</v>
      </c>
      <c r="C14" s="0" t="s">
        <v>128</v>
      </c>
      <c r="D14" s="14" t="n">
        <v>46176</v>
      </c>
      <c r="E14" s="0" t="n">
        <v>911.91</v>
      </c>
      <c r="F14" s="14" t="n">
        <v>46206</v>
      </c>
    </row>
    <row r="15" customFormat="false" ht="15" hidden="false" customHeight="false" outlineLevel="0" collapsed="false">
      <c r="A15" s="0" t="s">
        <v>1970</v>
      </c>
      <c r="B15" s="0" t="s">
        <v>307</v>
      </c>
      <c r="C15" s="0" t="s">
        <v>75</v>
      </c>
      <c r="D15" s="14" t="n">
        <v>45740</v>
      </c>
      <c r="E15" s="0" t="n">
        <v>1222.88</v>
      </c>
      <c r="F15" s="14" t="n">
        <v>45755</v>
      </c>
    </row>
    <row r="16" customFormat="false" ht="15" hidden="false" customHeight="false" outlineLevel="0" collapsed="false">
      <c r="A16" s="0" t="s">
        <v>1971</v>
      </c>
      <c r="B16" s="0" t="s">
        <v>309</v>
      </c>
      <c r="C16" s="0" t="s">
        <v>131</v>
      </c>
      <c r="D16" s="14" t="n">
        <v>46204</v>
      </c>
      <c r="E16" s="0" t="n">
        <v>3344.32</v>
      </c>
      <c r="F16" s="14" t="n">
        <v>46249</v>
      </c>
    </row>
    <row r="17" customFormat="false" ht="15" hidden="false" customHeight="false" outlineLevel="0" collapsed="false">
      <c r="A17" s="0" t="s">
        <v>1972</v>
      </c>
      <c r="B17" s="0" t="s">
        <v>311</v>
      </c>
      <c r="C17" s="0" t="s">
        <v>158</v>
      </c>
      <c r="D17" s="14" t="n">
        <v>45764</v>
      </c>
      <c r="E17" s="0" t="n">
        <v>4721.09</v>
      </c>
      <c r="F17" s="14" t="n">
        <v>45824</v>
      </c>
    </row>
    <row r="18" customFormat="false" ht="15" hidden="false" customHeight="false" outlineLevel="0" collapsed="false">
      <c r="A18" s="0" t="s">
        <v>1973</v>
      </c>
      <c r="B18" s="0" t="s">
        <v>314</v>
      </c>
      <c r="C18" s="0" t="s">
        <v>152</v>
      </c>
      <c r="D18" s="14" t="n">
        <v>46195</v>
      </c>
      <c r="E18" s="0" t="n">
        <v>5629.98</v>
      </c>
      <c r="F18" s="14" t="n">
        <v>46255</v>
      </c>
    </row>
    <row r="19" customFormat="false" ht="15" hidden="false" customHeight="false" outlineLevel="0" collapsed="false">
      <c r="A19" s="0" t="s">
        <v>1974</v>
      </c>
      <c r="B19" s="0" t="s">
        <v>315</v>
      </c>
      <c r="C19" s="0" t="s">
        <v>84</v>
      </c>
      <c r="D19" s="14" t="n">
        <v>45823</v>
      </c>
      <c r="E19" s="0" t="n">
        <v>302.18</v>
      </c>
      <c r="F19" s="14" t="n">
        <v>45838</v>
      </c>
    </row>
    <row r="20" customFormat="false" ht="15" hidden="false" customHeight="false" outlineLevel="0" collapsed="false">
      <c r="A20" s="0" t="s">
        <v>1975</v>
      </c>
      <c r="B20" s="0" t="s">
        <v>316</v>
      </c>
      <c r="C20" s="0" t="s">
        <v>152</v>
      </c>
      <c r="D20" s="14" t="n">
        <v>45726</v>
      </c>
      <c r="E20" s="0" t="n">
        <v>2051.54</v>
      </c>
      <c r="F20" s="14" t="n">
        <v>45786</v>
      </c>
    </row>
    <row r="21" customFormat="false" ht="15" hidden="false" customHeight="false" outlineLevel="0" collapsed="false">
      <c r="A21" s="0" t="s">
        <v>1976</v>
      </c>
      <c r="B21" s="0" t="s">
        <v>318</v>
      </c>
      <c r="C21" s="0" t="s">
        <v>164</v>
      </c>
      <c r="D21" s="14" t="n">
        <v>45902</v>
      </c>
      <c r="E21" s="0" t="n">
        <v>9960.57</v>
      </c>
      <c r="F21" s="14" t="n">
        <v>45947</v>
      </c>
    </row>
    <row r="22" customFormat="false" ht="15" hidden="false" customHeight="false" outlineLevel="0" collapsed="false">
      <c r="A22" s="0" t="s">
        <v>1977</v>
      </c>
      <c r="B22" s="0" t="s">
        <v>319</v>
      </c>
      <c r="C22" s="0" t="s">
        <v>134</v>
      </c>
      <c r="D22" s="14" t="n">
        <v>46076</v>
      </c>
      <c r="E22" s="0" t="n">
        <v>15696.57</v>
      </c>
      <c r="F22" s="14" t="n">
        <v>46106</v>
      </c>
    </row>
    <row r="23" customFormat="false" ht="15" hidden="false" customHeight="false" outlineLevel="0" collapsed="false">
      <c r="A23" s="0" t="s">
        <v>1978</v>
      </c>
      <c r="B23" s="0" t="s">
        <v>320</v>
      </c>
      <c r="C23" s="0" t="s">
        <v>128</v>
      </c>
      <c r="D23" s="14" t="n">
        <v>45837</v>
      </c>
      <c r="E23" s="0" t="n">
        <v>1879.55</v>
      </c>
      <c r="F23" s="14" t="n">
        <v>45867</v>
      </c>
    </row>
    <row r="24" customFormat="false" ht="15" hidden="false" customHeight="false" outlineLevel="0" collapsed="false">
      <c r="A24" s="0" t="s">
        <v>1979</v>
      </c>
      <c r="B24" s="0" t="s">
        <v>322</v>
      </c>
      <c r="C24" s="0" t="s">
        <v>161</v>
      </c>
      <c r="D24" s="14" t="n">
        <v>45993</v>
      </c>
      <c r="E24" s="0" t="n">
        <v>883.86</v>
      </c>
      <c r="F24" s="14" t="n">
        <v>46038</v>
      </c>
    </row>
    <row r="25" customFormat="false" ht="15" hidden="false" customHeight="false" outlineLevel="0" collapsed="false">
      <c r="A25" s="0" t="s">
        <v>1980</v>
      </c>
      <c r="B25" s="0" t="s">
        <v>323</v>
      </c>
      <c r="C25" s="0" t="s">
        <v>96</v>
      </c>
      <c r="D25" s="14" t="n">
        <v>45944</v>
      </c>
      <c r="E25" s="0" t="n">
        <v>1058.03</v>
      </c>
      <c r="F25" s="14" t="n">
        <v>45959</v>
      </c>
    </row>
    <row r="26" customFormat="false" ht="15" hidden="false" customHeight="false" outlineLevel="0" collapsed="false">
      <c r="A26" s="0" t="s">
        <v>1981</v>
      </c>
      <c r="B26" s="0" t="s">
        <v>324</v>
      </c>
      <c r="C26" s="0" t="s">
        <v>198</v>
      </c>
      <c r="D26" s="14" t="n">
        <v>45882</v>
      </c>
      <c r="E26" s="0" t="n">
        <v>2265.24</v>
      </c>
      <c r="F26" s="14" t="n">
        <v>45912</v>
      </c>
    </row>
    <row r="27" customFormat="false" ht="15" hidden="false" customHeight="false" outlineLevel="0" collapsed="false">
      <c r="A27" s="0" t="s">
        <v>1982</v>
      </c>
      <c r="B27" s="0" t="s">
        <v>325</v>
      </c>
      <c r="C27" s="0" t="s">
        <v>161</v>
      </c>
      <c r="D27" s="14" t="n">
        <v>45979</v>
      </c>
      <c r="E27" s="0" t="n">
        <v>1994.87</v>
      </c>
      <c r="F27" s="14" t="n">
        <v>46024</v>
      </c>
    </row>
    <row r="28" customFormat="false" ht="15" hidden="false" customHeight="false" outlineLevel="0" collapsed="false">
      <c r="A28" s="0" t="s">
        <v>1983</v>
      </c>
      <c r="B28" s="0" t="s">
        <v>326</v>
      </c>
      <c r="C28" s="0" t="s">
        <v>131</v>
      </c>
      <c r="D28" s="14" t="n">
        <v>45816</v>
      </c>
      <c r="E28" s="0" t="n">
        <v>1863.09</v>
      </c>
      <c r="F28" s="14" t="n">
        <v>45861</v>
      </c>
    </row>
    <row r="29" customFormat="false" ht="15" hidden="false" customHeight="false" outlineLevel="0" collapsed="false">
      <c r="A29" s="0" t="s">
        <v>1984</v>
      </c>
      <c r="B29" s="0" t="s">
        <v>328</v>
      </c>
      <c r="C29" s="0" t="s">
        <v>104</v>
      </c>
      <c r="D29" s="14" t="n">
        <v>46051</v>
      </c>
      <c r="E29" s="0" t="n">
        <v>1558.36</v>
      </c>
      <c r="F29" s="14" t="n">
        <v>46081</v>
      </c>
    </row>
    <row r="30" customFormat="false" ht="15" hidden="false" customHeight="false" outlineLevel="0" collapsed="false">
      <c r="A30" s="0" t="s">
        <v>1985</v>
      </c>
      <c r="B30" s="0" t="s">
        <v>329</v>
      </c>
      <c r="C30" s="0" t="s">
        <v>119</v>
      </c>
      <c r="D30" s="14" t="n">
        <v>45678</v>
      </c>
      <c r="E30" s="0" t="n">
        <v>1249.67</v>
      </c>
      <c r="F30" s="14" t="n">
        <v>45693</v>
      </c>
    </row>
    <row r="31" customFormat="false" ht="15" hidden="false" customHeight="false" outlineLevel="0" collapsed="false">
      <c r="A31" s="0" t="s">
        <v>1986</v>
      </c>
      <c r="B31" s="0" t="s">
        <v>331</v>
      </c>
      <c r="C31" s="0" t="s">
        <v>192</v>
      </c>
      <c r="D31" s="14" t="n">
        <v>46187</v>
      </c>
      <c r="E31" s="0" t="n">
        <v>11338.1</v>
      </c>
      <c r="F31" s="14" t="n">
        <v>46217</v>
      </c>
    </row>
    <row r="32" customFormat="false" ht="15" hidden="false" customHeight="false" outlineLevel="0" collapsed="false">
      <c r="A32" s="0" t="s">
        <v>1987</v>
      </c>
      <c r="B32" s="0" t="s">
        <v>332</v>
      </c>
      <c r="C32" s="0" t="s">
        <v>128</v>
      </c>
      <c r="D32" s="14" t="n">
        <v>45955</v>
      </c>
      <c r="E32" s="0" t="n">
        <v>877.47</v>
      </c>
      <c r="F32" s="14" t="n">
        <v>45985</v>
      </c>
    </row>
    <row r="33" customFormat="false" ht="15" hidden="false" customHeight="false" outlineLevel="0" collapsed="false">
      <c r="A33" s="0" t="s">
        <v>1988</v>
      </c>
      <c r="B33" s="0" t="s">
        <v>333</v>
      </c>
      <c r="C33" s="0" t="s">
        <v>131</v>
      </c>
      <c r="D33" s="14" t="n">
        <v>46067</v>
      </c>
      <c r="E33" s="0" t="n">
        <v>644.78</v>
      </c>
      <c r="F33" s="14" t="n">
        <v>46112</v>
      </c>
    </row>
    <row r="34" customFormat="false" ht="15" hidden="false" customHeight="false" outlineLevel="0" collapsed="false">
      <c r="A34" s="0" t="s">
        <v>1989</v>
      </c>
      <c r="B34" s="0" t="s">
        <v>335</v>
      </c>
      <c r="C34" s="0" t="s">
        <v>201</v>
      </c>
      <c r="D34" s="14" t="n">
        <v>46077</v>
      </c>
      <c r="E34" s="0" t="n">
        <v>10749.2</v>
      </c>
      <c r="F34" s="14" t="n">
        <v>46092</v>
      </c>
    </row>
    <row r="35" customFormat="false" ht="15" hidden="false" customHeight="false" outlineLevel="0" collapsed="false">
      <c r="A35" s="0" t="s">
        <v>1990</v>
      </c>
      <c r="B35" s="0" t="s">
        <v>336</v>
      </c>
      <c r="C35" s="0" t="s">
        <v>134</v>
      </c>
      <c r="D35" s="14" t="n">
        <v>46030</v>
      </c>
      <c r="E35" s="0" t="n">
        <v>10173.53</v>
      </c>
      <c r="F35" s="14" t="n">
        <v>46060</v>
      </c>
    </row>
    <row r="36" customFormat="false" ht="15" hidden="false" customHeight="false" outlineLevel="0" collapsed="false">
      <c r="A36" s="0" t="s">
        <v>1991</v>
      </c>
      <c r="B36" s="0" t="s">
        <v>338</v>
      </c>
      <c r="C36" s="0" t="s">
        <v>149</v>
      </c>
      <c r="D36" s="14" t="n">
        <v>45863</v>
      </c>
      <c r="E36" s="0" t="n">
        <v>7427.81</v>
      </c>
      <c r="F36" s="14" t="n">
        <v>45893</v>
      </c>
    </row>
    <row r="37" customFormat="false" ht="15" hidden="false" customHeight="false" outlineLevel="0" collapsed="false">
      <c r="A37" s="0" t="s">
        <v>1992</v>
      </c>
      <c r="B37" s="0" t="s">
        <v>339</v>
      </c>
      <c r="C37" s="0" t="s">
        <v>152</v>
      </c>
      <c r="D37" s="14" t="n">
        <v>45712</v>
      </c>
      <c r="E37" s="0" t="n">
        <v>3858.14</v>
      </c>
      <c r="F37" s="14" t="n">
        <v>45772</v>
      </c>
    </row>
    <row r="38" customFormat="false" ht="15" hidden="false" customHeight="false" outlineLevel="0" collapsed="false">
      <c r="A38" s="0" t="s">
        <v>1993</v>
      </c>
      <c r="B38" s="0" t="s">
        <v>340</v>
      </c>
      <c r="C38" s="0" t="s">
        <v>99</v>
      </c>
      <c r="D38" s="14" t="n">
        <v>46034</v>
      </c>
      <c r="E38" s="0" t="n">
        <v>1031.9</v>
      </c>
      <c r="F38" s="14" t="n">
        <v>46094</v>
      </c>
    </row>
    <row r="39" customFormat="false" ht="15" hidden="false" customHeight="false" outlineLevel="0" collapsed="false">
      <c r="A39" s="0" t="s">
        <v>1994</v>
      </c>
      <c r="B39" s="0" t="s">
        <v>341</v>
      </c>
      <c r="C39" s="0" t="s">
        <v>149</v>
      </c>
      <c r="D39" s="14" t="n">
        <v>45845</v>
      </c>
      <c r="E39" s="0" t="n">
        <v>117.56</v>
      </c>
      <c r="F39" s="14" t="n">
        <v>45875</v>
      </c>
    </row>
    <row r="40" customFormat="false" ht="15" hidden="false" customHeight="false" outlineLevel="0" collapsed="false">
      <c r="A40" s="0" t="s">
        <v>1995</v>
      </c>
      <c r="B40" s="0" t="s">
        <v>343</v>
      </c>
      <c r="C40" s="0" t="s">
        <v>116</v>
      </c>
      <c r="D40" s="14" t="n">
        <v>45852</v>
      </c>
      <c r="E40" s="0" t="n">
        <v>21146.76</v>
      </c>
      <c r="F40" s="14" t="n">
        <v>45912</v>
      </c>
    </row>
    <row r="41" customFormat="false" ht="15" hidden="false" customHeight="false" outlineLevel="0" collapsed="false">
      <c r="A41" s="0" t="s">
        <v>1996</v>
      </c>
      <c r="B41" s="0" t="s">
        <v>345</v>
      </c>
      <c r="C41" s="0" t="s">
        <v>195</v>
      </c>
      <c r="D41" s="14" t="n">
        <v>46125</v>
      </c>
      <c r="E41" s="0" t="n">
        <v>869.11</v>
      </c>
      <c r="F41" s="14" t="n">
        <v>46155</v>
      </c>
    </row>
    <row r="42" customFormat="false" ht="15" hidden="false" customHeight="false" outlineLevel="0" collapsed="false">
      <c r="A42" s="0" t="s">
        <v>1997</v>
      </c>
      <c r="B42" s="0" t="s">
        <v>347</v>
      </c>
      <c r="C42" s="0" t="s">
        <v>125</v>
      </c>
      <c r="D42" s="14" t="n">
        <v>46071</v>
      </c>
      <c r="E42" s="0" t="n">
        <v>1696.08</v>
      </c>
      <c r="F42" s="14" t="n">
        <v>46101</v>
      </c>
    </row>
    <row r="43" customFormat="false" ht="15" hidden="false" customHeight="false" outlineLevel="0" collapsed="false">
      <c r="A43" s="0" t="s">
        <v>1998</v>
      </c>
      <c r="B43" s="0" t="s">
        <v>348</v>
      </c>
      <c r="C43" s="0" t="s">
        <v>112</v>
      </c>
      <c r="D43" s="14" t="n">
        <v>45826</v>
      </c>
      <c r="E43" s="0" t="n">
        <v>1814.85</v>
      </c>
      <c r="F43" s="14" t="n">
        <v>45871</v>
      </c>
    </row>
    <row r="44" customFormat="false" ht="15" hidden="false" customHeight="false" outlineLevel="0" collapsed="false">
      <c r="A44" s="0" t="s">
        <v>1999</v>
      </c>
      <c r="B44" s="0" t="s">
        <v>349</v>
      </c>
      <c r="C44" s="0" t="s">
        <v>99</v>
      </c>
      <c r="D44" s="14" t="n">
        <v>45847</v>
      </c>
      <c r="E44" s="0" t="n">
        <v>1238.85</v>
      </c>
      <c r="F44" s="14" t="n">
        <v>45907</v>
      </c>
    </row>
    <row r="45" customFormat="false" ht="15" hidden="false" customHeight="false" outlineLevel="0" collapsed="false">
      <c r="A45" s="0" t="s">
        <v>2000</v>
      </c>
      <c r="B45" s="0" t="s">
        <v>350</v>
      </c>
      <c r="C45" s="0" t="s">
        <v>112</v>
      </c>
      <c r="D45" s="14" t="n">
        <v>45903</v>
      </c>
      <c r="E45" s="0" t="n">
        <v>9938.09</v>
      </c>
      <c r="F45" s="14" t="n">
        <v>45948</v>
      </c>
    </row>
    <row r="46" customFormat="false" ht="15" hidden="false" customHeight="false" outlineLevel="0" collapsed="false">
      <c r="A46" s="0" t="s">
        <v>2001</v>
      </c>
      <c r="B46" s="0" t="s">
        <v>350</v>
      </c>
      <c r="C46" s="0" t="s">
        <v>112</v>
      </c>
      <c r="D46" s="14" t="n">
        <v>45898</v>
      </c>
      <c r="E46" s="0" t="n">
        <v>9938.09</v>
      </c>
      <c r="F46" s="14" t="n">
        <v>45943</v>
      </c>
    </row>
    <row r="47" customFormat="false" ht="15" hidden="false" customHeight="false" outlineLevel="0" collapsed="false">
      <c r="A47" s="0" t="s">
        <v>2002</v>
      </c>
      <c r="B47" s="0" t="s">
        <v>352</v>
      </c>
      <c r="C47" s="0" t="s">
        <v>128</v>
      </c>
      <c r="D47" s="14" t="n">
        <v>45901</v>
      </c>
      <c r="E47" s="0" t="n">
        <v>1076.83</v>
      </c>
      <c r="F47" s="14" t="n">
        <v>45931</v>
      </c>
    </row>
    <row r="48" customFormat="false" ht="15" hidden="false" customHeight="false" outlineLevel="0" collapsed="false">
      <c r="A48" s="0" t="s">
        <v>2003</v>
      </c>
      <c r="B48" s="0" t="s">
        <v>353</v>
      </c>
      <c r="C48" s="0" t="s">
        <v>70</v>
      </c>
      <c r="D48" s="14" t="n">
        <v>45836</v>
      </c>
      <c r="E48" s="0" t="n">
        <v>5899.58</v>
      </c>
      <c r="F48" s="14" t="n">
        <v>45881</v>
      </c>
    </row>
    <row r="49" customFormat="false" ht="15" hidden="false" customHeight="false" outlineLevel="0" collapsed="false">
      <c r="A49" s="0" t="s">
        <v>2004</v>
      </c>
      <c r="B49" s="0" t="s">
        <v>354</v>
      </c>
      <c r="C49" s="0" t="s">
        <v>140</v>
      </c>
      <c r="D49" s="14" t="n">
        <v>45747</v>
      </c>
      <c r="E49" s="0" t="n">
        <v>31348.72</v>
      </c>
      <c r="F49" s="14" t="n">
        <v>45777</v>
      </c>
    </row>
    <row r="50" customFormat="false" ht="15" hidden="false" customHeight="false" outlineLevel="0" collapsed="false">
      <c r="A50" s="0" t="s">
        <v>2005</v>
      </c>
      <c r="B50" s="0" t="s">
        <v>355</v>
      </c>
      <c r="C50" s="0" t="s">
        <v>146</v>
      </c>
      <c r="D50" s="14" t="n">
        <v>45911</v>
      </c>
      <c r="E50" s="0" t="n">
        <v>2845.35</v>
      </c>
      <c r="F50" s="14" t="n">
        <v>45941</v>
      </c>
    </row>
    <row r="51" customFormat="false" ht="15" hidden="false" customHeight="false" outlineLevel="0" collapsed="false">
      <c r="A51" s="0" t="s">
        <v>2006</v>
      </c>
      <c r="B51" s="0" t="s">
        <v>356</v>
      </c>
      <c r="C51" s="0" t="s">
        <v>198</v>
      </c>
      <c r="D51" s="14" t="n">
        <v>46180</v>
      </c>
      <c r="E51" s="0" t="n">
        <v>10325.83</v>
      </c>
      <c r="F51" s="14" t="n">
        <v>46210</v>
      </c>
    </row>
    <row r="52" customFormat="false" ht="15" hidden="false" customHeight="false" outlineLevel="0" collapsed="false">
      <c r="A52" s="0" t="s">
        <v>2007</v>
      </c>
      <c r="B52" s="0" t="s">
        <v>357</v>
      </c>
      <c r="C52" s="0" t="s">
        <v>155</v>
      </c>
      <c r="D52" s="14" t="n">
        <v>46031</v>
      </c>
      <c r="E52" s="0" t="n">
        <v>22892.64</v>
      </c>
      <c r="F52" s="14" t="n">
        <v>46076</v>
      </c>
    </row>
    <row r="53" customFormat="false" ht="15" hidden="false" customHeight="false" outlineLevel="0" collapsed="false">
      <c r="A53" s="0" t="s">
        <v>2008</v>
      </c>
      <c r="B53" s="0" t="s">
        <v>358</v>
      </c>
      <c r="C53" s="0" t="s">
        <v>93</v>
      </c>
      <c r="D53" s="14" t="n">
        <v>46165</v>
      </c>
      <c r="E53" s="0" t="n">
        <v>306.49</v>
      </c>
      <c r="F53" s="14" t="n">
        <v>46225</v>
      </c>
    </row>
    <row r="54" customFormat="false" ht="15" hidden="false" customHeight="false" outlineLevel="0" collapsed="false">
      <c r="A54" s="0" t="s">
        <v>2009</v>
      </c>
      <c r="B54" s="0" t="s">
        <v>359</v>
      </c>
      <c r="C54" s="0" t="s">
        <v>152</v>
      </c>
      <c r="D54" s="14" t="n">
        <v>46018</v>
      </c>
      <c r="E54" s="0" t="n">
        <v>5034.71</v>
      </c>
      <c r="F54" s="14" t="n">
        <v>46078</v>
      </c>
    </row>
    <row r="55" customFormat="false" ht="15" hidden="false" customHeight="false" outlineLevel="0" collapsed="false">
      <c r="A55" s="0" t="s">
        <v>2010</v>
      </c>
      <c r="B55" s="0" t="s">
        <v>359</v>
      </c>
      <c r="C55" s="0" t="s">
        <v>152</v>
      </c>
      <c r="D55" s="14" t="n">
        <v>46013</v>
      </c>
      <c r="E55" s="0" t="n">
        <v>5034.71</v>
      </c>
      <c r="F55" s="14" t="n">
        <v>46073</v>
      </c>
    </row>
    <row r="56" customFormat="false" ht="15" hidden="false" customHeight="false" outlineLevel="0" collapsed="false">
      <c r="A56" s="0" t="s">
        <v>2011</v>
      </c>
      <c r="B56" s="0" t="s">
        <v>361</v>
      </c>
      <c r="C56" s="0" t="s">
        <v>167</v>
      </c>
      <c r="D56" s="14" t="n">
        <v>45836</v>
      </c>
      <c r="E56" s="0" t="n">
        <v>1369.29</v>
      </c>
      <c r="F56" s="14" t="n">
        <v>45896</v>
      </c>
    </row>
    <row r="57" customFormat="false" ht="15" hidden="false" customHeight="false" outlineLevel="0" collapsed="false">
      <c r="A57" s="0" t="s">
        <v>2012</v>
      </c>
      <c r="B57" s="0" t="s">
        <v>362</v>
      </c>
      <c r="C57" s="0" t="s">
        <v>155</v>
      </c>
      <c r="D57" s="14" t="n">
        <v>45968</v>
      </c>
      <c r="E57" s="0" t="n">
        <v>2783.02</v>
      </c>
      <c r="F57" s="14" t="n">
        <v>46013</v>
      </c>
    </row>
    <row r="58" customFormat="false" ht="15" hidden="false" customHeight="false" outlineLevel="0" collapsed="false">
      <c r="A58" s="0" t="s">
        <v>2013</v>
      </c>
      <c r="B58" s="0" t="s">
        <v>363</v>
      </c>
      <c r="C58" s="0" t="s">
        <v>174</v>
      </c>
      <c r="D58" s="14" t="n">
        <v>45673</v>
      </c>
      <c r="E58" s="0" t="n">
        <v>1474.66</v>
      </c>
      <c r="F58" s="14" t="n">
        <v>45688</v>
      </c>
    </row>
    <row r="59" customFormat="false" ht="15" hidden="false" customHeight="false" outlineLevel="0" collapsed="false">
      <c r="A59" s="0" t="s">
        <v>2014</v>
      </c>
      <c r="B59" s="0" t="s">
        <v>364</v>
      </c>
      <c r="C59" s="0" t="s">
        <v>174</v>
      </c>
      <c r="D59" s="14" t="n">
        <v>45833</v>
      </c>
      <c r="E59" s="0" t="n">
        <v>1567.44</v>
      </c>
      <c r="F59" s="14" t="n">
        <v>45848</v>
      </c>
    </row>
    <row r="60" customFormat="false" ht="15" hidden="false" customHeight="false" outlineLevel="0" collapsed="false">
      <c r="A60" s="0" t="s">
        <v>2015</v>
      </c>
      <c r="B60" s="0" t="s">
        <v>365</v>
      </c>
      <c r="C60" s="0" t="s">
        <v>167</v>
      </c>
      <c r="D60" s="14" t="n">
        <v>45902</v>
      </c>
      <c r="E60" s="0" t="n">
        <v>7649.01</v>
      </c>
      <c r="F60" s="14" t="n">
        <v>45962</v>
      </c>
    </row>
    <row r="61" customFormat="false" ht="15" hidden="false" customHeight="false" outlineLevel="0" collapsed="false">
      <c r="A61" s="0" t="s">
        <v>2016</v>
      </c>
      <c r="B61" s="0" t="s">
        <v>366</v>
      </c>
      <c r="C61" s="0" t="s">
        <v>104</v>
      </c>
      <c r="D61" s="14" t="n">
        <v>45982</v>
      </c>
      <c r="E61" s="0" t="n">
        <v>3881</v>
      </c>
      <c r="F61" s="14" t="n">
        <v>46012</v>
      </c>
    </row>
    <row r="62" customFormat="false" ht="15" hidden="false" customHeight="false" outlineLevel="0" collapsed="false">
      <c r="A62" s="0" t="s">
        <v>2017</v>
      </c>
      <c r="B62" s="0" t="s">
        <v>367</v>
      </c>
      <c r="C62" s="0" t="s">
        <v>137</v>
      </c>
      <c r="D62" s="14" t="n">
        <v>46031</v>
      </c>
      <c r="E62" s="0" t="n">
        <v>3262.21</v>
      </c>
      <c r="F62" s="14" t="n">
        <v>46076</v>
      </c>
    </row>
    <row r="63" customFormat="false" ht="15" hidden="false" customHeight="false" outlineLevel="0" collapsed="false">
      <c r="A63" s="0" t="s">
        <v>2018</v>
      </c>
      <c r="B63" s="0" t="s">
        <v>368</v>
      </c>
      <c r="C63" s="0" t="s">
        <v>149</v>
      </c>
      <c r="D63" s="14" t="n">
        <v>45928</v>
      </c>
      <c r="E63" s="0" t="n">
        <v>672.96</v>
      </c>
      <c r="F63" s="14" t="n">
        <v>45958</v>
      </c>
    </row>
    <row r="64" customFormat="false" ht="15" hidden="false" customHeight="false" outlineLevel="0" collapsed="false">
      <c r="A64" s="0" t="s">
        <v>2019</v>
      </c>
      <c r="B64" s="0" t="s">
        <v>369</v>
      </c>
      <c r="C64" s="0" t="s">
        <v>119</v>
      </c>
      <c r="D64" s="14" t="n">
        <v>45911</v>
      </c>
      <c r="E64" s="0" t="n">
        <v>5144.03</v>
      </c>
      <c r="F64" s="14" t="n">
        <v>45926</v>
      </c>
    </row>
    <row r="65" customFormat="false" ht="15" hidden="false" customHeight="false" outlineLevel="0" collapsed="false">
      <c r="A65" s="0" t="s">
        <v>2020</v>
      </c>
      <c r="B65" s="0" t="s">
        <v>370</v>
      </c>
      <c r="C65" s="0" t="s">
        <v>189</v>
      </c>
      <c r="D65" s="14" t="n">
        <v>45780</v>
      </c>
      <c r="E65" s="0" t="n">
        <v>2886.68</v>
      </c>
      <c r="F65" s="14" t="n">
        <v>45825</v>
      </c>
    </row>
    <row r="66" customFormat="false" ht="15" hidden="false" customHeight="false" outlineLevel="0" collapsed="false">
      <c r="A66" s="0" t="s">
        <v>2021</v>
      </c>
      <c r="B66" s="0" t="s">
        <v>371</v>
      </c>
      <c r="C66" s="0" t="s">
        <v>195</v>
      </c>
      <c r="D66" s="14" t="n">
        <v>45940</v>
      </c>
      <c r="E66" s="0" t="n">
        <v>5496.95</v>
      </c>
      <c r="F66" s="14" t="n">
        <v>45970</v>
      </c>
    </row>
    <row r="67" customFormat="false" ht="15" hidden="false" customHeight="false" outlineLevel="0" collapsed="false">
      <c r="A67" s="0" t="s">
        <v>2022</v>
      </c>
      <c r="B67" s="0" t="s">
        <v>372</v>
      </c>
      <c r="C67" s="0" t="s">
        <v>174</v>
      </c>
      <c r="D67" s="14" t="n">
        <v>46156</v>
      </c>
      <c r="E67" s="0" t="n">
        <v>1566.24</v>
      </c>
      <c r="F67" s="14" t="n">
        <v>46171</v>
      </c>
    </row>
    <row r="68" customFormat="false" ht="15" hidden="false" customHeight="false" outlineLevel="0" collapsed="false">
      <c r="A68" s="0" t="s">
        <v>2023</v>
      </c>
      <c r="B68" s="0" t="s">
        <v>373</v>
      </c>
      <c r="C68" s="0" t="s">
        <v>161</v>
      </c>
      <c r="D68" s="14" t="n">
        <v>46103</v>
      </c>
      <c r="E68" s="0" t="n">
        <v>17358.33</v>
      </c>
      <c r="F68" s="14" t="n">
        <v>46148</v>
      </c>
    </row>
    <row r="69" customFormat="false" ht="15" hidden="false" customHeight="false" outlineLevel="0" collapsed="false">
      <c r="A69" s="0" t="s">
        <v>2024</v>
      </c>
      <c r="B69" s="0" t="s">
        <v>374</v>
      </c>
      <c r="C69" s="0" t="s">
        <v>109</v>
      </c>
      <c r="D69" s="14" t="n">
        <v>45773</v>
      </c>
      <c r="E69" s="0" t="n">
        <v>537.25</v>
      </c>
      <c r="F69" s="14" t="n">
        <v>45788</v>
      </c>
    </row>
    <row r="70" customFormat="false" ht="15" hidden="false" customHeight="false" outlineLevel="0" collapsed="false">
      <c r="A70" s="0" t="s">
        <v>2025</v>
      </c>
      <c r="B70" s="0" t="s">
        <v>375</v>
      </c>
      <c r="C70" s="0" t="s">
        <v>122</v>
      </c>
      <c r="D70" s="14" t="n">
        <v>45726</v>
      </c>
      <c r="E70" s="0" t="n">
        <v>4040.21</v>
      </c>
      <c r="F70" s="14" t="n">
        <v>45756</v>
      </c>
    </row>
    <row r="71" customFormat="false" ht="15" hidden="false" customHeight="false" outlineLevel="0" collapsed="false">
      <c r="A71" s="0" t="s">
        <v>2026</v>
      </c>
      <c r="B71" s="0" t="s">
        <v>376</v>
      </c>
      <c r="C71" s="0" t="s">
        <v>75</v>
      </c>
      <c r="D71" s="14" t="n">
        <v>45959</v>
      </c>
      <c r="E71" s="0" t="n">
        <v>158.45</v>
      </c>
      <c r="F71" s="14" t="n">
        <v>45974</v>
      </c>
    </row>
    <row r="72" customFormat="false" ht="15" hidden="false" customHeight="false" outlineLevel="0" collapsed="false">
      <c r="A72" s="0" t="s">
        <v>2027</v>
      </c>
      <c r="B72" s="0" t="s">
        <v>377</v>
      </c>
      <c r="C72" s="0" t="s">
        <v>109</v>
      </c>
      <c r="D72" s="14" t="n">
        <v>46011</v>
      </c>
      <c r="E72" s="0" t="n">
        <v>2227.94</v>
      </c>
      <c r="F72" s="14" t="n">
        <v>46026</v>
      </c>
    </row>
    <row r="73" customFormat="false" ht="15" hidden="false" customHeight="false" outlineLevel="0" collapsed="false">
      <c r="A73" s="0" t="s">
        <v>2028</v>
      </c>
      <c r="B73" s="0" t="s">
        <v>378</v>
      </c>
      <c r="C73" s="0" t="s">
        <v>99</v>
      </c>
      <c r="D73" s="14" t="n">
        <v>45865</v>
      </c>
      <c r="E73" s="0" t="n">
        <v>3409.89</v>
      </c>
      <c r="F73" s="14" t="n">
        <v>45925</v>
      </c>
    </row>
    <row r="74" customFormat="false" ht="15" hidden="false" customHeight="false" outlineLevel="0" collapsed="false">
      <c r="A74" s="0" t="s">
        <v>2029</v>
      </c>
      <c r="B74" s="0" t="s">
        <v>379</v>
      </c>
      <c r="C74" s="0" t="s">
        <v>112</v>
      </c>
      <c r="D74" s="14" t="n">
        <v>46125</v>
      </c>
      <c r="E74" s="0" t="n">
        <v>426.18</v>
      </c>
      <c r="F74" s="14" t="n">
        <v>46170</v>
      </c>
    </row>
    <row r="75" customFormat="false" ht="15" hidden="false" customHeight="false" outlineLevel="0" collapsed="false">
      <c r="A75" s="0" t="s">
        <v>2030</v>
      </c>
      <c r="B75" s="0" t="s">
        <v>380</v>
      </c>
      <c r="C75" s="0" t="s">
        <v>195</v>
      </c>
      <c r="D75" s="14" t="n">
        <v>46088</v>
      </c>
      <c r="E75" s="0" t="n">
        <v>650.45</v>
      </c>
      <c r="F75" s="14" t="n">
        <v>46118</v>
      </c>
    </row>
    <row r="76" customFormat="false" ht="15" hidden="false" customHeight="false" outlineLevel="0" collapsed="false">
      <c r="A76" s="0" t="s">
        <v>2031</v>
      </c>
      <c r="B76" s="0" t="s">
        <v>382</v>
      </c>
      <c r="C76" s="0" t="s">
        <v>104</v>
      </c>
      <c r="D76" s="14" t="n">
        <v>46041</v>
      </c>
      <c r="E76" s="0" t="n">
        <v>173.05</v>
      </c>
      <c r="F76" s="14" t="n">
        <v>46071</v>
      </c>
    </row>
    <row r="77" customFormat="false" ht="15" hidden="false" customHeight="false" outlineLevel="0" collapsed="false">
      <c r="A77" s="0" t="s">
        <v>2032</v>
      </c>
      <c r="B77" s="0" t="s">
        <v>383</v>
      </c>
      <c r="C77" s="0" t="s">
        <v>167</v>
      </c>
      <c r="D77" s="14" t="n">
        <v>45803</v>
      </c>
      <c r="E77" s="0" t="n">
        <v>1736.82</v>
      </c>
      <c r="F77" s="14" t="n">
        <v>45863</v>
      </c>
    </row>
    <row r="78" customFormat="false" ht="15" hidden="false" customHeight="false" outlineLevel="0" collapsed="false">
      <c r="A78" s="0" t="s">
        <v>2033</v>
      </c>
      <c r="B78" s="0" t="s">
        <v>384</v>
      </c>
      <c r="C78" s="0" t="s">
        <v>131</v>
      </c>
      <c r="D78" s="14" t="n">
        <v>45774</v>
      </c>
      <c r="E78" s="0" t="n">
        <v>3225.76</v>
      </c>
      <c r="F78" s="14" t="n">
        <v>45819</v>
      </c>
    </row>
    <row r="79" customFormat="false" ht="15" hidden="false" customHeight="false" outlineLevel="0" collapsed="false">
      <c r="A79" s="0" t="s">
        <v>2034</v>
      </c>
      <c r="B79" s="0" t="s">
        <v>385</v>
      </c>
      <c r="C79" s="0" t="s">
        <v>122</v>
      </c>
      <c r="D79" s="14" t="n">
        <v>45680</v>
      </c>
      <c r="E79" s="0" t="n">
        <v>773.09</v>
      </c>
      <c r="F79" s="14" t="n">
        <v>45710</v>
      </c>
    </row>
    <row r="80" customFormat="false" ht="15" hidden="false" customHeight="false" outlineLevel="0" collapsed="false">
      <c r="A80" s="0" t="s">
        <v>2035</v>
      </c>
      <c r="B80" s="0" t="s">
        <v>386</v>
      </c>
      <c r="C80" s="0" t="s">
        <v>152</v>
      </c>
      <c r="D80" s="14" t="n">
        <v>45804</v>
      </c>
      <c r="E80" s="0" t="n">
        <v>3182.11</v>
      </c>
      <c r="F80" s="14" t="n">
        <v>45864</v>
      </c>
    </row>
    <row r="81" customFormat="false" ht="15" hidden="false" customHeight="false" outlineLevel="0" collapsed="false">
      <c r="A81" s="0" t="s">
        <v>2036</v>
      </c>
      <c r="B81" s="0" t="s">
        <v>387</v>
      </c>
      <c r="C81" s="0" t="s">
        <v>143</v>
      </c>
      <c r="D81" s="14" t="n">
        <v>45923</v>
      </c>
      <c r="E81" s="0" t="n">
        <v>2202.92</v>
      </c>
      <c r="F81" s="14" t="n">
        <v>45953</v>
      </c>
    </row>
    <row r="82" customFormat="false" ht="15" hidden="false" customHeight="false" outlineLevel="0" collapsed="false">
      <c r="A82" s="0" t="s">
        <v>2037</v>
      </c>
      <c r="B82" s="0" t="s">
        <v>387</v>
      </c>
      <c r="C82" s="0" t="s">
        <v>143</v>
      </c>
      <c r="D82" s="14" t="n">
        <v>45926</v>
      </c>
      <c r="E82" s="0" t="n">
        <v>2202.92</v>
      </c>
      <c r="F82" s="14" t="n">
        <v>45956</v>
      </c>
    </row>
    <row r="83" customFormat="false" ht="15" hidden="false" customHeight="false" outlineLevel="0" collapsed="false">
      <c r="A83" s="0" t="s">
        <v>2038</v>
      </c>
      <c r="B83" s="0" t="s">
        <v>388</v>
      </c>
      <c r="C83" s="0" t="s">
        <v>116</v>
      </c>
      <c r="D83" s="14" t="n">
        <v>46135</v>
      </c>
      <c r="E83" s="0" t="n">
        <v>13999.16</v>
      </c>
      <c r="F83" s="14" t="n">
        <v>46195</v>
      </c>
    </row>
    <row r="84" customFormat="false" ht="15" hidden="false" customHeight="false" outlineLevel="0" collapsed="false">
      <c r="A84" s="0" t="s">
        <v>2039</v>
      </c>
      <c r="B84" s="0" t="s">
        <v>389</v>
      </c>
      <c r="C84" s="0" t="s">
        <v>128</v>
      </c>
      <c r="D84" s="14" t="n">
        <v>45699</v>
      </c>
      <c r="E84" s="0" t="n">
        <v>4652.88</v>
      </c>
      <c r="F84" s="14" t="n">
        <v>45729</v>
      </c>
    </row>
    <row r="85" customFormat="false" ht="15" hidden="false" customHeight="false" outlineLevel="0" collapsed="false">
      <c r="A85" s="0" t="s">
        <v>2040</v>
      </c>
      <c r="B85" s="0" t="s">
        <v>390</v>
      </c>
      <c r="C85" s="0" t="s">
        <v>89</v>
      </c>
      <c r="D85" s="14" t="n">
        <v>45887</v>
      </c>
      <c r="E85" s="0" t="n">
        <v>131.26</v>
      </c>
      <c r="F85" s="14" t="n">
        <v>45902</v>
      </c>
    </row>
    <row r="86" customFormat="false" ht="15" hidden="false" customHeight="false" outlineLevel="0" collapsed="false">
      <c r="A86" s="0" t="s">
        <v>2041</v>
      </c>
      <c r="B86" s="0" t="s">
        <v>391</v>
      </c>
      <c r="C86" s="0" t="s">
        <v>75</v>
      </c>
      <c r="D86" s="14" t="n">
        <v>46020</v>
      </c>
      <c r="E86" s="0" t="n">
        <v>370.46</v>
      </c>
      <c r="F86" s="14" t="n">
        <v>46035</v>
      </c>
    </row>
    <row r="87" customFormat="false" ht="15" hidden="false" customHeight="false" outlineLevel="0" collapsed="false">
      <c r="A87" s="0" t="s">
        <v>2042</v>
      </c>
      <c r="B87" s="0" t="s">
        <v>392</v>
      </c>
      <c r="C87" s="0" t="s">
        <v>177</v>
      </c>
      <c r="D87" s="14" t="n">
        <v>45773</v>
      </c>
      <c r="E87" s="0" t="n">
        <v>2277.66</v>
      </c>
      <c r="F87" s="14" t="n">
        <v>45833</v>
      </c>
    </row>
    <row r="88" customFormat="false" ht="15" hidden="false" customHeight="false" outlineLevel="0" collapsed="false">
      <c r="A88" s="0" t="s">
        <v>2043</v>
      </c>
      <c r="B88" s="0" t="s">
        <v>393</v>
      </c>
      <c r="C88" s="0" t="s">
        <v>122</v>
      </c>
      <c r="D88" s="14" t="n">
        <v>46053</v>
      </c>
      <c r="E88" s="0" t="n">
        <v>11559.96</v>
      </c>
      <c r="F88" s="14" t="n">
        <v>46083</v>
      </c>
    </row>
    <row r="89" customFormat="false" ht="15" hidden="false" customHeight="false" outlineLevel="0" collapsed="false">
      <c r="A89" s="0" t="s">
        <v>2044</v>
      </c>
      <c r="B89" s="0" t="s">
        <v>394</v>
      </c>
      <c r="C89" s="0" t="s">
        <v>186</v>
      </c>
      <c r="D89" s="14" t="n">
        <v>45937</v>
      </c>
      <c r="E89" s="0" t="n">
        <v>1118.76</v>
      </c>
      <c r="F89" s="14" t="n">
        <v>45952</v>
      </c>
    </row>
    <row r="90" customFormat="false" ht="15" hidden="false" customHeight="false" outlineLevel="0" collapsed="false">
      <c r="A90" s="0" t="s">
        <v>2045</v>
      </c>
      <c r="B90" s="0" t="s">
        <v>395</v>
      </c>
      <c r="C90" s="0" t="s">
        <v>143</v>
      </c>
      <c r="D90" s="14" t="n">
        <v>45809</v>
      </c>
      <c r="E90" s="0" t="n">
        <v>1602.67</v>
      </c>
      <c r="F90" s="14" t="n">
        <v>45839</v>
      </c>
    </row>
    <row r="91" customFormat="false" ht="15" hidden="false" customHeight="false" outlineLevel="0" collapsed="false">
      <c r="A91" s="0" t="s">
        <v>2046</v>
      </c>
      <c r="B91" s="0" t="s">
        <v>396</v>
      </c>
      <c r="C91" s="0" t="s">
        <v>104</v>
      </c>
      <c r="D91" s="14" t="n">
        <v>46020</v>
      </c>
      <c r="E91" s="0" t="n">
        <v>2430.96</v>
      </c>
      <c r="F91" s="14" t="n">
        <v>46050</v>
      </c>
    </row>
    <row r="92" customFormat="false" ht="15" hidden="false" customHeight="false" outlineLevel="0" collapsed="false">
      <c r="A92" s="0" t="s">
        <v>2047</v>
      </c>
      <c r="B92" s="0" t="s">
        <v>397</v>
      </c>
      <c r="C92" s="0" t="s">
        <v>75</v>
      </c>
      <c r="D92" s="14" t="n">
        <v>45680</v>
      </c>
      <c r="E92" s="0" t="n">
        <v>1239.53</v>
      </c>
      <c r="F92" s="14" t="n">
        <v>45695</v>
      </c>
    </row>
    <row r="93" customFormat="false" ht="15" hidden="false" customHeight="false" outlineLevel="0" collapsed="false">
      <c r="A93" s="0" t="s">
        <v>2048</v>
      </c>
      <c r="B93" s="0" t="s">
        <v>398</v>
      </c>
      <c r="C93" s="0" t="s">
        <v>171</v>
      </c>
      <c r="D93" s="14" t="n">
        <v>46091</v>
      </c>
      <c r="E93" s="0" t="n">
        <v>6686.22</v>
      </c>
      <c r="F93" s="14" t="n">
        <v>46151</v>
      </c>
    </row>
    <row r="94" customFormat="false" ht="15" hidden="false" customHeight="false" outlineLevel="0" collapsed="false">
      <c r="A94" s="0" t="s">
        <v>2049</v>
      </c>
      <c r="B94" s="0" t="s">
        <v>399</v>
      </c>
      <c r="C94" s="0" t="s">
        <v>125</v>
      </c>
      <c r="D94" s="14" t="n">
        <v>46094</v>
      </c>
      <c r="E94" s="0" t="n">
        <v>3940.78</v>
      </c>
      <c r="F94" s="14" t="n">
        <v>46124</v>
      </c>
    </row>
    <row r="95" customFormat="false" ht="15" hidden="false" customHeight="false" outlineLevel="0" collapsed="false">
      <c r="A95" s="0" t="s">
        <v>2050</v>
      </c>
      <c r="B95" s="0" t="s">
        <v>400</v>
      </c>
      <c r="C95" s="0" t="s">
        <v>189</v>
      </c>
      <c r="D95" s="14" t="n">
        <v>45732</v>
      </c>
      <c r="E95" s="0" t="n">
        <v>625.95</v>
      </c>
      <c r="F95" s="14" t="n">
        <v>45777</v>
      </c>
    </row>
    <row r="96" customFormat="false" ht="15" hidden="false" customHeight="false" outlineLevel="0" collapsed="false">
      <c r="A96" s="0" t="s">
        <v>2051</v>
      </c>
      <c r="B96" s="0" t="s">
        <v>401</v>
      </c>
      <c r="C96" s="0" t="s">
        <v>109</v>
      </c>
      <c r="D96" s="14" t="n">
        <v>45891</v>
      </c>
      <c r="E96" s="0" t="n">
        <v>5061.76</v>
      </c>
      <c r="F96" s="14" t="n">
        <v>45906</v>
      </c>
    </row>
    <row r="97" customFormat="false" ht="15" hidden="false" customHeight="false" outlineLevel="0" collapsed="false">
      <c r="A97" s="0" t="s">
        <v>2052</v>
      </c>
      <c r="B97" s="0" t="s">
        <v>402</v>
      </c>
      <c r="C97" s="0" t="s">
        <v>158</v>
      </c>
      <c r="D97" s="14" t="n">
        <v>45767</v>
      </c>
      <c r="E97" s="0" t="n">
        <v>2302.86</v>
      </c>
      <c r="F97" s="14" t="n">
        <v>45827</v>
      </c>
    </row>
    <row r="98" customFormat="false" ht="15" hidden="false" customHeight="false" outlineLevel="0" collapsed="false">
      <c r="A98" s="0" t="s">
        <v>2053</v>
      </c>
      <c r="B98" s="0" t="s">
        <v>403</v>
      </c>
      <c r="C98" s="0" t="s">
        <v>158</v>
      </c>
      <c r="D98" s="14" t="n">
        <v>46203</v>
      </c>
      <c r="E98" s="0" t="n">
        <v>420.44</v>
      </c>
      <c r="F98" s="14" t="n">
        <v>46263</v>
      </c>
    </row>
    <row r="99" customFormat="false" ht="15" hidden="false" customHeight="false" outlineLevel="0" collapsed="false">
      <c r="A99" s="0" t="s">
        <v>2054</v>
      </c>
      <c r="B99" s="0" t="s">
        <v>404</v>
      </c>
      <c r="C99" s="0" t="s">
        <v>158</v>
      </c>
      <c r="D99" s="14" t="n">
        <v>45955</v>
      </c>
      <c r="E99" s="0" t="n">
        <v>226.65</v>
      </c>
      <c r="F99" s="14" t="n">
        <v>46015</v>
      </c>
    </row>
    <row r="100" customFormat="false" ht="15" hidden="false" customHeight="false" outlineLevel="0" collapsed="false">
      <c r="A100" s="0" t="s">
        <v>2055</v>
      </c>
      <c r="B100" s="0" t="s">
        <v>405</v>
      </c>
      <c r="C100" s="0" t="s">
        <v>93</v>
      </c>
      <c r="D100" s="14" t="n">
        <v>45687</v>
      </c>
      <c r="E100" s="0" t="n">
        <v>814.32</v>
      </c>
      <c r="F100" s="14" t="n">
        <v>45747</v>
      </c>
    </row>
    <row r="101" customFormat="false" ht="15" hidden="false" customHeight="false" outlineLevel="0" collapsed="false">
      <c r="A101" s="0" t="s">
        <v>2056</v>
      </c>
      <c r="B101" s="0" t="s">
        <v>406</v>
      </c>
      <c r="C101" s="0" t="s">
        <v>174</v>
      </c>
      <c r="D101" s="14" t="n">
        <v>45804</v>
      </c>
      <c r="E101" s="0" t="n">
        <v>1618.39</v>
      </c>
      <c r="F101" s="14" t="n">
        <v>45819</v>
      </c>
    </row>
    <row r="102" customFormat="false" ht="15" hidden="false" customHeight="false" outlineLevel="0" collapsed="false">
      <c r="A102" s="0" t="s">
        <v>2057</v>
      </c>
      <c r="B102" s="0" t="s">
        <v>407</v>
      </c>
      <c r="C102" s="0" t="s">
        <v>167</v>
      </c>
      <c r="D102" s="14" t="n">
        <v>46132</v>
      </c>
      <c r="E102" s="0" t="n">
        <v>994</v>
      </c>
      <c r="F102" s="14" t="n">
        <v>46192</v>
      </c>
    </row>
    <row r="103" customFormat="false" ht="15" hidden="false" customHeight="false" outlineLevel="0" collapsed="false">
      <c r="A103" s="0" t="s">
        <v>2058</v>
      </c>
      <c r="B103" s="0" t="s">
        <v>408</v>
      </c>
      <c r="C103" s="0" t="s">
        <v>104</v>
      </c>
      <c r="D103" s="14" t="n">
        <v>45923</v>
      </c>
      <c r="E103" s="0" t="n">
        <v>456.94</v>
      </c>
      <c r="F103" s="14" t="n">
        <v>45953</v>
      </c>
    </row>
    <row r="104" customFormat="false" ht="15" hidden="false" customHeight="false" outlineLevel="0" collapsed="false">
      <c r="A104" s="0" t="s">
        <v>2059</v>
      </c>
      <c r="B104" s="0" t="s">
        <v>409</v>
      </c>
      <c r="C104" s="0" t="s">
        <v>93</v>
      </c>
      <c r="D104" s="14" t="n">
        <v>46114</v>
      </c>
      <c r="E104" s="0" t="n">
        <v>3515.6</v>
      </c>
      <c r="F104" s="14" t="n">
        <v>46174</v>
      </c>
    </row>
    <row r="105" customFormat="false" ht="15" hidden="false" customHeight="false" outlineLevel="0" collapsed="false">
      <c r="A105" s="0" t="s">
        <v>2060</v>
      </c>
      <c r="B105" s="0" t="s">
        <v>410</v>
      </c>
      <c r="C105" s="0" t="s">
        <v>134</v>
      </c>
      <c r="D105" s="14" t="n">
        <v>46044</v>
      </c>
      <c r="E105" s="0" t="n">
        <v>702.04</v>
      </c>
      <c r="F105" s="14" t="n">
        <v>46074</v>
      </c>
    </row>
    <row r="106" customFormat="false" ht="15" hidden="false" customHeight="false" outlineLevel="0" collapsed="false">
      <c r="A106" s="0" t="s">
        <v>2061</v>
      </c>
      <c r="B106" s="0" t="s">
        <v>411</v>
      </c>
      <c r="C106" s="0" t="s">
        <v>149</v>
      </c>
      <c r="D106" s="14" t="n">
        <v>46221</v>
      </c>
      <c r="E106" s="0" t="n">
        <v>582.3</v>
      </c>
      <c r="F106" s="14" t="n">
        <v>46251</v>
      </c>
    </row>
    <row r="107" customFormat="false" ht="15" hidden="false" customHeight="false" outlineLevel="0" collapsed="false">
      <c r="A107" s="0" t="s">
        <v>2062</v>
      </c>
      <c r="B107" s="0" t="s">
        <v>412</v>
      </c>
      <c r="C107" s="0" t="s">
        <v>93</v>
      </c>
      <c r="D107" s="14" t="n">
        <v>45992</v>
      </c>
      <c r="E107" s="0" t="n">
        <v>2184.66</v>
      </c>
      <c r="F107" s="14" t="n">
        <v>46052</v>
      </c>
    </row>
    <row r="108" customFormat="false" ht="15" hidden="false" customHeight="false" outlineLevel="0" collapsed="false">
      <c r="A108" s="0" t="s">
        <v>2063</v>
      </c>
      <c r="B108" s="0" t="s">
        <v>413</v>
      </c>
      <c r="C108" s="0" t="s">
        <v>89</v>
      </c>
      <c r="D108" s="14" t="n">
        <v>46184</v>
      </c>
      <c r="E108" s="0" t="n">
        <v>563.83</v>
      </c>
      <c r="F108" s="14" t="n">
        <v>46199</v>
      </c>
    </row>
    <row r="109" customFormat="false" ht="15" hidden="false" customHeight="false" outlineLevel="0" collapsed="false">
      <c r="A109" s="0" t="s">
        <v>2064</v>
      </c>
      <c r="B109" s="0" t="s">
        <v>414</v>
      </c>
      <c r="C109" s="0" t="s">
        <v>149</v>
      </c>
      <c r="D109" s="14" t="n">
        <v>46148</v>
      </c>
      <c r="E109" s="0" t="n">
        <v>3835.01</v>
      </c>
      <c r="F109" s="14" t="n">
        <v>46178</v>
      </c>
    </row>
    <row r="110" customFormat="false" ht="15" hidden="false" customHeight="false" outlineLevel="0" collapsed="false">
      <c r="A110" s="0" t="s">
        <v>2065</v>
      </c>
      <c r="B110" s="0" t="s">
        <v>415</v>
      </c>
      <c r="C110" s="0" t="s">
        <v>186</v>
      </c>
      <c r="D110" s="14" t="n">
        <v>46014</v>
      </c>
      <c r="E110" s="0" t="n">
        <v>402.4</v>
      </c>
      <c r="F110" s="14" t="n">
        <v>46029</v>
      </c>
    </row>
    <row r="111" customFormat="false" ht="15" hidden="false" customHeight="false" outlineLevel="0" collapsed="false">
      <c r="A111" s="0" t="s">
        <v>2066</v>
      </c>
      <c r="B111" s="0" t="s">
        <v>416</v>
      </c>
      <c r="C111" s="0" t="s">
        <v>84</v>
      </c>
      <c r="D111" s="14" t="n">
        <v>46069</v>
      </c>
      <c r="E111" s="0" t="n">
        <v>1590.35</v>
      </c>
      <c r="F111" s="14" t="n">
        <v>46084</v>
      </c>
    </row>
    <row r="112" customFormat="false" ht="15" hidden="false" customHeight="false" outlineLevel="0" collapsed="false">
      <c r="A112" s="0" t="s">
        <v>2067</v>
      </c>
      <c r="B112" s="0" t="s">
        <v>416</v>
      </c>
      <c r="C112" s="0" t="s">
        <v>84</v>
      </c>
      <c r="D112" s="14" t="n">
        <v>46067</v>
      </c>
      <c r="E112" s="0" t="n">
        <v>1590.35</v>
      </c>
      <c r="F112" s="14" t="n">
        <v>46082</v>
      </c>
    </row>
    <row r="113" customFormat="false" ht="15" hidden="false" customHeight="false" outlineLevel="0" collapsed="false">
      <c r="A113" s="0" t="s">
        <v>2068</v>
      </c>
      <c r="B113" s="0" t="s">
        <v>417</v>
      </c>
      <c r="C113" s="0" t="s">
        <v>116</v>
      </c>
      <c r="D113" s="14" t="n">
        <v>45953</v>
      </c>
      <c r="E113" s="0" t="n">
        <v>816.15</v>
      </c>
      <c r="F113" s="14" t="n">
        <v>46013</v>
      </c>
    </row>
    <row r="114" customFormat="false" ht="15" hidden="false" customHeight="false" outlineLevel="0" collapsed="false">
      <c r="A114" s="0" t="s">
        <v>2069</v>
      </c>
      <c r="B114" s="0" t="s">
        <v>418</v>
      </c>
      <c r="C114" s="0" t="s">
        <v>116</v>
      </c>
      <c r="D114" s="14" t="n">
        <v>46128</v>
      </c>
      <c r="E114" s="0" t="n">
        <v>5798.93</v>
      </c>
      <c r="F114" s="14" t="n">
        <v>46188</v>
      </c>
    </row>
    <row r="115" customFormat="false" ht="15" hidden="false" customHeight="false" outlineLevel="0" collapsed="false">
      <c r="A115" s="0" t="s">
        <v>2070</v>
      </c>
      <c r="B115" s="0" t="s">
        <v>419</v>
      </c>
      <c r="C115" s="0" t="s">
        <v>164</v>
      </c>
      <c r="D115" s="14" t="n">
        <v>45976</v>
      </c>
      <c r="E115" s="0" t="n">
        <v>3177.07</v>
      </c>
      <c r="F115" s="14" t="n">
        <v>46021</v>
      </c>
    </row>
    <row r="116" customFormat="false" ht="15" hidden="false" customHeight="false" outlineLevel="0" collapsed="false">
      <c r="A116" s="0" t="s">
        <v>2071</v>
      </c>
      <c r="B116" s="0" t="s">
        <v>420</v>
      </c>
      <c r="C116" s="0" t="s">
        <v>131</v>
      </c>
      <c r="D116" s="14" t="n">
        <v>46161</v>
      </c>
      <c r="E116" s="0" t="n">
        <v>2099.16</v>
      </c>
      <c r="F116" s="14" t="n">
        <v>46206</v>
      </c>
    </row>
    <row r="117" customFormat="false" ht="15" hidden="false" customHeight="false" outlineLevel="0" collapsed="false">
      <c r="A117" s="0" t="s">
        <v>2072</v>
      </c>
      <c r="B117" s="0" t="s">
        <v>421</v>
      </c>
      <c r="C117" s="0" t="s">
        <v>125</v>
      </c>
      <c r="D117" s="14" t="n">
        <v>46081</v>
      </c>
      <c r="E117" s="0" t="n">
        <v>2167.65</v>
      </c>
      <c r="F117" s="14" t="n">
        <v>46111</v>
      </c>
    </row>
    <row r="118" customFormat="false" ht="15" hidden="false" customHeight="false" outlineLevel="0" collapsed="false">
      <c r="A118" s="0" t="s">
        <v>2073</v>
      </c>
      <c r="B118" s="0" t="s">
        <v>422</v>
      </c>
      <c r="C118" s="0" t="s">
        <v>134</v>
      </c>
      <c r="D118" s="14" t="n">
        <v>45923</v>
      </c>
      <c r="E118" s="0" t="n">
        <v>865.82</v>
      </c>
      <c r="F118" s="14" t="n">
        <v>45953</v>
      </c>
    </row>
    <row r="119" customFormat="false" ht="15" hidden="false" customHeight="false" outlineLevel="0" collapsed="false">
      <c r="A119" s="0" t="s">
        <v>2074</v>
      </c>
      <c r="B119" s="0" t="s">
        <v>423</v>
      </c>
      <c r="C119" s="0" t="s">
        <v>93</v>
      </c>
      <c r="D119" s="14" t="n">
        <v>45817</v>
      </c>
      <c r="E119" s="0" t="n">
        <v>588.49</v>
      </c>
      <c r="F119" s="14" t="n">
        <v>45877</v>
      </c>
    </row>
    <row r="120" customFormat="false" ht="15" hidden="false" customHeight="false" outlineLevel="0" collapsed="false">
      <c r="A120" s="0" t="s">
        <v>2075</v>
      </c>
      <c r="B120" s="0" t="s">
        <v>424</v>
      </c>
      <c r="C120" s="0" t="s">
        <v>195</v>
      </c>
      <c r="D120" s="14" t="n">
        <v>45794</v>
      </c>
      <c r="E120" s="0" t="n">
        <v>1755.83</v>
      </c>
      <c r="F120" s="14" t="n">
        <v>45824</v>
      </c>
    </row>
    <row r="121" customFormat="false" ht="15" hidden="false" customHeight="false" outlineLevel="0" collapsed="false">
      <c r="A121" s="0" t="s">
        <v>2076</v>
      </c>
      <c r="B121" s="0" t="s">
        <v>425</v>
      </c>
      <c r="C121" s="0" t="s">
        <v>158</v>
      </c>
      <c r="D121" s="14" t="n">
        <v>46010</v>
      </c>
      <c r="E121" s="0" t="n">
        <v>946.66</v>
      </c>
      <c r="F121" s="14" t="n">
        <v>46070</v>
      </c>
    </row>
    <row r="122" customFormat="false" ht="15" hidden="false" customHeight="false" outlineLevel="0" collapsed="false">
      <c r="A122" s="0" t="s">
        <v>2077</v>
      </c>
      <c r="B122" s="0" t="s">
        <v>426</v>
      </c>
      <c r="C122" s="0" t="s">
        <v>161</v>
      </c>
      <c r="D122" s="14" t="n">
        <v>46085</v>
      </c>
      <c r="E122" s="0" t="n">
        <v>17767.35</v>
      </c>
      <c r="F122" s="14" t="n">
        <v>46130</v>
      </c>
    </row>
    <row r="123" customFormat="false" ht="15" hidden="false" customHeight="false" outlineLevel="0" collapsed="false">
      <c r="A123" s="0" t="s">
        <v>2078</v>
      </c>
      <c r="B123" s="0" t="s">
        <v>427</v>
      </c>
      <c r="C123" s="0" t="s">
        <v>75</v>
      </c>
      <c r="D123" s="14" t="n">
        <v>45952</v>
      </c>
      <c r="E123" s="0" t="n">
        <v>8633.55</v>
      </c>
      <c r="F123" s="14" t="n">
        <v>45967</v>
      </c>
    </row>
    <row r="124" customFormat="false" ht="15" hidden="false" customHeight="false" outlineLevel="0" collapsed="false">
      <c r="A124" s="0" t="s">
        <v>2079</v>
      </c>
      <c r="B124" s="0" t="s">
        <v>428</v>
      </c>
      <c r="C124" s="0" t="s">
        <v>195</v>
      </c>
      <c r="D124" s="14" t="n">
        <v>46012</v>
      </c>
      <c r="E124" s="0" t="n">
        <v>1731.53</v>
      </c>
      <c r="F124" s="14" t="n">
        <v>46042</v>
      </c>
    </row>
    <row r="125" customFormat="false" ht="15" hidden="false" customHeight="false" outlineLevel="0" collapsed="false">
      <c r="A125" s="0" t="s">
        <v>2080</v>
      </c>
      <c r="B125" s="0" t="s">
        <v>429</v>
      </c>
      <c r="C125" s="0" t="s">
        <v>155</v>
      </c>
      <c r="D125" s="14" t="n">
        <v>45822</v>
      </c>
      <c r="E125" s="0" t="n">
        <v>1559.4</v>
      </c>
      <c r="F125" s="14" t="n">
        <v>45867</v>
      </c>
    </row>
    <row r="126" customFormat="false" ht="15" hidden="false" customHeight="false" outlineLevel="0" collapsed="false">
      <c r="A126" s="0" t="s">
        <v>2081</v>
      </c>
      <c r="B126" s="0" t="s">
        <v>430</v>
      </c>
      <c r="C126" s="0" t="s">
        <v>137</v>
      </c>
      <c r="D126" s="14" t="n">
        <v>45714</v>
      </c>
      <c r="E126" s="0" t="n">
        <v>1484.65</v>
      </c>
      <c r="F126" s="14" t="n">
        <v>45759</v>
      </c>
    </row>
    <row r="127" customFormat="false" ht="15" hidden="false" customHeight="false" outlineLevel="0" collapsed="false">
      <c r="A127" s="0" t="s">
        <v>2082</v>
      </c>
      <c r="B127" s="0" t="s">
        <v>431</v>
      </c>
      <c r="C127" s="0" t="s">
        <v>122</v>
      </c>
      <c r="D127" s="14" t="n">
        <v>45819</v>
      </c>
      <c r="E127" s="0" t="n">
        <v>448.18</v>
      </c>
      <c r="F127" s="14" t="n">
        <v>45849</v>
      </c>
    </row>
    <row r="128" customFormat="false" ht="15" hidden="false" customHeight="false" outlineLevel="0" collapsed="false">
      <c r="A128" s="0" t="s">
        <v>2083</v>
      </c>
      <c r="B128" s="0" t="s">
        <v>432</v>
      </c>
      <c r="C128" s="0" t="s">
        <v>164</v>
      </c>
      <c r="D128" s="14" t="n">
        <v>45811</v>
      </c>
      <c r="E128" s="0" t="n">
        <v>381.28</v>
      </c>
      <c r="F128" s="14" t="n">
        <v>45856</v>
      </c>
    </row>
    <row r="129" customFormat="false" ht="15" hidden="false" customHeight="false" outlineLevel="0" collapsed="false">
      <c r="A129" s="0" t="s">
        <v>2084</v>
      </c>
      <c r="B129" s="0" t="s">
        <v>433</v>
      </c>
      <c r="C129" s="0" t="s">
        <v>131</v>
      </c>
      <c r="D129" s="14" t="n">
        <v>45851</v>
      </c>
      <c r="E129" s="0" t="n">
        <v>432.73</v>
      </c>
      <c r="F129" s="14" t="n">
        <v>45896</v>
      </c>
    </row>
    <row r="130" customFormat="false" ht="15" hidden="false" customHeight="false" outlineLevel="0" collapsed="false">
      <c r="A130" s="0" t="s">
        <v>2085</v>
      </c>
      <c r="B130" s="0" t="s">
        <v>434</v>
      </c>
      <c r="C130" s="0" t="s">
        <v>177</v>
      </c>
      <c r="D130" s="14" t="n">
        <v>45958</v>
      </c>
      <c r="E130" s="0" t="n">
        <v>2005.68</v>
      </c>
      <c r="F130" s="14" t="n">
        <v>46018</v>
      </c>
    </row>
    <row r="131" customFormat="false" ht="15" hidden="false" customHeight="false" outlineLevel="0" collapsed="false">
      <c r="A131" s="0" t="s">
        <v>2086</v>
      </c>
      <c r="B131" s="0" t="s">
        <v>435</v>
      </c>
      <c r="C131" s="0" t="s">
        <v>104</v>
      </c>
      <c r="D131" s="14" t="n">
        <v>45750</v>
      </c>
      <c r="E131" s="0" t="n">
        <v>12091.17</v>
      </c>
      <c r="F131" s="14" t="n">
        <v>45780</v>
      </c>
    </row>
    <row r="132" customFormat="false" ht="15" hidden="false" customHeight="false" outlineLevel="0" collapsed="false">
      <c r="A132" s="0" t="s">
        <v>2087</v>
      </c>
      <c r="B132" s="0" t="s">
        <v>436</v>
      </c>
      <c r="C132" s="0" t="s">
        <v>80</v>
      </c>
      <c r="D132" s="14" t="n">
        <v>45801</v>
      </c>
      <c r="E132" s="0" t="n">
        <v>1425.03</v>
      </c>
      <c r="F132" s="14" t="n">
        <v>45816</v>
      </c>
    </row>
    <row r="133" customFormat="false" ht="15" hidden="false" customHeight="false" outlineLevel="0" collapsed="false">
      <c r="A133" s="0" t="s">
        <v>2088</v>
      </c>
      <c r="B133" s="0" t="s">
        <v>437</v>
      </c>
      <c r="C133" s="0" t="s">
        <v>89</v>
      </c>
      <c r="D133" s="14" t="n">
        <v>46058</v>
      </c>
      <c r="E133" s="0" t="n">
        <v>13874.68</v>
      </c>
      <c r="F133" s="14" t="n">
        <v>46073</v>
      </c>
    </row>
    <row r="134" customFormat="false" ht="15" hidden="false" customHeight="false" outlineLevel="0" collapsed="false">
      <c r="A134" s="0" t="s">
        <v>2089</v>
      </c>
      <c r="B134" s="0" t="s">
        <v>438</v>
      </c>
      <c r="C134" s="0" t="s">
        <v>155</v>
      </c>
      <c r="D134" s="14" t="n">
        <v>46059</v>
      </c>
      <c r="E134" s="0" t="n">
        <v>2603.15</v>
      </c>
      <c r="F134" s="14" t="n">
        <v>46104</v>
      </c>
    </row>
    <row r="135" customFormat="false" ht="15" hidden="false" customHeight="false" outlineLevel="0" collapsed="false">
      <c r="A135" s="0" t="s">
        <v>2090</v>
      </c>
      <c r="B135" s="0" t="s">
        <v>439</v>
      </c>
      <c r="C135" s="0" t="s">
        <v>192</v>
      </c>
      <c r="D135" s="14" t="n">
        <v>45713</v>
      </c>
      <c r="E135" s="0" t="n">
        <v>3419.39</v>
      </c>
      <c r="F135" s="14" t="n">
        <v>45743</v>
      </c>
    </row>
    <row r="136" customFormat="false" ht="15" hidden="false" customHeight="false" outlineLevel="0" collapsed="false">
      <c r="A136" s="0" t="s">
        <v>2091</v>
      </c>
      <c r="B136" s="0" t="s">
        <v>440</v>
      </c>
      <c r="C136" s="0" t="s">
        <v>96</v>
      </c>
      <c r="D136" s="14" t="n">
        <v>45888</v>
      </c>
      <c r="E136" s="0" t="n">
        <v>4244.35</v>
      </c>
      <c r="F136" s="14" t="n">
        <v>45903</v>
      </c>
    </row>
    <row r="137" customFormat="false" ht="15" hidden="false" customHeight="false" outlineLevel="0" collapsed="false">
      <c r="A137" s="0" t="s">
        <v>2092</v>
      </c>
      <c r="B137" s="0" t="s">
        <v>441</v>
      </c>
      <c r="C137" s="0" t="s">
        <v>125</v>
      </c>
      <c r="D137" s="14" t="n">
        <v>45975</v>
      </c>
      <c r="E137" s="0" t="n">
        <v>8178.53</v>
      </c>
      <c r="F137" s="14" t="n">
        <v>46005</v>
      </c>
    </row>
    <row r="138" customFormat="false" ht="15" hidden="false" customHeight="false" outlineLevel="0" collapsed="false">
      <c r="A138" s="0" t="s">
        <v>2093</v>
      </c>
      <c r="B138" s="0" t="s">
        <v>442</v>
      </c>
      <c r="C138" s="0" t="s">
        <v>96</v>
      </c>
      <c r="D138" s="14" t="n">
        <v>45894</v>
      </c>
      <c r="E138" s="0" t="n">
        <v>1297.3</v>
      </c>
      <c r="F138" s="14" t="n">
        <v>45909</v>
      </c>
    </row>
    <row r="139" customFormat="false" ht="15" hidden="false" customHeight="false" outlineLevel="0" collapsed="false">
      <c r="A139" s="0" t="s">
        <v>2094</v>
      </c>
      <c r="B139" s="0" t="s">
        <v>443</v>
      </c>
      <c r="C139" s="0" t="s">
        <v>104</v>
      </c>
      <c r="D139" s="14" t="n">
        <v>45780</v>
      </c>
      <c r="E139" s="0" t="n">
        <v>1349.8</v>
      </c>
      <c r="F139" s="14" t="n">
        <v>45810</v>
      </c>
    </row>
    <row r="140" customFormat="false" ht="15" hidden="false" customHeight="false" outlineLevel="0" collapsed="false">
      <c r="A140" s="0" t="s">
        <v>2095</v>
      </c>
      <c r="B140" s="0" t="s">
        <v>444</v>
      </c>
      <c r="C140" s="0" t="s">
        <v>146</v>
      </c>
      <c r="D140" s="14" t="n">
        <v>45899</v>
      </c>
      <c r="E140" s="0" t="n">
        <v>9053.44</v>
      </c>
      <c r="F140" s="14" t="n">
        <v>45929</v>
      </c>
    </row>
    <row r="141" customFormat="false" ht="15" hidden="false" customHeight="false" outlineLevel="0" collapsed="false">
      <c r="A141" s="0" t="s">
        <v>2096</v>
      </c>
      <c r="B141" s="0" t="s">
        <v>445</v>
      </c>
      <c r="C141" s="0" t="s">
        <v>146</v>
      </c>
      <c r="D141" s="14" t="n">
        <v>46159</v>
      </c>
      <c r="E141" s="0" t="n">
        <v>974.82</v>
      </c>
      <c r="F141" s="14" t="n">
        <v>46189</v>
      </c>
    </row>
    <row r="142" customFormat="false" ht="15" hidden="false" customHeight="false" outlineLevel="0" collapsed="false">
      <c r="A142" s="0" t="s">
        <v>2097</v>
      </c>
      <c r="B142" s="0" t="s">
        <v>446</v>
      </c>
      <c r="C142" s="0" t="s">
        <v>183</v>
      </c>
      <c r="D142" s="14" t="n">
        <v>45995</v>
      </c>
      <c r="E142" s="0" t="n">
        <v>5730.61</v>
      </c>
      <c r="F142" s="14" t="n">
        <v>46040</v>
      </c>
    </row>
    <row r="143" customFormat="false" ht="15" hidden="false" customHeight="false" outlineLevel="0" collapsed="false">
      <c r="A143" s="0" t="s">
        <v>2098</v>
      </c>
      <c r="B143" s="0" t="s">
        <v>447</v>
      </c>
      <c r="C143" s="0" t="s">
        <v>201</v>
      </c>
      <c r="D143" s="14" t="n">
        <v>46050</v>
      </c>
      <c r="E143" s="0" t="n">
        <v>11169.56</v>
      </c>
      <c r="F143" s="14" t="n">
        <v>46065</v>
      </c>
    </row>
    <row r="144" customFormat="false" ht="15" hidden="false" customHeight="false" outlineLevel="0" collapsed="false">
      <c r="A144" s="0" t="s">
        <v>2099</v>
      </c>
      <c r="B144" s="0" t="s">
        <v>448</v>
      </c>
      <c r="C144" s="0" t="s">
        <v>177</v>
      </c>
      <c r="D144" s="14" t="n">
        <v>46149</v>
      </c>
      <c r="E144" s="0" t="n">
        <v>573.05</v>
      </c>
      <c r="F144" s="14" t="n">
        <v>46209</v>
      </c>
    </row>
    <row r="145" customFormat="false" ht="15" hidden="false" customHeight="false" outlineLevel="0" collapsed="false">
      <c r="A145" s="0" t="s">
        <v>2100</v>
      </c>
      <c r="B145" s="0" t="s">
        <v>449</v>
      </c>
      <c r="C145" s="0" t="s">
        <v>143</v>
      </c>
      <c r="D145" s="14" t="n">
        <v>46096</v>
      </c>
      <c r="E145" s="0" t="n">
        <v>267.6</v>
      </c>
      <c r="F145" s="14" t="n">
        <v>46126</v>
      </c>
    </row>
    <row r="146" customFormat="false" ht="15" hidden="false" customHeight="false" outlineLevel="0" collapsed="false">
      <c r="A146" s="0" t="s">
        <v>2101</v>
      </c>
      <c r="B146" s="0" t="s">
        <v>450</v>
      </c>
      <c r="C146" s="0" t="s">
        <v>189</v>
      </c>
      <c r="D146" s="14" t="n">
        <v>45871</v>
      </c>
      <c r="E146" s="0" t="n">
        <v>634.26</v>
      </c>
      <c r="F146" s="14" t="n">
        <v>45916</v>
      </c>
    </row>
    <row r="147" customFormat="false" ht="15" hidden="false" customHeight="false" outlineLevel="0" collapsed="false">
      <c r="A147" s="0" t="s">
        <v>2102</v>
      </c>
      <c r="B147" s="0" t="s">
        <v>451</v>
      </c>
      <c r="C147" s="0" t="s">
        <v>167</v>
      </c>
      <c r="D147" s="14" t="n">
        <v>45673</v>
      </c>
      <c r="E147" s="0" t="n">
        <v>858.6</v>
      </c>
      <c r="F147" s="14" t="n">
        <v>45733</v>
      </c>
    </row>
    <row r="148" customFormat="false" ht="15" hidden="false" customHeight="false" outlineLevel="0" collapsed="false">
      <c r="A148" s="0" t="s">
        <v>2103</v>
      </c>
      <c r="B148" s="0" t="s">
        <v>452</v>
      </c>
      <c r="C148" s="0" t="s">
        <v>149</v>
      </c>
      <c r="D148" s="14" t="n">
        <v>45863</v>
      </c>
      <c r="E148" s="0" t="n">
        <v>1495.05</v>
      </c>
      <c r="F148" s="14" t="n">
        <v>45893</v>
      </c>
    </row>
    <row r="149" customFormat="false" ht="15" hidden="false" customHeight="false" outlineLevel="0" collapsed="false">
      <c r="A149" s="0" t="s">
        <v>2104</v>
      </c>
      <c r="B149" s="0" t="s">
        <v>453</v>
      </c>
      <c r="C149" s="0" t="s">
        <v>192</v>
      </c>
      <c r="D149" s="14" t="n">
        <v>46075</v>
      </c>
      <c r="E149" s="0" t="n">
        <v>4226.43</v>
      </c>
      <c r="F149" s="14" t="n">
        <v>46105</v>
      </c>
    </row>
    <row r="150" customFormat="false" ht="15" hidden="false" customHeight="false" outlineLevel="0" collapsed="false">
      <c r="A150" s="0" t="s">
        <v>2105</v>
      </c>
      <c r="B150" s="0" t="s">
        <v>454</v>
      </c>
      <c r="C150" s="0" t="s">
        <v>167</v>
      </c>
      <c r="D150" s="14" t="n">
        <v>46145</v>
      </c>
      <c r="E150" s="0" t="n">
        <v>203.15</v>
      </c>
      <c r="F150" s="14" t="n">
        <v>46205</v>
      </c>
    </row>
    <row r="151" customFormat="false" ht="15" hidden="false" customHeight="false" outlineLevel="0" collapsed="false">
      <c r="A151" s="0" t="s">
        <v>2106</v>
      </c>
      <c r="B151" s="0" t="s">
        <v>455</v>
      </c>
      <c r="C151" s="0" t="s">
        <v>70</v>
      </c>
      <c r="D151" s="14" t="n">
        <v>46199</v>
      </c>
      <c r="E151" s="0" t="n">
        <v>1362.11</v>
      </c>
      <c r="F151" s="14" t="n">
        <v>46244</v>
      </c>
    </row>
    <row r="152" customFormat="false" ht="15" hidden="false" customHeight="false" outlineLevel="0" collapsed="false">
      <c r="A152" s="0" t="s">
        <v>2107</v>
      </c>
      <c r="B152" s="0" t="s">
        <v>456</v>
      </c>
      <c r="C152" s="0" t="s">
        <v>189</v>
      </c>
      <c r="D152" s="14" t="n">
        <v>45899</v>
      </c>
      <c r="E152" s="0" t="n">
        <v>3143.41</v>
      </c>
      <c r="F152" s="14" t="n">
        <v>45944</v>
      </c>
    </row>
    <row r="153" customFormat="false" ht="15" hidden="false" customHeight="false" outlineLevel="0" collapsed="false">
      <c r="A153" s="0" t="s">
        <v>2108</v>
      </c>
      <c r="B153" s="0" t="s">
        <v>457</v>
      </c>
      <c r="C153" s="0" t="s">
        <v>89</v>
      </c>
      <c r="D153" s="14" t="n">
        <v>46081</v>
      </c>
      <c r="E153" s="0" t="n">
        <v>13042.87</v>
      </c>
      <c r="F153" s="14" t="n">
        <v>46096</v>
      </c>
    </row>
    <row r="154" customFormat="false" ht="15" hidden="false" customHeight="false" outlineLevel="0" collapsed="false">
      <c r="A154" s="0" t="s">
        <v>2109</v>
      </c>
      <c r="B154" s="0" t="s">
        <v>458</v>
      </c>
      <c r="C154" s="0" t="s">
        <v>198</v>
      </c>
      <c r="D154" s="14" t="n">
        <v>45957</v>
      </c>
      <c r="E154" s="0" t="n">
        <v>4664.8</v>
      </c>
      <c r="F154" s="14" t="n">
        <v>45987</v>
      </c>
    </row>
    <row r="155" customFormat="false" ht="15" hidden="false" customHeight="false" outlineLevel="0" collapsed="false">
      <c r="A155" s="0" t="s">
        <v>2110</v>
      </c>
      <c r="B155" s="0" t="s">
        <v>459</v>
      </c>
      <c r="C155" s="0" t="s">
        <v>125</v>
      </c>
      <c r="D155" s="14" t="n">
        <v>45996</v>
      </c>
      <c r="E155" s="0" t="n">
        <v>2106.89</v>
      </c>
      <c r="F155" s="14" t="n">
        <v>46026</v>
      </c>
    </row>
    <row r="156" customFormat="false" ht="15" hidden="false" customHeight="false" outlineLevel="0" collapsed="false">
      <c r="A156" s="0" t="s">
        <v>2111</v>
      </c>
      <c r="B156" s="0" t="s">
        <v>460</v>
      </c>
      <c r="C156" s="0" t="s">
        <v>99</v>
      </c>
      <c r="D156" s="14" t="n">
        <v>45782</v>
      </c>
      <c r="E156" s="0" t="n">
        <v>7303.36</v>
      </c>
      <c r="F156" s="14" t="n">
        <v>45842</v>
      </c>
    </row>
    <row r="157" customFormat="false" ht="15" hidden="false" customHeight="false" outlineLevel="0" collapsed="false">
      <c r="A157" s="0" t="s">
        <v>2112</v>
      </c>
      <c r="B157" s="0" t="s">
        <v>461</v>
      </c>
      <c r="C157" s="0" t="s">
        <v>70</v>
      </c>
      <c r="D157" s="14" t="n">
        <v>45782</v>
      </c>
      <c r="E157" s="0" t="n">
        <v>2285.28</v>
      </c>
      <c r="F157" s="14" t="n">
        <v>45827</v>
      </c>
    </row>
    <row r="158" customFormat="false" ht="15" hidden="false" customHeight="false" outlineLevel="0" collapsed="false">
      <c r="A158" s="0" t="s">
        <v>2113</v>
      </c>
      <c r="B158" s="0" t="s">
        <v>462</v>
      </c>
      <c r="C158" s="0" t="s">
        <v>134</v>
      </c>
      <c r="D158" s="14" t="n">
        <v>45914</v>
      </c>
      <c r="E158" s="0" t="n">
        <v>358.03</v>
      </c>
      <c r="F158" s="14" t="n">
        <v>45944</v>
      </c>
    </row>
    <row r="159" customFormat="false" ht="15" hidden="false" customHeight="false" outlineLevel="0" collapsed="false">
      <c r="A159" s="0" t="s">
        <v>2114</v>
      </c>
      <c r="B159" s="0" t="s">
        <v>463</v>
      </c>
      <c r="C159" s="0" t="s">
        <v>131</v>
      </c>
      <c r="D159" s="14" t="n">
        <v>45677</v>
      </c>
      <c r="E159" s="0" t="n">
        <v>2062.27</v>
      </c>
      <c r="F159" s="14" t="n">
        <v>45722</v>
      </c>
    </row>
    <row r="160" customFormat="false" ht="15" hidden="false" customHeight="false" outlineLevel="0" collapsed="false">
      <c r="A160" s="0" t="s">
        <v>2115</v>
      </c>
      <c r="B160" s="0" t="s">
        <v>464</v>
      </c>
      <c r="C160" s="0" t="s">
        <v>155</v>
      </c>
      <c r="D160" s="14" t="n">
        <v>45845</v>
      </c>
      <c r="E160" s="0" t="n">
        <v>8142.95</v>
      </c>
      <c r="F160" s="14" t="n">
        <v>45890</v>
      </c>
    </row>
    <row r="161" customFormat="false" ht="15" hidden="false" customHeight="false" outlineLevel="0" collapsed="false">
      <c r="A161" s="0" t="s">
        <v>2116</v>
      </c>
      <c r="B161" s="0" t="s">
        <v>465</v>
      </c>
      <c r="C161" s="0" t="s">
        <v>131</v>
      </c>
      <c r="D161" s="14" t="n">
        <v>46039</v>
      </c>
      <c r="E161" s="0" t="n">
        <v>499.89</v>
      </c>
      <c r="F161" s="14" t="n">
        <v>46084</v>
      </c>
    </row>
    <row r="162" customFormat="false" ht="15" hidden="false" customHeight="false" outlineLevel="0" collapsed="false">
      <c r="A162" s="0" t="s">
        <v>2117</v>
      </c>
      <c r="B162" s="0" t="s">
        <v>466</v>
      </c>
      <c r="C162" s="0" t="s">
        <v>96</v>
      </c>
      <c r="D162" s="14" t="n">
        <v>45894</v>
      </c>
      <c r="E162" s="0" t="n">
        <v>2573.09</v>
      </c>
      <c r="F162" s="14" t="n">
        <v>45909</v>
      </c>
    </row>
    <row r="163" customFormat="false" ht="15" hidden="false" customHeight="false" outlineLevel="0" collapsed="false">
      <c r="A163" s="0" t="s">
        <v>2118</v>
      </c>
      <c r="B163" s="0" t="s">
        <v>467</v>
      </c>
      <c r="C163" s="0" t="s">
        <v>75</v>
      </c>
      <c r="D163" s="14" t="n">
        <v>45754</v>
      </c>
      <c r="E163" s="0" t="n">
        <v>2632.16</v>
      </c>
      <c r="F163" s="14" t="n">
        <v>45769</v>
      </c>
    </row>
    <row r="164" customFormat="false" ht="15" hidden="false" customHeight="false" outlineLevel="0" collapsed="false">
      <c r="A164" s="0" t="s">
        <v>2119</v>
      </c>
      <c r="B164" s="0" t="s">
        <v>468</v>
      </c>
      <c r="C164" s="0" t="s">
        <v>70</v>
      </c>
      <c r="D164" s="14" t="n">
        <v>45924</v>
      </c>
      <c r="E164" s="0" t="n">
        <v>332.16</v>
      </c>
      <c r="F164" s="14" t="n">
        <v>45969</v>
      </c>
    </row>
    <row r="165" customFormat="false" ht="15" hidden="false" customHeight="false" outlineLevel="0" collapsed="false">
      <c r="A165" s="0" t="s">
        <v>2120</v>
      </c>
      <c r="B165" s="0" t="s">
        <v>469</v>
      </c>
      <c r="C165" s="0" t="s">
        <v>143</v>
      </c>
      <c r="D165" s="14" t="n">
        <v>45746</v>
      </c>
      <c r="E165" s="0" t="n">
        <v>390.27</v>
      </c>
      <c r="F165" s="14" t="n">
        <v>45776</v>
      </c>
    </row>
    <row r="166" customFormat="false" ht="15" hidden="false" customHeight="false" outlineLevel="0" collapsed="false">
      <c r="A166" s="0" t="s">
        <v>2121</v>
      </c>
      <c r="B166" s="0" t="s">
        <v>470</v>
      </c>
      <c r="C166" s="0" t="s">
        <v>186</v>
      </c>
      <c r="D166" s="14" t="n">
        <v>46003</v>
      </c>
      <c r="E166" s="0" t="n">
        <v>783.53</v>
      </c>
      <c r="F166" s="14" t="n">
        <v>46018</v>
      </c>
    </row>
    <row r="167" customFormat="false" ht="15" hidden="false" customHeight="false" outlineLevel="0" collapsed="false">
      <c r="A167" s="0" t="s">
        <v>2122</v>
      </c>
      <c r="B167" s="0" t="s">
        <v>471</v>
      </c>
      <c r="C167" s="0" t="s">
        <v>155</v>
      </c>
      <c r="D167" s="14" t="n">
        <v>45679</v>
      </c>
      <c r="E167" s="0" t="n">
        <v>2198.89</v>
      </c>
      <c r="F167" s="14" t="n">
        <v>45724</v>
      </c>
    </row>
    <row r="168" customFormat="false" ht="15" hidden="false" customHeight="false" outlineLevel="0" collapsed="false">
      <c r="A168" s="0" t="s">
        <v>2123</v>
      </c>
      <c r="B168" s="0" t="s">
        <v>472</v>
      </c>
      <c r="C168" s="0" t="s">
        <v>112</v>
      </c>
      <c r="D168" s="14" t="n">
        <v>45897</v>
      </c>
      <c r="E168" s="0" t="n">
        <v>327.42</v>
      </c>
      <c r="F168" s="14" t="n">
        <v>45942</v>
      </c>
    </row>
    <row r="169" customFormat="false" ht="15" hidden="false" customHeight="false" outlineLevel="0" collapsed="false">
      <c r="A169" s="0" t="s">
        <v>2124</v>
      </c>
      <c r="B169" s="0" t="s">
        <v>473</v>
      </c>
      <c r="C169" s="0" t="s">
        <v>122</v>
      </c>
      <c r="D169" s="14" t="n">
        <v>45983</v>
      </c>
      <c r="E169" s="0" t="n">
        <v>12338.24</v>
      </c>
      <c r="F169" s="14" t="n">
        <v>46013</v>
      </c>
    </row>
    <row r="170" customFormat="false" ht="15" hidden="false" customHeight="false" outlineLevel="0" collapsed="false">
      <c r="A170" s="0" t="s">
        <v>2125</v>
      </c>
      <c r="B170" s="0" t="s">
        <v>474</v>
      </c>
      <c r="C170" s="0" t="s">
        <v>146</v>
      </c>
      <c r="D170" s="14" t="n">
        <v>45685</v>
      </c>
      <c r="E170" s="0" t="n">
        <v>1431.29</v>
      </c>
      <c r="F170" s="14" t="n">
        <v>45715</v>
      </c>
    </row>
    <row r="171" customFormat="false" ht="15" hidden="false" customHeight="false" outlineLevel="0" collapsed="false">
      <c r="A171" s="0" t="s">
        <v>2126</v>
      </c>
      <c r="B171" s="0" t="s">
        <v>475</v>
      </c>
      <c r="C171" s="0" t="s">
        <v>164</v>
      </c>
      <c r="D171" s="14" t="n">
        <v>46012</v>
      </c>
      <c r="E171" s="0" t="n">
        <v>9458.18</v>
      </c>
      <c r="F171" s="14" t="n">
        <v>46057</v>
      </c>
    </row>
    <row r="172" customFormat="false" ht="15" hidden="false" customHeight="false" outlineLevel="0" collapsed="false">
      <c r="A172" s="0" t="s">
        <v>2127</v>
      </c>
      <c r="B172" s="0" t="s">
        <v>476</v>
      </c>
      <c r="C172" s="0" t="s">
        <v>180</v>
      </c>
      <c r="D172" s="14" t="n">
        <v>45741</v>
      </c>
      <c r="E172" s="0" t="n">
        <v>354.26</v>
      </c>
      <c r="F172" s="14" t="n">
        <v>45801</v>
      </c>
    </row>
    <row r="173" customFormat="false" ht="15" hidden="false" customHeight="false" outlineLevel="0" collapsed="false">
      <c r="A173" s="0" t="s">
        <v>2128</v>
      </c>
      <c r="B173" s="0" t="s">
        <v>477</v>
      </c>
      <c r="C173" s="0" t="s">
        <v>152</v>
      </c>
      <c r="D173" s="14" t="n">
        <v>45927</v>
      </c>
      <c r="E173" s="0" t="n">
        <v>1640.65</v>
      </c>
      <c r="F173" s="14" t="n">
        <v>45987</v>
      </c>
    </row>
    <row r="174" customFormat="false" ht="15" hidden="false" customHeight="false" outlineLevel="0" collapsed="false">
      <c r="A174" s="0" t="s">
        <v>2129</v>
      </c>
      <c r="B174" s="0" t="s">
        <v>477</v>
      </c>
      <c r="C174" s="0" t="s">
        <v>152</v>
      </c>
      <c r="D174" s="14" t="n">
        <v>45915</v>
      </c>
      <c r="E174" s="0" t="n">
        <v>1640.65</v>
      </c>
      <c r="F174" s="14" t="n">
        <v>45975</v>
      </c>
    </row>
    <row r="175" customFormat="false" ht="15" hidden="false" customHeight="false" outlineLevel="0" collapsed="false">
      <c r="A175" s="0" t="s">
        <v>2130</v>
      </c>
      <c r="B175" s="0" t="s">
        <v>478</v>
      </c>
      <c r="C175" s="0" t="s">
        <v>112</v>
      </c>
      <c r="D175" s="14" t="n">
        <v>45687</v>
      </c>
      <c r="E175" s="0" t="n">
        <v>14457.87</v>
      </c>
      <c r="F175" s="14" t="n">
        <v>45732</v>
      </c>
    </row>
    <row r="176" customFormat="false" ht="15" hidden="false" customHeight="false" outlineLevel="0" collapsed="false">
      <c r="A176" s="0" t="s">
        <v>2131</v>
      </c>
      <c r="B176" s="0" t="s">
        <v>479</v>
      </c>
      <c r="C176" s="0" t="s">
        <v>112</v>
      </c>
      <c r="D176" s="14" t="n">
        <v>45881</v>
      </c>
      <c r="E176" s="0" t="n">
        <v>3828.96</v>
      </c>
      <c r="F176" s="14" t="n">
        <v>45926</v>
      </c>
    </row>
    <row r="177" customFormat="false" ht="15" hidden="false" customHeight="false" outlineLevel="0" collapsed="false">
      <c r="A177" s="0" t="s">
        <v>2132</v>
      </c>
      <c r="B177" s="0" t="s">
        <v>480</v>
      </c>
      <c r="C177" s="0" t="s">
        <v>155</v>
      </c>
      <c r="D177" s="14" t="n">
        <v>45784</v>
      </c>
      <c r="E177" s="0" t="n">
        <v>1542.51</v>
      </c>
      <c r="F177" s="14" t="n">
        <v>45829</v>
      </c>
    </row>
    <row r="178" customFormat="false" ht="15" hidden="false" customHeight="false" outlineLevel="0" collapsed="false">
      <c r="A178" s="0" t="s">
        <v>2133</v>
      </c>
      <c r="B178" s="0" t="s">
        <v>481</v>
      </c>
      <c r="C178" s="0" t="s">
        <v>140</v>
      </c>
      <c r="D178" s="14" t="n">
        <v>45855</v>
      </c>
      <c r="E178" s="0" t="n">
        <v>1235.82</v>
      </c>
      <c r="F178" s="14" t="n">
        <v>45885</v>
      </c>
    </row>
    <row r="179" customFormat="false" ht="15" hidden="false" customHeight="false" outlineLevel="0" collapsed="false">
      <c r="A179" s="0" t="s">
        <v>2134</v>
      </c>
      <c r="B179" s="0" t="s">
        <v>482</v>
      </c>
      <c r="C179" s="0" t="s">
        <v>89</v>
      </c>
      <c r="D179" s="14" t="n">
        <v>46091</v>
      </c>
      <c r="E179" s="0" t="n">
        <v>21822.22</v>
      </c>
      <c r="F179" s="14" t="n">
        <v>46106</v>
      </c>
    </row>
    <row r="180" customFormat="false" ht="15" hidden="false" customHeight="false" outlineLevel="0" collapsed="false">
      <c r="A180" s="0" t="s">
        <v>2135</v>
      </c>
      <c r="B180" s="0" t="s">
        <v>483</v>
      </c>
      <c r="C180" s="0" t="s">
        <v>70</v>
      </c>
      <c r="D180" s="14" t="n">
        <v>45888</v>
      </c>
      <c r="E180" s="0" t="n">
        <v>3828.8</v>
      </c>
      <c r="F180" s="14" t="n">
        <v>45933</v>
      </c>
    </row>
    <row r="181" customFormat="false" ht="15" hidden="false" customHeight="false" outlineLevel="0" collapsed="false">
      <c r="A181" s="0" t="s">
        <v>2136</v>
      </c>
      <c r="B181" s="0" t="s">
        <v>484</v>
      </c>
      <c r="C181" s="0" t="s">
        <v>152</v>
      </c>
      <c r="D181" s="14" t="n">
        <v>46081</v>
      </c>
      <c r="E181" s="0" t="n">
        <v>2084.01</v>
      </c>
      <c r="F181" s="14" t="n">
        <v>46141</v>
      </c>
    </row>
    <row r="182" customFormat="false" ht="15" hidden="false" customHeight="false" outlineLevel="0" collapsed="false">
      <c r="A182" s="0" t="s">
        <v>2137</v>
      </c>
      <c r="B182" s="0" t="s">
        <v>485</v>
      </c>
      <c r="C182" s="0" t="s">
        <v>80</v>
      </c>
      <c r="D182" s="14" t="n">
        <v>46133</v>
      </c>
      <c r="E182" s="0" t="n">
        <v>1489.22</v>
      </c>
      <c r="F182" s="14" t="n">
        <v>46148</v>
      </c>
    </row>
    <row r="183" customFormat="false" ht="15" hidden="false" customHeight="false" outlineLevel="0" collapsed="false">
      <c r="A183" s="0" t="s">
        <v>2138</v>
      </c>
      <c r="B183" s="0" t="s">
        <v>486</v>
      </c>
      <c r="C183" s="0" t="s">
        <v>186</v>
      </c>
      <c r="D183" s="14" t="n">
        <v>45816</v>
      </c>
      <c r="E183" s="0" t="n">
        <v>1056.69</v>
      </c>
      <c r="F183" s="14" t="n">
        <v>45831</v>
      </c>
    </row>
    <row r="184" customFormat="false" ht="15" hidden="false" customHeight="false" outlineLevel="0" collapsed="false">
      <c r="A184" s="0" t="s">
        <v>2139</v>
      </c>
      <c r="B184" s="0" t="s">
        <v>487</v>
      </c>
      <c r="C184" s="0" t="s">
        <v>104</v>
      </c>
      <c r="D184" s="14" t="n">
        <v>45713</v>
      </c>
      <c r="E184" s="0" t="n">
        <v>3628.81</v>
      </c>
      <c r="F184" s="14" t="n">
        <v>45743</v>
      </c>
    </row>
    <row r="185" customFormat="false" ht="15" hidden="false" customHeight="false" outlineLevel="0" collapsed="false">
      <c r="A185" s="0" t="s">
        <v>2140</v>
      </c>
      <c r="B185" s="0" t="s">
        <v>488</v>
      </c>
      <c r="C185" s="0" t="s">
        <v>183</v>
      </c>
      <c r="D185" s="14" t="n">
        <v>45678</v>
      </c>
      <c r="E185" s="0" t="n">
        <v>588.95</v>
      </c>
      <c r="F185" s="14" t="n">
        <v>45723</v>
      </c>
    </row>
    <row r="186" customFormat="false" ht="15" hidden="false" customHeight="false" outlineLevel="0" collapsed="false">
      <c r="A186" s="0" t="s">
        <v>2141</v>
      </c>
      <c r="B186" s="0" t="s">
        <v>489</v>
      </c>
      <c r="C186" s="0" t="s">
        <v>131</v>
      </c>
      <c r="D186" s="14" t="n">
        <v>45958</v>
      </c>
      <c r="E186" s="0" t="n">
        <v>2268.78</v>
      </c>
      <c r="F186" s="14" t="n">
        <v>46003</v>
      </c>
    </row>
    <row r="187" customFormat="false" ht="15" hidden="false" customHeight="false" outlineLevel="0" collapsed="false">
      <c r="A187" s="0" t="s">
        <v>2142</v>
      </c>
      <c r="B187" s="0" t="s">
        <v>490</v>
      </c>
      <c r="C187" s="0" t="s">
        <v>143</v>
      </c>
      <c r="D187" s="14" t="n">
        <v>46218</v>
      </c>
      <c r="E187" s="0" t="n">
        <v>780.2</v>
      </c>
      <c r="F187" s="14" t="n">
        <v>46248</v>
      </c>
    </row>
    <row r="188" customFormat="false" ht="15" hidden="false" customHeight="false" outlineLevel="0" collapsed="false">
      <c r="A188" s="0" t="s">
        <v>2143</v>
      </c>
      <c r="B188" s="0" t="s">
        <v>491</v>
      </c>
      <c r="C188" s="0" t="s">
        <v>180</v>
      </c>
      <c r="D188" s="14" t="n">
        <v>45869</v>
      </c>
      <c r="E188" s="0" t="n">
        <v>560.32</v>
      </c>
      <c r="F188" s="14" t="n">
        <v>45929</v>
      </c>
    </row>
    <row r="189" customFormat="false" ht="15" hidden="false" customHeight="false" outlineLevel="0" collapsed="false">
      <c r="A189" s="0" t="s">
        <v>2144</v>
      </c>
      <c r="B189" s="0" t="s">
        <v>492</v>
      </c>
      <c r="C189" s="0" t="s">
        <v>89</v>
      </c>
      <c r="D189" s="14" t="n">
        <v>46018</v>
      </c>
      <c r="E189" s="0" t="n">
        <v>2281.25</v>
      </c>
      <c r="F189" s="14" t="n">
        <v>46033</v>
      </c>
    </row>
    <row r="190" customFormat="false" ht="15" hidden="false" customHeight="false" outlineLevel="0" collapsed="false">
      <c r="A190" s="0" t="s">
        <v>2145</v>
      </c>
      <c r="B190" s="0" t="s">
        <v>493</v>
      </c>
      <c r="C190" s="0" t="s">
        <v>99</v>
      </c>
      <c r="D190" s="14" t="n">
        <v>46088</v>
      </c>
      <c r="E190" s="0" t="n">
        <v>795.03</v>
      </c>
      <c r="F190" s="14" t="n">
        <v>46148</v>
      </c>
    </row>
    <row r="191" customFormat="false" ht="15" hidden="false" customHeight="false" outlineLevel="0" collapsed="false">
      <c r="A191" s="0" t="s">
        <v>2146</v>
      </c>
      <c r="B191" s="0" t="s">
        <v>494</v>
      </c>
      <c r="C191" s="0" t="s">
        <v>195</v>
      </c>
      <c r="D191" s="14" t="n">
        <v>46029</v>
      </c>
      <c r="E191" s="0" t="n">
        <v>1829.81</v>
      </c>
      <c r="F191" s="14" t="n">
        <v>46059</v>
      </c>
    </row>
    <row r="192" customFormat="false" ht="15" hidden="false" customHeight="false" outlineLevel="0" collapsed="false">
      <c r="A192" s="0" t="s">
        <v>2147</v>
      </c>
      <c r="B192" s="0" t="s">
        <v>495</v>
      </c>
      <c r="C192" s="0" t="s">
        <v>131</v>
      </c>
      <c r="D192" s="14" t="n">
        <v>46075</v>
      </c>
      <c r="E192" s="0" t="n">
        <v>3612.23</v>
      </c>
      <c r="F192" s="14" t="n">
        <v>46120</v>
      </c>
    </row>
    <row r="193" customFormat="false" ht="15" hidden="false" customHeight="false" outlineLevel="0" collapsed="false">
      <c r="A193" s="0" t="s">
        <v>2148</v>
      </c>
      <c r="B193" s="0" t="s">
        <v>496</v>
      </c>
      <c r="C193" s="0" t="s">
        <v>116</v>
      </c>
      <c r="D193" s="14" t="n">
        <v>46192</v>
      </c>
      <c r="E193" s="0" t="n">
        <v>2450.97</v>
      </c>
      <c r="F193" s="14" t="n">
        <v>46252</v>
      </c>
    </row>
    <row r="194" customFormat="false" ht="15" hidden="false" customHeight="false" outlineLevel="0" collapsed="false">
      <c r="A194" s="0" t="s">
        <v>2149</v>
      </c>
      <c r="B194" s="0" t="s">
        <v>497</v>
      </c>
      <c r="C194" s="0" t="s">
        <v>99</v>
      </c>
      <c r="D194" s="14" t="n">
        <v>45769</v>
      </c>
      <c r="E194" s="0" t="n">
        <v>1825.14</v>
      </c>
      <c r="F194" s="14" t="n">
        <v>45829</v>
      </c>
    </row>
    <row r="195" customFormat="false" ht="15" hidden="false" customHeight="false" outlineLevel="0" collapsed="false">
      <c r="A195" s="0" t="s">
        <v>2150</v>
      </c>
      <c r="B195" s="0" t="s">
        <v>498</v>
      </c>
      <c r="C195" s="0" t="s">
        <v>146</v>
      </c>
      <c r="D195" s="14" t="n">
        <v>45675</v>
      </c>
      <c r="E195" s="0" t="n">
        <v>21706.69</v>
      </c>
      <c r="F195" s="14" t="n">
        <v>45705</v>
      </c>
    </row>
    <row r="196" customFormat="false" ht="15" hidden="false" customHeight="false" outlineLevel="0" collapsed="false">
      <c r="A196" s="0" t="s">
        <v>2151</v>
      </c>
      <c r="B196" s="0" t="s">
        <v>499</v>
      </c>
      <c r="C196" s="0" t="s">
        <v>112</v>
      </c>
      <c r="D196" s="14" t="n">
        <v>45758</v>
      </c>
      <c r="E196" s="0" t="n">
        <v>342.72</v>
      </c>
      <c r="F196" s="14" t="n">
        <v>45803</v>
      </c>
    </row>
    <row r="197" customFormat="false" ht="15" hidden="false" customHeight="false" outlineLevel="0" collapsed="false">
      <c r="A197" s="0" t="s">
        <v>2152</v>
      </c>
      <c r="B197" s="0" t="s">
        <v>500</v>
      </c>
      <c r="C197" s="0" t="s">
        <v>96</v>
      </c>
      <c r="D197" s="14" t="n">
        <v>45736</v>
      </c>
      <c r="E197" s="0" t="n">
        <v>781.51</v>
      </c>
      <c r="F197" s="14" t="n">
        <v>45751</v>
      </c>
    </row>
    <row r="198" customFormat="false" ht="15" hidden="false" customHeight="false" outlineLevel="0" collapsed="false">
      <c r="A198" s="0" t="s">
        <v>2153</v>
      </c>
      <c r="B198" s="0" t="s">
        <v>501</v>
      </c>
      <c r="C198" s="0" t="s">
        <v>143</v>
      </c>
      <c r="D198" s="14" t="n">
        <v>46027</v>
      </c>
      <c r="E198" s="0" t="n">
        <v>5652.95</v>
      </c>
      <c r="F198" s="14" t="n">
        <v>46057</v>
      </c>
    </row>
    <row r="199" customFormat="false" ht="15" hidden="false" customHeight="false" outlineLevel="0" collapsed="false">
      <c r="A199" s="0" t="s">
        <v>2154</v>
      </c>
      <c r="B199" s="0" t="s">
        <v>502</v>
      </c>
      <c r="C199" s="0" t="s">
        <v>109</v>
      </c>
      <c r="D199" s="14" t="n">
        <v>45979</v>
      </c>
      <c r="E199" s="0" t="n">
        <v>133.11</v>
      </c>
      <c r="F199" s="14" t="n">
        <v>45994</v>
      </c>
    </row>
    <row r="200" customFormat="false" ht="15" hidden="false" customHeight="false" outlineLevel="0" collapsed="false">
      <c r="A200" s="0" t="s">
        <v>2155</v>
      </c>
      <c r="B200" s="0" t="s">
        <v>503</v>
      </c>
      <c r="C200" s="0" t="s">
        <v>119</v>
      </c>
      <c r="D200" s="14" t="n">
        <v>45801</v>
      </c>
      <c r="E200" s="0" t="n">
        <v>17090.48</v>
      </c>
      <c r="F200" s="14" t="n">
        <v>45816</v>
      </c>
    </row>
    <row r="201" customFormat="false" ht="15" hidden="false" customHeight="false" outlineLevel="0" collapsed="false">
      <c r="A201" s="0" t="s">
        <v>2156</v>
      </c>
      <c r="B201" s="0" t="s">
        <v>504</v>
      </c>
      <c r="C201" s="0" t="s">
        <v>125</v>
      </c>
      <c r="D201" s="14" t="n">
        <v>46064</v>
      </c>
      <c r="E201" s="0" t="n">
        <v>8157.32</v>
      </c>
      <c r="F201" s="14" t="n">
        <v>46094</v>
      </c>
    </row>
    <row r="202" customFormat="false" ht="15" hidden="false" customHeight="false" outlineLevel="0" collapsed="false">
      <c r="A202" s="0" t="s">
        <v>2157</v>
      </c>
      <c r="B202" s="0" t="s">
        <v>505</v>
      </c>
      <c r="C202" s="0" t="s">
        <v>134</v>
      </c>
      <c r="D202" s="14" t="n">
        <v>46083</v>
      </c>
      <c r="E202" s="0" t="n">
        <v>547.49</v>
      </c>
      <c r="F202" s="14" t="n">
        <v>46113</v>
      </c>
    </row>
    <row r="203" customFormat="false" ht="15" hidden="false" customHeight="false" outlineLevel="0" collapsed="false">
      <c r="A203" s="0" t="s">
        <v>2158</v>
      </c>
      <c r="B203" s="0" t="s">
        <v>506</v>
      </c>
      <c r="C203" s="0" t="s">
        <v>189</v>
      </c>
      <c r="D203" s="14" t="n">
        <v>45760</v>
      </c>
      <c r="E203" s="0" t="n">
        <v>10027.78</v>
      </c>
      <c r="F203" s="14" t="n">
        <v>45805</v>
      </c>
    </row>
    <row r="204" customFormat="false" ht="15" hidden="false" customHeight="false" outlineLevel="0" collapsed="false">
      <c r="A204" s="0" t="s">
        <v>2159</v>
      </c>
      <c r="B204" s="0" t="s">
        <v>507</v>
      </c>
      <c r="C204" s="0" t="s">
        <v>174</v>
      </c>
      <c r="D204" s="14" t="n">
        <v>46013</v>
      </c>
      <c r="E204" s="0" t="n">
        <v>3961.93</v>
      </c>
      <c r="F204" s="14" t="n">
        <v>46028</v>
      </c>
    </row>
    <row r="205" customFormat="false" ht="15" hidden="false" customHeight="false" outlineLevel="0" collapsed="false">
      <c r="A205" s="0" t="s">
        <v>2160</v>
      </c>
      <c r="B205" s="0" t="s">
        <v>508</v>
      </c>
      <c r="C205" s="0" t="s">
        <v>189</v>
      </c>
      <c r="D205" s="14" t="n">
        <v>46075</v>
      </c>
      <c r="E205" s="0" t="n">
        <v>2554.75</v>
      </c>
      <c r="F205" s="14" t="n">
        <v>46120</v>
      </c>
    </row>
    <row r="206" customFormat="false" ht="15" hidden="false" customHeight="false" outlineLevel="0" collapsed="false">
      <c r="A206" s="0" t="s">
        <v>2161</v>
      </c>
      <c r="B206" s="0" t="s">
        <v>509</v>
      </c>
      <c r="C206" s="0" t="s">
        <v>189</v>
      </c>
      <c r="D206" s="14" t="n">
        <v>45733</v>
      </c>
      <c r="E206" s="0" t="n">
        <v>1471.18</v>
      </c>
      <c r="F206" s="14" t="n">
        <v>45778</v>
      </c>
    </row>
    <row r="207" customFormat="false" ht="15" hidden="false" customHeight="false" outlineLevel="0" collapsed="false">
      <c r="A207" s="0" t="s">
        <v>2162</v>
      </c>
      <c r="B207" s="0" t="s">
        <v>510</v>
      </c>
      <c r="C207" s="0" t="s">
        <v>93</v>
      </c>
      <c r="D207" s="14" t="n">
        <v>46112</v>
      </c>
      <c r="E207" s="0" t="n">
        <v>682.63</v>
      </c>
      <c r="F207" s="14" t="n">
        <v>46172</v>
      </c>
    </row>
    <row r="208" customFormat="false" ht="15" hidden="false" customHeight="false" outlineLevel="0" collapsed="false">
      <c r="A208" s="0" t="s">
        <v>2163</v>
      </c>
      <c r="B208" s="0" t="s">
        <v>511</v>
      </c>
      <c r="C208" s="0" t="s">
        <v>70</v>
      </c>
      <c r="D208" s="14" t="n">
        <v>46198</v>
      </c>
      <c r="E208" s="0" t="n">
        <v>2160.46</v>
      </c>
      <c r="F208" s="14" t="n">
        <v>46243</v>
      </c>
    </row>
    <row r="209" customFormat="false" ht="15" hidden="false" customHeight="false" outlineLevel="0" collapsed="false">
      <c r="A209" s="0" t="s">
        <v>2164</v>
      </c>
      <c r="B209" s="0" t="s">
        <v>512</v>
      </c>
      <c r="C209" s="0" t="s">
        <v>140</v>
      </c>
      <c r="D209" s="14" t="n">
        <v>45726</v>
      </c>
      <c r="E209" s="0" t="n">
        <v>7251.89</v>
      </c>
      <c r="F209" s="14" t="n">
        <v>45756</v>
      </c>
    </row>
    <row r="210" customFormat="false" ht="15" hidden="false" customHeight="false" outlineLevel="0" collapsed="false">
      <c r="A210" s="0" t="s">
        <v>2165</v>
      </c>
      <c r="B210" s="0" t="s">
        <v>513</v>
      </c>
      <c r="C210" s="0" t="s">
        <v>104</v>
      </c>
      <c r="D210" s="14" t="n">
        <v>45680</v>
      </c>
      <c r="E210" s="0" t="n">
        <v>4929.33</v>
      </c>
      <c r="F210" s="14" t="n">
        <v>45710</v>
      </c>
    </row>
    <row r="211" customFormat="false" ht="15" hidden="false" customHeight="false" outlineLevel="0" collapsed="false">
      <c r="A211" s="0" t="s">
        <v>2166</v>
      </c>
      <c r="B211" s="0" t="s">
        <v>514</v>
      </c>
      <c r="C211" s="0" t="s">
        <v>84</v>
      </c>
      <c r="D211" s="14" t="n">
        <v>45845</v>
      </c>
      <c r="E211" s="0" t="n">
        <v>1892.29</v>
      </c>
      <c r="F211" s="14" t="n">
        <v>45860</v>
      </c>
    </row>
    <row r="212" customFormat="false" ht="15" hidden="false" customHeight="false" outlineLevel="0" collapsed="false">
      <c r="A212" s="0" t="s">
        <v>2167</v>
      </c>
      <c r="B212" s="0" t="s">
        <v>515</v>
      </c>
      <c r="C212" s="0" t="s">
        <v>89</v>
      </c>
      <c r="D212" s="14" t="n">
        <v>46031</v>
      </c>
      <c r="E212" s="0" t="n">
        <v>1074.95</v>
      </c>
      <c r="F212" s="14" t="n">
        <v>46046</v>
      </c>
    </row>
    <row r="213" customFormat="false" ht="15" hidden="false" customHeight="false" outlineLevel="0" collapsed="false">
      <c r="A213" s="0" t="s">
        <v>2168</v>
      </c>
      <c r="B213" s="0" t="s">
        <v>516</v>
      </c>
      <c r="C213" s="0" t="s">
        <v>161</v>
      </c>
      <c r="D213" s="14" t="n">
        <v>46203</v>
      </c>
      <c r="E213" s="0" t="n">
        <v>496.96</v>
      </c>
      <c r="F213" s="14" t="n">
        <v>46248</v>
      </c>
    </row>
    <row r="214" customFormat="false" ht="15" hidden="false" customHeight="false" outlineLevel="0" collapsed="false">
      <c r="A214" s="0" t="s">
        <v>2169</v>
      </c>
      <c r="B214" s="0" t="s">
        <v>517</v>
      </c>
      <c r="C214" s="0" t="s">
        <v>183</v>
      </c>
      <c r="D214" s="14" t="n">
        <v>45896</v>
      </c>
      <c r="E214" s="0" t="n">
        <v>759.35</v>
      </c>
      <c r="F214" s="14" t="n">
        <v>45941</v>
      </c>
    </row>
    <row r="215" customFormat="false" ht="15" hidden="false" customHeight="false" outlineLevel="0" collapsed="false">
      <c r="A215" s="0" t="s">
        <v>2170</v>
      </c>
      <c r="B215" s="0" t="s">
        <v>518</v>
      </c>
      <c r="C215" s="0" t="s">
        <v>171</v>
      </c>
      <c r="D215" s="14" t="n">
        <v>46053</v>
      </c>
      <c r="E215" s="0" t="n">
        <v>2745.78</v>
      </c>
      <c r="F215" s="14" t="n">
        <v>46113</v>
      </c>
    </row>
    <row r="216" customFormat="false" ht="15" hidden="false" customHeight="false" outlineLevel="0" collapsed="false">
      <c r="A216" s="0" t="s">
        <v>2171</v>
      </c>
      <c r="B216" s="0" t="s">
        <v>519</v>
      </c>
      <c r="C216" s="0" t="s">
        <v>112</v>
      </c>
      <c r="D216" s="14" t="n">
        <v>45705</v>
      </c>
      <c r="E216" s="0" t="n">
        <v>1562.55</v>
      </c>
      <c r="F216" s="14" t="n">
        <v>45750</v>
      </c>
    </row>
    <row r="217" customFormat="false" ht="15" hidden="false" customHeight="false" outlineLevel="0" collapsed="false">
      <c r="A217" s="0" t="s">
        <v>2172</v>
      </c>
      <c r="B217" s="0" t="s">
        <v>520</v>
      </c>
      <c r="C217" s="0" t="s">
        <v>140</v>
      </c>
      <c r="D217" s="14" t="n">
        <v>46053</v>
      </c>
      <c r="E217" s="0" t="n">
        <v>1854.08</v>
      </c>
      <c r="F217" s="14" t="n">
        <v>46083</v>
      </c>
    </row>
    <row r="218" customFormat="false" ht="15" hidden="false" customHeight="false" outlineLevel="0" collapsed="false">
      <c r="A218" s="0" t="s">
        <v>2173</v>
      </c>
      <c r="B218" s="0" t="s">
        <v>521</v>
      </c>
      <c r="C218" s="0" t="s">
        <v>125</v>
      </c>
      <c r="D218" s="14" t="n">
        <v>46015</v>
      </c>
      <c r="E218" s="0" t="n">
        <v>4069.45</v>
      </c>
      <c r="F218" s="14" t="n">
        <v>46045</v>
      </c>
    </row>
    <row r="219" customFormat="false" ht="15" hidden="false" customHeight="false" outlineLevel="0" collapsed="false">
      <c r="A219" s="0" t="s">
        <v>2174</v>
      </c>
      <c r="B219" s="0" t="s">
        <v>522</v>
      </c>
      <c r="C219" s="0" t="s">
        <v>84</v>
      </c>
      <c r="D219" s="14" t="n">
        <v>45727</v>
      </c>
      <c r="E219" s="0" t="n">
        <v>2117.88</v>
      </c>
      <c r="F219" s="14" t="n">
        <v>45742</v>
      </c>
    </row>
    <row r="220" customFormat="false" ht="15" hidden="false" customHeight="false" outlineLevel="0" collapsed="false">
      <c r="A220" s="0" t="s">
        <v>2175</v>
      </c>
      <c r="B220" s="0" t="s">
        <v>522</v>
      </c>
      <c r="C220" s="0" t="s">
        <v>84</v>
      </c>
      <c r="D220" s="14" t="n">
        <v>45719</v>
      </c>
      <c r="E220" s="0" t="n">
        <v>2117.88</v>
      </c>
      <c r="F220" s="14" t="n">
        <v>45734</v>
      </c>
    </row>
    <row r="221" customFormat="false" ht="15" hidden="false" customHeight="false" outlineLevel="0" collapsed="false">
      <c r="A221" s="0" t="s">
        <v>2176</v>
      </c>
      <c r="B221" s="0" t="s">
        <v>523</v>
      </c>
      <c r="C221" s="0" t="s">
        <v>70</v>
      </c>
      <c r="D221" s="14" t="n">
        <v>46103</v>
      </c>
      <c r="E221" s="0" t="n">
        <v>266.54</v>
      </c>
      <c r="F221" s="14" t="n">
        <v>46148</v>
      </c>
    </row>
    <row r="222" customFormat="false" ht="15" hidden="false" customHeight="false" outlineLevel="0" collapsed="false">
      <c r="A222" s="0" t="s">
        <v>2177</v>
      </c>
      <c r="B222" s="0" t="s">
        <v>523</v>
      </c>
      <c r="C222" s="0" t="s">
        <v>70</v>
      </c>
      <c r="D222" s="14" t="n">
        <v>46090</v>
      </c>
      <c r="E222" s="0" t="n">
        <v>266.54</v>
      </c>
      <c r="F222" s="14" t="n">
        <v>46135</v>
      </c>
    </row>
    <row r="223" customFormat="false" ht="15" hidden="false" customHeight="false" outlineLevel="0" collapsed="false">
      <c r="A223" s="0" t="s">
        <v>2178</v>
      </c>
      <c r="B223" s="0" t="s">
        <v>524</v>
      </c>
      <c r="C223" s="0" t="s">
        <v>128</v>
      </c>
      <c r="D223" s="14" t="n">
        <v>46141</v>
      </c>
      <c r="E223" s="0" t="n">
        <v>1071.3</v>
      </c>
      <c r="F223" s="14" t="n">
        <v>46171</v>
      </c>
    </row>
    <row r="224" customFormat="false" ht="15" hidden="false" customHeight="false" outlineLevel="0" collapsed="false">
      <c r="A224" s="0" t="s">
        <v>2179</v>
      </c>
      <c r="B224" s="0" t="s">
        <v>525</v>
      </c>
      <c r="C224" s="0" t="s">
        <v>128</v>
      </c>
      <c r="D224" s="14" t="n">
        <v>46010</v>
      </c>
      <c r="E224" s="0" t="n">
        <v>728.71</v>
      </c>
      <c r="F224" s="14" t="n">
        <v>46040</v>
      </c>
    </row>
    <row r="225" customFormat="false" ht="15" hidden="false" customHeight="false" outlineLevel="0" collapsed="false">
      <c r="A225" s="0" t="s">
        <v>2180</v>
      </c>
      <c r="B225" s="0" t="s">
        <v>526</v>
      </c>
      <c r="C225" s="0" t="s">
        <v>149</v>
      </c>
      <c r="D225" s="14" t="n">
        <v>45744</v>
      </c>
      <c r="E225" s="0" t="n">
        <v>3728.38</v>
      </c>
      <c r="F225" s="14" t="n">
        <v>45774</v>
      </c>
    </row>
    <row r="226" customFormat="false" ht="15" hidden="false" customHeight="false" outlineLevel="0" collapsed="false">
      <c r="A226" s="0" t="s">
        <v>2181</v>
      </c>
      <c r="B226" s="0" t="s">
        <v>527</v>
      </c>
      <c r="C226" s="0" t="s">
        <v>128</v>
      </c>
      <c r="D226" s="14" t="n">
        <v>46198</v>
      </c>
      <c r="E226" s="0" t="n">
        <v>5712.19</v>
      </c>
      <c r="F226" s="14" t="n">
        <v>46228</v>
      </c>
    </row>
    <row r="227" customFormat="false" ht="15" hidden="false" customHeight="false" outlineLevel="0" collapsed="false">
      <c r="A227" s="0" t="s">
        <v>2182</v>
      </c>
      <c r="B227" s="0" t="s">
        <v>528</v>
      </c>
      <c r="C227" s="0" t="s">
        <v>174</v>
      </c>
      <c r="D227" s="14" t="n">
        <v>46094</v>
      </c>
      <c r="E227" s="0" t="n">
        <v>3449.51</v>
      </c>
      <c r="F227" s="14" t="n">
        <v>46109</v>
      </c>
    </row>
    <row r="228" customFormat="false" ht="15" hidden="false" customHeight="false" outlineLevel="0" collapsed="false">
      <c r="A228" s="0" t="s">
        <v>2183</v>
      </c>
      <c r="B228" s="0" t="s">
        <v>529</v>
      </c>
      <c r="C228" s="0" t="s">
        <v>134</v>
      </c>
      <c r="D228" s="14" t="n">
        <v>45869</v>
      </c>
      <c r="E228" s="0" t="n">
        <v>1442.03</v>
      </c>
      <c r="F228" s="14" t="n">
        <v>45899</v>
      </c>
    </row>
    <row r="229" customFormat="false" ht="15" hidden="false" customHeight="false" outlineLevel="0" collapsed="false">
      <c r="A229" s="0" t="s">
        <v>2184</v>
      </c>
      <c r="B229" s="0" t="s">
        <v>530</v>
      </c>
      <c r="C229" s="0" t="s">
        <v>96</v>
      </c>
      <c r="D229" s="14" t="n">
        <v>45893</v>
      </c>
      <c r="E229" s="0" t="n">
        <v>14974.83</v>
      </c>
      <c r="F229" s="14" t="n">
        <v>45908</v>
      </c>
    </row>
    <row r="230" customFormat="false" ht="15" hidden="false" customHeight="false" outlineLevel="0" collapsed="false">
      <c r="A230" s="0" t="s">
        <v>2185</v>
      </c>
      <c r="B230" s="0" t="s">
        <v>531</v>
      </c>
      <c r="C230" s="0" t="s">
        <v>177</v>
      </c>
      <c r="D230" s="14" t="n">
        <v>45880</v>
      </c>
      <c r="E230" s="0" t="n">
        <v>877.63</v>
      </c>
      <c r="F230" s="14" t="n">
        <v>45940</v>
      </c>
    </row>
    <row r="231" customFormat="false" ht="15" hidden="false" customHeight="false" outlineLevel="0" collapsed="false">
      <c r="A231" s="0" t="s">
        <v>2186</v>
      </c>
      <c r="B231" s="0" t="s">
        <v>532</v>
      </c>
      <c r="C231" s="0" t="s">
        <v>180</v>
      </c>
      <c r="D231" s="14" t="n">
        <v>45956</v>
      </c>
      <c r="E231" s="0" t="n">
        <v>2542.66</v>
      </c>
      <c r="F231" s="14" t="n">
        <v>46016</v>
      </c>
    </row>
    <row r="232" customFormat="false" ht="15" hidden="false" customHeight="false" outlineLevel="0" collapsed="false">
      <c r="A232" s="0" t="s">
        <v>2187</v>
      </c>
      <c r="B232" s="0" t="s">
        <v>533</v>
      </c>
      <c r="C232" s="0" t="s">
        <v>96</v>
      </c>
      <c r="D232" s="14" t="n">
        <v>45851</v>
      </c>
      <c r="E232" s="0" t="n">
        <v>3210.01</v>
      </c>
      <c r="F232" s="14" t="n">
        <v>45866</v>
      </c>
    </row>
    <row r="233" customFormat="false" ht="15" hidden="false" customHeight="false" outlineLevel="0" collapsed="false">
      <c r="A233" s="0" t="s">
        <v>2188</v>
      </c>
      <c r="B233" s="0" t="s">
        <v>534</v>
      </c>
      <c r="C233" s="0" t="s">
        <v>131</v>
      </c>
      <c r="D233" s="14" t="n">
        <v>46140</v>
      </c>
      <c r="E233" s="0" t="n">
        <v>610.78</v>
      </c>
      <c r="F233" s="14" t="n">
        <v>46185</v>
      </c>
    </row>
    <row r="234" customFormat="false" ht="15" hidden="false" customHeight="false" outlineLevel="0" collapsed="false">
      <c r="A234" s="0" t="s">
        <v>2189</v>
      </c>
      <c r="B234" s="0" t="s">
        <v>535</v>
      </c>
      <c r="C234" s="0" t="s">
        <v>89</v>
      </c>
      <c r="D234" s="14" t="n">
        <v>46121</v>
      </c>
      <c r="E234" s="0" t="n">
        <v>4612.25</v>
      </c>
      <c r="F234" s="14" t="n">
        <v>46136</v>
      </c>
    </row>
    <row r="235" customFormat="false" ht="15" hidden="false" customHeight="false" outlineLevel="0" collapsed="false">
      <c r="A235" s="0" t="s">
        <v>2190</v>
      </c>
      <c r="B235" s="0" t="s">
        <v>536</v>
      </c>
      <c r="C235" s="0" t="s">
        <v>174</v>
      </c>
      <c r="D235" s="14" t="n">
        <v>45733</v>
      </c>
      <c r="E235" s="0" t="n">
        <v>884.17</v>
      </c>
      <c r="F235" s="14" t="n">
        <v>45748</v>
      </c>
    </row>
    <row r="236" customFormat="false" ht="15" hidden="false" customHeight="false" outlineLevel="0" collapsed="false">
      <c r="A236" s="0" t="s">
        <v>2191</v>
      </c>
      <c r="B236" s="0" t="s">
        <v>537</v>
      </c>
      <c r="C236" s="0" t="s">
        <v>80</v>
      </c>
      <c r="D236" s="14" t="n">
        <v>46187</v>
      </c>
      <c r="E236" s="0" t="n">
        <v>3538.33</v>
      </c>
      <c r="F236" s="14" t="n">
        <v>46202</v>
      </c>
    </row>
    <row r="237" customFormat="false" ht="15" hidden="false" customHeight="false" outlineLevel="0" collapsed="false">
      <c r="A237" s="0" t="s">
        <v>2192</v>
      </c>
      <c r="B237" s="0" t="s">
        <v>538</v>
      </c>
      <c r="C237" s="0" t="s">
        <v>140</v>
      </c>
      <c r="D237" s="14" t="n">
        <v>46009</v>
      </c>
      <c r="E237" s="0" t="n">
        <v>1486.84</v>
      </c>
      <c r="F237" s="14" t="n">
        <v>46039</v>
      </c>
    </row>
    <row r="238" customFormat="false" ht="15" hidden="false" customHeight="false" outlineLevel="0" collapsed="false">
      <c r="A238" s="0" t="s">
        <v>2193</v>
      </c>
      <c r="B238" s="0" t="s">
        <v>538</v>
      </c>
      <c r="C238" s="0" t="s">
        <v>140</v>
      </c>
      <c r="D238" s="14" t="n">
        <v>46009</v>
      </c>
      <c r="E238" s="0" t="n">
        <v>1741.37</v>
      </c>
      <c r="F238" s="14" t="n">
        <v>46039</v>
      </c>
    </row>
    <row r="239" customFormat="false" ht="15" hidden="false" customHeight="false" outlineLevel="0" collapsed="false">
      <c r="A239" s="0" t="s">
        <v>2194</v>
      </c>
      <c r="B239" s="0" t="s">
        <v>539</v>
      </c>
      <c r="C239" s="0" t="s">
        <v>171</v>
      </c>
      <c r="D239" s="14" t="n">
        <v>46126</v>
      </c>
      <c r="E239" s="0" t="n">
        <v>201.48</v>
      </c>
      <c r="F239" s="14" t="n">
        <v>46186</v>
      </c>
    </row>
    <row r="240" customFormat="false" ht="15" hidden="false" customHeight="false" outlineLevel="0" collapsed="false">
      <c r="A240" s="0" t="s">
        <v>2195</v>
      </c>
      <c r="B240" s="0" t="s">
        <v>540</v>
      </c>
      <c r="C240" s="0" t="s">
        <v>186</v>
      </c>
      <c r="D240" s="14" t="n">
        <v>46053</v>
      </c>
      <c r="E240" s="0" t="n">
        <v>4326.08</v>
      </c>
      <c r="F240" s="14" t="n">
        <v>46068</v>
      </c>
    </row>
    <row r="241" customFormat="false" ht="15" hidden="false" customHeight="false" outlineLevel="0" collapsed="false">
      <c r="A241" s="0" t="s">
        <v>2196</v>
      </c>
      <c r="B241" s="0" t="s">
        <v>541</v>
      </c>
      <c r="C241" s="0" t="s">
        <v>119</v>
      </c>
      <c r="D241" s="14" t="n">
        <v>45897</v>
      </c>
      <c r="E241" s="0" t="n">
        <v>1933.86</v>
      </c>
      <c r="F241" s="14" t="n">
        <v>45912</v>
      </c>
    </row>
    <row r="242" customFormat="false" ht="15" hidden="false" customHeight="false" outlineLevel="0" collapsed="false">
      <c r="A242" s="0" t="s">
        <v>2197</v>
      </c>
      <c r="B242" s="0" t="s">
        <v>542</v>
      </c>
      <c r="C242" s="0" t="s">
        <v>89</v>
      </c>
      <c r="D242" s="14" t="n">
        <v>46074</v>
      </c>
      <c r="E242" s="0" t="n">
        <v>301.96</v>
      </c>
      <c r="F242" s="14" t="n">
        <v>46089</v>
      </c>
    </row>
    <row r="243" customFormat="false" ht="15" hidden="false" customHeight="false" outlineLevel="0" collapsed="false">
      <c r="A243" s="0" t="s">
        <v>2198</v>
      </c>
      <c r="B243" s="0" t="s">
        <v>543</v>
      </c>
      <c r="C243" s="0" t="s">
        <v>96</v>
      </c>
      <c r="D243" s="14" t="n">
        <v>46200</v>
      </c>
      <c r="E243" s="0" t="n">
        <v>16728.17</v>
      </c>
      <c r="F243" s="14" t="n">
        <v>46215</v>
      </c>
    </row>
    <row r="244" customFormat="false" ht="15" hidden="false" customHeight="false" outlineLevel="0" collapsed="false">
      <c r="A244" s="0" t="s">
        <v>2199</v>
      </c>
      <c r="B244" s="0" t="s">
        <v>544</v>
      </c>
      <c r="C244" s="0" t="s">
        <v>195</v>
      </c>
      <c r="D244" s="14" t="n">
        <v>45824</v>
      </c>
      <c r="E244" s="0" t="n">
        <v>594.08</v>
      </c>
      <c r="F244" s="14" t="n">
        <v>45854</v>
      </c>
    </row>
    <row r="245" customFormat="false" ht="15" hidden="false" customHeight="false" outlineLevel="0" collapsed="false">
      <c r="A245" s="0" t="s">
        <v>2200</v>
      </c>
      <c r="B245" s="0" t="s">
        <v>545</v>
      </c>
      <c r="C245" s="0" t="s">
        <v>96</v>
      </c>
      <c r="D245" s="14" t="n">
        <v>46111</v>
      </c>
      <c r="E245" s="0" t="n">
        <v>4409.64</v>
      </c>
      <c r="F245" s="14" t="n">
        <v>46126</v>
      </c>
    </row>
    <row r="246" customFormat="false" ht="15" hidden="false" customHeight="false" outlineLevel="0" collapsed="false">
      <c r="A246" s="0" t="s">
        <v>2201</v>
      </c>
      <c r="B246" s="0" t="s">
        <v>546</v>
      </c>
      <c r="C246" s="0" t="s">
        <v>140</v>
      </c>
      <c r="D246" s="14" t="n">
        <v>45972</v>
      </c>
      <c r="E246" s="0" t="n">
        <v>1370.36</v>
      </c>
      <c r="F246" s="14" t="n">
        <v>46002</v>
      </c>
    </row>
    <row r="247" customFormat="false" ht="15" hidden="false" customHeight="false" outlineLevel="0" collapsed="false">
      <c r="A247" s="0" t="s">
        <v>2202</v>
      </c>
      <c r="B247" s="0" t="s">
        <v>547</v>
      </c>
      <c r="C247" s="0" t="s">
        <v>174</v>
      </c>
      <c r="D247" s="14" t="n">
        <v>45925</v>
      </c>
      <c r="E247" s="0" t="n">
        <v>480.9</v>
      </c>
      <c r="F247" s="14" t="n">
        <v>45940</v>
      </c>
    </row>
    <row r="248" customFormat="false" ht="15" hidden="false" customHeight="false" outlineLevel="0" collapsed="false">
      <c r="A248" s="0" t="s">
        <v>2203</v>
      </c>
      <c r="B248" s="0" t="s">
        <v>548</v>
      </c>
      <c r="C248" s="0" t="s">
        <v>152</v>
      </c>
      <c r="D248" s="14" t="n">
        <v>45903</v>
      </c>
      <c r="E248" s="0" t="n">
        <v>728.26</v>
      </c>
      <c r="F248" s="14" t="n">
        <v>45963</v>
      </c>
    </row>
    <row r="249" customFormat="false" ht="15" hidden="false" customHeight="false" outlineLevel="0" collapsed="false">
      <c r="A249" s="0" t="s">
        <v>2204</v>
      </c>
      <c r="B249" s="0" t="s">
        <v>549</v>
      </c>
      <c r="C249" s="0" t="s">
        <v>186</v>
      </c>
      <c r="D249" s="14" t="n">
        <v>46081</v>
      </c>
      <c r="E249" s="0" t="n">
        <v>4217.99</v>
      </c>
      <c r="F249" s="14" t="n">
        <v>46096</v>
      </c>
    </row>
    <row r="250" customFormat="false" ht="15" hidden="false" customHeight="false" outlineLevel="0" collapsed="false">
      <c r="A250" s="0" t="s">
        <v>2205</v>
      </c>
      <c r="B250" s="0" t="s">
        <v>550</v>
      </c>
      <c r="C250" s="0" t="s">
        <v>180</v>
      </c>
      <c r="D250" s="14" t="n">
        <v>45812</v>
      </c>
      <c r="E250" s="0" t="n">
        <v>6467.02</v>
      </c>
      <c r="F250" s="14" t="n">
        <v>45872</v>
      </c>
    </row>
    <row r="251" customFormat="false" ht="15" hidden="false" customHeight="false" outlineLevel="0" collapsed="false">
      <c r="A251" s="0" t="s">
        <v>2206</v>
      </c>
      <c r="B251" s="0" t="s">
        <v>551</v>
      </c>
      <c r="C251" s="0" t="s">
        <v>96</v>
      </c>
      <c r="D251" s="14" t="n">
        <v>46144</v>
      </c>
      <c r="E251" s="0" t="n">
        <v>2055.39</v>
      </c>
      <c r="F251" s="14" t="n">
        <v>46159</v>
      </c>
    </row>
    <row r="252" customFormat="false" ht="15" hidden="false" customHeight="false" outlineLevel="0" collapsed="false">
      <c r="A252" s="0" t="s">
        <v>2207</v>
      </c>
      <c r="B252" s="0" t="s">
        <v>552</v>
      </c>
      <c r="C252" s="0" t="s">
        <v>137</v>
      </c>
      <c r="D252" s="14" t="n">
        <v>46129</v>
      </c>
      <c r="E252" s="0" t="n">
        <v>207.67</v>
      </c>
      <c r="F252" s="14" t="n">
        <v>46174</v>
      </c>
    </row>
    <row r="253" customFormat="false" ht="15" hidden="false" customHeight="false" outlineLevel="0" collapsed="false">
      <c r="A253" s="0" t="s">
        <v>2208</v>
      </c>
      <c r="B253" s="0" t="s">
        <v>553</v>
      </c>
      <c r="C253" s="0" t="s">
        <v>149</v>
      </c>
      <c r="D253" s="14" t="n">
        <v>45727</v>
      </c>
      <c r="E253" s="0" t="n">
        <v>1766.28</v>
      </c>
      <c r="F253" s="14" t="n">
        <v>45757</v>
      </c>
    </row>
    <row r="254" customFormat="false" ht="15" hidden="false" customHeight="false" outlineLevel="0" collapsed="false">
      <c r="A254" s="0" t="s">
        <v>2209</v>
      </c>
      <c r="B254" s="0" t="s">
        <v>554</v>
      </c>
      <c r="C254" s="0" t="s">
        <v>189</v>
      </c>
      <c r="D254" s="14" t="n">
        <v>46162</v>
      </c>
      <c r="E254" s="0" t="n">
        <v>1408.36</v>
      </c>
      <c r="F254" s="14" t="n">
        <v>46207</v>
      </c>
    </row>
    <row r="255" customFormat="false" ht="15" hidden="false" customHeight="false" outlineLevel="0" collapsed="false">
      <c r="A255" s="0" t="s">
        <v>2210</v>
      </c>
      <c r="B255" s="0" t="s">
        <v>555</v>
      </c>
      <c r="C255" s="0" t="s">
        <v>171</v>
      </c>
      <c r="D255" s="14" t="n">
        <v>45797</v>
      </c>
      <c r="E255" s="0" t="n">
        <v>1546.99</v>
      </c>
      <c r="F255" s="14" t="n">
        <v>45857</v>
      </c>
    </row>
    <row r="256" customFormat="false" ht="15" hidden="false" customHeight="false" outlineLevel="0" collapsed="false">
      <c r="A256" s="0" t="s">
        <v>2211</v>
      </c>
      <c r="B256" s="0" t="s">
        <v>556</v>
      </c>
      <c r="C256" s="0" t="s">
        <v>201</v>
      </c>
      <c r="D256" s="14" t="n">
        <v>45929</v>
      </c>
      <c r="E256" s="0" t="n">
        <v>5615.74</v>
      </c>
      <c r="F256" s="14" t="n">
        <v>45944</v>
      </c>
    </row>
    <row r="257" customFormat="false" ht="15" hidden="false" customHeight="false" outlineLevel="0" collapsed="false">
      <c r="A257" s="0" t="s">
        <v>2212</v>
      </c>
      <c r="B257" s="0" t="s">
        <v>557</v>
      </c>
      <c r="C257" s="0" t="s">
        <v>183</v>
      </c>
      <c r="D257" s="14" t="n">
        <v>46011</v>
      </c>
      <c r="E257" s="0" t="n">
        <v>3821.71</v>
      </c>
      <c r="F257" s="14" t="n">
        <v>46056</v>
      </c>
    </row>
    <row r="258" customFormat="false" ht="15" hidden="false" customHeight="false" outlineLevel="0" collapsed="false">
      <c r="A258" s="0" t="s">
        <v>2213</v>
      </c>
      <c r="B258" s="0" t="s">
        <v>558</v>
      </c>
      <c r="C258" s="0" t="s">
        <v>99</v>
      </c>
      <c r="D258" s="14" t="n">
        <v>45876</v>
      </c>
      <c r="E258" s="0" t="n">
        <v>943.22</v>
      </c>
      <c r="F258" s="14" t="n">
        <v>45936</v>
      </c>
    </row>
    <row r="259" customFormat="false" ht="15" hidden="false" customHeight="false" outlineLevel="0" collapsed="false">
      <c r="A259" s="0" t="s">
        <v>2214</v>
      </c>
      <c r="B259" s="0" t="s">
        <v>559</v>
      </c>
      <c r="C259" s="0" t="s">
        <v>174</v>
      </c>
      <c r="D259" s="14" t="n">
        <v>45686</v>
      </c>
      <c r="E259" s="0" t="n">
        <v>618.31</v>
      </c>
      <c r="F259" s="14" t="n">
        <v>45701</v>
      </c>
    </row>
    <row r="260" customFormat="false" ht="15" hidden="false" customHeight="false" outlineLevel="0" collapsed="false">
      <c r="A260" s="0" t="s">
        <v>2215</v>
      </c>
      <c r="B260" s="0" t="s">
        <v>560</v>
      </c>
      <c r="C260" s="0" t="s">
        <v>195</v>
      </c>
      <c r="D260" s="14" t="n">
        <v>46146</v>
      </c>
      <c r="E260" s="0" t="n">
        <v>17214.28</v>
      </c>
      <c r="F260" s="14" t="n">
        <v>46176</v>
      </c>
    </row>
    <row r="261" customFormat="false" ht="15" hidden="false" customHeight="false" outlineLevel="0" collapsed="false">
      <c r="A261" s="0" t="s">
        <v>2216</v>
      </c>
      <c r="B261" s="0" t="s">
        <v>561</v>
      </c>
      <c r="C261" s="0" t="s">
        <v>89</v>
      </c>
      <c r="D261" s="14" t="n">
        <v>45776</v>
      </c>
      <c r="E261" s="0" t="n">
        <v>518.98</v>
      </c>
      <c r="F261" s="14" t="n">
        <v>45791</v>
      </c>
    </row>
    <row r="262" customFormat="false" ht="15" hidden="false" customHeight="false" outlineLevel="0" collapsed="false">
      <c r="A262" s="0" t="s">
        <v>2217</v>
      </c>
      <c r="B262" s="0" t="s">
        <v>562</v>
      </c>
      <c r="C262" s="0" t="s">
        <v>140</v>
      </c>
      <c r="D262" s="14" t="n">
        <v>45798</v>
      </c>
      <c r="E262" s="0" t="n">
        <v>1164.57</v>
      </c>
      <c r="F262" s="14" t="n">
        <v>45828</v>
      </c>
    </row>
    <row r="263" customFormat="false" ht="15" hidden="false" customHeight="false" outlineLevel="0" collapsed="false">
      <c r="A263" s="0" t="s">
        <v>2218</v>
      </c>
      <c r="B263" s="0" t="s">
        <v>563</v>
      </c>
      <c r="C263" s="0" t="s">
        <v>174</v>
      </c>
      <c r="D263" s="14" t="n">
        <v>46108</v>
      </c>
      <c r="E263" s="0" t="n">
        <v>796.57</v>
      </c>
      <c r="F263" s="14" t="n">
        <v>46123</v>
      </c>
    </row>
    <row r="264" customFormat="false" ht="15" hidden="false" customHeight="false" outlineLevel="0" collapsed="false">
      <c r="A264" s="0" t="s">
        <v>2219</v>
      </c>
      <c r="B264" s="0" t="s">
        <v>564</v>
      </c>
      <c r="C264" s="0" t="s">
        <v>171</v>
      </c>
      <c r="D264" s="14" t="n">
        <v>45846</v>
      </c>
      <c r="E264" s="0" t="n">
        <v>1150.99</v>
      </c>
      <c r="F264" s="14" t="n">
        <v>45906</v>
      </c>
    </row>
    <row r="265" customFormat="false" ht="15" hidden="false" customHeight="false" outlineLevel="0" collapsed="false">
      <c r="A265" s="0" t="s">
        <v>2220</v>
      </c>
      <c r="B265" s="0" t="s">
        <v>564</v>
      </c>
      <c r="C265" s="0" t="s">
        <v>171</v>
      </c>
      <c r="D265" s="14" t="n">
        <v>45864</v>
      </c>
      <c r="E265" s="0" t="n">
        <v>1219.73</v>
      </c>
      <c r="F265" s="14" t="n">
        <v>45924</v>
      </c>
    </row>
    <row r="266" customFormat="false" ht="15" hidden="false" customHeight="false" outlineLevel="0" collapsed="false">
      <c r="A266" s="0" t="s">
        <v>2221</v>
      </c>
      <c r="B266" s="0" t="s">
        <v>565</v>
      </c>
      <c r="C266" s="0" t="s">
        <v>96</v>
      </c>
      <c r="D266" s="14" t="n">
        <v>46139</v>
      </c>
      <c r="E266" s="0" t="n">
        <v>2121.27</v>
      </c>
      <c r="F266" s="14" t="n">
        <v>46154</v>
      </c>
    </row>
    <row r="267" customFormat="false" ht="15" hidden="false" customHeight="false" outlineLevel="0" collapsed="false">
      <c r="A267" s="0" t="s">
        <v>2222</v>
      </c>
      <c r="B267" s="0" t="s">
        <v>566</v>
      </c>
      <c r="C267" s="0" t="s">
        <v>99</v>
      </c>
      <c r="D267" s="14" t="n">
        <v>46052</v>
      </c>
      <c r="E267" s="0" t="n">
        <v>782.81</v>
      </c>
      <c r="F267" s="14" t="n">
        <v>46112</v>
      </c>
    </row>
    <row r="268" customFormat="false" ht="15" hidden="false" customHeight="false" outlineLevel="0" collapsed="false">
      <c r="A268" s="0" t="s">
        <v>2223</v>
      </c>
      <c r="B268" s="0" t="s">
        <v>567</v>
      </c>
      <c r="C268" s="0" t="s">
        <v>96</v>
      </c>
      <c r="D268" s="14" t="n">
        <v>45818</v>
      </c>
      <c r="E268" s="0" t="n">
        <v>231.64</v>
      </c>
      <c r="F268" s="14" t="n">
        <v>45833</v>
      </c>
    </row>
    <row r="269" customFormat="false" ht="15" hidden="false" customHeight="false" outlineLevel="0" collapsed="false">
      <c r="A269" s="0" t="s">
        <v>2224</v>
      </c>
      <c r="B269" s="0" t="s">
        <v>568</v>
      </c>
      <c r="C269" s="0" t="s">
        <v>143</v>
      </c>
      <c r="D269" s="14" t="n">
        <v>45683</v>
      </c>
      <c r="E269" s="0" t="n">
        <v>585.14</v>
      </c>
      <c r="F269" s="14" t="n">
        <v>45713</v>
      </c>
    </row>
    <row r="270" customFormat="false" ht="15" hidden="false" customHeight="false" outlineLevel="0" collapsed="false">
      <c r="A270" s="0" t="s">
        <v>2225</v>
      </c>
      <c r="B270" s="0" t="s">
        <v>569</v>
      </c>
      <c r="C270" s="0" t="s">
        <v>146</v>
      </c>
      <c r="D270" s="14" t="n">
        <v>46177</v>
      </c>
      <c r="E270" s="0" t="n">
        <v>2715.46</v>
      </c>
      <c r="F270" s="14" t="n">
        <v>46207</v>
      </c>
    </row>
    <row r="271" customFormat="false" ht="15" hidden="false" customHeight="false" outlineLevel="0" collapsed="false">
      <c r="A271" s="0" t="s">
        <v>2226</v>
      </c>
      <c r="B271" s="0" t="s">
        <v>570</v>
      </c>
      <c r="C271" s="0" t="s">
        <v>99</v>
      </c>
      <c r="D271" s="14" t="n">
        <v>45714</v>
      </c>
      <c r="E271" s="0" t="n">
        <v>2645.79</v>
      </c>
      <c r="F271" s="14" t="n">
        <v>45774</v>
      </c>
    </row>
    <row r="272" customFormat="false" ht="15" hidden="false" customHeight="false" outlineLevel="0" collapsed="false">
      <c r="A272" s="0" t="s">
        <v>2227</v>
      </c>
      <c r="B272" s="0" t="s">
        <v>571</v>
      </c>
      <c r="C272" s="0" t="s">
        <v>146</v>
      </c>
      <c r="D272" s="14" t="n">
        <v>46059</v>
      </c>
      <c r="E272" s="0" t="n">
        <v>5917.43</v>
      </c>
      <c r="F272" s="14" t="n">
        <v>46089</v>
      </c>
    </row>
    <row r="273" customFormat="false" ht="15" hidden="false" customHeight="false" outlineLevel="0" collapsed="false">
      <c r="A273" s="0" t="s">
        <v>2228</v>
      </c>
      <c r="B273" s="0" t="s">
        <v>572</v>
      </c>
      <c r="C273" s="0" t="s">
        <v>80</v>
      </c>
      <c r="D273" s="14" t="n">
        <v>45944</v>
      </c>
      <c r="E273" s="0" t="n">
        <v>866.85</v>
      </c>
      <c r="F273" s="14" t="n">
        <v>45959</v>
      </c>
    </row>
    <row r="274" customFormat="false" ht="15" hidden="false" customHeight="false" outlineLevel="0" collapsed="false">
      <c r="A274" s="0" t="s">
        <v>2229</v>
      </c>
      <c r="B274" s="0" t="s">
        <v>573</v>
      </c>
      <c r="C274" s="0" t="s">
        <v>131</v>
      </c>
      <c r="D274" s="14" t="n">
        <v>46096</v>
      </c>
      <c r="E274" s="0" t="n">
        <v>5943.52</v>
      </c>
      <c r="F274" s="14" t="n">
        <v>46141</v>
      </c>
    </row>
    <row r="275" customFormat="false" ht="15" hidden="false" customHeight="false" outlineLevel="0" collapsed="false">
      <c r="A275" s="0" t="s">
        <v>2230</v>
      </c>
      <c r="B275" s="0" t="s">
        <v>574</v>
      </c>
      <c r="C275" s="0" t="s">
        <v>128</v>
      </c>
      <c r="D275" s="14" t="n">
        <v>46051</v>
      </c>
      <c r="E275" s="0" t="n">
        <v>2495.51</v>
      </c>
      <c r="F275" s="14" t="n">
        <v>46081</v>
      </c>
    </row>
    <row r="276" customFormat="false" ht="15" hidden="false" customHeight="false" outlineLevel="0" collapsed="false">
      <c r="A276" s="0" t="s">
        <v>2231</v>
      </c>
      <c r="B276" s="0" t="s">
        <v>575</v>
      </c>
      <c r="C276" s="0" t="s">
        <v>84</v>
      </c>
      <c r="D276" s="14" t="n">
        <v>46034</v>
      </c>
      <c r="E276" s="0" t="n">
        <v>482.15</v>
      </c>
      <c r="F276" s="14" t="n">
        <v>46049</v>
      </c>
    </row>
    <row r="277" customFormat="false" ht="15" hidden="false" customHeight="false" outlineLevel="0" collapsed="false">
      <c r="A277" s="0" t="s">
        <v>2232</v>
      </c>
      <c r="B277" s="0" t="s">
        <v>576</v>
      </c>
      <c r="C277" s="0" t="s">
        <v>186</v>
      </c>
      <c r="D277" s="14" t="n">
        <v>45930</v>
      </c>
      <c r="E277" s="0" t="n">
        <v>1274.7</v>
      </c>
      <c r="F277" s="14" t="n">
        <v>45945</v>
      </c>
    </row>
    <row r="278" customFormat="false" ht="15" hidden="false" customHeight="false" outlineLevel="0" collapsed="false">
      <c r="A278" s="0" t="s">
        <v>2233</v>
      </c>
      <c r="B278" s="0" t="s">
        <v>577</v>
      </c>
      <c r="C278" s="0" t="s">
        <v>80</v>
      </c>
      <c r="D278" s="14" t="n">
        <v>46115</v>
      </c>
      <c r="E278" s="0" t="n">
        <v>2055.42</v>
      </c>
      <c r="F278" s="14" t="n">
        <v>46130</v>
      </c>
    </row>
    <row r="279" customFormat="false" ht="15" hidden="false" customHeight="false" outlineLevel="0" collapsed="false">
      <c r="A279" s="0" t="s">
        <v>2234</v>
      </c>
      <c r="B279" s="0" t="s">
        <v>578</v>
      </c>
      <c r="C279" s="0" t="s">
        <v>116</v>
      </c>
      <c r="D279" s="14" t="n">
        <v>45711</v>
      </c>
      <c r="E279" s="0" t="n">
        <v>8984.32</v>
      </c>
      <c r="F279" s="14" t="n">
        <v>45771</v>
      </c>
    </row>
    <row r="280" customFormat="false" ht="15" hidden="false" customHeight="false" outlineLevel="0" collapsed="false">
      <c r="A280" s="0" t="s">
        <v>2235</v>
      </c>
      <c r="B280" s="0" t="s">
        <v>579</v>
      </c>
      <c r="C280" s="0" t="s">
        <v>146</v>
      </c>
      <c r="D280" s="14" t="n">
        <v>45793</v>
      </c>
      <c r="E280" s="0" t="n">
        <v>4378.74</v>
      </c>
      <c r="F280" s="14" t="n">
        <v>45823</v>
      </c>
    </row>
    <row r="281" customFormat="false" ht="15" hidden="false" customHeight="false" outlineLevel="0" collapsed="false">
      <c r="A281" s="0" t="s">
        <v>2236</v>
      </c>
      <c r="B281" s="0" t="s">
        <v>580</v>
      </c>
      <c r="C281" s="0" t="s">
        <v>171</v>
      </c>
      <c r="D281" s="14" t="n">
        <v>46044</v>
      </c>
      <c r="E281" s="0" t="n">
        <v>519.69</v>
      </c>
      <c r="F281" s="14" t="n">
        <v>46104</v>
      </c>
    </row>
    <row r="282" customFormat="false" ht="15" hidden="false" customHeight="false" outlineLevel="0" collapsed="false">
      <c r="A282" s="0" t="s">
        <v>2237</v>
      </c>
      <c r="B282" s="0" t="s">
        <v>581</v>
      </c>
      <c r="C282" s="0" t="s">
        <v>131</v>
      </c>
      <c r="D282" s="14" t="n">
        <v>45826</v>
      </c>
      <c r="E282" s="0" t="n">
        <v>2656.9</v>
      </c>
      <c r="F282" s="14" t="n">
        <v>45871</v>
      </c>
    </row>
    <row r="283" customFormat="false" ht="15" hidden="false" customHeight="false" outlineLevel="0" collapsed="false">
      <c r="A283" s="0" t="s">
        <v>2238</v>
      </c>
      <c r="B283" s="0" t="s">
        <v>582</v>
      </c>
      <c r="C283" s="0" t="s">
        <v>128</v>
      </c>
      <c r="D283" s="14" t="n">
        <v>45977</v>
      </c>
      <c r="E283" s="0" t="n">
        <v>611.97</v>
      </c>
      <c r="F283" s="14" t="n">
        <v>46007</v>
      </c>
    </row>
    <row r="284" customFormat="false" ht="15" hidden="false" customHeight="false" outlineLevel="0" collapsed="false">
      <c r="A284" s="0" t="s">
        <v>2239</v>
      </c>
      <c r="B284" s="0" t="s">
        <v>583</v>
      </c>
      <c r="C284" s="0" t="s">
        <v>125</v>
      </c>
      <c r="D284" s="14" t="n">
        <v>45934</v>
      </c>
      <c r="E284" s="0" t="n">
        <v>3378.98</v>
      </c>
      <c r="F284" s="14" t="n">
        <v>45964</v>
      </c>
    </row>
    <row r="285" customFormat="false" ht="15" hidden="false" customHeight="false" outlineLevel="0" collapsed="false">
      <c r="A285" s="0" t="s">
        <v>2240</v>
      </c>
      <c r="B285" s="0" t="s">
        <v>584</v>
      </c>
      <c r="C285" s="0" t="s">
        <v>158</v>
      </c>
      <c r="D285" s="14" t="n">
        <v>45971</v>
      </c>
      <c r="E285" s="0" t="n">
        <v>1729.73</v>
      </c>
      <c r="F285" s="14" t="n">
        <v>46031</v>
      </c>
    </row>
    <row r="286" customFormat="false" ht="15" hidden="false" customHeight="false" outlineLevel="0" collapsed="false">
      <c r="A286" s="0" t="s">
        <v>2241</v>
      </c>
      <c r="B286" s="0" t="s">
        <v>585</v>
      </c>
      <c r="C286" s="0" t="s">
        <v>89</v>
      </c>
      <c r="D286" s="14" t="n">
        <v>45914</v>
      </c>
      <c r="E286" s="0" t="n">
        <v>225.68</v>
      </c>
      <c r="F286" s="14" t="n">
        <v>45929</v>
      </c>
    </row>
    <row r="287" customFormat="false" ht="15" hidden="false" customHeight="false" outlineLevel="0" collapsed="false">
      <c r="A287" s="0" t="s">
        <v>2242</v>
      </c>
      <c r="B287" s="0" t="s">
        <v>586</v>
      </c>
      <c r="C287" s="0" t="s">
        <v>84</v>
      </c>
      <c r="D287" s="14" t="n">
        <v>46085</v>
      </c>
      <c r="E287" s="0" t="n">
        <v>1424.85</v>
      </c>
      <c r="F287" s="14" t="n">
        <v>46100</v>
      </c>
    </row>
    <row r="288" customFormat="false" ht="15" hidden="false" customHeight="false" outlineLevel="0" collapsed="false">
      <c r="A288" s="0" t="s">
        <v>2243</v>
      </c>
      <c r="B288" s="0" t="s">
        <v>587</v>
      </c>
      <c r="C288" s="0" t="s">
        <v>201</v>
      </c>
      <c r="D288" s="14" t="n">
        <v>45853</v>
      </c>
      <c r="E288" s="0" t="n">
        <v>643.44</v>
      </c>
      <c r="F288" s="14" t="n">
        <v>45868</v>
      </c>
    </row>
    <row r="289" customFormat="false" ht="15" hidden="false" customHeight="false" outlineLevel="0" collapsed="false">
      <c r="A289" s="0" t="s">
        <v>2244</v>
      </c>
      <c r="B289" s="0" t="s">
        <v>588</v>
      </c>
      <c r="C289" s="0" t="s">
        <v>134</v>
      </c>
      <c r="D289" s="14" t="n">
        <v>46047</v>
      </c>
      <c r="E289" s="0" t="n">
        <v>560.8</v>
      </c>
      <c r="F289" s="14" t="n">
        <v>46077</v>
      </c>
    </row>
    <row r="290" customFormat="false" ht="15" hidden="false" customHeight="false" outlineLevel="0" collapsed="false">
      <c r="A290" s="0" t="s">
        <v>2245</v>
      </c>
      <c r="B290" s="0" t="s">
        <v>589</v>
      </c>
      <c r="C290" s="0" t="s">
        <v>195</v>
      </c>
      <c r="D290" s="14" t="n">
        <v>45830</v>
      </c>
      <c r="E290" s="0" t="n">
        <v>289.77</v>
      </c>
      <c r="F290" s="14" t="n">
        <v>45860</v>
      </c>
    </row>
    <row r="291" customFormat="false" ht="15" hidden="false" customHeight="false" outlineLevel="0" collapsed="false">
      <c r="A291" s="0" t="s">
        <v>2246</v>
      </c>
      <c r="B291" s="0" t="s">
        <v>590</v>
      </c>
      <c r="C291" s="0" t="s">
        <v>112</v>
      </c>
      <c r="D291" s="14" t="n">
        <v>45813</v>
      </c>
      <c r="E291" s="0" t="n">
        <v>325.7</v>
      </c>
      <c r="F291" s="14" t="n">
        <v>45858</v>
      </c>
    </row>
    <row r="292" customFormat="false" ht="15" hidden="false" customHeight="false" outlineLevel="0" collapsed="false">
      <c r="A292" s="0" t="s">
        <v>2247</v>
      </c>
      <c r="B292" s="0" t="s">
        <v>591</v>
      </c>
      <c r="C292" s="0" t="s">
        <v>174</v>
      </c>
      <c r="D292" s="14" t="n">
        <v>45729</v>
      </c>
      <c r="E292" s="0" t="n">
        <v>8611.23</v>
      </c>
      <c r="F292" s="14" t="n">
        <v>45744</v>
      </c>
    </row>
    <row r="293" customFormat="false" ht="15" hidden="false" customHeight="false" outlineLevel="0" collapsed="false">
      <c r="A293" s="0" t="s">
        <v>2248</v>
      </c>
      <c r="B293" s="0" t="s">
        <v>592</v>
      </c>
      <c r="C293" s="0" t="s">
        <v>89</v>
      </c>
      <c r="D293" s="14" t="n">
        <v>45776</v>
      </c>
      <c r="E293" s="0" t="n">
        <v>1496.91</v>
      </c>
      <c r="F293" s="14" t="n">
        <v>45791</v>
      </c>
    </row>
    <row r="294" customFormat="false" ht="15" hidden="false" customHeight="false" outlineLevel="0" collapsed="false">
      <c r="A294" s="0" t="s">
        <v>2249</v>
      </c>
      <c r="B294" s="0" t="s">
        <v>593</v>
      </c>
      <c r="C294" s="0" t="s">
        <v>174</v>
      </c>
      <c r="D294" s="14" t="n">
        <v>45744</v>
      </c>
      <c r="E294" s="0" t="n">
        <v>6053.15</v>
      </c>
      <c r="F294" s="14" t="n">
        <v>45759</v>
      </c>
    </row>
    <row r="295" customFormat="false" ht="15" hidden="false" customHeight="false" outlineLevel="0" collapsed="false">
      <c r="A295" s="0" t="s">
        <v>2250</v>
      </c>
      <c r="B295" s="0" t="s">
        <v>594</v>
      </c>
      <c r="C295" s="0" t="s">
        <v>186</v>
      </c>
      <c r="D295" s="14" t="n">
        <v>45959</v>
      </c>
      <c r="E295" s="0" t="n">
        <v>3104.44</v>
      </c>
      <c r="F295" s="14" t="n">
        <v>45974</v>
      </c>
    </row>
    <row r="296" customFormat="false" ht="15" hidden="false" customHeight="false" outlineLevel="0" collapsed="false">
      <c r="A296" s="0" t="s">
        <v>2251</v>
      </c>
      <c r="B296" s="0" t="s">
        <v>595</v>
      </c>
      <c r="C296" s="0" t="s">
        <v>167</v>
      </c>
      <c r="D296" s="14" t="n">
        <v>46085</v>
      </c>
      <c r="E296" s="0" t="n">
        <v>1405.31</v>
      </c>
      <c r="F296" s="14" t="n">
        <v>46145</v>
      </c>
    </row>
    <row r="297" customFormat="false" ht="15" hidden="false" customHeight="false" outlineLevel="0" collapsed="false">
      <c r="A297" s="0" t="s">
        <v>2252</v>
      </c>
      <c r="B297" s="0" t="s">
        <v>596</v>
      </c>
      <c r="C297" s="0" t="s">
        <v>158</v>
      </c>
      <c r="D297" s="14" t="n">
        <v>45763</v>
      </c>
      <c r="E297" s="0" t="n">
        <v>3241.37</v>
      </c>
      <c r="F297" s="14" t="n">
        <v>45823</v>
      </c>
    </row>
    <row r="298" customFormat="false" ht="15" hidden="false" customHeight="false" outlineLevel="0" collapsed="false">
      <c r="A298" s="0" t="s">
        <v>2253</v>
      </c>
      <c r="B298" s="0" t="s">
        <v>597</v>
      </c>
      <c r="C298" s="0" t="s">
        <v>189</v>
      </c>
      <c r="D298" s="14" t="n">
        <v>45788</v>
      </c>
      <c r="E298" s="0" t="n">
        <v>871.5</v>
      </c>
      <c r="F298" s="14" t="n">
        <v>45833</v>
      </c>
    </row>
    <row r="299" customFormat="false" ht="15" hidden="false" customHeight="false" outlineLevel="0" collapsed="false">
      <c r="A299" s="0" t="s">
        <v>2254</v>
      </c>
      <c r="B299" s="0" t="s">
        <v>598</v>
      </c>
      <c r="C299" s="0" t="s">
        <v>137</v>
      </c>
      <c r="D299" s="14" t="n">
        <v>45943</v>
      </c>
      <c r="E299" s="0" t="n">
        <v>651.66</v>
      </c>
      <c r="F299" s="14" t="n">
        <v>45988</v>
      </c>
    </row>
    <row r="300" customFormat="false" ht="15" hidden="false" customHeight="false" outlineLevel="0" collapsed="false">
      <c r="A300" s="0" t="s">
        <v>2255</v>
      </c>
      <c r="B300" s="0" t="s">
        <v>599</v>
      </c>
      <c r="C300" s="0" t="s">
        <v>161</v>
      </c>
      <c r="D300" s="14" t="n">
        <v>46073</v>
      </c>
      <c r="E300" s="0" t="n">
        <v>2962.24</v>
      </c>
      <c r="F300" s="14" t="n">
        <v>46118</v>
      </c>
    </row>
    <row r="301" customFormat="false" ht="15" hidden="false" customHeight="false" outlineLevel="0" collapsed="false">
      <c r="A301" s="0" t="s">
        <v>2256</v>
      </c>
      <c r="B301" s="0" t="s">
        <v>600</v>
      </c>
      <c r="C301" s="0" t="s">
        <v>167</v>
      </c>
      <c r="D301" s="14" t="n">
        <v>46211</v>
      </c>
      <c r="E301" s="0" t="n">
        <v>201.83</v>
      </c>
      <c r="F301" s="14" t="n">
        <v>46271</v>
      </c>
    </row>
    <row r="302" customFormat="false" ht="15" hidden="false" customHeight="false" outlineLevel="0" collapsed="false">
      <c r="A302" s="0" t="s">
        <v>2257</v>
      </c>
      <c r="B302" s="0" t="s">
        <v>601</v>
      </c>
      <c r="C302" s="0" t="s">
        <v>146</v>
      </c>
      <c r="D302" s="14" t="n">
        <v>45952</v>
      </c>
      <c r="E302" s="0" t="n">
        <v>7560.72</v>
      </c>
      <c r="F302" s="14" t="n">
        <v>45982</v>
      </c>
    </row>
    <row r="303" customFormat="false" ht="15" hidden="false" customHeight="false" outlineLevel="0" collapsed="false">
      <c r="A303" s="0" t="s">
        <v>2258</v>
      </c>
      <c r="B303" s="0" t="s">
        <v>602</v>
      </c>
      <c r="C303" s="0" t="s">
        <v>177</v>
      </c>
      <c r="D303" s="14" t="n">
        <v>45837</v>
      </c>
      <c r="E303" s="0" t="n">
        <v>2957.14</v>
      </c>
      <c r="F303" s="14" t="n">
        <v>45897</v>
      </c>
    </row>
    <row r="304" customFormat="false" ht="15" hidden="false" customHeight="false" outlineLevel="0" collapsed="false">
      <c r="A304" s="0" t="s">
        <v>2259</v>
      </c>
      <c r="B304" s="0" t="s">
        <v>603</v>
      </c>
      <c r="C304" s="0" t="s">
        <v>149</v>
      </c>
      <c r="D304" s="14" t="n">
        <v>45715</v>
      </c>
      <c r="E304" s="0" t="n">
        <v>1792.24</v>
      </c>
      <c r="F304" s="14" t="n">
        <v>45745</v>
      </c>
    </row>
    <row r="305" customFormat="false" ht="15" hidden="false" customHeight="false" outlineLevel="0" collapsed="false">
      <c r="A305" s="0" t="s">
        <v>2260</v>
      </c>
      <c r="B305" s="0" t="s">
        <v>604</v>
      </c>
      <c r="C305" s="0" t="s">
        <v>183</v>
      </c>
      <c r="D305" s="14" t="n">
        <v>45769</v>
      </c>
      <c r="E305" s="0" t="n">
        <v>3587.55</v>
      </c>
      <c r="F305" s="14" t="n">
        <v>45814</v>
      </c>
    </row>
    <row r="306" customFormat="false" ht="15" hidden="false" customHeight="false" outlineLevel="0" collapsed="false">
      <c r="A306" s="0" t="s">
        <v>2261</v>
      </c>
      <c r="B306" s="0" t="s">
        <v>605</v>
      </c>
      <c r="C306" s="0" t="s">
        <v>161</v>
      </c>
      <c r="D306" s="14" t="n">
        <v>45783</v>
      </c>
      <c r="E306" s="0" t="n">
        <v>13244.8</v>
      </c>
      <c r="F306" s="14" t="n">
        <v>45828</v>
      </c>
    </row>
    <row r="307" customFormat="false" ht="15" hidden="false" customHeight="false" outlineLevel="0" collapsed="false">
      <c r="A307" s="0" t="s">
        <v>2262</v>
      </c>
      <c r="B307" s="0" t="s">
        <v>606</v>
      </c>
      <c r="C307" s="0" t="s">
        <v>186</v>
      </c>
      <c r="D307" s="14" t="n">
        <v>45766</v>
      </c>
      <c r="E307" s="0" t="n">
        <v>810.36</v>
      </c>
      <c r="F307" s="14" t="n">
        <v>45781</v>
      </c>
    </row>
    <row r="308" customFormat="false" ht="15" hidden="false" customHeight="false" outlineLevel="0" collapsed="false">
      <c r="A308" s="0" t="s">
        <v>2263</v>
      </c>
      <c r="B308" s="0" t="s">
        <v>607</v>
      </c>
      <c r="C308" s="0" t="s">
        <v>104</v>
      </c>
      <c r="D308" s="14" t="n">
        <v>45673</v>
      </c>
      <c r="E308" s="0" t="n">
        <v>256.08</v>
      </c>
      <c r="F308" s="14" t="n">
        <v>45703</v>
      </c>
    </row>
    <row r="309" customFormat="false" ht="15" hidden="false" customHeight="false" outlineLevel="0" collapsed="false">
      <c r="A309" s="0" t="s">
        <v>2264</v>
      </c>
      <c r="B309" s="0" t="s">
        <v>607</v>
      </c>
      <c r="C309" s="0" t="s">
        <v>104</v>
      </c>
      <c r="D309" s="14" t="n">
        <v>45673</v>
      </c>
      <c r="E309" s="0" t="n">
        <v>256.08</v>
      </c>
      <c r="F309" s="14" t="n">
        <v>45703</v>
      </c>
    </row>
    <row r="310" customFormat="false" ht="15" hidden="false" customHeight="false" outlineLevel="0" collapsed="false">
      <c r="A310" s="0" t="s">
        <v>2265</v>
      </c>
      <c r="B310" s="0" t="s">
        <v>608</v>
      </c>
      <c r="C310" s="0" t="s">
        <v>109</v>
      </c>
      <c r="D310" s="14" t="n">
        <v>45959</v>
      </c>
      <c r="E310" s="0" t="n">
        <v>8486.94</v>
      </c>
      <c r="F310" s="14" t="n">
        <v>45974</v>
      </c>
    </row>
    <row r="311" customFormat="false" ht="15" hidden="false" customHeight="false" outlineLevel="0" collapsed="false">
      <c r="A311" s="0" t="s">
        <v>2266</v>
      </c>
      <c r="B311" s="0" t="s">
        <v>609</v>
      </c>
      <c r="C311" s="0" t="s">
        <v>119</v>
      </c>
      <c r="D311" s="14" t="n">
        <v>45813</v>
      </c>
      <c r="E311" s="0" t="n">
        <v>3079.87</v>
      </c>
      <c r="F311" s="14" t="n">
        <v>45828</v>
      </c>
    </row>
    <row r="312" customFormat="false" ht="15" hidden="false" customHeight="false" outlineLevel="0" collapsed="false">
      <c r="A312" s="0" t="s">
        <v>2267</v>
      </c>
      <c r="B312" s="0" t="s">
        <v>610</v>
      </c>
      <c r="C312" s="0" t="s">
        <v>134</v>
      </c>
      <c r="D312" s="14" t="n">
        <v>46202</v>
      </c>
      <c r="E312" s="0" t="n">
        <v>1424.65</v>
      </c>
      <c r="F312" s="14" t="n">
        <v>46232</v>
      </c>
    </row>
    <row r="313" customFormat="false" ht="15" hidden="false" customHeight="false" outlineLevel="0" collapsed="false">
      <c r="A313" s="0" t="s">
        <v>2268</v>
      </c>
      <c r="B313" s="0" t="s">
        <v>611</v>
      </c>
      <c r="C313" s="0" t="s">
        <v>192</v>
      </c>
      <c r="D313" s="14" t="n">
        <v>45962</v>
      </c>
      <c r="E313" s="0" t="n">
        <v>4491.48</v>
      </c>
      <c r="F313" s="14" t="n">
        <v>45992</v>
      </c>
    </row>
    <row r="314" customFormat="false" ht="15" hidden="false" customHeight="false" outlineLevel="0" collapsed="false">
      <c r="A314" s="0" t="s">
        <v>2269</v>
      </c>
      <c r="B314" s="0" t="s">
        <v>612</v>
      </c>
      <c r="C314" s="0" t="s">
        <v>89</v>
      </c>
      <c r="D314" s="14" t="n">
        <v>46046</v>
      </c>
      <c r="E314" s="0" t="n">
        <v>1494.98</v>
      </c>
      <c r="F314" s="14" t="n">
        <v>46061</v>
      </c>
    </row>
    <row r="315" customFormat="false" ht="15" hidden="false" customHeight="false" outlineLevel="0" collapsed="false">
      <c r="A315" s="0" t="s">
        <v>2270</v>
      </c>
      <c r="B315" s="0" t="s">
        <v>613</v>
      </c>
      <c r="C315" s="0" t="s">
        <v>180</v>
      </c>
      <c r="D315" s="14" t="n">
        <v>45729</v>
      </c>
      <c r="E315" s="0" t="n">
        <v>1119.52</v>
      </c>
      <c r="F315" s="14" t="n">
        <v>45789</v>
      </c>
    </row>
    <row r="316" customFormat="false" ht="15" hidden="false" customHeight="false" outlineLevel="0" collapsed="false">
      <c r="A316" s="0" t="s">
        <v>2271</v>
      </c>
      <c r="B316" s="0" t="s">
        <v>614</v>
      </c>
      <c r="C316" s="0" t="s">
        <v>93</v>
      </c>
      <c r="D316" s="14" t="n">
        <v>46135</v>
      </c>
      <c r="E316" s="0" t="n">
        <v>531.72</v>
      </c>
      <c r="F316" s="14" t="n">
        <v>46195</v>
      </c>
    </row>
    <row r="317" customFormat="false" ht="15" hidden="false" customHeight="false" outlineLevel="0" collapsed="false">
      <c r="A317" s="0" t="s">
        <v>2272</v>
      </c>
      <c r="B317" s="0" t="s">
        <v>615</v>
      </c>
      <c r="C317" s="0" t="s">
        <v>195</v>
      </c>
      <c r="D317" s="14" t="n">
        <v>45948</v>
      </c>
      <c r="E317" s="0" t="n">
        <v>3672.05</v>
      </c>
      <c r="F317" s="14" t="n">
        <v>45978</v>
      </c>
    </row>
    <row r="318" customFormat="false" ht="15" hidden="false" customHeight="false" outlineLevel="0" collapsed="false">
      <c r="A318" s="0" t="s">
        <v>2273</v>
      </c>
      <c r="B318" s="0" t="s">
        <v>616</v>
      </c>
      <c r="C318" s="0" t="s">
        <v>137</v>
      </c>
      <c r="D318" s="14" t="n">
        <v>46144</v>
      </c>
      <c r="E318" s="0" t="n">
        <v>6043.12</v>
      </c>
      <c r="F318" s="14" t="n">
        <v>46189</v>
      </c>
    </row>
    <row r="319" customFormat="false" ht="15" hidden="false" customHeight="false" outlineLevel="0" collapsed="false">
      <c r="A319" s="0" t="s">
        <v>2274</v>
      </c>
      <c r="B319" s="0" t="s">
        <v>617</v>
      </c>
      <c r="C319" s="0" t="s">
        <v>122</v>
      </c>
      <c r="D319" s="14" t="n">
        <v>45979</v>
      </c>
      <c r="E319" s="0" t="n">
        <v>1017.03</v>
      </c>
      <c r="F319" s="14" t="n">
        <v>46009</v>
      </c>
    </row>
    <row r="320" customFormat="false" ht="15" hidden="false" customHeight="false" outlineLevel="0" collapsed="false">
      <c r="A320" s="0" t="s">
        <v>2275</v>
      </c>
      <c r="B320" s="0" t="s">
        <v>618</v>
      </c>
      <c r="C320" s="0" t="s">
        <v>131</v>
      </c>
      <c r="D320" s="14" t="n">
        <v>45937</v>
      </c>
      <c r="E320" s="0" t="n">
        <v>33982.32</v>
      </c>
      <c r="F320" s="14" t="n">
        <v>45982</v>
      </c>
    </row>
    <row r="321" customFormat="false" ht="15" hidden="false" customHeight="false" outlineLevel="0" collapsed="false">
      <c r="A321" s="0" t="s">
        <v>2276</v>
      </c>
      <c r="B321" s="0" t="s">
        <v>619</v>
      </c>
      <c r="C321" s="0" t="s">
        <v>158</v>
      </c>
      <c r="D321" s="14" t="n">
        <v>45919</v>
      </c>
      <c r="E321" s="0" t="n">
        <v>2011.97</v>
      </c>
      <c r="F321" s="14" t="n">
        <v>45979</v>
      </c>
    </row>
    <row r="322" customFormat="false" ht="15" hidden="false" customHeight="false" outlineLevel="0" collapsed="false">
      <c r="A322" s="0" t="s">
        <v>2277</v>
      </c>
      <c r="B322" s="0" t="s">
        <v>620</v>
      </c>
      <c r="C322" s="0" t="s">
        <v>128</v>
      </c>
      <c r="D322" s="14" t="n">
        <v>45776</v>
      </c>
      <c r="E322" s="0" t="n">
        <v>1329.7</v>
      </c>
      <c r="F322" s="14" t="n">
        <v>45806</v>
      </c>
    </row>
    <row r="323" customFormat="false" ht="15" hidden="false" customHeight="false" outlineLevel="0" collapsed="false">
      <c r="A323" s="0" t="s">
        <v>2278</v>
      </c>
      <c r="B323" s="0" t="s">
        <v>621</v>
      </c>
      <c r="C323" s="0" t="s">
        <v>158</v>
      </c>
      <c r="D323" s="14" t="n">
        <v>45710</v>
      </c>
      <c r="E323" s="0" t="n">
        <v>1953.14</v>
      </c>
      <c r="F323" s="14" t="n">
        <v>45770</v>
      </c>
    </row>
    <row r="324" customFormat="false" ht="15" hidden="false" customHeight="false" outlineLevel="0" collapsed="false">
      <c r="A324" s="0" t="s">
        <v>2279</v>
      </c>
      <c r="B324" s="0" t="s">
        <v>622</v>
      </c>
      <c r="C324" s="0" t="s">
        <v>174</v>
      </c>
      <c r="D324" s="14" t="n">
        <v>46182</v>
      </c>
      <c r="E324" s="0" t="n">
        <v>275.18</v>
      </c>
      <c r="F324" s="14" t="n">
        <v>46197</v>
      </c>
    </row>
    <row r="325" customFormat="false" ht="15" hidden="false" customHeight="false" outlineLevel="0" collapsed="false">
      <c r="A325" s="0" t="s">
        <v>2280</v>
      </c>
      <c r="B325" s="0" t="s">
        <v>623</v>
      </c>
      <c r="C325" s="0" t="s">
        <v>75</v>
      </c>
      <c r="D325" s="14" t="n">
        <v>45920</v>
      </c>
      <c r="E325" s="0" t="n">
        <v>2929.12</v>
      </c>
      <c r="F325" s="14" t="n">
        <v>45935</v>
      </c>
    </row>
    <row r="326" customFormat="false" ht="15" hidden="false" customHeight="false" outlineLevel="0" collapsed="false">
      <c r="A326" s="0" t="s">
        <v>2281</v>
      </c>
      <c r="B326" s="0" t="s">
        <v>624</v>
      </c>
      <c r="C326" s="0" t="s">
        <v>125</v>
      </c>
      <c r="D326" s="14" t="n">
        <v>46128</v>
      </c>
      <c r="E326" s="0" t="n">
        <v>2560.65</v>
      </c>
      <c r="F326" s="14" t="n">
        <v>46158</v>
      </c>
    </row>
    <row r="327" customFormat="false" ht="15" hidden="false" customHeight="false" outlineLevel="0" collapsed="false">
      <c r="A327" s="0" t="s">
        <v>2282</v>
      </c>
      <c r="B327" s="0" t="s">
        <v>625</v>
      </c>
      <c r="C327" s="0" t="s">
        <v>128</v>
      </c>
      <c r="D327" s="14" t="n">
        <v>45894</v>
      </c>
      <c r="E327" s="0" t="n">
        <v>1086.25</v>
      </c>
      <c r="F327" s="14" t="n">
        <v>45924</v>
      </c>
    </row>
    <row r="328" customFormat="false" ht="15" hidden="false" customHeight="false" outlineLevel="0" collapsed="false">
      <c r="A328" s="0" t="s">
        <v>2283</v>
      </c>
      <c r="B328" s="0" t="s">
        <v>626</v>
      </c>
      <c r="C328" s="0" t="s">
        <v>198</v>
      </c>
      <c r="D328" s="14" t="n">
        <v>45708</v>
      </c>
      <c r="E328" s="0" t="n">
        <v>3484.24</v>
      </c>
      <c r="F328" s="14" t="n">
        <v>45738</v>
      </c>
    </row>
    <row r="329" customFormat="false" ht="15" hidden="false" customHeight="false" outlineLevel="0" collapsed="false">
      <c r="A329" s="0" t="s">
        <v>2284</v>
      </c>
      <c r="B329" s="0" t="s">
        <v>627</v>
      </c>
      <c r="C329" s="0" t="s">
        <v>155</v>
      </c>
      <c r="D329" s="14" t="n">
        <v>46003</v>
      </c>
      <c r="E329" s="0" t="n">
        <v>4212.6</v>
      </c>
      <c r="F329" s="14" t="n">
        <v>46048</v>
      </c>
    </row>
    <row r="330" customFormat="false" ht="15" hidden="false" customHeight="false" outlineLevel="0" collapsed="false">
      <c r="A330" s="0" t="s">
        <v>2285</v>
      </c>
      <c r="B330" s="0" t="s">
        <v>628</v>
      </c>
      <c r="C330" s="0" t="s">
        <v>177</v>
      </c>
      <c r="D330" s="14" t="n">
        <v>45696</v>
      </c>
      <c r="E330" s="0" t="n">
        <v>2560.27</v>
      </c>
      <c r="F330" s="14" t="n">
        <v>45756</v>
      </c>
    </row>
    <row r="331" customFormat="false" ht="15" hidden="false" customHeight="false" outlineLevel="0" collapsed="false">
      <c r="A331" s="0" t="s">
        <v>2286</v>
      </c>
      <c r="B331" s="0" t="s">
        <v>629</v>
      </c>
      <c r="C331" s="0" t="s">
        <v>155</v>
      </c>
      <c r="D331" s="14" t="n">
        <v>45762</v>
      </c>
      <c r="E331" s="0" t="n">
        <v>3373.65</v>
      </c>
      <c r="F331" s="14" t="n">
        <v>45807</v>
      </c>
    </row>
    <row r="332" customFormat="false" ht="15" hidden="false" customHeight="false" outlineLevel="0" collapsed="false">
      <c r="A332" s="0" t="s">
        <v>2287</v>
      </c>
      <c r="B332" s="0" t="s">
        <v>630</v>
      </c>
      <c r="C332" s="0" t="s">
        <v>174</v>
      </c>
      <c r="D332" s="14" t="n">
        <v>45982</v>
      </c>
      <c r="E332" s="0" t="n">
        <v>1093.64</v>
      </c>
      <c r="F332" s="14" t="n">
        <v>45997</v>
      </c>
    </row>
    <row r="333" customFormat="false" ht="15" hidden="false" customHeight="false" outlineLevel="0" collapsed="false">
      <c r="A333" s="0" t="s">
        <v>2288</v>
      </c>
      <c r="B333" s="0" t="s">
        <v>631</v>
      </c>
      <c r="C333" s="0" t="s">
        <v>195</v>
      </c>
      <c r="D333" s="14" t="n">
        <v>45845</v>
      </c>
      <c r="E333" s="0" t="n">
        <v>1134.36</v>
      </c>
      <c r="F333" s="14" t="n">
        <v>45875</v>
      </c>
    </row>
    <row r="334" customFormat="false" ht="15" hidden="false" customHeight="false" outlineLevel="0" collapsed="false">
      <c r="A334" s="0" t="s">
        <v>2289</v>
      </c>
      <c r="B334" s="0" t="s">
        <v>632</v>
      </c>
      <c r="C334" s="0" t="s">
        <v>183</v>
      </c>
      <c r="D334" s="14" t="n">
        <v>46219</v>
      </c>
      <c r="E334" s="0" t="n">
        <v>15734.46</v>
      </c>
      <c r="F334" s="14" t="n">
        <v>46264</v>
      </c>
    </row>
    <row r="335" customFormat="false" ht="15" hidden="false" customHeight="false" outlineLevel="0" collapsed="false">
      <c r="A335" s="0" t="s">
        <v>2290</v>
      </c>
      <c r="B335" s="0" t="s">
        <v>633</v>
      </c>
      <c r="C335" s="0" t="s">
        <v>128</v>
      </c>
      <c r="D335" s="14" t="n">
        <v>45743</v>
      </c>
      <c r="E335" s="0" t="n">
        <v>1731.84</v>
      </c>
      <c r="F335" s="14" t="n">
        <v>45773</v>
      </c>
    </row>
    <row r="336" customFormat="false" ht="15" hidden="false" customHeight="false" outlineLevel="0" collapsed="false">
      <c r="A336" s="0" t="s">
        <v>2291</v>
      </c>
      <c r="B336" s="0" t="s">
        <v>634</v>
      </c>
      <c r="C336" s="0" t="s">
        <v>146</v>
      </c>
      <c r="D336" s="14" t="n">
        <v>46082</v>
      </c>
      <c r="E336" s="0" t="n">
        <v>861.14</v>
      </c>
      <c r="F336" s="14" t="n">
        <v>46112</v>
      </c>
    </row>
    <row r="337" customFormat="false" ht="15" hidden="false" customHeight="false" outlineLevel="0" collapsed="false">
      <c r="A337" s="0" t="s">
        <v>2292</v>
      </c>
      <c r="B337" s="0" t="s">
        <v>635</v>
      </c>
      <c r="C337" s="0" t="s">
        <v>104</v>
      </c>
      <c r="D337" s="14" t="n">
        <v>46011</v>
      </c>
      <c r="E337" s="0" t="n">
        <v>4424.59</v>
      </c>
      <c r="F337" s="14" t="n">
        <v>46041</v>
      </c>
    </row>
    <row r="338" customFormat="false" ht="15" hidden="false" customHeight="false" outlineLevel="0" collapsed="false">
      <c r="A338" s="0" t="s">
        <v>2293</v>
      </c>
      <c r="B338" s="0" t="s">
        <v>636</v>
      </c>
      <c r="C338" s="0" t="s">
        <v>122</v>
      </c>
      <c r="D338" s="14" t="n">
        <v>46099</v>
      </c>
      <c r="E338" s="0" t="n">
        <v>2063.03</v>
      </c>
      <c r="F338" s="14" t="n">
        <v>46129</v>
      </c>
    </row>
    <row r="339" customFormat="false" ht="15" hidden="false" customHeight="false" outlineLevel="0" collapsed="false">
      <c r="A339" s="0" t="s">
        <v>2294</v>
      </c>
      <c r="B339" s="0" t="s">
        <v>637</v>
      </c>
      <c r="C339" s="0" t="s">
        <v>93</v>
      </c>
      <c r="D339" s="14" t="n">
        <v>45786</v>
      </c>
      <c r="E339" s="0" t="n">
        <v>606.42</v>
      </c>
      <c r="F339" s="14" t="n">
        <v>45846</v>
      </c>
    </row>
    <row r="340" customFormat="false" ht="15" hidden="false" customHeight="false" outlineLevel="0" collapsed="false">
      <c r="A340" s="0" t="s">
        <v>2295</v>
      </c>
      <c r="B340" s="0" t="s">
        <v>638</v>
      </c>
      <c r="C340" s="0" t="s">
        <v>75</v>
      </c>
      <c r="D340" s="14" t="n">
        <v>45948</v>
      </c>
      <c r="E340" s="0" t="n">
        <v>1652.62</v>
      </c>
      <c r="F340" s="14" t="n">
        <v>45963</v>
      </c>
    </row>
    <row r="341" customFormat="false" ht="15" hidden="false" customHeight="false" outlineLevel="0" collapsed="false">
      <c r="A341" s="0" t="s">
        <v>2296</v>
      </c>
      <c r="B341" s="0" t="s">
        <v>639</v>
      </c>
      <c r="C341" s="0" t="s">
        <v>116</v>
      </c>
      <c r="D341" s="14" t="n">
        <v>45910</v>
      </c>
      <c r="E341" s="0" t="n">
        <v>609.35</v>
      </c>
      <c r="F341" s="14" t="n">
        <v>45970</v>
      </c>
    </row>
    <row r="342" customFormat="false" ht="15" hidden="false" customHeight="false" outlineLevel="0" collapsed="false">
      <c r="A342" s="0" t="s">
        <v>2297</v>
      </c>
      <c r="B342" s="0" t="s">
        <v>640</v>
      </c>
      <c r="C342" s="0" t="s">
        <v>112</v>
      </c>
      <c r="D342" s="14" t="n">
        <v>45924</v>
      </c>
      <c r="E342" s="0" t="n">
        <v>1216.45</v>
      </c>
      <c r="F342" s="14" t="n">
        <v>45969</v>
      </c>
    </row>
    <row r="343" customFormat="false" ht="15" hidden="false" customHeight="false" outlineLevel="0" collapsed="false">
      <c r="A343" s="0" t="s">
        <v>2298</v>
      </c>
      <c r="B343" s="0" t="s">
        <v>641</v>
      </c>
      <c r="C343" s="0" t="s">
        <v>192</v>
      </c>
      <c r="D343" s="14" t="n">
        <v>46132</v>
      </c>
      <c r="E343" s="0" t="n">
        <v>3585.97</v>
      </c>
      <c r="F343" s="14" t="n">
        <v>46162</v>
      </c>
    </row>
    <row r="344" customFormat="false" ht="15" hidden="false" customHeight="false" outlineLevel="0" collapsed="false">
      <c r="A344" s="0" t="s">
        <v>2299</v>
      </c>
      <c r="B344" s="0" t="s">
        <v>642</v>
      </c>
      <c r="C344" s="0" t="s">
        <v>192</v>
      </c>
      <c r="D344" s="14" t="n">
        <v>46212</v>
      </c>
      <c r="E344" s="0" t="n">
        <v>10917.62</v>
      </c>
      <c r="F344" s="14" t="n">
        <v>46242</v>
      </c>
    </row>
    <row r="345" customFormat="false" ht="15" hidden="false" customHeight="false" outlineLevel="0" collapsed="false">
      <c r="A345" s="0" t="s">
        <v>2300</v>
      </c>
      <c r="B345" s="0" t="s">
        <v>643</v>
      </c>
      <c r="C345" s="0" t="s">
        <v>93</v>
      </c>
      <c r="D345" s="14" t="n">
        <v>45849</v>
      </c>
      <c r="E345" s="0" t="n">
        <v>5413.88</v>
      </c>
      <c r="F345" s="14" t="n">
        <v>45909</v>
      </c>
    </row>
    <row r="346" customFormat="false" ht="15" hidden="false" customHeight="false" outlineLevel="0" collapsed="false">
      <c r="A346" s="0" t="s">
        <v>2301</v>
      </c>
      <c r="B346" s="0" t="s">
        <v>644</v>
      </c>
      <c r="C346" s="0" t="s">
        <v>167</v>
      </c>
      <c r="D346" s="14" t="n">
        <v>46021</v>
      </c>
      <c r="E346" s="0" t="n">
        <v>4075.62</v>
      </c>
      <c r="F346" s="14" t="n">
        <v>46081</v>
      </c>
    </row>
    <row r="347" customFormat="false" ht="15" hidden="false" customHeight="false" outlineLevel="0" collapsed="false">
      <c r="A347" s="0" t="s">
        <v>2302</v>
      </c>
      <c r="B347" s="0" t="s">
        <v>645</v>
      </c>
      <c r="C347" s="0" t="s">
        <v>192</v>
      </c>
      <c r="D347" s="14" t="n">
        <v>45995</v>
      </c>
      <c r="E347" s="0" t="n">
        <v>674.21</v>
      </c>
      <c r="F347" s="14" t="n">
        <v>46025</v>
      </c>
    </row>
    <row r="348" customFormat="false" ht="15" hidden="false" customHeight="false" outlineLevel="0" collapsed="false">
      <c r="A348" s="0" t="s">
        <v>2303</v>
      </c>
      <c r="B348" s="0" t="s">
        <v>646</v>
      </c>
      <c r="C348" s="0" t="s">
        <v>96</v>
      </c>
      <c r="D348" s="14" t="n">
        <v>46082</v>
      </c>
      <c r="E348" s="0" t="n">
        <v>1314.98</v>
      </c>
      <c r="F348" s="14" t="n">
        <v>46097</v>
      </c>
    </row>
    <row r="349" customFormat="false" ht="15" hidden="false" customHeight="false" outlineLevel="0" collapsed="false">
      <c r="A349" s="0" t="s">
        <v>2304</v>
      </c>
      <c r="B349" s="0" t="s">
        <v>646</v>
      </c>
      <c r="C349" s="0" t="s">
        <v>96</v>
      </c>
      <c r="D349" s="14" t="n">
        <v>46082</v>
      </c>
      <c r="E349" s="0" t="n">
        <v>1314.98</v>
      </c>
      <c r="F349" s="14" t="n">
        <v>46097</v>
      </c>
    </row>
    <row r="350" customFormat="false" ht="15" hidden="false" customHeight="false" outlineLevel="0" collapsed="false">
      <c r="A350" s="0" t="s">
        <v>2305</v>
      </c>
      <c r="B350" s="0" t="s">
        <v>647</v>
      </c>
      <c r="C350" s="0" t="s">
        <v>201</v>
      </c>
      <c r="D350" s="14" t="n">
        <v>46183</v>
      </c>
      <c r="E350" s="0" t="n">
        <v>499.83</v>
      </c>
      <c r="F350" s="14" t="n">
        <v>46198</v>
      </c>
    </row>
    <row r="351" customFormat="false" ht="15" hidden="false" customHeight="false" outlineLevel="0" collapsed="false">
      <c r="A351" s="0" t="s">
        <v>2306</v>
      </c>
      <c r="B351" s="0" t="s">
        <v>648</v>
      </c>
      <c r="C351" s="0" t="s">
        <v>201</v>
      </c>
      <c r="D351" s="14" t="n">
        <v>45775</v>
      </c>
      <c r="E351" s="0" t="n">
        <v>427.04</v>
      </c>
      <c r="F351" s="14" t="n">
        <v>45790</v>
      </c>
    </row>
    <row r="352" customFormat="false" ht="15" hidden="false" customHeight="false" outlineLevel="0" collapsed="false">
      <c r="A352" s="0" t="s">
        <v>2307</v>
      </c>
      <c r="B352" s="0" t="s">
        <v>648</v>
      </c>
      <c r="C352" s="0" t="s">
        <v>201</v>
      </c>
      <c r="D352" s="14" t="n">
        <v>45788</v>
      </c>
      <c r="E352" s="0" t="n">
        <v>427.04</v>
      </c>
      <c r="F352" s="14" t="n">
        <v>45803</v>
      </c>
    </row>
    <row r="353" customFormat="false" ht="15" hidden="false" customHeight="false" outlineLevel="0" collapsed="false">
      <c r="A353" s="0" t="s">
        <v>2308</v>
      </c>
      <c r="B353" s="0" t="s">
        <v>649</v>
      </c>
      <c r="C353" s="0" t="s">
        <v>80</v>
      </c>
      <c r="D353" s="14" t="n">
        <v>45790</v>
      </c>
      <c r="E353" s="0" t="n">
        <v>1109.9</v>
      </c>
      <c r="F353" s="14" t="n">
        <v>45805</v>
      </c>
    </row>
    <row r="354" customFormat="false" ht="15" hidden="false" customHeight="false" outlineLevel="0" collapsed="false">
      <c r="A354" s="0" t="s">
        <v>2309</v>
      </c>
      <c r="B354" s="0" t="s">
        <v>650</v>
      </c>
      <c r="C354" s="0" t="s">
        <v>70</v>
      </c>
      <c r="D354" s="14" t="n">
        <v>46031</v>
      </c>
      <c r="E354" s="0" t="n">
        <v>3284.61</v>
      </c>
      <c r="F354" s="14" t="n">
        <v>46076</v>
      </c>
    </row>
    <row r="355" customFormat="false" ht="15" hidden="false" customHeight="false" outlineLevel="0" collapsed="false">
      <c r="A355" s="0" t="s">
        <v>2310</v>
      </c>
      <c r="B355" s="0" t="s">
        <v>651</v>
      </c>
      <c r="C355" s="0" t="s">
        <v>164</v>
      </c>
      <c r="D355" s="14" t="n">
        <v>45751</v>
      </c>
      <c r="E355" s="0" t="n">
        <v>2187.07</v>
      </c>
      <c r="F355" s="14" t="n">
        <v>45796</v>
      </c>
    </row>
    <row r="356" customFormat="false" ht="15" hidden="false" customHeight="false" outlineLevel="0" collapsed="false">
      <c r="A356" s="0" t="s">
        <v>2311</v>
      </c>
      <c r="B356" s="0" t="s">
        <v>652</v>
      </c>
      <c r="C356" s="0" t="s">
        <v>158</v>
      </c>
      <c r="D356" s="14" t="n">
        <v>45754</v>
      </c>
      <c r="E356" s="0" t="n">
        <v>4407.35</v>
      </c>
      <c r="F356" s="14" t="n">
        <v>45814</v>
      </c>
    </row>
    <row r="357" customFormat="false" ht="15" hidden="false" customHeight="false" outlineLevel="0" collapsed="false">
      <c r="A357" s="0" t="s">
        <v>2312</v>
      </c>
      <c r="B357" s="0" t="s">
        <v>653</v>
      </c>
      <c r="C357" s="0" t="s">
        <v>152</v>
      </c>
      <c r="D357" s="14" t="n">
        <v>45707</v>
      </c>
      <c r="E357" s="0" t="n">
        <v>814.56</v>
      </c>
      <c r="F357" s="14" t="n">
        <v>45767</v>
      </c>
    </row>
    <row r="358" customFormat="false" ht="15" hidden="false" customHeight="false" outlineLevel="0" collapsed="false">
      <c r="A358" s="0" t="s">
        <v>2313</v>
      </c>
      <c r="B358" s="0" t="s">
        <v>654</v>
      </c>
      <c r="C358" s="0" t="s">
        <v>80</v>
      </c>
      <c r="D358" s="14" t="n">
        <v>45667</v>
      </c>
      <c r="E358" s="0" t="n">
        <v>988.16</v>
      </c>
      <c r="F358" s="14" t="n">
        <v>45682</v>
      </c>
    </row>
    <row r="359" customFormat="false" ht="15" hidden="false" customHeight="false" outlineLevel="0" collapsed="false">
      <c r="A359" s="0" t="s">
        <v>2314</v>
      </c>
      <c r="B359" s="0" t="s">
        <v>655</v>
      </c>
      <c r="C359" s="0" t="s">
        <v>80</v>
      </c>
      <c r="D359" s="14" t="n">
        <v>45919</v>
      </c>
      <c r="E359" s="0" t="n">
        <v>721.3</v>
      </c>
      <c r="F359" s="14" t="n">
        <v>45934</v>
      </c>
    </row>
    <row r="360" customFormat="false" ht="15" hidden="false" customHeight="false" outlineLevel="0" collapsed="false">
      <c r="A360" s="0" t="s">
        <v>2315</v>
      </c>
      <c r="B360" s="0" t="s">
        <v>656</v>
      </c>
      <c r="C360" s="0" t="s">
        <v>84</v>
      </c>
      <c r="D360" s="14" t="n">
        <v>45993</v>
      </c>
      <c r="E360" s="0" t="n">
        <v>5762.48</v>
      </c>
      <c r="F360" s="14" t="n">
        <v>46008</v>
      </c>
    </row>
    <row r="361" customFormat="false" ht="15" hidden="false" customHeight="false" outlineLevel="0" collapsed="false">
      <c r="A361" s="0" t="s">
        <v>2316</v>
      </c>
      <c r="B361" s="0" t="s">
        <v>657</v>
      </c>
      <c r="C361" s="0" t="s">
        <v>89</v>
      </c>
      <c r="D361" s="14" t="n">
        <v>45831</v>
      </c>
      <c r="E361" s="0" t="n">
        <v>3958.91</v>
      </c>
      <c r="F361" s="14" t="n">
        <v>45846</v>
      </c>
    </row>
    <row r="362" customFormat="false" ht="15" hidden="false" customHeight="false" outlineLevel="0" collapsed="false">
      <c r="A362" s="0" t="s">
        <v>2317</v>
      </c>
      <c r="B362" s="0" t="s">
        <v>658</v>
      </c>
      <c r="C362" s="0" t="s">
        <v>70</v>
      </c>
      <c r="D362" s="14" t="n">
        <v>45809</v>
      </c>
      <c r="E362" s="0" t="n">
        <v>3469.23</v>
      </c>
      <c r="F362" s="14" t="n">
        <v>45854</v>
      </c>
    </row>
    <row r="363" customFormat="false" ht="15" hidden="false" customHeight="false" outlineLevel="0" collapsed="false">
      <c r="A363" s="0" t="s">
        <v>2318</v>
      </c>
      <c r="B363" s="0" t="s">
        <v>659</v>
      </c>
      <c r="C363" s="0" t="s">
        <v>161</v>
      </c>
      <c r="D363" s="14" t="n">
        <v>46057</v>
      </c>
      <c r="E363" s="0" t="n">
        <v>1655.98</v>
      </c>
      <c r="F363" s="14" t="n">
        <v>46102</v>
      </c>
    </row>
    <row r="364" customFormat="false" ht="15" hidden="false" customHeight="false" outlineLevel="0" collapsed="false">
      <c r="A364" s="0" t="s">
        <v>2319</v>
      </c>
      <c r="B364" s="0" t="s">
        <v>660</v>
      </c>
      <c r="C364" s="0" t="s">
        <v>155</v>
      </c>
      <c r="D364" s="14" t="n">
        <v>46062</v>
      </c>
      <c r="E364" s="0" t="n">
        <v>1396.44</v>
      </c>
      <c r="F364" s="14" t="n">
        <v>46107</v>
      </c>
    </row>
    <row r="365" customFormat="false" ht="15" hidden="false" customHeight="false" outlineLevel="0" collapsed="false">
      <c r="A365" s="0" t="s">
        <v>2320</v>
      </c>
      <c r="B365" s="0" t="s">
        <v>661</v>
      </c>
      <c r="C365" s="0" t="s">
        <v>70</v>
      </c>
      <c r="D365" s="14" t="n">
        <v>45929</v>
      </c>
      <c r="E365" s="0" t="n">
        <v>1682.49</v>
      </c>
      <c r="F365" s="14" t="n">
        <v>45974</v>
      </c>
    </row>
    <row r="366" customFormat="false" ht="15" hidden="false" customHeight="false" outlineLevel="0" collapsed="false">
      <c r="A366" s="0" t="s">
        <v>2321</v>
      </c>
      <c r="B366" s="0" t="s">
        <v>662</v>
      </c>
      <c r="C366" s="0" t="s">
        <v>192</v>
      </c>
      <c r="D366" s="14" t="n">
        <v>46048</v>
      </c>
      <c r="E366" s="0" t="n">
        <v>1974.18</v>
      </c>
      <c r="F366" s="14" t="n">
        <v>46078</v>
      </c>
    </row>
    <row r="367" customFormat="false" ht="15" hidden="false" customHeight="false" outlineLevel="0" collapsed="false">
      <c r="A367" s="0" t="s">
        <v>2322</v>
      </c>
      <c r="B367" s="0" t="s">
        <v>663</v>
      </c>
      <c r="C367" s="0" t="s">
        <v>89</v>
      </c>
      <c r="D367" s="14" t="n">
        <v>46170</v>
      </c>
      <c r="E367" s="0" t="n">
        <v>2573.5</v>
      </c>
      <c r="F367" s="14" t="n">
        <v>46185</v>
      </c>
    </row>
    <row r="368" customFormat="false" ht="15" hidden="false" customHeight="false" outlineLevel="0" collapsed="false">
      <c r="A368" s="0" t="s">
        <v>2323</v>
      </c>
      <c r="B368" s="0" t="s">
        <v>664</v>
      </c>
      <c r="C368" s="0" t="s">
        <v>180</v>
      </c>
      <c r="D368" s="14" t="n">
        <v>46112</v>
      </c>
      <c r="E368" s="0" t="n">
        <v>3355.88</v>
      </c>
      <c r="F368" s="14" t="n">
        <v>46172</v>
      </c>
    </row>
    <row r="369" customFormat="false" ht="15" hidden="false" customHeight="false" outlineLevel="0" collapsed="false">
      <c r="A369" s="0" t="s">
        <v>2324</v>
      </c>
      <c r="B369" s="0" t="s">
        <v>665</v>
      </c>
      <c r="C369" s="0" t="s">
        <v>140</v>
      </c>
      <c r="D369" s="14" t="n">
        <v>46001</v>
      </c>
      <c r="E369" s="0" t="n">
        <v>2928.06</v>
      </c>
      <c r="F369" s="14" t="n">
        <v>46031</v>
      </c>
    </row>
    <row r="370" customFormat="false" ht="15" hidden="false" customHeight="false" outlineLevel="0" collapsed="false">
      <c r="A370" s="0" t="s">
        <v>2325</v>
      </c>
      <c r="B370" s="0" t="s">
        <v>666</v>
      </c>
      <c r="C370" s="0" t="s">
        <v>201</v>
      </c>
      <c r="D370" s="14" t="n">
        <v>46029</v>
      </c>
      <c r="E370" s="0" t="n">
        <v>3306.72</v>
      </c>
      <c r="F370" s="14" t="n">
        <v>46044</v>
      </c>
    </row>
    <row r="371" customFormat="false" ht="15" hidden="false" customHeight="false" outlineLevel="0" collapsed="false">
      <c r="A371" s="0" t="s">
        <v>2326</v>
      </c>
      <c r="B371" s="0" t="s">
        <v>667</v>
      </c>
      <c r="C371" s="0" t="s">
        <v>137</v>
      </c>
      <c r="D371" s="14" t="n">
        <v>46173</v>
      </c>
      <c r="E371" s="0" t="n">
        <v>7330.11</v>
      </c>
      <c r="F371" s="14" t="n">
        <v>46218</v>
      </c>
    </row>
    <row r="372" customFormat="false" ht="15" hidden="false" customHeight="false" outlineLevel="0" collapsed="false">
      <c r="A372" s="0" t="s">
        <v>2327</v>
      </c>
      <c r="B372" s="0" t="s">
        <v>668</v>
      </c>
      <c r="C372" s="0" t="s">
        <v>201</v>
      </c>
      <c r="D372" s="14" t="n">
        <v>45892</v>
      </c>
      <c r="E372" s="0" t="n">
        <v>305.65</v>
      </c>
      <c r="F372" s="14" t="n">
        <v>45907</v>
      </c>
    </row>
    <row r="373" customFormat="false" ht="15" hidden="false" customHeight="false" outlineLevel="0" collapsed="false">
      <c r="A373" s="0" t="s">
        <v>2328</v>
      </c>
      <c r="B373" s="0" t="s">
        <v>669</v>
      </c>
      <c r="C373" s="0" t="s">
        <v>116</v>
      </c>
      <c r="D373" s="14" t="n">
        <v>45970</v>
      </c>
      <c r="E373" s="0" t="n">
        <v>695.44</v>
      </c>
      <c r="F373" s="14" t="n">
        <v>46030</v>
      </c>
    </row>
    <row r="374" customFormat="false" ht="15" hidden="false" customHeight="false" outlineLevel="0" collapsed="false">
      <c r="A374" s="0" t="s">
        <v>2329</v>
      </c>
      <c r="B374" s="0" t="s">
        <v>670</v>
      </c>
      <c r="C374" s="0" t="s">
        <v>84</v>
      </c>
      <c r="D374" s="14" t="n">
        <v>46035</v>
      </c>
      <c r="E374" s="0" t="n">
        <v>8378.51</v>
      </c>
      <c r="F374" s="14" t="n">
        <v>46050</v>
      </c>
    </row>
    <row r="375" customFormat="false" ht="15" hidden="false" customHeight="false" outlineLevel="0" collapsed="false">
      <c r="A375" s="0" t="s">
        <v>2330</v>
      </c>
      <c r="B375" s="0" t="s">
        <v>671</v>
      </c>
      <c r="C375" s="0" t="s">
        <v>89</v>
      </c>
      <c r="D375" s="14" t="n">
        <v>46173</v>
      </c>
      <c r="E375" s="0" t="n">
        <v>1194.11</v>
      </c>
      <c r="F375" s="14" t="n">
        <v>46188</v>
      </c>
    </row>
    <row r="376" customFormat="false" ht="15" hidden="false" customHeight="false" outlineLevel="0" collapsed="false">
      <c r="A376" s="0" t="s">
        <v>2331</v>
      </c>
      <c r="B376" s="0" t="s">
        <v>672</v>
      </c>
      <c r="C376" s="0" t="s">
        <v>119</v>
      </c>
      <c r="D376" s="14" t="n">
        <v>46114</v>
      </c>
      <c r="E376" s="0" t="n">
        <v>755.76</v>
      </c>
      <c r="F376" s="14" t="n">
        <v>46129</v>
      </c>
    </row>
    <row r="377" customFormat="false" ht="15" hidden="false" customHeight="false" outlineLevel="0" collapsed="false">
      <c r="A377" s="0" t="s">
        <v>2332</v>
      </c>
      <c r="B377" s="0" t="s">
        <v>673</v>
      </c>
      <c r="C377" s="0" t="s">
        <v>180</v>
      </c>
      <c r="D377" s="14" t="n">
        <v>45698</v>
      </c>
      <c r="E377" s="0" t="n">
        <v>14821.15</v>
      </c>
      <c r="F377" s="14" t="n">
        <v>45758</v>
      </c>
    </row>
    <row r="378" customFormat="false" ht="15" hidden="false" customHeight="false" outlineLevel="0" collapsed="false">
      <c r="A378" s="0" t="s">
        <v>2333</v>
      </c>
      <c r="B378" s="0" t="s">
        <v>674</v>
      </c>
      <c r="C378" s="0" t="s">
        <v>122</v>
      </c>
      <c r="D378" s="14" t="n">
        <v>45772</v>
      </c>
      <c r="E378" s="0" t="n">
        <v>5777.41</v>
      </c>
      <c r="F378" s="14" t="n">
        <v>45802</v>
      </c>
    </row>
    <row r="379" customFormat="false" ht="15" hidden="false" customHeight="false" outlineLevel="0" collapsed="false">
      <c r="A379" s="0" t="s">
        <v>2334</v>
      </c>
      <c r="B379" s="0" t="s">
        <v>675</v>
      </c>
      <c r="C379" s="0" t="s">
        <v>192</v>
      </c>
      <c r="D379" s="14" t="n">
        <v>45829</v>
      </c>
      <c r="E379" s="0" t="n">
        <v>4303.23</v>
      </c>
      <c r="F379" s="14" t="n">
        <v>45859</v>
      </c>
    </row>
    <row r="380" customFormat="false" ht="15" hidden="false" customHeight="false" outlineLevel="0" collapsed="false">
      <c r="A380" s="0" t="s">
        <v>2335</v>
      </c>
      <c r="B380" s="0" t="s">
        <v>676</v>
      </c>
      <c r="C380" s="0" t="s">
        <v>186</v>
      </c>
      <c r="D380" s="14" t="n">
        <v>46090</v>
      </c>
      <c r="E380" s="0" t="n">
        <v>525.18</v>
      </c>
      <c r="F380" s="14" t="n">
        <v>46105</v>
      </c>
    </row>
    <row r="381" customFormat="false" ht="15" hidden="false" customHeight="false" outlineLevel="0" collapsed="false">
      <c r="A381" s="0" t="s">
        <v>2336</v>
      </c>
      <c r="B381" s="0" t="s">
        <v>677</v>
      </c>
      <c r="C381" s="0" t="s">
        <v>140</v>
      </c>
      <c r="D381" s="14" t="n">
        <v>45973</v>
      </c>
      <c r="E381" s="0" t="n">
        <v>2740.38</v>
      </c>
      <c r="F381" s="14" t="n">
        <v>46003</v>
      </c>
    </row>
    <row r="382" customFormat="false" ht="15" hidden="false" customHeight="false" outlineLevel="0" collapsed="false">
      <c r="A382" s="0" t="s">
        <v>2337</v>
      </c>
      <c r="B382" s="0" t="s">
        <v>678</v>
      </c>
      <c r="C382" s="0" t="s">
        <v>99</v>
      </c>
      <c r="D382" s="14" t="n">
        <v>45837</v>
      </c>
      <c r="E382" s="0" t="n">
        <v>9606.11</v>
      </c>
      <c r="F382" s="14" t="n">
        <v>45897</v>
      </c>
    </row>
    <row r="383" customFormat="false" ht="15" hidden="false" customHeight="false" outlineLevel="0" collapsed="false">
      <c r="A383" s="0" t="s">
        <v>2338</v>
      </c>
      <c r="B383" s="0" t="s">
        <v>679</v>
      </c>
      <c r="C383" s="0" t="s">
        <v>143</v>
      </c>
      <c r="D383" s="14" t="n">
        <v>45739</v>
      </c>
      <c r="E383" s="0" t="n">
        <v>3156.13</v>
      </c>
      <c r="F383" s="14" t="n">
        <v>45769</v>
      </c>
    </row>
    <row r="384" customFormat="false" ht="15" hidden="false" customHeight="false" outlineLevel="0" collapsed="false">
      <c r="A384" s="0" t="s">
        <v>2339</v>
      </c>
      <c r="B384" s="0" t="s">
        <v>680</v>
      </c>
      <c r="C384" s="0" t="s">
        <v>116</v>
      </c>
      <c r="D384" s="14" t="n">
        <v>46054</v>
      </c>
      <c r="E384" s="0" t="n">
        <v>1799.63</v>
      </c>
      <c r="F384" s="14" t="n">
        <v>46114</v>
      </c>
    </row>
    <row r="385" customFormat="false" ht="15" hidden="false" customHeight="false" outlineLevel="0" collapsed="false">
      <c r="A385" s="0" t="s">
        <v>2340</v>
      </c>
      <c r="B385" s="0" t="s">
        <v>681</v>
      </c>
      <c r="C385" s="0" t="s">
        <v>192</v>
      </c>
      <c r="D385" s="14" t="n">
        <v>46053</v>
      </c>
      <c r="E385" s="0" t="n">
        <v>4442.2</v>
      </c>
      <c r="F385" s="14" t="n">
        <v>46083</v>
      </c>
    </row>
    <row r="386" customFormat="false" ht="15" hidden="false" customHeight="false" outlineLevel="0" collapsed="false">
      <c r="A386" s="0" t="s">
        <v>2341</v>
      </c>
      <c r="B386" s="0" t="s">
        <v>682</v>
      </c>
      <c r="C386" s="0" t="s">
        <v>84</v>
      </c>
      <c r="D386" s="14" t="n">
        <v>46194</v>
      </c>
      <c r="E386" s="0" t="n">
        <v>1683.7</v>
      </c>
      <c r="F386" s="14" t="n">
        <v>46209</v>
      </c>
    </row>
    <row r="387" customFormat="false" ht="15" hidden="false" customHeight="false" outlineLevel="0" collapsed="false">
      <c r="A387" s="0" t="s">
        <v>2342</v>
      </c>
      <c r="B387" s="0" t="s">
        <v>683</v>
      </c>
      <c r="C387" s="0" t="s">
        <v>84</v>
      </c>
      <c r="D387" s="14" t="n">
        <v>45936</v>
      </c>
      <c r="E387" s="0" t="n">
        <v>2002.66</v>
      </c>
      <c r="F387" s="14" t="n">
        <v>45951</v>
      </c>
    </row>
    <row r="388" customFormat="false" ht="15" hidden="false" customHeight="false" outlineLevel="0" collapsed="false">
      <c r="A388" s="0" t="s">
        <v>2343</v>
      </c>
      <c r="B388" s="0" t="s">
        <v>684</v>
      </c>
      <c r="C388" s="0" t="s">
        <v>152</v>
      </c>
      <c r="D388" s="14" t="n">
        <v>45942</v>
      </c>
      <c r="E388" s="0" t="n">
        <v>1387.72</v>
      </c>
      <c r="F388" s="14" t="n">
        <v>46002</v>
      </c>
    </row>
    <row r="389" customFormat="false" ht="15" hidden="false" customHeight="false" outlineLevel="0" collapsed="false">
      <c r="A389" s="0" t="s">
        <v>2344</v>
      </c>
      <c r="B389" s="0" t="s">
        <v>685</v>
      </c>
      <c r="C389" s="0" t="s">
        <v>183</v>
      </c>
      <c r="D389" s="14" t="n">
        <v>45717</v>
      </c>
      <c r="E389" s="0" t="n">
        <v>2387.19</v>
      </c>
      <c r="F389" s="14" t="n">
        <v>45762</v>
      </c>
    </row>
    <row r="390" customFormat="false" ht="15" hidden="false" customHeight="false" outlineLevel="0" collapsed="false">
      <c r="A390" s="0" t="s">
        <v>2345</v>
      </c>
      <c r="B390" s="0" t="s">
        <v>686</v>
      </c>
      <c r="C390" s="0" t="s">
        <v>125</v>
      </c>
      <c r="D390" s="14" t="n">
        <v>45685</v>
      </c>
      <c r="E390" s="0" t="n">
        <v>4785.43</v>
      </c>
      <c r="F390" s="14" t="n">
        <v>45715</v>
      </c>
    </row>
    <row r="391" customFormat="false" ht="15" hidden="false" customHeight="false" outlineLevel="0" collapsed="false">
      <c r="A391" s="0" t="s">
        <v>2346</v>
      </c>
      <c r="B391" s="0" t="s">
        <v>687</v>
      </c>
      <c r="C391" s="0" t="s">
        <v>84</v>
      </c>
      <c r="D391" s="14" t="n">
        <v>45903</v>
      </c>
      <c r="E391" s="0" t="n">
        <v>543.23</v>
      </c>
      <c r="F391" s="14" t="n">
        <v>45918</v>
      </c>
    </row>
    <row r="392" customFormat="false" ht="15" hidden="false" customHeight="false" outlineLevel="0" collapsed="false">
      <c r="A392" s="0" t="s">
        <v>2347</v>
      </c>
      <c r="B392" s="0" t="s">
        <v>687</v>
      </c>
      <c r="C392" s="0" t="s">
        <v>84</v>
      </c>
      <c r="D392" s="14" t="n">
        <v>45910</v>
      </c>
      <c r="E392" s="0" t="n">
        <v>476.74</v>
      </c>
      <c r="F392" s="14" t="n">
        <v>45925</v>
      </c>
    </row>
    <row r="393" customFormat="false" ht="15" hidden="false" customHeight="false" outlineLevel="0" collapsed="false">
      <c r="A393" s="0" t="s">
        <v>2348</v>
      </c>
      <c r="B393" s="0" t="s">
        <v>688</v>
      </c>
      <c r="C393" s="0" t="s">
        <v>161</v>
      </c>
      <c r="D393" s="14" t="n">
        <v>45850</v>
      </c>
      <c r="E393" s="0" t="n">
        <v>327.34</v>
      </c>
      <c r="F393" s="14" t="n">
        <v>45895</v>
      </c>
    </row>
    <row r="394" customFormat="false" ht="15" hidden="false" customHeight="false" outlineLevel="0" collapsed="false">
      <c r="A394" s="0" t="s">
        <v>2349</v>
      </c>
      <c r="B394" s="0" t="s">
        <v>688</v>
      </c>
      <c r="C394" s="0" t="s">
        <v>161</v>
      </c>
      <c r="D394" s="14" t="n">
        <v>45853</v>
      </c>
      <c r="E394" s="0" t="n">
        <v>327.34</v>
      </c>
      <c r="F394" s="14" t="n">
        <v>45898</v>
      </c>
    </row>
    <row r="395" customFormat="false" ht="15" hidden="false" customHeight="false" outlineLevel="0" collapsed="false">
      <c r="A395" s="0" t="s">
        <v>2350</v>
      </c>
      <c r="B395" s="0" t="s">
        <v>689</v>
      </c>
      <c r="C395" s="0" t="s">
        <v>84</v>
      </c>
      <c r="D395" s="14" t="n">
        <v>45810</v>
      </c>
      <c r="E395" s="0" t="n">
        <v>2106.84</v>
      </c>
      <c r="F395" s="14" t="n">
        <v>45825</v>
      </c>
    </row>
    <row r="396" customFormat="false" ht="15" hidden="false" customHeight="false" outlineLevel="0" collapsed="false">
      <c r="A396" s="0" t="s">
        <v>2351</v>
      </c>
      <c r="B396" s="0" t="s">
        <v>690</v>
      </c>
      <c r="C396" s="0" t="s">
        <v>140</v>
      </c>
      <c r="D396" s="14" t="n">
        <v>45716</v>
      </c>
      <c r="E396" s="0" t="n">
        <v>175.5</v>
      </c>
      <c r="F396" s="14" t="n">
        <v>45746</v>
      </c>
    </row>
    <row r="397" customFormat="false" ht="15" hidden="false" customHeight="false" outlineLevel="0" collapsed="false">
      <c r="A397" s="0" t="s">
        <v>2352</v>
      </c>
      <c r="B397" s="0" t="s">
        <v>691</v>
      </c>
      <c r="C397" s="0" t="s">
        <v>112</v>
      </c>
      <c r="D397" s="14" t="n">
        <v>46204</v>
      </c>
      <c r="E397" s="0" t="n">
        <v>7138.19</v>
      </c>
      <c r="F397" s="14" t="n">
        <v>46249</v>
      </c>
    </row>
    <row r="398" customFormat="false" ht="15" hidden="false" customHeight="false" outlineLevel="0" collapsed="false">
      <c r="A398" s="0" t="s">
        <v>2353</v>
      </c>
      <c r="B398" s="0" t="s">
        <v>692</v>
      </c>
      <c r="C398" s="0" t="s">
        <v>152</v>
      </c>
      <c r="D398" s="14" t="n">
        <v>46116</v>
      </c>
      <c r="E398" s="0" t="n">
        <v>3683.41</v>
      </c>
      <c r="F398" s="14" t="n">
        <v>46176</v>
      </c>
    </row>
    <row r="399" customFormat="false" ht="15" hidden="false" customHeight="false" outlineLevel="0" collapsed="false">
      <c r="A399" s="0" t="s">
        <v>2354</v>
      </c>
      <c r="B399" s="0" t="s">
        <v>693</v>
      </c>
      <c r="C399" s="0" t="s">
        <v>195</v>
      </c>
      <c r="D399" s="14" t="n">
        <v>45984</v>
      </c>
      <c r="E399" s="0" t="n">
        <v>1037.11</v>
      </c>
      <c r="F399" s="14" t="n">
        <v>46014</v>
      </c>
    </row>
    <row r="400" customFormat="false" ht="15" hidden="false" customHeight="false" outlineLevel="0" collapsed="false">
      <c r="A400" s="0" t="s">
        <v>2355</v>
      </c>
      <c r="B400" s="0" t="s">
        <v>694</v>
      </c>
      <c r="C400" s="0" t="s">
        <v>70</v>
      </c>
      <c r="D400" s="14" t="n">
        <v>46197</v>
      </c>
      <c r="E400" s="0" t="n">
        <v>321.55</v>
      </c>
      <c r="F400" s="14" t="n">
        <v>46242</v>
      </c>
    </row>
    <row r="401" customFormat="false" ht="15" hidden="false" customHeight="false" outlineLevel="0" collapsed="false">
      <c r="A401" s="0" t="s">
        <v>2356</v>
      </c>
      <c r="B401" s="0" t="s">
        <v>695</v>
      </c>
      <c r="C401" s="0" t="s">
        <v>128</v>
      </c>
      <c r="D401" s="14" t="n">
        <v>46205</v>
      </c>
      <c r="E401" s="0" t="n">
        <v>2982.17</v>
      </c>
      <c r="F401" s="14" t="n">
        <v>46235</v>
      </c>
    </row>
    <row r="402" customFormat="false" ht="15" hidden="false" customHeight="false" outlineLevel="0" collapsed="false">
      <c r="A402" s="0" t="s">
        <v>2357</v>
      </c>
      <c r="B402" s="0" t="s">
        <v>696</v>
      </c>
      <c r="C402" s="0" t="s">
        <v>99</v>
      </c>
      <c r="D402" s="14" t="n">
        <v>46031</v>
      </c>
      <c r="E402" s="0" t="n">
        <v>688.7</v>
      </c>
      <c r="F402" s="14" t="n">
        <v>46091</v>
      </c>
    </row>
    <row r="403" customFormat="false" ht="15" hidden="false" customHeight="false" outlineLevel="0" collapsed="false">
      <c r="A403" s="0" t="s">
        <v>2358</v>
      </c>
      <c r="B403" s="0" t="s">
        <v>697</v>
      </c>
      <c r="C403" s="0" t="s">
        <v>155</v>
      </c>
      <c r="D403" s="14" t="n">
        <v>45828</v>
      </c>
      <c r="E403" s="0" t="n">
        <v>8582.35</v>
      </c>
      <c r="F403" s="14" t="n">
        <v>45873</v>
      </c>
    </row>
    <row r="404" customFormat="false" ht="15" hidden="false" customHeight="false" outlineLevel="0" collapsed="false">
      <c r="A404" s="0" t="s">
        <v>2359</v>
      </c>
      <c r="B404" s="0" t="s">
        <v>698</v>
      </c>
      <c r="C404" s="0" t="s">
        <v>112</v>
      </c>
      <c r="D404" s="14" t="n">
        <v>45698</v>
      </c>
      <c r="E404" s="0" t="n">
        <v>4765.55</v>
      </c>
      <c r="F404" s="14" t="n">
        <v>45743</v>
      </c>
    </row>
    <row r="405" customFormat="false" ht="15" hidden="false" customHeight="false" outlineLevel="0" collapsed="false">
      <c r="A405" s="0" t="s">
        <v>2360</v>
      </c>
      <c r="B405" s="0" t="s">
        <v>699</v>
      </c>
      <c r="C405" s="0" t="s">
        <v>75</v>
      </c>
      <c r="D405" s="14" t="n">
        <v>46090</v>
      </c>
      <c r="E405" s="0" t="n">
        <v>3276.88</v>
      </c>
      <c r="F405" s="14" t="n">
        <v>46105</v>
      </c>
    </row>
    <row r="406" customFormat="false" ht="15" hidden="false" customHeight="false" outlineLevel="0" collapsed="false">
      <c r="A406" s="0" t="s">
        <v>2361</v>
      </c>
      <c r="B406" s="0" t="s">
        <v>700</v>
      </c>
      <c r="C406" s="0" t="s">
        <v>180</v>
      </c>
      <c r="D406" s="14" t="n">
        <v>45925</v>
      </c>
      <c r="E406" s="0" t="n">
        <v>1027.11</v>
      </c>
      <c r="F406" s="14" t="n">
        <v>45985</v>
      </c>
    </row>
    <row r="407" customFormat="false" ht="15" hidden="false" customHeight="false" outlineLevel="0" collapsed="false">
      <c r="A407" s="0" t="s">
        <v>2362</v>
      </c>
      <c r="B407" s="0" t="s">
        <v>700</v>
      </c>
      <c r="C407" s="0" t="s">
        <v>180</v>
      </c>
      <c r="D407" s="14" t="n">
        <v>45928</v>
      </c>
      <c r="E407" s="0" t="n">
        <v>1027.11</v>
      </c>
      <c r="F407" s="14" t="n">
        <v>45988</v>
      </c>
    </row>
    <row r="408" customFormat="false" ht="15" hidden="false" customHeight="false" outlineLevel="0" collapsed="false">
      <c r="A408" s="0" t="s">
        <v>2363</v>
      </c>
      <c r="B408" s="0" t="s">
        <v>701</v>
      </c>
      <c r="C408" s="0" t="s">
        <v>171</v>
      </c>
      <c r="D408" s="14" t="n">
        <v>46032</v>
      </c>
      <c r="E408" s="0" t="n">
        <v>4853.33</v>
      </c>
      <c r="F408" s="14" t="n">
        <v>46092</v>
      </c>
    </row>
    <row r="409" customFormat="false" ht="15" hidden="false" customHeight="false" outlineLevel="0" collapsed="false">
      <c r="A409" s="0" t="s">
        <v>2364</v>
      </c>
      <c r="B409" s="0" t="s">
        <v>702</v>
      </c>
      <c r="C409" s="0" t="s">
        <v>131</v>
      </c>
      <c r="D409" s="14" t="n">
        <v>46162</v>
      </c>
      <c r="E409" s="0" t="n">
        <v>4213.88</v>
      </c>
      <c r="F409" s="14" t="n">
        <v>46207</v>
      </c>
    </row>
    <row r="410" customFormat="false" ht="15" hidden="false" customHeight="false" outlineLevel="0" collapsed="false">
      <c r="A410" s="0" t="s">
        <v>2365</v>
      </c>
      <c r="B410" s="0" t="s">
        <v>703</v>
      </c>
      <c r="C410" s="0" t="s">
        <v>134</v>
      </c>
      <c r="D410" s="14" t="n">
        <v>45774</v>
      </c>
      <c r="E410" s="0" t="n">
        <v>1024.13</v>
      </c>
      <c r="F410" s="14" t="n">
        <v>45804</v>
      </c>
    </row>
    <row r="411" customFormat="false" ht="15" hidden="false" customHeight="false" outlineLevel="0" collapsed="false">
      <c r="A411" s="0" t="s">
        <v>2366</v>
      </c>
      <c r="B411" s="0" t="s">
        <v>704</v>
      </c>
      <c r="C411" s="0" t="s">
        <v>75</v>
      </c>
      <c r="D411" s="14" t="n">
        <v>45985</v>
      </c>
      <c r="E411" s="0" t="n">
        <v>6836.7</v>
      </c>
      <c r="F411" s="14" t="n">
        <v>46000</v>
      </c>
    </row>
    <row r="412" customFormat="false" ht="15" hidden="false" customHeight="false" outlineLevel="0" collapsed="false">
      <c r="A412" s="0" t="s">
        <v>2367</v>
      </c>
      <c r="B412" s="0" t="s">
        <v>705</v>
      </c>
      <c r="C412" s="0" t="s">
        <v>167</v>
      </c>
      <c r="D412" s="14" t="n">
        <v>46028</v>
      </c>
      <c r="E412" s="0" t="n">
        <v>2800.96</v>
      </c>
      <c r="F412" s="14" t="n">
        <v>46088</v>
      </c>
    </row>
    <row r="413" customFormat="false" ht="15" hidden="false" customHeight="false" outlineLevel="0" collapsed="false">
      <c r="A413" s="0" t="s">
        <v>2368</v>
      </c>
      <c r="B413" s="0" t="s">
        <v>706</v>
      </c>
      <c r="C413" s="0" t="s">
        <v>84</v>
      </c>
      <c r="D413" s="14" t="n">
        <v>45929</v>
      </c>
      <c r="E413" s="0" t="n">
        <v>2607.21</v>
      </c>
      <c r="F413" s="14" t="n">
        <v>45944</v>
      </c>
    </row>
    <row r="414" customFormat="false" ht="15" hidden="false" customHeight="false" outlineLevel="0" collapsed="false">
      <c r="A414" s="0" t="s">
        <v>2369</v>
      </c>
      <c r="B414" s="0" t="s">
        <v>707</v>
      </c>
      <c r="C414" s="0" t="s">
        <v>122</v>
      </c>
      <c r="D414" s="14" t="n">
        <v>45731</v>
      </c>
      <c r="E414" s="0" t="n">
        <v>3346.97</v>
      </c>
      <c r="F414" s="14" t="n">
        <v>45761</v>
      </c>
    </row>
    <row r="415" customFormat="false" ht="15" hidden="false" customHeight="false" outlineLevel="0" collapsed="false">
      <c r="A415" s="0" t="s">
        <v>2370</v>
      </c>
      <c r="B415" s="0" t="s">
        <v>708</v>
      </c>
      <c r="C415" s="0" t="s">
        <v>164</v>
      </c>
      <c r="D415" s="14" t="n">
        <v>45859</v>
      </c>
      <c r="E415" s="0" t="n">
        <v>927.7</v>
      </c>
      <c r="F415" s="14" t="n">
        <v>45904</v>
      </c>
    </row>
    <row r="416" customFormat="false" ht="15" hidden="false" customHeight="false" outlineLevel="0" collapsed="false">
      <c r="A416" s="0" t="s">
        <v>2371</v>
      </c>
      <c r="B416" s="0" t="s">
        <v>709</v>
      </c>
      <c r="C416" s="0" t="s">
        <v>134</v>
      </c>
      <c r="D416" s="14" t="n">
        <v>45860</v>
      </c>
      <c r="E416" s="0" t="n">
        <v>1759.54</v>
      </c>
      <c r="F416" s="14" t="n">
        <v>45890</v>
      </c>
    </row>
    <row r="417" customFormat="false" ht="15" hidden="false" customHeight="false" outlineLevel="0" collapsed="false">
      <c r="A417" s="0" t="s">
        <v>2372</v>
      </c>
      <c r="B417" s="0" t="s">
        <v>710</v>
      </c>
      <c r="C417" s="0" t="s">
        <v>167</v>
      </c>
      <c r="D417" s="14" t="n">
        <v>46043</v>
      </c>
      <c r="E417" s="0" t="n">
        <v>1478.45</v>
      </c>
      <c r="F417" s="14" t="n">
        <v>46103</v>
      </c>
    </row>
    <row r="418" customFormat="false" ht="15" hidden="false" customHeight="false" outlineLevel="0" collapsed="false">
      <c r="A418" s="0" t="s">
        <v>2373</v>
      </c>
      <c r="B418" s="0" t="s">
        <v>711</v>
      </c>
      <c r="C418" s="0" t="s">
        <v>158</v>
      </c>
      <c r="D418" s="14" t="n">
        <v>46142</v>
      </c>
      <c r="E418" s="0" t="n">
        <v>5195.5</v>
      </c>
      <c r="F418" s="14" t="n">
        <v>46202</v>
      </c>
    </row>
    <row r="419" customFormat="false" ht="15" hidden="false" customHeight="false" outlineLevel="0" collapsed="false">
      <c r="A419" s="0" t="s">
        <v>2374</v>
      </c>
      <c r="B419" s="0" t="s">
        <v>712</v>
      </c>
      <c r="C419" s="0" t="s">
        <v>155</v>
      </c>
      <c r="D419" s="14" t="n">
        <v>45858</v>
      </c>
      <c r="E419" s="0" t="n">
        <v>3949.44</v>
      </c>
      <c r="F419" s="14" t="n">
        <v>45903</v>
      </c>
    </row>
    <row r="420" customFormat="false" ht="15" hidden="false" customHeight="false" outlineLevel="0" collapsed="false">
      <c r="A420" s="0" t="s">
        <v>2375</v>
      </c>
      <c r="B420" s="0" t="s">
        <v>713</v>
      </c>
      <c r="C420" s="0" t="s">
        <v>174</v>
      </c>
      <c r="D420" s="14" t="n">
        <v>46044</v>
      </c>
      <c r="E420" s="0" t="n">
        <v>1814.72</v>
      </c>
      <c r="F420" s="14" t="n">
        <v>46059</v>
      </c>
    </row>
    <row r="421" customFormat="false" ht="15" hidden="false" customHeight="false" outlineLevel="0" collapsed="false">
      <c r="A421" s="0" t="s">
        <v>2376</v>
      </c>
      <c r="B421" s="0" t="s">
        <v>714</v>
      </c>
      <c r="C421" s="0" t="s">
        <v>80</v>
      </c>
      <c r="D421" s="14" t="n">
        <v>45820</v>
      </c>
      <c r="E421" s="0" t="n">
        <v>3826.85</v>
      </c>
      <c r="F421" s="14" t="n">
        <v>45835</v>
      </c>
    </row>
    <row r="422" customFormat="false" ht="15" hidden="false" customHeight="false" outlineLevel="0" collapsed="false">
      <c r="A422" s="0" t="s">
        <v>2377</v>
      </c>
      <c r="B422" s="0" t="s">
        <v>715</v>
      </c>
      <c r="C422" s="0" t="s">
        <v>119</v>
      </c>
      <c r="D422" s="14" t="n">
        <v>46194</v>
      </c>
      <c r="E422" s="0" t="n">
        <v>1836.32</v>
      </c>
      <c r="F422" s="14" t="n">
        <v>46209</v>
      </c>
    </row>
    <row r="423" customFormat="false" ht="15" hidden="false" customHeight="false" outlineLevel="0" collapsed="false">
      <c r="A423" s="0" t="s">
        <v>2378</v>
      </c>
      <c r="B423" s="0" t="s">
        <v>716</v>
      </c>
      <c r="C423" s="0" t="s">
        <v>137</v>
      </c>
      <c r="D423" s="14" t="n">
        <v>46113</v>
      </c>
      <c r="E423" s="0" t="n">
        <v>933.1</v>
      </c>
      <c r="F423" s="14" t="n">
        <v>46158</v>
      </c>
    </row>
    <row r="424" customFormat="false" ht="15" hidden="false" customHeight="false" outlineLevel="0" collapsed="false">
      <c r="A424" s="0" t="s">
        <v>2379</v>
      </c>
      <c r="B424" s="0" t="s">
        <v>717</v>
      </c>
      <c r="C424" s="0" t="s">
        <v>116</v>
      </c>
      <c r="D424" s="14" t="n">
        <v>45965</v>
      </c>
      <c r="E424" s="0" t="n">
        <v>7023.92</v>
      </c>
      <c r="F424" s="14" t="n">
        <v>46025</v>
      </c>
    </row>
    <row r="425" customFormat="false" ht="15" hidden="false" customHeight="false" outlineLevel="0" collapsed="false">
      <c r="A425" s="0" t="s">
        <v>2380</v>
      </c>
      <c r="B425" s="0" t="s">
        <v>718</v>
      </c>
      <c r="C425" s="0" t="s">
        <v>146</v>
      </c>
      <c r="D425" s="14" t="n">
        <v>45909</v>
      </c>
      <c r="E425" s="0" t="n">
        <v>3586.35</v>
      </c>
      <c r="F425" s="14" t="n">
        <v>45939</v>
      </c>
    </row>
    <row r="426" customFormat="false" ht="15" hidden="false" customHeight="false" outlineLevel="0" collapsed="false">
      <c r="A426" s="0" t="s">
        <v>2381</v>
      </c>
      <c r="B426" s="0" t="s">
        <v>719</v>
      </c>
      <c r="C426" s="0" t="s">
        <v>167</v>
      </c>
      <c r="D426" s="14" t="n">
        <v>45841</v>
      </c>
      <c r="E426" s="0" t="n">
        <v>3705.05</v>
      </c>
      <c r="F426" s="14" t="n">
        <v>45901</v>
      </c>
    </row>
    <row r="427" customFormat="false" ht="15" hidden="false" customHeight="false" outlineLevel="0" collapsed="false">
      <c r="A427" s="0" t="s">
        <v>2382</v>
      </c>
      <c r="B427" s="0" t="s">
        <v>720</v>
      </c>
      <c r="C427" s="0" t="s">
        <v>89</v>
      </c>
      <c r="D427" s="14" t="n">
        <v>45846</v>
      </c>
      <c r="E427" s="0" t="n">
        <v>4579.99</v>
      </c>
      <c r="F427" s="14" t="n">
        <v>45861</v>
      </c>
    </row>
    <row r="428" customFormat="false" ht="15" hidden="false" customHeight="false" outlineLevel="0" collapsed="false">
      <c r="A428" s="0" t="s">
        <v>2383</v>
      </c>
      <c r="B428" s="0" t="s">
        <v>721</v>
      </c>
      <c r="C428" s="0" t="s">
        <v>125</v>
      </c>
      <c r="D428" s="14" t="n">
        <v>46207</v>
      </c>
      <c r="E428" s="0" t="n">
        <v>439.82</v>
      </c>
      <c r="F428" s="14" t="n">
        <v>46237</v>
      </c>
    </row>
    <row r="429" customFormat="false" ht="15" hidden="false" customHeight="false" outlineLevel="0" collapsed="false">
      <c r="A429" s="0" t="s">
        <v>2384</v>
      </c>
      <c r="B429" s="0" t="s">
        <v>722</v>
      </c>
      <c r="C429" s="0" t="s">
        <v>109</v>
      </c>
      <c r="D429" s="14" t="n">
        <v>45886</v>
      </c>
      <c r="E429" s="0" t="n">
        <v>1348.19</v>
      </c>
      <c r="F429" s="14" t="n">
        <v>45901</v>
      </c>
    </row>
    <row r="430" customFormat="false" ht="15" hidden="false" customHeight="false" outlineLevel="0" collapsed="false">
      <c r="A430" s="0" t="s">
        <v>2385</v>
      </c>
      <c r="B430" s="0" t="s">
        <v>723</v>
      </c>
      <c r="C430" s="0" t="s">
        <v>134</v>
      </c>
      <c r="D430" s="14" t="n">
        <v>45961</v>
      </c>
      <c r="E430" s="0" t="n">
        <v>2579.5</v>
      </c>
      <c r="F430" s="14" t="n">
        <v>45991</v>
      </c>
    </row>
    <row r="431" customFormat="false" ht="15" hidden="false" customHeight="false" outlineLevel="0" collapsed="false">
      <c r="A431" s="0" t="s">
        <v>2386</v>
      </c>
      <c r="B431" s="0" t="s">
        <v>724</v>
      </c>
      <c r="C431" s="0" t="s">
        <v>70</v>
      </c>
      <c r="D431" s="14" t="n">
        <v>46199</v>
      </c>
      <c r="E431" s="0" t="n">
        <v>1874.41</v>
      </c>
      <c r="F431" s="14" t="n">
        <v>46244</v>
      </c>
    </row>
    <row r="432" customFormat="false" ht="15" hidden="false" customHeight="false" outlineLevel="0" collapsed="false">
      <c r="A432" s="0" t="s">
        <v>2387</v>
      </c>
      <c r="B432" s="0" t="s">
        <v>725</v>
      </c>
      <c r="C432" s="0" t="s">
        <v>183</v>
      </c>
      <c r="D432" s="14" t="n">
        <v>46038</v>
      </c>
      <c r="E432" s="0" t="n">
        <v>1850.75</v>
      </c>
      <c r="F432" s="14" t="n">
        <v>46083</v>
      </c>
    </row>
    <row r="433" customFormat="false" ht="15" hidden="false" customHeight="false" outlineLevel="0" collapsed="false">
      <c r="A433" s="0" t="s">
        <v>2388</v>
      </c>
      <c r="B433" s="0" t="s">
        <v>726</v>
      </c>
      <c r="C433" s="0" t="s">
        <v>93</v>
      </c>
      <c r="D433" s="14" t="n">
        <v>45965</v>
      </c>
      <c r="E433" s="0" t="n">
        <v>1673.73</v>
      </c>
      <c r="F433" s="14" t="n">
        <v>46025</v>
      </c>
    </row>
    <row r="434" customFormat="false" ht="15" hidden="false" customHeight="false" outlineLevel="0" collapsed="false">
      <c r="A434" s="0" t="s">
        <v>2389</v>
      </c>
      <c r="B434" s="0" t="s">
        <v>727</v>
      </c>
      <c r="C434" s="0" t="s">
        <v>75</v>
      </c>
      <c r="D434" s="14" t="n">
        <v>45908</v>
      </c>
      <c r="E434" s="0" t="n">
        <v>3809.51</v>
      </c>
      <c r="F434" s="14" t="n">
        <v>45923</v>
      </c>
    </row>
    <row r="435" customFormat="false" ht="15" hidden="false" customHeight="false" outlineLevel="0" collapsed="false">
      <c r="A435" s="0" t="s">
        <v>2390</v>
      </c>
      <c r="B435" s="0" t="s">
        <v>728</v>
      </c>
      <c r="C435" s="0" t="s">
        <v>146</v>
      </c>
      <c r="D435" s="14" t="n">
        <v>45783</v>
      </c>
      <c r="E435" s="0" t="n">
        <v>537.31</v>
      </c>
      <c r="F435" s="14" t="n">
        <v>45813</v>
      </c>
    </row>
    <row r="436" customFormat="false" ht="15" hidden="false" customHeight="false" outlineLevel="0" collapsed="false">
      <c r="A436" s="0" t="s">
        <v>2391</v>
      </c>
      <c r="B436" s="0" t="s">
        <v>729</v>
      </c>
      <c r="C436" s="0" t="s">
        <v>96</v>
      </c>
      <c r="D436" s="14" t="n">
        <v>45863</v>
      </c>
      <c r="E436" s="0" t="n">
        <v>1115.7</v>
      </c>
      <c r="F436" s="14" t="n">
        <v>45878</v>
      </c>
    </row>
    <row r="437" customFormat="false" ht="15" hidden="false" customHeight="false" outlineLevel="0" collapsed="false">
      <c r="A437" s="0" t="s">
        <v>2392</v>
      </c>
      <c r="B437" s="0" t="s">
        <v>730</v>
      </c>
      <c r="C437" s="0" t="s">
        <v>137</v>
      </c>
      <c r="D437" s="14" t="n">
        <v>46083</v>
      </c>
      <c r="E437" s="0" t="n">
        <v>1572.78</v>
      </c>
      <c r="F437" s="14" t="n">
        <v>46128</v>
      </c>
    </row>
    <row r="438" customFormat="false" ht="15" hidden="false" customHeight="false" outlineLevel="0" collapsed="false">
      <c r="A438" s="0" t="s">
        <v>2393</v>
      </c>
      <c r="B438" s="0" t="s">
        <v>731</v>
      </c>
      <c r="C438" s="0" t="s">
        <v>155</v>
      </c>
      <c r="D438" s="14" t="n">
        <v>46000</v>
      </c>
      <c r="E438" s="0" t="n">
        <v>1440.58</v>
      </c>
      <c r="F438" s="14" t="n">
        <v>46045</v>
      </c>
    </row>
    <row r="439" customFormat="false" ht="15" hidden="false" customHeight="false" outlineLevel="0" collapsed="false">
      <c r="A439" s="0" t="s">
        <v>2394</v>
      </c>
      <c r="B439" s="0" t="s">
        <v>732</v>
      </c>
      <c r="C439" s="0" t="s">
        <v>140</v>
      </c>
      <c r="D439" s="14" t="n">
        <v>46091</v>
      </c>
      <c r="E439" s="0" t="n">
        <v>308.34</v>
      </c>
      <c r="F439" s="14" t="n">
        <v>46121</v>
      </c>
    </row>
    <row r="440" customFormat="false" ht="15" hidden="false" customHeight="false" outlineLevel="0" collapsed="false">
      <c r="A440" s="0" t="s">
        <v>2395</v>
      </c>
      <c r="B440" s="0" t="s">
        <v>733</v>
      </c>
      <c r="C440" s="0" t="s">
        <v>183</v>
      </c>
      <c r="D440" s="14" t="n">
        <v>45782</v>
      </c>
      <c r="E440" s="0" t="n">
        <v>303.89</v>
      </c>
      <c r="F440" s="14" t="n">
        <v>45827</v>
      </c>
    </row>
    <row r="441" customFormat="false" ht="15" hidden="false" customHeight="false" outlineLevel="0" collapsed="false">
      <c r="A441" s="0" t="s">
        <v>2396</v>
      </c>
      <c r="B441" s="0" t="s">
        <v>734</v>
      </c>
      <c r="C441" s="0" t="s">
        <v>149</v>
      </c>
      <c r="D441" s="14" t="n">
        <v>45968</v>
      </c>
      <c r="E441" s="0" t="n">
        <v>4223.32</v>
      </c>
      <c r="F441" s="14" t="n">
        <v>45998</v>
      </c>
    </row>
    <row r="442" customFormat="false" ht="15" hidden="false" customHeight="false" outlineLevel="0" collapsed="false">
      <c r="A442" s="0" t="s">
        <v>2397</v>
      </c>
      <c r="B442" s="0" t="s">
        <v>735</v>
      </c>
      <c r="C442" s="0" t="s">
        <v>125</v>
      </c>
      <c r="D442" s="14" t="n">
        <v>46166</v>
      </c>
      <c r="E442" s="0" t="n">
        <v>1084.38</v>
      </c>
      <c r="F442" s="14" t="n">
        <v>46196</v>
      </c>
    </row>
    <row r="443" customFormat="false" ht="15" hidden="false" customHeight="false" outlineLevel="0" collapsed="false">
      <c r="A443" s="0" t="s">
        <v>2398</v>
      </c>
      <c r="B443" s="0" t="s">
        <v>736</v>
      </c>
      <c r="C443" s="0" t="s">
        <v>192</v>
      </c>
      <c r="D443" s="14" t="n">
        <v>45905</v>
      </c>
      <c r="E443" s="0" t="n">
        <v>3288.85</v>
      </c>
      <c r="F443" s="14" t="n">
        <v>45935</v>
      </c>
    </row>
    <row r="444" customFormat="false" ht="15" hidden="false" customHeight="false" outlineLevel="0" collapsed="false">
      <c r="A444" s="0" t="s">
        <v>2399</v>
      </c>
      <c r="B444" s="0" t="s">
        <v>737</v>
      </c>
      <c r="C444" s="0" t="s">
        <v>75</v>
      </c>
      <c r="D444" s="14" t="n">
        <v>46049</v>
      </c>
      <c r="E444" s="0" t="n">
        <v>2979.58</v>
      </c>
      <c r="F444" s="14" t="n">
        <v>46064</v>
      </c>
    </row>
    <row r="445" customFormat="false" ht="15" hidden="false" customHeight="false" outlineLevel="0" collapsed="false">
      <c r="A445" s="0" t="s">
        <v>2400</v>
      </c>
      <c r="B445" s="0" t="s">
        <v>738</v>
      </c>
      <c r="C445" s="0" t="s">
        <v>134</v>
      </c>
      <c r="D445" s="14" t="n">
        <v>45729</v>
      </c>
      <c r="E445" s="0" t="n">
        <v>209.66</v>
      </c>
      <c r="F445" s="14" t="n">
        <v>45759</v>
      </c>
    </row>
    <row r="446" customFormat="false" ht="15" hidden="false" customHeight="false" outlineLevel="0" collapsed="false">
      <c r="A446" s="0" t="s">
        <v>2401</v>
      </c>
      <c r="B446" s="0" t="s">
        <v>739</v>
      </c>
      <c r="C446" s="0" t="s">
        <v>192</v>
      </c>
      <c r="D446" s="14" t="n">
        <v>46196</v>
      </c>
      <c r="E446" s="0" t="n">
        <v>3415.67</v>
      </c>
      <c r="F446" s="14" t="n">
        <v>46226</v>
      </c>
    </row>
    <row r="447" customFormat="false" ht="15" hidden="false" customHeight="false" outlineLevel="0" collapsed="false">
      <c r="A447" s="0" t="s">
        <v>2402</v>
      </c>
      <c r="B447" s="0" t="s">
        <v>739</v>
      </c>
      <c r="C447" s="0" t="s">
        <v>192</v>
      </c>
      <c r="D447" s="14" t="n">
        <v>46204</v>
      </c>
      <c r="E447" s="0" t="n">
        <v>3415.67</v>
      </c>
      <c r="F447" s="14" t="n">
        <v>46234</v>
      </c>
    </row>
    <row r="448" customFormat="false" ht="15" hidden="false" customHeight="false" outlineLevel="0" collapsed="false">
      <c r="A448" s="0" t="s">
        <v>2403</v>
      </c>
      <c r="B448" s="0" t="s">
        <v>740</v>
      </c>
      <c r="C448" s="0" t="s">
        <v>158</v>
      </c>
      <c r="D448" s="14" t="n">
        <v>46007</v>
      </c>
      <c r="E448" s="0" t="n">
        <v>1992.56</v>
      </c>
      <c r="F448" s="14" t="n">
        <v>46067</v>
      </c>
    </row>
    <row r="449" customFormat="false" ht="15" hidden="false" customHeight="false" outlineLevel="0" collapsed="false">
      <c r="A449" s="0" t="s">
        <v>2404</v>
      </c>
      <c r="B449" s="0" t="s">
        <v>741</v>
      </c>
      <c r="C449" s="0" t="s">
        <v>70</v>
      </c>
      <c r="D449" s="14" t="n">
        <v>45805</v>
      </c>
      <c r="E449" s="0" t="n">
        <v>2035.46</v>
      </c>
      <c r="F449" s="14" t="n">
        <v>45850</v>
      </c>
    </row>
    <row r="450" customFormat="false" ht="15" hidden="false" customHeight="false" outlineLevel="0" collapsed="false">
      <c r="A450" s="0" t="s">
        <v>2405</v>
      </c>
      <c r="B450" s="0" t="s">
        <v>742</v>
      </c>
      <c r="C450" s="0" t="s">
        <v>93</v>
      </c>
      <c r="D450" s="14" t="n">
        <v>45756</v>
      </c>
      <c r="E450" s="0" t="n">
        <v>9019.36</v>
      </c>
      <c r="F450" s="14" t="n">
        <v>45816</v>
      </c>
    </row>
    <row r="451" customFormat="false" ht="15" hidden="false" customHeight="false" outlineLevel="0" collapsed="false">
      <c r="A451" s="0" t="s">
        <v>2406</v>
      </c>
      <c r="B451" s="0" t="s">
        <v>743</v>
      </c>
      <c r="C451" s="0" t="s">
        <v>128</v>
      </c>
      <c r="D451" s="14" t="n">
        <v>45976</v>
      </c>
      <c r="E451" s="0" t="n">
        <v>1812.95</v>
      </c>
      <c r="F451" s="14" t="n">
        <v>46006</v>
      </c>
    </row>
    <row r="452" customFormat="false" ht="15" hidden="false" customHeight="false" outlineLevel="0" collapsed="false">
      <c r="A452" s="0" t="s">
        <v>2407</v>
      </c>
      <c r="B452" s="0" t="s">
        <v>744</v>
      </c>
      <c r="C452" s="0" t="s">
        <v>149</v>
      </c>
      <c r="D452" s="14" t="n">
        <v>45983</v>
      </c>
      <c r="E452" s="0" t="n">
        <v>1047.46</v>
      </c>
      <c r="F452" s="14" t="n">
        <v>46013</v>
      </c>
    </row>
    <row r="453" customFormat="false" ht="15" hidden="false" customHeight="false" outlineLevel="0" collapsed="false">
      <c r="A453" s="0" t="s">
        <v>2408</v>
      </c>
      <c r="B453" s="0" t="s">
        <v>745</v>
      </c>
      <c r="C453" s="0" t="s">
        <v>104</v>
      </c>
      <c r="D453" s="14" t="n">
        <v>45713</v>
      </c>
      <c r="E453" s="0" t="n">
        <v>3396.34</v>
      </c>
      <c r="F453" s="14" t="n">
        <v>45743</v>
      </c>
    </row>
    <row r="454" customFormat="false" ht="15" hidden="false" customHeight="false" outlineLevel="0" collapsed="false">
      <c r="A454" s="0" t="s">
        <v>2409</v>
      </c>
      <c r="B454" s="0" t="s">
        <v>746</v>
      </c>
      <c r="C454" s="0" t="s">
        <v>131</v>
      </c>
      <c r="D454" s="14" t="n">
        <v>46219</v>
      </c>
      <c r="E454" s="0" t="n">
        <v>4037.07</v>
      </c>
      <c r="F454" s="14" t="n">
        <v>46264</v>
      </c>
    </row>
    <row r="455" customFormat="false" ht="15" hidden="false" customHeight="false" outlineLevel="0" collapsed="false">
      <c r="A455" s="0" t="s">
        <v>2410</v>
      </c>
      <c r="B455" s="0" t="s">
        <v>747</v>
      </c>
      <c r="C455" s="0" t="s">
        <v>119</v>
      </c>
      <c r="D455" s="14" t="n">
        <v>46158</v>
      </c>
      <c r="E455" s="0" t="n">
        <v>1201.82</v>
      </c>
      <c r="F455" s="14" t="n">
        <v>46173</v>
      </c>
    </row>
    <row r="456" customFormat="false" ht="15" hidden="false" customHeight="false" outlineLevel="0" collapsed="false">
      <c r="A456" s="0" t="s">
        <v>2411</v>
      </c>
      <c r="B456" s="0" t="s">
        <v>748</v>
      </c>
      <c r="C456" s="0" t="s">
        <v>109</v>
      </c>
      <c r="D456" s="14" t="n">
        <v>45934</v>
      </c>
      <c r="E456" s="0" t="n">
        <v>1494.41</v>
      </c>
      <c r="F456" s="14" t="n">
        <v>45949</v>
      </c>
    </row>
    <row r="457" customFormat="false" ht="15" hidden="false" customHeight="false" outlineLevel="0" collapsed="false">
      <c r="A457" s="0" t="s">
        <v>2412</v>
      </c>
      <c r="B457" s="0" t="s">
        <v>749</v>
      </c>
      <c r="C457" s="0" t="s">
        <v>75</v>
      </c>
      <c r="D457" s="14" t="n">
        <v>45733</v>
      </c>
      <c r="E457" s="0" t="n">
        <v>791.01</v>
      </c>
      <c r="F457" s="14" t="n">
        <v>45748</v>
      </c>
    </row>
    <row r="458" customFormat="false" ht="15" hidden="false" customHeight="false" outlineLevel="0" collapsed="false">
      <c r="A458" s="0" t="s">
        <v>2413</v>
      </c>
      <c r="B458" s="0" t="s">
        <v>750</v>
      </c>
      <c r="C458" s="0" t="s">
        <v>134</v>
      </c>
      <c r="D458" s="14" t="n">
        <v>46119</v>
      </c>
      <c r="E458" s="0" t="n">
        <v>2064.66</v>
      </c>
      <c r="F458" s="14" t="n">
        <v>46149</v>
      </c>
    </row>
    <row r="459" customFormat="false" ht="15" hidden="false" customHeight="false" outlineLevel="0" collapsed="false">
      <c r="A459" s="0" t="s">
        <v>2414</v>
      </c>
      <c r="B459" s="0" t="s">
        <v>751</v>
      </c>
      <c r="C459" s="0" t="s">
        <v>134</v>
      </c>
      <c r="D459" s="14" t="n">
        <v>45941</v>
      </c>
      <c r="E459" s="0" t="n">
        <v>882.52</v>
      </c>
      <c r="F459" s="14" t="n">
        <v>45971</v>
      </c>
    </row>
    <row r="460" customFormat="false" ht="15" hidden="false" customHeight="false" outlineLevel="0" collapsed="false">
      <c r="A460" s="0" t="s">
        <v>2415</v>
      </c>
      <c r="B460" s="0" t="s">
        <v>752</v>
      </c>
      <c r="C460" s="0" t="s">
        <v>164</v>
      </c>
      <c r="D460" s="14" t="n">
        <v>46058</v>
      </c>
      <c r="E460" s="0" t="n">
        <v>3855.85</v>
      </c>
      <c r="F460" s="14" t="n">
        <v>46103</v>
      </c>
    </row>
    <row r="461" customFormat="false" ht="15" hidden="false" customHeight="false" outlineLevel="0" collapsed="false">
      <c r="A461" s="0" t="s">
        <v>2416</v>
      </c>
      <c r="B461" s="0" t="s">
        <v>753</v>
      </c>
      <c r="C461" s="0" t="s">
        <v>161</v>
      </c>
      <c r="D461" s="14" t="n">
        <v>45937</v>
      </c>
      <c r="E461" s="0" t="n">
        <v>1396.94</v>
      </c>
      <c r="F461" s="14" t="n">
        <v>45982</v>
      </c>
    </row>
    <row r="462" customFormat="false" ht="15" hidden="false" customHeight="false" outlineLevel="0" collapsed="false">
      <c r="A462" s="0" t="s">
        <v>2417</v>
      </c>
      <c r="B462" s="0" t="s">
        <v>754</v>
      </c>
      <c r="C462" s="0" t="s">
        <v>195</v>
      </c>
      <c r="D462" s="14" t="n">
        <v>45812</v>
      </c>
      <c r="E462" s="0" t="n">
        <v>1284.51</v>
      </c>
      <c r="F462" s="14" t="n">
        <v>45842</v>
      </c>
    </row>
    <row r="463" customFormat="false" ht="15" hidden="false" customHeight="false" outlineLevel="0" collapsed="false">
      <c r="A463" s="0" t="s">
        <v>2418</v>
      </c>
      <c r="B463" s="0" t="s">
        <v>755</v>
      </c>
      <c r="C463" s="0" t="s">
        <v>171</v>
      </c>
      <c r="D463" s="14" t="n">
        <v>46124</v>
      </c>
      <c r="E463" s="0" t="n">
        <v>3088.46</v>
      </c>
      <c r="F463" s="14" t="n">
        <v>46184</v>
      </c>
    </row>
    <row r="464" customFormat="false" ht="15" hidden="false" customHeight="false" outlineLevel="0" collapsed="false">
      <c r="A464" s="0" t="s">
        <v>2419</v>
      </c>
      <c r="B464" s="0" t="s">
        <v>756</v>
      </c>
      <c r="C464" s="0" t="s">
        <v>161</v>
      </c>
      <c r="D464" s="14" t="n">
        <v>46203</v>
      </c>
      <c r="E464" s="0" t="n">
        <v>10752.87</v>
      </c>
      <c r="F464" s="14" t="n">
        <v>46248</v>
      </c>
    </row>
    <row r="465" customFormat="false" ht="15" hidden="false" customHeight="false" outlineLevel="0" collapsed="false">
      <c r="A465" s="0" t="s">
        <v>2420</v>
      </c>
      <c r="B465" s="0" t="s">
        <v>757</v>
      </c>
      <c r="C465" s="0" t="s">
        <v>104</v>
      </c>
      <c r="D465" s="14" t="n">
        <v>45801</v>
      </c>
      <c r="E465" s="0" t="n">
        <v>3083.99</v>
      </c>
      <c r="F465" s="14" t="n">
        <v>45831</v>
      </c>
    </row>
    <row r="466" customFormat="false" ht="15" hidden="false" customHeight="false" outlineLevel="0" collapsed="false">
      <c r="A466" s="0" t="s">
        <v>2421</v>
      </c>
      <c r="B466" s="0" t="s">
        <v>758</v>
      </c>
      <c r="C466" s="0" t="s">
        <v>104</v>
      </c>
      <c r="D466" s="14" t="n">
        <v>45974</v>
      </c>
      <c r="E466" s="0" t="n">
        <v>3006.22</v>
      </c>
      <c r="F466" s="14" t="n">
        <v>46004</v>
      </c>
    </row>
    <row r="467" customFormat="false" ht="15" hidden="false" customHeight="false" outlineLevel="0" collapsed="false">
      <c r="A467" s="0" t="s">
        <v>2422</v>
      </c>
      <c r="B467" s="0" t="s">
        <v>759</v>
      </c>
      <c r="C467" s="0" t="s">
        <v>137</v>
      </c>
      <c r="D467" s="14" t="n">
        <v>45870</v>
      </c>
      <c r="E467" s="0" t="n">
        <v>1846.25</v>
      </c>
      <c r="F467" s="14" t="n">
        <v>45915</v>
      </c>
    </row>
    <row r="468" customFormat="false" ht="15" hidden="false" customHeight="false" outlineLevel="0" collapsed="false">
      <c r="A468" s="0" t="s">
        <v>2423</v>
      </c>
      <c r="B468" s="0" t="s">
        <v>760</v>
      </c>
      <c r="C468" s="0" t="s">
        <v>112</v>
      </c>
      <c r="D468" s="14" t="n">
        <v>46175</v>
      </c>
      <c r="E468" s="0" t="n">
        <v>1227.72</v>
      </c>
      <c r="F468" s="14" t="n">
        <v>46220</v>
      </c>
    </row>
    <row r="469" customFormat="false" ht="15" hidden="false" customHeight="false" outlineLevel="0" collapsed="false">
      <c r="A469" s="0" t="s">
        <v>2424</v>
      </c>
      <c r="B469" s="0" t="s">
        <v>761</v>
      </c>
      <c r="C469" s="0" t="s">
        <v>201</v>
      </c>
      <c r="D469" s="14" t="n">
        <v>45954</v>
      </c>
      <c r="E469" s="0" t="n">
        <v>705.45</v>
      </c>
      <c r="F469" s="14" t="n">
        <v>45969</v>
      </c>
    </row>
    <row r="470" customFormat="false" ht="15" hidden="false" customHeight="false" outlineLevel="0" collapsed="false">
      <c r="A470" s="0" t="s">
        <v>2425</v>
      </c>
      <c r="B470" s="0" t="s">
        <v>762</v>
      </c>
      <c r="C470" s="0" t="s">
        <v>158</v>
      </c>
      <c r="D470" s="14" t="n">
        <v>46153</v>
      </c>
      <c r="E470" s="0" t="n">
        <v>12801.13</v>
      </c>
      <c r="F470" s="14" t="n">
        <v>46213</v>
      </c>
    </row>
    <row r="471" customFormat="false" ht="15" hidden="false" customHeight="false" outlineLevel="0" collapsed="false">
      <c r="A471" s="0" t="s">
        <v>2426</v>
      </c>
      <c r="B471" s="0" t="s">
        <v>763</v>
      </c>
      <c r="C471" s="0" t="s">
        <v>128</v>
      </c>
      <c r="D471" s="14" t="n">
        <v>46136</v>
      </c>
      <c r="E471" s="0" t="n">
        <v>4660.66</v>
      </c>
      <c r="F471" s="14" t="n">
        <v>46166</v>
      </c>
    </row>
    <row r="472" customFormat="false" ht="15" hidden="false" customHeight="false" outlineLevel="0" collapsed="false">
      <c r="A472" s="0" t="s">
        <v>2427</v>
      </c>
      <c r="B472" s="0" t="s">
        <v>764</v>
      </c>
      <c r="C472" s="0" t="s">
        <v>112</v>
      </c>
      <c r="D472" s="14" t="n">
        <v>45827</v>
      </c>
      <c r="E472" s="0" t="n">
        <v>4354.54</v>
      </c>
      <c r="F472" s="14" t="n">
        <v>45872</v>
      </c>
    </row>
    <row r="473" customFormat="false" ht="15" hidden="false" customHeight="false" outlineLevel="0" collapsed="false">
      <c r="A473" s="0" t="s">
        <v>2428</v>
      </c>
      <c r="B473" s="0" t="s">
        <v>765</v>
      </c>
      <c r="C473" s="0" t="s">
        <v>96</v>
      </c>
      <c r="D473" s="14" t="n">
        <v>46104</v>
      </c>
      <c r="E473" s="0" t="n">
        <v>1820.28</v>
      </c>
      <c r="F473" s="14" t="n">
        <v>46119</v>
      </c>
    </row>
    <row r="474" customFormat="false" ht="15" hidden="false" customHeight="false" outlineLevel="0" collapsed="false">
      <c r="A474" s="0" t="s">
        <v>2429</v>
      </c>
      <c r="B474" s="0" t="s">
        <v>766</v>
      </c>
      <c r="C474" s="0" t="s">
        <v>70</v>
      </c>
      <c r="D474" s="14" t="n">
        <v>45908</v>
      </c>
      <c r="E474" s="0" t="n">
        <v>513.07</v>
      </c>
      <c r="F474" s="14" t="n">
        <v>45953</v>
      </c>
    </row>
    <row r="475" customFormat="false" ht="15" hidden="false" customHeight="false" outlineLevel="0" collapsed="false">
      <c r="A475" s="0" t="s">
        <v>2430</v>
      </c>
      <c r="B475" s="0" t="s">
        <v>767</v>
      </c>
      <c r="C475" s="0" t="s">
        <v>164</v>
      </c>
      <c r="D475" s="14" t="n">
        <v>46190</v>
      </c>
      <c r="E475" s="0" t="n">
        <v>4649.2</v>
      </c>
      <c r="F475" s="14" t="n">
        <v>46235</v>
      </c>
    </row>
    <row r="476" customFormat="false" ht="15" hidden="false" customHeight="false" outlineLevel="0" collapsed="false">
      <c r="A476" s="0" t="s">
        <v>2431</v>
      </c>
      <c r="B476" s="0" t="s">
        <v>768</v>
      </c>
      <c r="C476" s="0" t="s">
        <v>119</v>
      </c>
      <c r="D476" s="14" t="n">
        <v>45951</v>
      </c>
      <c r="E476" s="0" t="n">
        <v>1334.13</v>
      </c>
      <c r="F476" s="14" t="n">
        <v>45966</v>
      </c>
    </row>
    <row r="477" customFormat="false" ht="15" hidden="false" customHeight="false" outlineLevel="0" collapsed="false">
      <c r="A477" s="0" t="s">
        <v>2432</v>
      </c>
      <c r="B477" s="0" t="s">
        <v>769</v>
      </c>
      <c r="C477" s="0" t="s">
        <v>112</v>
      </c>
      <c r="D477" s="14" t="n">
        <v>46126</v>
      </c>
      <c r="E477" s="0" t="n">
        <v>2328.91</v>
      </c>
      <c r="F477" s="14" t="n">
        <v>46171</v>
      </c>
    </row>
    <row r="478" customFormat="false" ht="15" hidden="false" customHeight="false" outlineLevel="0" collapsed="false">
      <c r="A478" s="0" t="s">
        <v>2433</v>
      </c>
      <c r="B478" s="0" t="s">
        <v>770</v>
      </c>
      <c r="C478" s="0" t="s">
        <v>189</v>
      </c>
      <c r="D478" s="14" t="n">
        <v>45819</v>
      </c>
      <c r="E478" s="0" t="n">
        <v>460.42</v>
      </c>
      <c r="F478" s="14" t="n">
        <v>45864</v>
      </c>
    </row>
    <row r="479" customFormat="false" ht="15" hidden="false" customHeight="false" outlineLevel="0" collapsed="false">
      <c r="A479" s="0" t="s">
        <v>2434</v>
      </c>
      <c r="B479" s="0" t="s">
        <v>771</v>
      </c>
      <c r="C479" s="0" t="s">
        <v>171</v>
      </c>
      <c r="D479" s="14" t="n">
        <v>45832</v>
      </c>
      <c r="E479" s="0" t="n">
        <v>820.42</v>
      </c>
      <c r="F479" s="14" t="n">
        <v>45892</v>
      </c>
    </row>
    <row r="480" customFormat="false" ht="15" hidden="false" customHeight="false" outlineLevel="0" collapsed="false">
      <c r="A480" s="0" t="s">
        <v>2435</v>
      </c>
      <c r="B480" s="0" t="s">
        <v>772</v>
      </c>
      <c r="C480" s="0" t="s">
        <v>164</v>
      </c>
      <c r="D480" s="14" t="n">
        <v>45994</v>
      </c>
      <c r="E480" s="0" t="n">
        <v>1135.98</v>
      </c>
      <c r="F480" s="14" t="n">
        <v>46039</v>
      </c>
    </row>
    <row r="481" customFormat="false" ht="15" hidden="false" customHeight="false" outlineLevel="0" collapsed="false">
      <c r="A481" s="0" t="s">
        <v>2436</v>
      </c>
      <c r="B481" s="0" t="s">
        <v>772</v>
      </c>
      <c r="C481" s="0" t="s">
        <v>164</v>
      </c>
      <c r="D481" s="14" t="n">
        <v>45994</v>
      </c>
      <c r="E481" s="0" t="n">
        <v>1135.98</v>
      </c>
      <c r="F481" s="14" t="n">
        <v>46039</v>
      </c>
    </row>
    <row r="482" customFormat="false" ht="15" hidden="false" customHeight="false" outlineLevel="0" collapsed="false">
      <c r="A482" s="0" t="s">
        <v>2437</v>
      </c>
      <c r="B482" s="0" t="s">
        <v>773</v>
      </c>
      <c r="C482" s="0" t="s">
        <v>96</v>
      </c>
      <c r="D482" s="14" t="n">
        <v>46215</v>
      </c>
      <c r="E482" s="0" t="n">
        <v>5599.82</v>
      </c>
      <c r="F482" s="14" t="n">
        <v>46230</v>
      </c>
    </row>
    <row r="483" customFormat="false" ht="15" hidden="false" customHeight="false" outlineLevel="0" collapsed="false">
      <c r="A483" s="0" t="s">
        <v>2438</v>
      </c>
      <c r="B483" s="0" t="s">
        <v>774</v>
      </c>
      <c r="C483" s="0" t="s">
        <v>70</v>
      </c>
      <c r="D483" s="14" t="n">
        <v>45929</v>
      </c>
      <c r="E483" s="0" t="n">
        <v>15313.53</v>
      </c>
      <c r="F483" s="14" t="n">
        <v>45974</v>
      </c>
    </row>
    <row r="484" customFormat="false" ht="15" hidden="false" customHeight="false" outlineLevel="0" collapsed="false">
      <c r="A484" s="0" t="s">
        <v>2439</v>
      </c>
      <c r="B484" s="0" t="s">
        <v>775</v>
      </c>
      <c r="C484" s="0" t="s">
        <v>96</v>
      </c>
      <c r="D484" s="14" t="n">
        <v>45743</v>
      </c>
      <c r="E484" s="0" t="n">
        <v>653.1</v>
      </c>
      <c r="F484" s="14" t="n">
        <v>45758</v>
      </c>
    </row>
    <row r="485" customFormat="false" ht="15" hidden="false" customHeight="false" outlineLevel="0" collapsed="false">
      <c r="A485" s="0" t="s">
        <v>2440</v>
      </c>
      <c r="B485" s="0" t="s">
        <v>776</v>
      </c>
      <c r="C485" s="0" t="s">
        <v>99</v>
      </c>
      <c r="D485" s="14" t="n">
        <v>45962</v>
      </c>
      <c r="E485" s="0" t="n">
        <v>2324.66</v>
      </c>
      <c r="F485" s="14" t="n">
        <v>46022</v>
      </c>
    </row>
    <row r="486" customFormat="false" ht="15" hidden="false" customHeight="false" outlineLevel="0" collapsed="false">
      <c r="A486" s="0" t="s">
        <v>2441</v>
      </c>
      <c r="B486" s="0" t="s">
        <v>777</v>
      </c>
      <c r="C486" s="0" t="s">
        <v>174</v>
      </c>
      <c r="D486" s="14" t="n">
        <v>45861</v>
      </c>
      <c r="E486" s="0" t="n">
        <v>1644.55</v>
      </c>
      <c r="F486" s="14" t="n">
        <v>45876</v>
      </c>
    </row>
    <row r="487" customFormat="false" ht="15" hidden="false" customHeight="false" outlineLevel="0" collapsed="false">
      <c r="A487" s="0" t="s">
        <v>2442</v>
      </c>
      <c r="B487" s="0" t="s">
        <v>778</v>
      </c>
      <c r="C487" s="0" t="s">
        <v>80</v>
      </c>
      <c r="D487" s="14" t="n">
        <v>45965</v>
      </c>
      <c r="E487" s="0" t="n">
        <v>236.77</v>
      </c>
      <c r="F487" s="14" t="n">
        <v>45980</v>
      </c>
    </row>
    <row r="488" customFormat="false" ht="15" hidden="false" customHeight="false" outlineLevel="0" collapsed="false">
      <c r="A488" s="0" t="s">
        <v>2443</v>
      </c>
      <c r="B488" s="0" t="s">
        <v>779</v>
      </c>
      <c r="C488" s="0" t="s">
        <v>155</v>
      </c>
      <c r="D488" s="14" t="n">
        <v>45966</v>
      </c>
      <c r="E488" s="0" t="n">
        <v>1018.47</v>
      </c>
      <c r="F488" s="14" t="n">
        <v>46011</v>
      </c>
    </row>
    <row r="489" customFormat="false" ht="15" hidden="false" customHeight="false" outlineLevel="0" collapsed="false">
      <c r="A489" s="0" t="s">
        <v>2444</v>
      </c>
      <c r="B489" s="0" t="s">
        <v>780</v>
      </c>
      <c r="C489" s="0" t="s">
        <v>152</v>
      </c>
      <c r="D489" s="14" t="n">
        <v>45921</v>
      </c>
      <c r="E489" s="0" t="n">
        <v>3142.38</v>
      </c>
      <c r="F489" s="14" t="n">
        <v>45981</v>
      </c>
    </row>
    <row r="490" customFormat="false" ht="15" hidden="false" customHeight="false" outlineLevel="0" collapsed="false">
      <c r="A490" s="0" t="s">
        <v>2445</v>
      </c>
      <c r="B490" s="0" t="s">
        <v>781</v>
      </c>
      <c r="C490" s="0" t="s">
        <v>183</v>
      </c>
      <c r="D490" s="14" t="n">
        <v>45845</v>
      </c>
      <c r="E490" s="0" t="n">
        <v>2788.31</v>
      </c>
      <c r="F490" s="14" t="n">
        <v>45890</v>
      </c>
    </row>
    <row r="491" customFormat="false" ht="15" hidden="false" customHeight="false" outlineLevel="0" collapsed="false">
      <c r="A491" s="0" t="s">
        <v>2446</v>
      </c>
      <c r="B491" s="0" t="s">
        <v>782</v>
      </c>
      <c r="C491" s="0" t="s">
        <v>146</v>
      </c>
      <c r="D491" s="14" t="n">
        <v>45783</v>
      </c>
      <c r="E491" s="0" t="n">
        <v>12520.7</v>
      </c>
      <c r="F491" s="14" t="n">
        <v>45813</v>
      </c>
    </row>
    <row r="492" customFormat="false" ht="15" hidden="false" customHeight="false" outlineLevel="0" collapsed="false">
      <c r="A492" s="0" t="s">
        <v>2447</v>
      </c>
      <c r="B492" s="0" t="s">
        <v>783</v>
      </c>
      <c r="C492" s="0" t="s">
        <v>137</v>
      </c>
      <c r="D492" s="14" t="n">
        <v>46062</v>
      </c>
      <c r="E492" s="0" t="n">
        <v>1099.38</v>
      </c>
      <c r="F492" s="14" t="n">
        <v>46107</v>
      </c>
    </row>
    <row r="493" customFormat="false" ht="15" hidden="false" customHeight="false" outlineLevel="0" collapsed="false">
      <c r="A493" s="0" t="s">
        <v>2448</v>
      </c>
      <c r="B493" s="0" t="s">
        <v>784</v>
      </c>
      <c r="C493" s="0" t="s">
        <v>149</v>
      </c>
      <c r="D493" s="14" t="n">
        <v>45989</v>
      </c>
      <c r="E493" s="0" t="n">
        <v>3207.79</v>
      </c>
      <c r="F493" s="14" t="n">
        <v>46019</v>
      </c>
    </row>
    <row r="494" customFormat="false" ht="15" hidden="false" customHeight="false" outlineLevel="0" collapsed="false">
      <c r="A494" s="0" t="s">
        <v>2449</v>
      </c>
      <c r="B494" s="0" t="s">
        <v>785</v>
      </c>
      <c r="C494" s="0" t="s">
        <v>70</v>
      </c>
      <c r="D494" s="14" t="n">
        <v>45790</v>
      </c>
      <c r="E494" s="0" t="n">
        <v>182.59</v>
      </c>
      <c r="F494" s="14" t="n">
        <v>45835</v>
      </c>
    </row>
    <row r="495" customFormat="false" ht="15" hidden="false" customHeight="false" outlineLevel="0" collapsed="false">
      <c r="A495" s="0" t="s">
        <v>2450</v>
      </c>
      <c r="B495" s="0" t="s">
        <v>786</v>
      </c>
      <c r="C495" s="0" t="s">
        <v>201</v>
      </c>
      <c r="D495" s="14" t="n">
        <v>46094</v>
      </c>
      <c r="E495" s="0" t="n">
        <v>1223.73</v>
      </c>
      <c r="F495" s="14" t="n">
        <v>46109</v>
      </c>
    </row>
    <row r="496" customFormat="false" ht="15" hidden="false" customHeight="false" outlineLevel="0" collapsed="false">
      <c r="A496" s="0" t="s">
        <v>2451</v>
      </c>
      <c r="B496" s="0" t="s">
        <v>787</v>
      </c>
      <c r="C496" s="0" t="s">
        <v>125</v>
      </c>
      <c r="D496" s="14" t="n">
        <v>45702</v>
      </c>
      <c r="E496" s="0" t="n">
        <v>585.34</v>
      </c>
      <c r="F496" s="14" t="n">
        <v>45732</v>
      </c>
    </row>
    <row r="497" customFormat="false" ht="15" hidden="false" customHeight="false" outlineLevel="0" collapsed="false">
      <c r="A497" s="0" t="s">
        <v>2452</v>
      </c>
      <c r="B497" s="0" t="s">
        <v>788</v>
      </c>
      <c r="C497" s="0" t="s">
        <v>198</v>
      </c>
      <c r="D497" s="14" t="n">
        <v>46080</v>
      </c>
      <c r="E497" s="0" t="n">
        <v>40497.91</v>
      </c>
      <c r="F497" s="14" t="n">
        <v>46110</v>
      </c>
    </row>
    <row r="498" customFormat="false" ht="15" hidden="false" customHeight="false" outlineLevel="0" collapsed="false">
      <c r="A498" s="0" t="s">
        <v>2453</v>
      </c>
      <c r="B498" s="0" t="s">
        <v>789</v>
      </c>
      <c r="C498" s="0" t="s">
        <v>128</v>
      </c>
      <c r="D498" s="14" t="n">
        <v>46050</v>
      </c>
      <c r="E498" s="0" t="n">
        <v>8071.8</v>
      </c>
      <c r="F498" s="14" t="n">
        <v>46080</v>
      </c>
    </row>
    <row r="499" customFormat="false" ht="15" hidden="false" customHeight="false" outlineLevel="0" collapsed="false">
      <c r="A499" s="0" t="s">
        <v>2454</v>
      </c>
      <c r="B499" s="0" t="s">
        <v>790</v>
      </c>
      <c r="C499" s="0" t="s">
        <v>131</v>
      </c>
      <c r="D499" s="14" t="n">
        <v>46122</v>
      </c>
      <c r="E499" s="0" t="n">
        <v>11046.74</v>
      </c>
      <c r="F499" s="14" t="n">
        <v>46167</v>
      </c>
    </row>
    <row r="500" customFormat="false" ht="15" hidden="false" customHeight="false" outlineLevel="0" collapsed="false">
      <c r="A500" s="0" t="s">
        <v>2455</v>
      </c>
      <c r="B500" s="0" t="s">
        <v>791</v>
      </c>
      <c r="C500" s="0" t="s">
        <v>116</v>
      </c>
      <c r="D500" s="14" t="n">
        <v>45891</v>
      </c>
      <c r="E500" s="0" t="n">
        <v>1395.93</v>
      </c>
      <c r="F500" s="14" t="n">
        <v>45951</v>
      </c>
    </row>
    <row r="501" customFormat="false" ht="15" hidden="false" customHeight="false" outlineLevel="0" collapsed="false">
      <c r="A501" s="0" t="s">
        <v>2456</v>
      </c>
      <c r="B501" s="0" t="s">
        <v>792</v>
      </c>
      <c r="C501" s="0" t="s">
        <v>137</v>
      </c>
      <c r="D501" s="14" t="n">
        <v>46033</v>
      </c>
      <c r="E501" s="0" t="n">
        <v>2578.48</v>
      </c>
      <c r="F501" s="14" t="n">
        <v>46078</v>
      </c>
    </row>
    <row r="502" customFormat="false" ht="15" hidden="false" customHeight="false" outlineLevel="0" collapsed="false">
      <c r="A502" s="0" t="s">
        <v>2457</v>
      </c>
      <c r="B502" s="0" t="s">
        <v>793</v>
      </c>
      <c r="C502" s="0" t="s">
        <v>84</v>
      </c>
      <c r="D502" s="14" t="n">
        <v>46113</v>
      </c>
      <c r="E502" s="0" t="n">
        <v>891.87</v>
      </c>
      <c r="F502" s="14" t="n">
        <v>46128</v>
      </c>
    </row>
    <row r="503" customFormat="false" ht="15" hidden="false" customHeight="false" outlineLevel="0" collapsed="false">
      <c r="A503" s="0" t="s">
        <v>2458</v>
      </c>
      <c r="B503" s="0" t="s">
        <v>794</v>
      </c>
      <c r="C503" s="0" t="s">
        <v>89</v>
      </c>
      <c r="D503" s="14" t="n">
        <v>46212</v>
      </c>
      <c r="E503" s="0" t="n">
        <v>2408.27</v>
      </c>
      <c r="F503" s="14" t="n">
        <v>46227</v>
      </c>
    </row>
    <row r="504" customFormat="false" ht="15" hidden="false" customHeight="false" outlineLevel="0" collapsed="false">
      <c r="A504" s="0" t="s">
        <v>2459</v>
      </c>
      <c r="B504" s="0" t="s">
        <v>795</v>
      </c>
      <c r="C504" s="0" t="s">
        <v>93</v>
      </c>
      <c r="D504" s="14" t="n">
        <v>45942</v>
      </c>
      <c r="E504" s="0" t="n">
        <v>1155.61</v>
      </c>
      <c r="F504" s="14" t="n">
        <v>46002</v>
      </c>
    </row>
    <row r="505" customFormat="false" ht="15" hidden="false" customHeight="false" outlineLevel="0" collapsed="false">
      <c r="A505" s="0" t="s">
        <v>2460</v>
      </c>
      <c r="B505" s="0" t="s">
        <v>796</v>
      </c>
      <c r="C505" s="0" t="s">
        <v>96</v>
      </c>
      <c r="D505" s="14" t="n">
        <v>45682</v>
      </c>
      <c r="E505" s="0" t="n">
        <v>542.8</v>
      </c>
      <c r="F505" s="14" t="n">
        <v>45697</v>
      </c>
    </row>
    <row r="506" customFormat="false" ht="15" hidden="false" customHeight="false" outlineLevel="0" collapsed="false">
      <c r="A506" s="0" t="s">
        <v>2461</v>
      </c>
      <c r="B506" s="0" t="s">
        <v>797</v>
      </c>
      <c r="C506" s="0" t="s">
        <v>143</v>
      </c>
      <c r="D506" s="14" t="n">
        <v>45949</v>
      </c>
      <c r="E506" s="0" t="n">
        <v>1208.25</v>
      </c>
      <c r="F506" s="14" t="n">
        <v>45979</v>
      </c>
    </row>
    <row r="507" customFormat="false" ht="15" hidden="false" customHeight="false" outlineLevel="0" collapsed="false">
      <c r="A507" s="0" t="s">
        <v>2462</v>
      </c>
      <c r="B507" s="0" t="s">
        <v>798</v>
      </c>
      <c r="C507" s="0" t="s">
        <v>195</v>
      </c>
      <c r="D507" s="14" t="n">
        <v>45990</v>
      </c>
      <c r="E507" s="0" t="n">
        <v>1492.36</v>
      </c>
      <c r="F507" s="14" t="n">
        <v>46020</v>
      </c>
    </row>
    <row r="508" customFormat="false" ht="15" hidden="false" customHeight="false" outlineLevel="0" collapsed="false">
      <c r="A508" s="0" t="s">
        <v>2463</v>
      </c>
      <c r="B508" s="0" t="s">
        <v>799</v>
      </c>
      <c r="C508" s="0" t="s">
        <v>119</v>
      </c>
      <c r="D508" s="14" t="n">
        <v>46134</v>
      </c>
      <c r="E508" s="0" t="n">
        <v>916.33</v>
      </c>
      <c r="F508" s="14" t="n">
        <v>46149</v>
      </c>
    </row>
    <row r="509" customFormat="false" ht="15" hidden="false" customHeight="false" outlineLevel="0" collapsed="false">
      <c r="A509" s="0" t="s">
        <v>2464</v>
      </c>
      <c r="B509" s="0" t="s">
        <v>800</v>
      </c>
      <c r="C509" s="0" t="s">
        <v>128</v>
      </c>
      <c r="D509" s="14" t="n">
        <v>46139</v>
      </c>
      <c r="E509" s="0" t="n">
        <v>13637.91</v>
      </c>
      <c r="F509" s="14" t="n">
        <v>46169</v>
      </c>
    </row>
    <row r="510" customFormat="false" ht="15" hidden="false" customHeight="false" outlineLevel="0" collapsed="false">
      <c r="A510" s="0" t="s">
        <v>2465</v>
      </c>
      <c r="B510" s="0" t="s">
        <v>801</v>
      </c>
      <c r="C510" s="0" t="s">
        <v>84</v>
      </c>
      <c r="D510" s="14" t="n">
        <v>45906</v>
      </c>
      <c r="E510" s="0" t="n">
        <v>984.21</v>
      </c>
      <c r="F510" s="14" t="n">
        <v>45921</v>
      </c>
    </row>
    <row r="511" customFormat="false" ht="15" hidden="false" customHeight="false" outlineLevel="0" collapsed="false">
      <c r="A511" s="0" t="s">
        <v>2466</v>
      </c>
      <c r="B511" s="0" t="s">
        <v>802</v>
      </c>
      <c r="C511" s="0" t="s">
        <v>116</v>
      </c>
      <c r="D511" s="14" t="n">
        <v>45966</v>
      </c>
      <c r="E511" s="0" t="n">
        <v>2718.82</v>
      </c>
      <c r="F511" s="14" t="n">
        <v>46026</v>
      </c>
    </row>
    <row r="512" customFormat="false" ht="15" hidden="false" customHeight="false" outlineLevel="0" collapsed="false">
      <c r="A512" s="0" t="s">
        <v>2467</v>
      </c>
      <c r="B512" s="0" t="s">
        <v>803</v>
      </c>
      <c r="C512" s="0" t="s">
        <v>161</v>
      </c>
      <c r="D512" s="14" t="n">
        <v>45921</v>
      </c>
      <c r="E512" s="0" t="n">
        <v>607.61</v>
      </c>
      <c r="F512" s="14" t="n">
        <v>45966</v>
      </c>
    </row>
    <row r="513" customFormat="false" ht="15" hidden="false" customHeight="false" outlineLevel="0" collapsed="false">
      <c r="A513" s="0" t="s">
        <v>2468</v>
      </c>
      <c r="B513" s="0" t="s">
        <v>804</v>
      </c>
      <c r="C513" s="0" t="s">
        <v>125</v>
      </c>
      <c r="D513" s="14" t="n">
        <v>46058</v>
      </c>
      <c r="E513" s="0" t="n">
        <v>10927.52</v>
      </c>
      <c r="F513" s="14" t="n">
        <v>46088</v>
      </c>
    </row>
    <row r="514" customFormat="false" ht="15" hidden="false" customHeight="false" outlineLevel="0" collapsed="false">
      <c r="A514" s="0" t="s">
        <v>2469</v>
      </c>
      <c r="B514" s="0" t="s">
        <v>805</v>
      </c>
      <c r="C514" s="0" t="s">
        <v>143</v>
      </c>
      <c r="D514" s="14" t="n">
        <v>45895</v>
      </c>
      <c r="E514" s="0" t="n">
        <v>1732.45</v>
      </c>
      <c r="F514" s="14" t="n">
        <v>45925</v>
      </c>
    </row>
    <row r="515" customFormat="false" ht="15" hidden="false" customHeight="false" outlineLevel="0" collapsed="false">
      <c r="A515" s="0" t="s">
        <v>2470</v>
      </c>
      <c r="B515" s="0" t="s">
        <v>806</v>
      </c>
      <c r="C515" s="0" t="s">
        <v>122</v>
      </c>
      <c r="D515" s="14" t="n">
        <v>46029</v>
      </c>
      <c r="E515" s="0" t="n">
        <v>790.15</v>
      </c>
      <c r="F515" s="14" t="n">
        <v>46059</v>
      </c>
    </row>
    <row r="516" customFormat="false" ht="15" hidden="false" customHeight="false" outlineLevel="0" collapsed="false">
      <c r="A516" s="0" t="s">
        <v>2471</v>
      </c>
      <c r="B516" s="0" t="s">
        <v>807</v>
      </c>
      <c r="C516" s="0" t="s">
        <v>104</v>
      </c>
      <c r="D516" s="14" t="n">
        <v>45765</v>
      </c>
      <c r="E516" s="0" t="n">
        <v>2141.21</v>
      </c>
      <c r="F516" s="14" t="n">
        <v>45795</v>
      </c>
    </row>
    <row r="517" customFormat="false" ht="15" hidden="false" customHeight="false" outlineLevel="0" collapsed="false">
      <c r="A517" s="0" t="s">
        <v>2472</v>
      </c>
      <c r="B517" s="0" t="s">
        <v>808</v>
      </c>
      <c r="C517" s="0" t="s">
        <v>109</v>
      </c>
      <c r="D517" s="14" t="n">
        <v>45935</v>
      </c>
      <c r="E517" s="0" t="n">
        <v>506.73</v>
      </c>
      <c r="F517" s="14" t="n">
        <v>45950</v>
      </c>
    </row>
    <row r="518" customFormat="false" ht="15" hidden="false" customHeight="false" outlineLevel="0" collapsed="false">
      <c r="A518" s="0" t="s">
        <v>2473</v>
      </c>
      <c r="B518" s="0" t="s">
        <v>808</v>
      </c>
      <c r="C518" s="0" t="s">
        <v>109</v>
      </c>
      <c r="D518" s="14" t="n">
        <v>45930</v>
      </c>
      <c r="E518" s="0" t="n">
        <v>426.29</v>
      </c>
      <c r="F518" s="14" t="n">
        <v>45945</v>
      </c>
    </row>
    <row r="519" customFormat="false" ht="15" hidden="false" customHeight="false" outlineLevel="0" collapsed="false">
      <c r="A519" s="0" t="s">
        <v>2474</v>
      </c>
      <c r="B519" s="0" t="s">
        <v>809</v>
      </c>
      <c r="C519" s="0" t="s">
        <v>128</v>
      </c>
      <c r="D519" s="14" t="n">
        <v>46192</v>
      </c>
      <c r="E519" s="0" t="n">
        <v>1888.48</v>
      </c>
      <c r="F519" s="14" t="n">
        <v>46222</v>
      </c>
    </row>
    <row r="520" customFormat="false" ht="15" hidden="false" customHeight="false" outlineLevel="0" collapsed="false">
      <c r="A520" s="0" t="s">
        <v>2475</v>
      </c>
      <c r="B520" s="0" t="s">
        <v>810</v>
      </c>
      <c r="C520" s="0" t="s">
        <v>171</v>
      </c>
      <c r="D520" s="14" t="n">
        <v>45857</v>
      </c>
      <c r="E520" s="0" t="n">
        <v>3958.3</v>
      </c>
      <c r="F520" s="14" t="n">
        <v>45917</v>
      </c>
    </row>
    <row r="521" customFormat="false" ht="15" hidden="false" customHeight="false" outlineLevel="0" collapsed="false">
      <c r="A521" s="0" t="s">
        <v>2476</v>
      </c>
      <c r="B521" s="0" t="s">
        <v>811</v>
      </c>
      <c r="C521" s="0" t="s">
        <v>155</v>
      </c>
      <c r="D521" s="14" t="n">
        <v>46059</v>
      </c>
      <c r="E521" s="0" t="n">
        <v>3426.38</v>
      </c>
      <c r="F521" s="14" t="n">
        <v>46104</v>
      </c>
    </row>
    <row r="522" customFormat="false" ht="15" hidden="false" customHeight="false" outlineLevel="0" collapsed="false">
      <c r="A522" s="0" t="s">
        <v>2477</v>
      </c>
      <c r="B522" s="0" t="s">
        <v>812</v>
      </c>
      <c r="C522" s="0" t="s">
        <v>180</v>
      </c>
      <c r="D522" s="14" t="n">
        <v>46019</v>
      </c>
      <c r="E522" s="0" t="n">
        <v>663.66</v>
      </c>
      <c r="F522" s="14" t="n">
        <v>46079</v>
      </c>
    </row>
    <row r="523" customFormat="false" ht="15" hidden="false" customHeight="false" outlineLevel="0" collapsed="false">
      <c r="A523" s="0" t="s">
        <v>2478</v>
      </c>
      <c r="B523" s="0" t="s">
        <v>813</v>
      </c>
      <c r="C523" s="0" t="s">
        <v>152</v>
      </c>
      <c r="D523" s="14" t="n">
        <v>46138</v>
      </c>
      <c r="E523" s="0" t="n">
        <v>1251.61</v>
      </c>
      <c r="F523" s="14" t="n">
        <v>46198</v>
      </c>
    </row>
    <row r="524" customFormat="false" ht="15" hidden="false" customHeight="false" outlineLevel="0" collapsed="false">
      <c r="A524" s="0" t="s">
        <v>2479</v>
      </c>
      <c r="B524" s="0" t="s">
        <v>814</v>
      </c>
      <c r="C524" s="0" t="s">
        <v>109</v>
      </c>
      <c r="D524" s="14" t="n">
        <v>46137</v>
      </c>
      <c r="E524" s="0" t="n">
        <v>980.08</v>
      </c>
      <c r="F524" s="14" t="n">
        <v>46152</v>
      </c>
    </row>
    <row r="525" customFormat="false" ht="15" hidden="false" customHeight="false" outlineLevel="0" collapsed="false">
      <c r="A525" s="0" t="s">
        <v>2480</v>
      </c>
      <c r="B525" s="0" t="s">
        <v>815</v>
      </c>
      <c r="C525" s="0" t="s">
        <v>84</v>
      </c>
      <c r="D525" s="14" t="n">
        <v>46151</v>
      </c>
      <c r="E525" s="0" t="n">
        <v>2579.28</v>
      </c>
      <c r="F525" s="14" t="n">
        <v>46166</v>
      </c>
    </row>
    <row r="526" customFormat="false" ht="15" hidden="false" customHeight="false" outlineLevel="0" collapsed="false">
      <c r="A526" s="0" t="s">
        <v>2481</v>
      </c>
      <c r="B526" s="0" t="s">
        <v>816</v>
      </c>
      <c r="C526" s="0" t="s">
        <v>167</v>
      </c>
      <c r="D526" s="14" t="n">
        <v>45880</v>
      </c>
      <c r="E526" s="0" t="n">
        <v>3221.77</v>
      </c>
      <c r="F526" s="14" t="n">
        <v>45940</v>
      </c>
    </row>
    <row r="527" customFormat="false" ht="15" hidden="false" customHeight="false" outlineLevel="0" collapsed="false">
      <c r="A527" s="0" t="s">
        <v>2482</v>
      </c>
      <c r="B527" s="0" t="s">
        <v>817</v>
      </c>
      <c r="C527" s="0" t="s">
        <v>167</v>
      </c>
      <c r="D527" s="14" t="n">
        <v>45833</v>
      </c>
      <c r="E527" s="0" t="n">
        <v>130.66</v>
      </c>
      <c r="F527" s="14" t="n">
        <v>45893</v>
      </c>
    </row>
    <row r="528" customFormat="false" ht="15" hidden="false" customHeight="false" outlineLevel="0" collapsed="false">
      <c r="A528" s="0" t="s">
        <v>2483</v>
      </c>
      <c r="B528" s="0" t="s">
        <v>818</v>
      </c>
      <c r="C528" s="0" t="s">
        <v>122</v>
      </c>
      <c r="D528" s="14" t="n">
        <v>46073</v>
      </c>
      <c r="E528" s="0" t="n">
        <v>1768.65</v>
      </c>
      <c r="F528" s="14" t="n">
        <v>46103</v>
      </c>
    </row>
    <row r="529" customFormat="false" ht="15" hidden="false" customHeight="false" outlineLevel="0" collapsed="false">
      <c r="A529" s="0" t="s">
        <v>2484</v>
      </c>
      <c r="B529" s="0" t="s">
        <v>819</v>
      </c>
      <c r="C529" s="0" t="s">
        <v>183</v>
      </c>
      <c r="D529" s="14" t="n">
        <v>46095</v>
      </c>
      <c r="E529" s="0" t="n">
        <v>359.03</v>
      </c>
      <c r="F529" s="14" t="n">
        <v>46140</v>
      </c>
    </row>
    <row r="530" customFormat="false" ht="15" hidden="false" customHeight="false" outlineLevel="0" collapsed="false">
      <c r="A530" s="0" t="s">
        <v>2485</v>
      </c>
      <c r="B530" s="0" t="s">
        <v>820</v>
      </c>
      <c r="C530" s="0" t="s">
        <v>131</v>
      </c>
      <c r="D530" s="14" t="n">
        <v>46151</v>
      </c>
      <c r="E530" s="0" t="n">
        <v>2508.58</v>
      </c>
      <c r="F530" s="14" t="n">
        <v>46196</v>
      </c>
    </row>
    <row r="531" customFormat="false" ht="15" hidden="false" customHeight="false" outlineLevel="0" collapsed="false">
      <c r="A531" s="0" t="s">
        <v>2486</v>
      </c>
      <c r="B531" s="0" t="s">
        <v>821</v>
      </c>
      <c r="C531" s="0" t="s">
        <v>128</v>
      </c>
      <c r="D531" s="14" t="n">
        <v>45687</v>
      </c>
      <c r="E531" s="0" t="n">
        <v>730.52</v>
      </c>
      <c r="F531" s="14" t="n">
        <v>45717</v>
      </c>
    </row>
    <row r="532" customFormat="false" ht="15" hidden="false" customHeight="false" outlineLevel="0" collapsed="false">
      <c r="A532" s="0" t="s">
        <v>2487</v>
      </c>
      <c r="B532" s="0" t="s">
        <v>822</v>
      </c>
      <c r="C532" s="0" t="s">
        <v>109</v>
      </c>
      <c r="D532" s="14" t="n">
        <v>45716</v>
      </c>
      <c r="E532" s="0" t="n">
        <v>1846.15</v>
      </c>
      <c r="F532" s="14" t="n">
        <v>45731</v>
      </c>
    </row>
    <row r="533" customFormat="false" ht="15" hidden="false" customHeight="false" outlineLevel="0" collapsed="false">
      <c r="A533" s="0" t="s">
        <v>2488</v>
      </c>
      <c r="B533" s="0" t="s">
        <v>823</v>
      </c>
      <c r="C533" s="0" t="s">
        <v>134</v>
      </c>
      <c r="D533" s="14" t="n">
        <v>46026</v>
      </c>
      <c r="E533" s="0" t="n">
        <v>1888.25</v>
      </c>
      <c r="F533" s="14" t="n">
        <v>46056</v>
      </c>
    </row>
    <row r="534" customFormat="false" ht="15" hidden="false" customHeight="false" outlineLevel="0" collapsed="false">
      <c r="A534" s="0" t="s">
        <v>2489</v>
      </c>
      <c r="B534" s="0" t="s">
        <v>824</v>
      </c>
      <c r="C534" s="0" t="s">
        <v>177</v>
      </c>
      <c r="D534" s="14" t="n">
        <v>46182</v>
      </c>
      <c r="E534" s="0" t="n">
        <v>3364.21</v>
      </c>
      <c r="F534" s="14" t="n">
        <v>46242</v>
      </c>
    </row>
    <row r="535" customFormat="false" ht="15" hidden="false" customHeight="false" outlineLevel="0" collapsed="false">
      <c r="A535" s="0" t="s">
        <v>2490</v>
      </c>
      <c r="B535" s="0" t="s">
        <v>825</v>
      </c>
      <c r="C535" s="0" t="s">
        <v>177</v>
      </c>
      <c r="D535" s="14" t="n">
        <v>46212</v>
      </c>
      <c r="E535" s="0" t="n">
        <v>503.75</v>
      </c>
      <c r="F535" s="14" t="n">
        <v>46272</v>
      </c>
    </row>
    <row r="536" customFormat="false" ht="15" hidden="false" customHeight="false" outlineLevel="0" collapsed="false">
      <c r="A536" s="0" t="s">
        <v>2491</v>
      </c>
      <c r="B536" s="0" t="s">
        <v>826</v>
      </c>
      <c r="C536" s="0" t="s">
        <v>116</v>
      </c>
      <c r="D536" s="14" t="n">
        <v>46083</v>
      </c>
      <c r="E536" s="0" t="n">
        <v>28542.14</v>
      </c>
      <c r="F536" s="14" t="n">
        <v>46143</v>
      </c>
    </row>
    <row r="537" customFormat="false" ht="15" hidden="false" customHeight="false" outlineLevel="0" collapsed="false">
      <c r="A537" s="0" t="s">
        <v>2492</v>
      </c>
      <c r="B537" s="0" t="s">
        <v>827</v>
      </c>
      <c r="C537" s="0" t="s">
        <v>180</v>
      </c>
      <c r="D537" s="14" t="n">
        <v>45912</v>
      </c>
      <c r="E537" s="0" t="n">
        <v>13194.36</v>
      </c>
      <c r="F537" s="14" t="n">
        <v>45972</v>
      </c>
    </row>
    <row r="538" customFormat="false" ht="15" hidden="false" customHeight="false" outlineLevel="0" collapsed="false">
      <c r="A538" s="0" t="s">
        <v>2493</v>
      </c>
      <c r="B538" s="0" t="s">
        <v>828</v>
      </c>
      <c r="C538" s="0" t="s">
        <v>137</v>
      </c>
      <c r="D538" s="14" t="n">
        <v>45723</v>
      </c>
      <c r="E538" s="0" t="n">
        <v>4569.01</v>
      </c>
      <c r="F538" s="14" t="n">
        <v>45768</v>
      </c>
    </row>
    <row r="539" customFormat="false" ht="15" hidden="false" customHeight="false" outlineLevel="0" collapsed="false">
      <c r="A539" s="0" t="s">
        <v>2494</v>
      </c>
      <c r="B539" s="0" t="s">
        <v>829</v>
      </c>
      <c r="C539" s="0" t="s">
        <v>183</v>
      </c>
      <c r="D539" s="14" t="n">
        <v>46014</v>
      </c>
      <c r="E539" s="0" t="n">
        <v>999.65</v>
      </c>
      <c r="F539" s="14" t="n">
        <v>46059</v>
      </c>
    </row>
    <row r="540" customFormat="false" ht="15" hidden="false" customHeight="false" outlineLevel="0" collapsed="false">
      <c r="A540" s="0" t="s">
        <v>2495</v>
      </c>
      <c r="B540" s="0" t="s">
        <v>830</v>
      </c>
      <c r="C540" s="0" t="s">
        <v>109</v>
      </c>
      <c r="D540" s="14" t="n">
        <v>46154</v>
      </c>
      <c r="E540" s="0" t="n">
        <v>2025.11</v>
      </c>
      <c r="F540" s="14" t="n">
        <v>46169</v>
      </c>
    </row>
    <row r="541" customFormat="false" ht="15" hidden="false" customHeight="false" outlineLevel="0" collapsed="false">
      <c r="A541" s="0" t="s">
        <v>2496</v>
      </c>
      <c r="B541" s="0" t="s">
        <v>830</v>
      </c>
      <c r="C541" s="0" t="s">
        <v>109</v>
      </c>
      <c r="D541" s="14" t="n">
        <v>46158</v>
      </c>
      <c r="E541" s="0" t="n">
        <v>2025.11</v>
      </c>
      <c r="F541" s="14" t="n">
        <v>46173</v>
      </c>
    </row>
    <row r="542" customFormat="false" ht="15" hidden="false" customHeight="false" outlineLevel="0" collapsed="false">
      <c r="A542" s="0" t="s">
        <v>2497</v>
      </c>
      <c r="B542" s="0" t="s">
        <v>831</v>
      </c>
      <c r="C542" s="0" t="s">
        <v>119</v>
      </c>
      <c r="D542" s="14" t="n">
        <v>45921</v>
      </c>
      <c r="E542" s="0" t="n">
        <v>1346.34</v>
      </c>
      <c r="F542" s="14" t="n">
        <v>45936</v>
      </c>
    </row>
    <row r="543" customFormat="false" ht="15" hidden="false" customHeight="false" outlineLevel="0" collapsed="false">
      <c r="A543" s="0" t="s">
        <v>2498</v>
      </c>
      <c r="B543" s="0" t="s">
        <v>832</v>
      </c>
      <c r="C543" s="0" t="s">
        <v>131</v>
      </c>
      <c r="D543" s="14" t="n">
        <v>46039</v>
      </c>
      <c r="E543" s="0" t="n">
        <v>473.72</v>
      </c>
      <c r="F543" s="14" t="n">
        <v>46084</v>
      </c>
    </row>
    <row r="544" customFormat="false" ht="15" hidden="false" customHeight="false" outlineLevel="0" collapsed="false">
      <c r="A544" s="0" t="s">
        <v>2499</v>
      </c>
      <c r="B544" s="0" t="s">
        <v>833</v>
      </c>
      <c r="C544" s="0" t="s">
        <v>174</v>
      </c>
      <c r="D544" s="14" t="n">
        <v>46175</v>
      </c>
      <c r="E544" s="0" t="n">
        <v>6567.49</v>
      </c>
      <c r="F544" s="14" t="n">
        <v>46190</v>
      </c>
    </row>
    <row r="545" customFormat="false" ht="15" hidden="false" customHeight="false" outlineLevel="0" collapsed="false">
      <c r="A545" s="0" t="s">
        <v>2500</v>
      </c>
      <c r="B545" s="0" t="s">
        <v>834</v>
      </c>
      <c r="C545" s="0" t="s">
        <v>131</v>
      </c>
      <c r="D545" s="14" t="n">
        <v>45687</v>
      </c>
      <c r="E545" s="0" t="n">
        <v>2503.97</v>
      </c>
      <c r="F545" s="14" t="n">
        <v>45732</v>
      </c>
    </row>
    <row r="546" customFormat="false" ht="15" hidden="false" customHeight="false" outlineLevel="0" collapsed="false">
      <c r="A546" s="0" t="s">
        <v>2501</v>
      </c>
      <c r="B546" s="0" t="s">
        <v>835</v>
      </c>
      <c r="C546" s="0" t="s">
        <v>167</v>
      </c>
      <c r="D546" s="14" t="n">
        <v>46101</v>
      </c>
      <c r="E546" s="0" t="n">
        <v>4513.74</v>
      </c>
      <c r="F546" s="14" t="n">
        <v>46161</v>
      </c>
    </row>
    <row r="547" customFormat="false" ht="15" hidden="false" customHeight="false" outlineLevel="0" collapsed="false">
      <c r="A547" s="0" t="s">
        <v>2502</v>
      </c>
      <c r="B547" s="0" t="s">
        <v>836</v>
      </c>
      <c r="C547" s="0" t="s">
        <v>164</v>
      </c>
      <c r="D547" s="14" t="n">
        <v>45827</v>
      </c>
      <c r="E547" s="0" t="n">
        <v>1308.52</v>
      </c>
      <c r="F547" s="14" t="n">
        <v>45872</v>
      </c>
    </row>
    <row r="548" customFormat="false" ht="15" hidden="false" customHeight="false" outlineLevel="0" collapsed="false">
      <c r="A548" s="0" t="s">
        <v>2503</v>
      </c>
      <c r="B548" s="0" t="s">
        <v>837</v>
      </c>
      <c r="C548" s="0" t="s">
        <v>164</v>
      </c>
      <c r="D548" s="14" t="n">
        <v>45867</v>
      </c>
      <c r="E548" s="0" t="n">
        <v>2254.68</v>
      </c>
      <c r="F548" s="14" t="n">
        <v>45912</v>
      </c>
    </row>
    <row r="549" customFormat="false" ht="15" hidden="false" customHeight="false" outlineLevel="0" collapsed="false">
      <c r="A549" s="0" t="s">
        <v>2504</v>
      </c>
      <c r="B549" s="0" t="s">
        <v>837</v>
      </c>
      <c r="C549" s="0" t="s">
        <v>164</v>
      </c>
      <c r="D549" s="14" t="n">
        <v>45882</v>
      </c>
      <c r="E549" s="0" t="n">
        <v>2254.68</v>
      </c>
      <c r="F549" s="14" t="n">
        <v>45927</v>
      </c>
    </row>
    <row r="550" customFormat="false" ht="15" hidden="false" customHeight="false" outlineLevel="0" collapsed="false">
      <c r="A550" s="0" t="s">
        <v>2505</v>
      </c>
      <c r="B550" s="0" t="s">
        <v>838</v>
      </c>
      <c r="C550" s="0" t="s">
        <v>149</v>
      </c>
      <c r="D550" s="14" t="n">
        <v>45750</v>
      </c>
      <c r="E550" s="0" t="n">
        <v>5770.92</v>
      </c>
      <c r="F550" s="14" t="n">
        <v>45780</v>
      </c>
    </row>
    <row r="551" customFormat="false" ht="15" hidden="false" customHeight="false" outlineLevel="0" collapsed="false">
      <c r="A551" s="0" t="s">
        <v>2506</v>
      </c>
      <c r="B551" s="0" t="s">
        <v>839</v>
      </c>
      <c r="C551" s="0" t="s">
        <v>128</v>
      </c>
      <c r="D551" s="14" t="n">
        <v>45971</v>
      </c>
      <c r="E551" s="0" t="n">
        <v>2271.46</v>
      </c>
      <c r="F551" s="14" t="n">
        <v>46001</v>
      </c>
    </row>
    <row r="552" customFormat="false" ht="15" hidden="false" customHeight="false" outlineLevel="0" collapsed="false">
      <c r="A552" s="0" t="s">
        <v>2507</v>
      </c>
      <c r="B552" s="0" t="s">
        <v>840</v>
      </c>
      <c r="C552" s="0" t="s">
        <v>116</v>
      </c>
      <c r="D552" s="14" t="n">
        <v>45984</v>
      </c>
      <c r="E552" s="0" t="n">
        <v>567.17</v>
      </c>
      <c r="F552" s="14" t="n">
        <v>46044</v>
      </c>
    </row>
    <row r="553" customFormat="false" ht="15" hidden="false" customHeight="false" outlineLevel="0" collapsed="false">
      <c r="A553" s="0" t="s">
        <v>2508</v>
      </c>
      <c r="B553" s="0" t="s">
        <v>841</v>
      </c>
      <c r="C553" s="0" t="s">
        <v>109</v>
      </c>
      <c r="D553" s="14" t="n">
        <v>46093</v>
      </c>
      <c r="E553" s="0" t="n">
        <v>4021.66</v>
      </c>
      <c r="F553" s="14" t="n">
        <v>46108</v>
      </c>
    </row>
    <row r="554" customFormat="false" ht="15" hidden="false" customHeight="false" outlineLevel="0" collapsed="false">
      <c r="A554" s="0" t="s">
        <v>2509</v>
      </c>
      <c r="B554" s="0" t="s">
        <v>842</v>
      </c>
      <c r="C554" s="0" t="s">
        <v>140</v>
      </c>
      <c r="D554" s="14" t="n">
        <v>45756</v>
      </c>
      <c r="E554" s="0" t="n">
        <v>2676.69</v>
      </c>
      <c r="F554" s="14" t="n">
        <v>45786</v>
      </c>
    </row>
    <row r="555" customFormat="false" ht="15" hidden="false" customHeight="false" outlineLevel="0" collapsed="false">
      <c r="A555" s="0" t="s">
        <v>2510</v>
      </c>
      <c r="B555" s="0" t="s">
        <v>843</v>
      </c>
      <c r="C555" s="0" t="s">
        <v>75</v>
      </c>
      <c r="D555" s="14" t="n">
        <v>45716</v>
      </c>
      <c r="E555" s="0" t="n">
        <v>21176.94</v>
      </c>
      <c r="F555" s="14" t="n">
        <v>45731</v>
      </c>
    </row>
    <row r="556" customFormat="false" ht="15" hidden="false" customHeight="false" outlineLevel="0" collapsed="false">
      <c r="A556" s="0" t="s">
        <v>2511</v>
      </c>
      <c r="B556" s="0" t="s">
        <v>844</v>
      </c>
      <c r="C556" s="0" t="s">
        <v>109</v>
      </c>
      <c r="D556" s="14" t="n">
        <v>46148</v>
      </c>
      <c r="E556" s="0" t="n">
        <v>3298.58</v>
      </c>
      <c r="F556" s="14" t="n">
        <v>46163</v>
      </c>
    </row>
    <row r="557" customFormat="false" ht="15" hidden="false" customHeight="false" outlineLevel="0" collapsed="false">
      <c r="A557" s="0" t="s">
        <v>2512</v>
      </c>
      <c r="B557" s="0" t="s">
        <v>845</v>
      </c>
      <c r="C557" s="0" t="s">
        <v>174</v>
      </c>
      <c r="D557" s="14" t="n">
        <v>46015</v>
      </c>
      <c r="E557" s="0" t="n">
        <v>6459.27</v>
      </c>
      <c r="F557" s="14" t="n">
        <v>46030</v>
      </c>
    </row>
    <row r="558" customFormat="false" ht="15" hidden="false" customHeight="false" outlineLevel="0" collapsed="false">
      <c r="A558" s="0" t="s">
        <v>2513</v>
      </c>
      <c r="B558" s="0" t="s">
        <v>846</v>
      </c>
      <c r="C558" s="0" t="s">
        <v>116</v>
      </c>
      <c r="D558" s="14" t="n">
        <v>45811</v>
      </c>
      <c r="E558" s="0" t="n">
        <v>622.67</v>
      </c>
      <c r="F558" s="14" t="n">
        <v>45871</v>
      </c>
    </row>
    <row r="559" customFormat="false" ht="15" hidden="false" customHeight="false" outlineLevel="0" collapsed="false">
      <c r="A559" s="0" t="s">
        <v>2514</v>
      </c>
      <c r="B559" s="0" t="s">
        <v>847</v>
      </c>
      <c r="C559" s="0" t="s">
        <v>186</v>
      </c>
      <c r="D559" s="14" t="n">
        <v>46158</v>
      </c>
      <c r="E559" s="0" t="n">
        <v>591.95</v>
      </c>
      <c r="F559" s="14" t="n">
        <v>46173</v>
      </c>
    </row>
    <row r="560" customFormat="false" ht="15" hidden="false" customHeight="false" outlineLevel="0" collapsed="false">
      <c r="A560" s="0" t="s">
        <v>2515</v>
      </c>
      <c r="B560" s="0" t="s">
        <v>848</v>
      </c>
      <c r="C560" s="0" t="s">
        <v>89</v>
      </c>
      <c r="D560" s="14" t="n">
        <v>45746</v>
      </c>
      <c r="E560" s="0" t="n">
        <v>4894.13</v>
      </c>
      <c r="F560" s="14" t="n">
        <v>45761</v>
      </c>
    </row>
    <row r="561" customFormat="false" ht="15" hidden="false" customHeight="false" outlineLevel="0" collapsed="false">
      <c r="A561" s="0" t="s">
        <v>2516</v>
      </c>
      <c r="B561" s="0" t="s">
        <v>849</v>
      </c>
      <c r="C561" s="0" t="s">
        <v>152</v>
      </c>
      <c r="D561" s="14" t="n">
        <v>45928</v>
      </c>
      <c r="E561" s="0" t="n">
        <v>640.41</v>
      </c>
      <c r="F561" s="14" t="n">
        <v>45988</v>
      </c>
    </row>
    <row r="562" customFormat="false" ht="15" hidden="false" customHeight="false" outlineLevel="0" collapsed="false">
      <c r="A562" s="0" t="s">
        <v>2517</v>
      </c>
      <c r="B562" s="0" t="s">
        <v>850</v>
      </c>
      <c r="C562" s="0" t="s">
        <v>128</v>
      </c>
      <c r="D562" s="14" t="n">
        <v>45810</v>
      </c>
      <c r="E562" s="0" t="n">
        <v>6607.07</v>
      </c>
      <c r="F562" s="14" t="n">
        <v>45840</v>
      </c>
    </row>
    <row r="563" customFormat="false" ht="15" hidden="false" customHeight="false" outlineLevel="0" collapsed="false">
      <c r="A563" s="0" t="s">
        <v>2518</v>
      </c>
      <c r="B563" s="0" t="s">
        <v>851</v>
      </c>
      <c r="C563" s="0" t="s">
        <v>164</v>
      </c>
      <c r="D563" s="14" t="n">
        <v>45812</v>
      </c>
      <c r="E563" s="0" t="n">
        <v>647.86</v>
      </c>
      <c r="F563" s="14" t="n">
        <v>45857</v>
      </c>
    </row>
    <row r="564" customFormat="false" ht="15" hidden="false" customHeight="false" outlineLevel="0" collapsed="false">
      <c r="A564" s="0" t="s">
        <v>2519</v>
      </c>
      <c r="B564" s="0" t="s">
        <v>852</v>
      </c>
      <c r="C564" s="0" t="s">
        <v>146</v>
      </c>
      <c r="D564" s="14" t="n">
        <v>45686</v>
      </c>
      <c r="E564" s="0" t="n">
        <v>517.06</v>
      </c>
      <c r="F564" s="14" t="n">
        <v>45716</v>
      </c>
    </row>
    <row r="565" customFormat="false" ht="15" hidden="false" customHeight="false" outlineLevel="0" collapsed="false">
      <c r="A565" s="0" t="s">
        <v>2520</v>
      </c>
      <c r="B565" s="0" t="s">
        <v>853</v>
      </c>
      <c r="C565" s="0" t="s">
        <v>112</v>
      </c>
      <c r="D565" s="14" t="n">
        <v>46099</v>
      </c>
      <c r="E565" s="0" t="n">
        <v>316.1</v>
      </c>
      <c r="F565" s="14" t="n">
        <v>46144</v>
      </c>
    </row>
    <row r="566" customFormat="false" ht="15" hidden="false" customHeight="false" outlineLevel="0" collapsed="false">
      <c r="A566" s="0" t="s">
        <v>2521</v>
      </c>
      <c r="B566" s="0" t="s">
        <v>854</v>
      </c>
      <c r="C566" s="0" t="s">
        <v>183</v>
      </c>
      <c r="D566" s="14" t="n">
        <v>46162</v>
      </c>
      <c r="E566" s="0" t="n">
        <v>4436.8</v>
      </c>
      <c r="F566" s="14" t="n">
        <v>46207</v>
      </c>
    </row>
    <row r="567" customFormat="false" ht="15" hidden="false" customHeight="false" outlineLevel="0" collapsed="false">
      <c r="A567" s="0" t="s">
        <v>2522</v>
      </c>
      <c r="B567" s="0" t="s">
        <v>855</v>
      </c>
      <c r="C567" s="0" t="s">
        <v>158</v>
      </c>
      <c r="D567" s="14" t="n">
        <v>46049</v>
      </c>
      <c r="E567" s="0" t="n">
        <v>6594.42</v>
      </c>
      <c r="F567" s="14" t="n">
        <v>46109</v>
      </c>
    </row>
    <row r="568" customFormat="false" ht="15" hidden="false" customHeight="false" outlineLevel="0" collapsed="false">
      <c r="A568" s="0" t="s">
        <v>2523</v>
      </c>
      <c r="B568" s="0" t="s">
        <v>856</v>
      </c>
      <c r="C568" s="0" t="s">
        <v>161</v>
      </c>
      <c r="D568" s="14" t="n">
        <v>45754</v>
      </c>
      <c r="E568" s="0" t="n">
        <v>836.54</v>
      </c>
      <c r="F568" s="14" t="n">
        <v>45799</v>
      </c>
    </row>
    <row r="569" customFormat="false" ht="15" hidden="false" customHeight="false" outlineLevel="0" collapsed="false">
      <c r="A569" s="0" t="s">
        <v>2524</v>
      </c>
      <c r="B569" s="0" t="s">
        <v>857</v>
      </c>
      <c r="C569" s="0" t="s">
        <v>140</v>
      </c>
      <c r="D569" s="14" t="n">
        <v>45918</v>
      </c>
      <c r="E569" s="0" t="n">
        <v>1170.71</v>
      </c>
      <c r="F569" s="14" t="n">
        <v>45948</v>
      </c>
    </row>
    <row r="570" customFormat="false" ht="15" hidden="false" customHeight="false" outlineLevel="0" collapsed="false">
      <c r="A570" s="0" t="s">
        <v>2525</v>
      </c>
      <c r="B570" s="0" t="s">
        <v>858</v>
      </c>
      <c r="C570" s="0" t="s">
        <v>161</v>
      </c>
      <c r="D570" s="14" t="n">
        <v>45871</v>
      </c>
      <c r="E570" s="0" t="n">
        <v>4155.49</v>
      </c>
      <c r="F570" s="14" t="n">
        <v>45916</v>
      </c>
    </row>
    <row r="571" customFormat="false" ht="15" hidden="false" customHeight="false" outlineLevel="0" collapsed="false">
      <c r="A571" s="0" t="s">
        <v>2526</v>
      </c>
      <c r="B571" s="0" t="s">
        <v>859</v>
      </c>
      <c r="C571" s="0" t="s">
        <v>164</v>
      </c>
      <c r="D571" s="14" t="n">
        <v>45986</v>
      </c>
      <c r="E571" s="0" t="n">
        <v>813.95</v>
      </c>
      <c r="F571" s="14" t="n">
        <v>46031</v>
      </c>
    </row>
    <row r="572" customFormat="false" ht="15" hidden="false" customHeight="false" outlineLevel="0" collapsed="false">
      <c r="A572" s="0" t="s">
        <v>2527</v>
      </c>
      <c r="B572" s="0" t="s">
        <v>860</v>
      </c>
      <c r="C572" s="0" t="s">
        <v>143</v>
      </c>
      <c r="D572" s="14" t="n">
        <v>46013</v>
      </c>
      <c r="E572" s="0" t="n">
        <v>219.09</v>
      </c>
      <c r="F572" s="14" t="n">
        <v>46043</v>
      </c>
    </row>
    <row r="573" customFormat="false" ht="15" hidden="false" customHeight="false" outlineLevel="0" collapsed="false">
      <c r="A573" s="0" t="s">
        <v>2528</v>
      </c>
      <c r="B573" s="0" t="s">
        <v>861</v>
      </c>
      <c r="C573" s="0" t="s">
        <v>134</v>
      </c>
      <c r="D573" s="14" t="n">
        <v>45891</v>
      </c>
      <c r="E573" s="0" t="n">
        <v>313.99</v>
      </c>
      <c r="F573" s="14" t="n">
        <v>45921</v>
      </c>
    </row>
    <row r="574" customFormat="false" ht="15" hidden="false" customHeight="false" outlineLevel="0" collapsed="false">
      <c r="A574" s="0" t="s">
        <v>2529</v>
      </c>
      <c r="B574" s="0" t="s">
        <v>861</v>
      </c>
      <c r="C574" s="0" t="s">
        <v>134</v>
      </c>
      <c r="D574" s="14" t="n">
        <v>45891</v>
      </c>
      <c r="E574" s="0" t="n">
        <v>313.99</v>
      </c>
      <c r="F574" s="14" t="n">
        <v>45921</v>
      </c>
    </row>
    <row r="575" customFormat="false" ht="15" hidden="false" customHeight="false" outlineLevel="0" collapsed="false">
      <c r="A575" s="0" t="s">
        <v>2530</v>
      </c>
      <c r="B575" s="0" t="s">
        <v>862</v>
      </c>
      <c r="C575" s="0" t="s">
        <v>89</v>
      </c>
      <c r="D575" s="14" t="n">
        <v>45817</v>
      </c>
      <c r="E575" s="0" t="n">
        <v>7086.46</v>
      </c>
      <c r="F575" s="14" t="n">
        <v>45832</v>
      </c>
    </row>
    <row r="576" customFormat="false" ht="15" hidden="false" customHeight="false" outlineLevel="0" collapsed="false">
      <c r="A576" s="0" t="s">
        <v>2531</v>
      </c>
      <c r="B576" s="0" t="s">
        <v>863</v>
      </c>
      <c r="C576" s="0" t="s">
        <v>143</v>
      </c>
      <c r="D576" s="14" t="n">
        <v>46129</v>
      </c>
      <c r="E576" s="0" t="n">
        <v>5679.33</v>
      </c>
      <c r="F576" s="14" t="n">
        <v>46159</v>
      </c>
    </row>
    <row r="577" customFormat="false" ht="15" hidden="false" customHeight="false" outlineLevel="0" collapsed="false">
      <c r="A577" s="0" t="s">
        <v>2532</v>
      </c>
      <c r="B577" s="0" t="s">
        <v>864</v>
      </c>
      <c r="C577" s="0" t="s">
        <v>89</v>
      </c>
      <c r="D577" s="14" t="n">
        <v>45787</v>
      </c>
      <c r="E577" s="0" t="n">
        <v>745.67</v>
      </c>
      <c r="F577" s="14" t="n">
        <v>45802</v>
      </c>
    </row>
    <row r="578" customFormat="false" ht="15" hidden="false" customHeight="false" outlineLevel="0" collapsed="false">
      <c r="A578" s="0" t="s">
        <v>2533</v>
      </c>
      <c r="B578" s="0" t="s">
        <v>864</v>
      </c>
      <c r="C578" s="0" t="s">
        <v>89</v>
      </c>
      <c r="D578" s="14" t="n">
        <v>45787</v>
      </c>
      <c r="E578" s="0" t="n">
        <v>745.67</v>
      </c>
      <c r="F578" s="14" t="n">
        <v>45802</v>
      </c>
    </row>
    <row r="579" customFormat="false" ht="15" hidden="false" customHeight="false" outlineLevel="0" collapsed="false">
      <c r="A579" s="0" t="s">
        <v>2534</v>
      </c>
      <c r="B579" s="0" t="s">
        <v>865</v>
      </c>
      <c r="C579" s="0" t="s">
        <v>195</v>
      </c>
      <c r="D579" s="14" t="n">
        <v>45888</v>
      </c>
      <c r="E579" s="0" t="n">
        <v>2119.2</v>
      </c>
      <c r="F579" s="14" t="n">
        <v>45918</v>
      </c>
    </row>
    <row r="580" customFormat="false" ht="15" hidden="false" customHeight="false" outlineLevel="0" collapsed="false">
      <c r="A580" s="0" t="s">
        <v>2535</v>
      </c>
      <c r="B580" s="0" t="s">
        <v>866</v>
      </c>
      <c r="C580" s="0" t="s">
        <v>125</v>
      </c>
      <c r="D580" s="14" t="n">
        <v>45926</v>
      </c>
      <c r="E580" s="0" t="n">
        <v>202.78</v>
      </c>
      <c r="F580" s="14" t="n">
        <v>45956</v>
      </c>
    </row>
    <row r="581" customFormat="false" ht="15" hidden="false" customHeight="false" outlineLevel="0" collapsed="false">
      <c r="A581" s="0" t="s">
        <v>2536</v>
      </c>
      <c r="B581" s="0" t="s">
        <v>867</v>
      </c>
      <c r="C581" s="0" t="s">
        <v>149</v>
      </c>
      <c r="D581" s="14" t="n">
        <v>45801</v>
      </c>
      <c r="E581" s="0" t="n">
        <v>1869.57</v>
      </c>
      <c r="F581" s="14" t="n">
        <v>45831</v>
      </c>
    </row>
    <row r="582" customFormat="false" ht="15" hidden="false" customHeight="false" outlineLevel="0" collapsed="false">
      <c r="A582" s="0" t="s">
        <v>2537</v>
      </c>
      <c r="B582" s="0" t="s">
        <v>868</v>
      </c>
      <c r="C582" s="0" t="s">
        <v>116</v>
      </c>
      <c r="D582" s="14" t="n">
        <v>45989</v>
      </c>
      <c r="E582" s="0" t="n">
        <v>1002.81</v>
      </c>
      <c r="F582" s="14" t="n">
        <v>46049</v>
      </c>
    </row>
    <row r="583" customFormat="false" ht="15" hidden="false" customHeight="false" outlineLevel="0" collapsed="false">
      <c r="A583" s="0" t="s">
        <v>2538</v>
      </c>
      <c r="B583" s="0" t="s">
        <v>869</v>
      </c>
      <c r="C583" s="0" t="s">
        <v>137</v>
      </c>
      <c r="D583" s="14" t="n">
        <v>45976</v>
      </c>
      <c r="E583" s="0" t="n">
        <v>829.86</v>
      </c>
      <c r="F583" s="14" t="n">
        <v>46021</v>
      </c>
    </row>
    <row r="584" customFormat="false" ht="15" hidden="false" customHeight="false" outlineLevel="0" collapsed="false">
      <c r="A584" s="0" t="s">
        <v>2539</v>
      </c>
      <c r="B584" s="0" t="s">
        <v>870</v>
      </c>
      <c r="C584" s="0" t="s">
        <v>195</v>
      </c>
      <c r="D584" s="14" t="n">
        <v>46215</v>
      </c>
      <c r="E584" s="0" t="n">
        <v>1964.42</v>
      </c>
      <c r="F584" s="14" t="n">
        <v>46245</v>
      </c>
    </row>
    <row r="585" customFormat="false" ht="15" hidden="false" customHeight="false" outlineLevel="0" collapsed="false">
      <c r="A585" s="0" t="s">
        <v>2540</v>
      </c>
      <c r="B585" s="0" t="s">
        <v>871</v>
      </c>
      <c r="C585" s="0" t="s">
        <v>164</v>
      </c>
      <c r="D585" s="14" t="n">
        <v>45834</v>
      </c>
      <c r="E585" s="0" t="n">
        <v>3096.07</v>
      </c>
      <c r="F585" s="14" t="n">
        <v>45879</v>
      </c>
    </row>
    <row r="586" customFormat="false" ht="15" hidden="false" customHeight="false" outlineLevel="0" collapsed="false">
      <c r="A586" s="0" t="s">
        <v>2541</v>
      </c>
      <c r="B586" s="0" t="s">
        <v>872</v>
      </c>
      <c r="C586" s="0" t="s">
        <v>143</v>
      </c>
      <c r="D586" s="14" t="n">
        <v>46205</v>
      </c>
      <c r="E586" s="0" t="n">
        <v>1700.5</v>
      </c>
      <c r="F586" s="14" t="n">
        <v>46235</v>
      </c>
    </row>
    <row r="587" customFormat="false" ht="15" hidden="false" customHeight="false" outlineLevel="0" collapsed="false">
      <c r="A587" s="0" t="s">
        <v>2542</v>
      </c>
      <c r="B587" s="0" t="s">
        <v>873</v>
      </c>
      <c r="C587" s="0" t="s">
        <v>80</v>
      </c>
      <c r="D587" s="14" t="n">
        <v>46028</v>
      </c>
      <c r="E587" s="0" t="n">
        <v>1462.27</v>
      </c>
      <c r="F587" s="14" t="n">
        <v>46043</v>
      </c>
    </row>
    <row r="588" customFormat="false" ht="15" hidden="false" customHeight="false" outlineLevel="0" collapsed="false">
      <c r="A588" s="0" t="s">
        <v>2543</v>
      </c>
      <c r="B588" s="0" t="s">
        <v>874</v>
      </c>
      <c r="C588" s="0" t="s">
        <v>149</v>
      </c>
      <c r="D588" s="14" t="n">
        <v>45817</v>
      </c>
      <c r="E588" s="0" t="n">
        <v>1476.77</v>
      </c>
      <c r="F588" s="14" t="n">
        <v>45847</v>
      </c>
    </row>
    <row r="589" customFormat="false" ht="15" hidden="false" customHeight="false" outlineLevel="0" collapsed="false">
      <c r="A589" s="0" t="s">
        <v>2544</v>
      </c>
      <c r="B589" s="0" t="s">
        <v>875</v>
      </c>
      <c r="C589" s="0" t="s">
        <v>189</v>
      </c>
      <c r="D589" s="14" t="n">
        <v>45978</v>
      </c>
      <c r="E589" s="0" t="n">
        <v>3152.95</v>
      </c>
      <c r="F589" s="14" t="n">
        <v>46023</v>
      </c>
    </row>
    <row r="590" customFormat="false" ht="15" hidden="false" customHeight="false" outlineLevel="0" collapsed="false">
      <c r="A590" s="0" t="s">
        <v>2545</v>
      </c>
      <c r="B590" s="0" t="s">
        <v>876</v>
      </c>
      <c r="C590" s="0" t="s">
        <v>80</v>
      </c>
      <c r="D590" s="14" t="n">
        <v>46041</v>
      </c>
      <c r="E590" s="0" t="n">
        <v>3405.2</v>
      </c>
      <c r="F590" s="14" t="n">
        <v>46056</v>
      </c>
    </row>
    <row r="591" customFormat="false" ht="15" hidden="false" customHeight="false" outlineLevel="0" collapsed="false">
      <c r="A591" s="0" t="s">
        <v>2546</v>
      </c>
      <c r="B591" s="0" t="s">
        <v>877</v>
      </c>
      <c r="C591" s="0" t="s">
        <v>119</v>
      </c>
      <c r="D591" s="14" t="n">
        <v>46071</v>
      </c>
      <c r="E591" s="0" t="n">
        <v>290.16</v>
      </c>
      <c r="F591" s="14" t="n">
        <v>46086</v>
      </c>
    </row>
    <row r="592" customFormat="false" ht="15" hidden="false" customHeight="false" outlineLevel="0" collapsed="false">
      <c r="A592" s="0" t="s">
        <v>2547</v>
      </c>
      <c r="B592" s="0" t="s">
        <v>878</v>
      </c>
      <c r="C592" s="0" t="s">
        <v>171</v>
      </c>
      <c r="D592" s="14" t="n">
        <v>45701</v>
      </c>
      <c r="E592" s="0" t="n">
        <v>3177.82</v>
      </c>
      <c r="F592" s="14" t="n">
        <v>45761</v>
      </c>
    </row>
    <row r="593" customFormat="false" ht="15" hidden="false" customHeight="false" outlineLevel="0" collapsed="false">
      <c r="A593" s="0" t="s">
        <v>2548</v>
      </c>
      <c r="B593" s="0" t="s">
        <v>879</v>
      </c>
      <c r="C593" s="0" t="s">
        <v>116</v>
      </c>
      <c r="D593" s="14" t="n">
        <v>46003</v>
      </c>
      <c r="E593" s="0" t="n">
        <v>723.11</v>
      </c>
      <c r="F593" s="14" t="n">
        <v>46063</v>
      </c>
    </row>
    <row r="594" customFormat="false" ht="15" hidden="false" customHeight="false" outlineLevel="0" collapsed="false">
      <c r="A594" s="0" t="s">
        <v>2549</v>
      </c>
      <c r="B594" s="0" t="s">
        <v>880</v>
      </c>
      <c r="C594" s="0" t="s">
        <v>104</v>
      </c>
      <c r="D594" s="14" t="n">
        <v>45944</v>
      </c>
      <c r="E594" s="0" t="n">
        <v>2363.54</v>
      </c>
      <c r="F594" s="14" t="n">
        <v>45974</v>
      </c>
    </row>
    <row r="595" customFormat="false" ht="15" hidden="false" customHeight="false" outlineLevel="0" collapsed="false">
      <c r="A595" s="0" t="s">
        <v>2550</v>
      </c>
      <c r="B595" s="0" t="s">
        <v>881</v>
      </c>
      <c r="C595" s="0" t="s">
        <v>93</v>
      </c>
      <c r="D595" s="14" t="n">
        <v>46154</v>
      </c>
      <c r="E595" s="0" t="n">
        <v>1328.83</v>
      </c>
      <c r="F595" s="14" t="n">
        <v>46214</v>
      </c>
    </row>
    <row r="596" customFormat="false" ht="15" hidden="false" customHeight="false" outlineLevel="0" collapsed="false">
      <c r="A596" s="0" t="s">
        <v>2551</v>
      </c>
      <c r="B596" s="0" t="s">
        <v>882</v>
      </c>
      <c r="C596" s="0" t="s">
        <v>140</v>
      </c>
      <c r="D596" s="14" t="n">
        <v>45829</v>
      </c>
      <c r="E596" s="0" t="n">
        <v>940.45</v>
      </c>
      <c r="F596" s="14" t="n">
        <v>45859</v>
      </c>
    </row>
    <row r="597" customFormat="false" ht="15" hidden="false" customHeight="false" outlineLevel="0" collapsed="false">
      <c r="A597" s="0" t="s">
        <v>2552</v>
      </c>
      <c r="B597" s="0" t="s">
        <v>883</v>
      </c>
      <c r="C597" s="0" t="s">
        <v>189</v>
      </c>
      <c r="D597" s="14" t="n">
        <v>46095</v>
      </c>
      <c r="E597" s="0" t="n">
        <v>3318.83</v>
      </c>
      <c r="F597" s="14" t="n">
        <v>46140</v>
      </c>
    </row>
    <row r="598" customFormat="false" ht="15" hidden="false" customHeight="false" outlineLevel="0" collapsed="false">
      <c r="A598" s="0" t="s">
        <v>2553</v>
      </c>
      <c r="B598" s="0" t="s">
        <v>884</v>
      </c>
      <c r="C598" s="0" t="s">
        <v>96</v>
      </c>
      <c r="D598" s="14" t="n">
        <v>45998</v>
      </c>
      <c r="E598" s="0" t="n">
        <v>2949.36</v>
      </c>
      <c r="F598" s="14" t="n">
        <v>46013</v>
      </c>
    </row>
    <row r="599" customFormat="false" ht="15" hidden="false" customHeight="false" outlineLevel="0" collapsed="false">
      <c r="A599" s="0" t="s">
        <v>2554</v>
      </c>
      <c r="B599" s="0" t="s">
        <v>885</v>
      </c>
      <c r="C599" s="0" t="s">
        <v>99</v>
      </c>
      <c r="D599" s="14" t="n">
        <v>45864</v>
      </c>
      <c r="E599" s="0" t="n">
        <v>1733.53</v>
      </c>
      <c r="F599" s="14" t="n">
        <v>45924</v>
      </c>
    </row>
    <row r="600" customFormat="false" ht="15" hidden="false" customHeight="false" outlineLevel="0" collapsed="false">
      <c r="A600" s="0" t="s">
        <v>2555</v>
      </c>
      <c r="B600" s="0" t="s">
        <v>886</v>
      </c>
      <c r="C600" s="0" t="s">
        <v>186</v>
      </c>
      <c r="D600" s="14" t="n">
        <v>46021</v>
      </c>
      <c r="E600" s="0" t="n">
        <v>2308.67</v>
      </c>
      <c r="F600" s="14" t="n">
        <v>46036</v>
      </c>
    </row>
    <row r="601" customFormat="false" ht="15" hidden="false" customHeight="false" outlineLevel="0" collapsed="false">
      <c r="A601" s="0" t="s">
        <v>2556</v>
      </c>
      <c r="B601" s="0" t="s">
        <v>887</v>
      </c>
      <c r="C601" s="0" t="s">
        <v>167</v>
      </c>
      <c r="D601" s="14" t="n">
        <v>46021</v>
      </c>
      <c r="E601" s="0" t="n">
        <v>3697.76</v>
      </c>
      <c r="F601" s="14" t="n">
        <v>46081</v>
      </c>
    </row>
    <row r="602" customFormat="false" ht="15" hidden="false" customHeight="false" outlineLevel="0" collapsed="false">
      <c r="A602" s="0" t="s">
        <v>2557</v>
      </c>
      <c r="B602" s="0" t="s">
        <v>888</v>
      </c>
      <c r="C602" s="0" t="s">
        <v>119</v>
      </c>
      <c r="D602" s="14" t="n">
        <v>46046</v>
      </c>
      <c r="E602" s="0" t="n">
        <v>1532.53</v>
      </c>
      <c r="F602" s="14" t="n">
        <v>46061</v>
      </c>
    </row>
    <row r="603" customFormat="false" ht="15" hidden="false" customHeight="false" outlineLevel="0" collapsed="false">
      <c r="A603" s="0" t="s">
        <v>2558</v>
      </c>
      <c r="B603" s="0" t="s">
        <v>889</v>
      </c>
      <c r="C603" s="0" t="s">
        <v>134</v>
      </c>
      <c r="D603" s="14" t="n">
        <v>46074</v>
      </c>
      <c r="E603" s="0" t="n">
        <v>354.2</v>
      </c>
      <c r="F603" s="14" t="n">
        <v>46104</v>
      </c>
    </row>
    <row r="604" customFormat="false" ht="15" hidden="false" customHeight="false" outlineLevel="0" collapsed="false">
      <c r="A604" s="0" t="s">
        <v>2559</v>
      </c>
      <c r="B604" s="0" t="s">
        <v>890</v>
      </c>
      <c r="C604" s="0" t="s">
        <v>143</v>
      </c>
      <c r="D604" s="14" t="n">
        <v>46037</v>
      </c>
      <c r="E604" s="0" t="n">
        <v>1077.17</v>
      </c>
      <c r="F604" s="14" t="n">
        <v>46067</v>
      </c>
    </row>
    <row r="605" customFormat="false" ht="15" hidden="false" customHeight="false" outlineLevel="0" collapsed="false">
      <c r="A605" s="0" t="s">
        <v>2560</v>
      </c>
      <c r="B605" s="0" t="s">
        <v>891</v>
      </c>
      <c r="C605" s="0" t="s">
        <v>125</v>
      </c>
      <c r="D605" s="14" t="n">
        <v>46126</v>
      </c>
      <c r="E605" s="0" t="n">
        <v>968.37</v>
      </c>
      <c r="F605" s="14" t="n">
        <v>46156</v>
      </c>
    </row>
    <row r="606" customFormat="false" ht="15" hidden="false" customHeight="false" outlineLevel="0" collapsed="false">
      <c r="A606" s="0" t="s">
        <v>2561</v>
      </c>
      <c r="B606" s="0" t="s">
        <v>892</v>
      </c>
      <c r="C606" s="0" t="s">
        <v>89</v>
      </c>
      <c r="D606" s="14" t="n">
        <v>46022</v>
      </c>
      <c r="E606" s="0" t="n">
        <v>1370.11</v>
      </c>
      <c r="F606" s="14" t="n">
        <v>46037</v>
      </c>
    </row>
    <row r="607" customFormat="false" ht="15" hidden="false" customHeight="false" outlineLevel="0" collapsed="false">
      <c r="A607" s="0" t="s">
        <v>2562</v>
      </c>
      <c r="B607" s="0" t="s">
        <v>893</v>
      </c>
      <c r="C607" s="0" t="s">
        <v>93</v>
      </c>
      <c r="D607" s="14" t="n">
        <v>46163</v>
      </c>
      <c r="E607" s="0" t="n">
        <v>27454.9</v>
      </c>
      <c r="F607" s="14" t="n">
        <v>46223</v>
      </c>
    </row>
    <row r="608" customFormat="false" ht="15" hidden="false" customHeight="false" outlineLevel="0" collapsed="false">
      <c r="A608" s="0" t="s">
        <v>2563</v>
      </c>
      <c r="B608" s="0" t="s">
        <v>894</v>
      </c>
      <c r="C608" s="0" t="s">
        <v>171</v>
      </c>
      <c r="D608" s="14" t="n">
        <v>46014</v>
      </c>
      <c r="E608" s="0" t="n">
        <v>3138.5</v>
      </c>
      <c r="F608" s="14" t="n">
        <v>46074</v>
      </c>
    </row>
    <row r="609" customFormat="false" ht="15" hidden="false" customHeight="false" outlineLevel="0" collapsed="false">
      <c r="A609" s="0" t="s">
        <v>2564</v>
      </c>
      <c r="B609" s="0" t="s">
        <v>895</v>
      </c>
      <c r="C609" s="0" t="s">
        <v>112</v>
      </c>
      <c r="D609" s="14" t="n">
        <v>45837</v>
      </c>
      <c r="E609" s="0" t="n">
        <v>4085.56</v>
      </c>
      <c r="F609" s="14" t="n">
        <v>45882</v>
      </c>
    </row>
    <row r="610" customFormat="false" ht="15" hidden="false" customHeight="false" outlineLevel="0" collapsed="false">
      <c r="A610" s="0" t="s">
        <v>2565</v>
      </c>
      <c r="B610" s="0" t="s">
        <v>896</v>
      </c>
      <c r="C610" s="0" t="s">
        <v>70</v>
      </c>
      <c r="D610" s="14" t="n">
        <v>45901</v>
      </c>
      <c r="E610" s="0" t="n">
        <v>2086.29</v>
      </c>
      <c r="F610" s="14" t="n">
        <v>45946</v>
      </c>
    </row>
    <row r="611" customFormat="false" ht="15" hidden="false" customHeight="false" outlineLevel="0" collapsed="false">
      <c r="A611" s="0" t="s">
        <v>2566</v>
      </c>
      <c r="B611" s="0" t="s">
        <v>897</v>
      </c>
      <c r="C611" s="0" t="s">
        <v>161</v>
      </c>
      <c r="D611" s="14" t="n">
        <v>45984</v>
      </c>
      <c r="E611" s="0" t="n">
        <v>345.65</v>
      </c>
      <c r="F611" s="14" t="n">
        <v>46029</v>
      </c>
    </row>
    <row r="612" customFormat="false" ht="15" hidden="false" customHeight="false" outlineLevel="0" collapsed="false">
      <c r="A612" s="0" t="s">
        <v>2567</v>
      </c>
      <c r="B612" s="0" t="s">
        <v>898</v>
      </c>
      <c r="C612" s="0" t="s">
        <v>140</v>
      </c>
      <c r="D612" s="14" t="n">
        <v>46079</v>
      </c>
      <c r="E612" s="0" t="n">
        <v>1516.39</v>
      </c>
      <c r="F612" s="14" t="n">
        <v>46109</v>
      </c>
    </row>
    <row r="613" customFormat="false" ht="15" hidden="false" customHeight="false" outlineLevel="0" collapsed="false">
      <c r="A613" s="0" t="s">
        <v>2568</v>
      </c>
      <c r="B613" s="0" t="s">
        <v>899</v>
      </c>
      <c r="C613" s="0" t="s">
        <v>70</v>
      </c>
      <c r="D613" s="14" t="n">
        <v>45729</v>
      </c>
      <c r="E613" s="0" t="n">
        <v>19832.55</v>
      </c>
      <c r="F613" s="14" t="n">
        <v>45774</v>
      </c>
    </row>
    <row r="614" customFormat="false" ht="15" hidden="false" customHeight="false" outlineLevel="0" collapsed="false">
      <c r="A614" s="0" t="s">
        <v>2569</v>
      </c>
      <c r="B614" s="0" t="s">
        <v>900</v>
      </c>
      <c r="C614" s="0" t="s">
        <v>116</v>
      </c>
      <c r="D614" s="14" t="n">
        <v>45821</v>
      </c>
      <c r="E614" s="0" t="n">
        <v>1703.61</v>
      </c>
      <c r="F614" s="14" t="n">
        <v>45881</v>
      </c>
    </row>
    <row r="615" customFormat="false" ht="15" hidden="false" customHeight="false" outlineLevel="0" collapsed="false">
      <c r="A615" s="0" t="s">
        <v>2570</v>
      </c>
      <c r="B615" s="0" t="s">
        <v>901</v>
      </c>
      <c r="C615" s="0" t="s">
        <v>104</v>
      </c>
      <c r="D615" s="14" t="n">
        <v>46085</v>
      </c>
      <c r="E615" s="0" t="n">
        <v>2360.64</v>
      </c>
      <c r="F615" s="14" t="n">
        <v>46115</v>
      </c>
    </row>
    <row r="616" customFormat="false" ht="15" hidden="false" customHeight="false" outlineLevel="0" collapsed="false">
      <c r="A616" s="0" t="s">
        <v>2571</v>
      </c>
      <c r="B616" s="0" t="s">
        <v>902</v>
      </c>
      <c r="C616" s="0" t="s">
        <v>104</v>
      </c>
      <c r="D616" s="14" t="n">
        <v>45772</v>
      </c>
      <c r="E616" s="0" t="n">
        <v>1484.72</v>
      </c>
      <c r="F616" s="14" t="n">
        <v>45802</v>
      </c>
    </row>
    <row r="617" customFormat="false" ht="15" hidden="false" customHeight="false" outlineLevel="0" collapsed="false">
      <c r="A617" s="0" t="s">
        <v>2572</v>
      </c>
      <c r="B617" s="0" t="s">
        <v>903</v>
      </c>
      <c r="C617" s="0" t="s">
        <v>134</v>
      </c>
      <c r="D617" s="14" t="n">
        <v>45746</v>
      </c>
      <c r="E617" s="0" t="n">
        <v>1627.91</v>
      </c>
      <c r="F617" s="14" t="n">
        <v>45776</v>
      </c>
    </row>
    <row r="618" customFormat="false" ht="15" hidden="false" customHeight="false" outlineLevel="0" collapsed="false">
      <c r="A618" s="0" t="s">
        <v>2573</v>
      </c>
      <c r="B618" s="0" t="s">
        <v>904</v>
      </c>
      <c r="C618" s="0" t="s">
        <v>70</v>
      </c>
      <c r="D618" s="14" t="n">
        <v>45963</v>
      </c>
      <c r="E618" s="0" t="n">
        <v>1311.69</v>
      </c>
      <c r="F618" s="14" t="n">
        <v>46008</v>
      </c>
    </row>
    <row r="619" customFormat="false" ht="15" hidden="false" customHeight="false" outlineLevel="0" collapsed="false">
      <c r="A619" s="0" t="s">
        <v>2574</v>
      </c>
      <c r="B619" s="0" t="s">
        <v>904</v>
      </c>
      <c r="C619" s="0" t="s">
        <v>70</v>
      </c>
      <c r="D619" s="14" t="n">
        <v>45954</v>
      </c>
      <c r="E619" s="0" t="n">
        <v>1090.07</v>
      </c>
      <c r="F619" s="14" t="n">
        <v>45999</v>
      </c>
    </row>
    <row r="620" customFormat="false" ht="15" hidden="false" customHeight="false" outlineLevel="0" collapsed="false">
      <c r="A620" s="0" t="s">
        <v>2575</v>
      </c>
      <c r="B620" s="0" t="s">
        <v>905</v>
      </c>
      <c r="C620" s="0" t="s">
        <v>189</v>
      </c>
      <c r="D620" s="14" t="n">
        <v>46209</v>
      </c>
      <c r="E620" s="0" t="n">
        <v>4290.25</v>
      </c>
      <c r="F620" s="14" t="n">
        <v>46254</v>
      </c>
    </row>
    <row r="621" customFormat="false" ht="15" hidden="false" customHeight="false" outlineLevel="0" collapsed="false">
      <c r="A621" s="0" t="s">
        <v>2576</v>
      </c>
      <c r="B621" s="0" t="s">
        <v>906</v>
      </c>
      <c r="C621" s="0" t="s">
        <v>155</v>
      </c>
      <c r="D621" s="14" t="n">
        <v>45970</v>
      </c>
      <c r="E621" s="0" t="n">
        <v>60188.25</v>
      </c>
      <c r="F621" s="14" t="n">
        <v>46015</v>
      </c>
    </row>
    <row r="622" customFormat="false" ht="15" hidden="false" customHeight="false" outlineLevel="0" collapsed="false">
      <c r="A622" s="0" t="s">
        <v>2577</v>
      </c>
      <c r="B622" s="0" t="s">
        <v>907</v>
      </c>
      <c r="C622" s="0" t="s">
        <v>183</v>
      </c>
      <c r="D622" s="14" t="n">
        <v>46180</v>
      </c>
      <c r="E622" s="0" t="n">
        <v>7933.72</v>
      </c>
      <c r="F622" s="14" t="n">
        <v>46225</v>
      </c>
    </row>
    <row r="623" customFormat="false" ht="15" hidden="false" customHeight="false" outlineLevel="0" collapsed="false">
      <c r="A623" s="0" t="s">
        <v>2578</v>
      </c>
      <c r="B623" s="0" t="s">
        <v>908</v>
      </c>
      <c r="C623" s="0" t="s">
        <v>152</v>
      </c>
      <c r="D623" s="14" t="n">
        <v>46113</v>
      </c>
      <c r="E623" s="0" t="n">
        <v>2753.96</v>
      </c>
      <c r="F623" s="14" t="n">
        <v>46173</v>
      </c>
    </row>
    <row r="624" customFormat="false" ht="15" hidden="false" customHeight="false" outlineLevel="0" collapsed="false">
      <c r="A624" s="0" t="s">
        <v>2579</v>
      </c>
      <c r="B624" s="0" t="s">
        <v>909</v>
      </c>
      <c r="C624" s="0" t="s">
        <v>119</v>
      </c>
      <c r="D624" s="14" t="n">
        <v>45800</v>
      </c>
      <c r="E624" s="0" t="n">
        <v>5478.24</v>
      </c>
      <c r="F624" s="14" t="n">
        <v>45815</v>
      </c>
    </row>
    <row r="625" customFormat="false" ht="15" hidden="false" customHeight="false" outlineLevel="0" collapsed="false">
      <c r="A625" s="0" t="s">
        <v>2580</v>
      </c>
      <c r="B625" s="0" t="s">
        <v>910</v>
      </c>
      <c r="C625" s="0" t="s">
        <v>104</v>
      </c>
      <c r="D625" s="14" t="n">
        <v>46110</v>
      </c>
      <c r="E625" s="0" t="n">
        <v>581.73</v>
      </c>
      <c r="F625" s="14" t="n">
        <v>46140</v>
      </c>
    </row>
    <row r="626" customFormat="false" ht="15" hidden="false" customHeight="false" outlineLevel="0" collapsed="false">
      <c r="A626" s="0" t="s">
        <v>2581</v>
      </c>
      <c r="B626" s="0" t="s">
        <v>911</v>
      </c>
      <c r="C626" s="0" t="s">
        <v>89</v>
      </c>
      <c r="D626" s="14" t="n">
        <v>45922</v>
      </c>
      <c r="E626" s="0" t="n">
        <v>2739.78</v>
      </c>
      <c r="F626" s="14" t="n">
        <v>45937</v>
      </c>
    </row>
    <row r="627" customFormat="false" ht="15" hidden="false" customHeight="false" outlineLevel="0" collapsed="false">
      <c r="A627" s="0" t="s">
        <v>2582</v>
      </c>
      <c r="B627" s="0" t="s">
        <v>912</v>
      </c>
      <c r="C627" s="0" t="s">
        <v>112</v>
      </c>
      <c r="D627" s="14" t="n">
        <v>46108</v>
      </c>
      <c r="E627" s="0" t="n">
        <v>329.34</v>
      </c>
      <c r="F627" s="14" t="n">
        <v>46153</v>
      </c>
    </row>
    <row r="628" customFormat="false" ht="15" hidden="false" customHeight="false" outlineLevel="0" collapsed="false">
      <c r="A628" s="0" t="s">
        <v>2583</v>
      </c>
      <c r="B628" s="0" t="s">
        <v>913</v>
      </c>
      <c r="C628" s="0" t="s">
        <v>161</v>
      </c>
      <c r="D628" s="14" t="n">
        <v>46085</v>
      </c>
      <c r="E628" s="0" t="n">
        <v>1253.19</v>
      </c>
      <c r="F628" s="14" t="n">
        <v>46130</v>
      </c>
    </row>
    <row r="629" customFormat="false" ht="15" hidden="false" customHeight="false" outlineLevel="0" collapsed="false">
      <c r="A629" s="0" t="s">
        <v>2584</v>
      </c>
      <c r="B629" s="0" t="s">
        <v>914</v>
      </c>
      <c r="C629" s="0" t="s">
        <v>152</v>
      </c>
      <c r="D629" s="14" t="n">
        <v>45847</v>
      </c>
      <c r="E629" s="0" t="n">
        <v>5307.07</v>
      </c>
      <c r="F629" s="14" t="n">
        <v>45907</v>
      </c>
    </row>
    <row r="630" customFormat="false" ht="15" hidden="false" customHeight="false" outlineLevel="0" collapsed="false">
      <c r="A630" s="0" t="s">
        <v>2585</v>
      </c>
      <c r="B630" s="0" t="s">
        <v>915</v>
      </c>
      <c r="C630" s="0" t="s">
        <v>84</v>
      </c>
      <c r="D630" s="14" t="n">
        <v>45741</v>
      </c>
      <c r="E630" s="0" t="n">
        <v>4575.5</v>
      </c>
      <c r="F630" s="14" t="n">
        <v>45756</v>
      </c>
    </row>
    <row r="631" customFormat="false" ht="15" hidden="false" customHeight="false" outlineLevel="0" collapsed="false">
      <c r="A631" s="0" t="s">
        <v>2586</v>
      </c>
      <c r="B631" s="0" t="s">
        <v>916</v>
      </c>
      <c r="C631" s="0" t="s">
        <v>119</v>
      </c>
      <c r="D631" s="14" t="n">
        <v>46197</v>
      </c>
      <c r="E631" s="0" t="n">
        <v>9603.81</v>
      </c>
      <c r="F631" s="14" t="n">
        <v>46212</v>
      </c>
    </row>
    <row r="632" customFormat="false" ht="15" hidden="false" customHeight="false" outlineLevel="0" collapsed="false">
      <c r="A632" s="0" t="s">
        <v>2587</v>
      </c>
      <c r="B632" s="0" t="s">
        <v>917</v>
      </c>
      <c r="C632" s="0" t="s">
        <v>152</v>
      </c>
      <c r="D632" s="14" t="n">
        <v>45759</v>
      </c>
      <c r="E632" s="0" t="n">
        <v>4978.47</v>
      </c>
      <c r="F632" s="14" t="n">
        <v>45819</v>
      </c>
    </row>
    <row r="633" customFormat="false" ht="15" hidden="false" customHeight="false" outlineLevel="0" collapsed="false">
      <c r="A633" s="0" t="s">
        <v>2588</v>
      </c>
      <c r="B633" s="0" t="s">
        <v>918</v>
      </c>
      <c r="C633" s="0" t="s">
        <v>174</v>
      </c>
      <c r="D633" s="14" t="n">
        <v>46207</v>
      </c>
      <c r="E633" s="0" t="n">
        <v>4144.18</v>
      </c>
      <c r="F633" s="14" t="n">
        <v>46222</v>
      </c>
    </row>
    <row r="634" customFormat="false" ht="15" hidden="false" customHeight="false" outlineLevel="0" collapsed="false">
      <c r="A634" s="0" t="s">
        <v>2589</v>
      </c>
      <c r="B634" s="0" t="s">
        <v>919</v>
      </c>
      <c r="C634" s="0" t="s">
        <v>152</v>
      </c>
      <c r="D634" s="14" t="n">
        <v>46134</v>
      </c>
      <c r="E634" s="0" t="n">
        <v>4005.11</v>
      </c>
      <c r="F634" s="14" t="n">
        <v>46194</v>
      </c>
    </row>
    <row r="635" customFormat="false" ht="15" hidden="false" customHeight="false" outlineLevel="0" collapsed="false">
      <c r="A635" s="0" t="s">
        <v>2590</v>
      </c>
      <c r="B635" s="0" t="s">
        <v>920</v>
      </c>
      <c r="C635" s="0" t="s">
        <v>80</v>
      </c>
      <c r="D635" s="14" t="n">
        <v>46064</v>
      </c>
      <c r="E635" s="0" t="n">
        <v>1866.99</v>
      </c>
      <c r="F635" s="14" t="n">
        <v>46079</v>
      </c>
    </row>
    <row r="636" customFormat="false" ht="15" hidden="false" customHeight="false" outlineLevel="0" collapsed="false">
      <c r="A636" s="0" t="s">
        <v>2591</v>
      </c>
      <c r="B636" s="0" t="s">
        <v>921</v>
      </c>
      <c r="C636" s="0" t="s">
        <v>174</v>
      </c>
      <c r="D636" s="14" t="n">
        <v>46207</v>
      </c>
      <c r="E636" s="0" t="n">
        <v>21270.63</v>
      </c>
      <c r="F636" s="14" t="n">
        <v>46222</v>
      </c>
    </row>
    <row r="637" customFormat="false" ht="15" hidden="false" customHeight="false" outlineLevel="0" collapsed="false">
      <c r="A637" s="0" t="s">
        <v>2592</v>
      </c>
      <c r="B637" s="0" t="s">
        <v>922</v>
      </c>
      <c r="C637" s="0" t="s">
        <v>174</v>
      </c>
      <c r="D637" s="14" t="n">
        <v>46192</v>
      </c>
      <c r="E637" s="0" t="n">
        <v>10172.24</v>
      </c>
      <c r="F637" s="14" t="n">
        <v>46207</v>
      </c>
    </row>
    <row r="638" customFormat="false" ht="15" hidden="false" customHeight="false" outlineLevel="0" collapsed="false">
      <c r="A638" s="0" t="s">
        <v>2593</v>
      </c>
      <c r="B638" s="0" t="s">
        <v>923</v>
      </c>
      <c r="C638" s="0" t="s">
        <v>177</v>
      </c>
      <c r="D638" s="14" t="n">
        <v>46099</v>
      </c>
      <c r="E638" s="0" t="n">
        <v>718.68</v>
      </c>
      <c r="F638" s="14" t="n">
        <v>46159</v>
      </c>
    </row>
    <row r="639" customFormat="false" ht="15" hidden="false" customHeight="false" outlineLevel="0" collapsed="false">
      <c r="A639" s="0" t="s">
        <v>2594</v>
      </c>
      <c r="B639" s="0" t="s">
        <v>924</v>
      </c>
      <c r="C639" s="0" t="s">
        <v>180</v>
      </c>
      <c r="D639" s="14" t="n">
        <v>45879</v>
      </c>
      <c r="E639" s="0" t="n">
        <v>666.83</v>
      </c>
      <c r="F639" s="14" t="n">
        <v>45939</v>
      </c>
    </row>
    <row r="640" customFormat="false" ht="15" hidden="false" customHeight="false" outlineLevel="0" collapsed="false">
      <c r="A640" s="0" t="s">
        <v>2595</v>
      </c>
      <c r="B640" s="0" t="s">
        <v>925</v>
      </c>
      <c r="C640" s="0" t="s">
        <v>80</v>
      </c>
      <c r="D640" s="14" t="n">
        <v>46090</v>
      </c>
      <c r="E640" s="0" t="n">
        <v>1590.48</v>
      </c>
      <c r="F640" s="14" t="n">
        <v>46105</v>
      </c>
    </row>
    <row r="641" customFormat="false" ht="15" hidden="false" customHeight="false" outlineLevel="0" collapsed="false">
      <c r="A641" s="0" t="s">
        <v>2596</v>
      </c>
      <c r="B641" s="0" t="s">
        <v>926</v>
      </c>
      <c r="C641" s="0" t="s">
        <v>96</v>
      </c>
      <c r="D641" s="14" t="n">
        <v>45667</v>
      </c>
      <c r="E641" s="0" t="n">
        <v>4880.22</v>
      </c>
      <c r="F641" s="14" t="n">
        <v>45682</v>
      </c>
    </row>
    <row r="642" customFormat="false" ht="15" hidden="false" customHeight="false" outlineLevel="0" collapsed="false">
      <c r="A642" s="0" t="s">
        <v>2597</v>
      </c>
      <c r="B642" s="0" t="s">
        <v>927</v>
      </c>
      <c r="C642" s="0" t="s">
        <v>152</v>
      </c>
      <c r="D642" s="14" t="n">
        <v>45972</v>
      </c>
      <c r="E642" s="0" t="n">
        <v>2581.16</v>
      </c>
      <c r="F642" s="14" t="n">
        <v>46032</v>
      </c>
    </row>
    <row r="643" customFormat="false" ht="15" hidden="false" customHeight="false" outlineLevel="0" collapsed="false">
      <c r="A643" s="0" t="s">
        <v>2598</v>
      </c>
      <c r="B643" s="0" t="s">
        <v>928</v>
      </c>
      <c r="C643" s="0" t="s">
        <v>192</v>
      </c>
      <c r="D643" s="14" t="n">
        <v>45929</v>
      </c>
      <c r="E643" s="0" t="n">
        <v>2022.62</v>
      </c>
      <c r="F643" s="14" t="n">
        <v>45959</v>
      </c>
    </row>
    <row r="644" customFormat="false" ht="15" hidden="false" customHeight="false" outlineLevel="0" collapsed="false">
      <c r="A644" s="0" t="s">
        <v>2599</v>
      </c>
      <c r="B644" s="0" t="s">
        <v>929</v>
      </c>
      <c r="C644" s="0" t="s">
        <v>177</v>
      </c>
      <c r="D644" s="14" t="n">
        <v>46048</v>
      </c>
      <c r="E644" s="0" t="n">
        <v>2330.25</v>
      </c>
      <c r="F644" s="14" t="n">
        <v>46108</v>
      </c>
    </row>
    <row r="645" customFormat="false" ht="15" hidden="false" customHeight="false" outlineLevel="0" collapsed="false">
      <c r="A645" s="0" t="s">
        <v>2600</v>
      </c>
      <c r="B645" s="0" t="s">
        <v>930</v>
      </c>
      <c r="C645" s="0" t="s">
        <v>167</v>
      </c>
      <c r="D645" s="14" t="n">
        <v>46034</v>
      </c>
      <c r="E645" s="0" t="n">
        <v>1142.31</v>
      </c>
      <c r="F645" s="14" t="n">
        <v>46094</v>
      </c>
    </row>
    <row r="646" customFormat="false" ht="15" hidden="false" customHeight="false" outlineLevel="0" collapsed="false">
      <c r="A646" s="0" t="s">
        <v>2601</v>
      </c>
      <c r="B646" s="0" t="s">
        <v>931</v>
      </c>
      <c r="C646" s="0" t="s">
        <v>171</v>
      </c>
      <c r="D646" s="14" t="n">
        <v>45983</v>
      </c>
      <c r="E646" s="0" t="n">
        <v>5378.13</v>
      </c>
      <c r="F646" s="14" t="n">
        <v>46043</v>
      </c>
    </row>
    <row r="647" customFormat="false" ht="15" hidden="false" customHeight="false" outlineLevel="0" collapsed="false">
      <c r="A647" s="0" t="s">
        <v>2602</v>
      </c>
      <c r="B647" s="0" t="s">
        <v>932</v>
      </c>
      <c r="C647" s="0" t="s">
        <v>75</v>
      </c>
      <c r="D647" s="14" t="n">
        <v>46113</v>
      </c>
      <c r="E647" s="0" t="n">
        <v>1479.77</v>
      </c>
      <c r="F647" s="14" t="n">
        <v>46128</v>
      </c>
    </row>
    <row r="648" customFormat="false" ht="15" hidden="false" customHeight="false" outlineLevel="0" collapsed="false">
      <c r="A648" s="0" t="s">
        <v>2603</v>
      </c>
      <c r="B648" s="0" t="s">
        <v>932</v>
      </c>
      <c r="C648" s="0" t="s">
        <v>75</v>
      </c>
      <c r="D648" s="14" t="n">
        <v>46127</v>
      </c>
      <c r="E648" s="0" t="n">
        <v>1479.77</v>
      </c>
      <c r="F648" s="14" t="n">
        <v>46142</v>
      </c>
    </row>
    <row r="649" customFormat="false" ht="15" hidden="false" customHeight="false" outlineLevel="0" collapsed="false">
      <c r="A649" s="0" t="s">
        <v>2604</v>
      </c>
      <c r="B649" s="0" t="s">
        <v>933</v>
      </c>
      <c r="C649" s="0" t="s">
        <v>112</v>
      </c>
      <c r="D649" s="14" t="n">
        <v>46181</v>
      </c>
      <c r="E649" s="0" t="n">
        <v>2544.31</v>
      </c>
      <c r="F649" s="14" t="n">
        <v>46226</v>
      </c>
    </row>
    <row r="650" customFormat="false" ht="15" hidden="false" customHeight="false" outlineLevel="0" collapsed="false">
      <c r="A650" s="0" t="s">
        <v>2605</v>
      </c>
      <c r="B650" s="0" t="s">
        <v>934</v>
      </c>
      <c r="C650" s="0" t="s">
        <v>96</v>
      </c>
      <c r="D650" s="14" t="n">
        <v>45726</v>
      </c>
      <c r="E650" s="0" t="n">
        <v>1679.49</v>
      </c>
      <c r="F650" s="14" t="n">
        <v>45741</v>
      </c>
    </row>
    <row r="651" customFormat="false" ht="15" hidden="false" customHeight="false" outlineLevel="0" collapsed="false">
      <c r="A651" s="0" t="s">
        <v>2606</v>
      </c>
      <c r="B651" s="0" t="s">
        <v>934</v>
      </c>
      <c r="C651" s="0" t="s">
        <v>96</v>
      </c>
      <c r="D651" s="14" t="n">
        <v>45735</v>
      </c>
      <c r="E651" s="0" t="n">
        <v>1679.49</v>
      </c>
      <c r="F651" s="14" t="n">
        <v>45750</v>
      </c>
    </row>
    <row r="652" customFormat="false" ht="15" hidden="false" customHeight="false" outlineLevel="0" collapsed="false">
      <c r="A652" s="0" t="s">
        <v>2607</v>
      </c>
      <c r="B652" s="0" t="s">
        <v>935</v>
      </c>
      <c r="C652" s="0" t="s">
        <v>183</v>
      </c>
      <c r="D652" s="14" t="n">
        <v>45804</v>
      </c>
      <c r="E652" s="0" t="n">
        <v>2035.58</v>
      </c>
      <c r="F652" s="14" t="n">
        <v>45849</v>
      </c>
    </row>
    <row r="653" customFormat="false" ht="15" hidden="false" customHeight="false" outlineLevel="0" collapsed="false">
      <c r="A653" s="0" t="s">
        <v>2608</v>
      </c>
      <c r="B653" s="0" t="s">
        <v>936</v>
      </c>
      <c r="C653" s="0" t="s">
        <v>155</v>
      </c>
      <c r="D653" s="14" t="n">
        <v>45693</v>
      </c>
      <c r="E653" s="0" t="n">
        <v>1499.87</v>
      </c>
      <c r="F653" s="14" t="n">
        <v>45738</v>
      </c>
    </row>
    <row r="654" customFormat="false" ht="15" hidden="false" customHeight="false" outlineLevel="0" collapsed="false">
      <c r="A654" s="0" t="s">
        <v>2609</v>
      </c>
      <c r="B654" s="0" t="s">
        <v>937</v>
      </c>
      <c r="C654" s="0" t="s">
        <v>89</v>
      </c>
      <c r="D654" s="14" t="n">
        <v>46147</v>
      </c>
      <c r="E654" s="0" t="n">
        <v>2691.6</v>
      </c>
      <c r="F654" s="14" t="n">
        <v>46162</v>
      </c>
    </row>
    <row r="655" customFormat="false" ht="15" hidden="false" customHeight="false" outlineLevel="0" collapsed="false">
      <c r="A655" s="0" t="s">
        <v>2610</v>
      </c>
      <c r="B655" s="0" t="s">
        <v>938</v>
      </c>
      <c r="C655" s="0" t="s">
        <v>99</v>
      </c>
      <c r="D655" s="14" t="n">
        <v>45980</v>
      </c>
      <c r="E655" s="0" t="n">
        <v>687.41</v>
      </c>
      <c r="F655" s="14" t="n">
        <v>46040</v>
      </c>
    </row>
    <row r="656" customFormat="false" ht="15" hidden="false" customHeight="false" outlineLevel="0" collapsed="false">
      <c r="A656" s="0" t="s">
        <v>2611</v>
      </c>
      <c r="B656" s="0" t="s">
        <v>939</v>
      </c>
      <c r="C656" s="0" t="s">
        <v>174</v>
      </c>
      <c r="D656" s="14" t="n">
        <v>46159</v>
      </c>
      <c r="E656" s="0" t="n">
        <v>915.68</v>
      </c>
      <c r="F656" s="14" t="n">
        <v>46174</v>
      </c>
    </row>
    <row r="657" customFormat="false" ht="15" hidden="false" customHeight="false" outlineLevel="0" collapsed="false">
      <c r="A657" s="0" t="s">
        <v>2612</v>
      </c>
      <c r="B657" s="0" t="s">
        <v>940</v>
      </c>
      <c r="C657" s="0" t="s">
        <v>131</v>
      </c>
      <c r="D657" s="14" t="n">
        <v>45788</v>
      </c>
      <c r="E657" s="0" t="n">
        <v>1560.82</v>
      </c>
      <c r="F657" s="14" t="n">
        <v>45833</v>
      </c>
    </row>
    <row r="658" customFormat="false" ht="15" hidden="false" customHeight="false" outlineLevel="0" collapsed="false">
      <c r="A658" s="0" t="s">
        <v>2613</v>
      </c>
      <c r="B658" s="0" t="s">
        <v>941</v>
      </c>
      <c r="C658" s="0" t="s">
        <v>70</v>
      </c>
      <c r="D658" s="14" t="n">
        <v>45708</v>
      </c>
      <c r="E658" s="0" t="n">
        <v>134.87</v>
      </c>
      <c r="F658" s="14" t="n">
        <v>45753</v>
      </c>
    </row>
    <row r="659" customFormat="false" ht="15" hidden="false" customHeight="false" outlineLevel="0" collapsed="false">
      <c r="A659" s="0" t="s">
        <v>2614</v>
      </c>
      <c r="B659" s="0" t="s">
        <v>942</v>
      </c>
      <c r="C659" s="0" t="s">
        <v>177</v>
      </c>
      <c r="D659" s="14" t="n">
        <v>46114</v>
      </c>
      <c r="E659" s="0" t="n">
        <v>827.43</v>
      </c>
      <c r="F659" s="14" t="n">
        <v>46174</v>
      </c>
    </row>
    <row r="660" customFormat="false" ht="15" hidden="false" customHeight="false" outlineLevel="0" collapsed="false">
      <c r="A660" s="0" t="s">
        <v>2615</v>
      </c>
      <c r="B660" s="0" t="s">
        <v>943</v>
      </c>
      <c r="C660" s="0" t="s">
        <v>189</v>
      </c>
      <c r="D660" s="14" t="n">
        <v>46171</v>
      </c>
      <c r="E660" s="0" t="n">
        <v>11648.06</v>
      </c>
      <c r="F660" s="14" t="n">
        <v>46216</v>
      </c>
    </row>
    <row r="661" customFormat="false" ht="15" hidden="false" customHeight="false" outlineLevel="0" collapsed="false">
      <c r="A661" s="0" t="s">
        <v>2616</v>
      </c>
      <c r="B661" s="0" t="s">
        <v>943</v>
      </c>
      <c r="C661" s="0" t="s">
        <v>189</v>
      </c>
      <c r="D661" s="14" t="n">
        <v>46162</v>
      </c>
      <c r="E661" s="0" t="n">
        <v>11648.06</v>
      </c>
      <c r="F661" s="14" t="n">
        <v>46207</v>
      </c>
    </row>
    <row r="662" customFormat="false" ht="15" hidden="false" customHeight="false" outlineLevel="0" collapsed="false">
      <c r="A662" s="0" t="s">
        <v>2617</v>
      </c>
      <c r="B662" s="0" t="s">
        <v>944</v>
      </c>
      <c r="C662" s="0" t="s">
        <v>116</v>
      </c>
      <c r="D662" s="14" t="n">
        <v>45834</v>
      </c>
      <c r="E662" s="0" t="n">
        <v>12577.05</v>
      </c>
      <c r="F662" s="14" t="n">
        <v>45894</v>
      </c>
    </row>
    <row r="663" customFormat="false" ht="15" hidden="false" customHeight="false" outlineLevel="0" collapsed="false">
      <c r="A663" s="0" t="s">
        <v>2618</v>
      </c>
      <c r="B663" s="0" t="s">
        <v>945</v>
      </c>
      <c r="C663" s="0" t="s">
        <v>109</v>
      </c>
      <c r="D663" s="14" t="n">
        <v>45892</v>
      </c>
      <c r="E663" s="0" t="n">
        <v>1362.33</v>
      </c>
      <c r="F663" s="14" t="n">
        <v>45907</v>
      </c>
    </row>
    <row r="664" customFormat="false" ht="15" hidden="false" customHeight="false" outlineLevel="0" collapsed="false">
      <c r="A664" s="0" t="s">
        <v>2619</v>
      </c>
      <c r="B664" s="0" t="s">
        <v>946</v>
      </c>
      <c r="C664" s="0" t="s">
        <v>183</v>
      </c>
      <c r="D664" s="14" t="n">
        <v>45743</v>
      </c>
      <c r="E664" s="0" t="n">
        <v>2061.29</v>
      </c>
      <c r="F664" s="14" t="n">
        <v>45788</v>
      </c>
    </row>
    <row r="665" customFormat="false" ht="15" hidden="false" customHeight="false" outlineLevel="0" collapsed="false">
      <c r="A665" s="0" t="s">
        <v>2620</v>
      </c>
      <c r="B665" s="0" t="s">
        <v>947</v>
      </c>
      <c r="C665" s="0" t="s">
        <v>75</v>
      </c>
      <c r="D665" s="14" t="n">
        <v>46181</v>
      </c>
      <c r="E665" s="0" t="n">
        <v>1760.94</v>
      </c>
      <c r="F665" s="14" t="n">
        <v>46196</v>
      </c>
    </row>
    <row r="666" customFormat="false" ht="15" hidden="false" customHeight="false" outlineLevel="0" collapsed="false">
      <c r="A666" s="0" t="s">
        <v>2621</v>
      </c>
      <c r="B666" s="0" t="s">
        <v>948</v>
      </c>
      <c r="C666" s="0" t="s">
        <v>104</v>
      </c>
      <c r="D666" s="14" t="n">
        <v>45840</v>
      </c>
      <c r="E666" s="0" t="n">
        <v>4559.69</v>
      </c>
      <c r="F666" s="14" t="n">
        <v>45870</v>
      </c>
    </row>
    <row r="667" customFormat="false" ht="15" hidden="false" customHeight="false" outlineLevel="0" collapsed="false">
      <c r="A667" s="0" t="s">
        <v>2622</v>
      </c>
      <c r="B667" s="0" t="s">
        <v>949</v>
      </c>
      <c r="C667" s="0" t="s">
        <v>177</v>
      </c>
      <c r="D667" s="14" t="n">
        <v>45941</v>
      </c>
      <c r="E667" s="0" t="n">
        <v>285.04</v>
      </c>
      <c r="F667" s="14" t="n">
        <v>46001</v>
      </c>
    </row>
    <row r="668" customFormat="false" ht="15" hidden="false" customHeight="false" outlineLevel="0" collapsed="false">
      <c r="A668" s="0" t="s">
        <v>2623</v>
      </c>
      <c r="B668" s="0" t="s">
        <v>950</v>
      </c>
      <c r="C668" s="0" t="s">
        <v>164</v>
      </c>
      <c r="D668" s="14" t="n">
        <v>45726</v>
      </c>
      <c r="E668" s="0" t="n">
        <v>2954.28</v>
      </c>
      <c r="F668" s="14" t="n">
        <v>45771</v>
      </c>
    </row>
    <row r="669" customFormat="false" ht="15" hidden="false" customHeight="false" outlineLevel="0" collapsed="false">
      <c r="A669" s="0" t="s">
        <v>2624</v>
      </c>
      <c r="B669" s="0" t="s">
        <v>951</v>
      </c>
      <c r="C669" s="0" t="s">
        <v>201</v>
      </c>
      <c r="D669" s="14" t="n">
        <v>46157</v>
      </c>
      <c r="E669" s="0" t="n">
        <v>894.04</v>
      </c>
      <c r="F669" s="14" t="n">
        <v>46172</v>
      </c>
    </row>
    <row r="670" customFormat="false" ht="15" hidden="false" customHeight="false" outlineLevel="0" collapsed="false">
      <c r="A670" s="0" t="s">
        <v>2625</v>
      </c>
      <c r="B670" s="0" t="s">
        <v>952</v>
      </c>
      <c r="C670" s="0" t="s">
        <v>164</v>
      </c>
      <c r="D670" s="14" t="n">
        <v>45741</v>
      </c>
      <c r="E670" s="0" t="n">
        <v>603.77</v>
      </c>
      <c r="F670" s="14" t="n">
        <v>45786</v>
      </c>
    </row>
    <row r="671" customFormat="false" ht="15" hidden="false" customHeight="false" outlineLevel="0" collapsed="false">
      <c r="A671" s="0" t="s">
        <v>2626</v>
      </c>
      <c r="B671" s="0" t="s">
        <v>953</v>
      </c>
      <c r="C671" s="0" t="s">
        <v>161</v>
      </c>
      <c r="D671" s="14" t="n">
        <v>45929</v>
      </c>
      <c r="E671" s="0" t="n">
        <v>2681.96</v>
      </c>
      <c r="F671" s="14" t="n">
        <v>45974</v>
      </c>
    </row>
    <row r="672" customFormat="false" ht="15" hidden="false" customHeight="false" outlineLevel="0" collapsed="false">
      <c r="A672" s="0" t="s">
        <v>2627</v>
      </c>
      <c r="B672" s="0" t="s">
        <v>954</v>
      </c>
      <c r="C672" s="0" t="s">
        <v>201</v>
      </c>
      <c r="D672" s="14" t="n">
        <v>46028</v>
      </c>
      <c r="E672" s="0" t="n">
        <v>767.92</v>
      </c>
      <c r="F672" s="14" t="n">
        <v>46043</v>
      </c>
    </row>
    <row r="673" customFormat="false" ht="15" hidden="false" customHeight="false" outlineLevel="0" collapsed="false">
      <c r="A673" s="0" t="s">
        <v>2628</v>
      </c>
      <c r="B673" s="0" t="s">
        <v>955</v>
      </c>
      <c r="C673" s="0" t="s">
        <v>109</v>
      </c>
      <c r="D673" s="14" t="n">
        <v>46070</v>
      </c>
      <c r="E673" s="0" t="n">
        <v>2186.62</v>
      </c>
      <c r="F673" s="14" t="n">
        <v>46085</v>
      </c>
    </row>
    <row r="674" customFormat="false" ht="15" hidden="false" customHeight="false" outlineLevel="0" collapsed="false">
      <c r="A674" s="0" t="s">
        <v>2629</v>
      </c>
      <c r="B674" s="0" t="s">
        <v>956</v>
      </c>
      <c r="C674" s="0" t="s">
        <v>146</v>
      </c>
      <c r="D674" s="14" t="n">
        <v>46184</v>
      </c>
      <c r="E674" s="0" t="n">
        <v>2778.4</v>
      </c>
      <c r="F674" s="14" t="n">
        <v>46214</v>
      </c>
    </row>
    <row r="675" customFormat="false" ht="15" hidden="false" customHeight="false" outlineLevel="0" collapsed="false">
      <c r="A675" s="0" t="s">
        <v>2630</v>
      </c>
      <c r="B675" s="0" t="s">
        <v>957</v>
      </c>
      <c r="C675" s="0" t="s">
        <v>192</v>
      </c>
      <c r="D675" s="14" t="n">
        <v>45908</v>
      </c>
      <c r="E675" s="0" t="n">
        <v>989.27</v>
      </c>
      <c r="F675" s="14" t="n">
        <v>45938</v>
      </c>
    </row>
    <row r="676" customFormat="false" ht="15" hidden="false" customHeight="false" outlineLevel="0" collapsed="false">
      <c r="A676" s="0" t="s">
        <v>2631</v>
      </c>
      <c r="B676" s="0" t="s">
        <v>958</v>
      </c>
      <c r="C676" s="0" t="s">
        <v>177</v>
      </c>
      <c r="D676" s="14" t="n">
        <v>46082</v>
      </c>
      <c r="E676" s="0" t="n">
        <v>1556.9</v>
      </c>
      <c r="F676" s="14" t="n">
        <v>46142</v>
      </c>
    </row>
    <row r="677" customFormat="false" ht="15" hidden="false" customHeight="false" outlineLevel="0" collapsed="false">
      <c r="A677" s="0" t="s">
        <v>2632</v>
      </c>
      <c r="B677" s="0" t="s">
        <v>959</v>
      </c>
      <c r="C677" s="0" t="s">
        <v>112</v>
      </c>
      <c r="D677" s="14" t="n">
        <v>45746</v>
      </c>
      <c r="E677" s="0" t="n">
        <v>6662.15</v>
      </c>
      <c r="F677" s="14" t="n">
        <v>45791</v>
      </c>
    </row>
    <row r="678" customFormat="false" ht="15" hidden="false" customHeight="false" outlineLevel="0" collapsed="false">
      <c r="A678" s="0" t="s">
        <v>2633</v>
      </c>
      <c r="B678" s="0" t="s">
        <v>960</v>
      </c>
      <c r="C678" s="0" t="s">
        <v>198</v>
      </c>
      <c r="D678" s="14" t="n">
        <v>45892</v>
      </c>
      <c r="E678" s="0" t="n">
        <v>5757.86</v>
      </c>
      <c r="F678" s="14" t="n">
        <v>45922</v>
      </c>
    </row>
    <row r="679" customFormat="false" ht="15" hidden="false" customHeight="false" outlineLevel="0" collapsed="false">
      <c r="A679" s="0" t="s">
        <v>2634</v>
      </c>
      <c r="B679" s="0" t="s">
        <v>961</v>
      </c>
      <c r="C679" s="0" t="s">
        <v>171</v>
      </c>
      <c r="D679" s="14" t="n">
        <v>45721</v>
      </c>
      <c r="E679" s="0" t="n">
        <v>6869</v>
      </c>
      <c r="F679" s="14" t="n">
        <v>45781</v>
      </c>
    </row>
    <row r="680" customFormat="false" ht="15" hidden="false" customHeight="false" outlineLevel="0" collapsed="false">
      <c r="A680" s="0" t="s">
        <v>2635</v>
      </c>
      <c r="B680" s="0" t="s">
        <v>962</v>
      </c>
      <c r="C680" s="0" t="s">
        <v>167</v>
      </c>
      <c r="D680" s="14" t="n">
        <v>45933</v>
      </c>
      <c r="E680" s="0" t="n">
        <v>228.89</v>
      </c>
      <c r="F680" s="14" t="n">
        <v>45993</v>
      </c>
    </row>
    <row r="681" customFormat="false" ht="15" hidden="false" customHeight="false" outlineLevel="0" collapsed="false">
      <c r="A681" s="0" t="s">
        <v>2636</v>
      </c>
      <c r="B681" s="0" t="s">
        <v>963</v>
      </c>
      <c r="C681" s="0" t="s">
        <v>140</v>
      </c>
      <c r="D681" s="14" t="n">
        <v>45900</v>
      </c>
      <c r="E681" s="0" t="n">
        <v>887.06</v>
      </c>
      <c r="F681" s="14" t="n">
        <v>45930</v>
      </c>
    </row>
    <row r="682" customFormat="false" ht="15" hidden="false" customHeight="false" outlineLevel="0" collapsed="false">
      <c r="A682" s="0" t="s">
        <v>2637</v>
      </c>
      <c r="B682" s="0" t="s">
        <v>964</v>
      </c>
      <c r="C682" s="0" t="s">
        <v>75</v>
      </c>
      <c r="D682" s="14" t="n">
        <v>46178</v>
      </c>
      <c r="E682" s="0" t="n">
        <v>2875.96</v>
      </c>
      <c r="F682" s="14" t="n">
        <v>46193</v>
      </c>
    </row>
    <row r="683" customFormat="false" ht="15" hidden="false" customHeight="false" outlineLevel="0" collapsed="false">
      <c r="A683" s="0" t="s">
        <v>2638</v>
      </c>
      <c r="B683" s="0" t="s">
        <v>965</v>
      </c>
      <c r="C683" s="0" t="s">
        <v>84</v>
      </c>
      <c r="D683" s="14" t="n">
        <v>45692</v>
      </c>
      <c r="E683" s="0" t="n">
        <v>3337.25</v>
      </c>
      <c r="F683" s="14" t="n">
        <v>45707</v>
      </c>
    </row>
    <row r="684" customFormat="false" ht="15" hidden="false" customHeight="false" outlineLevel="0" collapsed="false">
      <c r="A684" s="0" t="s">
        <v>2639</v>
      </c>
      <c r="B684" s="0" t="s">
        <v>966</v>
      </c>
      <c r="C684" s="0" t="s">
        <v>195</v>
      </c>
      <c r="D684" s="14" t="n">
        <v>45874</v>
      </c>
      <c r="E684" s="0" t="n">
        <v>3555.6</v>
      </c>
      <c r="F684" s="14" t="n">
        <v>45904</v>
      </c>
    </row>
    <row r="685" customFormat="false" ht="15" hidden="false" customHeight="false" outlineLevel="0" collapsed="false">
      <c r="A685" s="0" t="s">
        <v>2640</v>
      </c>
      <c r="B685" s="0" t="s">
        <v>967</v>
      </c>
      <c r="C685" s="0" t="s">
        <v>116</v>
      </c>
      <c r="D685" s="14" t="n">
        <v>45923</v>
      </c>
      <c r="E685" s="0" t="n">
        <v>313.22</v>
      </c>
      <c r="F685" s="14" t="n">
        <v>45983</v>
      </c>
    </row>
    <row r="686" customFormat="false" ht="15" hidden="false" customHeight="false" outlineLevel="0" collapsed="false">
      <c r="A686" s="0" t="s">
        <v>2641</v>
      </c>
      <c r="B686" s="0" t="s">
        <v>968</v>
      </c>
      <c r="C686" s="0" t="s">
        <v>70</v>
      </c>
      <c r="D686" s="14" t="n">
        <v>46185</v>
      </c>
      <c r="E686" s="0" t="n">
        <v>36063.86</v>
      </c>
      <c r="F686" s="14" t="n">
        <v>46230</v>
      </c>
    </row>
    <row r="687" customFormat="false" ht="15" hidden="false" customHeight="false" outlineLevel="0" collapsed="false">
      <c r="A687" s="0" t="s">
        <v>2642</v>
      </c>
      <c r="B687" s="0" t="s">
        <v>969</v>
      </c>
      <c r="C687" s="0" t="s">
        <v>96</v>
      </c>
      <c r="D687" s="14" t="n">
        <v>46148</v>
      </c>
      <c r="E687" s="0" t="n">
        <v>1139.17</v>
      </c>
      <c r="F687" s="14" t="n">
        <v>46163</v>
      </c>
    </row>
    <row r="688" customFormat="false" ht="15" hidden="false" customHeight="false" outlineLevel="0" collapsed="false">
      <c r="A688" s="0" t="s">
        <v>2643</v>
      </c>
      <c r="B688" s="0" t="s">
        <v>970</v>
      </c>
      <c r="C688" s="0" t="s">
        <v>155</v>
      </c>
      <c r="D688" s="14" t="n">
        <v>45718</v>
      </c>
      <c r="E688" s="0" t="n">
        <v>989.07</v>
      </c>
      <c r="F688" s="14" t="n">
        <v>45763</v>
      </c>
    </row>
    <row r="689" customFormat="false" ht="15" hidden="false" customHeight="false" outlineLevel="0" collapsed="false">
      <c r="A689" s="0" t="s">
        <v>2644</v>
      </c>
      <c r="B689" s="0" t="s">
        <v>971</v>
      </c>
      <c r="C689" s="0" t="s">
        <v>198</v>
      </c>
      <c r="D689" s="14" t="n">
        <v>46035</v>
      </c>
      <c r="E689" s="0" t="n">
        <v>2852.54</v>
      </c>
      <c r="F689" s="14" t="n">
        <v>46065</v>
      </c>
    </row>
    <row r="690" customFormat="false" ht="15" hidden="false" customHeight="false" outlineLevel="0" collapsed="false">
      <c r="A690" s="0" t="s">
        <v>2645</v>
      </c>
      <c r="B690" s="0" t="s">
        <v>972</v>
      </c>
      <c r="C690" s="0" t="s">
        <v>177</v>
      </c>
      <c r="D690" s="14" t="n">
        <v>45970</v>
      </c>
      <c r="E690" s="0" t="n">
        <v>2408.69</v>
      </c>
      <c r="F690" s="14" t="n">
        <v>46030</v>
      </c>
    </row>
    <row r="691" customFormat="false" ht="15" hidden="false" customHeight="false" outlineLevel="0" collapsed="false">
      <c r="A691" s="0" t="s">
        <v>2646</v>
      </c>
      <c r="B691" s="0" t="s">
        <v>973</v>
      </c>
      <c r="C691" s="0" t="s">
        <v>70</v>
      </c>
      <c r="D691" s="14" t="n">
        <v>46192</v>
      </c>
      <c r="E691" s="0" t="n">
        <v>1303.38</v>
      </c>
      <c r="F691" s="14" t="n">
        <v>46237</v>
      </c>
    </row>
    <row r="692" customFormat="false" ht="15" hidden="false" customHeight="false" outlineLevel="0" collapsed="false">
      <c r="A692" s="0" t="s">
        <v>2647</v>
      </c>
      <c r="B692" s="0" t="s">
        <v>974</v>
      </c>
      <c r="C692" s="0" t="s">
        <v>137</v>
      </c>
      <c r="D692" s="14" t="n">
        <v>45859</v>
      </c>
      <c r="E692" s="0" t="n">
        <v>414.94</v>
      </c>
      <c r="F692" s="14" t="n">
        <v>45904</v>
      </c>
    </row>
    <row r="693" customFormat="false" ht="15" hidden="false" customHeight="false" outlineLevel="0" collapsed="false">
      <c r="A693" s="0" t="s">
        <v>2648</v>
      </c>
      <c r="B693" s="0" t="s">
        <v>975</v>
      </c>
      <c r="C693" s="0" t="s">
        <v>171</v>
      </c>
      <c r="D693" s="14" t="n">
        <v>45887</v>
      </c>
      <c r="E693" s="0" t="n">
        <v>526.61</v>
      </c>
      <c r="F693" s="14" t="n">
        <v>45947</v>
      </c>
    </row>
    <row r="694" customFormat="false" ht="15" hidden="false" customHeight="false" outlineLevel="0" collapsed="false">
      <c r="A694" s="0" t="s">
        <v>2649</v>
      </c>
      <c r="B694" s="0" t="s">
        <v>976</v>
      </c>
      <c r="C694" s="0" t="s">
        <v>99</v>
      </c>
      <c r="D694" s="14" t="n">
        <v>45763</v>
      </c>
      <c r="E694" s="0" t="n">
        <v>1428.02</v>
      </c>
      <c r="F694" s="14" t="n">
        <v>45823</v>
      </c>
    </row>
    <row r="695" customFormat="false" ht="15" hidden="false" customHeight="false" outlineLevel="0" collapsed="false">
      <c r="A695" s="0" t="s">
        <v>2650</v>
      </c>
      <c r="B695" s="0" t="s">
        <v>977</v>
      </c>
      <c r="C695" s="0" t="s">
        <v>99</v>
      </c>
      <c r="D695" s="14" t="n">
        <v>45748</v>
      </c>
      <c r="E695" s="0" t="n">
        <v>3315.09</v>
      </c>
      <c r="F695" s="14" t="n">
        <v>45808</v>
      </c>
    </row>
    <row r="696" customFormat="false" ht="15" hidden="false" customHeight="false" outlineLevel="0" collapsed="false">
      <c r="A696" s="0" t="s">
        <v>2651</v>
      </c>
      <c r="B696" s="0" t="s">
        <v>978</v>
      </c>
      <c r="C696" s="0" t="s">
        <v>104</v>
      </c>
      <c r="D696" s="14" t="n">
        <v>46135</v>
      </c>
      <c r="E696" s="0" t="n">
        <v>1645.78</v>
      </c>
      <c r="F696" s="14" t="n">
        <v>46165</v>
      </c>
    </row>
    <row r="697" customFormat="false" ht="15" hidden="false" customHeight="false" outlineLevel="0" collapsed="false">
      <c r="A697" s="0" t="s">
        <v>2652</v>
      </c>
      <c r="B697" s="0" t="s">
        <v>978</v>
      </c>
      <c r="C697" s="0" t="s">
        <v>104</v>
      </c>
      <c r="D697" s="14" t="n">
        <v>46144</v>
      </c>
      <c r="E697" s="0" t="n">
        <v>1645.78</v>
      </c>
      <c r="F697" s="14" t="n">
        <v>46174</v>
      </c>
    </row>
    <row r="698" customFormat="false" ht="15" hidden="false" customHeight="false" outlineLevel="0" collapsed="false">
      <c r="A698" s="0" t="s">
        <v>2653</v>
      </c>
      <c r="B698" s="0" t="s">
        <v>979</v>
      </c>
      <c r="C698" s="0" t="s">
        <v>104</v>
      </c>
      <c r="D698" s="14" t="n">
        <v>45913</v>
      </c>
      <c r="E698" s="0" t="n">
        <v>2048.02</v>
      </c>
      <c r="F698" s="14" t="n">
        <v>45943</v>
      </c>
    </row>
    <row r="699" customFormat="false" ht="15" hidden="false" customHeight="false" outlineLevel="0" collapsed="false">
      <c r="A699" s="0" t="s">
        <v>2654</v>
      </c>
      <c r="B699" s="0" t="s">
        <v>980</v>
      </c>
      <c r="C699" s="0" t="s">
        <v>155</v>
      </c>
      <c r="D699" s="14" t="n">
        <v>46031</v>
      </c>
      <c r="E699" s="0" t="n">
        <v>1796.9</v>
      </c>
      <c r="F699" s="14" t="n">
        <v>46076</v>
      </c>
    </row>
    <row r="700" customFormat="false" ht="15" hidden="false" customHeight="false" outlineLevel="0" collapsed="false">
      <c r="A700" s="0" t="s">
        <v>2655</v>
      </c>
      <c r="B700" s="0" t="s">
        <v>981</v>
      </c>
      <c r="C700" s="0" t="s">
        <v>116</v>
      </c>
      <c r="D700" s="14" t="n">
        <v>46030</v>
      </c>
      <c r="E700" s="0" t="n">
        <v>2764.38</v>
      </c>
      <c r="F700" s="14" t="n">
        <v>46090</v>
      </c>
    </row>
    <row r="701" customFormat="false" ht="15" hidden="false" customHeight="false" outlineLevel="0" collapsed="false">
      <c r="A701" s="0" t="s">
        <v>2656</v>
      </c>
      <c r="B701" s="0" t="s">
        <v>982</v>
      </c>
      <c r="C701" s="0" t="s">
        <v>116</v>
      </c>
      <c r="D701" s="14" t="n">
        <v>45997</v>
      </c>
      <c r="E701" s="0" t="n">
        <v>3596.65</v>
      </c>
      <c r="F701" s="14" t="n">
        <v>46057</v>
      </c>
    </row>
    <row r="702" customFormat="false" ht="15" hidden="false" customHeight="false" outlineLevel="0" collapsed="false">
      <c r="A702" s="0" t="s">
        <v>2657</v>
      </c>
      <c r="B702" s="0" t="s">
        <v>983</v>
      </c>
      <c r="C702" s="0" t="s">
        <v>96</v>
      </c>
      <c r="D702" s="14" t="n">
        <v>45682</v>
      </c>
      <c r="E702" s="0" t="n">
        <v>3806.21</v>
      </c>
      <c r="F702" s="14" t="n">
        <v>45697</v>
      </c>
    </row>
    <row r="703" customFormat="false" ht="15" hidden="false" customHeight="false" outlineLevel="0" collapsed="false">
      <c r="A703" s="0" t="s">
        <v>2658</v>
      </c>
      <c r="B703" s="0" t="s">
        <v>984</v>
      </c>
      <c r="C703" s="0" t="s">
        <v>198</v>
      </c>
      <c r="D703" s="14" t="n">
        <v>46110</v>
      </c>
      <c r="E703" s="0" t="n">
        <v>2397.02</v>
      </c>
      <c r="F703" s="14" t="n">
        <v>46140</v>
      </c>
    </row>
    <row r="704" customFormat="false" ht="15" hidden="false" customHeight="false" outlineLevel="0" collapsed="false">
      <c r="A704" s="0" t="s">
        <v>2659</v>
      </c>
      <c r="B704" s="0" t="s">
        <v>985</v>
      </c>
      <c r="C704" s="0" t="s">
        <v>186</v>
      </c>
      <c r="D704" s="14" t="n">
        <v>45798</v>
      </c>
      <c r="E704" s="0" t="n">
        <v>15935.12</v>
      </c>
      <c r="F704" s="14" t="n">
        <v>45813</v>
      </c>
    </row>
    <row r="705" customFormat="false" ht="15" hidden="false" customHeight="false" outlineLevel="0" collapsed="false">
      <c r="A705" s="0" t="s">
        <v>2660</v>
      </c>
      <c r="B705" s="0" t="s">
        <v>986</v>
      </c>
      <c r="C705" s="0" t="s">
        <v>164</v>
      </c>
      <c r="D705" s="14" t="n">
        <v>45745</v>
      </c>
      <c r="E705" s="0" t="n">
        <v>524.67</v>
      </c>
      <c r="F705" s="14" t="n">
        <v>45790</v>
      </c>
    </row>
    <row r="706" customFormat="false" ht="15" hidden="false" customHeight="false" outlineLevel="0" collapsed="false">
      <c r="A706" s="0" t="s">
        <v>2661</v>
      </c>
      <c r="B706" s="0" t="s">
        <v>987</v>
      </c>
      <c r="C706" s="0" t="s">
        <v>189</v>
      </c>
      <c r="D706" s="14" t="n">
        <v>45985</v>
      </c>
      <c r="E706" s="0" t="n">
        <v>331.41</v>
      </c>
      <c r="F706" s="14" t="n">
        <v>46030</v>
      </c>
    </row>
    <row r="707" customFormat="false" ht="15" hidden="false" customHeight="false" outlineLevel="0" collapsed="false">
      <c r="A707" s="0" t="s">
        <v>2662</v>
      </c>
      <c r="B707" s="0" t="s">
        <v>988</v>
      </c>
      <c r="C707" s="0" t="s">
        <v>201</v>
      </c>
      <c r="D707" s="14" t="n">
        <v>45720</v>
      </c>
      <c r="E707" s="0" t="n">
        <v>979.13</v>
      </c>
      <c r="F707" s="14" t="n">
        <v>45735</v>
      </c>
    </row>
    <row r="708" customFormat="false" ht="15" hidden="false" customHeight="false" outlineLevel="0" collapsed="false">
      <c r="A708" s="0" t="s">
        <v>2663</v>
      </c>
      <c r="B708" s="0" t="s">
        <v>989</v>
      </c>
      <c r="C708" s="0" t="s">
        <v>93</v>
      </c>
      <c r="D708" s="14" t="n">
        <v>46085</v>
      </c>
      <c r="E708" s="0" t="n">
        <v>3602.11</v>
      </c>
      <c r="F708" s="14" t="n">
        <v>46145</v>
      </c>
    </row>
    <row r="709" customFormat="false" ht="15" hidden="false" customHeight="false" outlineLevel="0" collapsed="false">
      <c r="A709" s="0" t="s">
        <v>2664</v>
      </c>
      <c r="B709" s="0" t="s">
        <v>990</v>
      </c>
      <c r="C709" s="0" t="s">
        <v>125</v>
      </c>
      <c r="D709" s="14" t="n">
        <v>45773</v>
      </c>
      <c r="E709" s="0" t="n">
        <v>579.61</v>
      </c>
      <c r="F709" s="14" t="n">
        <v>45803</v>
      </c>
    </row>
    <row r="710" customFormat="false" ht="15" hidden="false" customHeight="false" outlineLevel="0" collapsed="false">
      <c r="A710" s="0" t="s">
        <v>2665</v>
      </c>
      <c r="B710" s="0" t="s">
        <v>991</v>
      </c>
      <c r="C710" s="0" t="s">
        <v>134</v>
      </c>
      <c r="D710" s="14" t="n">
        <v>45792</v>
      </c>
      <c r="E710" s="0" t="n">
        <v>2463.86</v>
      </c>
      <c r="F710" s="14" t="n">
        <v>45822</v>
      </c>
    </row>
    <row r="711" customFormat="false" ht="15" hidden="false" customHeight="false" outlineLevel="0" collapsed="false">
      <c r="A711" s="0" t="s">
        <v>2666</v>
      </c>
      <c r="B711" s="0" t="s">
        <v>992</v>
      </c>
      <c r="C711" s="0" t="s">
        <v>140</v>
      </c>
      <c r="D711" s="14" t="n">
        <v>46148</v>
      </c>
      <c r="E711" s="0" t="n">
        <v>2741.68</v>
      </c>
      <c r="F711" s="14" t="n">
        <v>46178</v>
      </c>
    </row>
    <row r="712" customFormat="false" ht="15" hidden="false" customHeight="false" outlineLevel="0" collapsed="false">
      <c r="A712" s="0" t="s">
        <v>2667</v>
      </c>
      <c r="B712" s="0" t="s">
        <v>993</v>
      </c>
      <c r="C712" s="0" t="s">
        <v>146</v>
      </c>
      <c r="D712" s="14" t="n">
        <v>45856</v>
      </c>
      <c r="E712" s="0" t="n">
        <v>683.18</v>
      </c>
      <c r="F712" s="14" t="n">
        <v>45886</v>
      </c>
    </row>
    <row r="713" customFormat="false" ht="15" hidden="false" customHeight="false" outlineLevel="0" collapsed="false">
      <c r="A713" s="0" t="s">
        <v>2668</v>
      </c>
      <c r="B713" s="0" t="s">
        <v>994</v>
      </c>
      <c r="C713" s="0" t="s">
        <v>167</v>
      </c>
      <c r="D713" s="14" t="n">
        <v>45751</v>
      </c>
      <c r="E713" s="0" t="n">
        <v>1624.72</v>
      </c>
      <c r="F713" s="14" t="n">
        <v>45811</v>
      </c>
    </row>
    <row r="714" customFormat="false" ht="15" hidden="false" customHeight="false" outlineLevel="0" collapsed="false">
      <c r="A714" s="0" t="s">
        <v>2669</v>
      </c>
      <c r="B714" s="0" t="s">
        <v>995</v>
      </c>
      <c r="C714" s="0" t="s">
        <v>134</v>
      </c>
      <c r="D714" s="14" t="n">
        <v>46152</v>
      </c>
      <c r="E714" s="0" t="n">
        <v>1846.75</v>
      </c>
      <c r="F714" s="14" t="n">
        <v>46182</v>
      </c>
    </row>
    <row r="715" customFormat="false" ht="15" hidden="false" customHeight="false" outlineLevel="0" collapsed="false">
      <c r="A715" s="0" t="s">
        <v>2670</v>
      </c>
      <c r="B715" s="0" t="s">
        <v>996</v>
      </c>
      <c r="C715" s="0" t="s">
        <v>183</v>
      </c>
      <c r="D715" s="14" t="n">
        <v>45663</v>
      </c>
      <c r="E715" s="0" t="n">
        <v>1307.64</v>
      </c>
      <c r="F715" s="14" t="n">
        <v>45708</v>
      </c>
    </row>
    <row r="716" customFormat="false" ht="15" hidden="false" customHeight="false" outlineLevel="0" collapsed="false">
      <c r="A716" s="0" t="s">
        <v>2671</v>
      </c>
      <c r="B716" s="0" t="s">
        <v>997</v>
      </c>
      <c r="C716" s="0" t="s">
        <v>180</v>
      </c>
      <c r="D716" s="14" t="n">
        <v>46136</v>
      </c>
      <c r="E716" s="0" t="n">
        <v>1035.87</v>
      </c>
      <c r="F716" s="14" t="n">
        <v>46196</v>
      </c>
    </row>
    <row r="717" customFormat="false" ht="15" hidden="false" customHeight="false" outlineLevel="0" collapsed="false">
      <c r="A717" s="0" t="s">
        <v>2672</v>
      </c>
      <c r="B717" s="0" t="s">
        <v>998</v>
      </c>
      <c r="C717" s="0" t="s">
        <v>192</v>
      </c>
      <c r="D717" s="14" t="n">
        <v>45743</v>
      </c>
      <c r="E717" s="0" t="n">
        <v>7340.64</v>
      </c>
      <c r="F717" s="14" t="n">
        <v>45773</v>
      </c>
    </row>
    <row r="718" customFormat="false" ht="15" hidden="false" customHeight="false" outlineLevel="0" collapsed="false">
      <c r="A718" s="0" t="s">
        <v>2673</v>
      </c>
      <c r="B718" s="0" t="s">
        <v>999</v>
      </c>
      <c r="C718" s="0" t="s">
        <v>112</v>
      </c>
      <c r="D718" s="14" t="n">
        <v>45745</v>
      </c>
      <c r="E718" s="0" t="n">
        <v>957.43</v>
      </c>
      <c r="F718" s="14" t="n">
        <v>45790</v>
      </c>
    </row>
    <row r="719" customFormat="false" ht="15" hidden="false" customHeight="false" outlineLevel="0" collapsed="false">
      <c r="A719" s="0" t="s">
        <v>2674</v>
      </c>
      <c r="B719" s="0" t="s">
        <v>1000</v>
      </c>
      <c r="C719" s="0" t="s">
        <v>109</v>
      </c>
      <c r="D719" s="14" t="n">
        <v>45816</v>
      </c>
      <c r="E719" s="0" t="n">
        <v>2509.24</v>
      </c>
      <c r="F719" s="14" t="n">
        <v>45831</v>
      </c>
    </row>
    <row r="720" customFormat="false" ht="15" hidden="false" customHeight="false" outlineLevel="0" collapsed="false">
      <c r="A720" s="0" t="s">
        <v>2675</v>
      </c>
      <c r="B720" s="0" t="s">
        <v>1001</v>
      </c>
      <c r="C720" s="0" t="s">
        <v>198</v>
      </c>
      <c r="D720" s="14" t="n">
        <v>45759</v>
      </c>
      <c r="E720" s="0" t="n">
        <v>370.92</v>
      </c>
      <c r="F720" s="14" t="n">
        <v>45789</v>
      </c>
    </row>
    <row r="721" customFormat="false" ht="15" hidden="false" customHeight="false" outlineLevel="0" collapsed="false">
      <c r="A721" s="0" t="s">
        <v>2676</v>
      </c>
      <c r="B721" s="0" t="s">
        <v>1002</v>
      </c>
      <c r="C721" s="0" t="s">
        <v>198</v>
      </c>
      <c r="D721" s="14" t="n">
        <v>46043</v>
      </c>
      <c r="E721" s="0" t="n">
        <v>629.25</v>
      </c>
      <c r="F721" s="14" t="n">
        <v>46073</v>
      </c>
    </row>
    <row r="722" customFormat="false" ht="15" hidden="false" customHeight="false" outlineLevel="0" collapsed="false">
      <c r="A722" s="0" t="s">
        <v>2677</v>
      </c>
      <c r="B722" s="0" t="s">
        <v>1003</v>
      </c>
      <c r="C722" s="0" t="s">
        <v>167</v>
      </c>
      <c r="D722" s="14" t="n">
        <v>45676</v>
      </c>
      <c r="E722" s="0" t="n">
        <v>24756.78</v>
      </c>
      <c r="F722" s="14" t="n">
        <v>45736</v>
      </c>
    </row>
    <row r="723" customFormat="false" ht="15" hidden="false" customHeight="false" outlineLevel="0" collapsed="false">
      <c r="A723" s="0" t="s">
        <v>2678</v>
      </c>
      <c r="B723" s="0" t="s">
        <v>1004</v>
      </c>
      <c r="C723" s="0" t="s">
        <v>131</v>
      </c>
      <c r="D723" s="14" t="n">
        <v>45684</v>
      </c>
      <c r="E723" s="0" t="n">
        <v>2964.49</v>
      </c>
      <c r="F723" s="14" t="n">
        <v>45729</v>
      </c>
    </row>
    <row r="724" customFormat="false" ht="15" hidden="false" customHeight="false" outlineLevel="0" collapsed="false">
      <c r="A724" s="0" t="s">
        <v>2679</v>
      </c>
      <c r="B724" s="0" t="s">
        <v>1005</v>
      </c>
      <c r="C724" s="0" t="s">
        <v>109</v>
      </c>
      <c r="D724" s="14" t="n">
        <v>46100</v>
      </c>
      <c r="E724" s="0" t="n">
        <v>3993.23</v>
      </c>
      <c r="F724" s="14" t="n">
        <v>46115</v>
      </c>
    </row>
    <row r="725" customFormat="false" ht="15" hidden="false" customHeight="false" outlineLevel="0" collapsed="false">
      <c r="A725" s="0" t="s">
        <v>2680</v>
      </c>
      <c r="B725" s="0" t="s">
        <v>1006</v>
      </c>
      <c r="C725" s="0" t="s">
        <v>186</v>
      </c>
      <c r="D725" s="14" t="n">
        <v>45804</v>
      </c>
      <c r="E725" s="0" t="n">
        <v>1604.06</v>
      </c>
      <c r="F725" s="14" t="n">
        <v>45819</v>
      </c>
    </row>
    <row r="726" customFormat="false" ht="15" hidden="false" customHeight="false" outlineLevel="0" collapsed="false">
      <c r="A726" s="0" t="s">
        <v>2681</v>
      </c>
      <c r="B726" s="0" t="s">
        <v>1007</v>
      </c>
      <c r="C726" s="0" t="s">
        <v>198</v>
      </c>
      <c r="D726" s="14" t="n">
        <v>45853</v>
      </c>
      <c r="E726" s="0" t="n">
        <v>2211.07</v>
      </c>
      <c r="F726" s="14" t="n">
        <v>45883</v>
      </c>
    </row>
    <row r="727" customFormat="false" ht="15" hidden="false" customHeight="false" outlineLevel="0" collapsed="false">
      <c r="A727" s="0" t="s">
        <v>2682</v>
      </c>
      <c r="B727" s="0" t="s">
        <v>1008</v>
      </c>
      <c r="C727" s="0" t="s">
        <v>109</v>
      </c>
      <c r="D727" s="14" t="n">
        <v>45758</v>
      </c>
      <c r="E727" s="0" t="n">
        <v>1034.65</v>
      </c>
      <c r="F727" s="14" t="n">
        <v>45773</v>
      </c>
    </row>
    <row r="728" customFormat="false" ht="15" hidden="false" customHeight="false" outlineLevel="0" collapsed="false">
      <c r="A728" s="0" t="s">
        <v>2683</v>
      </c>
      <c r="B728" s="0" t="s">
        <v>1009</v>
      </c>
      <c r="C728" s="0" t="s">
        <v>122</v>
      </c>
      <c r="D728" s="14" t="n">
        <v>45696</v>
      </c>
      <c r="E728" s="0" t="n">
        <v>6197.2</v>
      </c>
      <c r="F728" s="14" t="n">
        <v>45726</v>
      </c>
    </row>
    <row r="729" customFormat="false" ht="15" hidden="false" customHeight="false" outlineLevel="0" collapsed="false">
      <c r="A729" s="0" t="s">
        <v>2684</v>
      </c>
      <c r="B729" s="0" t="s">
        <v>1010</v>
      </c>
      <c r="C729" s="0" t="s">
        <v>177</v>
      </c>
      <c r="D729" s="14" t="n">
        <v>46073</v>
      </c>
      <c r="E729" s="0" t="n">
        <v>1848.76</v>
      </c>
      <c r="F729" s="14" t="n">
        <v>46133</v>
      </c>
    </row>
    <row r="730" customFormat="false" ht="15" hidden="false" customHeight="false" outlineLevel="0" collapsed="false">
      <c r="A730" s="0" t="s">
        <v>2685</v>
      </c>
      <c r="B730" s="0" t="s">
        <v>1011</v>
      </c>
      <c r="C730" s="0" t="s">
        <v>198</v>
      </c>
      <c r="D730" s="14" t="n">
        <v>45957</v>
      </c>
      <c r="E730" s="0" t="n">
        <v>2842.44</v>
      </c>
      <c r="F730" s="14" t="n">
        <v>45987</v>
      </c>
    </row>
    <row r="731" customFormat="false" ht="15" hidden="false" customHeight="false" outlineLevel="0" collapsed="false">
      <c r="A731" s="0" t="s">
        <v>2686</v>
      </c>
      <c r="B731" s="0" t="s">
        <v>1012</v>
      </c>
      <c r="C731" s="0" t="s">
        <v>134</v>
      </c>
      <c r="D731" s="14" t="n">
        <v>46085</v>
      </c>
      <c r="E731" s="0" t="n">
        <v>2826.44</v>
      </c>
      <c r="F731" s="14" t="n">
        <v>46115</v>
      </c>
    </row>
    <row r="732" customFormat="false" ht="15" hidden="false" customHeight="false" outlineLevel="0" collapsed="false">
      <c r="A732" s="0" t="s">
        <v>2687</v>
      </c>
      <c r="B732" s="0" t="s">
        <v>1013</v>
      </c>
      <c r="C732" s="0" t="s">
        <v>201</v>
      </c>
      <c r="D732" s="14" t="n">
        <v>45928</v>
      </c>
      <c r="E732" s="0" t="n">
        <v>9307.71</v>
      </c>
      <c r="F732" s="14" t="n">
        <v>45943</v>
      </c>
    </row>
    <row r="733" customFormat="false" ht="15" hidden="false" customHeight="false" outlineLevel="0" collapsed="false">
      <c r="A733" s="0" t="s">
        <v>2688</v>
      </c>
      <c r="B733" s="0" t="s">
        <v>1014</v>
      </c>
      <c r="C733" s="0" t="s">
        <v>195</v>
      </c>
      <c r="D733" s="14" t="n">
        <v>46106</v>
      </c>
      <c r="E733" s="0" t="n">
        <v>4662.39</v>
      </c>
      <c r="F733" s="14" t="n">
        <v>46136</v>
      </c>
    </row>
    <row r="734" customFormat="false" ht="15" hidden="false" customHeight="false" outlineLevel="0" collapsed="false">
      <c r="A734" s="0" t="s">
        <v>2689</v>
      </c>
      <c r="B734" s="0" t="s">
        <v>1015</v>
      </c>
      <c r="C734" s="0" t="s">
        <v>201</v>
      </c>
      <c r="D734" s="14" t="n">
        <v>45943</v>
      </c>
      <c r="E734" s="0" t="n">
        <v>369.39</v>
      </c>
      <c r="F734" s="14" t="n">
        <v>45958</v>
      </c>
    </row>
    <row r="735" customFormat="false" ht="15" hidden="false" customHeight="false" outlineLevel="0" collapsed="false">
      <c r="A735" s="0" t="s">
        <v>2690</v>
      </c>
      <c r="B735" s="0" t="s">
        <v>1016</v>
      </c>
      <c r="C735" s="0" t="s">
        <v>186</v>
      </c>
      <c r="D735" s="14" t="n">
        <v>45729</v>
      </c>
      <c r="E735" s="0" t="n">
        <v>21261.93</v>
      </c>
      <c r="F735" s="14" t="n">
        <v>45744</v>
      </c>
    </row>
    <row r="736" customFormat="false" ht="15" hidden="false" customHeight="false" outlineLevel="0" collapsed="false">
      <c r="A736" s="0" t="s">
        <v>2691</v>
      </c>
      <c r="B736" s="0" t="s">
        <v>1017</v>
      </c>
      <c r="C736" s="0" t="s">
        <v>161</v>
      </c>
      <c r="D736" s="14" t="n">
        <v>45945</v>
      </c>
      <c r="E736" s="0" t="n">
        <v>739.64</v>
      </c>
      <c r="F736" s="14" t="n">
        <v>45990</v>
      </c>
    </row>
    <row r="737" customFormat="false" ht="15" hidden="false" customHeight="false" outlineLevel="0" collapsed="false">
      <c r="A737" s="0" t="s">
        <v>2692</v>
      </c>
      <c r="B737" s="0" t="s">
        <v>1018</v>
      </c>
      <c r="C737" s="0" t="s">
        <v>140</v>
      </c>
      <c r="D737" s="14" t="n">
        <v>46176</v>
      </c>
      <c r="E737" s="0" t="n">
        <v>5478.42</v>
      </c>
      <c r="F737" s="14" t="n">
        <v>46206</v>
      </c>
    </row>
    <row r="738" customFormat="false" ht="15" hidden="false" customHeight="false" outlineLevel="0" collapsed="false">
      <c r="A738" s="0" t="s">
        <v>2693</v>
      </c>
      <c r="B738" s="0" t="s">
        <v>1019</v>
      </c>
      <c r="C738" s="0" t="s">
        <v>171</v>
      </c>
      <c r="D738" s="14" t="n">
        <v>45687</v>
      </c>
      <c r="E738" s="0" t="n">
        <v>1081.06</v>
      </c>
      <c r="F738" s="14" t="n">
        <v>45747</v>
      </c>
    </row>
    <row r="739" customFormat="false" ht="15" hidden="false" customHeight="false" outlineLevel="0" collapsed="false">
      <c r="A739" s="0" t="s">
        <v>2694</v>
      </c>
      <c r="B739" s="0" t="s">
        <v>1020</v>
      </c>
      <c r="C739" s="0" t="s">
        <v>149</v>
      </c>
      <c r="D739" s="14" t="n">
        <v>46091</v>
      </c>
      <c r="E739" s="0" t="n">
        <v>199.69</v>
      </c>
      <c r="F739" s="14" t="n">
        <v>46121</v>
      </c>
    </row>
    <row r="740" customFormat="false" ht="15" hidden="false" customHeight="false" outlineLevel="0" collapsed="false">
      <c r="A740" s="0" t="s">
        <v>2695</v>
      </c>
      <c r="B740" s="0" t="s">
        <v>1021</v>
      </c>
      <c r="C740" s="0" t="s">
        <v>198</v>
      </c>
      <c r="D740" s="14" t="n">
        <v>46132</v>
      </c>
      <c r="E740" s="0" t="n">
        <v>1143.13</v>
      </c>
      <c r="F740" s="14" t="n">
        <v>46162</v>
      </c>
    </row>
    <row r="741" customFormat="false" ht="15" hidden="false" customHeight="false" outlineLevel="0" collapsed="false">
      <c r="A741" s="0" t="s">
        <v>2696</v>
      </c>
      <c r="B741" s="0" t="s">
        <v>1022</v>
      </c>
      <c r="C741" s="0" t="s">
        <v>180</v>
      </c>
      <c r="D741" s="14" t="n">
        <v>45948</v>
      </c>
      <c r="E741" s="0" t="n">
        <v>3047.46</v>
      </c>
      <c r="F741" s="14" t="n">
        <v>46008</v>
      </c>
    </row>
    <row r="742" customFormat="false" ht="15" hidden="false" customHeight="false" outlineLevel="0" collapsed="false">
      <c r="A742" s="0" t="s">
        <v>2697</v>
      </c>
      <c r="B742" s="0" t="s">
        <v>1023</v>
      </c>
      <c r="C742" s="0" t="s">
        <v>112</v>
      </c>
      <c r="D742" s="14" t="n">
        <v>45913</v>
      </c>
      <c r="E742" s="0" t="n">
        <v>2282.24</v>
      </c>
      <c r="F742" s="14" t="n">
        <v>45958</v>
      </c>
    </row>
    <row r="743" customFormat="false" ht="15" hidden="false" customHeight="false" outlineLevel="0" collapsed="false">
      <c r="A743" s="0" t="s">
        <v>2698</v>
      </c>
      <c r="B743" s="0" t="s">
        <v>1024</v>
      </c>
      <c r="C743" s="0" t="s">
        <v>99</v>
      </c>
      <c r="D743" s="14" t="n">
        <v>46195</v>
      </c>
      <c r="E743" s="0" t="n">
        <v>866.83</v>
      </c>
      <c r="F743" s="14" t="n">
        <v>46255</v>
      </c>
    </row>
    <row r="744" customFormat="false" ht="15" hidden="false" customHeight="false" outlineLevel="0" collapsed="false">
      <c r="A744" s="0" t="s">
        <v>2699</v>
      </c>
      <c r="B744" s="0" t="s">
        <v>1025</v>
      </c>
      <c r="C744" s="0" t="s">
        <v>143</v>
      </c>
      <c r="D744" s="14" t="n">
        <v>45702</v>
      </c>
      <c r="E744" s="0" t="n">
        <v>9584.39</v>
      </c>
      <c r="F744" s="14" t="n">
        <v>45732</v>
      </c>
    </row>
    <row r="745" customFormat="false" ht="15" hidden="false" customHeight="false" outlineLevel="0" collapsed="false">
      <c r="A745" s="0" t="s">
        <v>2700</v>
      </c>
      <c r="B745" s="0" t="s">
        <v>1026</v>
      </c>
      <c r="C745" s="0" t="s">
        <v>96</v>
      </c>
      <c r="D745" s="14" t="n">
        <v>45939</v>
      </c>
      <c r="E745" s="0" t="n">
        <v>1413.3</v>
      </c>
      <c r="F745" s="14" t="n">
        <v>45954</v>
      </c>
    </row>
    <row r="746" customFormat="false" ht="15" hidden="false" customHeight="false" outlineLevel="0" collapsed="false">
      <c r="A746" s="0" t="s">
        <v>2701</v>
      </c>
      <c r="B746" s="0" t="s">
        <v>1027</v>
      </c>
      <c r="C746" s="0" t="s">
        <v>186</v>
      </c>
      <c r="D746" s="14" t="n">
        <v>45901</v>
      </c>
      <c r="E746" s="0" t="n">
        <v>9255.12</v>
      </c>
      <c r="F746" s="14" t="n">
        <v>45916</v>
      </c>
    </row>
    <row r="747" customFormat="false" ht="15" hidden="false" customHeight="false" outlineLevel="0" collapsed="false">
      <c r="A747" s="0" t="s">
        <v>2702</v>
      </c>
      <c r="B747" s="0" t="s">
        <v>1028</v>
      </c>
      <c r="C747" s="0" t="s">
        <v>171</v>
      </c>
      <c r="D747" s="14" t="n">
        <v>46055</v>
      </c>
      <c r="E747" s="0" t="n">
        <v>363.94</v>
      </c>
      <c r="F747" s="14" t="n">
        <v>46115</v>
      </c>
    </row>
    <row r="748" customFormat="false" ht="15" hidden="false" customHeight="false" outlineLevel="0" collapsed="false">
      <c r="A748" s="0" t="s">
        <v>2703</v>
      </c>
      <c r="B748" s="0" t="s">
        <v>1029</v>
      </c>
      <c r="C748" s="0" t="s">
        <v>104</v>
      </c>
      <c r="D748" s="14" t="n">
        <v>45928</v>
      </c>
      <c r="E748" s="0" t="n">
        <v>12071.44</v>
      </c>
      <c r="F748" s="14" t="n">
        <v>45958</v>
      </c>
    </row>
    <row r="749" customFormat="false" ht="15" hidden="false" customHeight="false" outlineLevel="0" collapsed="false">
      <c r="A749" s="0" t="s">
        <v>2704</v>
      </c>
      <c r="B749" s="0" t="s">
        <v>1030</v>
      </c>
      <c r="C749" s="0" t="s">
        <v>93</v>
      </c>
      <c r="D749" s="14" t="n">
        <v>46164</v>
      </c>
      <c r="E749" s="0" t="n">
        <v>345.86</v>
      </c>
      <c r="F749" s="14" t="n">
        <v>46224</v>
      </c>
    </row>
    <row r="750" customFormat="false" ht="15" hidden="false" customHeight="false" outlineLevel="0" collapsed="false">
      <c r="A750" s="0" t="s">
        <v>2705</v>
      </c>
      <c r="B750" s="0" t="s">
        <v>1031</v>
      </c>
      <c r="C750" s="0" t="s">
        <v>198</v>
      </c>
      <c r="D750" s="14" t="n">
        <v>45711</v>
      </c>
      <c r="E750" s="0" t="n">
        <v>146.21</v>
      </c>
      <c r="F750" s="14" t="n">
        <v>45741</v>
      </c>
    </row>
    <row r="751" customFormat="false" ht="15" hidden="false" customHeight="false" outlineLevel="0" collapsed="false">
      <c r="A751" s="0" t="s">
        <v>2706</v>
      </c>
      <c r="B751" s="0" t="s">
        <v>1032</v>
      </c>
      <c r="C751" s="0" t="s">
        <v>125</v>
      </c>
      <c r="D751" s="14" t="n">
        <v>45724</v>
      </c>
      <c r="E751" s="0" t="n">
        <v>2671.57</v>
      </c>
      <c r="F751" s="14" t="n">
        <v>45754</v>
      </c>
    </row>
    <row r="752" customFormat="false" ht="15" hidden="false" customHeight="false" outlineLevel="0" collapsed="false">
      <c r="A752" s="0" t="s">
        <v>2707</v>
      </c>
      <c r="B752" s="0" t="s">
        <v>1033</v>
      </c>
      <c r="C752" s="0" t="s">
        <v>143</v>
      </c>
      <c r="D752" s="14" t="n">
        <v>45999</v>
      </c>
      <c r="E752" s="0" t="n">
        <v>1652.24</v>
      </c>
      <c r="F752" s="14" t="n">
        <v>46029</v>
      </c>
    </row>
    <row r="753" customFormat="false" ht="15" hidden="false" customHeight="false" outlineLevel="0" collapsed="false">
      <c r="A753" s="0" t="s">
        <v>2708</v>
      </c>
      <c r="B753" s="0" t="s">
        <v>1034</v>
      </c>
      <c r="C753" s="0" t="s">
        <v>93</v>
      </c>
      <c r="D753" s="14" t="n">
        <v>45709</v>
      </c>
      <c r="E753" s="0" t="n">
        <v>2766.5</v>
      </c>
      <c r="F753" s="14" t="n">
        <v>45769</v>
      </c>
    </row>
    <row r="754" customFormat="false" ht="15" hidden="false" customHeight="false" outlineLevel="0" collapsed="false">
      <c r="A754" s="0" t="s">
        <v>2709</v>
      </c>
      <c r="B754" s="0" t="s">
        <v>1035</v>
      </c>
      <c r="C754" s="0" t="s">
        <v>167</v>
      </c>
      <c r="D754" s="14" t="n">
        <v>45825</v>
      </c>
      <c r="E754" s="0" t="n">
        <v>5537.55</v>
      </c>
      <c r="F754" s="14" t="n">
        <v>45885</v>
      </c>
    </row>
    <row r="755" customFormat="false" ht="15" hidden="false" customHeight="false" outlineLevel="0" collapsed="false">
      <c r="A755" s="0" t="s">
        <v>2710</v>
      </c>
      <c r="B755" s="0" t="s">
        <v>1036</v>
      </c>
      <c r="C755" s="0" t="s">
        <v>174</v>
      </c>
      <c r="D755" s="14" t="n">
        <v>46024</v>
      </c>
      <c r="E755" s="0" t="n">
        <v>4823.29</v>
      </c>
      <c r="F755" s="14" t="n">
        <v>46039</v>
      </c>
    </row>
    <row r="756" customFormat="false" ht="15" hidden="false" customHeight="false" outlineLevel="0" collapsed="false">
      <c r="A756" s="0" t="s">
        <v>2711</v>
      </c>
      <c r="B756" s="0" t="s">
        <v>1037</v>
      </c>
      <c r="C756" s="0" t="s">
        <v>119</v>
      </c>
      <c r="D756" s="14" t="n">
        <v>45979</v>
      </c>
      <c r="E756" s="0" t="n">
        <v>2004.87</v>
      </c>
      <c r="F756" s="14" t="n">
        <v>45994</v>
      </c>
    </row>
    <row r="757" customFormat="false" ht="15" hidden="false" customHeight="false" outlineLevel="0" collapsed="false">
      <c r="A757" s="0" t="s">
        <v>2712</v>
      </c>
      <c r="B757" s="0" t="s">
        <v>1038</v>
      </c>
      <c r="C757" s="0" t="s">
        <v>149</v>
      </c>
      <c r="D757" s="14" t="n">
        <v>45850</v>
      </c>
      <c r="E757" s="0" t="n">
        <v>368.64</v>
      </c>
      <c r="F757" s="14" t="n">
        <v>45880</v>
      </c>
    </row>
    <row r="758" customFormat="false" ht="15" hidden="false" customHeight="false" outlineLevel="0" collapsed="false">
      <c r="A758" s="0" t="s">
        <v>2713</v>
      </c>
      <c r="B758" s="0" t="s">
        <v>1039</v>
      </c>
      <c r="C758" s="0" t="s">
        <v>180</v>
      </c>
      <c r="D758" s="14" t="n">
        <v>46211</v>
      </c>
      <c r="E758" s="0" t="n">
        <v>687.31</v>
      </c>
      <c r="F758" s="14" t="n">
        <v>46271</v>
      </c>
    </row>
    <row r="759" customFormat="false" ht="15" hidden="false" customHeight="false" outlineLevel="0" collapsed="false">
      <c r="A759" s="0" t="s">
        <v>2714</v>
      </c>
      <c r="B759" s="0" t="s">
        <v>1040</v>
      </c>
      <c r="C759" s="0" t="s">
        <v>112</v>
      </c>
      <c r="D759" s="14" t="n">
        <v>45963</v>
      </c>
      <c r="E759" s="0" t="n">
        <v>18808.64</v>
      </c>
      <c r="F759" s="14" t="n">
        <v>46008</v>
      </c>
    </row>
    <row r="760" customFormat="false" ht="15" hidden="false" customHeight="false" outlineLevel="0" collapsed="false">
      <c r="A760" s="0" t="s">
        <v>2715</v>
      </c>
      <c r="B760" s="0" t="s">
        <v>1041</v>
      </c>
      <c r="C760" s="0" t="s">
        <v>80</v>
      </c>
      <c r="D760" s="14" t="n">
        <v>45930</v>
      </c>
      <c r="E760" s="0" t="n">
        <v>2123.75</v>
      </c>
      <c r="F760" s="14" t="n">
        <v>45945</v>
      </c>
    </row>
    <row r="761" customFormat="false" ht="15" hidden="false" customHeight="false" outlineLevel="0" collapsed="false">
      <c r="A761" s="0" t="s">
        <v>2716</v>
      </c>
      <c r="B761" s="0" t="s">
        <v>1042</v>
      </c>
      <c r="C761" s="0" t="s">
        <v>109</v>
      </c>
      <c r="D761" s="14" t="n">
        <v>46002</v>
      </c>
      <c r="E761" s="0" t="n">
        <v>2641.8</v>
      </c>
      <c r="F761" s="14" t="n">
        <v>46017</v>
      </c>
    </row>
    <row r="762" customFormat="false" ht="15" hidden="false" customHeight="false" outlineLevel="0" collapsed="false">
      <c r="A762" s="0" t="s">
        <v>2717</v>
      </c>
      <c r="B762" s="0" t="s">
        <v>1043</v>
      </c>
      <c r="C762" s="0" t="s">
        <v>125</v>
      </c>
      <c r="D762" s="14" t="n">
        <v>45737</v>
      </c>
      <c r="E762" s="0" t="n">
        <v>2661.22</v>
      </c>
      <c r="F762" s="14" t="n">
        <v>45767</v>
      </c>
    </row>
    <row r="763" customFormat="false" ht="15" hidden="false" customHeight="false" outlineLevel="0" collapsed="false">
      <c r="A763" s="0" t="s">
        <v>2718</v>
      </c>
      <c r="B763" s="0" t="s">
        <v>1044</v>
      </c>
      <c r="C763" s="0" t="s">
        <v>146</v>
      </c>
      <c r="D763" s="14" t="n">
        <v>46055</v>
      </c>
      <c r="E763" s="0" t="n">
        <v>2608</v>
      </c>
      <c r="F763" s="14" t="n">
        <v>46085</v>
      </c>
    </row>
    <row r="764" customFormat="false" ht="15" hidden="false" customHeight="false" outlineLevel="0" collapsed="false">
      <c r="A764" s="0" t="s">
        <v>2719</v>
      </c>
      <c r="B764" s="0" t="s">
        <v>1045</v>
      </c>
      <c r="C764" s="0" t="s">
        <v>180</v>
      </c>
      <c r="D764" s="14" t="n">
        <v>46126</v>
      </c>
      <c r="E764" s="0" t="n">
        <v>19774.14</v>
      </c>
      <c r="F764" s="14" t="n">
        <v>46186</v>
      </c>
    </row>
    <row r="765" customFormat="false" ht="15" hidden="false" customHeight="false" outlineLevel="0" collapsed="false">
      <c r="A765" s="0" t="s">
        <v>2720</v>
      </c>
      <c r="B765" s="0" t="s">
        <v>1046</v>
      </c>
      <c r="C765" s="0" t="s">
        <v>134</v>
      </c>
      <c r="D765" s="14" t="n">
        <v>46030</v>
      </c>
      <c r="E765" s="0" t="n">
        <v>393.39</v>
      </c>
      <c r="F765" s="14" t="n">
        <v>46060</v>
      </c>
    </row>
    <row r="766" customFormat="false" ht="15" hidden="false" customHeight="false" outlineLevel="0" collapsed="false">
      <c r="A766" s="0" t="s">
        <v>2721</v>
      </c>
      <c r="B766" s="0" t="s">
        <v>1047</v>
      </c>
      <c r="C766" s="0" t="s">
        <v>122</v>
      </c>
      <c r="D766" s="14" t="n">
        <v>46097</v>
      </c>
      <c r="E766" s="0" t="n">
        <v>473.84</v>
      </c>
      <c r="F766" s="14" t="n">
        <v>46127</v>
      </c>
    </row>
    <row r="767" customFormat="false" ht="15" hidden="false" customHeight="false" outlineLevel="0" collapsed="false">
      <c r="A767" s="0" t="s">
        <v>2722</v>
      </c>
      <c r="B767" s="0" t="s">
        <v>1048</v>
      </c>
      <c r="C767" s="0" t="s">
        <v>158</v>
      </c>
      <c r="D767" s="14" t="n">
        <v>46065</v>
      </c>
      <c r="E767" s="0" t="n">
        <v>19934.95</v>
      </c>
      <c r="F767" s="14" t="n">
        <v>46125</v>
      </c>
    </row>
    <row r="768" customFormat="false" ht="15" hidden="false" customHeight="false" outlineLevel="0" collapsed="false">
      <c r="A768" s="0" t="s">
        <v>2723</v>
      </c>
      <c r="B768" s="0" t="s">
        <v>1049</v>
      </c>
      <c r="C768" s="0" t="s">
        <v>99</v>
      </c>
      <c r="D768" s="14" t="n">
        <v>45782</v>
      </c>
      <c r="E768" s="0" t="n">
        <v>812.03</v>
      </c>
      <c r="F768" s="14" t="n">
        <v>45842</v>
      </c>
    </row>
    <row r="769" customFormat="false" ht="15" hidden="false" customHeight="false" outlineLevel="0" collapsed="false">
      <c r="A769" s="0" t="s">
        <v>2724</v>
      </c>
      <c r="B769" s="0" t="s">
        <v>1050</v>
      </c>
      <c r="C769" s="0" t="s">
        <v>155</v>
      </c>
      <c r="D769" s="14" t="n">
        <v>45910</v>
      </c>
      <c r="E769" s="0" t="n">
        <v>26179.49</v>
      </c>
      <c r="F769" s="14" t="n">
        <v>45955</v>
      </c>
    </row>
    <row r="770" customFormat="false" ht="15" hidden="false" customHeight="false" outlineLevel="0" collapsed="false">
      <c r="A770" s="0" t="s">
        <v>2725</v>
      </c>
      <c r="B770" s="0" t="s">
        <v>1051</v>
      </c>
      <c r="C770" s="0" t="s">
        <v>96</v>
      </c>
      <c r="D770" s="14" t="n">
        <v>45793</v>
      </c>
      <c r="E770" s="0" t="n">
        <v>8117.27</v>
      </c>
      <c r="F770" s="14" t="n">
        <v>45808</v>
      </c>
    </row>
    <row r="771" customFormat="false" ht="15" hidden="false" customHeight="false" outlineLevel="0" collapsed="false">
      <c r="A771" s="0" t="s">
        <v>2726</v>
      </c>
      <c r="B771" s="0" t="s">
        <v>1052</v>
      </c>
      <c r="C771" s="0" t="s">
        <v>195</v>
      </c>
      <c r="D771" s="14" t="n">
        <v>45853</v>
      </c>
      <c r="E771" s="0" t="n">
        <v>9161.11</v>
      </c>
      <c r="F771" s="14" t="n">
        <v>45883</v>
      </c>
    </row>
    <row r="772" customFormat="false" ht="15" hidden="false" customHeight="false" outlineLevel="0" collapsed="false">
      <c r="A772" s="0" t="s">
        <v>2727</v>
      </c>
      <c r="B772" s="0" t="s">
        <v>1053</v>
      </c>
      <c r="C772" s="0" t="s">
        <v>146</v>
      </c>
      <c r="D772" s="14" t="n">
        <v>45924</v>
      </c>
      <c r="E772" s="0" t="n">
        <v>1056.4</v>
      </c>
      <c r="F772" s="14" t="n">
        <v>45954</v>
      </c>
    </row>
    <row r="773" customFormat="false" ht="15" hidden="false" customHeight="false" outlineLevel="0" collapsed="false">
      <c r="A773" s="0" t="s">
        <v>2728</v>
      </c>
      <c r="B773" s="0" t="s">
        <v>1054</v>
      </c>
      <c r="C773" s="0" t="s">
        <v>125</v>
      </c>
      <c r="D773" s="14" t="n">
        <v>45886</v>
      </c>
      <c r="E773" s="0" t="n">
        <v>3577.81</v>
      </c>
      <c r="F773" s="14" t="n">
        <v>45916</v>
      </c>
    </row>
    <row r="774" customFormat="false" ht="15" hidden="false" customHeight="false" outlineLevel="0" collapsed="false">
      <c r="A774" s="0" t="s">
        <v>2729</v>
      </c>
      <c r="B774" s="0" t="s">
        <v>1055</v>
      </c>
      <c r="C774" s="0" t="s">
        <v>93</v>
      </c>
      <c r="D774" s="14" t="n">
        <v>45731</v>
      </c>
      <c r="E774" s="0" t="n">
        <v>1478.7</v>
      </c>
      <c r="F774" s="14" t="n">
        <v>45791</v>
      </c>
    </row>
    <row r="775" customFormat="false" ht="15" hidden="false" customHeight="false" outlineLevel="0" collapsed="false">
      <c r="A775" s="0" t="s">
        <v>2730</v>
      </c>
      <c r="B775" s="0" t="s">
        <v>1056</v>
      </c>
      <c r="C775" s="0" t="s">
        <v>158</v>
      </c>
      <c r="D775" s="14" t="n">
        <v>45912</v>
      </c>
      <c r="E775" s="0" t="n">
        <v>5071.62</v>
      </c>
      <c r="F775" s="14" t="n">
        <v>45972</v>
      </c>
    </row>
    <row r="776" customFormat="false" ht="15" hidden="false" customHeight="false" outlineLevel="0" collapsed="false">
      <c r="A776" s="0" t="s">
        <v>2731</v>
      </c>
      <c r="B776" s="0" t="s">
        <v>1057</v>
      </c>
      <c r="C776" s="0" t="s">
        <v>180</v>
      </c>
      <c r="D776" s="14" t="n">
        <v>46027</v>
      </c>
      <c r="E776" s="0" t="n">
        <v>3714.97</v>
      </c>
      <c r="F776" s="14" t="n">
        <v>46087</v>
      </c>
    </row>
    <row r="777" customFormat="false" ht="15" hidden="false" customHeight="false" outlineLevel="0" collapsed="false">
      <c r="A777" s="0" t="s">
        <v>2732</v>
      </c>
      <c r="B777" s="0" t="s">
        <v>1058</v>
      </c>
      <c r="C777" s="0" t="s">
        <v>155</v>
      </c>
      <c r="D777" s="14" t="n">
        <v>45870</v>
      </c>
      <c r="E777" s="0" t="n">
        <v>577.47</v>
      </c>
      <c r="F777" s="14" t="n">
        <v>45915</v>
      </c>
    </row>
    <row r="778" customFormat="false" ht="15" hidden="false" customHeight="false" outlineLevel="0" collapsed="false">
      <c r="A778" s="0" t="s">
        <v>2733</v>
      </c>
      <c r="B778" s="0" t="s">
        <v>1059</v>
      </c>
      <c r="C778" s="0" t="s">
        <v>116</v>
      </c>
      <c r="D778" s="14" t="n">
        <v>45745</v>
      </c>
      <c r="E778" s="0" t="n">
        <v>3419.93</v>
      </c>
      <c r="F778" s="14" t="n">
        <v>45805</v>
      </c>
    </row>
    <row r="779" customFormat="false" ht="15" hidden="false" customHeight="false" outlineLevel="0" collapsed="false">
      <c r="A779" s="0" t="s">
        <v>2734</v>
      </c>
      <c r="B779" s="0" t="s">
        <v>1060</v>
      </c>
      <c r="C779" s="0" t="s">
        <v>75</v>
      </c>
      <c r="D779" s="14" t="n">
        <v>46178</v>
      </c>
      <c r="E779" s="0" t="n">
        <v>2429.18</v>
      </c>
      <c r="F779" s="14" t="n">
        <v>46193</v>
      </c>
    </row>
    <row r="780" customFormat="false" ht="15" hidden="false" customHeight="false" outlineLevel="0" collapsed="false">
      <c r="A780" s="0" t="s">
        <v>2735</v>
      </c>
      <c r="B780" s="0" t="s">
        <v>1061</v>
      </c>
      <c r="C780" s="0" t="s">
        <v>109</v>
      </c>
      <c r="D780" s="14" t="n">
        <v>45716</v>
      </c>
      <c r="E780" s="0" t="n">
        <v>5420.25</v>
      </c>
      <c r="F780" s="14" t="n">
        <v>45731</v>
      </c>
    </row>
    <row r="781" customFormat="false" ht="15" hidden="false" customHeight="false" outlineLevel="0" collapsed="false">
      <c r="A781" s="0" t="s">
        <v>2736</v>
      </c>
      <c r="B781" s="0" t="s">
        <v>1062</v>
      </c>
      <c r="C781" s="0" t="s">
        <v>96</v>
      </c>
      <c r="D781" s="14" t="n">
        <v>46116</v>
      </c>
      <c r="E781" s="0" t="n">
        <v>4765.29</v>
      </c>
      <c r="F781" s="14" t="n">
        <v>46131</v>
      </c>
    </row>
    <row r="782" customFormat="false" ht="15" hidden="false" customHeight="false" outlineLevel="0" collapsed="false">
      <c r="A782" s="0" t="s">
        <v>2737</v>
      </c>
      <c r="B782" s="0" t="s">
        <v>1063</v>
      </c>
      <c r="C782" s="0" t="s">
        <v>183</v>
      </c>
      <c r="D782" s="14" t="n">
        <v>45710</v>
      </c>
      <c r="E782" s="0" t="n">
        <v>5970.05</v>
      </c>
      <c r="F782" s="14" t="n">
        <v>45755</v>
      </c>
    </row>
    <row r="783" customFormat="false" ht="15" hidden="false" customHeight="false" outlineLevel="0" collapsed="false">
      <c r="A783" s="0" t="s">
        <v>2738</v>
      </c>
      <c r="B783" s="0" t="s">
        <v>1064</v>
      </c>
      <c r="C783" s="0" t="s">
        <v>140</v>
      </c>
      <c r="D783" s="14" t="n">
        <v>45713</v>
      </c>
      <c r="E783" s="0" t="n">
        <v>1166.53</v>
      </c>
      <c r="F783" s="14" t="n">
        <v>45743</v>
      </c>
    </row>
    <row r="784" customFormat="false" ht="15" hidden="false" customHeight="false" outlineLevel="0" collapsed="false">
      <c r="A784" s="0" t="s">
        <v>2739</v>
      </c>
      <c r="B784" s="0" t="s">
        <v>1065</v>
      </c>
      <c r="C784" s="0" t="s">
        <v>201</v>
      </c>
      <c r="D784" s="14" t="n">
        <v>46084</v>
      </c>
      <c r="E784" s="0" t="n">
        <v>305.02</v>
      </c>
      <c r="F784" s="14" t="n">
        <v>46099</v>
      </c>
    </row>
    <row r="785" customFormat="false" ht="15" hidden="false" customHeight="false" outlineLevel="0" collapsed="false">
      <c r="A785" s="0" t="s">
        <v>2740</v>
      </c>
      <c r="B785" s="0" t="s">
        <v>1066</v>
      </c>
      <c r="C785" s="0" t="s">
        <v>99</v>
      </c>
      <c r="D785" s="14" t="n">
        <v>46110</v>
      </c>
      <c r="E785" s="0" t="n">
        <v>888.47</v>
      </c>
      <c r="F785" s="14" t="n">
        <v>46170</v>
      </c>
    </row>
    <row r="786" customFormat="false" ht="15" hidden="false" customHeight="false" outlineLevel="0" collapsed="false">
      <c r="A786" s="0" t="s">
        <v>2741</v>
      </c>
      <c r="B786" s="0" t="s">
        <v>1067</v>
      </c>
      <c r="C786" s="0" t="s">
        <v>119</v>
      </c>
      <c r="D786" s="14" t="n">
        <v>45974</v>
      </c>
      <c r="E786" s="0" t="n">
        <v>6115.66</v>
      </c>
      <c r="F786" s="14" t="n">
        <v>45989</v>
      </c>
    </row>
    <row r="787" customFormat="false" ht="15" hidden="false" customHeight="false" outlineLevel="0" collapsed="false">
      <c r="A787" s="0" t="s">
        <v>2742</v>
      </c>
      <c r="B787" s="0" t="s">
        <v>1068</v>
      </c>
      <c r="C787" s="0" t="s">
        <v>155</v>
      </c>
      <c r="D787" s="14" t="n">
        <v>45981</v>
      </c>
      <c r="E787" s="0" t="n">
        <v>1679.37</v>
      </c>
      <c r="F787" s="14" t="n">
        <v>46026</v>
      </c>
    </row>
    <row r="788" customFormat="false" ht="15" hidden="false" customHeight="false" outlineLevel="0" collapsed="false">
      <c r="A788" s="0" t="s">
        <v>2743</v>
      </c>
      <c r="B788" s="0" t="s">
        <v>1069</v>
      </c>
      <c r="C788" s="0" t="s">
        <v>167</v>
      </c>
      <c r="D788" s="14" t="n">
        <v>45971</v>
      </c>
      <c r="E788" s="0" t="n">
        <v>723.52</v>
      </c>
      <c r="F788" s="14" t="n">
        <v>46031</v>
      </c>
    </row>
    <row r="789" customFormat="false" ht="15" hidden="false" customHeight="false" outlineLevel="0" collapsed="false">
      <c r="A789" s="0" t="s">
        <v>2744</v>
      </c>
      <c r="B789" s="0" t="s">
        <v>1070</v>
      </c>
      <c r="C789" s="0" t="s">
        <v>161</v>
      </c>
      <c r="D789" s="14" t="n">
        <v>45844</v>
      </c>
      <c r="E789" s="0" t="n">
        <v>3110.63</v>
      </c>
      <c r="F789" s="14" t="n">
        <v>45889</v>
      </c>
    </row>
    <row r="790" customFormat="false" ht="15" hidden="false" customHeight="false" outlineLevel="0" collapsed="false">
      <c r="A790" s="0" t="s">
        <v>2745</v>
      </c>
      <c r="B790" s="0" t="s">
        <v>1071</v>
      </c>
      <c r="C790" s="0" t="s">
        <v>201</v>
      </c>
      <c r="D790" s="14" t="n">
        <v>45747</v>
      </c>
      <c r="E790" s="0" t="n">
        <v>1751.47</v>
      </c>
      <c r="F790" s="14" t="n">
        <v>45762</v>
      </c>
    </row>
    <row r="791" customFormat="false" ht="15" hidden="false" customHeight="false" outlineLevel="0" collapsed="false">
      <c r="A791" s="0" t="s">
        <v>2746</v>
      </c>
      <c r="B791" s="0" t="s">
        <v>1072</v>
      </c>
      <c r="C791" s="0" t="s">
        <v>122</v>
      </c>
      <c r="D791" s="14" t="n">
        <v>45874</v>
      </c>
      <c r="E791" s="0" t="n">
        <v>17936.73</v>
      </c>
      <c r="F791" s="14" t="n">
        <v>45904</v>
      </c>
    </row>
    <row r="792" customFormat="false" ht="15" hidden="false" customHeight="false" outlineLevel="0" collapsed="false">
      <c r="A792" s="0" t="s">
        <v>2747</v>
      </c>
      <c r="B792" s="0" t="s">
        <v>1073</v>
      </c>
      <c r="C792" s="0" t="s">
        <v>198</v>
      </c>
      <c r="D792" s="14" t="n">
        <v>46040</v>
      </c>
      <c r="E792" s="0" t="n">
        <v>7872.8</v>
      </c>
      <c r="F792" s="14" t="n">
        <v>46070</v>
      </c>
    </row>
    <row r="793" customFormat="false" ht="15" hidden="false" customHeight="false" outlineLevel="0" collapsed="false">
      <c r="A793" s="0" t="s">
        <v>2748</v>
      </c>
      <c r="B793" s="0" t="s">
        <v>1074</v>
      </c>
      <c r="C793" s="0" t="s">
        <v>167</v>
      </c>
      <c r="D793" s="14" t="n">
        <v>46072</v>
      </c>
      <c r="E793" s="0" t="n">
        <v>886.11</v>
      </c>
      <c r="F793" s="14" t="n">
        <v>46132</v>
      </c>
    </row>
    <row r="794" customFormat="false" ht="15" hidden="false" customHeight="false" outlineLevel="0" collapsed="false">
      <c r="A794" s="0" t="s">
        <v>2749</v>
      </c>
      <c r="B794" s="0" t="s">
        <v>1075</v>
      </c>
      <c r="C794" s="0" t="s">
        <v>109</v>
      </c>
      <c r="D794" s="14" t="n">
        <v>46148</v>
      </c>
      <c r="E794" s="0" t="n">
        <v>944.22</v>
      </c>
      <c r="F794" s="14" t="n">
        <v>46163</v>
      </c>
    </row>
    <row r="795" customFormat="false" ht="15" hidden="false" customHeight="false" outlineLevel="0" collapsed="false">
      <c r="A795" s="0" t="s">
        <v>2750</v>
      </c>
      <c r="B795" s="0" t="s">
        <v>1076</v>
      </c>
      <c r="C795" s="0" t="s">
        <v>146</v>
      </c>
      <c r="D795" s="14" t="n">
        <v>46057</v>
      </c>
      <c r="E795" s="0" t="n">
        <v>270.06</v>
      </c>
      <c r="F795" s="14" t="n">
        <v>46087</v>
      </c>
    </row>
    <row r="796" customFormat="false" ht="15" hidden="false" customHeight="false" outlineLevel="0" collapsed="false">
      <c r="A796" s="0" t="s">
        <v>2751</v>
      </c>
      <c r="B796" s="0" t="s">
        <v>1077</v>
      </c>
      <c r="C796" s="0" t="s">
        <v>155</v>
      </c>
      <c r="D796" s="14" t="n">
        <v>46194</v>
      </c>
      <c r="E796" s="0" t="n">
        <v>6371.15</v>
      </c>
      <c r="F796" s="14" t="n">
        <v>46239</v>
      </c>
    </row>
    <row r="797" customFormat="false" ht="15" hidden="false" customHeight="false" outlineLevel="0" collapsed="false">
      <c r="A797" s="0" t="s">
        <v>2752</v>
      </c>
      <c r="B797" s="0" t="s">
        <v>1078</v>
      </c>
      <c r="C797" s="0" t="s">
        <v>164</v>
      </c>
      <c r="D797" s="14" t="n">
        <v>46004</v>
      </c>
      <c r="E797" s="0" t="n">
        <v>2179.28</v>
      </c>
      <c r="F797" s="14" t="n">
        <v>46049</v>
      </c>
    </row>
    <row r="798" customFormat="false" ht="15" hidden="false" customHeight="false" outlineLevel="0" collapsed="false">
      <c r="A798" s="0" t="s">
        <v>2753</v>
      </c>
      <c r="B798" s="0" t="s">
        <v>1079</v>
      </c>
      <c r="C798" s="0" t="s">
        <v>177</v>
      </c>
      <c r="D798" s="14" t="n">
        <v>45867</v>
      </c>
      <c r="E798" s="0" t="n">
        <v>4559.19</v>
      </c>
      <c r="F798" s="14" t="n">
        <v>45927</v>
      </c>
    </row>
    <row r="799" customFormat="false" ht="15" hidden="false" customHeight="false" outlineLevel="0" collapsed="false">
      <c r="A799" s="0" t="s">
        <v>2754</v>
      </c>
      <c r="B799" s="0" t="s">
        <v>1080</v>
      </c>
      <c r="C799" s="0" t="s">
        <v>192</v>
      </c>
      <c r="D799" s="14" t="n">
        <v>45996</v>
      </c>
      <c r="E799" s="0" t="n">
        <v>1738.1</v>
      </c>
      <c r="F799" s="14" t="n">
        <v>46026</v>
      </c>
    </row>
    <row r="800" customFormat="false" ht="15" hidden="false" customHeight="false" outlineLevel="0" collapsed="false">
      <c r="A800" s="0" t="s">
        <v>2755</v>
      </c>
      <c r="B800" s="0" t="s">
        <v>1081</v>
      </c>
      <c r="C800" s="0" t="s">
        <v>109</v>
      </c>
      <c r="D800" s="14" t="n">
        <v>45789</v>
      </c>
      <c r="E800" s="0" t="n">
        <v>8655.91</v>
      </c>
      <c r="F800" s="14" t="n">
        <v>45804</v>
      </c>
    </row>
    <row r="801" customFormat="false" ht="15" hidden="false" customHeight="false" outlineLevel="0" collapsed="false">
      <c r="A801" s="0" t="s">
        <v>2756</v>
      </c>
      <c r="B801" s="0" t="s">
        <v>1082</v>
      </c>
      <c r="C801" s="0" t="s">
        <v>164</v>
      </c>
      <c r="D801" s="14" t="n">
        <v>46021</v>
      </c>
      <c r="E801" s="0" t="n">
        <v>3002.81</v>
      </c>
      <c r="F801" s="14" t="n">
        <v>46066</v>
      </c>
    </row>
    <row r="802" customFormat="false" ht="15" hidden="false" customHeight="false" outlineLevel="0" collapsed="false">
      <c r="A802" s="0" t="s">
        <v>2757</v>
      </c>
      <c r="B802" s="0" t="s">
        <v>1083</v>
      </c>
      <c r="C802" s="0" t="s">
        <v>195</v>
      </c>
      <c r="D802" s="14" t="n">
        <v>45791</v>
      </c>
      <c r="E802" s="0" t="n">
        <v>2069.86</v>
      </c>
      <c r="F802" s="14" t="n">
        <v>45821</v>
      </c>
    </row>
    <row r="803" customFormat="false" ht="15" hidden="false" customHeight="false" outlineLevel="0" collapsed="false">
      <c r="A803" s="0" t="s">
        <v>2758</v>
      </c>
      <c r="B803" s="0" t="s">
        <v>1084</v>
      </c>
      <c r="C803" s="0" t="s">
        <v>137</v>
      </c>
      <c r="D803" s="14" t="n">
        <v>45732</v>
      </c>
      <c r="E803" s="0" t="n">
        <v>1217.09</v>
      </c>
      <c r="F803" s="14" t="n">
        <v>45777</v>
      </c>
    </row>
    <row r="804" customFormat="false" ht="15" hidden="false" customHeight="false" outlineLevel="0" collapsed="false">
      <c r="A804" s="0" t="s">
        <v>2759</v>
      </c>
      <c r="B804" s="0" t="s">
        <v>1085</v>
      </c>
      <c r="C804" s="0" t="s">
        <v>104</v>
      </c>
      <c r="D804" s="14" t="n">
        <v>46130</v>
      </c>
      <c r="E804" s="0" t="n">
        <v>680.64</v>
      </c>
      <c r="F804" s="14" t="n">
        <v>46160</v>
      </c>
    </row>
    <row r="805" customFormat="false" ht="15" hidden="false" customHeight="false" outlineLevel="0" collapsed="false">
      <c r="A805" s="0" t="s">
        <v>2760</v>
      </c>
      <c r="B805" s="0" t="s">
        <v>1086</v>
      </c>
      <c r="C805" s="0" t="s">
        <v>186</v>
      </c>
      <c r="D805" s="14" t="n">
        <v>45883</v>
      </c>
      <c r="E805" s="0" t="n">
        <v>1467.37</v>
      </c>
      <c r="F805" s="14" t="n">
        <v>45898</v>
      </c>
    </row>
    <row r="806" customFormat="false" ht="15" hidden="false" customHeight="false" outlineLevel="0" collapsed="false">
      <c r="A806" s="0" t="s">
        <v>2761</v>
      </c>
      <c r="B806" s="0" t="s">
        <v>1087</v>
      </c>
      <c r="C806" s="0" t="s">
        <v>112</v>
      </c>
      <c r="D806" s="14" t="n">
        <v>46097</v>
      </c>
      <c r="E806" s="0" t="n">
        <v>816.48</v>
      </c>
      <c r="F806" s="14" t="n">
        <v>46142</v>
      </c>
    </row>
    <row r="807" customFormat="false" ht="15" hidden="false" customHeight="false" outlineLevel="0" collapsed="false">
      <c r="A807" s="0" t="s">
        <v>2762</v>
      </c>
      <c r="B807" s="0" t="s">
        <v>1088</v>
      </c>
      <c r="C807" s="0" t="s">
        <v>75</v>
      </c>
      <c r="D807" s="14" t="n">
        <v>45976</v>
      </c>
      <c r="E807" s="0" t="n">
        <v>1016.58</v>
      </c>
      <c r="F807" s="14" t="n">
        <v>45991</v>
      </c>
    </row>
    <row r="808" customFormat="false" ht="15" hidden="false" customHeight="false" outlineLevel="0" collapsed="false">
      <c r="A808" s="0" t="s">
        <v>2763</v>
      </c>
      <c r="B808" s="0" t="s">
        <v>1089</v>
      </c>
      <c r="C808" s="0" t="s">
        <v>186</v>
      </c>
      <c r="D808" s="14" t="n">
        <v>46112</v>
      </c>
      <c r="E808" s="0" t="n">
        <v>7498.53</v>
      </c>
      <c r="F808" s="14" t="n">
        <v>46127</v>
      </c>
    </row>
    <row r="809" customFormat="false" ht="15" hidden="false" customHeight="false" outlineLevel="0" collapsed="false">
      <c r="A809" s="0" t="s">
        <v>2764</v>
      </c>
      <c r="B809" s="0" t="s">
        <v>1090</v>
      </c>
      <c r="C809" s="0" t="s">
        <v>198</v>
      </c>
      <c r="D809" s="14" t="n">
        <v>46122</v>
      </c>
      <c r="E809" s="0" t="n">
        <v>396.51</v>
      </c>
      <c r="F809" s="14" t="n">
        <v>46152</v>
      </c>
    </row>
    <row r="810" customFormat="false" ht="15" hidden="false" customHeight="false" outlineLevel="0" collapsed="false">
      <c r="A810" s="0" t="s">
        <v>2765</v>
      </c>
      <c r="B810" s="0" t="s">
        <v>1091</v>
      </c>
      <c r="C810" s="0" t="s">
        <v>183</v>
      </c>
      <c r="D810" s="14" t="n">
        <v>46197</v>
      </c>
      <c r="E810" s="0" t="n">
        <v>200.9</v>
      </c>
      <c r="F810" s="14" t="n">
        <v>46242</v>
      </c>
    </row>
    <row r="811" customFormat="false" ht="15" hidden="false" customHeight="false" outlineLevel="0" collapsed="false">
      <c r="A811" s="0" t="s">
        <v>2766</v>
      </c>
      <c r="B811" s="0" t="s">
        <v>1092</v>
      </c>
      <c r="C811" s="0" t="s">
        <v>84</v>
      </c>
      <c r="D811" s="14" t="n">
        <v>46122</v>
      </c>
      <c r="E811" s="0" t="n">
        <v>1497.3</v>
      </c>
      <c r="F811" s="14" t="n">
        <v>46137</v>
      </c>
    </row>
    <row r="812" customFormat="false" ht="15" hidden="false" customHeight="false" outlineLevel="0" collapsed="false">
      <c r="A812" s="0" t="s">
        <v>2767</v>
      </c>
      <c r="B812" s="0" t="s">
        <v>1093</v>
      </c>
      <c r="C812" s="0" t="s">
        <v>84</v>
      </c>
      <c r="D812" s="14" t="n">
        <v>46002</v>
      </c>
      <c r="E812" s="0" t="n">
        <v>2879.23</v>
      </c>
      <c r="F812" s="14" t="n">
        <v>46017</v>
      </c>
    </row>
    <row r="813" customFormat="false" ht="15" hidden="false" customHeight="false" outlineLevel="0" collapsed="false">
      <c r="A813" s="0" t="s">
        <v>2768</v>
      </c>
      <c r="B813" s="0" t="s">
        <v>1094</v>
      </c>
      <c r="C813" s="0" t="s">
        <v>119</v>
      </c>
      <c r="D813" s="14" t="n">
        <v>46013</v>
      </c>
      <c r="E813" s="0" t="n">
        <v>2091.54</v>
      </c>
      <c r="F813" s="14" t="n">
        <v>46028</v>
      </c>
    </row>
    <row r="814" customFormat="false" ht="15" hidden="false" customHeight="false" outlineLevel="0" collapsed="false">
      <c r="A814" s="0" t="s">
        <v>2769</v>
      </c>
      <c r="B814" s="0" t="s">
        <v>1094</v>
      </c>
      <c r="C814" s="0" t="s">
        <v>119</v>
      </c>
      <c r="D814" s="14" t="n">
        <v>46029</v>
      </c>
      <c r="E814" s="0" t="n">
        <v>2091.54</v>
      </c>
      <c r="F814" s="14" t="n">
        <v>46044</v>
      </c>
    </row>
    <row r="815" customFormat="false" ht="15" hidden="false" customHeight="false" outlineLevel="0" collapsed="false">
      <c r="A815" s="0" t="s">
        <v>2770</v>
      </c>
      <c r="B815" s="0" t="s">
        <v>1095</v>
      </c>
      <c r="C815" s="0" t="s">
        <v>171</v>
      </c>
      <c r="D815" s="14" t="n">
        <v>45679</v>
      </c>
      <c r="E815" s="0" t="n">
        <v>994.15</v>
      </c>
      <c r="F815" s="14" t="n">
        <v>45739</v>
      </c>
    </row>
    <row r="816" customFormat="false" ht="15" hidden="false" customHeight="false" outlineLevel="0" collapsed="false">
      <c r="A816" s="0" t="s">
        <v>2771</v>
      </c>
      <c r="B816" s="0" t="s">
        <v>1096</v>
      </c>
      <c r="C816" s="0" t="s">
        <v>128</v>
      </c>
      <c r="D816" s="14" t="n">
        <v>46170</v>
      </c>
      <c r="E816" s="0" t="n">
        <v>2802.36</v>
      </c>
      <c r="F816" s="14" t="n">
        <v>46200</v>
      </c>
    </row>
    <row r="817" customFormat="false" ht="15" hidden="false" customHeight="false" outlineLevel="0" collapsed="false">
      <c r="A817" s="0" t="s">
        <v>2772</v>
      </c>
      <c r="B817" s="0" t="s">
        <v>1096</v>
      </c>
      <c r="C817" s="0" t="s">
        <v>128</v>
      </c>
      <c r="D817" s="14" t="n">
        <v>46174</v>
      </c>
      <c r="E817" s="0" t="n">
        <v>2802.36</v>
      </c>
      <c r="F817" s="14" t="n">
        <v>46204</v>
      </c>
    </row>
    <row r="818" customFormat="false" ht="15" hidden="false" customHeight="false" outlineLevel="0" collapsed="false">
      <c r="A818" s="0" t="s">
        <v>2773</v>
      </c>
      <c r="B818" s="0" t="s">
        <v>1097</v>
      </c>
      <c r="C818" s="0" t="s">
        <v>174</v>
      </c>
      <c r="D818" s="14" t="n">
        <v>46117</v>
      </c>
      <c r="E818" s="0" t="n">
        <v>851.07</v>
      </c>
      <c r="F818" s="14" t="n">
        <v>46132</v>
      </c>
    </row>
    <row r="819" customFormat="false" ht="15" hidden="false" customHeight="false" outlineLevel="0" collapsed="false">
      <c r="A819" s="0" t="s">
        <v>2774</v>
      </c>
      <c r="B819" s="0" t="s">
        <v>1098</v>
      </c>
      <c r="C819" s="0" t="s">
        <v>192</v>
      </c>
      <c r="D819" s="14" t="n">
        <v>45824</v>
      </c>
      <c r="E819" s="0" t="n">
        <v>14407.31</v>
      </c>
      <c r="F819" s="14" t="n">
        <v>45854</v>
      </c>
    </row>
    <row r="820" customFormat="false" ht="15" hidden="false" customHeight="false" outlineLevel="0" collapsed="false">
      <c r="A820" s="0" t="s">
        <v>2775</v>
      </c>
      <c r="B820" s="0" t="s">
        <v>1099</v>
      </c>
      <c r="C820" s="0" t="s">
        <v>198</v>
      </c>
      <c r="D820" s="14" t="n">
        <v>45761</v>
      </c>
      <c r="E820" s="0" t="n">
        <v>562.05</v>
      </c>
      <c r="F820" s="14" t="n">
        <v>45791</v>
      </c>
    </row>
    <row r="821" customFormat="false" ht="15" hidden="false" customHeight="false" outlineLevel="0" collapsed="false">
      <c r="A821" s="0" t="s">
        <v>2776</v>
      </c>
      <c r="B821" s="0" t="s">
        <v>1100</v>
      </c>
      <c r="C821" s="0" t="s">
        <v>189</v>
      </c>
      <c r="D821" s="14" t="n">
        <v>46058</v>
      </c>
      <c r="E821" s="0" t="n">
        <v>4017.91</v>
      </c>
      <c r="F821" s="14" t="n">
        <v>46103</v>
      </c>
    </row>
    <row r="822" customFormat="false" ht="15" hidden="false" customHeight="false" outlineLevel="0" collapsed="false">
      <c r="A822" s="0" t="s">
        <v>2777</v>
      </c>
      <c r="B822" s="0" t="s">
        <v>1101</v>
      </c>
      <c r="C822" s="0" t="s">
        <v>174</v>
      </c>
      <c r="D822" s="14" t="n">
        <v>45837</v>
      </c>
      <c r="E822" s="0" t="n">
        <v>9338.22</v>
      </c>
      <c r="F822" s="14" t="n">
        <v>45852</v>
      </c>
    </row>
    <row r="823" customFormat="false" ht="15" hidden="false" customHeight="false" outlineLevel="0" collapsed="false">
      <c r="A823" s="0" t="s">
        <v>2778</v>
      </c>
      <c r="B823" s="0" t="s">
        <v>1102</v>
      </c>
      <c r="C823" s="0" t="s">
        <v>164</v>
      </c>
      <c r="D823" s="14" t="n">
        <v>45845</v>
      </c>
      <c r="E823" s="0" t="n">
        <v>474.6</v>
      </c>
      <c r="F823" s="14" t="n">
        <v>45890</v>
      </c>
    </row>
    <row r="824" customFormat="false" ht="15" hidden="false" customHeight="false" outlineLevel="0" collapsed="false">
      <c r="A824" s="0" t="s">
        <v>2779</v>
      </c>
      <c r="B824" s="0" t="s">
        <v>1103</v>
      </c>
      <c r="C824" s="0" t="s">
        <v>149</v>
      </c>
      <c r="D824" s="14" t="n">
        <v>45669</v>
      </c>
      <c r="E824" s="0" t="n">
        <v>857.39</v>
      </c>
      <c r="F824" s="14" t="n">
        <v>45699</v>
      </c>
    </row>
    <row r="825" customFormat="false" ht="15" hidden="false" customHeight="false" outlineLevel="0" collapsed="false">
      <c r="A825" s="0" t="s">
        <v>2780</v>
      </c>
      <c r="B825" s="0" t="s">
        <v>1104</v>
      </c>
      <c r="C825" s="0" t="s">
        <v>80</v>
      </c>
      <c r="D825" s="14" t="n">
        <v>46149</v>
      </c>
      <c r="E825" s="0" t="n">
        <v>8319.43</v>
      </c>
      <c r="F825" s="14" t="n">
        <v>46164</v>
      </c>
    </row>
    <row r="826" customFormat="false" ht="15" hidden="false" customHeight="false" outlineLevel="0" collapsed="false">
      <c r="A826" s="0" t="s">
        <v>2781</v>
      </c>
      <c r="B826" s="0" t="s">
        <v>1105</v>
      </c>
      <c r="C826" s="0" t="s">
        <v>171</v>
      </c>
      <c r="D826" s="14" t="n">
        <v>45982</v>
      </c>
      <c r="E826" s="0" t="n">
        <v>259.66</v>
      </c>
      <c r="F826" s="14" t="n">
        <v>46042</v>
      </c>
    </row>
    <row r="827" customFormat="false" ht="15" hidden="false" customHeight="false" outlineLevel="0" collapsed="false">
      <c r="A827" s="0" t="s">
        <v>2782</v>
      </c>
      <c r="B827" s="0" t="s">
        <v>1106</v>
      </c>
      <c r="C827" s="0" t="s">
        <v>155</v>
      </c>
      <c r="D827" s="14" t="n">
        <v>45889</v>
      </c>
      <c r="E827" s="0" t="n">
        <v>1164.71</v>
      </c>
      <c r="F827" s="14" t="n">
        <v>45934</v>
      </c>
    </row>
    <row r="828" customFormat="false" ht="15" hidden="false" customHeight="false" outlineLevel="0" collapsed="false">
      <c r="A828" s="0" t="s">
        <v>2783</v>
      </c>
      <c r="B828" s="0" t="s">
        <v>1107</v>
      </c>
      <c r="C828" s="0" t="s">
        <v>75</v>
      </c>
      <c r="D828" s="14" t="n">
        <v>45753</v>
      </c>
      <c r="E828" s="0" t="n">
        <v>820.16</v>
      </c>
      <c r="F828" s="14" t="n">
        <v>45768</v>
      </c>
    </row>
    <row r="829" customFormat="false" ht="15" hidden="false" customHeight="false" outlineLevel="0" collapsed="false">
      <c r="A829" s="0" t="s">
        <v>2784</v>
      </c>
      <c r="B829" s="0" t="s">
        <v>1108</v>
      </c>
      <c r="C829" s="0" t="s">
        <v>171</v>
      </c>
      <c r="D829" s="14" t="n">
        <v>46015</v>
      </c>
      <c r="E829" s="0" t="n">
        <v>309.11</v>
      </c>
      <c r="F829" s="14" t="n">
        <v>46075</v>
      </c>
    </row>
    <row r="830" customFormat="false" ht="15" hidden="false" customHeight="false" outlineLevel="0" collapsed="false">
      <c r="A830" s="0" t="s">
        <v>2785</v>
      </c>
      <c r="B830" s="0" t="s">
        <v>1109</v>
      </c>
      <c r="C830" s="0" t="s">
        <v>152</v>
      </c>
      <c r="D830" s="14" t="n">
        <v>45680</v>
      </c>
      <c r="E830" s="0" t="n">
        <v>1722.25</v>
      </c>
      <c r="F830" s="14" t="n">
        <v>45740</v>
      </c>
    </row>
    <row r="831" customFormat="false" ht="15" hidden="false" customHeight="false" outlineLevel="0" collapsed="false">
      <c r="A831" s="0" t="s">
        <v>2786</v>
      </c>
      <c r="B831" s="0" t="s">
        <v>1110</v>
      </c>
      <c r="C831" s="0" t="s">
        <v>84</v>
      </c>
      <c r="D831" s="14" t="n">
        <v>46075</v>
      </c>
      <c r="E831" s="0" t="n">
        <v>1834.48</v>
      </c>
      <c r="F831" s="14" t="n">
        <v>46090</v>
      </c>
    </row>
    <row r="832" customFormat="false" ht="15" hidden="false" customHeight="false" outlineLevel="0" collapsed="false">
      <c r="A832" s="0" t="s">
        <v>2787</v>
      </c>
      <c r="B832" s="0" t="s">
        <v>1111</v>
      </c>
      <c r="C832" s="0" t="s">
        <v>155</v>
      </c>
      <c r="D832" s="14" t="n">
        <v>45787</v>
      </c>
      <c r="E832" s="0" t="n">
        <v>2011.1</v>
      </c>
      <c r="F832" s="14" t="n">
        <v>45832</v>
      </c>
    </row>
    <row r="833" customFormat="false" ht="15" hidden="false" customHeight="false" outlineLevel="0" collapsed="false">
      <c r="A833" s="0" t="s">
        <v>2788</v>
      </c>
      <c r="B833" s="0" t="s">
        <v>1112</v>
      </c>
      <c r="C833" s="0" t="s">
        <v>84</v>
      </c>
      <c r="D833" s="14" t="n">
        <v>45902</v>
      </c>
      <c r="E833" s="0" t="n">
        <v>1373.43</v>
      </c>
      <c r="F833" s="14" t="n">
        <v>45917</v>
      </c>
    </row>
    <row r="834" customFormat="false" ht="15" hidden="false" customHeight="false" outlineLevel="0" collapsed="false">
      <c r="A834" s="0" t="s">
        <v>2789</v>
      </c>
      <c r="B834" s="0" t="s">
        <v>1113</v>
      </c>
      <c r="C834" s="0" t="s">
        <v>192</v>
      </c>
      <c r="D834" s="14" t="n">
        <v>45859</v>
      </c>
      <c r="E834" s="0" t="n">
        <v>2804.48</v>
      </c>
      <c r="F834" s="14" t="n">
        <v>45889</v>
      </c>
    </row>
    <row r="835" customFormat="false" ht="15" hidden="false" customHeight="false" outlineLevel="0" collapsed="false">
      <c r="A835" s="0" t="s">
        <v>2790</v>
      </c>
      <c r="B835" s="0" t="s">
        <v>1114</v>
      </c>
      <c r="C835" s="0" t="s">
        <v>189</v>
      </c>
      <c r="D835" s="14" t="n">
        <v>45874</v>
      </c>
      <c r="E835" s="0" t="n">
        <v>241.56</v>
      </c>
      <c r="F835" s="14" t="n">
        <v>45919</v>
      </c>
    </row>
    <row r="836" customFormat="false" ht="15" hidden="false" customHeight="false" outlineLevel="0" collapsed="false">
      <c r="A836" s="0" t="s">
        <v>2791</v>
      </c>
      <c r="B836" s="0" t="s">
        <v>1115</v>
      </c>
      <c r="C836" s="0" t="s">
        <v>152</v>
      </c>
      <c r="D836" s="14" t="n">
        <v>46068</v>
      </c>
      <c r="E836" s="0" t="n">
        <v>2328.97</v>
      </c>
      <c r="F836" s="14" t="n">
        <v>46128</v>
      </c>
    </row>
    <row r="837" customFormat="false" ht="15" hidden="false" customHeight="false" outlineLevel="0" collapsed="false">
      <c r="A837" s="0" t="s">
        <v>2792</v>
      </c>
      <c r="B837" s="0" t="s">
        <v>1116</v>
      </c>
      <c r="C837" s="0" t="s">
        <v>171</v>
      </c>
      <c r="D837" s="14" t="n">
        <v>46083</v>
      </c>
      <c r="E837" s="0" t="n">
        <v>830.55</v>
      </c>
      <c r="F837" s="14" t="n">
        <v>46143</v>
      </c>
    </row>
    <row r="838" customFormat="false" ht="15" hidden="false" customHeight="false" outlineLevel="0" collapsed="false">
      <c r="A838" s="0" t="s">
        <v>2793</v>
      </c>
      <c r="B838" s="0" t="s">
        <v>1117</v>
      </c>
      <c r="C838" s="0" t="s">
        <v>167</v>
      </c>
      <c r="D838" s="14" t="n">
        <v>45972</v>
      </c>
      <c r="E838" s="0" t="n">
        <v>1962.84</v>
      </c>
      <c r="F838" s="14" t="n">
        <v>46032</v>
      </c>
    </row>
    <row r="839" customFormat="false" ht="15" hidden="false" customHeight="false" outlineLevel="0" collapsed="false">
      <c r="A839" s="0" t="s">
        <v>2794</v>
      </c>
      <c r="B839" s="0" t="s">
        <v>1118</v>
      </c>
      <c r="C839" s="0" t="s">
        <v>158</v>
      </c>
      <c r="D839" s="14" t="n">
        <v>45727</v>
      </c>
      <c r="E839" s="0" t="n">
        <v>254.85</v>
      </c>
      <c r="F839" s="14" t="n">
        <v>45787</v>
      </c>
    </row>
    <row r="840" customFormat="false" ht="15" hidden="false" customHeight="false" outlineLevel="0" collapsed="false">
      <c r="A840" s="0" t="s">
        <v>2795</v>
      </c>
      <c r="B840" s="0" t="s">
        <v>1119</v>
      </c>
      <c r="C840" s="0" t="s">
        <v>195</v>
      </c>
      <c r="D840" s="14" t="n">
        <v>45700</v>
      </c>
      <c r="E840" s="0" t="n">
        <v>2755.05</v>
      </c>
      <c r="F840" s="14" t="n">
        <v>45730</v>
      </c>
    </row>
    <row r="841" customFormat="false" ht="15" hidden="false" customHeight="false" outlineLevel="0" collapsed="false">
      <c r="A841" s="0" t="s">
        <v>2796</v>
      </c>
      <c r="B841" s="0" t="s">
        <v>1120</v>
      </c>
      <c r="C841" s="0" t="s">
        <v>149</v>
      </c>
      <c r="D841" s="14" t="n">
        <v>45768</v>
      </c>
      <c r="E841" s="0" t="n">
        <v>6224.71</v>
      </c>
      <c r="F841" s="14" t="n">
        <v>45798</v>
      </c>
    </row>
    <row r="842" customFormat="false" ht="15" hidden="false" customHeight="false" outlineLevel="0" collapsed="false">
      <c r="A842" s="0" t="s">
        <v>2797</v>
      </c>
      <c r="B842" s="0" t="s">
        <v>1121</v>
      </c>
      <c r="C842" s="0" t="s">
        <v>180</v>
      </c>
      <c r="D842" s="14" t="n">
        <v>45998</v>
      </c>
      <c r="E842" s="0" t="n">
        <v>505.83</v>
      </c>
      <c r="F842" s="14" t="n">
        <v>46058</v>
      </c>
    </row>
    <row r="843" customFormat="false" ht="15" hidden="false" customHeight="false" outlineLevel="0" collapsed="false">
      <c r="A843" s="0" t="s">
        <v>2798</v>
      </c>
      <c r="B843" s="0" t="s">
        <v>1122</v>
      </c>
      <c r="C843" s="0" t="s">
        <v>167</v>
      </c>
      <c r="D843" s="14" t="n">
        <v>46033</v>
      </c>
      <c r="E843" s="0" t="n">
        <v>3028.33</v>
      </c>
      <c r="F843" s="14" t="n">
        <v>46093</v>
      </c>
    </row>
    <row r="844" customFormat="false" ht="15" hidden="false" customHeight="false" outlineLevel="0" collapsed="false">
      <c r="A844" s="0" t="s">
        <v>2799</v>
      </c>
      <c r="B844" s="0" t="s">
        <v>1123</v>
      </c>
      <c r="C844" s="0" t="s">
        <v>186</v>
      </c>
      <c r="D844" s="14" t="n">
        <v>45811</v>
      </c>
      <c r="E844" s="0" t="n">
        <v>556.23</v>
      </c>
      <c r="F844" s="14" t="n">
        <v>45826</v>
      </c>
    </row>
    <row r="845" customFormat="false" ht="15" hidden="false" customHeight="false" outlineLevel="0" collapsed="false">
      <c r="A845" s="0" t="s">
        <v>2800</v>
      </c>
      <c r="B845" s="0" t="s">
        <v>1124</v>
      </c>
      <c r="C845" s="0" t="s">
        <v>143</v>
      </c>
      <c r="D845" s="14" t="n">
        <v>46035</v>
      </c>
      <c r="E845" s="0" t="n">
        <v>12577.38</v>
      </c>
      <c r="F845" s="14" t="n">
        <v>46065</v>
      </c>
    </row>
    <row r="846" customFormat="false" ht="15" hidden="false" customHeight="false" outlineLevel="0" collapsed="false">
      <c r="A846" s="0" t="s">
        <v>2801</v>
      </c>
      <c r="B846" s="0" t="s">
        <v>1125</v>
      </c>
      <c r="C846" s="0" t="s">
        <v>189</v>
      </c>
      <c r="D846" s="14" t="n">
        <v>45942</v>
      </c>
      <c r="E846" s="0" t="n">
        <v>5102.06</v>
      </c>
      <c r="F846" s="14" t="n">
        <v>45987</v>
      </c>
    </row>
    <row r="847" customFormat="false" ht="15" hidden="false" customHeight="false" outlineLevel="0" collapsed="false">
      <c r="A847" s="0" t="s">
        <v>2802</v>
      </c>
      <c r="B847" s="0" t="s">
        <v>1126</v>
      </c>
      <c r="C847" s="0" t="s">
        <v>174</v>
      </c>
      <c r="D847" s="14" t="n">
        <v>45920</v>
      </c>
      <c r="E847" s="0" t="n">
        <v>854.6</v>
      </c>
      <c r="F847" s="14" t="n">
        <v>45935</v>
      </c>
    </row>
    <row r="848" customFormat="false" ht="15" hidden="false" customHeight="false" outlineLevel="0" collapsed="false">
      <c r="A848" s="0" t="s">
        <v>2803</v>
      </c>
      <c r="B848" s="0" t="s">
        <v>1127</v>
      </c>
      <c r="C848" s="0" t="s">
        <v>201</v>
      </c>
      <c r="D848" s="14" t="n">
        <v>45829</v>
      </c>
      <c r="E848" s="0" t="n">
        <v>1844.19</v>
      </c>
      <c r="F848" s="14" t="n">
        <v>45844</v>
      </c>
    </row>
    <row r="849" customFormat="false" ht="15" hidden="false" customHeight="false" outlineLevel="0" collapsed="false">
      <c r="A849" s="0" t="s">
        <v>2804</v>
      </c>
      <c r="B849" s="0" t="s">
        <v>1128</v>
      </c>
      <c r="C849" s="0" t="s">
        <v>128</v>
      </c>
      <c r="D849" s="14" t="n">
        <v>46086</v>
      </c>
      <c r="E849" s="0" t="n">
        <v>2123.23</v>
      </c>
      <c r="F849" s="14" t="n">
        <v>46116</v>
      </c>
    </row>
    <row r="850" customFormat="false" ht="15" hidden="false" customHeight="false" outlineLevel="0" collapsed="false">
      <c r="A850" s="0" t="s">
        <v>2805</v>
      </c>
      <c r="B850" s="0" t="s">
        <v>1129</v>
      </c>
      <c r="C850" s="0" t="s">
        <v>131</v>
      </c>
      <c r="D850" s="14" t="n">
        <v>45736</v>
      </c>
      <c r="E850" s="0" t="n">
        <v>424.45</v>
      </c>
      <c r="F850" s="14" t="n">
        <v>45781</v>
      </c>
    </row>
    <row r="851" customFormat="false" ht="15" hidden="false" customHeight="false" outlineLevel="0" collapsed="false">
      <c r="A851" s="0" t="s">
        <v>2806</v>
      </c>
      <c r="B851" s="0" t="s">
        <v>1130</v>
      </c>
      <c r="C851" s="0" t="s">
        <v>93</v>
      </c>
      <c r="D851" s="14" t="n">
        <v>45909</v>
      </c>
      <c r="E851" s="0" t="n">
        <v>751.88</v>
      </c>
      <c r="F851" s="14" t="n">
        <v>45969</v>
      </c>
    </row>
    <row r="852" customFormat="false" ht="15" hidden="false" customHeight="false" outlineLevel="0" collapsed="false">
      <c r="A852" s="0" t="s">
        <v>2807</v>
      </c>
      <c r="B852" s="0" t="s">
        <v>1131</v>
      </c>
      <c r="C852" s="0" t="s">
        <v>158</v>
      </c>
      <c r="D852" s="14" t="n">
        <v>45814</v>
      </c>
      <c r="E852" s="0" t="n">
        <v>2408.48</v>
      </c>
      <c r="F852" s="14" t="n">
        <v>45874</v>
      </c>
    </row>
    <row r="853" customFormat="false" ht="15" hidden="false" customHeight="false" outlineLevel="0" collapsed="false">
      <c r="A853" s="0" t="s">
        <v>2808</v>
      </c>
      <c r="B853" s="0" t="s">
        <v>1132</v>
      </c>
      <c r="C853" s="0" t="s">
        <v>155</v>
      </c>
      <c r="D853" s="14" t="n">
        <v>46031</v>
      </c>
      <c r="E853" s="0" t="n">
        <v>197.82</v>
      </c>
      <c r="F853" s="14" t="n">
        <v>46076</v>
      </c>
    </row>
    <row r="854" customFormat="false" ht="15" hidden="false" customHeight="false" outlineLevel="0" collapsed="false">
      <c r="A854" s="0" t="s">
        <v>2809</v>
      </c>
      <c r="B854" s="0" t="s">
        <v>1133</v>
      </c>
      <c r="C854" s="0" t="s">
        <v>122</v>
      </c>
      <c r="D854" s="14" t="n">
        <v>45930</v>
      </c>
      <c r="E854" s="0" t="n">
        <v>5024.64</v>
      </c>
      <c r="F854" s="14" t="n">
        <v>45960</v>
      </c>
    </row>
    <row r="855" customFormat="false" ht="15" hidden="false" customHeight="false" outlineLevel="0" collapsed="false">
      <c r="A855" s="0" t="s">
        <v>2810</v>
      </c>
      <c r="B855" s="0" t="s">
        <v>1133</v>
      </c>
      <c r="C855" s="0" t="s">
        <v>122</v>
      </c>
      <c r="D855" s="14" t="n">
        <v>45946</v>
      </c>
      <c r="E855" s="0" t="n">
        <v>5024.64</v>
      </c>
      <c r="F855" s="14" t="n">
        <v>45976</v>
      </c>
    </row>
    <row r="856" customFormat="false" ht="15" hidden="false" customHeight="false" outlineLevel="0" collapsed="false">
      <c r="A856" s="0" t="s">
        <v>2811</v>
      </c>
      <c r="B856" s="0" t="s">
        <v>1134</v>
      </c>
      <c r="C856" s="0" t="s">
        <v>183</v>
      </c>
      <c r="D856" s="14" t="n">
        <v>46042</v>
      </c>
      <c r="E856" s="0" t="n">
        <v>4289.12</v>
      </c>
      <c r="F856" s="14" t="n">
        <v>46087</v>
      </c>
    </row>
    <row r="857" customFormat="false" ht="15" hidden="false" customHeight="false" outlineLevel="0" collapsed="false">
      <c r="A857" s="0" t="s">
        <v>2812</v>
      </c>
      <c r="B857" s="0" t="s">
        <v>1135</v>
      </c>
      <c r="C857" s="0" t="s">
        <v>75</v>
      </c>
      <c r="D857" s="14" t="n">
        <v>45700</v>
      </c>
      <c r="E857" s="0" t="n">
        <v>264.62</v>
      </c>
      <c r="F857" s="14" t="n">
        <v>45715</v>
      </c>
    </row>
    <row r="858" customFormat="false" ht="15" hidden="false" customHeight="false" outlineLevel="0" collapsed="false">
      <c r="A858" s="0" t="s">
        <v>2813</v>
      </c>
      <c r="B858" s="0" t="s">
        <v>1136</v>
      </c>
      <c r="C858" s="0" t="s">
        <v>75</v>
      </c>
      <c r="D858" s="14" t="n">
        <v>45881</v>
      </c>
      <c r="E858" s="0" t="n">
        <v>18783.05</v>
      </c>
      <c r="F858" s="14" t="n">
        <v>45896</v>
      </c>
    </row>
    <row r="859" customFormat="false" ht="15" hidden="false" customHeight="false" outlineLevel="0" collapsed="false">
      <c r="A859" s="0" t="s">
        <v>2814</v>
      </c>
      <c r="B859" s="0" t="s">
        <v>1137</v>
      </c>
      <c r="C859" s="0" t="s">
        <v>174</v>
      </c>
      <c r="D859" s="14" t="n">
        <v>46002</v>
      </c>
      <c r="E859" s="0" t="n">
        <v>796.83</v>
      </c>
      <c r="F859" s="14" t="n">
        <v>46017</v>
      </c>
    </row>
    <row r="860" customFormat="false" ht="15" hidden="false" customHeight="false" outlineLevel="0" collapsed="false">
      <c r="A860" s="0" t="s">
        <v>2815</v>
      </c>
      <c r="B860" s="0" t="s">
        <v>1138</v>
      </c>
      <c r="C860" s="0" t="s">
        <v>183</v>
      </c>
      <c r="D860" s="14" t="n">
        <v>45681</v>
      </c>
      <c r="E860" s="0" t="n">
        <v>115.93</v>
      </c>
      <c r="F860" s="14" t="n">
        <v>45726</v>
      </c>
    </row>
    <row r="861" customFormat="false" ht="15" hidden="false" customHeight="false" outlineLevel="0" collapsed="false">
      <c r="A861" s="0" t="s">
        <v>2816</v>
      </c>
      <c r="B861" s="0" t="s">
        <v>1139</v>
      </c>
      <c r="C861" s="0" t="s">
        <v>198</v>
      </c>
      <c r="D861" s="14" t="n">
        <v>45825</v>
      </c>
      <c r="E861" s="0" t="n">
        <v>2115.29</v>
      </c>
      <c r="F861" s="14" t="n">
        <v>45855</v>
      </c>
    </row>
    <row r="862" customFormat="false" ht="15" hidden="false" customHeight="false" outlineLevel="0" collapsed="false">
      <c r="A862" s="0" t="s">
        <v>2817</v>
      </c>
      <c r="B862" s="0" t="s">
        <v>1140</v>
      </c>
      <c r="C862" s="0" t="s">
        <v>192</v>
      </c>
      <c r="D862" s="14" t="n">
        <v>45778</v>
      </c>
      <c r="E862" s="0" t="n">
        <v>1027.6</v>
      </c>
      <c r="F862" s="14" t="n">
        <v>45808</v>
      </c>
    </row>
    <row r="863" customFormat="false" ht="15" hidden="false" customHeight="false" outlineLevel="0" collapsed="false">
      <c r="A863" s="0" t="s">
        <v>2818</v>
      </c>
      <c r="B863" s="0" t="s">
        <v>1141</v>
      </c>
      <c r="C863" s="0" t="s">
        <v>80</v>
      </c>
      <c r="D863" s="14" t="n">
        <v>45746</v>
      </c>
      <c r="E863" s="0" t="n">
        <v>1165</v>
      </c>
      <c r="F863" s="14" t="n">
        <v>45761</v>
      </c>
    </row>
    <row r="864" customFormat="false" ht="15" hidden="false" customHeight="false" outlineLevel="0" collapsed="false">
      <c r="A864" s="0" t="s">
        <v>2819</v>
      </c>
      <c r="B864" s="0" t="s">
        <v>1142</v>
      </c>
      <c r="C864" s="0" t="s">
        <v>192</v>
      </c>
      <c r="D864" s="14" t="n">
        <v>45804</v>
      </c>
      <c r="E864" s="0" t="n">
        <v>1553.94</v>
      </c>
      <c r="F864" s="14" t="n">
        <v>45834</v>
      </c>
    </row>
    <row r="865" customFormat="false" ht="15" hidden="false" customHeight="false" outlineLevel="0" collapsed="false">
      <c r="A865" s="0" t="s">
        <v>2820</v>
      </c>
      <c r="B865" s="0" t="s">
        <v>1142</v>
      </c>
      <c r="C865" s="0" t="s">
        <v>192</v>
      </c>
      <c r="D865" s="14" t="n">
        <v>45808</v>
      </c>
      <c r="E865" s="0" t="n">
        <v>1553.94</v>
      </c>
      <c r="F865" s="14" t="n">
        <v>45838</v>
      </c>
    </row>
    <row r="866" customFormat="false" ht="15" hidden="false" customHeight="false" outlineLevel="0" collapsed="false">
      <c r="A866" s="0" t="s">
        <v>2821</v>
      </c>
      <c r="B866" s="0" t="s">
        <v>1143</v>
      </c>
      <c r="C866" s="0" t="s">
        <v>152</v>
      </c>
      <c r="D866" s="14" t="n">
        <v>45851</v>
      </c>
      <c r="E866" s="0" t="n">
        <v>764.25</v>
      </c>
      <c r="F866" s="14" t="n">
        <v>45911</v>
      </c>
    </row>
    <row r="867" customFormat="false" ht="15" hidden="false" customHeight="false" outlineLevel="0" collapsed="false">
      <c r="A867" s="0" t="s">
        <v>2822</v>
      </c>
      <c r="B867" s="0" t="s">
        <v>1144</v>
      </c>
      <c r="C867" s="0" t="s">
        <v>146</v>
      </c>
      <c r="D867" s="14" t="n">
        <v>45679</v>
      </c>
      <c r="E867" s="0" t="n">
        <v>8318.12</v>
      </c>
      <c r="F867" s="14" t="n">
        <v>45709</v>
      </c>
    </row>
    <row r="868" customFormat="false" ht="15" hidden="false" customHeight="false" outlineLevel="0" collapsed="false">
      <c r="A868" s="0" t="s">
        <v>2823</v>
      </c>
      <c r="B868" s="0" t="s">
        <v>1145</v>
      </c>
      <c r="C868" s="0" t="s">
        <v>161</v>
      </c>
      <c r="D868" s="14" t="n">
        <v>46082</v>
      </c>
      <c r="E868" s="0" t="n">
        <v>2564.63</v>
      </c>
      <c r="F868" s="14" t="n">
        <v>46127</v>
      </c>
    </row>
    <row r="869" customFormat="false" ht="15" hidden="false" customHeight="false" outlineLevel="0" collapsed="false">
      <c r="A869" s="0" t="s">
        <v>2824</v>
      </c>
      <c r="B869" s="0" t="s">
        <v>1146</v>
      </c>
      <c r="C869" s="0" t="s">
        <v>189</v>
      </c>
      <c r="D869" s="14" t="n">
        <v>45773</v>
      </c>
      <c r="E869" s="0" t="n">
        <v>5467.62</v>
      </c>
      <c r="F869" s="14" t="n">
        <v>45818</v>
      </c>
    </row>
    <row r="870" customFormat="false" ht="15" hidden="false" customHeight="false" outlineLevel="0" collapsed="false">
      <c r="A870" s="0" t="s">
        <v>2825</v>
      </c>
      <c r="B870" s="0" t="s">
        <v>1147</v>
      </c>
      <c r="C870" s="0" t="s">
        <v>104</v>
      </c>
      <c r="D870" s="14" t="n">
        <v>45872</v>
      </c>
      <c r="E870" s="0" t="n">
        <v>4948.03</v>
      </c>
      <c r="F870" s="14" t="n">
        <v>45902</v>
      </c>
    </row>
    <row r="871" customFormat="false" ht="15" hidden="false" customHeight="false" outlineLevel="0" collapsed="false">
      <c r="A871" s="0" t="s">
        <v>2826</v>
      </c>
      <c r="B871" s="0" t="s">
        <v>1148</v>
      </c>
      <c r="C871" s="0" t="s">
        <v>167</v>
      </c>
      <c r="D871" s="14" t="n">
        <v>46058</v>
      </c>
      <c r="E871" s="0" t="n">
        <v>1631.21</v>
      </c>
      <c r="F871" s="14" t="n">
        <v>46118</v>
      </c>
    </row>
    <row r="872" customFormat="false" ht="15" hidden="false" customHeight="false" outlineLevel="0" collapsed="false">
      <c r="A872" s="0" t="s">
        <v>2827</v>
      </c>
      <c r="B872" s="0" t="s">
        <v>1149</v>
      </c>
      <c r="C872" s="0" t="s">
        <v>201</v>
      </c>
      <c r="D872" s="14" t="n">
        <v>45953</v>
      </c>
      <c r="E872" s="0" t="n">
        <v>819.06</v>
      </c>
      <c r="F872" s="14" t="n">
        <v>45968</v>
      </c>
    </row>
    <row r="873" customFormat="false" ht="15" hidden="false" customHeight="false" outlineLevel="0" collapsed="false">
      <c r="A873" s="0" t="s">
        <v>2828</v>
      </c>
      <c r="B873" s="0" t="s">
        <v>1150</v>
      </c>
      <c r="C873" s="0" t="s">
        <v>104</v>
      </c>
      <c r="D873" s="14" t="n">
        <v>46124</v>
      </c>
      <c r="E873" s="0" t="n">
        <v>1380.81</v>
      </c>
      <c r="F873" s="14" t="n">
        <v>46154</v>
      </c>
    </row>
    <row r="874" customFormat="false" ht="15" hidden="false" customHeight="false" outlineLevel="0" collapsed="false">
      <c r="A874" s="0" t="s">
        <v>2829</v>
      </c>
      <c r="B874" s="0" t="s">
        <v>1151</v>
      </c>
      <c r="C874" s="0" t="s">
        <v>164</v>
      </c>
      <c r="D874" s="14" t="n">
        <v>46103</v>
      </c>
      <c r="E874" s="0" t="n">
        <v>537.91</v>
      </c>
      <c r="F874" s="14" t="n">
        <v>46148</v>
      </c>
    </row>
    <row r="875" customFormat="false" ht="15" hidden="false" customHeight="false" outlineLevel="0" collapsed="false">
      <c r="A875" s="0" t="s">
        <v>2830</v>
      </c>
      <c r="B875" s="0" t="s">
        <v>1152</v>
      </c>
      <c r="C875" s="0" t="s">
        <v>198</v>
      </c>
      <c r="D875" s="14" t="n">
        <v>45722</v>
      </c>
      <c r="E875" s="0" t="n">
        <v>2224.01</v>
      </c>
      <c r="F875" s="14" t="n">
        <v>45752</v>
      </c>
    </row>
    <row r="876" customFormat="false" ht="15" hidden="false" customHeight="false" outlineLevel="0" collapsed="false">
      <c r="A876" s="0" t="s">
        <v>2831</v>
      </c>
      <c r="B876" s="0" t="s">
        <v>1153</v>
      </c>
      <c r="C876" s="0" t="s">
        <v>137</v>
      </c>
      <c r="D876" s="14" t="n">
        <v>46149</v>
      </c>
      <c r="E876" s="0" t="n">
        <v>972.49</v>
      </c>
      <c r="F876" s="14" t="n">
        <v>46194</v>
      </c>
    </row>
    <row r="877" customFormat="false" ht="15" hidden="false" customHeight="false" outlineLevel="0" collapsed="false">
      <c r="A877" s="0" t="s">
        <v>2832</v>
      </c>
      <c r="B877" s="0" t="s">
        <v>1154</v>
      </c>
      <c r="C877" s="0" t="s">
        <v>116</v>
      </c>
      <c r="D877" s="14" t="n">
        <v>45694</v>
      </c>
      <c r="E877" s="0" t="n">
        <v>5021.94</v>
      </c>
      <c r="F877" s="14" t="n">
        <v>45754</v>
      </c>
    </row>
    <row r="878" customFormat="false" ht="15" hidden="false" customHeight="false" outlineLevel="0" collapsed="false">
      <c r="A878" s="0" t="s">
        <v>2833</v>
      </c>
      <c r="B878" s="0" t="s">
        <v>1155</v>
      </c>
      <c r="C878" s="0" t="s">
        <v>96</v>
      </c>
      <c r="D878" s="14" t="n">
        <v>45671</v>
      </c>
      <c r="E878" s="0" t="n">
        <v>5287.19</v>
      </c>
      <c r="F878" s="14" t="n">
        <v>45686</v>
      </c>
    </row>
    <row r="879" customFormat="false" ht="15" hidden="false" customHeight="false" outlineLevel="0" collapsed="false">
      <c r="A879" s="0" t="s">
        <v>2834</v>
      </c>
      <c r="B879" s="0" t="s">
        <v>1156</v>
      </c>
      <c r="C879" s="0" t="s">
        <v>140</v>
      </c>
      <c r="D879" s="14" t="n">
        <v>46182</v>
      </c>
      <c r="E879" s="0" t="n">
        <v>7892.6</v>
      </c>
      <c r="F879" s="14" t="n">
        <v>46212</v>
      </c>
    </row>
    <row r="880" customFormat="false" ht="15" hidden="false" customHeight="false" outlineLevel="0" collapsed="false">
      <c r="A880" s="0" t="s">
        <v>2835</v>
      </c>
      <c r="B880" s="0" t="s">
        <v>1157</v>
      </c>
      <c r="C880" s="0" t="s">
        <v>167</v>
      </c>
      <c r="D880" s="14" t="n">
        <v>46151</v>
      </c>
      <c r="E880" s="0" t="n">
        <v>5336.94</v>
      </c>
      <c r="F880" s="14" t="n">
        <v>46211</v>
      </c>
    </row>
    <row r="881" customFormat="false" ht="15" hidden="false" customHeight="false" outlineLevel="0" collapsed="false">
      <c r="A881" s="0" t="s">
        <v>2836</v>
      </c>
      <c r="B881" s="0" t="s">
        <v>1158</v>
      </c>
      <c r="C881" s="0" t="s">
        <v>180</v>
      </c>
      <c r="D881" s="14" t="n">
        <v>45983</v>
      </c>
      <c r="E881" s="0" t="n">
        <v>2474.64</v>
      </c>
      <c r="F881" s="14" t="n">
        <v>46043</v>
      </c>
    </row>
    <row r="882" customFormat="false" ht="15" hidden="false" customHeight="false" outlineLevel="0" collapsed="false">
      <c r="A882" s="0" t="s">
        <v>2837</v>
      </c>
      <c r="B882" s="0" t="s">
        <v>1159</v>
      </c>
      <c r="C882" s="0" t="s">
        <v>122</v>
      </c>
      <c r="D882" s="14" t="n">
        <v>45973</v>
      </c>
      <c r="E882" s="0" t="n">
        <v>4104.49</v>
      </c>
      <c r="F882" s="14" t="n">
        <v>46003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27.75" hidden="false" customHeight="true" outlineLevel="0" collapsed="false">
      <c r="A1" s="7" t="s">
        <v>2838</v>
      </c>
      <c r="B1" s="7" t="s">
        <v>1953</v>
      </c>
      <c r="C1" s="7" t="s">
        <v>63</v>
      </c>
      <c r="D1" s="7" t="s">
        <v>2839</v>
      </c>
      <c r="E1" s="7" t="s">
        <v>2840</v>
      </c>
      <c r="F1" s="7" t="s">
        <v>276</v>
      </c>
    </row>
    <row r="2" customFormat="false" ht="15" hidden="false" customHeight="false" outlineLevel="0" collapsed="false">
      <c r="A2" s="0" t="s">
        <v>2841</v>
      </c>
      <c r="B2" s="0" t="s">
        <v>1957</v>
      </c>
      <c r="C2" s="0" t="s">
        <v>140</v>
      </c>
      <c r="D2" s="14" t="n">
        <v>46142</v>
      </c>
      <c r="E2" s="0" t="n">
        <v>1417.41</v>
      </c>
      <c r="F2" s="15" t="s">
        <v>282</v>
      </c>
    </row>
    <row r="3" customFormat="false" ht="15" hidden="false" customHeight="false" outlineLevel="0" collapsed="false">
      <c r="A3" s="0" t="s">
        <v>2842</v>
      </c>
      <c r="B3" s="0" t="s">
        <v>1958</v>
      </c>
      <c r="C3" s="0" t="s">
        <v>183</v>
      </c>
      <c r="D3" s="14" t="n">
        <v>45805</v>
      </c>
      <c r="E3" s="0" t="n">
        <v>1749.66</v>
      </c>
      <c r="F3" s="15" t="s">
        <v>321</v>
      </c>
    </row>
    <row r="4" customFormat="false" ht="15" hidden="false" customHeight="false" outlineLevel="0" collapsed="false">
      <c r="A4" s="0" t="s">
        <v>2843</v>
      </c>
      <c r="B4" s="0" t="s">
        <v>1959</v>
      </c>
      <c r="C4" s="0" t="s">
        <v>122</v>
      </c>
      <c r="D4" s="14" t="n">
        <v>45683</v>
      </c>
      <c r="E4" s="0" t="n">
        <v>2691.35</v>
      </c>
      <c r="F4" s="15" t="s">
        <v>287</v>
      </c>
    </row>
    <row r="5" customFormat="false" ht="15" hidden="false" customHeight="false" outlineLevel="0" collapsed="false">
      <c r="A5" s="0" t="s">
        <v>2844</v>
      </c>
      <c r="B5" s="0" t="s">
        <v>1960</v>
      </c>
      <c r="C5" s="0" t="s">
        <v>201</v>
      </c>
      <c r="D5" s="14" t="n">
        <v>45805</v>
      </c>
      <c r="E5" s="0" t="n">
        <v>889.24</v>
      </c>
      <c r="F5" s="15" t="s">
        <v>287</v>
      </c>
    </row>
    <row r="6" customFormat="false" ht="15" hidden="false" customHeight="false" outlineLevel="0" collapsed="false">
      <c r="A6" s="0" t="s">
        <v>2845</v>
      </c>
      <c r="B6" s="0" t="s">
        <v>1961</v>
      </c>
      <c r="C6" s="0" t="s">
        <v>146</v>
      </c>
      <c r="D6" s="14" t="n">
        <v>45883</v>
      </c>
      <c r="E6" s="0" t="n">
        <v>3058.04</v>
      </c>
      <c r="F6" s="15" t="s">
        <v>313</v>
      </c>
    </row>
    <row r="7" customFormat="false" ht="15" hidden="false" customHeight="false" outlineLevel="0" collapsed="false">
      <c r="A7" s="0" t="s">
        <v>2846</v>
      </c>
      <c r="B7" s="0" t="s">
        <v>1962</v>
      </c>
      <c r="C7" s="0" t="s">
        <v>201</v>
      </c>
      <c r="D7" s="14" t="n">
        <v>46160</v>
      </c>
      <c r="E7" s="0" t="n">
        <v>1359.77</v>
      </c>
      <c r="F7" s="15" t="s">
        <v>279</v>
      </c>
    </row>
    <row r="8" customFormat="false" ht="15" hidden="false" customHeight="false" outlineLevel="0" collapsed="false">
      <c r="A8" s="0" t="s">
        <v>2847</v>
      </c>
      <c r="B8" s="0" t="s">
        <v>1963</v>
      </c>
      <c r="C8" s="0" t="s">
        <v>201</v>
      </c>
      <c r="D8" s="14" t="n">
        <v>46193</v>
      </c>
      <c r="E8" s="0" t="n">
        <v>3708.39</v>
      </c>
      <c r="F8" s="15" t="s">
        <v>279</v>
      </c>
    </row>
    <row r="9" customFormat="false" ht="15" hidden="false" customHeight="false" outlineLevel="0" collapsed="false">
      <c r="A9" s="0" t="s">
        <v>2848</v>
      </c>
      <c r="B9" s="0" t="s">
        <v>1964</v>
      </c>
      <c r="C9" s="0" t="s">
        <v>125</v>
      </c>
      <c r="D9" s="14" t="n">
        <v>45859</v>
      </c>
      <c r="E9" s="0" t="n">
        <v>6081.19</v>
      </c>
      <c r="F9" s="15" t="s">
        <v>279</v>
      </c>
    </row>
    <row r="10" customFormat="false" ht="15" hidden="false" customHeight="false" outlineLevel="0" collapsed="false">
      <c r="A10" s="0" t="s">
        <v>2849</v>
      </c>
      <c r="B10" s="0" t="s">
        <v>1966</v>
      </c>
      <c r="C10" s="0" t="s">
        <v>89</v>
      </c>
      <c r="D10" s="14" t="n">
        <v>45885</v>
      </c>
      <c r="E10" s="0" t="n">
        <v>1466.07</v>
      </c>
      <c r="F10" s="15" t="s">
        <v>321</v>
      </c>
    </row>
    <row r="11" customFormat="false" ht="15" hidden="false" customHeight="false" outlineLevel="0" collapsed="false">
      <c r="A11" s="0" t="s">
        <v>2850</v>
      </c>
      <c r="B11" s="0" t="s">
        <v>1968</v>
      </c>
      <c r="C11" s="0" t="s">
        <v>186</v>
      </c>
      <c r="D11" s="14" t="n">
        <v>45989</v>
      </c>
      <c r="E11" s="0" t="n">
        <v>15002.72</v>
      </c>
      <c r="F11" s="15" t="s">
        <v>321</v>
      </c>
    </row>
    <row r="12" customFormat="false" ht="15" hidden="false" customHeight="false" outlineLevel="0" collapsed="false">
      <c r="A12" s="0" t="s">
        <v>2851</v>
      </c>
      <c r="B12" s="0" t="s">
        <v>1969</v>
      </c>
      <c r="C12" s="0" t="s">
        <v>128</v>
      </c>
      <c r="D12" s="14" t="n">
        <v>46196</v>
      </c>
      <c r="E12" s="0" t="n">
        <v>911.91</v>
      </c>
      <c r="F12" s="15" t="s">
        <v>302</v>
      </c>
    </row>
    <row r="13" customFormat="false" ht="15" hidden="false" customHeight="false" outlineLevel="0" collapsed="false">
      <c r="A13" s="0" t="s">
        <v>2852</v>
      </c>
      <c r="B13" s="0" t="s">
        <v>1970</v>
      </c>
      <c r="C13" s="0" t="s">
        <v>75</v>
      </c>
      <c r="D13" s="14" t="n">
        <v>45753</v>
      </c>
      <c r="E13" s="0" t="n">
        <v>1222.88</v>
      </c>
      <c r="F13" s="15" t="s">
        <v>282</v>
      </c>
    </row>
    <row r="14" customFormat="false" ht="15" hidden="false" customHeight="false" outlineLevel="0" collapsed="false">
      <c r="A14" s="0" t="s">
        <v>2853</v>
      </c>
      <c r="B14" s="0" t="s">
        <v>1972</v>
      </c>
      <c r="C14" s="0" t="s">
        <v>158</v>
      </c>
      <c r="D14" s="14" t="n">
        <v>45776</v>
      </c>
      <c r="E14" s="0" t="n">
        <v>4721.09</v>
      </c>
      <c r="F14" s="15" t="s">
        <v>292</v>
      </c>
    </row>
    <row r="15" customFormat="false" ht="15" hidden="false" customHeight="false" outlineLevel="0" collapsed="false">
      <c r="A15" s="0" t="s">
        <v>2854</v>
      </c>
      <c r="B15" s="0" t="s">
        <v>1974</v>
      </c>
      <c r="C15" s="0" t="s">
        <v>84</v>
      </c>
      <c r="D15" s="14" t="n">
        <v>45837</v>
      </c>
      <c r="E15" s="0" t="n">
        <v>302.18</v>
      </c>
      <c r="F15" s="15" t="s">
        <v>287</v>
      </c>
    </row>
    <row r="16" customFormat="false" ht="15" hidden="false" customHeight="false" outlineLevel="0" collapsed="false">
      <c r="A16" s="0" t="s">
        <v>2855</v>
      </c>
      <c r="B16" s="0" t="s">
        <v>1975</v>
      </c>
      <c r="C16" s="0" t="s">
        <v>152</v>
      </c>
      <c r="D16" s="14" t="n">
        <v>45754</v>
      </c>
      <c r="E16" s="0" t="n">
        <v>2051.54</v>
      </c>
      <c r="F16" s="15" t="s">
        <v>292</v>
      </c>
    </row>
    <row r="17" customFormat="false" ht="15" hidden="false" customHeight="false" outlineLevel="0" collapsed="false">
      <c r="A17" s="0" t="s">
        <v>2856</v>
      </c>
      <c r="B17" s="0" t="s">
        <v>1976</v>
      </c>
      <c r="C17" s="0" t="s">
        <v>164</v>
      </c>
      <c r="D17" s="14" t="n">
        <v>45912</v>
      </c>
      <c r="E17" s="0" t="n">
        <v>9960.57</v>
      </c>
      <c r="F17" s="15" t="s">
        <v>279</v>
      </c>
    </row>
    <row r="18" customFormat="false" ht="15" hidden="false" customHeight="false" outlineLevel="0" collapsed="false">
      <c r="A18" s="0" t="s">
        <v>2857</v>
      </c>
      <c r="B18" s="0" t="s">
        <v>1977</v>
      </c>
      <c r="C18" s="0" t="s">
        <v>134</v>
      </c>
      <c r="D18" s="14" t="n">
        <v>46096</v>
      </c>
      <c r="E18" s="0" t="n">
        <v>15696.57</v>
      </c>
      <c r="F18" s="15" t="s">
        <v>282</v>
      </c>
    </row>
    <row r="19" customFormat="false" ht="15" hidden="false" customHeight="false" outlineLevel="0" collapsed="false">
      <c r="A19" s="0" t="s">
        <v>2858</v>
      </c>
      <c r="B19" s="0" t="s">
        <v>1978</v>
      </c>
      <c r="C19" s="0" t="s">
        <v>128</v>
      </c>
      <c r="D19" s="14" t="n">
        <v>45842</v>
      </c>
      <c r="E19" s="0" t="n">
        <v>1879.55</v>
      </c>
      <c r="F19" s="15" t="s">
        <v>279</v>
      </c>
    </row>
    <row r="20" customFormat="false" ht="15" hidden="false" customHeight="false" outlineLevel="0" collapsed="false">
      <c r="A20" s="0" t="s">
        <v>2859</v>
      </c>
      <c r="B20" s="0" t="s">
        <v>1979</v>
      </c>
      <c r="C20" s="0" t="s">
        <v>161</v>
      </c>
      <c r="D20" s="14" t="n">
        <v>46012</v>
      </c>
      <c r="E20" s="0" t="n">
        <v>883.86</v>
      </c>
      <c r="F20" s="15" t="s">
        <v>313</v>
      </c>
    </row>
    <row r="21" customFormat="false" ht="15" hidden="false" customHeight="false" outlineLevel="0" collapsed="false">
      <c r="A21" s="0" t="s">
        <v>2860</v>
      </c>
      <c r="B21" s="0" t="s">
        <v>1980</v>
      </c>
      <c r="C21" s="0" t="s">
        <v>96</v>
      </c>
      <c r="D21" s="14" t="n">
        <v>45970</v>
      </c>
      <c r="E21" s="0" t="n">
        <v>1058.03</v>
      </c>
      <c r="F21" s="15" t="s">
        <v>279</v>
      </c>
    </row>
    <row r="22" customFormat="false" ht="15" hidden="false" customHeight="false" outlineLevel="0" collapsed="false">
      <c r="A22" s="0" t="s">
        <v>2861</v>
      </c>
      <c r="B22" s="0" t="s">
        <v>1981</v>
      </c>
      <c r="C22" s="0" t="s">
        <v>198</v>
      </c>
      <c r="D22" s="14" t="n">
        <v>45898</v>
      </c>
      <c r="E22" s="0" t="n">
        <v>2265.24</v>
      </c>
      <c r="F22" s="15" t="s">
        <v>302</v>
      </c>
    </row>
    <row r="23" customFormat="false" ht="15" hidden="false" customHeight="false" outlineLevel="0" collapsed="false">
      <c r="A23" s="0" t="s">
        <v>2862</v>
      </c>
      <c r="B23" s="0" t="s">
        <v>1982</v>
      </c>
      <c r="C23" s="0" t="s">
        <v>161</v>
      </c>
      <c r="D23" s="14" t="n">
        <v>46007</v>
      </c>
      <c r="E23" s="0" t="n">
        <v>1994.87</v>
      </c>
      <c r="F23" s="15" t="s">
        <v>282</v>
      </c>
    </row>
    <row r="24" customFormat="false" ht="15" hidden="false" customHeight="false" outlineLevel="0" collapsed="false">
      <c r="A24" s="0" t="s">
        <v>2863</v>
      </c>
      <c r="B24" s="0" t="s">
        <v>1983</v>
      </c>
      <c r="C24" s="0" t="s">
        <v>131</v>
      </c>
      <c r="D24" s="14" t="n">
        <v>45827</v>
      </c>
      <c r="E24" s="0" t="n">
        <v>1863.09</v>
      </c>
      <c r="F24" s="15" t="s">
        <v>302</v>
      </c>
    </row>
    <row r="25" customFormat="false" ht="15" hidden="false" customHeight="false" outlineLevel="0" collapsed="false">
      <c r="A25" s="0" t="s">
        <v>2864</v>
      </c>
      <c r="B25" s="0" t="s">
        <v>1984</v>
      </c>
      <c r="C25" s="0" t="s">
        <v>104</v>
      </c>
      <c r="D25" s="14" t="n">
        <v>46069</v>
      </c>
      <c r="E25" s="0" t="n">
        <v>1558.36</v>
      </c>
      <c r="F25" s="15" t="s">
        <v>313</v>
      </c>
    </row>
    <row r="26" customFormat="false" ht="15" hidden="false" customHeight="false" outlineLevel="0" collapsed="false">
      <c r="A26" s="0" t="s">
        <v>2865</v>
      </c>
      <c r="B26" s="0" t="s">
        <v>1985</v>
      </c>
      <c r="C26" s="0" t="s">
        <v>119</v>
      </c>
      <c r="D26" s="14" t="n">
        <v>45710</v>
      </c>
      <c r="E26" s="0" t="n">
        <v>1249.67</v>
      </c>
      <c r="F26" s="15" t="s">
        <v>292</v>
      </c>
    </row>
    <row r="27" customFormat="false" ht="15" hidden="false" customHeight="false" outlineLevel="0" collapsed="false">
      <c r="A27" s="0" t="s">
        <v>2866</v>
      </c>
      <c r="B27" s="0" t="s">
        <v>1987</v>
      </c>
      <c r="C27" s="0" t="s">
        <v>128</v>
      </c>
      <c r="D27" s="14" t="n">
        <v>45960</v>
      </c>
      <c r="E27" s="0" t="n">
        <v>877.47</v>
      </c>
      <c r="F27" s="15" t="s">
        <v>282</v>
      </c>
    </row>
    <row r="28" customFormat="false" ht="15" hidden="false" customHeight="false" outlineLevel="0" collapsed="false">
      <c r="A28" s="0" t="s">
        <v>2867</v>
      </c>
      <c r="B28" s="0" t="s">
        <v>1988</v>
      </c>
      <c r="C28" s="0" t="s">
        <v>131</v>
      </c>
      <c r="D28" s="14" t="n">
        <v>46073</v>
      </c>
      <c r="E28" s="0" t="n">
        <v>644.78</v>
      </c>
      <c r="F28" s="15" t="s">
        <v>282</v>
      </c>
    </row>
    <row r="29" customFormat="false" ht="15" hidden="false" customHeight="false" outlineLevel="0" collapsed="false">
      <c r="A29" s="0" t="s">
        <v>2868</v>
      </c>
      <c r="B29" s="0" t="s">
        <v>1989</v>
      </c>
      <c r="C29" s="0" t="s">
        <v>201</v>
      </c>
      <c r="D29" s="14" t="n">
        <v>46086</v>
      </c>
      <c r="E29" s="0" t="n">
        <v>10749.2</v>
      </c>
      <c r="F29" s="15" t="s">
        <v>279</v>
      </c>
    </row>
    <row r="30" customFormat="false" ht="15" hidden="false" customHeight="false" outlineLevel="0" collapsed="false">
      <c r="A30" s="0" t="s">
        <v>2869</v>
      </c>
      <c r="B30" s="0" t="s">
        <v>1990</v>
      </c>
      <c r="C30" s="0" t="s">
        <v>134</v>
      </c>
      <c r="D30" s="14" t="n">
        <v>46038</v>
      </c>
      <c r="E30" s="0" t="n">
        <v>10173.53</v>
      </c>
      <c r="F30" s="15" t="s">
        <v>302</v>
      </c>
    </row>
    <row r="31" customFormat="false" ht="15" hidden="false" customHeight="false" outlineLevel="0" collapsed="false">
      <c r="A31" s="0" t="s">
        <v>2870</v>
      </c>
      <c r="B31" s="0" t="s">
        <v>1991</v>
      </c>
      <c r="C31" s="0" t="s">
        <v>149</v>
      </c>
      <c r="D31" s="14" t="n">
        <v>45871</v>
      </c>
      <c r="E31" s="0" t="n">
        <v>7427.81</v>
      </c>
      <c r="F31" s="15" t="s">
        <v>321</v>
      </c>
    </row>
    <row r="32" customFormat="false" ht="15" hidden="false" customHeight="false" outlineLevel="0" collapsed="false">
      <c r="A32" s="0" t="s">
        <v>2871</v>
      </c>
      <c r="B32" s="0" t="s">
        <v>1992</v>
      </c>
      <c r="C32" s="0" t="s">
        <v>152</v>
      </c>
      <c r="D32" s="14" t="n">
        <v>45737</v>
      </c>
      <c r="E32" s="0" t="n">
        <v>3858.14</v>
      </c>
      <c r="F32" s="15" t="s">
        <v>279</v>
      </c>
    </row>
    <row r="33" customFormat="false" ht="15" hidden="false" customHeight="false" outlineLevel="0" collapsed="false">
      <c r="A33" s="0" t="s">
        <v>2872</v>
      </c>
      <c r="B33" s="0" t="s">
        <v>1993</v>
      </c>
      <c r="C33" s="0" t="s">
        <v>99</v>
      </c>
      <c r="D33" s="14" t="n">
        <v>46041</v>
      </c>
      <c r="E33" s="0" t="n">
        <v>1031.9</v>
      </c>
      <c r="F33" s="15" t="s">
        <v>313</v>
      </c>
    </row>
    <row r="34" customFormat="false" ht="15" hidden="false" customHeight="false" outlineLevel="0" collapsed="false">
      <c r="A34" s="0" t="s">
        <v>2873</v>
      </c>
      <c r="B34" s="0" t="s">
        <v>1994</v>
      </c>
      <c r="C34" s="0" t="s">
        <v>149</v>
      </c>
      <c r="D34" s="14" t="n">
        <v>45872</v>
      </c>
      <c r="E34" s="0" t="n">
        <v>117.56</v>
      </c>
      <c r="F34" s="15" t="s">
        <v>302</v>
      </c>
    </row>
    <row r="35" customFormat="false" ht="15" hidden="false" customHeight="false" outlineLevel="0" collapsed="false">
      <c r="A35" s="0" t="s">
        <v>2874</v>
      </c>
      <c r="B35" s="0" t="s">
        <v>1995</v>
      </c>
      <c r="C35" s="0" t="s">
        <v>116</v>
      </c>
      <c r="D35" s="14" t="n">
        <v>45887</v>
      </c>
      <c r="E35" s="0" t="n">
        <v>21146.76</v>
      </c>
      <c r="F35" s="15" t="s">
        <v>321</v>
      </c>
    </row>
    <row r="36" customFormat="false" ht="15" hidden="false" customHeight="false" outlineLevel="0" collapsed="false">
      <c r="A36" s="0" t="s">
        <v>2875</v>
      </c>
      <c r="B36" s="0" t="s">
        <v>1996</v>
      </c>
      <c r="C36" s="0" t="s">
        <v>195</v>
      </c>
      <c r="D36" s="14" t="n">
        <v>46160</v>
      </c>
      <c r="E36" s="0" t="n">
        <v>869.11</v>
      </c>
      <c r="F36" s="15" t="s">
        <v>282</v>
      </c>
    </row>
    <row r="37" customFormat="false" ht="15" hidden="false" customHeight="false" outlineLevel="0" collapsed="false">
      <c r="A37" s="0" t="s">
        <v>2876</v>
      </c>
      <c r="B37" s="0" t="s">
        <v>1997</v>
      </c>
      <c r="C37" s="0" t="s">
        <v>125</v>
      </c>
      <c r="D37" s="14" t="n">
        <v>46089</v>
      </c>
      <c r="E37" s="0" t="n">
        <v>1696.08</v>
      </c>
      <c r="F37" s="15" t="s">
        <v>313</v>
      </c>
    </row>
    <row r="38" customFormat="false" ht="15" hidden="false" customHeight="false" outlineLevel="0" collapsed="false">
      <c r="A38" s="0" t="s">
        <v>2877</v>
      </c>
      <c r="B38" s="0" t="s">
        <v>1998</v>
      </c>
      <c r="C38" s="0" t="s">
        <v>112</v>
      </c>
      <c r="D38" s="14" t="n">
        <v>45846</v>
      </c>
      <c r="E38" s="0" t="n">
        <v>1814.85</v>
      </c>
      <c r="F38" s="15" t="s">
        <v>292</v>
      </c>
    </row>
    <row r="39" customFormat="false" ht="15" hidden="false" customHeight="false" outlineLevel="0" collapsed="false">
      <c r="A39" s="0" t="s">
        <v>2878</v>
      </c>
      <c r="B39" s="0" t="s">
        <v>2000</v>
      </c>
      <c r="C39" s="0" t="s">
        <v>112</v>
      </c>
      <c r="D39" s="14" t="n">
        <v>45907</v>
      </c>
      <c r="E39" s="0" t="n">
        <v>9938.09</v>
      </c>
      <c r="F39" s="15" t="s">
        <v>279</v>
      </c>
    </row>
    <row r="40" customFormat="false" ht="15" hidden="false" customHeight="false" outlineLevel="0" collapsed="false">
      <c r="A40" s="0" t="s">
        <v>2879</v>
      </c>
      <c r="B40" s="0" t="s">
        <v>2001</v>
      </c>
      <c r="C40" s="0" t="s">
        <v>112</v>
      </c>
      <c r="D40" s="14" t="n">
        <v>45922</v>
      </c>
      <c r="E40" s="0" t="n">
        <v>9938.09</v>
      </c>
      <c r="F40" s="15" t="s">
        <v>290</v>
      </c>
    </row>
    <row r="41" customFormat="false" ht="15" hidden="false" customHeight="false" outlineLevel="0" collapsed="false">
      <c r="A41" s="0" t="s">
        <v>2880</v>
      </c>
      <c r="B41" s="0" t="s">
        <v>2002</v>
      </c>
      <c r="C41" s="0" t="s">
        <v>128</v>
      </c>
      <c r="D41" s="14" t="n">
        <v>45930</v>
      </c>
      <c r="E41" s="0" t="n">
        <v>1076.83</v>
      </c>
      <c r="F41" s="15" t="s">
        <v>282</v>
      </c>
    </row>
    <row r="42" customFormat="false" ht="15" hidden="false" customHeight="false" outlineLevel="0" collapsed="false">
      <c r="A42" s="0" t="s">
        <v>2881</v>
      </c>
      <c r="B42" s="0" t="s">
        <v>2002</v>
      </c>
      <c r="C42" s="0" t="s">
        <v>128</v>
      </c>
      <c r="D42" s="14" t="n">
        <v>45937</v>
      </c>
      <c r="E42" s="0" t="n">
        <v>1076.83</v>
      </c>
      <c r="F42" s="15" t="s">
        <v>302</v>
      </c>
    </row>
    <row r="43" customFormat="false" ht="15" hidden="false" customHeight="false" outlineLevel="0" collapsed="false">
      <c r="A43" s="0" t="s">
        <v>2882</v>
      </c>
      <c r="B43" s="0" t="s">
        <v>2003</v>
      </c>
      <c r="C43" s="0" t="s">
        <v>70</v>
      </c>
      <c r="D43" s="14" t="n">
        <v>45852</v>
      </c>
      <c r="E43" s="0" t="n">
        <v>5899.58</v>
      </c>
      <c r="F43" s="15" t="s">
        <v>302</v>
      </c>
    </row>
    <row r="44" customFormat="false" ht="15" hidden="false" customHeight="false" outlineLevel="0" collapsed="false">
      <c r="A44" s="0" t="s">
        <v>2883</v>
      </c>
      <c r="B44" s="0" t="s">
        <v>2004</v>
      </c>
      <c r="C44" s="0" t="s">
        <v>140</v>
      </c>
      <c r="D44" s="14" t="n">
        <v>45776</v>
      </c>
      <c r="E44" s="0" t="n">
        <v>31348.72</v>
      </c>
      <c r="F44" s="15" t="s">
        <v>321</v>
      </c>
    </row>
    <row r="45" customFormat="false" ht="15" hidden="false" customHeight="false" outlineLevel="0" collapsed="false">
      <c r="A45" s="0" t="s">
        <v>2884</v>
      </c>
      <c r="B45" s="0" t="s">
        <v>2005</v>
      </c>
      <c r="C45" s="0" t="s">
        <v>146</v>
      </c>
      <c r="D45" s="14" t="n">
        <v>45938</v>
      </c>
      <c r="E45" s="0" t="n">
        <v>2845.35</v>
      </c>
      <c r="F45" s="15" t="s">
        <v>292</v>
      </c>
    </row>
    <row r="46" customFormat="false" ht="15" hidden="false" customHeight="false" outlineLevel="0" collapsed="false">
      <c r="A46" s="0" t="s">
        <v>2885</v>
      </c>
      <c r="B46" s="0" t="s">
        <v>2007</v>
      </c>
      <c r="C46" s="0" t="s">
        <v>155</v>
      </c>
      <c r="D46" s="14" t="n">
        <v>46058</v>
      </c>
      <c r="E46" s="0" t="n">
        <v>22892.64</v>
      </c>
      <c r="F46" s="15" t="s">
        <v>321</v>
      </c>
    </row>
    <row r="47" customFormat="false" ht="15" hidden="false" customHeight="false" outlineLevel="0" collapsed="false">
      <c r="A47" s="0" t="s">
        <v>2886</v>
      </c>
      <c r="B47" s="0" t="s">
        <v>2008</v>
      </c>
      <c r="C47" s="0" t="s">
        <v>93</v>
      </c>
      <c r="D47" s="14" t="n">
        <v>46172</v>
      </c>
      <c r="E47" s="0" t="n">
        <v>306.49</v>
      </c>
      <c r="F47" s="15" t="s">
        <v>313</v>
      </c>
    </row>
    <row r="48" customFormat="false" ht="15" hidden="false" customHeight="false" outlineLevel="0" collapsed="false">
      <c r="A48" s="0" t="s">
        <v>2887</v>
      </c>
      <c r="B48" s="0" t="s">
        <v>2009</v>
      </c>
      <c r="C48" s="0" t="s">
        <v>152</v>
      </c>
      <c r="D48" s="14" t="n">
        <v>46041</v>
      </c>
      <c r="E48" s="0" t="n">
        <v>5034.71</v>
      </c>
      <c r="F48" s="15" t="s">
        <v>282</v>
      </c>
    </row>
    <row r="49" customFormat="false" ht="15" hidden="false" customHeight="false" outlineLevel="0" collapsed="false">
      <c r="A49" s="0" t="s">
        <v>2888</v>
      </c>
      <c r="B49" s="0" t="s">
        <v>2010</v>
      </c>
      <c r="C49" s="0" t="s">
        <v>152</v>
      </c>
      <c r="D49" s="14" t="n">
        <v>46034</v>
      </c>
      <c r="E49" s="0" t="n">
        <v>5034.71</v>
      </c>
      <c r="F49" s="15" t="s">
        <v>287</v>
      </c>
    </row>
    <row r="50" customFormat="false" ht="15" hidden="false" customHeight="false" outlineLevel="0" collapsed="false">
      <c r="A50" s="0" t="s">
        <v>2889</v>
      </c>
      <c r="B50" s="0" t="s">
        <v>2011</v>
      </c>
      <c r="C50" s="0" t="s">
        <v>167</v>
      </c>
      <c r="D50" s="14" t="n">
        <v>45848</v>
      </c>
      <c r="E50" s="0" t="n">
        <v>1369.29</v>
      </c>
      <c r="F50" s="15" t="s">
        <v>287</v>
      </c>
    </row>
    <row r="51" customFormat="false" ht="15" hidden="false" customHeight="false" outlineLevel="0" collapsed="false">
      <c r="A51" s="0" t="s">
        <v>2890</v>
      </c>
      <c r="B51" s="0" t="s">
        <v>2012</v>
      </c>
      <c r="C51" s="0" t="s">
        <v>155</v>
      </c>
      <c r="D51" s="14" t="n">
        <v>45994</v>
      </c>
      <c r="E51" s="0" t="n">
        <v>2783.02</v>
      </c>
      <c r="F51" s="15" t="s">
        <v>279</v>
      </c>
    </row>
    <row r="52" customFormat="false" ht="15" hidden="false" customHeight="false" outlineLevel="0" collapsed="false">
      <c r="A52" s="0" t="s">
        <v>2891</v>
      </c>
      <c r="B52" s="0" t="s">
        <v>2013</v>
      </c>
      <c r="C52" s="0" t="s">
        <v>174</v>
      </c>
      <c r="D52" s="14" t="n">
        <v>45679</v>
      </c>
      <c r="E52" s="0" t="n">
        <v>1474.66</v>
      </c>
      <c r="F52" s="15" t="s">
        <v>290</v>
      </c>
    </row>
    <row r="53" customFormat="false" ht="15" hidden="false" customHeight="false" outlineLevel="0" collapsed="false">
      <c r="A53" s="0" t="s">
        <v>2892</v>
      </c>
      <c r="B53" s="0" t="s">
        <v>2014</v>
      </c>
      <c r="C53" s="0" t="s">
        <v>174</v>
      </c>
      <c r="D53" s="14" t="n">
        <v>45842</v>
      </c>
      <c r="E53" s="0" t="n">
        <v>1567.44</v>
      </c>
      <c r="F53" s="15" t="s">
        <v>282</v>
      </c>
    </row>
    <row r="54" customFormat="false" ht="15" hidden="false" customHeight="false" outlineLevel="0" collapsed="false">
      <c r="A54" s="0" t="s">
        <v>2893</v>
      </c>
      <c r="B54" s="0" t="s">
        <v>2015</v>
      </c>
      <c r="C54" s="0" t="s">
        <v>167</v>
      </c>
      <c r="D54" s="14" t="n">
        <v>45933</v>
      </c>
      <c r="E54" s="0" t="n">
        <v>7649.01</v>
      </c>
      <c r="F54" s="15" t="s">
        <v>313</v>
      </c>
    </row>
    <row r="55" customFormat="false" ht="15" hidden="false" customHeight="false" outlineLevel="0" collapsed="false">
      <c r="A55" s="0" t="s">
        <v>2894</v>
      </c>
      <c r="B55" s="0" t="s">
        <v>2016</v>
      </c>
      <c r="C55" s="0" t="s">
        <v>104</v>
      </c>
      <c r="D55" s="14" t="n">
        <v>46003</v>
      </c>
      <c r="E55" s="0" t="n">
        <v>3881</v>
      </c>
      <c r="F55" s="15" t="s">
        <v>302</v>
      </c>
    </row>
    <row r="56" customFormat="false" ht="15" hidden="false" customHeight="false" outlineLevel="0" collapsed="false">
      <c r="A56" s="0" t="s">
        <v>2895</v>
      </c>
      <c r="B56" s="0" t="s">
        <v>2017</v>
      </c>
      <c r="C56" s="0" t="s">
        <v>137</v>
      </c>
      <c r="D56" s="14" t="n">
        <v>46043</v>
      </c>
      <c r="E56" s="0" t="n">
        <v>3262.21</v>
      </c>
      <c r="F56" s="15" t="s">
        <v>282</v>
      </c>
    </row>
    <row r="57" customFormat="false" ht="15" hidden="false" customHeight="false" outlineLevel="0" collapsed="false">
      <c r="A57" s="0" t="s">
        <v>2896</v>
      </c>
      <c r="B57" s="0" t="s">
        <v>2019</v>
      </c>
      <c r="C57" s="0" t="s">
        <v>119</v>
      </c>
      <c r="D57" s="14" t="n">
        <v>45926</v>
      </c>
      <c r="E57" s="0" t="n">
        <v>5144.03</v>
      </c>
      <c r="F57" s="15" t="s">
        <v>292</v>
      </c>
    </row>
    <row r="58" customFormat="false" ht="15" hidden="false" customHeight="false" outlineLevel="0" collapsed="false">
      <c r="A58" s="0" t="s">
        <v>2897</v>
      </c>
      <c r="B58" s="0" t="s">
        <v>2021</v>
      </c>
      <c r="C58" s="0" t="s">
        <v>195</v>
      </c>
      <c r="D58" s="14" t="n">
        <v>45955</v>
      </c>
      <c r="E58" s="0" t="n">
        <v>5496.95</v>
      </c>
      <c r="F58" s="15" t="s">
        <v>290</v>
      </c>
    </row>
    <row r="59" customFormat="false" ht="15" hidden="false" customHeight="false" outlineLevel="0" collapsed="false">
      <c r="A59" s="0" t="s">
        <v>2898</v>
      </c>
      <c r="B59" s="0" t="s">
        <v>2022</v>
      </c>
      <c r="C59" s="0" t="s">
        <v>174</v>
      </c>
      <c r="D59" s="14" t="n">
        <v>46167</v>
      </c>
      <c r="E59" s="0" t="n">
        <v>1566.24</v>
      </c>
      <c r="F59" s="15" t="s">
        <v>292</v>
      </c>
    </row>
    <row r="60" customFormat="false" ht="15" hidden="false" customHeight="false" outlineLevel="0" collapsed="false">
      <c r="A60" s="0" t="s">
        <v>2899</v>
      </c>
      <c r="B60" s="0" t="s">
        <v>2023</v>
      </c>
      <c r="C60" s="0" t="s">
        <v>161</v>
      </c>
      <c r="D60" s="14" t="n">
        <v>46120</v>
      </c>
      <c r="E60" s="0" t="n">
        <v>17358.33</v>
      </c>
      <c r="F60" s="15" t="s">
        <v>313</v>
      </c>
    </row>
    <row r="61" customFormat="false" ht="15" hidden="false" customHeight="false" outlineLevel="0" collapsed="false">
      <c r="A61" s="0" t="s">
        <v>2900</v>
      </c>
      <c r="B61" s="0" t="s">
        <v>2024</v>
      </c>
      <c r="C61" s="0" t="s">
        <v>109</v>
      </c>
      <c r="D61" s="14" t="n">
        <v>45781</v>
      </c>
      <c r="E61" s="0" t="n">
        <v>537.25</v>
      </c>
      <c r="F61" s="15" t="s">
        <v>292</v>
      </c>
    </row>
    <row r="62" customFormat="false" ht="15" hidden="false" customHeight="false" outlineLevel="0" collapsed="false">
      <c r="A62" s="0" t="s">
        <v>2901</v>
      </c>
      <c r="B62" s="0" t="s">
        <v>2025</v>
      </c>
      <c r="C62" s="0" t="s">
        <v>122</v>
      </c>
      <c r="D62" s="14" t="n">
        <v>45756</v>
      </c>
      <c r="E62" s="0" t="n">
        <v>4040.21</v>
      </c>
      <c r="F62" s="15" t="s">
        <v>287</v>
      </c>
    </row>
    <row r="63" customFormat="false" ht="15" hidden="false" customHeight="false" outlineLevel="0" collapsed="false">
      <c r="A63" s="0" t="s">
        <v>2902</v>
      </c>
      <c r="B63" s="0" t="s">
        <v>2026</v>
      </c>
      <c r="C63" s="0" t="s">
        <v>75</v>
      </c>
      <c r="D63" s="14" t="n">
        <v>45972</v>
      </c>
      <c r="E63" s="0" t="n">
        <v>158.45</v>
      </c>
      <c r="F63" s="15" t="s">
        <v>302</v>
      </c>
    </row>
    <row r="64" customFormat="false" ht="15" hidden="false" customHeight="false" outlineLevel="0" collapsed="false">
      <c r="A64" s="0" t="s">
        <v>2903</v>
      </c>
      <c r="B64" s="0" t="s">
        <v>2027</v>
      </c>
      <c r="C64" s="0" t="s">
        <v>109</v>
      </c>
      <c r="D64" s="14" t="n">
        <v>46020</v>
      </c>
      <c r="E64" s="0" t="n">
        <v>2227.94</v>
      </c>
      <c r="F64" s="15" t="s">
        <v>282</v>
      </c>
    </row>
    <row r="65" customFormat="false" ht="15" hidden="false" customHeight="false" outlineLevel="0" collapsed="false">
      <c r="A65" s="0" t="s">
        <v>2904</v>
      </c>
      <c r="B65" s="0" t="s">
        <v>2028</v>
      </c>
      <c r="C65" s="0" t="s">
        <v>99</v>
      </c>
      <c r="D65" s="14" t="n">
        <v>45884</v>
      </c>
      <c r="E65" s="0" t="n">
        <v>3409.89</v>
      </c>
      <c r="F65" s="15" t="s">
        <v>279</v>
      </c>
    </row>
    <row r="66" customFormat="false" ht="15" hidden="false" customHeight="false" outlineLevel="0" collapsed="false">
      <c r="A66" s="0" t="s">
        <v>2905</v>
      </c>
      <c r="B66" s="0" t="s">
        <v>2029</v>
      </c>
      <c r="C66" s="0" t="s">
        <v>112</v>
      </c>
      <c r="D66" s="14" t="n">
        <v>46135</v>
      </c>
      <c r="E66" s="0" t="n">
        <v>426.18</v>
      </c>
      <c r="F66" s="15" t="s">
        <v>292</v>
      </c>
    </row>
    <row r="67" customFormat="false" ht="15" hidden="false" customHeight="false" outlineLevel="0" collapsed="false">
      <c r="A67" s="0" t="s">
        <v>2906</v>
      </c>
      <c r="B67" s="0" t="s">
        <v>2030</v>
      </c>
      <c r="C67" s="0" t="s">
        <v>195</v>
      </c>
      <c r="D67" s="14" t="n">
        <v>46117</v>
      </c>
      <c r="E67" s="0" t="n">
        <v>650.45</v>
      </c>
      <c r="F67" s="15" t="s">
        <v>279</v>
      </c>
    </row>
    <row r="68" customFormat="false" ht="15" hidden="false" customHeight="false" outlineLevel="0" collapsed="false">
      <c r="A68" s="0" t="s">
        <v>2907</v>
      </c>
      <c r="B68" s="0" t="s">
        <v>2031</v>
      </c>
      <c r="C68" s="0" t="s">
        <v>104</v>
      </c>
      <c r="D68" s="14" t="n">
        <v>46071</v>
      </c>
      <c r="E68" s="0" t="n">
        <v>173.05</v>
      </c>
      <c r="F68" s="15" t="s">
        <v>290</v>
      </c>
    </row>
    <row r="69" customFormat="false" ht="15" hidden="false" customHeight="false" outlineLevel="0" collapsed="false">
      <c r="A69" s="0" t="s">
        <v>2908</v>
      </c>
      <c r="B69" s="0" t="s">
        <v>2031</v>
      </c>
      <c r="C69" s="0" t="s">
        <v>104</v>
      </c>
      <c r="D69" s="14" t="n">
        <v>46074</v>
      </c>
      <c r="E69" s="0" t="n">
        <v>173.05</v>
      </c>
      <c r="F69" s="15" t="s">
        <v>321</v>
      </c>
    </row>
    <row r="70" customFormat="false" ht="15" hidden="false" customHeight="false" outlineLevel="0" collapsed="false">
      <c r="A70" s="0" t="s">
        <v>2909</v>
      </c>
      <c r="B70" s="0" t="s">
        <v>2033</v>
      </c>
      <c r="C70" s="0" t="s">
        <v>131</v>
      </c>
      <c r="D70" s="14" t="n">
        <v>45788</v>
      </c>
      <c r="E70" s="0" t="n">
        <v>3225.76</v>
      </c>
      <c r="F70" s="15" t="s">
        <v>282</v>
      </c>
    </row>
    <row r="71" customFormat="false" ht="15" hidden="false" customHeight="false" outlineLevel="0" collapsed="false">
      <c r="A71" s="0" t="s">
        <v>2910</v>
      </c>
      <c r="B71" s="0" t="s">
        <v>2034</v>
      </c>
      <c r="C71" s="0" t="s">
        <v>122</v>
      </c>
      <c r="D71" s="14" t="n">
        <v>45697</v>
      </c>
      <c r="E71" s="0" t="n">
        <v>773.09</v>
      </c>
      <c r="F71" s="15" t="s">
        <v>290</v>
      </c>
    </row>
    <row r="72" customFormat="false" ht="15" hidden="false" customHeight="false" outlineLevel="0" collapsed="false">
      <c r="A72" s="0" t="s">
        <v>2911</v>
      </c>
      <c r="B72" s="0" t="s">
        <v>2035</v>
      </c>
      <c r="C72" s="0" t="s">
        <v>152</v>
      </c>
      <c r="D72" s="14" t="n">
        <v>45826</v>
      </c>
      <c r="E72" s="0" t="n">
        <v>3182.11</v>
      </c>
      <c r="F72" s="15" t="s">
        <v>279</v>
      </c>
    </row>
    <row r="73" customFormat="false" ht="15" hidden="false" customHeight="false" outlineLevel="0" collapsed="false">
      <c r="A73" s="0" t="s">
        <v>2912</v>
      </c>
      <c r="B73" s="0" t="s">
        <v>2036</v>
      </c>
      <c r="C73" s="0" t="s">
        <v>143</v>
      </c>
      <c r="D73" s="14" t="n">
        <v>45926</v>
      </c>
      <c r="E73" s="0" t="n">
        <v>2202.92</v>
      </c>
      <c r="F73" s="15" t="s">
        <v>292</v>
      </c>
    </row>
    <row r="74" customFormat="false" ht="15" hidden="false" customHeight="false" outlineLevel="0" collapsed="false">
      <c r="A74" s="0" t="s">
        <v>2913</v>
      </c>
      <c r="B74" s="0" t="s">
        <v>2037</v>
      </c>
      <c r="C74" s="0" t="s">
        <v>143</v>
      </c>
      <c r="D74" s="14" t="n">
        <v>45946</v>
      </c>
      <c r="E74" s="0" t="n">
        <v>2202.92</v>
      </c>
      <c r="F74" s="15" t="s">
        <v>282</v>
      </c>
    </row>
    <row r="75" customFormat="false" ht="15" hidden="false" customHeight="false" outlineLevel="0" collapsed="false">
      <c r="A75" s="0" t="s">
        <v>2914</v>
      </c>
      <c r="B75" s="0" t="s">
        <v>2038</v>
      </c>
      <c r="C75" s="0" t="s">
        <v>116</v>
      </c>
      <c r="D75" s="14" t="n">
        <v>46138</v>
      </c>
      <c r="E75" s="0" t="n">
        <v>13999.16</v>
      </c>
      <c r="F75" s="15" t="s">
        <v>313</v>
      </c>
    </row>
    <row r="76" customFormat="false" ht="15" hidden="false" customHeight="false" outlineLevel="0" collapsed="false">
      <c r="A76" s="0" t="s">
        <v>2915</v>
      </c>
      <c r="B76" s="0" t="s">
        <v>2039</v>
      </c>
      <c r="C76" s="0" t="s">
        <v>128</v>
      </c>
      <c r="D76" s="14" t="n">
        <v>45721</v>
      </c>
      <c r="E76" s="0" t="n">
        <v>4652.88</v>
      </c>
      <c r="F76" s="15" t="s">
        <v>287</v>
      </c>
    </row>
    <row r="77" customFormat="false" ht="15" hidden="false" customHeight="false" outlineLevel="0" collapsed="false">
      <c r="A77" s="0" t="s">
        <v>2916</v>
      </c>
      <c r="B77" s="0" t="s">
        <v>2040</v>
      </c>
      <c r="C77" s="0" t="s">
        <v>89</v>
      </c>
      <c r="D77" s="14" t="n">
        <v>45921</v>
      </c>
      <c r="E77" s="0" t="n">
        <v>131.26</v>
      </c>
      <c r="F77" s="15" t="s">
        <v>282</v>
      </c>
    </row>
    <row r="78" customFormat="false" ht="15" hidden="false" customHeight="false" outlineLevel="0" collapsed="false">
      <c r="A78" s="0" t="s">
        <v>2917</v>
      </c>
      <c r="B78" s="0" t="s">
        <v>2041</v>
      </c>
      <c r="C78" s="0" t="s">
        <v>75</v>
      </c>
      <c r="D78" s="14" t="n">
        <v>46023</v>
      </c>
      <c r="E78" s="0" t="n">
        <v>370.46</v>
      </c>
      <c r="F78" s="15" t="s">
        <v>313</v>
      </c>
    </row>
    <row r="79" customFormat="false" ht="15" hidden="false" customHeight="false" outlineLevel="0" collapsed="false">
      <c r="A79" s="0" t="s">
        <v>2918</v>
      </c>
      <c r="B79" s="0" t="s">
        <v>2043</v>
      </c>
      <c r="C79" s="0" t="s">
        <v>122</v>
      </c>
      <c r="D79" s="14" t="n">
        <v>46077</v>
      </c>
      <c r="E79" s="0" t="n">
        <v>11559.96</v>
      </c>
      <c r="F79" s="15" t="s">
        <v>282</v>
      </c>
    </row>
    <row r="80" customFormat="false" ht="15" hidden="false" customHeight="false" outlineLevel="0" collapsed="false">
      <c r="A80" s="0" t="s">
        <v>2919</v>
      </c>
      <c r="B80" s="0" t="s">
        <v>2044</v>
      </c>
      <c r="C80" s="0" t="s">
        <v>186</v>
      </c>
      <c r="D80" s="14" t="n">
        <v>45954</v>
      </c>
      <c r="E80" s="0" t="n">
        <v>1118.76</v>
      </c>
      <c r="F80" s="15" t="s">
        <v>321</v>
      </c>
    </row>
    <row r="81" customFormat="false" ht="15" hidden="false" customHeight="false" outlineLevel="0" collapsed="false">
      <c r="A81" s="0" t="s">
        <v>2920</v>
      </c>
      <c r="B81" s="0" t="s">
        <v>2045</v>
      </c>
      <c r="C81" s="0" t="s">
        <v>143</v>
      </c>
      <c r="D81" s="14" t="n">
        <v>45841</v>
      </c>
      <c r="E81" s="0" t="n">
        <v>1602.67</v>
      </c>
      <c r="F81" s="15" t="s">
        <v>313</v>
      </c>
    </row>
    <row r="82" customFormat="false" ht="15" hidden="false" customHeight="false" outlineLevel="0" collapsed="false">
      <c r="A82" s="0" t="s">
        <v>2921</v>
      </c>
      <c r="B82" s="0" t="s">
        <v>2047</v>
      </c>
      <c r="C82" s="0" t="s">
        <v>75</v>
      </c>
      <c r="D82" s="14" t="n">
        <v>45709</v>
      </c>
      <c r="E82" s="0" t="n">
        <v>1239.53</v>
      </c>
      <c r="F82" s="15" t="s">
        <v>292</v>
      </c>
    </row>
    <row r="83" customFormat="false" ht="15" hidden="false" customHeight="false" outlineLevel="0" collapsed="false">
      <c r="A83" s="0" t="s">
        <v>2922</v>
      </c>
      <c r="B83" s="0" t="s">
        <v>2048</v>
      </c>
      <c r="C83" s="0" t="s">
        <v>171</v>
      </c>
      <c r="D83" s="14" t="n">
        <v>46103</v>
      </c>
      <c r="E83" s="0" t="n">
        <v>6686.22</v>
      </c>
      <c r="F83" s="15" t="s">
        <v>292</v>
      </c>
    </row>
    <row r="84" customFormat="false" ht="15" hidden="false" customHeight="false" outlineLevel="0" collapsed="false">
      <c r="A84" s="0" t="s">
        <v>2923</v>
      </c>
      <c r="B84" s="0" t="s">
        <v>2049</v>
      </c>
      <c r="C84" s="0" t="s">
        <v>125</v>
      </c>
      <c r="D84" s="14" t="n">
        <v>46124</v>
      </c>
      <c r="E84" s="0" t="n">
        <v>3940.78</v>
      </c>
      <c r="F84" s="15" t="s">
        <v>282</v>
      </c>
    </row>
    <row r="85" customFormat="false" ht="15" hidden="false" customHeight="false" outlineLevel="0" collapsed="false">
      <c r="A85" s="0" t="s">
        <v>2924</v>
      </c>
      <c r="B85" s="0" t="s">
        <v>2050</v>
      </c>
      <c r="C85" s="0" t="s">
        <v>189</v>
      </c>
      <c r="D85" s="14" t="n">
        <v>45764</v>
      </c>
      <c r="E85" s="0" t="n">
        <v>625.95</v>
      </c>
      <c r="F85" s="15" t="s">
        <v>292</v>
      </c>
    </row>
    <row r="86" customFormat="false" ht="15" hidden="false" customHeight="false" outlineLevel="0" collapsed="false">
      <c r="A86" s="0" t="s">
        <v>2925</v>
      </c>
      <c r="B86" s="0" t="s">
        <v>2052</v>
      </c>
      <c r="C86" s="0" t="s">
        <v>158</v>
      </c>
      <c r="D86" s="14" t="n">
        <v>45797</v>
      </c>
      <c r="E86" s="0" t="n">
        <v>2302.86</v>
      </c>
      <c r="F86" s="15" t="s">
        <v>287</v>
      </c>
    </row>
    <row r="87" customFormat="false" ht="15" hidden="false" customHeight="false" outlineLevel="0" collapsed="false">
      <c r="A87" s="0" t="s">
        <v>2926</v>
      </c>
      <c r="B87" s="0" t="s">
        <v>2054</v>
      </c>
      <c r="C87" s="0" t="s">
        <v>158</v>
      </c>
      <c r="D87" s="14" t="n">
        <v>45961</v>
      </c>
      <c r="E87" s="0" t="n">
        <v>226.65</v>
      </c>
      <c r="F87" s="15" t="s">
        <v>279</v>
      </c>
    </row>
    <row r="88" customFormat="false" ht="15" hidden="false" customHeight="false" outlineLevel="0" collapsed="false">
      <c r="A88" s="0" t="s">
        <v>2927</v>
      </c>
      <c r="B88" s="0" t="s">
        <v>2055</v>
      </c>
      <c r="C88" s="0" t="s">
        <v>93</v>
      </c>
      <c r="D88" s="14" t="n">
        <v>45698</v>
      </c>
      <c r="E88" s="0" t="n">
        <v>814.32</v>
      </c>
      <c r="F88" s="15" t="s">
        <v>302</v>
      </c>
    </row>
    <row r="89" customFormat="false" ht="15" hidden="false" customHeight="false" outlineLevel="0" collapsed="false">
      <c r="A89" s="0" t="s">
        <v>2928</v>
      </c>
      <c r="B89" s="0" t="s">
        <v>2056</v>
      </c>
      <c r="C89" s="0" t="s">
        <v>174</v>
      </c>
      <c r="D89" s="14" t="n">
        <v>45818</v>
      </c>
      <c r="E89" s="0" t="n">
        <v>1618.39</v>
      </c>
      <c r="F89" s="15" t="s">
        <v>292</v>
      </c>
    </row>
    <row r="90" customFormat="false" ht="15" hidden="false" customHeight="false" outlineLevel="0" collapsed="false">
      <c r="A90" s="0" t="s">
        <v>2929</v>
      </c>
      <c r="B90" s="0" t="s">
        <v>2057</v>
      </c>
      <c r="C90" s="0" t="s">
        <v>167</v>
      </c>
      <c r="D90" s="14" t="n">
        <v>46159</v>
      </c>
      <c r="E90" s="0" t="n">
        <v>994</v>
      </c>
      <c r="F90" s="15" t="s">
        <v>290</v>
      </c>
    </row>
    <row r="91" customFormat="false" ht="15" hidden="false" customHeight="false" outlineLevel="0" collapsed="false">
      <c r="A91" s="0" t="s">
        <v>2930</v>
      </c>
      <c r="B91" s="0" t="s">
        <v>2058</v>
      </c>
      <c r="C91" s="0" t="s">
        <v>104</v>
      </c>
      <c r="D91" s="14" t="n">
        <v>45930</v>
      </c>
      <c r="E91" s="0" t="n">
        <v>456.94</v>
      </c>
      <c r="F91" s="15" t="s">
        <v>321</v>
      </c>
    </row>
    <row r="92" customFormat="false" ht="15" hidden="false" customHeight="false" outlineLevel="0" collapsed="false">
      <c r="A92" s="0" t="s">
        <v>2931</v>
      </c>
      <c r="B92" s="0" t="s">
        <v>2059</v>
      </c>
      <c r="C92" s="0" t="s">
        <v>93</v>
      </c>
      <c r="D92" s="14" t="n">
        <v>46122</v>
      </c>
      <c r="E92" s="0" t="n">
        <v>3515.6</v>
      </c>
      <c r="F92" s="15" t="s">
        <v>282</v>
      </c>
    </row>
    <row r="93" customFormat="false" ht="15" hidden="false" customHeight="false" outlineLevel="0" collapsed="false">
      <c r="A93" s="0" t="s">
        <v>2932</v>
      </c>
      <c r="B93" s="0" t="s">
        <v>2062</v>
      </c>
      <c r="C93" s="0" t="s">
        <v>93</v>
      </c>
      <c r="D93" s="14" t="n">
        <v>45998</v>
      </c>
      <c r="E93" s="0" t="n">
        <v>2184.66</v>
      </c>
      <c r="F93" s="15" t="s">
        <v>287</v>
      </c>
    </row>
    <row r="94" customFormat="false" ht="15" hidden="false" customHeight="false" outlineLevel="0" collapsed="false">
      <c r="A94" s="0" t="s">
        <v>2933</v>
      </c>
      <c r="B94" s="0" t="s">
        <v>2064</v>
      </c>
      <c r="C94" s="0" t="s">
        <v>149</v>
      </c>
      <c r="D94" s="14" t="n">
        <v>46166</v>
      </c>
      <c r="E94" s="0" t="n">
        <v>3835.01</v>
      </c>
      <c r="F94" s="15" t="s">
        <v>292</v>
      </c>
    </row>
    <row r="95" customFormat="false" ht="15" hidden="false" customHeight="false" outlineLevel="0" collapsed="false">
      <c r="A95" s="0" t="s">
        <v>2934</v>
      </c>
      <c r="B95" s="0" t="s">
        <v>2065</v>
      </c>
      <c r="C95" s="0" t="s">
        <v>186</v>
      </c>
      <c r="D95" s="14" t="n">
        <v>46043</v>
      </c>
      <c r="E95" s="0" t="n">
        <v>402.4</v>
      </c>
      <c r="F95" s="15" t="s">
        <v>321</v>
      </c>
    </row>
    <row r="96" customFormat="false" ht="15" hidden="false" customHeight="false" outlineLevel="0" collapsed="false">
      <c r="A96" s="0" t="s">
        <v>2935</v>
      </c>
      <c r="B96" s="0" t="s">
        <v>2068</v>
      </c>
      <c r="C96" s="0" t="s">
        <v>116</v>
      </c>
      <c r="D96" s="14" t="n">
        <v>45962</v>
      </c>
      <c r="E96" s="0" t="n">
        <v>816.15</v>
      </c>
      <c r="F96" s="15" t="s">
        <v>279</v>
      </c>
    </row>
    <row r="97" customFormat="false" ht="15" hidden="false" customHeight="false" outlineLevel="0" collapsed="false">
      <c r="A97" s="0" t="s">
        <v>2936</v>
      </c>
      <c r="B97" s="0" t="s">
        <v>2069</v>
      </c>
      <c r="C97" s="0" t="s">
        <v>116</v>
      </c>
      <c r="D97" s="14" t="n">
        <v>46147</v>
      </c>
      <c r="E97" s="0" t="n">
        <v>5798.93</v>
      </c>
      <c r="F97" s="15" t="s">
        <v>321</v>
      </c>
    </row>
    <row r="98" customFormat="false" ht="15" hidden="false" customHeight="false" outlineLevel="0" collapsed="false">
      <c r="A98" s="0" t="s">
        <v>2937</v>
      </c>
      <c r="B98" s="0" t="s">
        <v>2070</v>
      </c>
      <c r="C98" s="0" t="s">
        <v>164</v>
      </c>
      <c r="D98" s="14" t="n">
        <v>46001</v>
      </c>
      <c r="E98" s="0" t="n">
        <v>3177.07</v>
      </c>
      <c r="F98" s="15" t="s">
        <v>290</v>
      </c>
    </row>
    <row r="99" customFormat="false" ht="15" hidden="false" customHeight="false" outlineLevel="0" collapsed="false">
      <c r="A99" s="0" t="s">
        <v>2938</v>
      </c>
      <c r="B99" s="0" t="s">
        <v>2071</v>
      </c>
      <c r="C99" s="0" t="s">
        <v>131</v>
      </c>
      <c r="D99" s="14" t="n">
        <v>46187</v>
      </c>
      <c r="E99" s="0" t="n">
        <v>2099.16</v>
      </c>
      <c r="F99" s="15" t="s">
        <v>290</v>
      </c>
    </row>
    <row r="100" customFormat="false" ht="15" hidden="false" customHeight="false" outlineLevel="0" collapsed="false">
      <c r="A100" s="0" t="s">
        <v>2939</v>
      </c>
      <c r="B100" s="0" t="s">
        <v>2072</v>
      </c>
      <c r="C100" s="0" t="s">
        <v>125</v>
      </c>
      <c r="D100" s="14" t="n">
        <v>46106</v>
      </c>
      <c r="E100" s="0" t="n">
        <v>2167.65</v>
      </c>
      <c r="F100" s="15" t="s">
        <v>282</v>
      </c>
    </row>
    <row r="101" customFormat="false" ht="15" hidden="false" customHeight="false" outlineLevel="0" collapsed="false">
      <c r="A101" s="0" t="s">
        <v>2940</v>
      </c>
      <c r="B101" s="0" t="s">
        <v>2073</v>
      </c>
      <c r="C101" s="0" t="s">
        <v>134</v>
      </c>
      <c r="D101" s="14" t="n">
        <v>45933</v>
      </c>
      <c r="E101" s="0" t="n">
        <v>865.82</v>
      </c>
      <c r="F101" s="15" t="s">
        <v>290</v>
      </c>
    </row>
    <row r="102" customFormat="false" ht="15" hidden="false" customHeight="false" outlineLevel="0" collapsed="false">
      <c r="A102" s="0" t="s">
        <v>2941</v>
      </c>
      <c r="B102" s="0" t="s">
        <v>2074</v>
      </c>
      <c r="C102" s="0" t="s">
        <v>93</v>
      </c>
      <c r="D102" s="14" t="n">
        <v>45837</v>
      </c>
      <c r="E102" s="0" t="n">
        <v>588.49</v>
      </c>
      <c r="F102" s="15" t="s">
        <v>313</v>
      </c>
    </row>
    <row r="103" customFormat="false" ht="15" hidden="false" customHeight="false" outlineLevel="0" collapsed="false">
      <c r="A103" s="0" t="s">
        <v>2942</v>
      </c>
      <c r="B103" s="0" t="s">
        <v>2075</v>
      </c>
      <c r="C103" s="0" t="s">
        <v>195</v>
      </c>
      <c r="D103" s="14" t="n">
        <v>45818</v>
      </c>
      <c r="E103" s="0" t="n">
        <v>1755.83</v>
      </c>
      <c r="F103" s="15" t="s">
        <v>279</v>
      </c>
    </row>
    <row r="104" customFormat="false" ht="15" hidden="false" customHeight="false" outlineLevel="0" collapsed="false">
      <c r="A104" s="0" t="s">
        <v>2943</v>
      </c>
      <c r="B104" s="0" t="s">
        <v>2076</v>
      </c>
      <c r="C104" s="0" t="s">
        <v>158</v>
      </c>
      <c r="D104" s="14" t="n">
        <v>46041</v>
      </c>
      <c r="E104" s="0" t="n">
        <v>946.66</v>
      </c>
      <c r="F104" s="15" t="s">
        <v>302</v>
      </c>
    </row>
    <row r="105" customFormat="false" ht="15" hidden="false" customHeight="false" outlineLevel="0" collapsed="false">
      <c r="A105" s="0" t="s">
        <v>2944</v>
      </c>
      <c r="B105" s="0" t="s">
        <v>2077</v>
      </c>
      <c r="C105" s="0" t="s">
        <v>161</v>
      </c>
      <c r="D105" s="14" t="n">
        <v>46113</v>
      </c>
      <c r="E105" s="0" t="n">
        <v>17767.35</v>
      </c>
      <c r="F105" s="15" t="s">
        <v>321</v>
      </c>
    </row>
    <row r="106" customFormat="false" ht="15" hidden="false" customHeight="false" outlineLevel="0" collapsed="false">
      <c r="A106" s="0" t="s">
        <v>2945</v>
      </c>
      <c r="B106" s="0" t="s">
        <v>2078</v>
      </c>
      <c r="C106" s="0" t="s">
        <v>75</v>
      </c>
      <c r="D106" s="14" t="n">
        <v>45980</v>
      </c>
      <c r="E106" s="0" t="n">
        <v>8633.55</v>
      </c>
      <c r="F106" s="15" t="s">
        <v>290</v>
      </c>
    </row>
    <row r="107" customFormat="false" ht="15" hidden="false" customHeight="false" outlineLevel="0" collapsed="false">
      <c r="A107" s="0" t="s">
        <v>2946</v>
      </c>
      <c r="B107" s="0" t="s">
        <v>2079</v>
      </c>
      <c r="C107" s="0" t="s">
        <v>195</v>
      </c>
      <c r="D107" s="14" t="n">
        <v>46042</v>
      </c>
      <c r="E107" s="0" t="n">
        <v>1731.53</v>
      </c>
      <c r="F107" s="15" t="s">
        <v>279</v>
      </c>
    </row>
    <row r="108" customFormat="false" ht="15" hidden="false" customHeight="false" outlineLevel="0" collapsed="false">
      <c r="A108" s="0" t="s">
        <v>2947</v>
      </c>
      <c r="B108" s="0" t="s">
        <v>2080</v>
      </c>
      <c r="C108" s="0" t="s">
        <v>155</v>
      </c>
      <c r="D108" s="14" t="n">
        <v>45854</v>
      </c>
      <c r="E108" s="0" t="n">
        <v>1559.4</v>
      </c>
      <c r="F108" s="15" t="s">
        <v>290</v>
      </c>
    </row>
    <row r="109" customFormat="false" ht="15" hidden="false" customHeight="false" outlineLevel="0" collapsed="false">
      <c r="A109" s="0" t="s">
        <v>2948</v>
      </c>
      <c r="B109" s="0" t="s">
        <v>2081</v>
      </c>
      <c r="C109" s="0" t="s">
        <v>137</v>
      </c>
      <c r="D109" s="14" t="n">
        <v>45745</v>
      </c>
      <c r="E109" s="0" t="n">
        <v>1484.65</v>
      </c>
      <c r="F109" s="15" t="s">
        <v>302</v>
      </c>
    </row>
    <row r="110" customFormat="false" ht="15" hidden="false" customHeight="false" outlineLevel="0" collapsed="false">
      <c r="A110" s="0" t="s">
        <v>2949</v>
      </c>
      <c r="B110" s="0" t="s">
        <v>2082</v>
      </c>
      <c r="C110" s="0" t="s">
        <v>122</v>
      </c>
      <c r="D110" s="14" t="n">
        <v>45839</v>
      </c>
      <c r="E110" s="0" t="n">
        <v>448.18</v>
      </c>
      <c r="F110" s="15" t="s">
        <v>279</v>
      </c>
    </row>
    <row r="111" customFormat="false" ht="15" hidden="false" customHeight="false" outlineLevel="0" collapsed="false">
      <c r="A111" s="0" t="s">
        <v>2950</v>
      </c>
      <c r="B111" s="0" t="s">
        <v>2083</v>
      </c>
      <c r="C111" s="0" t="s">
        <v>164</v>
      </c>
      <c r="D111" s="14" t="n">
        <v>45815</v>
      </c>
      <c r="E111" s="0" t="n">
        <v>381.28</v>
      </c>
      <c r="F111" s="15" t="s">
        <v>290</v>
      </c>
    </row>
    <row r="112" customFormat="false" ht="15" hidden="false" customHeight="false" outlineLevel="0" collapsed="false">
      <c r="A112" s="0" t="s">
        <v>2951</v>
      </c>
      <c r="B112" s="0" t="s">
        <v>2084</v>
      </c>
      <c r="C112" s="0" t="s">
        <v>131</v>
      </c>
      <c r="D112" s="14" t="n">
        <v>45884</v>
      </c>
      <c r="E112" s="0" t="n">
        <v>432.73</v>
      </c>
      <c r="F112" s="15" t="s">
        <v>282</v>
      </c>
    </row>
    <row r="113" customFormat="false" ht="15" hidden="false" customHeight="false" outlineLevel="0" collapsed="false">
      <c r="A113" s="0" t="s">
        <v>2952</v>
      </c>
      <c r="B113" s="0" t="s">
        <v>2085</v>
      </c>
      <c r="C113" s="0" t="s">
        <v>177</v>
      </c>
      <c r="D113" s="14" t="n">
        <v>45975</v>
      </c>
      <c r="E113" s="0" t="n">
        <v>2005.68</v>
      </c>
      <c r="F113" s="15" t="s">
        <v>321</v>
      </c>
    </row>
    <row r="114" customFormat="false" ht="15" hidden="false" customHeight="false" outlineLevel="0" collapsed="false">
      <c r="A114" s="0" t="s">
        <v>2953</v>
      </c>
      <c r="B114" s="0" t="s">
        <v>2086</v>
      </c>
      <c r="C114" s="0" t="s">
        <v>104</v>
      </c>
      <c r="D114" s="14" t="n">
        <v>45783</v>
      </c>
      <c r="E114" s="0" t="n">
        <v>12091.17</v>
      </c>
      <c r="F114" s="15" t="s">
        <v>292</v>
      </c>
    </row>
    <row r="115" customFormat="false" ht="15" hidden="false" customHeight="false" outlineLevel="0" collapsed="false">
      <c r="A115" s="0" t="s">
        <v>2954</v>
      </c>
      <c r="B115" s="0" t="s">
        <v>2087</v>
      </c>
      <c r="C115" s="0" t="s">
        <v>80</v>
      </c>
      <c r="D115" s="14" t="n">
        <v>45813</v>
      </c>
      <c r="E115" s="0" t="n">
        <v>1425.03</v>
      </c>
      <c r="F115" s="15" t="s">
        <v>313</v>
      </c>
    </row>
    <row r="116" customFormat="false" ht="15" hidden="false" customHeight="false" outlineLevel="0" collapsed="false">
      <c r="A116" s="0" t="s">
        <v>2955</v>
      </c>
      <c r="B116" s="0" t="s">
        <v>2088</v>
      </c>
      <c r="C116" s="0" t="s">
        <v>89</v>
      </c>
      <c r="D116" s="14" t="n">
        <v>46085</v>
      </c>
      <c r="E116" s="0" t="n">
        <v>13874.68</v>
      </c>
      <c r="F116" s="15" t="s">
        <v>302</v>
      </c>
    </row>
    <row r="117" customFormat="false" ht="15" hidden="false" customHeight="false" outlineLevel="0" collapsed="false">
      <c r="A117" s="0" t="s">
        <v>2956</v>
      </c>
      <c r="B117" s="0" t="s">
        <v>2089</v>
      </c>
      <c r="C117" s="0" t="s">
        <v>155</v>
      </c>
      <c r="D117" s="14" t="n">
        <v>46088</v>
      </c>
      <c r="E117" s="0" t="n">
        <v>2603.15</v>
      </c>
      <c r="F117" s="15" t="s">
        <v>302</v>
      </c>
    </row>
    <row r="118" customFormat="false" ht="15" hidden="false" customHeight="false" outlineLevel="0" collapsed="false">
      <c r="A118" s="0" t="s">
        <v>2957</v>
      </c>
      <c r="B118" s="0" t="s">
        <v>2091</v>
      </c>
      <c r="C118" s="0" t="s">
        <v>96</v>
      </c>
      <c r="D118" s="14" t="n">
        <v>45902</v>
      </c>
      <c r="E118" s="0" t="n">
        <v>4244.35</v>
      </c>
      <c r="F118" s="15" t="s">
        <v>313</v>
      </c>
    </row>
    <row r="119" customFormat="false" ht="15" hidden="false" customHeight="false" outlineLevel="0" collapsed="false">
      <c r="A119" s="0" t="s">
        <v>2958</v>
      </c>
      <c r="B119" s="0" t="s">
        <v>2093</v>
      </c>
      <c r="C119" s="0" t="s">
        <v>96</v>
      </c>
      <c r="D119" s="14" t="n">
        <v>45901</v>
      </c>
      <c r="E119" s="0" t="n">
        <v>1297.3</v>
      </c>
      <c r="F119" s="15" t="s">
        <v>282</v>
      </c>
    </row>
    <row r="120" customFormat="false" ht="15" hidden="false" customHeight="false" outlineLevel="0" collapsed="false">
      <c r="A120" s="0" t="s">
        <v>2959</v>
      </c>
      <c r="B120" s="0" t="s">
        <v>2094</v>
      </c>
      <c r="C120" s="0" t="s">
        <v>104</v>
      </c>
      <c r="D120" s="14" t="n">
        <v>45788</v>
      </c>
      <c r="E120" s="0" t="n">
        <v>1349.8</v>
      </c>
      <c r="F120" s="15" t="s">
        <v>292</v>
      </c>
    </row>
    <row r="121" customFormat="false" ht="15" hidden="false" customHeight="false" outlineLevel="0" collapsed="false">
      <c r="A121" s="0" t="s">
        <v>2960</v>
      </c>
      <c r="B121" s="0" t="s">
        <v>2095</v>
      </c>
      <c r="C121" s="0" t="s">
        <v>146</v>
      </c>
      <c r="D121" s="14" t="n">
        <v>45925</v>
      </c>
      <c r="E121" s="0" t="n">
        <v>9053.44</v>
      </c>
      <c r="F121" s="15" t="s">
        <v>287</v>
      </c>
    </row>
    <row r="122" customFormat="false" ht="15" hidden="false" customHeight="false" outlineLevel="0" collapsed="false">
      <c r="A122" s="0" t="s">
        <v>2961</v>
      </c>
      <c r="B122" s="0" t="s">
        <v>2096</v>
      </c>
      <c r="C122" s="0" t="s">
        <v>146</v>
      </c>
      <c r="D122" s="14" t="n">
        <v>46183</v>
      </c>
      <c r="E122" s="0" t="n">
        <v>974.82</v>
      </c>
      <c r="F122" s="15" t="s">
        <v>282</v>
      </c>
    </row>
    <row r="123" customFormat="false" ht="15" hidden="false" customHeight="false" outlineLevel="0" collapsed="false">
      <c r="A123" s="0" t="s">
        <v>2962</v>
      </c>
      <c r="B123" s="0" t="s">
        <v>2097</v>
      </c>
      <c r="C123" s="0" t="s">
        <v>183</v>
      </c>
      <c r="D123" s="14" t="n">
        <v>46004</v>
      </c>
      <c r="E123" s="0" t="n">
        <v>5730.61</v>
      </c>
      <c r="F123" s="15" t="s">
        <v>292</v>
      </c>
    </row>
    <row r="124" customFormat="false" ht="15" hidden="false" customHeight="false" outlineLevel="0" collapsed="false">
      <c r="A124" s="0" t="s">
        <v>2963</v>
      </c>
      <c r="B124" s="0" t="s">
        <v>2098</v>
      </c>
      <c r="C124" s="0" t="s">
        <v>201</v>
      </c>
      <c r="D124" s="14" t="n">
        <v>46063</v>
      </c>
      <c r="E124" s="0" t="n">
        <v>11169.56</v>
      </c>
      <c r="F124" s="15" t="s">
        <v>292</v>
      </c>
    </row>
    <row r="125" customFormat="false" ht="15" hidden="false" customHeight="false" outlineLevel="0" collapsed="false">
      <c r="A125" s="0" t="s">
        <v>2964</v>
      </c>
      <c r="B125" s="0" t="s">
        <v>2099</v>
      </c>
      <c r="C125" s="0" t="s">
        <v>177</v>
      </c>
      <c r="D125" s="14" t="n">
        <v>46165</v>
      </c>
      <c r="E125" s="0" t="n">
        <v>573.05</v>
      </c>
      <c r="F125" s="15" t="s">
        <v>282</v>
      </c>
    </row>
    <row r="126" customFormat="false" ht="15" hidden="false" customHeight="false" outlineLevel="0" collapsed="false">
      <c r="A126" s="0" t="s">
        <v>2965</v>
      </c>
      <c r="B126" s="0" t="s">
        <v>2100</v>
      </c>
      <c r="C126" s="0" t="s">
        <v>143</v>
      </c>
      <c r="D126" s="14" t="n">
        <v>46131</v>
      </c>
      <c r="E126" s="0" t="n">
        <v>267.6</v>
      </c>
      <c r="F126" s="15" t="s">
        <v>279</v>
      </c>
    </row>
    <row r="127" customFormat="false" ht="15" hidden="false" customHeight="false" outlineLevel="0" collapsed="false">
      <c r="A127" s="0" t="s">
        <v>2966</v>
      </c>
      <c r="B127" s="0" t="s">
        <v>2101</v>
      </c>
      <c r="C127" s="0" t="s">
        <v>189</v>
      </c>
      <c r="D127" s="14" t="n">
        <v>45881</v>
      </c>
      <c r="E127" s="0" t="n">
        <v>634.26</v>
      </c>
      <c r="F127" s="15" t="s">
        <v>287</v>
      </c>
    </row>
    <row r="128" customFormat="false" ht="15" hidden="false" customHeight="false" outlineLevel="0" collapsed="false">
      <c r="A128" s="0" t="s">
        <v>2967</v>
      </c>
      <c r="B128" s="0" t="s">
        <v>2102</v>
      </c>
      <c r="C128" s="0" t="s">
        <v>167</v>
      </c>
      <c r="D128" s="14" t="n">
        <v>45683</v>
      </c>
      <c r="E128" s="0" t="n">
        <v>858.6</v>
      </c>
      <c r="F128" s="15" t="s">
        <v>287</v>
      </c>
    </row>
    <row r="129" customFormat="false" ht="15" hidden="false" customHeight="false" outlineLevel="0" collapsed="false">
      <c r="A129" s="0" t="s">
        <v>2968</v>
      </c>
      <c r="B129" s="0" t="s">
        <v>2103</v>
      </c>
      <c r="C129" s="0" t="s">
        <v>149</v>
      </c>
      <c r="D129" s="14" t="n">
        <v>45892</v>
      </c>
      <c r="E129" s="0" t="n">
        <v>1495.05</v>
      </c>
      <c r="F129" s="15" t="s">
        <v>279</v>
      </c>
    </row>
    <row r="130" customFormat="false" ht="15" hidden="false" customHeight="false" outlineLevel="0" collapsed="false">
      <c r="A130" s="0" t="s">
        <v>2969</v>
      </c>
      <c r="B130" s="0" t="s">
        <v>2104</v>
      </c>
      <c r="C130" s="0" t="s">
        <v>192</v>
      </c>
      <c r="D130" s="14" t="n">
        <v>46101</v>
      </c>
      <c r="E130" s="0" t="n">
        <v>4226.43</v>
      </c>
      <c r="F130" s="15" t="s">
        <v>292</v>
      </c>
    </row>
    <row r="131" customFormat="false" ht="15" hidden="false" customHeight="false" outlineLevel="0" collapsed="false">
      <c r="A131" s="0" t="s">
        <v>2970</v>
      </c>
      <c r="B131" s="0" t="s">
        <v>2105</v>
      </c>
      <c r="C131" s="0" t="s">
        <v>167</v>
      </c>
      <c r="D131" s="14" t="n">
        <v>46173</v>
      </c>
      <c r="E131" s="0" t="n">
        <v>203.15</v>
      </c>
      <c r="F131" s="15" t="s">
        <v>282</v>
      </c>
    </row>
    <row r="132" customFormat="false" ht="15" hidden="false" customHeight="false" outlineLevel="0" collapsed="false">
      <c r="A132" s="0" t="s">
        <v>2971</v>
      </c>
      <c r="B132" s="0" t="s">
        <v>2107</v>
      </c>
      <c r="C132" s="0" t="s">
        <v>189</v>
      </c>
      <c r="D132" s="14" t="n">
        <v>45925</v>
      </c>
      <c r="E132" s="0" t="n">
        <v>3143.41</v>
      </c>
      <c r="F132" s="15" t="s">
        <v>287</v>
      </c>
    </row>
    <row r="133" customFormat="false" ht="15" hidden="false" customHeight="false" outlineLevel="0" collapsed="false">
      <c r="A133" s="0" t="s">
        <v>2972</v>
      </c>
      <c r="B133" s="0" t="s">
        <v>2108</v>
      </c>
      <c r="C133" s="0" t="s">
        <v>89</v>
      </c>
      <c r="D133" s="14" t="n">
        <v>46113</v>
      </c>
      <c r="E133" s="0" t="n">
        <v>13042.87</v>
      </c>
      <c r="F133" s="15" t="s">
        <v>279</v>
      </c>
    </row>
    <row r="134" customFormat="false" ht="15" hidden="false" customHeight="false" outlineLevel="0" collapsed="false">
      <c r="A134" s="0" t="s">
        <v>2973</v>
      </c>
      <c r="B134" s="0" t="s">
        <v>2109</v>
      </c>
      <c r="C134" s="0" t="s">
        <v>198</v>
      </c>
      <c r="D134" s="14" t="n">
        <v>45985</v>
      </c>
      <c r="E134" s="0" t="n">
        <v>4664.8</v>
      </c>
      <c r="F134" s="15" t="s">
        <v>321</v>
      </c>
    </row>
    <row r="135" customFormat="false" ht="15" hidden="false" customHeight="false" outlineLevel="0" collapsed="false">
      <c r="A135" s="0" t="s">
        <v>2974</v>
      </c>
      <c r="B135" s="0" t="s">
        <v>2110</v>
      </c>
      <c r="C135" s="0" t="s">
        <v>125</v>
      </c>
      <c r="D135" s="14" t="n">
        <v>46023</v>
      </c>
      <c r="E135" s="0" t="n">
        <v>2106.89</v>
      </c>
      <c r="F135" s="15" t="s">
        <v>287</v>
      </c>
    </row>
    <row r="136" customFormat="false" ht="15" hidden="false" customHeight="false" outlineLevel="0" collapsed="false">
      <c r="A136" s="0" t="s">
        <v>2975</v>
      </c>
      <c r="B136" s="0" t="s">
        <v>2111</v>
      </c>
      <c r="C136" s="0" t="s">
        <v>99</v>
      </c>
      <c r="D136" s="14" t="n">
        <v>45805</v>
      </c>
      <c r="E136" s="0" t="n">
        <v>7303.36</v>
      </c>
      <c r="F136" s="15" t="s">
        <v>287</v>
      </c>
    </row>
    <row r="137" customFormat="false" ht="15" hidden="false" customHeight="false" outlineLevel="0" collapsed="false">
      <c r="A137" s="0" t="s">
        <v>2976</v>
      </c>
      <c r="B137" s="0" t="s">
        <v>2112</v>
      </c>
      <c r="C137" s="0" t="s">
        <v>70</v>
      </c>
      <c r="D137" s="14" t="n">
        <v>45801</v>
      </c>
      <c r="E137" s="0" t="n">
        <v>2285.28</v>
      </c>
      <c r="F137" s="15" t="s">
        <v>279</v>
      </c>
    </row>
    <row r="138" customFormat="false" ht="15" hidden="false" customHeight="false" outlineLevel="0" collapsed="false">
      <c r="A138" s="0" t="s">
        <v>2977</v>
      </c>
      <c r="B138" s="0" t="s">
        <v>2113</v>
      </c>
      <c r="C138" s="0" t="s">
        <v>134</v>
      </c>
      <c r="D138" s="14" t="n">
        <v>45947</v>
      </c>
      <c r="E138" s="0" t="n">
        <v>358.03</v>
      </c>
      <c r="F138" s="15" t="s">
        <v>279</v>
      </c>
    </row>
    <row r="139" customFormat="false" ht="15" hidden="false" customHeight="false" outlineLevel="0" collapsed="false">
      <c r="A139" s="0" t="s">
        <v>2978</v>
      </c>
      <c r="B139" s="0" t="s">
        <v>2114</v>
      </c>
      <c r="C139" s="0" t="s">
        <v>131</v>
      </c>
      <c r="D139" s="14" t="n">
        <v>45707</v>
      </c>
      <c r="E139" s="0" t="n">
        <v>2062.27</v>
      </c>
      <c r="F139" s="15" t="s">
        <v>313</v>
      </c>
    </row>
    <row r="140" customFormat="false" ht="15" hidden="false" customHeight="false" outlineLevel="0" collapsed="false">
      <c r="A140" s="0" t="s">
        <v>2979</v>
      </c>
      <c r="B140" s="0" t="s">
        <v>2115</v>
      </c>
      <c r="C140" s="0" t="s">
        <v>155</v>
      </c>
      <c r="D140" s="14" t="n">
        <v>45870</v>
      </c>
      <c r="E140" s="0" t="n">
        <v>8142.95</v>
      </c>
      <c r="F140" s="15" t="s">
        <v>282</v>
      </c>
    </row>
    <row r="141" customFormat="false" ht="15" hidden="false" customHeight="false" outlineLevel="0" collapsed="false">
      <c r="A141" s="0" t="s">
        <v>2980</v>
      </c>
      <c r="B141" s="0" t="s">
        <v>2116</v>
      </c>
      <c r="C141" s="0" t="s">
        <v>131</v>
      </c>
      <c r="D141" s="14" t="n">
        <v>46063</v>
      </c>
      <c r="E141" s="0" t="n">
        <v>499.89</v>
      </c>
      <c r="F141" s="15" t="s">
        <v>287</v>
      </c>
    </row>
    <row r="142" customFormat="false" ht="15" hidden="false" customHeight="false" outlineLevel="0" collapsed="false">
      <c r="A142" s="0" t="s">
        <v>2981</v>
      </c>
      <c r="B142" s="0" t="s">
        <v>2117</v>
      </c>
      <c r="C142" s="0" t="s">
        <v>96</v>
      </c>
      <c r="D142" s="14" t="n">
        <v>45908</v>
      </c>
      <c r="E142" s="0" t="n">
        <v>2573.09</v>
      </c>
      <c r="F142" s="15" t="s">
        <v>302</v>
      </c>
    </row>
    <row r="143" customFormat="false" ht="15" hidden="false" customHeight="false" outlineLevel="0" collapsed="false">
      <c r="A143" s="0" t="s">
        <v>2982</v>
      </c>
      <c r="B143" s="0" t="s">
        <v>2118</v>
      </c>
      <c r="C143" s="0" t="s">
        <v>75</v>
      </c>
      <c r="D143" s="14" t="n">
        <v>45785</v>
      </c>
      <c r="E143" s="0" t="n">
        <v>2632.16</v>
      </c>
      <c r="F143" s="15" t="s">
        <v>313</v>
      </c>
    </row>
    <row r="144" customFormat="false" ht="15" hidden="false" customHeight="false" outlineLevel="0" collapsed="false">
      <c r="A144" s="0" t="s">
        <v>2983</v>
      </c>
      <c r="B144" s="0" t="s">
        <v>2119</v>
      </c>
      <c r="C144" s="0" t="s">
        <v>70</v>
      </c>
      <c r="D144" s="14" t="n">
        <v>45956</v>
      </c>
      <c r="E144" s="0" t="n">
        <v>332.16</v>
      </c>
      <c r="F144" s="15" t="s">
        <v>290</v>
      </c>
    </row>
    <row r="145" customFormat="false" ht="15" hidden="false" customHeight="false" outlineLevel="0" collapsed="false">
      <c r="A145" s="0" t="s">
        <v>2984</v>
      </c>
      <c r="B145" s="0" t="s">
        <v>2121</v>
      </c>
      <c r="C145" s="0" t="s">
        <v>186</v>
      </c>
      <c r="D145" s="14" t="n">
        <v>46019</v>
      </c>
      <c r="E145" s="0" t="n">
        <v>783.53</v>
      </c>
      <c r="F145" s="15" t="s">
        <v>279</v>
      </c>
    </row>
    <row r="146" customFormat="false" ht="15" hidden="false" customHeight="false" outlineLevel="0" collapsed="false">
      <c r="A146" s="0" t="s">
        <v>2985</v>
      </c>
      <c r="B146" s="0" t="s">
        <v>2123</v>
      </c>
      <c r="C146" s="0" t="s">
        <v>112</v>
      </c>
      <c r="D146" s="14" t="n">
        <v>45914</v>
      </c>
      <c r="E146" s="0" t="n">
        <v>327.42</v>
      </c>
      <c r="F146" s="15" t="s">
        <v>321</v>
      </c>
    </row>
    <row r="147" customFormat="false" ht="15" hidden="false" customHeight="false" outlineLevel="0" collapsed="false">
      <c r="A147" s="0" t="s">
        <v>2986</v>
      </c>
      <c r="B147" s="0" t="s">
        <v>2124</v>
      </c>
      <c r="C147" s="0" t="s">
        <v>122</v>
      </c>
      <c r="D147" s="14" t="n">
        <v>46016</v>
      </c>
      <c r="E147" s="0" t="n">
        <v>12338.24</v>
      </c>
      <c r="F147" s="15" t="s">
        <v>292</v>
      </c>
    </row>
    <row r="148" customFormat="false" ht="15" hidden="false" customHeight="false" outlineLevel="0" collapsed="false">
      <c r="A148" s="0" t="s">
        <v>2987</v>
      </c>
      <c r="B148" s="0" t="s">
        <v>2125</v>
      </c>
      <c r="C148" s="0" t="s">
        <v>146</v>
      </c>
      <c r="D148" s="14" t="n">
        <v>45693</v>
      </c>
      <c r="E148" s="0" t="n">
        <v>1431.29</v>
      </c>
      <c r="F148" s="15" t="s">
        <v>279</v>
      </c>
    </row>
    <row r="149" customFormat="false" ht="15" hidden="false" customHeight="false" outlineLevel="0" collapsed="false">
      <c r="A149" s="0" t="s">
        <v>2988</v>
      </c>
      <c r="B149" s="0" t="s">
        <v>2126</v>
      </c>
      <c r="C149" s="0" t="s">
        <v>164</v>
      </c>
      <c r="D149" s="14" t="n">
        <v>46029</v>
      </c>
      <c r="E149" s="0" t="n">
        <v>9458.18</v>
      </c>
      <c r="F149" s="15" t="s">
        <v>321</v>
      </c>
    </row>
    <row r="150" customFormat="false" ht="15" hidden="false" customHeight="false" outlineLevel="0" collapsed="false">
      <c r="A150" s="0" t="s">
        <v>2989</v>
      </c>
      <c r="B150" s="0" t="s">
        <v>2127</v>
      </c>
      <c r="C150" s="0" t="s">
        <v>180</v>
      </c>
      <c r="D150" s="14" t="n">
        <v>45759</v>
      </c>
      <c r="E150" s="0" t="n">
        <v>354.26</v>
      </c>
      <c r="F150" s="15" t="s">
        <v>313</v>
      </c>
    </row>
    <row r="151" customFormat="false" ht="15" hidden="false" customHeight="false" outlineLevel="0" collapsed="false">
      <c r="A151" s="0" t="s">
        <v>2990</v>
      </c>
      <c r="B151" s="0" t="s">
        <v>2128</v>
      </c>
      <c r="C151" s="0" t="s">
        <v>152</v>
      </c>
      <c r="D151" s="14" t="n">
        <v>45934</v>
      </c>
      <c r="E151" s="0" t="n">
        <v>1640.65</v>
      </c>
      <c r="F151" s="15" t="s">
        <v>292</v>
      </c>
    </row>
    <row r="152" customFormat="false" ht="15" hidden="false" customHeight="false" outlineLevel="0" collapsed="false">
      <c r="A152" s="0" t="s">
        <v>2991</v>
      </c>
      <c r="B152" s="0" t="s">
        <v>2129</v>
      </c>
      <c r="C152" s="0" t="s">
        <v>152</v>
      </c>
      <c r="D152" s="14" t="n">
        <v>45945</v>
      </c>
      <c r="E152" s="0" t="n">
        <v>1640.65</v>
      </c>
      <c r="F152" s="15" t="s">
        <v>290</v>
      </c>
    </row>
    <row r="153" customFormat="false" ht="15" hidden="false" customHeight="false" outlineLevel="0" collapsed="false">
      <c r="A153" s="0" t="s">
        <v>2992</v>
      </c>
      <c r="B153" s="0" t="s">
        <v>2130</v>
      </c>
      <c r="C153" s="0" t="s">
        <v>112</v>
      </c>
      <c r="D153" s="14" t="n">
        <v>45694</v>
      </c>
      <c r="E153" s="0" t="n">
        <v>14457.87</v>
      </c>
      <c r="F153" s="15" t="s">
        <v>292</v>
      </c>
    </row>
    <row r="154" customFormat="false" ht="15" hidden="false" customHeight="false" outlineLevel="0" collapsed="false">
      <c r="A154" s="0" t="s">
        <v>2993</v>
      </c>
      <c r="B154" s="0" t="s">
        <v>2131</v>
      </c>
      <c r="C154" s="0" t="s">
        <v>112</v>
      </c>
      <c r="D154" s="14" t="n">
        <v>45889</v>
      </c>
      <c r="E154" s="0" t="n">
        <v>3828.96</v>
      </c>
      <c r="F154" s="15" t="s">
        <v>279</v>
      </c>
    </row>
    <row r="155" customFormat="false" ht="15" hidden="false" customHeight="false" outlineLevel="0" collapsed="false">
      <c r="A155" s="0" t="s">
        <v>2994</v>
      </c>
      <c r="B155" s="0" t="s">
        <v>2132</v>
      </c>
      <c r="C155" s="0" t="s">
        <v>155</v>
      </c>
      <c r="D155" s="14" t="n">
        <v>45803</v>
      </c>
      <c r="E155" s="0" t="n">
        <v>1542.51</v>
      </c>
      <c r="F155" s="15" t="s">
        <v>287</v>
      </c>
    </row>
    <row r="156" customFormat="false" ht="15" hidden="false" customHeight="false" outlineLevel="0" collapsed="false">
      <c r="A156" s="0" t="s">
        <v>2995</v>
      </c>
      <c r="B156" s="0" t="s">
        <v>2133</v>
      </c>
      <c r="C156" s="0" t="s">
        <v>140</v>
      </c>
      <c r="D156" s="14" t="n">
        <v>45862</v>
      </c>
      <c r="E156" s="0" t="n">
        <v>1235.82</v>
      </c>
      <c r="F156" s="15" t="s">
        <v>313</v>
      </c>
    </row>
    <row r="157" customFormat="false" ht="15" hidden="false" customHeight="false" outlineLevel="0" collapsed="false">
      <c r="A157" s="0" t="s">
        <v>2996</v>
      </c>
      <c r="B157" s="0" t="s">
        <v>2134</v>
      </c>
      <c r="C157" s="0" t="s">
        <v>89</v>
      </c>
      <c r="D157" s="14" t="n">
        <v>46100</v>
      </c>
      <c r="E157" s="0" t="n">
        <v>21822.22</v>
      </c>
      <c r="F157" s="15" t="s">
        <v>290</v>
      </c>
    </row>
    <row r="158" customFormat="false" ht="15" hidden="false" customHeight="false" outlineLevel="0" collapsed="false">
      <c r="A158" s="0" t="s">
        <v>2997</v>
      </c>
      <c r="B158" s="0" t="s">
        <v>2135</v>
      </c>
      <c r="C158" s="0" t="s">
        <v>70</v>
      </c>
      <c r="D158" s="14" t="n">
        <v>45915</v>
      </c>
      <c r="E158" s="0" t="n">
        <v>3828.8</v>
      </c>
      <c r="F158" s="15" t="s">
        <v>292</v>
      </c>
    </row>
    <row r="159" customFormat="false" ht="15" hidden="false" customHeight="false" outlineLevel="0" collapsed="false">
      <c r="A159" s="0" t="s">
        <v>2998</v>
      </c>
      <c r="B159" s="0" t="s">
        <v>2136</v>
      </c>
      <c r="C159" s="0" t="s">
        <v>152</v>
      </c>
      <c r="D159" s="14" t="n">
        <v>46103</v>
      </c>
      <c r="E159" s="0" t="n">
        <v>2084.01</v>
      </c>
      <c r="F159" s="15" t="s">
        <v>302</v>
      </c>
    </row>
    <row r="160" customFormat="false" ht="15" hidden="false" customHeight="false" outlineLevel="0" collapsed="false">
      <c r="A160" s="0" t="s">
        <v>2999</v>
      </c>
      <c r="B160" s="0" t="s">
        <v>2137</v>
      </c>
      <c r="C160" s="0" t="s">
        <v>80</v>
      </c>
      <c r="D160" s="14" t="n">
        <v>46157</v>
      </c>
      <c r="E160" s="0" t="n">
        <v>1489.22</v>
      </c>
      <c r="F160" s="15" t="s">
        <v>282</v>
      </c>
    </row>
    <row r="161" customFormat="false" ht="15" hidden="false" customHeight="false" outlineLevel="0" collapsed="false">
      <c r="A161" s="0" t="s">
        <v>3000</v>
      </c>
      <c r="B161" s="0" t="s">
        <v>2138</v>
      </c>
      <c r="C161" s="0" t="s">
        <v>186</v>
      </c>
      <c r="D161" s="14" t="n">
        <v>45826</v>
      </c>
      <c r="E161" s="0" t="n">
        <v>1056.69</v>
      </c>
      <c r="F161" s="15" t="s">
        <v>282</v>
      </c>
    </row>
    <row r="162" customFormat="false" ht="15" hidden="false" customHeight="false" outlineLevel="0" collapsed="false">
      <c r="A162" s="0" t="s">
        <v>3001</v>
      </c>
      <c r="B162" s="0" t="s">
        <v>2139</v>
      </c>
      <c r="C162" s="0" t="s">
        <v>104</v>
      </c>
      <c r="D162" s="14" t="n">
        <v>45741</v>
      </c>
      <c r="E162" s="0" t="n">
        <v>3628.81</v>
      </c>
      <c r="F162" s="15" t="s">
        <v>282</v>
      </c>
    </row>
    <row r="163" customFormat="false" ht="15" hidden="false" customHeight="false" outlineLevel="0" collapsed="false">
      <c r="A163" s="0" t="s">
        <v>3002</v>
      </c>
      <c r="B163" s="0" t="s">
        <v>2140</v>
      </c>
      <c r="C163" s="0" t="s">
        <v>183</v>
      </c>
      <c r="D163" s="14" t="n">
        <v>45712</v>
      </c>
      <c r="E163" s="0" t="n">
        <v>588.95</v>
      </c>
      <c r="F163" s="15" t="s">
        <v>321</v>
      </c>
    </row>
    <row r="164" customFormat="false" ht="15" hidden="false" customHeight="false" outlineLevel="0" collapsed="false">
      <c r="A164" s="0" t="s">
        <v>3003</v>
      </c>
      <c r="B164" s="0" t="s">
        <v>2141</v>
      </c>
      <c r="C164" s="0" t="s">
        <v>131</v>
      </c>
      <c r="D164" s="14" t="n">
        <v>45959</v>
      </c>
      <c r="E164" s="0" t="n">
        <v>2268.78</v>
      </c>
      <c r="F164" s="15" t="s">
        <v>290</v>
      </c>
    </row>
    <row r="165" customFormat="false" ht="15" hidden="false" customHeight="false" outlineLevel="0" collapsed="false">
      <c r="A165" s="0" t="s">
        <v>3004</v>
      </c>
      <c r="B165" s="0" t="s">
        <v>2143</v>
      </c>
      <c r="C165" s="0" t="s">
        <v>180</v>
      </c>
      <c r="D165" s="14" t="n">
        <v>45895</v>
      </c>
      <c r="E165" s="0" t="n">
        <v>560.32</v>
      </c>
      <c r="F165" s="15" t="s">
        <v>292</v>
      </c>
    </row>
    <row r="166" customFormat="false" ht="15" hidden="false" customHeight="false" outlineLevel="0" collapsed="false">
      <c r="A166" s="0" t="s">
        <v>3005</v>
      </c>
      <c r="B166" s="0" t="s">
        <v>2144</v>
      </c>
      <c r="C166" s="0" t="s">
        <v>89</v>
      </c>
      <c r="D166" s="14" t="n">
        <v>46022</v>
      </c>
      <c r="E166" s="0" t="n">
        <v>2281.25</v>
      </c>
      <c r="F166" s="15" t="s">
        <v>302</v>
      </c>
    </row>
    <row r="167" customFormat="false" ht="15" hidden="false" customHeight="false" outlineLevel="0" collapsed="false">
      <c r="A167" s="0" t="s">
        <v>3006</v>
      </c>
      <c r="B167" s="0" t="s">
        <v>2145</v>
      </c>
      <c r="C167" s="0" t="s">
        <v>99</v>
      </c>
      <c r="D167" s="14" t="n">
        <v>46108</v>
      </c>
      <c r="E167" s="0" t="n">
        <v>795.03</v>
      </c>
      <c r="F167" s="15" t="s">
        <v>321</v>
      </c>
    </row>
    <row r="168" customFormat="false" ht="15" hidden="false" customHeight="false" outlineLevel="0" collapsed="false">
      <c r="A168" s="0" t="s">
        <v>3007</v>
      </c>
      <c r="B168" s="0" t="s">
        <v>2146</v>
      </c>
      <c r="C168" s="0" t="s">
        <v>195</v>
      </c>
      <c r="D168" s="14" t="n">
        <v>46047</v>
      </c>
      <c r="E168" s="0" t="n">
        <v>1829.81</v>
      </c>
      <c r="F168" s="15" t="s">
        <v>313</v>
      </c>
    </row>
    <row r="169" customFormat="false" ht="15" hidden="false" customHeight="false" outlineLevel="0" collapsed="false">
      <c r="A169" s="0" t="s">
        <v>3008</v>
      </c>
      <c r="B169" s="0" t="s">
        <v>2147</v>
      </c>
      <c r="C169" s="0" t="s">
        <v>131</v>
      </c>
      <c r="D169" s="14" t="n">
        <v>46089</v>
      </c>
      <c r="E169" s="0" t="n">
        <v>3612.23</v>
      </c>
      <c r="F169" s="15" t="s">
        <v>287</v>
      </c>
    </row>
    <row r="170" customFormat="false" ht="15" hidden="false" customHeight="false" outlineLevel="0" collapsed="false">
      <c r="A170" s="0" t="s">
        <v>3009</v>
      </c>
      <c r="B170" s="0" t="s">
        <v>2149</v>
      </c>
      <c r="C170" s="0" t="s">
        <v>99</v>
      </c>
      <c r="D170" s="14" t="n">
        <v>45789</v>
      </c>
      <c r="E170" s="0" t="n">
        <v>1825.14</v>
      </c>
      <c r="F170" s="15" t="s">
        <v>290</v>
      </c>
    </row>
    <row r="171" customFormat="false" ht="15" hidden="false" customHeight="false" outlineLevel="0" collapsed="false">
      <c r="A171" s="0" t="s">
        <v>3010</v>
      </c>
      <c r="B171" s="0" t="s">
        <v>2150</v>
      </c>
      <c r="C171" s="0" t="s">
        <v>146</v>
      </c>
      <c r="D171" s="14" t="n">
        <v>45684</v>
      </c>
      <c r="E171" s="0" t="n">
        <v>21706.69</v>
      </c>
      <c r="F171" s="15" t="s">
        <v>302</v>
      </c>
    </row>
    <row r="172" customFormat="false" ht="15" hidden="false" customHeight="false" outlineLevel="0" collapsed="false">
      <c r="A172" s="0" t="s">
        <v>3011</v>
      </c>
      <c r="B172" s="0" t="s">
        <v>2151</v>
      </c>
      <c r="C172" s="0" t="s">
        <v>112</v>
      </c>
      <c r="D172" s="14" t="n">
        <v>45778</v>
      </c>
      <c r="E172" s="0" t="n">
        <v>342.72</v>
      </c>
      <c r="F172" s="15" t="s">
        <v>321</v>
      </c>
    </row>
    <row r="173" customFormat="false" ht="15" hidden="false" customHeight="false" outlineLevel="0" collapsed="false">
      <c r="A173" s="0" t="s">
        <v>3012</v>
      </c>
      <c r="B173" s="0" t="s">
        <v>2152</v>
      </c>
      <c r="C173" s="0" t="s">
        <v>96</v>
      </c>
      <c r="D173" s="14" t="n">
        <v>45738</v>
      </c>
      <c r="E173" s="0" t="n">
        <v>781.51</v>
      </c>
      <c r="F173" s="15" t="s">
        <v>302</v>
      </c>
    </row>
    <row r="174" customFormat="false" ht="15" hidden="false" customHeight="false" outlineLevel="0" collapsed="false">
      <c r="A174" s="0" t="s">
        <v>3013</v>
      </c>
      <c r="B174" s="0" t="s">
        <v>2153</v>
      </c>
      <c r="C174" s="0" t="s">
        <v>143</v>
      </c>
      <c r="D174" s="14" t="n">
        <v>46055</v>
      </c>
      <c r="E174" s="0" t="n">
        <v>5652.95</v>
      </c>
      <c r="F174" s="15" t="s">
        <v>290</v>
      </c>
    </row>
    <row r="175" customFormat="false" ht="15" hidden="false" customHeight="false" outlineLevel="0" collapsed="false">
      <c r="A175" s="0" t="s">
        <v>3014</v>
      </c>
      <c r="B175" s="0" t="s">
        <v>2154</v>
      </c>
      <c r="C175" s="0" t="s">
        <v>109</v>
      </c>
      <c r="D175" s="14" t="n">
        <v>45996</v>
      </c>
      <c r="E175" s="0" t="n">
        <v>133.11</v>
      </c>
      <c r="F175" s="15" t="s">
        <v>321</v>
      </c>
    </row>
    <row r="176" customFormat="false" ht="15" hidden="false" customHeight="false" outlineLevel="0" collapsed="false">
      <c r="A176" s="0" t="s">
        <v>3015</v>
      </c>
      <c r="B176" s="0" t="s">
        <v>2155</v>
      </c>
      <c r="C176" s="0" t="s">
        <v>119</v>
      </c>
      <c r="D176" s="14" t="n">
        <v>45809</v>
      </c>
      <c r="E176" s="0" t="n">
        <v>17090.48</v>
      </c>
      <c r="F176" s="15" t="s">
        <v>287</v>
      </c>
    </row>
    <row r="177" customFormat="false" ht="15" hidden="false" customHeight="false" outlineLevel="0" collapsed="false">
      <c r="A177" s="0" t="s">
        <v>3016</v>
      </c>
      <c r="B177" s="0" t="s">
        <v>2156</v>
      </c>
      <c r="C177" s="0" t="s">
        <v>125</v>
      </c>
      <c r="D177" s="14" t="n">
        <v>46094</v>
      </c>
      <c r="E177" s="0" t="n">
        <v>8157.32</v>
      </c>
      <c r="F177" s="15" t="s">
        <v>321</v>
      </c>
    </row>
    <row r="178" customFormat="false" ht="15" hidden="false" customHeight="false" outlineLevel="0" collapsed="false">
      <c r="A178" s="0" t="s">
        <v>3017</v>
      </c>
      <c r="B178" s="0" t="s">
        <v>2157</v>
      </c>
      <c r="C178" s="0" t="s">
        <v>134</v>
      </c>
      <c r="D178" s="14" t="n">
        <v>46118</v>
      </c>
      <c r="E178" s="0" t="n">
        <v>547.49</v>
      </c>
      <c r="F178" s="15" t="s">
        <v>279</v>
      </c>
    </row>
    <row r="179" customFormat="false" ht="15" hidden="false" customHeight="false" outlineLevel="0" collapsed="false">
      <c r="A179" s="0" t="s">
        <v>3018</v>
      </c>
      <c r="B179" s="0" t="s">
        <v>2158</v>
      </c>
      <c r="C179" s="0" t="s">
        <v>189</v>
      </c>
      <c r="D179" s="14" t="n">
        <v>45769</v>
      </c>
      <c r="E179" s="0" t="n">
        <v>10027.78</v>
      </c>
      <c r="F179" s="15" t="s">
        <v>282</v>
      </c>
    </row>
    <row r="180" customFormat="false" ht="15" hidden="false" customHeight="false" outlineLevel="0" collapsed="false">
      <c r="A180" s="0" t="s">
        <v>3019</v>
      </c>
      <c r="B180" s="0" t="s">
        <v>2159</v>
      </c>
      <c r="C180" s="0" t="s">
        <v>174</v>
      </c>
      <c r="D180" s="14" t="n">
        <v>46034</v>
      </c>
      <c r="E180" s="0" t="n">
        <v>3961.93</v>
      </c>
      <c r="F180" s="15" t="s">
        <v>279</v>
      </c>
    </row>
    <row r="181" customFormat="false" ht="15" hidden="false" customHeight="false" outlineLevel="0" collapsed="false">
      <c r="A181" s="0" t="s">
        <v>3020</v>
      </c>
      <c r="B181" s="0" t="s">
        <v>2160</v>
      </c>
      <c r="C181" s="0" t="s">
        <v>189</v>
      </c>
      <c r="D181" s="14" t="n">
        <v>46082</v>
      </c>
      <c r="E181" s="0" t="n">
        <v>2554.75</v>
      </c>
      <c r="F181" s="15" t="s">
        <v>313</v>
      </c>
    </row>
    <row r="182" customFormat="false" ht="15" hidden="false" customHeight="false" outlineLevel="0" collapsed="false">
      <c r="A182" s="0" t="s">
        <v>3021</v>
      </c>
      <c r="B182" s="0" t="s">
        <v>2161</v>
      </c>
      <c r="C182" s="0" t="s">
        <v>189</v>
      </c>
      <c r="D182" s="14" t="n">
        <v>45739</v>
      </c>
      <c r="E182" s="0" t="n">
        <v>1471.18</v>
      </c>
      <c r="F182" s="15" t="s">
        <v>290</v>
      </c>
    </row>
    <row r="183" customFormat="false" ht="15" hidden="false" customHeight="false" outlineLevel="0" collapsed="false">
      <c r="A183" s="0" t="s">
        <v>3022</v>
      </c>
      <c r="B183" s="0" t="s">
        <v>2162</v>
      </c>
      <c r="C183" s="0" t="s">
        <v>93</v>
      </c>
      <c r="D183" s="14" t="n">
        <v>46143</v>
      </c>
      <c r="E183" s="0" t="n">
        <v>682.63</v>
      </c>
      <c r="F183" s="15" t="s">
        <v>279</v>
      </c>
    </row>
    <row r="184" customFormat="false" ht="15" hidden="false" customHeight="false" outlineLevel="0" collapsed="false">
      <c r="A184" s="0" t="s">
        <v>3023</v>
      </c>
      <c r="B184" s="0" t="s">
        <v>2164</v>
      </c>
      <c r="C184" s="0" t="s">
        <v>140</v>
      </c>
      <c r="D184" s="14" t="n">
        <v>45760</v>
      </c>
      <c r="E184" s="0" t="n">
        <v>7251.89</v>
      </c>
      <c r="F184" s="15" t="s">
        <v>282</v>
      </c>
    </row>
    <row r="185" customFormat="false" ht="15" hidden="false" customHeight="false" outlineLevel="0" collapsed="false">
      <c r="A185" s="0" t="s">
        <v>3024</v>
      </c>
      <c r="B185" s="0" t="s">
        <v>2165</v>
      </c>
      <c r="C185" s="0" t="s">
        <v>104</v>
      </c>
      <c r="D185" s="14" t="n">
        <v>45708</v>
      </c>
      <c r="E185" s="0" t="n">
        <v>4929.33</v>
      </c>
      <c r="F185" s="15" t="s">
        <v>287</v>
      </c>
    </row>
    <row r="186" customFormat="false" ht="15" hidden="false" customHeight="false" outlineLevel="0" collapsed="false">
      <c r="A186" s="0" t="s">
        <v>3025</v>
      </c>
      <c r="B186" s="0" t="s">
        <v>2167</v>
      </c>
      <c r="C186" s="0" t="s">
        <v>89</v>
      </c>
      <c r="D186" s="14" t="n">
        <v>46058</v>
      </c>
      <c r="E186" s="0" t="n">
        <v>1074.95</v>
      </c>
      <c r="F186" s="15" t="s">
        <v>313</v>
      </c>
    </row>
    <row r="187" customFormat="false" ht="15" hidden="false" customHeight="false" outlineLevel="0" collapsed="false">
      <c r="A187" s="0" t="s">
        <v>3026</v>
      </c>
      <c r="B187" s="0" t="s">
        <v>2169</v>
      </c>
      <c r="C187" s="0" t="s">
        <v>183</v>
      </c>
      <c r="D187" s="14" t="n">
        <v>45929</v>
      </c>
      <c r="E187" s="0" t="n">
        <v>759.35</v>
      </c>
      <c r="F187" s="15" t="s">
        <v>290</v>
      </c>
    </row>
    <row r="188" customFormat="false" ht="15" hidden="false" customHeight="false" outlineLevel="0" collapsed="false">
      <c r="A188" s="0" t="s">
        <v>3027</v>
      </c>
      <c r="B188" s="0" t="s">
        <v>2170</v>
      </c>
      <c r="C188" s="0" t="s">
        <v>171</v>
      </c>
      <c r="D188" s="14" t="n">
        <v>46056</v>
      </c>
      <c r="E188" s="0" t="n">
        <v>2745.78</v>
      </c>
      <c r="F188" s="15" t="s">
        <v>313</v>
      </c>
    </row>
    <row r="189" customFormat="false" ht="15" hidden="false" customHeight="false" outlineLevel="0" collapsed="false">
      <c r="A189" s="0" t="s">
        <v>3028</v>
      </c>
      <c r="B189" s="0" t="s">
        <v>2171</v>
      </c>
      <c r="C189" s="0" t="s">
        <v>112</v>
      </c>
      <c r="D189" s="14" t="n">
        <v>45713</v>
      </c>
      <c r="E189" s="0" t="n">
        <v>1562.55</v>
      </c>
      <c r="F189" s="15" t="s">
        <v>282</v>
      </c>
    </row>
    <row r="190" customFormat="false" ht="15" hidden="false" customHeight="false" outlineLevel="0" collapsed="false">
      <c r="A190" s="0" t="s">
        <v>3029</v>
      </c>
      <c r="B190" s="0" t="s">
        <v>2172</v>
      </c>
      <c r="C190" s="0" t="s">
        <v>140</v>
      </c>
      <c r="D190" s="14" t="n">
        <v>46072</v>
      </c>
      <c r="E190" s="0" t="n">
        <v>1854.08</v>
      </c>
      <c r="F190" s="15" t="s">
        <v>292</v>
      </c>
    </row>
    <row r="191" customFormat="false" ht="15" hidden="false" customHeight="false" outlineLevel="0" collapsed="false">
      <c r="A191" s="0" t="s">
        <v>3030</v>
      </c>
      <c r="B191" s="0" t="s">
        <v>2173</v>
      </c>
      <c r="C191" s="0" t="s">
        <v>125</v>
      </c>
      <c r="D191" s="14" t="n">
        <v>46035</v>
      </c>
      <c r="E191" s="0" t="n">
        <v>4069.45</v>
      </c>
      <c r="F191" s="15" t="s">
        <v>321</v>
      </c>
    </row>
    <row r="192" customFormat="false" ht="15" hidden="false" customHeight="false" outlineLevel="0" collapsed="false">
      <c r="A192" s="0" t="s">
        <v>3031</v>
      </c>
      <c r="B192" s="0" t="s">
        <v>2174</v>
      </c>
      <c r="C192" s="0" t="s">
        <v>84</v>
      </c>
      <c r="D192" s="14" t="n">
        <v>45737</v>
      </c>
      <c r="E192" s="0" t="n">
        <v>2117.88</v>
      </c>
      <c r="F192" s="15" t="s">
        <v>313</v>
      </c>
    </row>
    <row r="193" customFormat="false" ht="15" hidden="false" customHeight="false" outlineLevel="0" collapsed="false">
      <c r="A193" s="0" t="s">
        <v>3032</v>
      </c>
      <c r="B193" s="0" t="s">
        <v>2175</v>
      </c>
      <c r="C193" s="0" t="s">
        <v>84</v>
      </c>
      <c r="D193" s="14" t="n">
        <v>45739</v>
      </c>
      <c r="E193" s="0" t="n">
        <v>2117.88</v>
      </c>
      <c r="F193" s="15" t="s">
        <v>302</v>
      </c>
    </row>
    <row r="194" customFormat="false" ht="15" hidden="false" customHeight="false" outlineLevel="0" collapsed="false">
      <c r="A194" s="0" t="s">
        <v>3033</v>
      </c>
      <c r="B194" s="0" t="s">
        <v>2176</v>
      </c>
      <c r="C194" s="0" t="s">
        <v>70</v>
      </c>
      <c r="D194" s="14" t="n">
        <v>46135</v>
      </c>
      <c r="E194" s="0" t="n">
        <v>266.54</v>
      </c>
      <c r="F194" s="15" t="s">
        <v>292</v>
      </c>
    </row>
    <row r="195" customFormat="false" ht="15" hidden="false" customHeight="false" outlineLevel="0" collapsed="false">
      <c r="A195" s="0" t="s">
        <v>3034</v>
      </c>
      <c r="B195" s="0" t="s">
        <v>2177</v>
      </c>
      <c r="C195" s="0" t="s">
        <v>70</v>
      </c>
      <c r="D195" s="14" t="n">
        <v>46093</v>
      </c>
      <c r="E195" s="0" t="n">
        <v>266.54</v>
      </c>
      <c r="F195" s="15" t="s">
        <v>282</v>
      </c>
    </row>
    <row r="196" customFormat="false" ht="15" hidden="false" customHeight="false" outlineLevel="0" collapsed="false">
      <c r="A196" s="0" t="s">
        <v>3035</v>
      </c>
      <c r="B196" s="0" t="s">
        <v>2178</v>
      </c>
      <c r="C196" s="0" t="s">
        <v>128</v>
      </c>
      <c r="D196" s="14" t="n">
        <v>46170</v>
      </c>
      <c r="E196" s="0" t="n">
        <v>1071.3</v>
      </c>
      <c r="F196" s="15" t="s">
        <v>321</v>
      </c>
    </row>
    <row r="197" customFormat="false" ht="15" hidden="false" customHeight="false" outlineLevel="0" collapsed="false">
      <c r="A197" s="0" t="s">
        <v>3036</v>
      </c>
      <c r="B197" s="0" t="s">
        <v>2179</v>
      </c>
      <c r="C197" s="0" t="s">
        <v>128</v>
      </c>
      <c r="D197" s="14" t="n">
        <v>46019</v>
      </c>
      <c r="E197" s="0" t="n">
        <v>728.71</v>
      </c>
      <c r="F197" s="15" t="s">
        <v>313</v>
      </c>
    </row>
    <row r="198" customFormat="false" ht="15" hidden="false" customHeight="false" outlineLevel="0" collapsed="false">
      <c r="A198" s="0" t="s">
        <v>3037</v>
      </c>
      <c r="B198" s="0" t="s">
        <v>2180</v>
      </c>
      <c r="C198" s="0" t="s">
        <v>149</v>
      </c>
      <c r="D198" s="14" t="n">
        <v>45773</v>
      </c>
      <c r="E198" s="0" t="n">
        <v>3728.38</v>
      </c>
      <c r="F198" s="15" t="s">
        <v>287</v>
      </c>
    </row>
    <row r="199" customFormat="false" ht="15" hidden="false" customHeight="false" outlineLevel="0" collapsed="false">
      <c r="A199" s="0" t="s">
        <v>3038</v>
      </c>
      <c r="B199" s="0" t="s">
        <v>2181</v>
      </c>
      <c r="C199" s="0" t="s">
        <v>128</v>
      </c>
      <c r="D199" s="14" t="n">
        <v>46204</v>
      </c>
      <c r="E199" s="0" t="n">
        <v>5712.19</v>
      </c>
      <c r="F199" s="15" t="s">
        <v>282</v>
      </c>
    </row>
    <row r="200" customFormat="false" ht="15" hidden="false" customHeight="false" outlineLevel="0" collapsed="false">
      <c r="A200" s="0" t="s">
        <v>3039</v>
      </c>
      <c r="B200" s="0" t="s">
        <v>2183</v>
      </c>
      <c r="C200" s="0" t="s">
        <v>134</v>
      </c>
      <c r="D200" s="14" t="n">
        <v>45872</v>
      </c>
      <c r="E200" s="0" t="n">
        <v>1442.03</v>
      </c>
      <c r="F200" s="15" t="s">
        <v>287</v>
      </c>
    </row>
    <row r="201" customFormat="false" ht="15" hidden="false" customHeight="false" outlineLevel="0" collapsed="false">
      <c r="A201" s="0" t="s">
        <v>3040</v>
      </c>
      <c r="B201" s="0" t="s">
        <v>2184</v>
      </c>
      <c r="C201" s="0" t="s">
        <v>96</v>
      </c>
      <c r="D201" s="14" t="n">
        <v>45904</v>
      </c>
      <c r="E201" s="0" t="n">
        <v>14974.83</v>
      </c>
      <c r="F201" s="15" t="s">
        <v>292</v>
      </c>
    </row>
    <row r="202" customFormat="false" ht="15" hidden="false" customHeight="false" outlineLevel="0" collapsed="false">
      <c r="A202" s="0" t="s">
        <v>3041</v>
      </c>
      <c r="B202" s="0" t="s">
        <v>2185</v>
      </c>
      <c r="C202" s="0" t="s">
        <v>177</v>
      </c>
      <c r="D202" s="14" t="n">
        <v>45900</v>
      </c>
      <c r="E202" s="0" t="n">
        <v>877.63</v>
      </c>
      <c r="F202" s="15" t="s">
        <v>290</v>
      </c>
    </row>
    <row r="203" customFormat="false" ht="15" hidden="false" customHeight="false" outlineLevel="0" collapsed="false">
      <c r="A203" s="0" t="s">
        <v>3042</v>
      </c>
      <c r="B203" s="0" t="s">
        <v>2186</v>
      </c>
      <c r="C203" s="0" t="s">
        <v>180</v>
      </c>
      <c r="D203" s="14" t="n">
        <v>45991</v>
      </c>
      <c r="E203" s="0" t="n">
        <v>2542.66</v>
      </c>
      <c r="F203" s="15" t="s">
        <v>292</v>
      </c>
    </row>
    <row r="204" customFormat="false" ht="15" hidden="false" customHeight="false" outlineLevel="0" collapsed="false">
      <c r="A204" s="0" t="s">
        <v>3043</v>
      </c>
      <c r="B204" s="0" t="s">
        <v>2187</v>
      </c>
      <c r="C204" s="0" t="s">
        <v>96</v>
      </c>
      <c r="D204" s="14" t="n">
        <v>45882</v>
      </c>
      <c r="E204" s="0" t="n">
        <v>3210.01</v>
      </c>
      <c r="F204" s="15" t="s">
        <v>292</v>
      </c>
    </row>
    <row r="205" customFormat="false" ht="15" hidden="false" customHeight="false" outlineLevel="0" collapsed="false">
      <c r="A205" s="0" t="s">
        <v>3044</v>
      </c>
      <c r="B205" s="0" t="s">
        <v>2189</v>
      </c>
      <c r="C205" s="0" t="s">
        <v>89</v>
      </c>
      <c r="D205" s="14" t="n">
        <v>46123</v>
      </c>
      <c r="E205" s="0" t="n">
        <v>4612.25</v>
      </c>
      <c r="F205" s="15" t="s">
        <v>302</v>
      </c>
    </row>
    <row r="206" customFormat="false" ht="15" hidden="false" customHeight="false" outlineLevel="0" collapsed="false">
      <c r="A206" s="0" t="s">
        <v>3045</v>
      </c>
      <c r="B206" s="0" t="s">
        <v>2190</v>
      </c>
      <c r="C206" s="0" t="s">
        <v>174</v>
      </c>
      <c r="D206" s="14" t="n">
        <v>45762</v>
      </c>
      <c r="E206" s="0" t="n">
        <v>884.17</v>
      </c>
      <c r="F206" s="15" t="s">
        <v>290</v>
      </c>
    </row>
    <row r="207" customFormat="false" ht="15" hidden="false" customHeight="false" outlineLevel="0" collapsed="false">
      <c r="A207" s="0" t="s">
        <v>3046</v>
      </c>
      <c r="B207" s="0" t="s">
        <v>2192</v>
      </c>
      <c r="C207" s="0" t="s">
        <v>140</v>
      </c>
      <c r="D207" s="14" t="n">
        <v>46041</v>
      </c>
      <c r="E207" s="0" t="n">
        <v>1486.84</v>
      </c>
      <c r="F207" s="15" t="s">
        <v>292</v>
      </c>
    </row>
    <row r="208" customFormat="false" ht="15" hidden="false" customHeight="false" outlineLevel="0" collapsed="false">
      <c r="A208" s="0" t="s">
        <v>3047</v>
      </c>
      <c r="B208" s="0" t="s">
        <v>2193</v>
      </c>
      <c r="C208" s="0" t="s">
        <v>140</v>
      </c>
      <c r="D208" s="14" t="n">
        <v>46011</v>
      </c>
      <c r="E208" s="0" t="n">
        <v>1741.37</v>
      </c>
      <c r="F208" s="15" t="s">
        <v>321</v>
      </c>
    </row>
    <row r="209" customFormat="false" ht="15" hidden="false" customHeight="false" outlineLevel="0" collapsed="false">
      <c r="A209" s="0" t="s">
        <v>3048</v>
      </c>
      <c r="B209" s="0" t="s">
        <v>2194</v>
      </c>
      <c r="C209" s="0" t="s">
        <v>171</v>
      </c>
      <c r="D209" s="14" t="n">
        <v>46133</v>
      </c>
      <c r="E209" s="0" t="n">
        <v>201.48</v>
      </c>
      <c r="F209" s="15" t="s">
        <v>313</v>
      </c>
    </row>
    <row r="210" customFormat="false" ht="15" hidden="false" customHeight="false" outlineLevel="0" collapsed="false">
      <c r="A210" s="0" t="s">
        <v>3049</v>
      </c>
      <c r="B210" s="0" t="s">
        <v>2195</v>
      </c>
      <c r="C210" s="0" t="s">
        <v>186</v>
      </c>
      <c r="D210" s="14" t="n">
        <v>46059</v>
      </c>
      <c r="E210" s="0" t="n">
        <v>4326.08</v>
      </c>
      <c r="F210" s="15" t="s">
        <v>313</v>
      </c>
    </row>
    <row r="211" customFormat="false" ht="15" hidden="false" customHeight="false" outlineLevel="0" collapsed="false">
      <c r="A211" s="0" t="s">
        <v>3050</v>
      </c>
      <c r="B211" s="0" t="s">
        <v>2196</v>
      </c>
      <c r="C211" s="0" t="s">
        <v>119</v>
      </c>
      <c r="D211" s="14" t="n">
        <v>45908</v>
      </c>
      <c r="E211" s="0" t="n">
        <v>1933.86</v>
      </c>
      <c r="F211" s="15" t="s">
        <v>292</v>
      </c>
    </row>
    <row r="212" customFormat="false" ht="15" hidden="false" customHeight="false" outlineLevel="0" collapsed="false">
      <c r="A212" s="0" t="s">
        <v>3051</v>
      </c>
      <c r="B212" s="0" t="s">
        <v>2197</v>
      </c>
      <c r="C212" s="0" t="s">
        <v>89</v>
      </c>
      <c r="D212" s="14" t="n">
        <v>46076</v>
      </c>
      <c r="E212" s="0" t="n">
        <v>301.96</v>
      </c>
      <c r="F212" s="15" t="s">
        <v>292</v>
      </c>
    </row>
    <row r="213" customFormat="false" ht="15" hidden="false" customHeight="false" outlineLevel="0" collapsed="false">
      <c r="A213" s="0" t="s">
        <v>3052</v>
      </c>
      <c r="B213" s="0" t="s">
        <v>2199</v>
      </c>
      <c r="C213" s="0" t="s">
        <v>195</v>
      </c>
      <c r="D213" s="14" t="n">
        <v>45845</v>
      </c>
      <c r="E213" s="0" t="n">
        <v>594.08</v>
      </c>
      <c r="F213" s="15" t="s">
        <v>302</v>
      </c>
    </row>
    <row r="214" customFormat="false" ht="15" hidden="false" customHeight="false" outlineLevel="0" collapsed="false">
      <c r="A214" s="0" t="s">
        <v>3053</v>
      </c>
      <c r="B214" s="0" t="s">
        <v>2200</v>
      </c>
      <c r="C214" s="0" t="s">
        <v>96</v>
      </c>
      <c r="D214" s="14" t="n">
        <v>46119</v>
      </c>
      <c r="E214" s="0" t="n">
        <v>4409.64</v>
      </c>
      <c r="F214" s="15" t="s">
        <v>292</v>
      </c>
    </row>
    <row r="215" customFormat="false" ht="15" hidden="false" customHeight="false" outlineLevel="0" collapsed="false">
      <c r="A215" s="0" t="s">
        <v>3054</v>
      </c>
      <c r="B215" s="0" t="s">
        <v>2201</v>
      </c>
      <c r="C215" s="0" t="s">
        <v>140</v>
      </c>
      <c r="D215" s="14" t="n">
        <v>45988</v>
      </c>
      <c r="E215" s="0" t="n">
        <v>1370.36</v>
      </c>
      <c r="F215" s="15" t="s">
        <v>287</v>
      </c>
    </row>
    <row r="216" customFormat="false" ht="15" hidden="false" customHeight="false" outlineLevel="0" collapsed="false">
      <c r="A216" s="0" t="s">
        <v>3055</v>
      </c>
      <c r="B216" s="0" t="s">
        <v>2202</v>
      </c>
      <c r="C216" s="0" t="s">
        <v>174</v>
      </c>
      <c r="D216" s="14" t="n">
        <v>45933</v>
      </c>
      <c r="E216" s="0" t="n">
        <v>480.9</v>
      </c>
      <c r="F216" s="15" t="s">
        <v>302</v>
      </c>
    </row>
    <row r="217" customFormat="false" ht="15" hidden="false" customHeight="false" outlineLevel="0" collapsed="false">
      <c r="A217" s="0" t="s">
        <v>3056</v>
      </c>
      <c r="B217" s="0" t="s">
        <v>2203</v>
      </c>
      <c r="C217" s="0" t="s">
        <v>152</v>
      </c>
      <c r="D217" s="14" t="n">
        <v>45930</v>
      </c>
      <c r="E217" s="0" t="n">
        <v>728.26</v>
      </c>
      <c r="F217" s="15" t="s">
        <v>290</v>
      </c>
    </row>
    <row r="218" customFormat="false" ht="15" hidden="false" customHeight="false" outlineLevel="0" collapsed="false">
      <c r="A218" s="0" t="s">
        <v>3057</v>
      </c>
      <c r="B218" s="0" t="s">
        <v>2204</v>
      </c>
      <c r="C218" s="0" t="s">
        <v>186</v>
      </c>
      <c r="D218" s="14" t="n">
        <v>46096</v>
      </c>
      <c r="E218" s="0" t="n">
        <v>4217.99</v>
      </c>
      <c r="F218" s="15" t="s">
        <v>292</v>
      </c>
    </row>
    <row r="219" customFormat="false" ht="15" hidden="false" customHeight="false" outlineLevel="0" collapsed="false">
      <c r="A219" s="0" t="s">
        <v>3058</v>
      </c>
      <c r="B219" s="0" t="s">
        <v>2206</v>
      </c>
      <c r="C219" s="0" t="s">
        <v>96</v>
      </c>
      <c r="D219" s="14" t="n">
        <v>46160</v>
      </c>
      <c r="E219" s="0" t="n">
        <v>2055.39</v>
      </c>
      <c r="F219" s="15" t="s">
        <v>313</v>
      </c>
    </row>
    <row r="220" customFormat="false" ht="15" hidden="false" customHeight="false" outlineLevel="0" collapsed="false">
      <c r="A220" s="0" t="s">
        <v>3059</v>
      </c>
      <c r="B220" s="0" t="s">
        <v>2207</v>
      </c>
      <c r="C220" s="0" t="s">
        <v>137</v>
      </c>
      <c r="D220" s="14" t="n">
        <v>46135</v>
      </c>
      <c r="E220" s="0" t="n">
        <v>207.67</v>
      </c>
      <c r="F220" s="15" t="s">
        <v>279</v>
      </c>
    </row>
    <row r="221" customFormat="false" ht="15" hidden="false" customHeight="false" outlineLevel="0" collapsed="false">
      <c r="A221" s="0" t="s">
        <v>3060</v>
      </c>
      <c r="B221" s="0" t="s">
        <v>2208</v>
      </c>
      <c r="C221" s="0" t="s">
        <v>149</v>
      </c>
      <c r="D221" s="14" t="n">
        <v>45762</v>
      </c>
      <c r="E221" s="0" t="n">
        <v>1766.28</v>
      </c>
      <c r="F221" s="15" t="s">
        <v>313</v>
      </c>
    </row>
    <row r="222" customFormat="false" ht="15" hidden="false" customHeight="false" outlineLevel="0" collapsed="false">
      <c r="A222" s="0" t="s">
        <v>3061</v>
      </c>
      <c r="B222" s="0" t="s">
        <v>2209</v>
      </c>
      <c r="C222" s="0" t="s">
        <v>189</v>
      </c>
      <c r="D222" s="14" t="n">
        <v>46190</v>
      </c>
      <c r="E222" s="0" t="n">
        <v>1408.36</v>
      </c>
      <c r="F222" s="15" t="s">
        <v>287</v>
      </c>
    </row>
    <row r="223" customFormat="false" ht="15" hidden="false" customHeight="false" outlineLevel="0" collapsed="false">
      <c r="A223" s="0" t="s">
        <v>3062</v>
      </c>
      <c r="B223" s="0" t="s">
        <v>2210</v>
      </c>
      <c r="C223" s="0" t="s">
        <v>171</v>
      </c>
      <c r="D223" s="14" t="n">
        <v>45816</v>
      </c>
      <c r="E223" s="0" t="n">
        <v>1546.99</v>
      </c>
      <c r="F223" s="15" t="s">
        <v>313</v>
      </c>
    </row>
    <row r="224" customFormat="false" ht="15" hidden="false" customHeight="false" outlineLevel="0" collapsed="false">
      <c r="A224" s="0" t="s">
        <v>3063</v>
      </c>
      <c r="B224" s="0" t="s">
        <v>2210</v>
      </c>
      <c r="C224" s="0" t="s">
        <v>171</v>
      </c>
      <c r="D224" s="14" t="n">
        <v>45824</v>
      </c>
      <c r="E224" s="0" t="n">
        <v>1546.99</v>
      </c>
      <c r="F224" s="15" t="s">
        <v>302</v>
      </c>
    </row>
    <row r="225" customFormat="false" ht="15" hidden="false" customHeight="false" outlineLevel="0" collapsed="false">
      <c r="A225" s="0" t="s">
        <v>3064</v>
      </c>
      <c r="B225" s="0" t="s">
        <v>2211</v>
      </c>
      <c r="C225" s="0" t="s">
        <v>201</v>
      </c>
      <c r="D225" s="14" t="n">
        <v>45954</v>
      </c>
      <c r="E225" s="0" t="n">
        <v>5615.74</v>
      </c>
      <c r="F225" s="15" t="s">
        <v>321</v>
      </c>
    </row>
    <row r="226" customFormat="false" ht="15" hidden="false" customHeight="false" outlineLevel="0" collapsed="false">
      <c r="A226" s="0" t="s">
        <v>3065</v>
      </c>
      <c r="B226" s="0" t="s">
        <v>2212</v>
      </c>
      <c r="C226" s="0" t="s">
        <v>183</v>
      </c>
      <c r="D226" s="14" t="n">
        <v>46044</v>
      </c>
      <c r="E226" s="0" t="n">
        <v>3821.71</v>
      </c>
      <c r="F226" s="15" t="s">
        <v>302</v>
      </c>
    </row>
    <row r="227" customFormat="false" ht="15" hidden="false" customHeight="false" outlineLevel="0" collapsed="false">
      <c r="A227" s="0" t="s">
        <v>3066</v>
      </c>
      <c r="B227" s="0" t="s">
        <v>2213</v>
      </c>
      <c r="C227" s="0" t="s">
        <v>99</v>
      </c>
      <c r="D227" s="14" t="n">
        <v>45881</v>
      </c>
      <c r="E227" s="0" t="n">
        <v>943.22</v>
      </c>
      <c r="F227" s="15" t="s">
        <v>302</v>
      </c>
    </row>
    <row r="228" customFormat="false" ht="15" hidden="false" customHeight="false" outlineLevel="0" collapsed="false">
      <c r="A228" s="0" t="s">
        <v>3067</v>
      </c>
      <c r="B228" s="0" t="s">
        <v>2214</v>
      </c>
      <c r="C228" s="0" t="s">
        <v>174</v>
      </c>
      <c r="D228" s="14" t="n">
        <v>45695</v>
      </c>
      <c r="E228" s="0" t="n">
        <v>618.31</v>
      </c>
      <c r="F228" s="15" t="s">
        <v>302</v>
      </c>
    </row>
    <row r="229" customFormat="false" ht="15" hidden="false" customHeight="false" outlineLevel="0" collapsed="false">
      <c r="A229" s="0" t="s">
        <v>3068</v>
      </c>
      <c r="B229" s="0" t="s">
        <v>2215</v>
      </c>
      <c r="C229" s="0" t="s">
        <v>195</v>
      </c>
      <c r="D229" s="14" t="n">
        <v>46179</v>
      </c>
      <c r="E229" s="0" t="n">
        <v>17214.28</v>
      </c>
      <c r="F229" s="15" t="s">
        <v>321</v>
      </c>
    </row>
    <row r="230" customFormat="false" ht="15" hidden="false" customHeight="false" outlineLevel="0" collapsed="false">
      <c r="A230" s="0" t="s">
        <v>3069</v>
      </c>
      <c r="B230" s="0" t="s">
        <v>2217</v>
      </c>
      <c r="C230" s="0" t="s">
        <v>140</v>
      </c>
      <c r="D230" s="14" t="n">
        <v>45827</v>
      </c>
      <c r="E230" s="0" t="n">
        <v>1164.57</v>
      </c>
      <c r="F230" s="15" t="s">
        <v>302</v>
      </c>
    </row>
    <row r="231" customFormat="false" ht="15" hidden="false" customHeight="false" outlineLevel="0" collapsed="false">
      <c r="A231" s="0" t="s">
        <v>3070</v>
      </c>
      <c r="B231" s="0" t="s">
        <v>2219</v>
      </c>
      <c r="C231" s="0" t="s">
        <v>171</v>
      </c>
      <c r="D231" s="14" t="n">
        <v>45876</v>
      </c>
      <c r="E231" s="0" t="n">
        <v>1150.99</v>
      </c>
      <c r="F231" s="15" t="s">
        <v>321</v>
      </c>
    </row>
    <row r="232" customFormat="false" ht="15" hidden="false" customHeight="false" outlineLevel="0" collapsed="false">
      <c r="A232" s="0" t="s">
        <v>3071</v>
      </c>
      <c r="B232" s="0" t="s">
        <v>2220</v>
      </c>
      <c r="C232" s="0" t="s">
        <v>171</v>
      </c>
      <c r="D232" s="14" t="n">
        <v>45865</v>
      </c>
      <c r="E232" s="0" t="n">
        <v>1219.73</v>
      </c>
      <c r="F232" s="15" t="s">
        <v>287</v>
      </c>
    </row>
    <row r="233" customFormat="false" ht="15" hidden="false" customHeight="false" outlineLevel="0" collapsed="false">
      <c r="A233" s="0" t="s">
        <v>3072</v>
      </c>
      <c r="B233" s="0" t="s">
        <v>2220</v>
      </c>
      <c r="C233" s="0" t="s">
        <v>171</v>
      </c>
      <c r="D233" s="14" t="n">
        <v>45866</v>
      </c>
      <c r="E233" s="0" t="n">
        <v>1219.73</v>
      </c>
      <c r="F233" s="15" t="s">
        <v>313</v>
      </c>
    </row>
    <row r="234" customFormat="false" ht="15" hidden="false" customHeight="false" outlineLevel="0" collapsed="false">
      <c r="A234" s="0" t="s">
        <v>3073</v>
      </c>
      <c r="B234" s="0" t="s">
        <v>2221</v>
      </c>
      <c r="C234" s="0" t="s">
        <v>96</v>
      </c>
      <c r="D234" s="14" t="n">
        <v>46171</v>
      </c>
      <c r="E234" s="0" t="n">
        <v>2121.27</v>
      </c>
      <c r="F234" s="15" t="s">
        <v>282</v>
      </c>
    </row>
    <row r="235" customFormat="false" ht="15" hidden="false" customHeight="false" outlineLevel="0" collapsed="false">
      <c r="A235" s="0" t="s">
        <v>3074</v>
      </c>
      <c r="B235" s="0" t="s">
        <v>2222</v>
      </c>
      <c r="C235" s="0" t="s">
        <v>99</v>
      </c>
      <c r="D235" s="14" t="n">
        <v>46057</v>
      </c>
      <c r="E235" s="0" t="n">
        <v>782.81</v>
      </c>
      <c r="F235" s="15" t="s">
        <v>292</v>
      </c>
    </row>
    <row r="236" customFormat="false" ht="15" hidden="false" customHeight="false" outlineLevel="0" collapsed="false">
      <c r="A236" s="0" t="s">
        <v>3075</v>
      </c>
      <c r="B236" s="0" t="s">
        <v>2223</v>
      </c>
      <c r="C236" s="0" t="s">
        <v>96</v>
      </c>
      <c r="D236" s="14" t="n">
        <v>45847</v>
      </c>
      <c r="E236" s="0" t="n">
        <v>231.64</v>
      </c>
      <c r="F236" s="15" t="s">
        <v>290</v>
      </c>
    </row>
    <row r="237" customFormat="false" ht="15" hidden="false" customHeight="false" outlineLevel="0" collapsed="false">
      <c r="A237" s="0" t="s">
        <v>3076</v>
      </c>
      <c r="B237" s="0" t="s">
        <v>2224</v>
      </c>
      <c r="C237" s="0" t="s">
        <v>143</v>
      </c>
      <c r="D237" s="14" t="n">
        <v>45706</v>
      </c>
      <c r="E237" s="0" t="n">
        <v>585.14</v>
      </c>
      <c r="F237" s="15" t="s">
        <v>282</v>
      </c>
    </row>
    <row r="238" customFormat="false" ht="15" hidden="false" customHeight="false" outlineLevel="0" collapsed="false">
      <c r="A238" s="0" t="s">
        <v>3077</v>
      </c>
      <c r="B238" s="0" t="s">
        <v>2225</v>
      </c>
      <c r="C238" s="0" t="s">
        <v>146</v>
      </c>
      <c r="D238" s="14" t="n">
        <v>46178</v>
      </c>
      <c r="E238" s="0" t="n">
        <v>2715.46</v>
      </c>
      <c r="F238" s="15" t="s">
        <v>290</v>
      </c>
    </row>
    <row r="239" customFormat="false" ht="15" hidden="false" customHeight="false" outlineLevel="0" collapsed="false">
      <c r="A239" s="0" t="s">
        <v>3078</v>
      </c>
      <c r="B239" s="0" t="s">
        <v>2227</v>
      </c>
      <c r="C239" s="0" t="s">
        <v>146</v>
      </c>
      <c r="D239" s="14" t="n">
        <v>46074</v>
      </c>
      <c r="E239" s="0" t="n">
        <v>5917.43</v>
      </c>
      <c r="F239" s="15" t="s">
        <v>292</v>
      </c>
    </row>
    <row r="240" customFormat="false" ht="15" hidden="false" customHeight="false" outlineLevel="0" collapsed="false">
      <c r="A240" s="0" t="s">
        <v>3079</v>
      </c>
      <c r="B240" s="0" t="s">
        <v>2228</v>
      </c>
      <c r="C240" s="0" t="s">
        <v>80</v>
      </c>
      <c r="D240" s="14" t="n">
        <v>45967</v>
      </c>
      <c r="E240" s="0" t="n">
        <v>866.85</v>
      </c>
      <c r="F240" s="15" t="s">
        <v>279</v>
      </c>
    </row>
    <row r="241" customFormat="false" ht="15" hidden="false" customHeight="false" outlineLevel="0" collapsed="false">
      <c r="A241" s="0" t="s">
        <v>3080</v>
      </c>
      <c r="B241" s="0" t="s">
        <v>2229</v>
      </c>
      <c r="C241" s="0" t="s">
        <v>131</v>
      </c>
      <c r="D241" s="14" t="n">
        <v>46116</v>
      </c>
      <c r="E241" s="0" t="n">
        <v>5943.52</v>
      </c>
      <c r="F241" s="15" t="s">
        <v>279</v>
      </c>
    </row>
    <row r="242" customFormat="false" ht="15" hidden="false" customHeight="false" outlineLevel="0" collapsed="false">
      <c r="A242" s="0" t="s">
        <v>3081</v>
      </c>
      <c r="B242" s="0" t="s">
        <v>2230</v>
      </c>
      <c r="C242" s="0" t="s">
        <v>128</v>
      </c>
      <c r="D242" s="14" t="n">
        <v>46075</v>
      </c>
      <c r="E242" s="0" t="n">
        <v>2495.51</v>
      </c>
      <c r="F242" s="15" t="s">
        <v>292</v>
      </c>
    </row>
    <row r="243" customFormat="false" ht="15" hidden="false" customHeight="false" outlineLevel="0" collapsed="false">
      <c r="A243" s="0" t="s">
        <v>3082</v>
      </c>
      <c r="B243" s="0" t="s">
        <v>2232</v>
      </c>
      <c r="C243" s="0" t="s">
        <v>186</v>
      </c>
      <c r="D243" s="14" t="n">
        <v>45944</v>
      </c>
      <c r="E243" s="0" t="n">
        <v>1274.7</v>
      </c>
      <c r="F243" s="15" t="s">
        <v>292</v>
      </c>
    </row>
    <row r="244" customFormat="false" ht="15" hidden="false" customHeight="false" outlineLevel="0" collapsed="false">
      <c r="A244" s="0" t="s">
        <v>3083</v>
      </c>
      <c r="B244" s="0" t="s">
        <v>2233</v>
      </c>
      <c r="C244" s="0" t="s">
        <v>80</v>
      </c>
      <c r="D244" s="14" t="n">
        <v>46141</v>
      </c>
      <c r="E244" s="0" t="n">
        <v>2055.42</v>
      </c>
      <c r="F244" s="15" t="s">
        <v>290</v>
      </c>
    </row>
    <row r="245" customFormat="false" ht="15" hidden="false" customHeight="false" outlineLevel="0" collapsed="false">
      <c r="A245" s="0" t="s">
        <v>3084</v>
      </c>
      <c r="B245" s="0" t="s">
        <v>2234</v>
      </c>
      <c r="C245" s="0" t="s">
        <v>116</v>
      </c>
      <c r="D245" s="14" t="n">
        <v>45743</v>
      </c>
      <c r="E245" s="0" t="n">
        <v>8984.32</v>
      </c>
      <c r="F245" s="15" t="s">
        <v>313</v>
      </c>
    </row>
    <row r="246" customFormat="false" ht="15" hidden="false" customHeight="false" outlineLevel="0" collapsed="false">
      <c r="A246" s="0" t="s">
        <v>3085</v>
      </c>
      <c r="B246" s="0" t="s">
        <v>2235</v>
      </c>
      <c r="C246" s="0" t="s">
        <v>146</v>
      </c>
      <c r="D246" s="14" t="n">
        <v>45805</v>
      </c>
      <c r="E246" s="0" t="n">
        <v>4378.74</v>
      </c>
      <c r="F246" s="15" t="s">
        <v>290</v>
      </c>
    </row>
    <row r="247" customFormat="false" ht="15" hidden="false" customHeight="false" outlineLevel="0" collapsed="false">
      <c r="A247" s="0" t="s">
        <v>3086</v>
      </c>
      <c r="B247" s="0" t="s">
        <v>2236</v>
      </c>
      <c r="C247" s="0" t="s">
        <v>171</v>
      </c>
      <c r="D247" s="14" t="n">
        <v>46053</v>
      </c>
      <c r="E247" s="0" t="n">
        <v>519.69</v>
      </c>
      <c r="F247" s="15" t="s">
        <v>302</v>
      </c>
    </row>
    <row r="248" customFormat="false" ht="15" hidden="false" customHeight="false" outlineLevel="0" collapsed="false">
      <c r="A248" s="0" t="s">
        <v>3087</v>
      </c>
      <c r="B248" s="0" t="s">
        <v>2237</v>
      </c>
      <c r="C248" s="0" t="s">
        <v>131</v>
      </c>
      <c r="D248" s="14" t="n">
        <v>45860</v>
      </c>
      <c r="E248" s="0" t="n">
        <v>2656.9</v>
      </c>
      <c r="F248" s="15" t="s">
        <v>302</v>
      </c>
    </row>
    <row r="249" customFormat="false" ht="15" hidden="false" customHeight="false" outlineLevel="0" collapsed="false">
      <c r="A249" s="0" t="s">
        <v>3088</v>
      </c>
      <c r="B249" s="0" t="s">
        <v>2238</v>
      </c>
      <c r="C249" s="0" t="s">
        <v>128</v>
      </c>
      <c r="D249" s="14" t="n">
        <v>46012</v>
      </c>
      <c r="E249" s="0" t="n">
        <v>611.97</v>
      </c>
      <c r="F249" s="15" t="s">
        <v>302</v>
      </c>
    </row>
    <row r="250" customFormat="false" ht="15" hidden="false" customHeight="false" outlineLevel="0" collapsed="false">
      <c r="A250" s="0" t="s">
        <v>3089</v>
      </c>
      <c r="B250" s="0" t="s">
        <v>2239</v>
      </c>
      <c r="C250" s="0" t="s">
        <v>125</v>
      </c>
      <c r="D250" s="14" t="n">
        <v>45935</v>
      </c>
      <c r="E250" s="0" t="n">
        <v>3378.98</v>
      </c>
      <c r="F250" s="15" t="s">
        <v>282</v>
      </c>
    </row>
    <row r="251" customFormat="false" ht="15" hidden="false" customHeight="false" outlineLevel="0" collapsed="false">
      <c r="A251" s="0" t="s">
        <v>3090</v>
      </c>
      <c r="B251" s="0" t="s">
        <v>2241</v>
      </c>
      <c r="C251" s="0" t="s">
        <v>89</v>
      </c>
      <c r="D251" s="14" t="n">
        <v>45935</v>
      </c>
      <c r="E251" s="0" t="n">
        <v>225.68</v>
      </c>
      <c r="F251" s="15" t="s">
        <v>282</v>
      </c>
    </row>
    <row r="252" customFormat="false" ht="15" hidden="false" customHeight="false" outlineLevel="0" collapsed="false">
      <c r="A252" s="0" t="s">
        <v>3091</v>
      </c>
      <c r="B252" s="0" t="s">
        <v>2242</v>
      </c>
      <c r="C252" s="0" t="s">
        <v>84</v>
      </c>
      <c r="D252" s="14" t="n">
        <v>46093</v>
      </c>
      <c r="E252" s="0" t="n">
        <v>1424.85</v>
      </c>
      <c r="F252" s="15" t="s">
        <v>287</v>
      </c>
    </row>
    <row r="253" customFormat="false" ht="15" hidden="false" customHeight="false" outlineLevel="0" collapsed="false">
      <c r="A253" s="0" t="s">
        <v>3092</v>
      </c>
      <c r="B253" s="0" t="s">
        <v>2243</v>
      </c>
      <c r="C253" s="0" t="s">
        <v>201</v>
      </c>
      <c r="D253" s="14" t="n">
        <v>45856</v>
      </c>
      <c r="E253" s="0" t="n">
        <v>643.44</v>
      </c>
      <c r="F253" s="15" t="s">
        <v>279</v>
      </c>
    </row>
    <row r="254" customFormat="false" ht="15" hidden="false" customHeight="false" outlineLevel="0" collapsed="false">
      <c r="A254" s="0" t="s">
        <v>3093</v>
      </c>
      <c r="B254" s="0" t="s">
        <v>2245</v>
      </c>
      <c r="C254" s="0" t="s">
        <v>195</v>
      </c>
      <c r="D254" s="14" t="n">
        <v>45851</v>
      </c>
      <c r="E254" s="0" t="n">
        <v>289.77</v>
      </c>
      <c r="F254" s="15" t="s">
        <v>292</v>
      </c>
    </row>
    <row r="255" customFormat="false" ht="15" hidden="false" customHeight="false" outlineLevel="0" collapsed="false">
      <c r="A255" s="0" t="s">
        <v>3094</v>
      </c>
      <c r="B255" s="0" t="s">
        <v>2246</v>
      </c>
      <c r="C255" s="0" t="s">
        <v>112</v>
      </c>
      <c r="D255" s="14" t="n">
        <v>45815</v>
      </c>
      <c r="E255" s="0" t="n">
        <v>325.7</v>
      </c>
      <c r="F255" s="15" t="s">
        <v>279</v>
      </c>
    </row>
    <row r="256" customFormat="false" ht="15" hidden="false" customHeight="false" outlineLevel="0" collapsed="false">
      <c r="A256" s="0" t="s">
        <v>3095</v>
      </c>
      <c r="B256" s="0" t="s">
        <v>2247</v>
      </c>
      <c r="C256" s="0" t="s">
        <v>174</v>
      </c>
      <c r="D256" s="14" t="n">
        <v>45734</v>
      </c>
      <c r="E256" s="0" t="n">
        <v>8611.23</v>
      </c>
      <c r="F256" s="15" t="s">
        <v>279</v>
      </c>
    </row>
    <row r="257" customFormat="false" ht="15" hidden="false" customHeight="false" outlineLevel="0" collapsed="false">
      <c r="A257" s="0" t="s">
        <v>3096</v>
      </c>
      <c r="B257" s="0" t="s">
        <v>2248</v>
      </c>
      <c r="C257" s="0" t="s">
        <v>89</v>
      </c>
      <c r="D257" s="14" t="n">
        <v>45781</v>
      </c>
      <c r="E257" s="0" t="n">
        <v>1496.91</v>
      </c>
      <c r="F257" s="15" t="s">
        <v>290</v>
      </c>
    </row>
    <row r="258" customFormat="false" ht="15" hidden="false" customHeight="false" outlineLevel="0" collapsed="false">
      <c r="A258" s="0" t="s">
        <v>3097</v>
      </c>
      <c r="B258" s="0" t="s">
        <v>2249</v>
      </c>
      <c r="C258" s="0" t="s">
        <v>174</v>
      </c>
      <c r="D258" s="14" t="n">
        <v>45746</v>
      </c>
      <c r="E258" s="0" t="n">
        <v>6053.15</v>
      </c>
      <c r="F258" s="15" t="s">
        <v>321</v>
      </c>
    </row>
    <row r="259" customFormat="false" ht="15" hidden="false" customHeight="false" outlineLevel="0" collapsed="false">
      <c r="A259" s="0" t="s">
        <v>3098</v>
      </c>
      <c r="B259" s="0" t="s">
        <v>2250</v>
      </c>
      <c r="C259" s="0" t="s">
        <v>186</v>
      </c>
      <c r="D259" s="14" t="n">
        <v>45990</v>
      </c>
      <c r="E259" s="0" t="n">
        <v>3104.44</v>
      </c>
      <c r="F259" s="15" t="s">
        <v>279</v>
      </c>
    </row>
    <row r="260" customFormat="false" ht="15" hidden="false" customHeight="false" outlineLevel="0" collapsed="false">
      <c r="A260" s="0" t="s">
        <v>3099</v>
      </c>
      <c r="B260" s="0" t="s">
        <v>2251</v>
      </c>
      <c r="C260" s="0" t="s">
        <v>167</v>
      </c>
      <c r="D260" s="14" t="n">
        <v>46107</v>
      </c>
      <c r="E260" s="0" t="n">
        <v>1405.31</v>
      </c>
      <c r="F260" s="15" t="s">
        <v>279</v>
      </c>
    </row>
    <row r="261" customFormat="false" ht="15" hidden="false" customHeight="false" outlineLevel="0" collapsed="false">
      <c r="A261" s="0" t="s">
        <v>3100</v>
      </c>
      <c r="B261" s="0" t="s">
        <v>2252</v>
      </c>
      <c r="C261" s="0" t="s">
        <v>158</v>
      </c>
      <c r="D261" s="14" t="n">
        <v>45792</v>
      </c>
      <c r="E261" s="0" t="n">
        <v>3241.37</v>
      </c>
      <c r="F261" s="15" t="s">
        <v>290</v>
      </c>
    </row>
    <row r="262" customFormat="false" ht="15" hidden="false" customHeight="false" outlineLevel="0" collapsed="false">
      <c r="A262" s="0" t="s">
        <v>3101</v>
      </c>
      <c r="B262" s="0" t="s">
        <v>2253</v>
      </c>
      <c r="C262" s="0" t="s">
        <v>189</v>
      </c>
      <c r="D262" s="14" t="n">
        <v>45794</v>
      </c>
      <c r="E262" s="0" t="n">
        <v>871.5</v>
      </c>
      <c r="F262" s="15" t="s">
        <v>292</v>
      </c>
    </row>
    <row r="263" customFormat="false" ht="15" hidden="false" customHeight="false" outlineLevel="0" collapsed="false">
      <c r="A263" s="0" t="s">
        <v>3102</v>
      </c>
      <c r="B263" s="0" t="s">
        <v>2254</v>
      </c>
      <c r="C263" s="0" t="s">
        <v>137</v>
      </c>
      <c r="D263" s="14" t="n">
        <v>45948</v>
      </c>
      <c r="E263" s="0" t="n">
        <v>651.66</v>
      </c>
      <c r="F263" s="15" t="s">
        <v>313</v>
      </c>
    </row>
    <row r="264" customFormat="false" ht="15" hidden="false" customHeight="false" outlineLevel="0" collapsed="false">
      <c r="A264" s="0" t="s">
        <v>3103</v>
      </c>
      <c r="B264" s="0" t="s">
        <v>2255</v>
      </c>
      <c r="C264" s="0" t="s">
        <v>161</v>
      </c>
      <c r="D264" s="14" t="n">
        <v>46077</v>
      </c>
      <c r="E264" s="0" t="n">
        <v>2962.24</v>
      </c>
      <c r="F264" s="15" t="s">
        <v>302</v>
      </c>
    </row>
    <row r="265" customFormat="false" ht="15" hidden="false" customHeight="false" outlineLevel="0" collapsed="false">
      <c r="A265" s="0" t="s">
        <v>3104</v>
      </c>
      <c r="B265" s="0" t="s">
        <v>2257</v>
      </c>
      <c r="C265" s="0" t="s">
        <v>146</v>
      </c>
      <c r="D265" s="14" t="n">
        <v>45956</v>
      </c>
      <c r="E265" s="0" t="n">
        <v>7560.72</v>
      </c>
      <c r="F265" s="15" t="s">
        <v>302</v>
      </c>
    </row>
    <row r="266" customFormat="false" ht="15" hidden="false" customHeight="false" outlineLevel="0" collapsed="false">
      <c r="A266" s="0" t="s">
        <v>3105</v>
      </c>
      <c r="B266" s="0" t="s">
        <v>2258</v>
      </c>
      <c r="C266" s="0" t="s">
        <v>177</v>
      </c>
      <c r="D266" s="14" t="n">
        <v>45864</v>
      </c>
      <c r="E266" s="0" t="n">
        <v>2957.14</v>
      </c>
      <c r="F266" s="15" t="s">
        <v>279</v>
      </c>
    </row>
    <row r="267" customFormat="false" ht="15" hidden="false" customHeight="false" outlineLevel="0" collapsed="false">
      <c r="A267" s="0" t="s">
        <v>3106</v>
      </c>
      <c r="B267" s="0" t="s">
        <v>2259</v>
      </c>
      <c r="C267" s="0" t="s">
        <v>149</v>
      </c>
      <c r="D267" s="14" t="n">
        <v>45716</v>
      </c>
      <c r="E267" s="0" t="n">
        <v>1792.24</v>
      </c>
      <c r="F267" s="15" t="s">
        <v>287</v>
      </c>
    </row>
    <row r="268" customFormat="false" ht="15" hidden="false" customHeight="false" outlineLevel="0" collapsed="false">
      <c r="A268" s="0" t="s">
        <v>3107</v>
      </c>
      <c r="B268" s="0" t="s">
        <v>2260</v>
      </c>
      <c r="C268" s="0" t="s">
        <v>183</v>
      </c>
      <c r="D268" s="14" t="n">
        <v>45776</v>
      </c>
      <c r="E268" s="0" t="n">
        <v>3587.55</v>
      </c>
      <c r="F268" s="15" t="s">
        <v>321</v>
      </c>
    </row>
    <row r="269" customFormat="false" ht="15" hidden="false" customHeight="false" outlineLevel="0" collapsed="false">
      <c r="A269" s="0" t="s">
        <v>3108</v>
      </c>
      <c r="B269" s="0" t="s">
        <v>2261</v>
      </c>
      <c r="C269" s="0" t="s">
        <v>161</v>
      </c>
      <c r="D269" s="14" t="n">
        <v>45785</v>
      </c>
      <c r="E269" s="0" t="n">
        <v>13244.8</v>
      </c>
      <c r="F269" s="15" t="s">
        <v>287</v>
      </c>
    </row>
    <row r="270" customFormat="false" ht="15" hidden="false" customHeight="false" outlineLevel="0" collapsed="false">
      <c r="A270" s="0" t="s">
        <v>3109</v>
      </c>
      <c r="B270" s="0" t="s">
        <v>2262</v>
      </c>
      <c r="C270" s="0" t="s">
        <v>186</v>
      </c>
      <c r="D270" s="14" t="n">
        <v>45773</v>
      </c>
      <c r="E270" s="0" t="n">
        <v>810.36</v>
      </c>
      <c r="F270" s="15" t="s">
        <v>290</v>
      </c>
    </row>
    <row r="271" customFormat="false" ht="15" hidden="false" customHeight="false" outlineLevel="0" collapsed="false">
      <c r="A271" s="0" t="s">
        <v>3110</v>
      </c>
      <c r="B271" s="0" t="s">
        <v>2262</v>
      </c>
      <c r="C271" s="0" t="s">
        <v>186</v>
      </c>
      <c r="D271" s="14" t="n">
        <v>45775</v>
      </c>
      <c r="E271" s="0" t="n">
        <v>810.36</v>
      </c>
      <c r="F271" s="15" t="s">
        <v>279</v>
      </c>
    </row>
    <row r="272" customFormat="false" ht="15" hidden="false" customHeight="false" outlineLevel="0" collapsed="false">
      <c r="A272" s="0" t="s">
        <v>3111</v>
      </c>
      <c r="B272" s="0" t="s">
        <v>2264</v>
      </c>
      <c r="C272" s="0" t="s">
        <v>104</v>
      </c>
      <c r="D272" s="14" t="n">
        <v>45706</v>
      </c>
      <c r="E272" s="0" t="n">
        <v>256.08</v>
      </c>
      <c r="F272" s="15" t="s">
        <v>302</v>
      </c>
    </row>
    <row r="273" customFormat="false" ht="15" hidden="false" customHeight="false" outlineLevel="0" collapsed="false">
      <c r="A273" s="0" t="s">
        <v>3112</v>
      </c>
      <c r="B273" s="0" t="s">
        <v>2265</v>
      </c>
      <c r="C273" s="0" t="s">
        <v>109</v>
      </c>
      <c r="D273" s="14" t="n">
        <v>45988</v>
      </c>
      <c r="E273" s="0" t="n">
        <v>8486.94</v>
      </c>
      <c r="F273" s="15" t="s">
        <v>313</v>
      </c>
    </row>
    <row r="274" customFormat="false" ht="15" hidden="false" customHeight="false" outlineLevel="0" collapsed="false">
      <c r="A274" s="0" t="s">
        <v>3113</v>
      </c>
      <c r="B274" s="0" t="s">
        <v>2266</v>
      </c>
      <c r="C274" s="0" t="s">
        <v>119</v>
      </c>
      <c r="D274" s="14" t="n">
        <v>45817</v>
      </c>
      <c r="E274" s="0" t="n">
        <v>3079.87</v>
      </c>
      <c r="F274" s="15" t="s">
        <v>313</v>
      </c>
    </row>
    <row r="275" customFormat="false" ht="15" hidden="false" customHeight="false" outlineLevel="0" collapsed="false">
      <c r="A275" s="0" t="s">
        <v>3114</v>
      </c>
      <c r="B275" s="0" t="s">
        <v>2268</v>
      </c>
      <c r="C275" s="0" t="s">
        <v>192</v>
      </c>
      <c r="D275" s="14" t="n">
        <v>45997</v>
      </c>
      <c r="E275" s="0" t="n">
        <v>4491.48</v>
      </c>
      <c r="F275" s="15" t="s">
        <v>313</v>
      </c>
    </row>
    <row r="276" customFormat="false" ht="15" hidden="false" customHeight="false" outlineLevel="0" collapsed="false">
      <c r="A276" s="0" t="s">
        <v>3115</v>
      </c>
      <c r="B276" s="0" t="s">
        <v>2269</v>
      </c>
      <c r="C276" s="0" t="s">
        <v>89</v>
      </c>
      <c r="D276" s="14" t="n">
        <v>46068</v>
      </c>
      <c r="E276" s="0" t="n">
        <v>1494.98</v>
      </c>
      <c r="F276" s="15" t="s">
        <v>302</v>
      </c>
    </row>
    <row r="277" customFormat="false" ht="15" hidden="false" customHeight="false" outlineLevel="0" collapsed="false">
      <c r="A277" s="0" t="s">
        <v>3116</v>
      </c>
      <c r="B277" s="0" t="s">
        <v>2270</v>
      </c>
      <c r="C277" s="0" t="s">
        <v>180</v>
      </c>
      <c r="D277" s="14" t="n">
        <v>45739</v>
      </c>
      <c r="E277" s="0" t="n">
        <v>1119.52</v>
      </c>
      <c r="F277" s="15" t="s">
        <v>292</v>
      </c>
    </row>
    <row r="278" customFormat="false" ht="15" hidden="false" customHeight="false" outlineLevel="0" collapsed="false">
      <c r="A278" s="0" t="s">
        <v>3117</v>
      </c>
      <c r="B278" s="0" t="s">
        <v>2271</v>
      </c>
      <c r="C278" s="0" t="s">
        <v>93</v>
      </c>
      <c r="D278" s="14" t="n">
        <v>46139</v>
      </c>
      <c r="E278" s="0" t="n">
        <v>531.72</v>
      </c>
      <c r="F278" s="15" t="s">
        <v>282</v>
      </c>
    </row>
    <row r="279" customFormat="false" ht="15" hidden="false" customHeight="false" outlineLevel="0" collapsed="false">
      <c r="A279" s="0" t="s">
        <v>3118</v>
      </c>
      <c r="B279" s="0" t="s">
        <v>2273</v>
      </c>
      <c r="C279" s="0" t="s">
        <v>137</v>
      </c>
      <c r="D279" s="14" t="n">
        <v>46157</v>
      </c>
      <c r="E279" s="0" t="n">
        <v>6043.12</v>
      </c>
      <c r="F279" s="15" t="s">
        <v>290</v>
      </c>
    </row>
    <row r="280" customFormat="false" ht="15" hidden="false" customHeight="false" outlineLevel="0" collapsed="false">
      <c r="A280" s="0" t="s">
        <v>3119</v>
      </c>
      <c r="B280" s="0" t="s">
        <v>2274</v>
      </c>
      <c r="C280" s="0" t="s">
        <v>122</v>
      </c>
      <c r="D280" s="14" t="n">
        <v>46009</v>
      </c>
      <c r="E280" s="0" t="n">
        <v>1017.03</v>
      </c>
      <c r="F280" s="15" t="s">
        <v>321</v>
      </c>
    </row>
    <row r="281" customFormat="false" ht="15" hidden="false" customHeight="false" outlineLevel="0" collapsed="false">
      <c r="A281" s="0" t="s">
        <v>3120</v>
      </c>
      <c r="B281" s="0" t="s">
        <v>2275</v>
      </c>
      <c r="C281" s="0" t="s">
        <v>131</v>
      </c>
      <c r="D281" s="14" t="n">
        <v>45959</v>
      </c>
      <c r="E281" s="0" t="n">
        <v>33982.32</v>
      </c>
      <c r="F281" s="15" t="s">
        <v>302</v>
      </c>
    </row>
    <row r="282" customFormat="false" ht="15" hidden="false" customHeight="false" outlineLevel="0" collapsed="false">
      <c r="A282" s="0" t="s">
        <v>3121</v>
      </c>
      <c r="B282" s="0" t="s">
        <v>2276</v>
      </c>
      <c r="C282" s="0" t="s">
        <v>158</v>
      </c>
      <c r="D282" s="14" t="n">
        <v>45949</v>
      </c>
      <c r="E282" s="0" t="n">
        <v>2011.97</v>
      </c>
      <c r="F282" s="15" t="s">
        <v>292</v>
      </c>
    </row>
    <row r="283" customFormat="false" ht="15" hidden="false" customHeight="false" outlineLevel="0" collapsed="false">
      <c r="A283" s="0" t="s">
        <v>3122</v>
      </c>
      <c r="B283" s="0" t="s">
        <v>2278</v>
      </c>
      <c r="C283" s="0" t="s">
        <v>158</v>
      </c>
      <c r="D283" s="14" t="n">
        <v>45725</v>
      </c>
      <c r="E283" s="0" t="n">
        <v>1953.14</v>
      </c>
      <c r="F283" s="15" t="s">
        <v>287</v>
      </c>
    </row>
    <row r="284" customFormat="false" ht="15" hidden="false" customHeight="false" outlineLevel="0" collapsed="false">
      <c r="A284" s="0" t="s">
        <v>3123</v>
      </c>
      <c r="B284" s="0" t="s">
        <v>2279</v>
      </c>
      <c r="C284" s="0" t="s">
        <v>174</v>
      </c>
      <c r="D284" s="14" t="n">
        <v>46204</v>
      </c>
      <c r="E284" s="0" t="n">
        <v>275.18</v>
      </c>
      <c r="F284" s="15" t="s">
        <v>282</v>
      </c>
    </row>
    <row r="285" customFormat="false" ht="15" hidden="false" customHeight="false" outlineLevel="0" collapsed="false">
      <c r="A285" s="0" t="s">
        <v>3124</v>
      </c>
      <c r="B285" s="0" t="s">
        <v>2280</v>
      </c>
      <c r="C285" s="0" t="s">
        <v>75</v>
      </c>
      <c r="D285" s="14" t="n">
        <v>45921</v>
      </c>
      <c r="E285" s="0" t="n">
        <v>2929.12</v>
      </c>
      <c r="F285" s="15" t="s">
        <v>321</v>
      </c>
    </row>
    <row r="286" customFormat="false" ht="15" hidden="false" customHeight="false" outlineLevel="0" collapsed="false">
      <c r="A286" s="0" t="s">
        <v>3125</v>
      </c>
      <c r="B286" s="0" t="s">
        <v>2280</v>
      </c>
      <c r="C286" s="0" t="s">
        <v>75</v>
      </c>
      <c r="D286" s="14" t="n">
        <v>45927</v>
      </c>
      <c r="E286" s="0" t="n">
        <v>2929.12</v>
      </c>
      <c r="F286" s="15" t="s">
        <v>292</v>
      </c>
    </row>
    <row r="287" customFormat="false" ht="15" hidden="false" customHeight="false" outlineLevel="0" collapsed="false">
      <c r="A287" s="0" t="s">
        <v>3126</v>
      </c>
      <c r="B287" s="0" t="s">
        <v>2281</v>
      </c>
      <c r="C287" s="0" t="s">
        <v>125</v>
      </c>
      <c r="D287" s="14" t="n">
        <v>46138</v>
      </c>
      <c r="E287" s="0" t="n">
        <v>2560.65</v>
      </c>
      <c r="F287" s="15" t="s">
        <v>302</v>
      </c>
    </row>
    <row r="288" customFormat="false" ht="15" hidden="false" customHeight="false" outlineLevel="0" collapsed="false">
      <c r="A288" s="0" t="s">
        <v>3127</v>
      </c>
      <c r="B288" s="0" t="s">
        <v>2282</v>
      </c>
      <c r="C288" s="0" t="s">
        <v>128</v>
      </c>
      <c r="D288" s="14" t="n">
        <v>45918</v>
      </c>
      <c r="E288" s="0" t="n">
        <v>1086.25</v>
      </c>
      <c r="F288" s="15" t="s">
        <v>292</v>
      </c>
    </row>
    <row r="289" customFormat="false" ht="15" hidden="false" customHeight="false" outlineLevel="0" collapsed="false">
      <c r="A289" s="0" t="s">
        <v>3128</v>
      </c>
      <c r="B289" s="0" t="s">
        <v>2283</v>
      </c>
      <c r="C289" s="0" t="s">
        <v>198</v>
      </c>
      <c r="D289" s="14" t="n">
        <v>45727</v>
      </c>
      <c r="E289" s="0" t="n">
        <v>3484.24</v>
      </c>
      <c r="F289" s="15" t="s">
        <v>313</v>
      </c>
    </row>
    <row r="290" customFormat="false" ht="15" hidden="false" customHeight="false" outlineLevel="0" collapsed="false">
      <c r="A290" s="0" t="s">
        <v>3129</v>
      </c>
      <c r="B290" s="0" t="s">
        <v>2284</v>
      </c>
      <c r="C290" s="0" t="s">
        <v>155</v>
      </c>
      <c r="D290" s="14" t="n">
        <v>46015</v>
      </c>
      <c r="E290" s="0" t="n">
        <v>4212.6</v>
      </c>
      <c r="F290" s="15" t="s">
        <v>321</v>
      </c>
    </row>
    <row r="291" customFormat="false" ht="15" hidden="false" customHeight="false" outlineLevel="0" collapsed="false">
      <c r="A291" s="0" t="s">
        <v>3130</v>
      </c>
      <c r="B291" s="0" t="s">
        <v>2285</v>
      </c>
      <c r="C291" s="0" t="s">
        <v>177</v>
      </c>
      <c r="D291" s="14" t="n">
        <v>45709</v>
      </c>
      <c r="E291" s="0" t="n">
        <v>2560.27</v>
      </c>
      <c r="F291" s="15" t="s">
        <v>292</v>
      </c>
    </row>
    <row r="292" customFormat="false" ht="15" hidden="false" customHeight="false" outlineLevel="0" collapsed="false">
      <c r="A292" s="0" t="s">
        <v>3131</v>
      </c>
      <c r="B292" s="0" t="s">
        <v>2286</v>
      </c>
      <c r="C292" s="0" t="s">
        <v>155</v>
      </c>
      <c r="D292" s="14" t="n">
        <v>45769</v>
      </c>
      <c r="E292" s="0" t="n">
        <v>3373.65</v>
      </c>
      <c r="F292" s="15" t="s">
        <v>292</v>
      </c>
    </row>
    <row r="293" customFormat="false" ht="15" hidden="false" customHeight="false" outlineLevel="0" collapsed="false">
      <c r="A293" s="0" t="s">
        <v>3132</v>
      </c>
      <c r="B293" s="0" t="s">
        <v>2287</v>
      </c>
      <c r="C293" s="0" t="s">
        <v>174</v>
      </c>
      <c r="D293" s="14" t="n">
        <v>45990</v>
      </c>
      <c r="E293" s="0" t="n">
        <v>1093.64</v>
      </c>
      <c r="F293" s="15" t="s">
        <v>321</v>
      </c>
    </row>
    <row r="294" customFormat="false" ht="15" hidden="false" customHeight="false" outlineLevel="0" collapsed="false">
      <c r="A294" s="0" t="s">
        <v>3133</v>
      </c>
      <c r="B294" s="0" t="s">
        <v>2288</v>
      </c>
      <c r="C294" s="0" t="s">
        <v>195</v>
      </c>
      <c r="D294" s="14" t="n">
        <v>45861</v>
      </c>
      <c r="E294" s="0" t="n">
        <v>1134.36</v>
      </c>
      <c r="F294" s="15" t="s">
        <v>321</v>
      </c>
    </row>
    <row r="295" customFormat="false" ht="15" hidden="false" customHeight="false" outlineLevel="0" collapsed="false">
      <c r="A295" s="0" t="s">
        <v>3134</v>
      </c>
      <c r="B295" s="0" t="s">
        <v>2292</v>
      </c>
      <c r="C295" s="0" t="s">
        <v>104</v>
      </c>
      <c r="D295" s="14" t="n">
        <v>46016</v>
      </c>
      <c r="E295" s="0" t="n">
        <v>4424.59</v>
      </c>
      <c r="F295" s="15" t="s">
        <v>290</v>
      </c>
    </row>
    <row r="296" customFormat="false" ht="15" hidden="false" customHeight="false" outlineLevel="0" collapsed="false">
      <c r="A296" s="0" t="s">
        <v>3135</v>
      </c>
      <c r="B296" s="0" t="s">
        <v>2294</v>
      </c>
      <c r="C296" s="0" t="s">
        <v>93</v>
      </c>
      <c r="D296" s="14" t="n">
        <v>45799</v>
      </c>
      <c r="E296" s="0" t="n">
        <v>606.42</v>
      </c>
      <c r="F296" s="15" t="s">
        <v>282</v>
      </c>
    </row>
    <row r="297" customFormat="false" ht="15" hidden="false" customHeight="false" outlineLevel="0" collapsed="false">
      <c r="A297" s="0" t="s">
        <v>3136</v>
      </c>
      <c r="B297" s="0" t="s">
        <v>2295</v>
      </c>
      <c r="C297" s="0" t="s">
        <v>75</v>
      </c>
      <c r="D297" s="14" t="n">
        <v>45976</v>
      </c>
      <c r="E297" s="0" t="n">
        <v>1652.62</v>
      </c>
      <c r="F297" s="15" t="s">
        <v>279</v>
      </c>
    </row>
    <row r="298" customFormat="false" ht="15" hidden="false" customHeight="false" outlineLevel="0" collapsed="false">
      <c r="A298" s="0" t="s">
        <v>3137</v>
      </c>
      <c r="B298" s="0" t="s">
        <v>2296</v>
      </c>
      <c r="C298" s="0" t="s">
        <v>116</v>
      </c>
      <c r="D298" s="14" t="n">
        <v>45923</v>
      </c>
      <c r="E298" s="0" t="n">
        <v>609.35</v>
      </c>
      <c r="F298" s="15" t="s">
        <v>302</v>
      </c>
    </row>
    <row r="299" customFormat="false" ht="15" hidden="false" customHeight="false" outlineLevel="0" collapsed="false">
      <c r="A299" s="0" t="s">
        <v>3138</v>
      </c>
      <c r="B299" s="0" t="s">
        <v>2297</v>
      </c>
      <c r="C299" s="0" t="s">
        <v>112</v>
      </c>
      <c r="D299" s="14" t="n">
        <v>45928</v>
      </c>
      <c r="E299" s="0" t="n">
        <v>1216.45</v>
      </c>
      <c r="F299" s="15" t="s">
        <v>302</v>
      </c>
    </row>
    <row r="300" customFormat="false" ht="15" hidden="false" customHeight="false" outlineLevel="0" collapsed="false">
      <c r="A300" s="0" t="s">
        <v>3139</v>
      </c>
      <c r="B300" s="0" t="s">
        <v>2298</v>
      </c>
      <c r="C300" s="0" t="s">
        <v>192</v>
      </c>
      <c r="D300" s="14" t="n">
        <v>46164</v>
      </c>
      <c r="E300" s="0" t="n">
        <v>3585.97</v>
      </c>
      <c r="F300" s="15" t="s">
        <v>279</v>
      </c>
    </row>
    <row r="301" customFormat="false" ht="15" hidden="false" customHeight="false" outlineLevel="0" collapsed="false">
      <c r="A301" s="0" t="s">
        <v>3140</v>
      </c>
      <c r="B301" s="0" t="s">
        <v>2300</v>
      </c>
      <c r="C301" s="0" t="s">
        <v>93</v>
      </c>
      <c r="D301" s="14" t="n">
        <v>45874</v>
      </c>
      <c r="E301" s="0" t="n">
        <v>5413.88</v>
      </c>
      <c r="F301" s="15" t="s">
        <v>321</v>
      </c>
    </row>
    <row r="302" customFormat="false" ht="15" hidden="false" customHeight="false" outlineLevel="0" collapsed="false">
      <c r="A302" s="0" t="s">
        <v>3141</v>
      </c>
      <c r="B302" s="0" t="s">
        <v>2301</v>
      </c>
      <c r="C302" s="0" t="s">
        <v>167</v>
      </c>
      <c r="D302" s="14" t="n">
        <v>46042</v>
      </c>
      <c r="E302" s="0" t="n">
        <v>4075.62</v>
      </c>
      <c r="F302" s="15" t="s">
        <v>321</v>
      </c>
    </row>
    <row r="303" customFormat="false" ht="15" hidden="false" customHeight="false" outlineLevel="0" collapsed="false">
      <c r="A303" s="0" t="s">
        <v>3142</v>
      </c>
      <c r="B303" s="0" t="s">
        <v>2302</v>
      </c>
      <c r="C303" s="0" t="s">
        <v>192</v>
      </c>
      <c r="D303" s="14" t="n">
        <v>46027</v>
      </c>
      <c r="E303" s="0" t="n">
        <v>674.21</v>
      </c>
      <c r="F303" s="15" t="s">
        <v>287</v>
      </c>
    </row>
    <row r="304" customFormat="false" ht="15" hidden="false" customHeight="false" outlineLevel="0" collapsed="false">
      <c r="A304" s="0" t="s">
        <v>3143</v>
      </c>
      <c r="B304" s="0" t="s">
        <v>2303</v>
      </c>
      <c r="C304" s="0" t="s">
        <v>96</v>
      </c>
      <c r="D304" s="14" t="n">
        <v>46085</v>
      </c>
      <c r="E304" s="0" t="n">
        <v>1314.98</v>
      </c>
      <c r="F304" s="15" t="s">
        <v>279</v>
      </c>
    </row>
    <row r="305" customFormat="false" ht="15" hidden="false" customHeight="false" outlineLevel="0" collapsed="false">
      <c r="A305" s="0" t="s">
        <v>3144</v>
      </c>
      <c r="B305" s="0" t="s">
        <v>2304</v>
      </c>
      <c r="C305" s="0" t="s">
        <v>96</v>
      </c>
      <c r="D305" s="14" t="n">
        <v>46098</v>
      </c>
      <c r="E305" s="0" t="n">
        <v>1314.98</v>
      </c>
      <c r="F305" s="15" t="s">
        <v>282</v>
      </c>
    </row>
    <row r="306" customFormat="false" ht="15" hidden="false" customHeight="false" outlineLevel="0" collapsed="false">
      <c r="A306" s="0" t="s">
        <v>3145</v>
      </c>
      <c r="B306" s="0" t="s">
        <v>2306</v>
      </c>
      <c r="C306" s="0" t="s">
        <v>201</v>
      </c>
      <c r="D306" s="14" t="n">
        <v>45799</v>
      </c>
      <c r="E306" s="0" t="n">
        <v>427.04</v>
      </c>
      <c r="F306" s="15" t="s">
        <v>302</v>
      </c>
    </row>
    <row r="307" customFormat="false" ht="15" hidden="false" customHeight="false" outlineLevel="0" collapsed="false">
      <c r="A307" s="0" t="s">
        <v>3146</v>
      </c>
      <c r="B307" s="0" t="s">
        <v>2307</v>
      </c>
      <c r="C307" s="0" t="s">
        <v>201</v>
      </c>
      <c r="D307" s="14" t="n">
        <v>45794</v>
      </c>
      <c r="E307" s="0" t="n">
        <v>427.04</v>
      </c>
      <c r="F307" s="15" t="s">
        <v>302</v>
      </c>
    </row>
    <row r="308" customFormat="false" ht="15" hidden="false" customHeight="false" outlineLevel="0" collapsed="false">
      <c r="A308" s="0" t="s">
        <v>3147</v>
      </c>
      <c r="B308" s="0" t="s">
        <v>2308</v>
      </c>
      <c r="C308" s="0" t="s">
        <v>80</v>
      </c>
      <c r="D308" s="14" t="n">
        <v>45793</v>
      </c>
      <c r="E308" s="0" t="n">
        <v>1109.9</v>
      </c>
      <c r="F308" s="15" t="s">
        <v>287</v>
      </c>
    </row>
    <row r="309" customFormat="false" ht="15" hidden="false" customHeight="false" outlineLevel="0" collapsed="false">
      <c r="A309" s="0" t="s">
        <v>3148</v>
      </c>
      <c r="B309" s="0" t="s">
        <v>2309</v>
      </c>
      <c r="C309" s="0" t="s">
        <v>70</v>
      </c>
      <c r="D309" s="14" t="n">
        <v>46060</v>
      </c>
      <c r="E309" s="0" t="n">
        <v>3284.61</v>
      </c>
      <c r="F309" s="15" t="s">
        <v>287</v>
      </c>
    </row>
    <row r="310" customFormat="false" ht="15" hidden="false" customHeight="false" outlineLevel="0" collapsed="false">
      <c r="A310" s="0" t="s">
        <v>3149</v>
      </c>
      <c r="B310" s="0" t="s">
        <v>2310</v>
      </c>
      <c r="C310" s="0" t="s">
        <v>164</v>
      </c>
      <c r="D310" s="14" t="n">
        <v>45783</v>
      </c>
      <c r="E310" s="0" t="n">
        <v>2187.07</v>
      </c>
      <c r="F310" s="15" t="s">
        <v>321</v>
      </c>
    </row>
    <row r="311" customFormat="false" ht="15" hidden="false" customHeight="false" outlineLevel="0" collapsed="false">
      <c r="A311" s="0" t="s">
        <v>3150</v>
      </c>
      <c r="B311" s="0" t="s">
        <v>2311</v>
      </c>
      <c r="C311" s="0" t="s">
        <v>158</v>
      </c>
      <c r="D311" s="14" t="n">
        <v>45783</v>
      </c>
      <c r="E311" s="0" t="n">
        <v>4407.35</v>
      </c>
      <c r="F311" s="15" t="s">
        <v>279</v>
      </c>
    </row>
    <row r="312" customFormat="false" ht="15" hidden="false" customHeight="false" outlineLevel="0" collapsed="false">
      <c r="A312" s="0" t="s">
        <v>3151</v>
      </c>
      <c r="B312" s="0" t="s">
        <v>2312</v>
      </c>
      <c r="C312" s="0" t="s">
        <v>152</v>
      </c>
      <c r="D312" s="14" t="n">
        <v>45713</v>
      </c>
      <c r="E312" s="0" t="n">
        <v>814.56</v>
      </c>
      <c r="F312" s="15" t="s">
        <v>302</v>
      </c>
    </row>
    <row r="313" customFormat="false" ht="15" hidden="false" customHeight="false" outlineLevel="0" collapsed="false">
      <c r="A313" s="0" t="s">
        <v>3152</v>
      </c>
      <c r="B313" s="0" t="s">
        <v>2313</v>
      </c>
      <c r="C313" s="0" t="s">
        <v>80</v>
      </c>
      <c r="D313" s="14" t="n">
        <v>45673</v>
      </c>
      <c r="E313" s="0" t="n">
        <v>988.16</v>
      </c>
      <c r="F313" s="15" t="s">
        <v>302</v>
      </c>
    </row>
    <row r="314" customFormat="false" ht="15" hidden="false" customHeight="false" outlineLevel="0" collapsed="false">
      <c r="A314" s="0" t="s">
        <v>3153</v>
      </c>
      <c r="B314" s="0" t="s">
        <v>2314</v>
      </c>
      <c r="C314" s="0" t="s">
        <v>80</v>
      </c>
      <c r="D314" s="14" t="n">
        <v>45924</v>
      </c>
      <c r="E314" s="0" t="n">
        <v>721.3</v>
      </c>
      <c r="F314" s="15" t="s">
        <v>321</v>
      </c>
    </row>
    <row r="315" customFormat="false" ht="15" hidden="false" customHeight="false" outlineLevel="0" collapsed="false">
      <c r="A315" s="0" t="s">
        <v>3154</v>
      </c>
      <c r="B315" s="0" t="s">
        <v>2315</v>
      </c>
      <c r="C315" s="0" t="s">
        <v>84</v>
      </c>
      <c r="D315" s="14" t="n">
        <v>46006</v>
      </c>
      <c r="E315" s="0" t="n">
        <v>5762.48</v>
      </c>
      <c r="F315" s="15" t="s">
        <v>321</v>
      </c>
    </row>
    <row r="316" customFormat="false" ht="15" hidden="false" customHeight="false" outlineLevel="0" collapsed="false">
      <c r="A316" s="0" t="s">
        <v>3155</v>
      </c>
      <c r="B316" s="0" t="s">
        <v>2316</v>
      </c>
      <c r="C316" s="0" t="s">
        <v>89</v>
      </c>
      <c r="D316" s="14" t="n">
        <v>45849</v>
      </c>
      <c r="E316" s="0" t="n">
        <v>3958.91</v>
      </c>
      <c r="F316" s="15" t="s">
        <v>279</v>
      </c>
    </row>
    <row r="317" customFormat="false" ht="15" hidden="false" customHeight="false" outlineLevel="0" collapsed="false">
      <c r="A317" s="0" t="s">
        <v>3156</v>
      </c>
      <c r="B317" s="0" t="s">
        <v>2319</v>
      </c>
      <c r="C317" s="0" t="s">
        <v>155</v>
      </c>
      <c r="D317" s="14" t="n">
        <v>46097</v>
      </c>
      <c r="E317" s="0" t="n">
        <v>1396.44</v>
      </c>
      <c r="F317" s="15" t="s">
        <v>302</v>
      </c>
    </row>
    <row r="318" customFormat="false" ht="15" hidden="false" customHeight="false" outlineLevel="0" collapsed="false">
      <c r="A318" s="0" t="s">
        <v>3157</v>
      </c>
      <c r="B318" s="0" t="s">
        <v>2319</v>
      </c>
      <c r="C318" s="0" t="s">
        <v>155</v>
      </c>
      <c r="D318" s="14" t="n">
        <v>46102</v>
      </c>
      <c r="E318" s="0" t="n">
        <v>1396.44</v>
      </c>
      <c r="F318" s="15" t="s">
        <v>302</v>
      </c>
    </row>
    <row r="319" customFormat="false" ht="15" hidden="false" customHeight="false" outlineLevel="0" collapsed="false">
      <c r="A319" s="0" t="s">
        <v>3158</v>
      </c>
      <c r="B319" s="0" t="s">
        <v>2320</v>
      </c>
      <c r="C319" s="0" t="s">
        <v>70</v>
      </c>
      <c r="D319" s="14" t="n">
        <v>45955</v>
      </c>
      <c r="E319" s="0" t="n">
        <v>1682.49</v>
      </c>
      <c r="F319" s="15" t="s">
        <v>282</v>
      </c>
    </row>
    <row r="320" customFormat="false" ht="15" hidden="false" customHeight="false" outlineLevel="0" collapsed="false">
      <c r="A320" s="0" t="s">
        <v>3159</v>
      </c>
      <c r="B320" s="0" t="s">
        <v>2321</v>
      </c>
      <c r="C320" s="0" t="s">
        <v>192</v>
      </c>
      <c r="D320" s="14" t="n">
        <v>46049</v>
      </c>
      <c r="E320" s="0" t="n">
        <v>1974.18</v>
      </c>
      <c r="F320" s="15" t="s">
        <v>287</v>
      </c>
    </row>
    <row r="321" customFormat="false" ht="15" hidden="false" customHeight="false" outlineLevel="0" collapsed="false">
      <c r="A321" s="0" t="s">
        <v>3160</v>
      </c>
      <c r="B321" s="0" t="s">
        <v>2324</v>
      </c>
      <c r="C321" s="0" t="s">
        <v>140</v>
      </c>
      <c r="D321" s="14" t="n">
        <v>46016</v>
      </c>
      <c r="E321" s="0" t="n">
        <v>2928.06</v>
      </c>
      <c r="F321" s="15" t="s">
        <v>279</v>
      </c>
    </row>
    <row r="322" customFormat="false" ht="15" hidden="false" customHeight="false" outlineLevel="0" collapsed="false">
      <c r="A322" s="0" t="s">
        <v>3161</v>
      </c>
      <c r="B322" s="0" t="s">
        <v>2325</v>
      </c>
      <c r="C322" s="0" t="s">
        <v>201</v>
      </c>
      <c r="D322" s="14" t="n">
        <v>46044</v>
      </c>
      <c r="E322" s="0" t="n">
        <v>3306.72</v>
      </c>
      <c r="F322" s="15" t="s">
        <v>287</v>
      </c>
    </row>
    <row r="323" customFormat="false" ht="15" hidden="false" customHeight="false" outlineLevel="0" collapsed="false">
      <c r="A323" s="0" t="s">
        <v>3162</v>
      </c>
      <c r="B323" s="0" t="s">
        <v>2326</v>
      </c>
      <c r="C323" s="0" t="s">
        <v>137</v>
      </c>
      <c r="D323" s="14" t="n">
        <v>46179</v>
      </c>
      <c r="E323" s="0" t="n">
        <v>7330.11</v>
      </c>
      <c r="F323" s="15" t="s">
        <v>321</v>
      </c>
    </row>
    <row r="324" customFormat="false" ht="15" hidden="false" customHeight="false" outlineLevel="0" collapsed="false">
      <c r="A324" s="0" t="s">
        <v>3163</v>
      </c>
      <c r="B324" s="0" t="s">
        <v>2327</v>
      </c>
      <c r="C324" s="0" t="s">
        <v>201</v>
      </c>
      <c r="D324" s="14" t="n">
        <v>45919</v>
      </c>
      <c r="E324" s="0" t="n">
        <v>305.65</v>
      </c>
      <c r="F324" s="15" t="s">
        <v>279</v>
      </c>
    </row>
    <row r="325" customFormat="false" ht="15" hidden="false" customHeight="false" outlineLevel="0" collapsed="false">
      <c r="A325" s="0" t="s">
        <v>3164</v>
      </c>
      <c r="B325" s="0" t="s">
        <v>2328</v>
      </c>
      <c r="C325" s="0" t="s">
        <v>116</v>
      </c>
      <c r="D325" s="14" t="n">
        <v>45972</v>
      </c>
      <c r="E325" s="0" t="n">
        <v>695.44</v>
      </c>
      <c r="F325" s="15" t="s">
        <v>321</v>
      </c>
    </row>
    <row r="326" customFormat="false" ht="15" hidden="false" customHeight="false" outlineLevel="0" collapsed="false">
      <c r="A326" s="0" t="s">
        <v>3165</v>
      </c>
      <c r="B326" s="0" t="s">
        <v>2329</v>
      </c>
      <c r="C326" s="0" t="s">
        <v>84</v>
      </c>
      <c r="D326" s="14" t="n">
        <v>46055</v>
      </c>
      <c r="E326" s="0" t="n">
        <v>8378.51</v>
      </c>
      <c r="F326" s="15" t="s">
        <v>292</v>
      </c>
    </row>
    <row r="327" customFormat="false" ht="15" hidden="false" customHeight="false" outlineLevel="0" collapsed="false">
      <c r="A327" s="0" t="s">
        <v>3166</v>
      </c>
      <c r="B327" s="0" t="s">
        <v>2330</v>
      </c>
      <c r="C327" s="0" t="s">
        <v>89</v>
      </c>
      <c r="D327" s="14" t="n">
        <v>46196</v>
      </c>
      <c r="E327" s="0" t="n">
        <v>1194.11</v>
      </c>
      <c r="F327" s="15" t="s">
        <v>321</v>
      </c>
    </row>
    <row r="328" customFormat="false" ht="15" hidden="false" customHeight="false" outlineLevel="0" collapsed="false">
      <c r="A328" s="0" t="s">
        <v>3167</v>
      </c>
      <c r="B328" s="0" t="s">
        <v>2331</v>
      </c>
      <c r="C328" s="0" t="s">
        <v>119</v>
      </c>
      <c r="D328" s="14" t="n">
        <v>46140</v>
      </c>
      <c r="E328" s="0" t="n">
        <v>755.76</v>
      </c>
      <c r="F328" s="15" t="s">
        <v>302</v>
      </c>
    </row>
    <row r="329" customFormat="false" ht="15" hidden="false" customHeight="false" outlineLevel="0" collapsed="false">
      <c r="A329" s="0" t="s">
        <v>3168</v>
      </c>
      <c r="B329" s="0" t="s">
        <v>2332</v>
      </c>
      <c r="C329" s="0" t="s">
        <v>180</v>
      </c>
      <c r="D329" s="14" t="n">
        <v>45701</v>
      </c>
      <c r="E329" s="0" t="n">
        <v>14821.15</v>
      </c>
      <c r="F329" s="15" t="s">
        <v>313</v>
      </c>
    </row>
    <row r="330" customFormat="false" ht="15" hidden="false" customHeight="false" outlineLevel="0" collapsed="false">
      <c r="A330" s="0" t="s">
        <v>3169</v>
      </c>
      <c r="B330" s="0" t="s">
        <v>2334</v>
      </c>
      <c r="C330" s="0" t="s">
        <v>192</v>
      </c>
      <c r="D330" s="14" t="n">
        <v>45855</v>
      </c>
      <c r="E330" s="0" t="n">
        <v>4303.23</v>
      </c>
      <c r="F330" s="15" t="s">
        <v>282</v>
      </c>
    </row>
    <row r="331" customFormat="false" ht="15" hidden="false" customHeight="false" outlineLevel="0" collapsed="false">
      <c r="A331" s="0" t="s">
        <v>3170</v>
      </c>
      <c r="B331" s="0" t="s">
        <v>2335</v>
      </c>
      <c r="C331" s="0" t="s">
        <v>186</v>
      </c>
      <c r="D331" s="14" t="n">
        <v>46125</v>
      </c>
      <c r="E331" s="0" t="n">
        <v>525.18</v>
      </c>
      <c r="F331" s="15" t="s">
        <v>282</v>
      </c>
    </row>
    <row r="332" customFormat="false" ht="15" hidden="false" customHeight="false" outlineLevel="0" collapsed="false">
      <c r="A332" s="0" t="s">
        <v>3171</v>
      </c>
      <c r="B332" s="0" t="s">
        <v>2336</v>
      </c>
      <c r="C332" s="0" t="s">
        <v>140</v>
      </c>
      <c r="D332" s="14" t="n">
        <v>46002</v>
      </c>
      <c r="E332" s="0" t="n">
        <v>2740.38</v>
      </c>
      <c r="F332" s="15" t="s">
        <v>302</v>
      </c>
    </row>
    <row r="333" customFormat="false" ht="15" hidden="false" customHeight="false" outlineLevel="0" collapsed="false">
      <c r="A333" s="0" t="s">
        <v>3172</v>
      </c>
      <c r="B333" s="0" t="s">
        <v>2337</v>
      </c>
      <c r="C333" s="0" t="s">
        <v>99</v>
      </c>
      <c r="D333" s="14" t="n">
        <v>45849</v>
      </c>
      <c r="E333" s="0" t="n">
        <v>9606.11</v>
      </c>
      <c r="F333" s="15" t="s">
        <v>292</v>
      </c>
    </row>
    <row r="334" customFormat="false" ht="15" hidden="false" customHeight="false" outlineLevel="0" collapsed="false">
      <c r="A334" s="0" t="s">
        <v>3173</v>
      </c>
      <c r="B334" s="0" t="s">
        <v>2338</v>
      </c>
      <c r="C334" s="0" t="s">
        <v>143</v>
      </c>
      <c r="D334" s="14" t="n">
        <v>45741</v>
      </c>
      <c r="E334" s="0" t="n">
        <v>3156.13</v>
      </c>
      <c r="F334" s="15" t="s">
        <v>313</v>
      </c>
    </row>
    <row r="335" customFormat="false" ht="15" hidden="false" customHeight="false" outlineLevel="0" collapsed="false">
      <c r="A335" s="0" t="s">
        <v>3174</v>
      </c>
      <c r="B335" s="0" t="s">
        <v>2340</v>
      </c>
      <c r="C335" s="0" t="s">
        <v>192</v>
      </c>
      <c r="D335" s="14" t="n">
        <v>46067</v>
      </c>
      <c r="E335" s="0" t="n">
        <v>4442.2</v>
      </c>
      <c r="F335" s="15" t="s">
        <v>279</v>
      </c>
    </row>
    <row r="336" customFormat="false" ht="15" hidden="false" customHeight="false" outlineLevel="0" collapsed="false">
      <c r="A336" s="0" t="s">
        <v>3175</v>
      </c>
      <c r="B336" s="0" t="s">
        <v>2342</v>
      </c>
      <c r="C336" s="0" t="s">
        <v>84</v>
      </c>
      <c r="D336" s="14" t="n">
        <v>45970</v>
      </c>
      <c r="E336" s="0" t="n">
        <v>2002.66</v>
      </c>
      <c r="F336" s="15" t="s">
        <v>292</v>
      </c>
    </row>
    <row r="337" customFormat="false" ht="15" hidden="false" customHeight="false" outlineLevel="0" collapsed="false">
      <c r="A337" s="0" t="s">
        <v>3176</v>
      </c>
      <c r="B337" s="0" t="s">
        <v>2343</v>
      </c>
      <c r="C337" s="0" t="s">
        <v>152</v>
      </c>
      <c r="D337" s="14" t="n">
        <v>45969</v>
      </c>
      <c r="E337" s="0" t="n">
        <v>1387.72</v>
      </c>
      <c r="F337" s="15" t="s">
        <v>282</v>
      </c>
    </row>
    <row r="338" customFormat="false" ht="15" hidden="false" customHeight="false" outlineLevel="0" collapsed="false">
      <c r="A338" s="0" t="s">
        <v>3177</v>
      </c>
      <c r="B338" s="0" t="s">
        <v>2344</v>
      </c>
      <c r="C338" s="0" t="s">
        <v>183</v>
      </c>
      <c r="D338" s="14" t="n">
        <v>45752</v>
      </c>
      <c r="E338" s="0" t="n">
        <v>2387.19</v>
      </c>
      <c r="F338" s="15" t="s">
        <v>282</v>
      </c>
    </row>
    <row r="339" customFormat="false" ht="15" hidden="false" customHeight="false" outlineLevel="0" collapsed="false">
      <c r="A339" s="0" t="s">
        <v>3178</v>
      </c>
      <c r="B339" s="0" t="s">
        <v>2345</v>
      </c>
      <c r="C339" s="0" t="s">
        <v>125</v>
      </c>
      <c r="D339" s="14" t="n">
        <v>45699</v>
      </c>
      <c r="E339" s="0" t="n">
        <v>4785.43</v>
      </c>
      <c r="F339" s="15" t="s">
        <v>313</v>
      </c>
    </row>
    <row r="340" customFormat="false" ht="15" hidden="false" customHeight="false" outlineLevel="0" collapsed="false">
      <c r="A340" s="0" t="s">
        <v>3179</v>
      </c>
      <c r="B340" s="0" t="s">
        <v>2346</v>
      </c>
      <c r="C340" s="0" t="s">
        <v>84</v>
      </c>
      <c r="D340" s="14" t="n">
        <v>45934</v>
      </c>
      <c r="E340" s="0" t="n">
        <v>543.23</v>
      </c>
      <c r="F340" s="15" t="s">
        <v>313</v>
      </c>
    </row>
    <row r="341" customFormat="false" ht="15" hidden="false" customHeight="false" outlineLevel="0" collapsed="false">
      <c r="A341" s="0" t="s">
        <v>3180</v>
      </c>
      <c r="B341" s="0" t="s">
        <v>2348</v>
      </c>
      <c r="C341" s="0" t="s">
        <v>161</v>
      </c>
      <c r="D341" s="14" t="n">
        <v>45883</v>
      </c>
      <c r="E341" s="0" t="n">
        <v>327.34</v>
      </c>
      <c r="F341" s="15" t="s">
        <v>287</v>
      </c>
    </row>
    <row r="342" customFormat="false" ht="15" hidden="false" customHeight="false" outlineLevel="0" collapsed="false">
      <c r="A342" s="0" t="s">
        <v>3181</v>
      </c>
      <c r="B342" s="0" t="s">
        <v>2349</v>
      </c>
      <c r="C342" s="0" t="s">
        <v>161</v>
      </c>
      <c r="D342" s="14" t="n">
        <v>45863</v>
      </c>
      <c r="E342" s="0" t="n">
        <v>327.34</v>
      </c>
      <c r="F342" s="15" t="s">
        <v>287</v>
      </c>
    </row>
    <row r="343" customFormat="false" ht="15" hidden="false" customHeight="false" outlineLevel="0" collapsed="false">
      <c r="A343" s="0" t="s">
        <v>3182</v>
      </c>
      <c r="B343" s="0" t="s">
        <v>2350</v>
      </c>
      <c r="C343" s="0" t="s">
        <v>84</v>
      </c>
      <c r="D343" s="14" t="n">
        <v>45826</v>
      </c>
      <c r="E343" s="0" t="n">
        <v>2106.84</v>
      </c>
      <c r="F343" s="15" t="s">
        <v>321</v>
      </c>
    </row>
    <row r="344" customFormat="false" ht="15" hidden="false" customHeight="false" outlineLevel="0" collapsed="false">
      <c r="A344" s="0" t="s">
        <v>3183</v>
      </c>
      <c r="B344" s="0" t="s">
        <v>2351</v>
      </c>
      <c r="C344" s="0" t="s">
        <v>140</v>
      </c>
      <c r="D344" s="14" t="n">
        <v>45746</v>
      </c>
      <c r="E344" s="0" t="n">
        <v>175.5</v>
      </c>
      <c r="F344" s="15" t="s">
        <v>287</v>
      </c>
    </row>
    <row r="345" customFormat="false" ht="15" hidden="false" customHeight="false" outlineLevel="0" collapsed="false">
      <c r="A345" s="0" t="s">
        <v>3184</v>
      </c>
      <c r="B345" s="0" t="s">
        <v>2353</v>
      </c>
      <c r="C345" s="0" t="s">
        <v>152</v>
      </c>
      <c r="D345" s="14" t="n">
        <v>46146</v>
      </c>
      <c r="E345" s="0" t="n">
        <v>3683.41</v>
      </c>
      <c r="F345" s="15" t="s">
        <v>321</v>
      </c>
    </row>
    <row r="346" customFormat="false" ht="15" hidden="false" customHeight="false" outlineLevel="0" collapsed="false">
      <c r="A346" s="0" t="s">
        <v>3185</v>
      </c>
      <c r="B346" s="0" t="s">
        <v>2354</v>
      </c>
      <c r="C346" s="0" t="s">
        <v>195</v>
      </c>
      <c r="D346" s="14" t="n">
        <v>46004</v>
      </c>
      <c r="E346" s="0" t="n">
        <v>1037.11</v>
      </c>
      <c r="F346" s="15" t="s">
        <v>282</v>
      </c>
    </row>
    <row r="347" customFormat="false" ht="15" hidden="false" customHeight="false" outlineLevel="0" collapsed="false">
      <c r="A347" s="0" t="s">
        <v>3186</v>
      </c>
      <c r="B347" s="0" t="s">
        <v>2357</v>
      </c>
      <c r="C347" s="0" t="s">
        <v>99</v>
      </c>
      <c r="D347" s="14" t="n">
        <v>46059</v>
      </c>
      <c r="E347" s="0" t="n">
        <v>688.7</v>
      </c>
      <c r="F347" s="15" t="s">
        <v>287</v>
      </c>
    </row>
    <row r="348" customFormat="false" ht="15" hidden="false" customHeight="false" outlineLevel="0" collapsed="false">
      <c r="A348" s="0" t="s">
        <v>3187</v>
      </c>
      <c r="B348" s="0" t="s">
        <v>2358</v>
      </c>
      <c r="C348" s="0" t="s">
        <v>155</v>
      </c>
      <c r="D348" s="14" t="n">
        <v>45835</v>
      </c>
      <c r="E348" s="0" t="n">
        <v>8582.35</v>
      </c>
      <c r="F348" s="15" t="s">
        <v>282</v>
      </c>
    </row>
    <row r="349" customFormat="false" ht="15" hidden="false" customHeight="false" outlineLevel="0" collapsed="false">
      <c r="A349" s="0" t="s">
        <v>3188</v>
      </c>
      <c r="B349" s="0" t="s">
        <v>2359</v>
      </c>
      <c r="C349" s="0" t="s">
        <v>112</v>
      </c>
      <c r="D349" s="14" t="n">
        <v>45709</v>
      </c>
      <c r="E349" s="0" t="n">
        <v>4765.55</v>
      </c>
      <c r="F349" s="15" t="s">
        <v>302</v>
      </c>
    </row>
    <row r="350" customFormat="false" ht="15" hidden="false" customHeight="false" outlineLevel="0" collapsed="false">
      <c r="A350" s="0" t="s">
        <v>3189</v>
      </c>
      <c r="B350" s="0" t="s">
        <v>2360</v>
      </c>
      <c r="C350" s="0" t="s">
        <v>75</v>
      </c>
      <c r="D350" s="14" t="n">
        <v>46095</v>
      </c>
      <c r="E350" s="0" t="n">
        <v>3276.88</v>
      </c>
      <c r="F350" s="15" t="s">
        <v>279</v>
      </c>
    </row>
    <row r="351" customFormat="false" ht="15" hidden="false" customHeight="false" outlineLevel="0" collapsed="false">
      <c r="A351" s="0" t="s">
        <v>3190</v>
      </c>
      <c r="B351" s="0" t="s">
        <v>2361</v>
      </c>
      <c r="C351" s="0" t="s">
        <v>180</v>
      </c>
      <c r="D351" s="14" t="n">
        <v>45933</v>
      </c>
      <c r="E351" s="0" t="n">
        <v>1027.11</v>
      </c>
      <c r="F351" s="15" t="s">
        <v>321</v>
      </c>
    </row>
    <row r="352" customFormat="false" ht="15" hidden="false" customHeight="false" outlineLevel="0" collapsed="false">
      <c r="A352" s="0" t="s">
        <v>3191</v>
      </c>
      <c r="B352" s="0" t="s">
        <v>2362</v>
      </c>
      <c r="C352" s="0" t="s">
        <v>180</v>
      </c>
      <c r="D352" s="14" t="n">
        <v>45949</v>
      </c>
      <c r="E352" s="0" t="n">
        <v>1027.11</v>
      </c>
      <c r="F352" s="15" t="s">
        <v>282</v>
      </c>
    </row>
    <row r="353" customFormat="false" ht="15" hidden="false" customHeight="false" outlineLevel="0" collapsed="false">
      <c r="A353" s="0" t="s">
        <v>3192</v>
      </c>
      <c r="B353" s="0" t="s">
        <v>2363</v>
      </c>
      <c r="C353" s="0" t="s">
        <v>171</v>
      </c>
      <c r="D353" s="14" t="n">
        <v>46065</v>
      </c>
      <c r="E353" s="0" t="n">
        <v>4853.33</v>
      </c>
      <c r="F353" s="15" t="s">
        <v>292</v>
      </c>
    </row>
    <row r="354" customFormat="false" ht="15" hidden="false" customHeight="false" outlineLevel="0" collapsed="false">
      <c r="A354" s="0" t="s">
        <v>3193</v>
      </c>
      <c r="B354" s="0" t="s">
        <v>2364</v>
      </c>
      <c r="C354" s="0" t="s">
        <v>131</v>
      </c>
      <c r="D354" s="14" t="n">
        <v>46192</v>
      </c>
      <c r="E354" s="0" t="n">
        <v>4213.88</v>
      </c>
      <c r="F354" s="15" t="s">
        <v>282</v>
      </c>
    </row>
    <row r="355" customFormat="false" ht="15" hidden="false" customHeight="false" outlineLevel="0" collapsed="false">
      <c r="A355" s="0" t="s">
        <v>3194</v>
      </c>
      <c r="B355" s="0" t="s">
        <v>2365</v>
      </c>
      <c r="C355" s="0" t="s">
        <v>134</v>
      </c>
      <c r="D355" s="14" t="n">
        <v>45787</v>
      </c>
      <c r="E355" s="0" t="n">
        <v>1024.13</v>
      </c>
      <c r="F355" s="15" t="s">
        <v>282</v>
      </c>
    </row>
    <row r="356" customFormat="false" ht="15" hidden="false" customHeight="false" outlineLevel="0" collapsed="false">
      <c r="A356" s="0" t="s">
        <v>3195</v>
      </c>
      <c r="B356" s="0" t="s">
        <v>2366</v>
      </c>
      <c r="C356" s="0" t="s">
        <v>75</v>
      </c>
      <c r="D356" s="14" t="n">
        <v>45994</v>
      </c>
      <c r="E356" s="0" t="n">
        <v>6836.7</v>
      </c>
      <c r="F356" s="15" t="s">
        <v>321</v>
      </c>
    </row>
    <row r="357" customFormat="false" ht="15" hidden="false" customHeight="false" outlineLevel="0" collapsed="false">
      <c r="A357" s="0" t="s">
        <v>3196</v>
      </c>
      <c r="B357" s="0" t="s">
        <v>2367</v>
      </c>
      <c r="C357" s="0" t="s">
        <v>167</v>
      </c>
      <c r="D357" s="14" t="n">
        <v>46058</v>
      </c>
      <c r="E357" s="0" t="n">
        <v>2800.96</v>
      </c>
      <c r="F357" s="15" t="s">
        <v>290</v>
      </c>
    </row>
    <row r="358" customFormat="false" ht="15" hidden="false" customHeight="false" outlineLevel="0" collapsed="false">
      <c r="A358" s="0" t="s">
        <v>3197</v>
      </c>
      <c r="B358" s="0" t="s">
        <v>2368</v>
      </c>
      <c r="C358" s="0" t="s">
        <v>84</v>
      </c>
      <c r="D358" s="14" t="n">
        <v>45958</v>
      </c>
      <c r="E358" s="0" t="n">
        <v>2607.21</v>
      </c>
      <c r="F358" s="15" t="s">
        <v>313</v>
      </c>
    </row>
    <row r="359" customFormat="false" ht="15" hidden="false" customHeight="false" outlineLevel="0" collapsed="false">
      <c r="A359" s="0" t="s">
        <v>3198</v>
      </c>
      <c r="B359" s="0" t="s">
        <v>2369</v>
      </c>
      <c r="C359" s="0" t="s">
        <v>122</v>
      </c>
      <c r="D359" s="14" t="n">
        <v>45742</v>
      </c>
      <c r="E359" s="0" t="n">
        <v>3346.97</v>
      </c>
      <c r="F359" s="15" t="s">
        <v>313</v>
      </c>
    </row>
    <row r="360" customFormat="false" ht="15" hidden="false" customHeight="false" outlineLevel="0" collapsed="false">
      <c r="A360" s="0" t="s">
        <v>3199</v>
      </c>
      <c r="B360" s="0" t="s">
        <v>2370</v>
      </c>
      <c r="C360" s="0" t="s">
        <v>164</v>
      </c>
      <c r="D360" s="14" t="n">
        <v>45871</v>
      </c>
      <c r="E360" s="0" t="n">
        <v>927.7</v>
      </c>
      <c r="F360" s="15" t="s">
        <v>302</v>
      </c>
    </row>
    <row r="361" customFormat="false" ht="15" hidden="false" customHeight="false" outlineLevel="0" collapsed="false">
      <c r="A361" s="0" t="s">
        <v>3200</v>
      </c>
      <c r="B361" s="0" t="s">
        <v>2371</v>
      </c>
      <c r="C361" s="0" t="s">
        <v>134</v>
      </c>
      <c r="D361" s="14" t="n">
        <v>45871</v>
      </c>
      <c r="E361" s="0" t="n">
        <v>1759.54</v>
      </c>
      <c r="F361" s="15" t="s">
        <v>290</v>
      </c>
    </row>
    <row r="362" customFormat="false" ht="15" hidden="false" customHeight="false" outlineLevel="0" collapsed="false">
      <c r="A362" s="0" t="s">
        <v>3201</v>
      </c>
      <c r="B362" s="0" t="s">
        <v>2372</v>
      </c>
      <c r="C362" s="0" t="s">
        <v>167</v>
      </c>
      <c r="D362" s="14" t="n">
        <v>46061</v>
      </c>
      <c r="E362" s="0" t="n">
        <v>1478.45</v>
      </c>
      <c r="F362" s="15" t="s">
        <v>313</v>
      </c>
    </row>
    <row r="363" customFormat="false" ht="15" hidden="false" customHeight="false" outlineLevel="0" collapsed="false">
      <c r="A363" s="0" t="s">
        <v>3202</v>
      </c>
      <c r="B363" s="0" t="s">
        <v>2373</v>
      </c>
      <c r="C363" s="0" t="s">
        <v>158</v>
      </c>
      <c r="D363" s="14" t="n">
        <v>46145</v>
      </c>
      <c r="E363" s="0" t="n">
        <v>5195.5</v>
      </c>
      <c r="F363" s="15" t="s">
        <v>279</v>
      </c>
    </row>
    <row r="364" customFormat="false" ht="15" hidden="false" customHeight="false" outlineLevel="0" collapsed="false">
      <c r="A364" s="0" t="s">
        <v>3203</v>
      </c>
      <c r="B364" s="0" t="s">
        <v>2374</v>
      </c>
      <c r="C364" s="0" t="s">
        <v>155</v>
      </c>
      <c r="D364" s="14" t="n">
        <v>45892</v>
      </c>
      <c r="E364" s="0" t="n">
        <v>3949.44</v>
      </c>
      <c r="F364" s="15" t="s">
        <v>290</v>
      </c>
    </row>
    <row r="365" customFormat="false" ht="15" hidden="false" customHeight="false" outlineLevel="0" collapsed="false">
      <c r="A365" s="0" t="s">
        <v>3204</v>
      </c>
      <c r="B365" s="0" t="s">
        <v>2375</v>
      </c>
      <c r="C365" s="0" t="s">
        <v>174</v>
      </c>
      <c r="D365" s="14" t="n">
        <v>46048</v>
      </c>
      <c r="E365" s="0" t="n">
        <v>1814.72</v>
      </c>
      <c r="F365" s="15" t="s">
        <v>292</v>
      </c>
    </row>
    <row r="366" customFormat="false" ht="15" hidden="false" customHeight="false" outlineLevel="0" collapsed="false">
      <c r="A366" s="0" t="s">
        <v>3205</v>
      </c>
      <c r="B366" s="0" t="s">
        <v>2376</v>
      </c>
      <c r="C366" s="0" t="s">
        <v>80</v>
      </c>
      <c r="D366" s="14" t="n">
        <v>45833</v>
      </c>
      <c r="E366" s="0" t="n">
        <v>3826.85</v>
      </c>
      <c r="F366" s="15" t="s">
        <v>279</v>
      </c>
    </row>
    <row r="367" customFormat="false" ht="15" hidden="false" customHeight="false" outlineLevel="0" collapsed="false">
      <c r="A367" s="0" t="s">
        <v>3206</v>
      </c>
      <c r="B367" s="0" t="s">
        <v>2377</v>
      </c>
      <c r="C367" s="0" t="s">
        <v>119</v>
      </c>
      <c r="D367" s="14" t="n">
        <v>46200</v>
      </c>
      <c r="E367" s="0" t="n">
        <v>1836.32</v>
      </c>
      <c r="F367" s="15" t="s">
        <v>292</v>
      </c>
    </row>
    <row r="368" customFormat="false" ht="15" hidden="false" customHeight="false" outlineLevel="0" collapsed="false">
      <c r="A368" s="0" t="s">
        <v>3207</v>
      </c>
      <c r="B368" s="0" t="s">
        <v>2379</v>
      </c>
      <c r="C368" s="0" t="s">
        <v>116</v>
      </c>
      <c r="D368" s="14" t="n">
        <v>45978</v>
      </c>
      <c r="E368" s="0" t="n">
        <v>7023.92</v>
      </c>
      <c r="F368" s="15" t="s">
        <v>290</v>
      </c>
    </row>
    <row r="369" customFormat="false" ht="15" hidden="false" customHeight="false" outlineLevel="0" collapsed="false">
      <c r="A369" s="0" t="s">
        <v>3208</v>
      </c>
      <c r="B369" s="0" t="s">
        <v>2380</v>
      </c>
      <c r="C369" s="0" t="s">
        <v>146</v>
      </c>
      <c r="D369" s="14" t="n">
        <v>45920</v>
      </c>
      <c r="E369" s="0" t="n">
        <v>3586.35</v>
      </c>
      <c r="F369" s="15" t="s">
        <v>313</v>
      </c>
    </row>
    <row r="370" customFormat="false" ht="15" hidden="false" customHeight="false" outlineLevel="0" collapsed="false">
      <c r="A370" s="0" t="s">
        <v>3209</v>
      </c>
      <c r="B370" s="0" t="s">
        <v>2381</v>
      </c>
      <c r="C370" s="0" t="s">
        <v>167</v>
      </c>
      <c r="D370" s="14" t="n">
        <v>45862</v>
      </c>
      <c r="E370" s="0" t="n">
        <v>3705.05</v>
      </c>
      <c r="F370" s="15" t="s">
        <v>321</v>
      </c>
    </row>
    <row r="371" customFormat="false" ht="15" hidden="false" customHeight="false" outlineLevel="0" collapsed="false">
      <c r="A371" s="0" t="s">
        <v>3210</v>
      </c>
      <c r="B371" s="0" t="s">
        <v>2382</v>
      </c>
      <c r="C371" s="0" t="s">
        <v>89</v>
      </c>
      <c r="D371" s="14" t="n">
        <v>45860</v>
      </c>
      <c r="E371" s="0" t="n">
        <v>4579.99</v>
      </c>
      <c r="F371" s="15" t="s">
        <v>282</v>
      </c>
    </row>
    <row r="372" customFormat="false" ht="15" hidden="false" customHeight="false" outlineLevel="0" collapsed="false">
      <c r="A372" s="0" t="s">
        <v>3211</v>
      </c>
      <c r="B372" s="0" t="s">
        <v>2384</v>
      </c>
      <c r="C372" s="0" t="s">
        <v>109</v>
      </c>
      <c r="D372" s="14" t="n">
        <v>45907</v>
      </c>
      <c r="E372" s="0" t="n">
        <v>1348.19</v>
      </c>
      <c r="F372" s="15" t="s">
        <v>313</v>
      </c>
    </row>
    <row r="373" customFormat="false" ht="15" hidden="false" customHeight="false" outlineLevel="0" collapsed="false">
      <c r="A373" s="0" t="s">
        <v>3212</v>
      </c>
      <c r="B373" s="0" t="s">
        <v>2384</v>
      </c>
      <c r="C373" s="0" t="s">
        <v>109</v>
      </c>
      <c r="D373" s="14" t="n">
        <v>45913</v>
      </c>
      <c r="E373" s="0" t="n">
        <v>1348.19</v>
      </c>
      <c r="F373" s="15" t="s">
        <v>292</v>
      </c>
    </row>
    <row r="374" customFormat="false" ht="15" hidden="false" customHeight="false" outlineLevel="0" collapsed="false">
      <c r="A374" s="0" t="s">
        <v>3213</v>
      </c>
      <c r="B374" s="0" t="s">
        <v>2385</v>
      </c>
      <c r="C374" s="0" t="s">
        <v>134</v>
      </c>
      <c r="D374" s="14" t="n">
        <v>45991</v>
      </c>
      <c r="E374" s="0" t="n">
        <v>2579.5</v>
      </c>
      <c r="F374" s="15" t="s">
        <v>279</v>
      </c>
    </row>
    <row r="375" customFormat="false" ht="15" hidden="false" customHeight="false" outlineLevel="0" collapsed="false">
      <c r="A375" s="0" t="s">
        <v>3214</v>
      </c>
      <c r="B375" s="0" t="s">
        <v>2387</v>
      </c>
      <c r="C375" s="0" t="s">
        <v>183</v>
      </c>
      <c r="D375" s="14" t="n">
        <v>46052</v>
      </c>
      <c r="E375" s="0" t="n">
        <v>1850.75</v>
      </c>
      <c r="F375" s="15" t="s">
        <v>282</v>
      </c>
    </row>
    <row r="376" customFormat="false" ht="15" hidden="false" customHeight="false" outlineLevel="0" collapsed="false">
      <c r="A376" s="0" t="s">
        <v>3215</v>
      </c>
      <c r="B376" s="0" t="s">
        <v>2388</v>
      </c>
      <c r="C376" s="0" t="s">
        <v>93</v>
      </c>
      <c r="D376" s="14" t="n">
        <v>45972</v>
      </c>
      <c r="E376" s="0" t="n">
        <v>1673.73</v>
      </c>
      <c r="F376" s="15" t="s">
        <v>313</v>
      </c>
    </row>
    <row r="377" customFormat="false" ht="15" hidden="false" customHeight="false" outlineLevel="0" collapsed="false">
      <c r="A377" s="0" t="s">
        <v>3216</v>
      </c>
      <c r="B377" s="0" t="s">
        <v>2389</v>
      </c>
      <c r="C377" s="0" t="s">
        <v>75</v>
      </c>
      <c r="D377" s="14" t="n">
        <v>45929</v>
      </c>
      <c r="E377" s="0" t="n">
        <v>3809.51</v>
      </c>
      <c r="F377" s="15" t="s">
        <v>282</v>
      </c>
    </row>
    <row r="378" customFormat="false" ht="15" hidden="false" customHeight="false" outlineLevel="0" collapsed="false">
      <c r="A378" s="0" t="s">
        <v>3217</v>
      </c>
      <c r="B378" s="0" t="s">
        <v>2391</v>
      </c>
      <c r="C378" s="0" t="s">
        <v>96</v>
      </c>
      <c r="D378" s="14" t="n">
        <v>45885</v>
      </c>
      <c r="E378" s="0" t="n">
        <v>1115.7</v>
      </c>
      <c r="F378" s="15" t="s">
        <v>313</v>
      </c>
    </row>
    <row r="379" customFormat="false" ht="15" hidden="false" customHeight="false" outlineLevel="0" collapsed="false">
      <c r="A379" s="0" t="s">
        <v>3218</v>
      </c>
      <c r="B379" s="0" t="s">
        <v>2392</v>
      </c>
      <c r="C379" s="0" t="s">
        <v>137</v>
      </c>
      <c r="D379" s="14" t="n">
        <v>46104</v>
      </c>
      <c r="E379" s="0" t="n">
        <v>1572.78</v>
      </c>
      <c r="F379" s="15" t="s">
        <v>287</v>
      </c>
    </row>
    <row r="380" customFormat="false" ht="15" hidden="false" customHeight="false" outlineLevel="0" collapsed="false">
      <c r="A380" s="0" t="s">
        <v>3219</v>
      </c>
      <c r="B380" s="0" t="s">
        <v>2393</v>
      </c>
      <c r="C380" s="0" t="s">
        <v>155</v>
      </c>
      <c r="D380" s="14" t="n">
        <v>46029</v>
      </c>
      <c r="E380" s="0" t="n">
        <v>1440.58</v>
      </c>
      <c r="F380" s="15" t="s">
        <v>282</v>
      </c>
    </row>
    <row r="381" customFormat="false" ht="15" hidden="false" customHeight="false" outlineLevel="0" collapsed="false">
      <c r="A381" s="0" t="s">
        <v>3220</v>
      </c>
      <c r="B381" s="0" t="s">
        <v>2394</v>
      </c>
      <c r="C381" s="0" t="s">
        <v>140</v>
      </c>
      <c r="D381" s="14" t="n">
        <v>46124</v>
      </c>
      <c r="E381" s="0" t="n">
        <v>308.34</v>
      </c>
      <c r="F381" s="15" t="s">
        <v>292</v>
      </c>
    </row>
    <row r="382" customFormat="false" ht="15" hidden="false" customHeight="false" outlineLevel="0" collapsed="false">
      <c r="A382" s="0" t="s">
        <v>3221</v>
      </c>
      <c r="B382" s="0" t="s">
        <v>2395</v>
      </c>
      <c r="C382" s="0" t="s">
        <v>183</v>
      </c>
      <c r="D382" s="14" t="n">
        <v>45790</v>
      </c>
      <c r="E382" s="0" t="n">
        <v>303.89</v>
      </c>
      <c r="F382" s="15" t="s">
        <v>302</v>
      </c>
    </row>
    <row r="383" customFormat="false" ht="15" hidden="false" customHeight="false" outlineLevel="0" collapsed="false">
      <c r="A383" s="0" t="s">
        <v>3222</v>
      </c>
      <c r="B383" s="0" t="s">
        <v>2396</v>
      </c>
      <c r="C383" s="0" t="s">
        <v>149</v>
      </c>
      <c r="D383" s="14" t="n">
        <v>45984</v>
      </c>
      <c r="E383" s="0" t="n">
        <v>4223.32</v>
      </c>
      <c r="F383" s="15" t="s">
        <v>290</v>
      </c>
    </row>
    <row r="384" customFormat="false" ht="15" hidden="false" customHeight="false" outlineLevel="0" collapsed="false">
      <c r="A384" s="0" t="s">
        <v>3223</v>
      </c>
      <c r="B384" s="0" t="s">
        <v>2397</v>
      </c>
      <c r="C384" s="0" t="s">
        <v>125</v>
      </c>
      <c r="D384" s="14" t="n">
        <v>46185</v>
      </c>
      <c r="E384" s="0" t="n">
        <v>1084.38</v>
      </c>
      <c r="F384" s="15" t="s">
        <v>279</v>
      </c>
    </row>
    <row r="385" customFormat="false" ht="15" hidden="false" customHeight="false" outlineLevel="0" collapsed="false">
      <c r="A385" s="0" t="s">
        <v>3224</v>
      </c>
      <c r="B385" s="0" t="s">
        <v>2398</v>
      </c>
      <c r="C385" s="0" t="s">
        <v>192</v>
      </c>
      <c r="D385" s="14" t="n">
        <v>45908</v>
      </c>
      <c r="E385" s="0" t="n">
        <v>3288.85</v>
      </c>
      <c r="F385" s="15" t="s">
        <v>279</v>
      </c>
    </row>
    <row r="386" customFormat="false" ht="15" hidden="false" customHeight="false" outlineLevel="0" collapsed="false">
      <c r="A386" s="0" t="s">
        <v>3225</v>
      </c>
      <c r="B386" s="0" t="s">
        <v>2399</v>
      </c>
      <c r="C386" s="0" t="s">
        <v>75</v>
      </c>
      <c r="D386" s="14" t="n">
        <v>46078</v>
      </c>
      <c r="E386" s="0" t="n">
        <v>2979.58</v>
      </c>
      <c r="F386" s="15" t="s">
        <v>321</v>
      </c>
    </row>
    <row r="387" customFormat="false" ht="15" hidden="false" customHeight="false" outlineLevel="0" collapsed="false">
      <c r="A387" s="0" t="s">
        <v>3226</v>
      </c>
      <c r="B387" s="0" t="s">
        <v>2400</v>
      </c>
      <c r="C387" s="0" t="s">
        <v>134</v>
      </c>
      <c r="D387" s="14" t="n">
        <v>45732</v>
      </c>
      <c r="E387" s="0" t="n">
        <v>209.66</v>
      </c>
      <c r="F387" s="15" t="s">
        <v>282</v>
      </c>
    </row>
    <row r="388" customFormat="false" ht="15" hidden="false" customHeight="false" outlineLevel="0" collapsed="false">
      <c r="A388" s="0" t="s">
        <v>3227</v>
      </c>
      <c r="B388" s="0" t="s">
        <v>2401</v>
      </c>
      <c r="C388" s="0" t="s">
        <v>192</v>
      </c>
      <c r="D388" s="14" t="n">
        <v>46198</v>
      </c>
      <c r="E388" s="0" t="n">
        <v>3415.67</v>
      </c>
      <c r="F388" s="15" t="s">
        <v>279</v>
      </c>
    </row>
    <row r="389" customFormat="false" ht="15" hidden="false" customHeight="false" outlineLevel="0" collapsed="false">
      <c r="A389" s="0" t="s">
        <v>3228</v>
      </c>
      <c r="B389" s="0" t="s">
        <v>2403</v>
      </c>
      <c r="C389" s="0" t="s">
        <v>158</v>
      </c>
      <c r="D389" s="14" t="n">
        <v>46011</v>
      </c>
      <c r="E389" s="0" t="n">
        <v>1992.56</v>
      </c>
      <c r="F389" s="15" t="s">
        <v>279</v>
      </c>
    </row>
    <row r="390" customFormat="false" ht="15" hidden="false" customHeight="false" outlineLevel="0" collapsed="false">
      <c r="A390" s="0" t="s">
        <v>3229</v>
      </c>
      <c r="B390" s="0" t="s">
        <v>2404</v>
      </c>
      <c r="C390" s="0" t="s">
        <v>70</v>
      </c>
      <c r="D390" s="14" t="n">
        <v>45820</v>
      </c>
      <c r="E390" s="0" t="n">
        <v>2035.46</v>
      </c>
      <c r="F390" s="15" t="s">
        <v>282</v>
      </c>
    </row>
    <row r="391" customFormat="false" ht="15" hidden="false" customHeight="false" outlineLevel="0" collapsed="false">
      <c r="A391" s="0" t="s">
        <v>3230</v>
      </c>
      <c r="B391" s="0" t="s">
        <v>2405</v>
      </c>
      <c r="C391" s="0" t="s">
        <v>93</v>
      </c>
      <c r="D391" s="14" t="n">
        <v>45757</v>
      </c>
      <c r="E391" s="0" t="n">
        <v>9019.36</v>
      </c>
      <c r="F391" s="15" t="s">
        <v>290</v>
      </c>
    </row>
    <row r="392" customFormat="false" ht="15" hidden="false" customHeight="false" outlineLevel="0" collapsed="false">
      <c r="A392" s="0" t="s">
        <v>3231</v>
      </c>
      <c r="B392" s="0" t="s">
        <v>2406</v>
      </c>
      <c r="C392" s="0" t="s">
        <v>128</v>
      </c>
      <c r="D392" s="14" t="n">
        <v>45989</v>
      </c>
      <c r="E392" s="0" t="n">
        <v>1812.95</v>
      </c>
      <c r="F392" s="15" t="s">
        <v>292</v>
      </c>
    </row>
    <row r="393" customFormat="false" ht="15" hidden="false" customHeight="false" outlineLevel="0" collapsed="false">
      <c r="A393" s="0" t="s">
        <v>3232</v>
      </c>
      <c r="B393" s="0" t="s">
        <v>2407</v>
      </c>
      <c r="C393" s="0" t="s">
        <v>149</v>
      </c>
      <c r="D393" s="14" t="n">
        <v>45997</v>
      </c>
      <c r="E393" s="0" t="n">
        <v>1047.46</v>
      </c>
      <c r="F393" s="15" t="s">
        <v>313</v>
      </c>
    </row>
    <row r="394" customFormat="false" ht="15" hidden="false" customHeight="false" outlineLevel="0" collapsed="false">
      <c r="A394" s="0" t="s">
        <v>3233</v>
      </c>
      <c r="B394" s="0" t="s">
        <v>2408</v>
      </c>
      <c r="C394" s="0" t="s">
        <v>104</v>
      </c>
      <c r="D394" s="14" t="n">
        <v>45727</v>
      </c>
      <c r="E394" s="0" t="n">
        <v>3396.34</v>
      </c>
      <c r="F394" s="15" t="s">
        <v>279</v>
      </c>
    </row>
    <row r="395" customFormat="false" ht="15" hidden="false" customHeight="false" outlineLevel="0" collapsed="false">
      <c r="A395" s="0" t="s">
        <v>3234</v>
      </c>
      <c r="B395" s="0" t="s">
        <v>2410</v>
      </c>
      <c r="C395" s="0" t="s">
        <v>119</v>
      </c>
      <c r="D395" s="14" t="n">
        <v>46171</v>
      </c>
      <c r="E395" s="0" t="n">
        <v>1201.82</v>
      </c>
      <c r="F395" s="15" t="s">
        <v>279</v>
      </c>
    </row>
    <row r="396" customFormat="false" ht="15" hidden="false" customHeight="false" outlineLevel="0" collapsed="false">
      <c r="A396" s="0" t="s">
        <v>3235</v>
      </c>
      <c r="B396" s="0" t="s">
        <v>2411</v>
      </c>
      <c r="C396" s="0" t="s">
        <v>109</v>
      </c>
      <c r="D396" s="14" t="n">
        <v>45954</v>
      </c>
      <c r="E396" s="0" t="n">
        <v>1494.41</v>
      </c>
      <c r="F396" s="15" t="s">
        <v>302</v>
      </c>
    </row>
    <row r="397" customFormat="false" ht="15" hidden="false" customHeight="false" outlineLevel="0" collapsed="false">
      <c r="A397" s="0" t="s">
        <v>3236</v>
      </c>
      <c r="B397" s="0" t="s">
        <v>2413</v>
      </c>
      <c r="C397" s="0" t="s">
        <v>134</v>
      </c>
      <c r="D397" s="14" t="n">
        <v>46150</v>
      </c>
      <c r="E397" s="0" t="n">
        <v>2064.66</v>
      </c>
      <c r="F397" s="15" t="s">
        <v>290</v>
      </c>
    </row>
    <row r="398" customFormat="false" ht="15" hidden="false" customHeight="false" outlineLevel="0" collapsed="false">
      <c r="A398" s="0" t="s">
        <v>3237</v>
      </c>
      <c r="B398" s="0" t="s">
        <v>2414</v>
      </c>
      <c r="C398" s="0" t="s">
        <v>134</v>
      </c>
      <c r="D398" s="14" t="n">
        <v>45966</v>
      </c>
      <c r="E398" s="0" t="n">
        <v>882.52</v>
      </c>
      <c r="F398" s="15" t="s">
        <v>313</v>
      </c>
    </row>
    <row r="399" customFormat="false" ht="15" hidden="false" customHeight="false" outlineLevel="0" collapsed="false">
      <c r="A399" s="0" t="s">
        <v>3238</v>
      </c>
      <c r="B399" s="0" t="s">
        <v>2415</v>
      </c>
      <c r="C399" s="0" t="s">
        <v>164</v>
      </c>
      <c r="D399" s="14" t="n">
        <v>46086</v>
      </c>
      <c r="E399" s="0" t="n">
        <v>3855.85</v>
      </c>
      <c r="F399" s="15" t="s">
        <v>313</v>
      </c>
    </row>
    <row r="400" customFormat="false" ht="15" hidden="false" customHeight="false" outlineLevel="0" collapsed="false">
      <c r="A400" s="0" t="s">
        <v>3239</v>
      </c>
      <c r="B400" s="0" t="s">
        <v>2416</v>
      </c>
      <c r="C400" s="0" t="s">
        <v>161</v>
      </c>
      <c r="D400" s="14" t="n">
        <v>45939</v>
      </c>
      <c r="E400" s="0" t="n">
        <v>1396.94</v>
      </c>
      <c r="F400" s="15" t="s">
        <v>282</v>
      </c>
    </row>
    <row r="401" customFormat="false" ht="15" hidden="false" customHeight="false" outlineLevel="0" collapsed="false">
      <c r="A401" s="0" t="s">
        <v>3240</v>
      </c>
      <c r="B401" s="0" t="s">
        <v>2417</v>
      </c>
      <c r="C401" s="0" t="s">
        <v>195</v>
      </c>
      <c r="D401" s="14" t="n">
        <v>45832</v>
      </c>
      <c r="E401" s="0" t="n">
        <v>1284.51</v>
      </c>
      <c r="F401" s="15" t="s">
        <v>313</v>
      </c>
    </row>
    <row r="402" customFormat="false" ht="15" hidden="false" customHeight="false" outlineLevel="0" collapsed="false">
      <c r="A402" s="0" t="s">
        <v>3241</v>
      </c>
      <c r="B402" s="0" t="s">
        <v>2418</v>
      </c>
      <c r="C402" s="0" t="s">
        <v>171</v>
      </c>
      <c r="D402" s="14" t="n">
        <v>46149</v>
      </c>
      <c r="E402" s="0" t="n">
        <v>3088.46</v>
      </c>
      <c r="F402" s="15" t="s">
        <v>287</v>
      </c>
    </row>
    <row r="403" customFormat="false" ht="15" hidden="false" customHeight="false" outlineLevel="0" collapsed="false">
      <c r="A403" s="0" t="s">
        <v>3242</v>
      </c>
      <c r="B403" s="0" t="s">
        <v>2420</v>
      </c>
      <c r="C403" s="0" t="s">
        <v>104</v>
      </c>
      <c r="D403" s="14" t="n">
        <v>45810</v>
      </c>
      <c r="E403" s="0" t="n">
        <v>3083.99</v>
      </c>
      <c r="F403" s="15" t="s">
        <v>287</v>
      </c>
    </row>
    <row r="404" customFormat="false" ht="15" hidden="false" customHeight="false" outlineLevel="0" collapsed="false">
      <c r="A404" s="0" t="s">
        <v>3243</v>
      </c>
      <c r="B404" s="0" t="s">
        <v>2422</v>
      </c>
      <c r="C404" s="0" t="s">
        <v>137</v>
      </c>
      <c r="D404" s="14" t="n">
        <v>45903</v>
      </c>
      <c r="E404" s="0" t="n">
        <v>1846.25</v>
      </c>
      <c r="F404" s="15" t="s">
        <v>321</v>
      </c>
    </row>
    <row r="405" customFormat="false" ht="15" hidden="false" customHeight="false" outlineLevel="0" collapsed="false">
      <c r="A405" s="0" t="s">
        <v>3244</v>
      </c>
      <c r="B405" s="0" t="s">
        <v>2426</v>
      </c>
      <c r="C405" s="0" t="s">
        <v>128</v>
      </c>
      <c r="D405" s="14" t="n">
        <v>46168</v>
      </c>
      <c r="E405" s="0" t="n">
        <v>4660.66</v>
      </c>
      <c r="F405" s="15" t="s">
        <v>302</v>
      </c>
    </row>
    <row r="406" customFormat="false" ht="15" hidden="false" customHeight="false" outlineLevel="0" collapsed="false">
      <c r="A406" s="0" t="s">
        <v>3245</v>
      </c>
      <c r="B406" s="0" t="s">
        <v>2427</v>
      </c>
      <c r="C406" s="0" t="s">
        <v>112</v>
      </c>
      <c r="D406" s="14" t="n">
        <v>45854</v>
      </c>
      <c r="E406" s="0" t="n">
        <v>4354.54</v>
      </c>
      <c r="F406" s="15" t="s">
        <v>292</v>
      </c>
    </row>
    <row r="407" customFormat="false" ht="15" hidden="false" customHeight="false" outlineLevel="0" collapsed="false">
      <c r="A407" s="0" t="s">
        <v>3246</v>
      </c>
      <c r="B407" s="0" t="s">
        <v>2428</v>
      </c>
      <c r="C407" s="0" t="s">
        <v>96</v>
      </c>
      <c r="D407" s="14" t="n">
        <v>46115</v>
      </c>
      <c r="E407" s="0" t="n">
        <v>1820.28</v>
      </c>
      <c r="F407" s="15" t="s">
        <v>279</v>
      </c>
    </row>
    <row r="408" customFormat="false" ht="15" hidden="false" customHeight="false" outlineLevel="0" collapsed="false">
      <c r="A408" s="0" t="s">
        <v>3247</v>
      </c>
      <c r="B408" s="0" t="s">
        <v>2431</v>
      </c>
      <c r="C408" s="0" t="s">
        <v>119</v>
      </c>
      <c r="D408" s="14" t="n">
        <v>45983</v>
      </c>
      <c r="E408" s="0" t="n">
        <v>1334.13</v>
      </c>
      <c r="F408" s="15" t="s">
        <v>321</v>
      </c>
    </row>
    <row r="409" customFormat="false" ht="15" hidden="false" customHeight="false" outlineLevel="0" collapsed="false">
      <c r="A409" s="0" t="s">
        <v>3248</v>
      </c>
      <c r="B409" s="0" t="s">
        <v>2432</v>
      </c>
      <c r="C409" s="0" t="s">
        <v>112</v>
      </c>
      <c r="D409" s="14" t="n">
        <v>46154</v>
      </c>
      <c r="E409" s="0" t="n">
        <v>2328.91</v>
      </c>
      <c r="F409" s="15" t="s">
        <v>279</v>
      </c>
    </row>
    <row r="410" customFormat="false" ht="15" hidden="false" customHeight="false" outlineLevel="0" collapsed="false">
      <c r="A410" s="0" t="s">
        <v>3249</v>
      </c>
      <c r="B410" s="0" t="s">
        <v>2433</v>
      </c>
      <c r="C410" s="0" t="s">
        <v>189</v>
      </c>
      <c r="D410" s="14" t="n">
        <v>45843</v>
      </c>
      <c r="E410" s="0" t="n">
        <v>460.42</v>
      </c>
      <c r="F410" s="15" t="s">
        <v>292</v>
      </c>
    </row>
    <row r="411" customFormat="false" ht="15" hidden="false" customHeight="false" outlineLevel="0" collapsed="false">
      <c r="A411" s="0" t="s">
        <v>3250</v>
      </c>
      <c r="B411" s="0" t="s">
        <v>2434</v>
      </c>
      <c r="C411" s="0" t="s">
        <v>171</v>
      </c>
      <c r="D411" s="14" t="n">
        <v>45849</v>
      </c>
      <c r="E411" s="0" t="n">
        <v>820.42</v>
      </c>
      <c r="F411" s="15" t="s">
        <v>287</v>
      </c>
    </row>
    <row r="412" customFormat="false" ht="15" hidden="false" customHeight="false" outlineLevel="0" collapsed="false">
      <c r="A412" s="0" t="s">
        <v>3251</v>
      </c>
      <c r="B412" s="0" t="s">
        <v>2435</v>
      </c>
      <c r="C412" s="0" t="s">
        <v>164</v>
      </c>
      <c r="D412" s="14" t="n">
        <v>46010</v>
      </c>
      <c r="E412" s="0" t="n">
        <v>1135.98</v>
      </c>
      <c r="F412" s="15" t="s">
        <v>313</v>
      </c>
    </row>
    <row r="413" customFormat="false" ht="15" hidden="false" customHeight="false" outlineLevel="0" collapsed="false">
      <c r="A413" s="0" t="s">
        <v>3252</v>
      </c>
      <c r="B413" s="0" t="s">
        <v>2435</v>
      </c>
      <c r="C413" s="0" t="s">
        <v>164</v>
      </c>
      <c r="D413" s="14" t="n">
        <v>46012</v>
      </c>
      <c r="E413" s="0" t="n">
        <v>1135.98</v>
      </c>
      <c r="F413" s="15" t="s">
        <v>282</v>
      </c>
    </row>
    <row r="414" customFormat="false" ht="15" hidden="false" customHeight="false" outlineLevel="0" collapsed="false">
      <c r="A414" s="0" t="s">
        <v>3253</v>
      </c>
      <c r="B414" s="0" t="s">
        <v>2436</v>
      </c>
      <c r="C414" s="0" t="s">
        <v>164</v>
      </c>
      <c r="D414" s="14" t="n">
        <v>46000</v>
      </c>
      <c r="E414" s="0" t="n">
        <v>1135.98</v>
      </c>
      <c r="F414" s="15" t="s">
        <v>279</v>
      </c>
    </row>
    <row r="415" customFormat="false" ht="15" hidden="false" customHeight="false" outlineLevel="0" collapsed="false">
      <c r="A415" s="0" t="s">
        <v>3254</v>
      </c>
      <c r="B415" s="0" t="s">
        <v>2438</v>
      </c>
      <c r="C415" s="0" t="s">
        <v>70</v>
      </c>
      <c r="D415" s="14" t="n">
        <v>45949</v>
      </c>
      <c r="E415" s="0" t="n">
        <v>15313.53</v>
      </c>
      <c r="F415" s="15" t="s">
        <v>282</v>
      </c>
    </row>
    <row r="416" customFormat="false" ht="15" hidden="false" customHeight="false" outlineLevel="0" collapsed="false">
      <c r="A416" s="0" t="s">
        <v>3255</v>
      </c>
      <c r="B416" s="0" t="s">
        <v>2439</v>
      </c>
      <c r="C416" s="0" t="s">
        <v>96</v>
      </c>
      <c r="D416" s="14" t="n">
        <v>45749</v>
      </c>
      <c r="E416" s="0" t="n">
        <v>653.1</v>
      </c>
      <c r="F416" s="15" t="s">
        <v>290</v>
      </c>
    </row>
    <row r="417" customFormat="false" ht="15" hidden="false" customHeight="false" outlineLevel="0" collapsed="false">
      <c r="A417" s="0" t="s">
        <v>3256</v>
      </c>
      <c r="B417" s="0" t="s">
        <v>2440</v>
      </c>
      <c r="C417" s="0" t="s">
        <v>99</v>
      </c>
      <c r="D417" s="14" t="n">
        <v>45985</v>
      </c>
      <c r="E417" s="0" t="n">
        <v>2324.66</v>
      </c>
      <c r="F417" s="15" t="s">
        <v>313</v>
      </c>
    </row>
    <row r="418" customFormat="false" ht="15" hidden="false" customHeight="false" outlineLevel="0" collapsed="false">
      <c r="A418" s="0" t="s">
        <v>3257</v>
      </c>
      <c r="B418" s="0" t="s">
        <v>2441</v>
      </c>
      <c r="C418" s="0" t="s">
        <v>174</v>
      </c>
      <c r="D418" s="14" t="n">
        <v>45887</v>
      </c>
      <c r="E418" s="0" t="n">
        <v>1644.55</v>
      </c>
      <c r="F418" s="15" t="s">
        <v>302</v>
      </c>
    </row>
    <row r="419" customFormat="false" ht="15" hidden="false" customHeight="false" outlineLevel="0" collapsed="false">
      <c r="A419" s="0" t="s">
        <v>3258</v>
      </c>
      <c r="B419" s="0" t="s">
        <v>2441</v>
      </c>
      <c r="C419" s="0" t="s">
        <v>174</v>
      </c>
      <c r="D419" s="14" t="n">
        <v>45890</v>
      </c>
      <c r="E419" s="0" t="n">
        <v>1644.55</v>
      </c>
      <c r="F419" s="15" t="s">
        <v>287</v>
      </c>
    </row>
    <row r="420" customFormat="false" ht="15" hidden="false" customHeight="false" outlineLevel="0" collapsed="false">
      <c r="A420" s="0" t="s">
        <v>3259</v>
      </c>
      <c r="B420" s="0" t="s">
        <v>2442</v>
      </c>
      <c r="C420" s="0" t="s">
        <v>80</v>
      </c>
      <c r="D420" s="14" t="n">
        <v>45970</v>
      </c>
      <c r="E420" s="0" t="n">
        <v>236.77</v>
      </c>
      <c r="F420" s="15" t="s">
        <v>282</v>
      </c>
    </row>
    <row r="421" customFormat="false" ht="15" hidden="false" customHeight="false" outlineLevel="0" collapsed="false">
      <c r="A421" s="0" t="s">
        <v>3260</v>
      </c>
      <c r="B421" s="0" t="s">
        <v>2443</v>
      </c>
      <c r="C421" s="0" t="s">
        <v>155</v>
      </c>
      <c r="D421" s="14" t="n">
        <v>45994</v>
      </c>
      <c r="E421" s="0" t="n">
        <v>1018.47</v>
      </c>
      <c r="F421" s="15" t="s">
        <v>313</v>
      </c>
    </row>
    <row r="422" customFormat="false" ht="15" hidden="false" customHeight="false" outlineLevel="0" collapsed="false">
      <c r="A422" s="0" t="s">
        <v>3261</v>
      </c>
      <c r="B422" s="0" t="s">
        <v>2444</v>
      </c>
      <c r="C422" s="0" t="s">
        <v>152</v>
      </c>
      <c r="D422" s="14" t="n">
        <v>45930</v>
      </c>
      <c r="E422" s="0" t="n">
        <v>3142.38</v>
      </c>
      <c r="F422" s="15" t="s">
        <v>279</v>
      </c>
    </row>
    <row r="423" customFormat="false" ht="15" hidden="false" customHeight="false" outlineLevel="0" collapsed="false">
      <c r="A423" s="0" t="s">
        <v>3262</v>
      </c>
      <c r="B423" s="0" t="s">
        <v>2445</v>
      </c>
      <c r="C423" s="0" t="s">
        <v>183</v>
      </c>
      <c r="D423" s="14" t="n">
        <v>45853</v>
      </c>
      <c r="E423" s="0" t="n">
        <v>2788.31</v>
      </c>
      <c r="F423" s="15" t="s">
        <v>287</v>
      </c>
    </row>
    <row r="424" customFormat="false" ht="15" hidden="false" customHeight="false" outlineLevel="0" collapsed="false">
      <c r="A424" s="0" t="s">
        <v>3263</v>
      </c>
      <c r="B424" s="0" t="s">
        <v>2446</v>
      </c>
      <c r="C424" s="0" t="s">
        <v>146</v>
      </c>
      <c r="D424" s="14" t="n">
        <v>45796</v>
      </c>
      <c r="E424" s="0" t="n">
        <v>12520.7</v>
      </c>
      <c r="F424" s="15" t="s">
        <v>292</v>
      </c>
    </row>
    <row r="425" customFormat="false" ht="15" hidden="false" customHeight="false" outlineLevel="0" collapsed="false">
      <c r="A425" s="0" t="s">
        <v>3264</v>
      </c>
      <c r="B425" s="0" t="s">
        <v>2447</v>
      </c>
      <c r="C425" s="0" t="s">
        <v>137</v>
      </c>
      <c r="D425" s="14" t="n">
        <v>46075</v>
      </c>
      <c r="E425" s="0" t="n">
        <v>1099.38</v>
      </c>
      <c r="F425" s="15" t="s">
        <v>302</v>
      </c>
    </row>
    <row r="426" customFormat="false" ht="15" hidden="false" customHeight="false" outlineLevel="0" collapsed="false">
      <c r="A426" s="0" t="s">
        <v>3265</v>
      </c>
      <c r="B426" s="0" t="s">
        <v>2448</v>
      </c>
      <c r="C426" s="0" t="s">
        <v>149</v>
      </c>
      <c r="D426" s="14" t="n">
        <v>46018</v>
      </c>
      <c r="E426" s="0" t="n">
        <v>3207.79</v>
      </c>
      <c r="F426" s="15" t="s">
        <v>290</v>
      </c>
    </row>
    <row r="427" customFormat="false" ht="15" hidden="false" customHeight="false" outlineLevel="0" collapsed="false">
      <c r="A427" s="0" t="s">
        <v>3266</v>
      </c>
      <c r="B427" s="0" t="s">
        <v>2449</v>
      </c>
      <c r="C427" s="0" t="s">
        <v>70</v>
      </c>
      <c r="D427" s="14" t="n">
        <v>45809</v>
      </c>
      <c r="E427" s="0" t="n">
        <v>182.59</v>
      </c>
      <c r="F427" s="15" t="s">
        <v>290</v>
      </c>
    </row>
    <row r="428" customFormat="false" ht="15" hidden="false" customHeight="false" outlineLevel="0" collapsed="false">
      <c r="A428" s="0" t="s">
        <v>3267</v>
      </c>
      <c r="B428" s="0" t="s">
        <v>2450</v>
      </c>
      <c r="C428" s="0" t="s">
        <v>201</v>
      </c>
      <c r="D428" s="14" t="n">
        <v>46116</v>
      </c>
      <c r="E428" s="0" t="n">
        <v>1223.73</v>
      </c>
      <c r="F428" s="15" t="s">
        <v>292</v>
      </c>
    </row>
    <row r="429" customFormat="false" ht="15" hidden="false" customHeight="false" outlineLevel="0" collapsed="false">
      <c r="A429" s="0" t="s">
        <v>3268</v>
      </c>
      <c r="B429" s="0" t="s">
        <v>2451</v>
      </c>
      <c r="C429" s="0" t="s">
        <v>125</v>
      </c>
      <c r="D429" s="14" t="n">
        <v>45709</v>
      </c>
      <c r="E429" s="0" t="n">
        <v>585.34</v>
      </c>
      <c r="F429" s="15" t="s">
        <v>292</v>
      </c>
    </row>
    <row r="430" customFormat="false" ht="15" hidden="false" customHeight="false" outlineLevel="0" collapsed="false">
      <c r="A430" s="0" t="s">
        <v>3269</v>
      </c>
      <c r="B430" s="0" t="s">
        <v>2452</v>
      </c>
      <c r="C430" s="0" t="s">
        <v>198</v>
      </c>
      <c r="D430" s="14" t="n">
        <v>46081</v>
      </c>
      <c r="E430" s="0" t="n">
        <v>40497.91</v>
      </c>
      <c r="F430" s="15" t="s">
        <v>292</v>
      </c>
    </row>
    <row r="431" customFormat="false" ht="15" hidden="false" customHeight="false" outlineLevel="0" collapsed="false">
      <c r="A431" s="0" t="s">
        <v>3270</v>
      </c>
      <c r="B431" s="0" t="s">
        <v>2453</v>
      </c>
      <c r="C431" s="0" t="s">
        <v>128</v>
      </c>
      <c r="D431" s="14" t="n">
        <v>46051</v>
      </c>
      <c r="E431" s="0" t="n">
        <v>8071.8</v>
      </c>
      <c r="F431" s="15" t="s">
        <v>282</v>
      </c>
    </row>
    <row r="432" customFormat="false" ht="15" hidden="false" customHeight="false" outlineLevel="0" collapsed="false">
      <c r="A432" s="0" t="s">
        <v>3271</v>
      </c>
      <c r="B432" s="0" t="s">
        <v>2455</v>
      </c>
      <c r="C432" s="0" t="s">
        <v>116</v>
      </c>
      <c r="D432" s="14" t="n">
        <v>45923</v>
      </c>
      <c r="E432" s="0" t="n">
        <v>1395.93</v>
      </c>
      <c r="F432" s="15" t="s">
        <v>287</v>
      </c>
    </row>
    <row r="433" customFormat="false" ht="15" hidden="false" customHeight="false" outlineLevel="0" collapsed="false">
      <c r="A433" s="0" t="s">
        <v>3272</v>
      </c>
      <c r="B433" s="0" t="s">
        <v>2456</v>
      </c>
      <c r="C433" s="0" t="s">
        <v>137</v>
      </c>
      <c r="D433" s="14" t="n">
        <v>46055</v>
      </c>
      <c r="E433" s="0" t="n">
        <v>2578.48</v>
      </c>
      <c r="F433" s="15" t="s">
        <v>321</v>
      </c>
    </row>
    <row r="434" customFormat="false" ht="15" hidden="false" customHeight="false" outlineLevel="0" collapsed="false">
      <c r="A434" s="0" t="s">
        <v>3273</v>
      </c>
      <c r="B434" s="0" t="s">
        <v>2457</v>
      </c>
      <c r="C434" s="0" t="s">
        <v>84</v>
      </c>
      <c r="D434" s="14" t="n">
        <v>46134</v>
      </c>
      <c r="E434" s="0" t="n">
        <v>891.87</v>
      </c>
      <c r="F434" s="15" t="s">
        <v>279</v>
      </c>
    </row>
    <row r="435" customFormat="false" ht="15" hidden="false" customHeight="false" outlineLevel="0" collapsed="false">
      <c r="A435" s="0" t="s">
        <v>3274</v>
      </c>
      <c r="B435" s="0" t="s">
        <v>2459</v>
      </c>
      <c r="C435" s="0" t="s">
        <v>93</v>
      </c>
      <c r="D435" s="14" t="n">
        <v>45965</v>
      </c>
      <c r="E435" s="0" t="n">
        <v>1155.61</v>
      </c>
      <c r="F435" s="15" t="s">
        <v>321</v>
      </c>
    </row>
    <row r="436" customFormat="false" ht="15" hidden="false" customHeight="false" outlineLevel="0" collapsed="false">
      <c r="A436" s="0" t="s">
        <v>3275</v>
      </c>
      <c r="B436" s="0" t="s">
        <v>2460</v>
      </c>
      <c r="C436" s="0" t="s">
        <v>96</v>
      </c>
      <c r="D436" s="14" t="n">
        <v>45708</v>
      </c>
      <c r="E436" s="0" t="n">
        <v>542.8</v>
      </c>
      <c r="F436" s="15" t="s">
        <v>313</v>
      </c>
    </row>
    <row r="437" customFormat="false" ht="15" hidden="false" customHeight="false" outlineLevel="0" collapsed="false">
      <c r="A437" s="0" t="s">
        <v>3276</v>
      </c>
      <c r="B437" s="0" t="s">
        <v>2461</v>
      </c>
      <c r="C437" s="0" t="s">
        <v>143</v>
      </c>
      <c r="D437" s="14" t="n">
        <v>45983</v>
      </c>
      <c r="E437" s="0" t="n">
        <v>1208.25</v>
      </c>
      <c r="F437" s="15" t="s">
        <v>302</v>
      </c>
    </row>
    <row r="438" customFormat="false" ht="15" hidden="false" customHeight="false" outlineLevel="0" collapsed="false">
      <c r="A438" s="0" t="s">
        <v>3277</v>
      </c>
      <c r="B438" s="0" t="s">
        <v>2462</v>
      </c>
      <c r="C438" s="0" t="s">
        <v>195</v>
      </c>
      <c r="D438" s="14" t="n">
        <v>46006</v>
      </c>
      <c r="E438" s="0" t="n">
        <v>1492.36</v>
      </c>
      <c r="F438" s="15" t="s">
        <v>321</v>
      </c>
    </row>
    <row r="439" customFormat="false" ht="15" hidden="false" customHeight="false" outlineLevel="0" collapsed="false">
      <c r="A439" s="0" t="s">
        <v>3278</v>
      </c>
      <c r="B439" s="0" t="s">
        <v>2463</v>
      </c>
      <c r="C439" s="0" t="s">
        <v>119</v>
      </c>
      <c r="D439" s="14" t="n">
        <v>46165</v>
      </c>
      <c r="E439" s="0" t="n">
        <v>916.33</v>
      </c>
      <c r="F439" s="15" t="s">
        <v>282</v>
      </c>
    </row>
    <row r="440" customFormat="false" ht="15" hidden="false" customHeight="false" outlineLevel="0" collapsed="false">
      <c r="A440" s="0" t="s">
        <v>3279</v>
      </c>
      <c r="B440" s="0" t="s">
        <v>2464</v>
      </c>
      <c r="C440" s="0" t="s">
        <v>128</v>
      </c>
      <c r="D440" s="14" t="n">
        <v>46160</v>
      </c>
      <c r="E440" s="0" t="n">
        <v>13637.91</v>
      </c>
      <c r="F440" s="15" t="s">
        <v>292</v>
      </c>
    </row>
    <row r="441" customFormat="false" ht="15" hidden="false" customHeight="false" outlineLevel="0" collapsed="false">
      <c r="A441" s="0" t="s">
        <v>3280</v>
      </c>
      <c r="B441" s="0" t="s">
        <v>2465</v>
      </c>
      <c r="C441" s="0" t="s">
        <v>84</v>
      </c>
      <c r="D441" s="14" t="n">
        <v>45927</v>
      </c>
      <c r="E441" s="0" t="n">
        <v>984.21</v>
      </c>
      <c r="F441" s="15" t="s">
        <v>287</v>
      </c>
    </row>
    <row r="442" customFormat="false" ht="15" hidden="false" customHeight="false" outlineLevel="0" collapsed="false">
      <c r="A442" s="0" t="s">
        <v>3281</v>
      </c>
      <c r="B442" s="0" t="s">
        <v>2466</v>
      </c>
      <c r="C442" s="0" t="s">
        <v>116</v>
      </c>
      <c r="D442" s="14" t="n">
        <v>45972</v>
      </c>
      <c r="E442" s="0" t="n">
        <v>2718.82</v>
      </c>
      <c r="F442" s="15" t="s">
        <v>321</v>
      </c>
    </row>
    <row r="443" customFormat="false" ht="15" hidden="false" customHeight="false" outlineLevel="0" collapsed="false">
      <c r="A443" s="0" t="s">
        <v>3282</v>
      </c>
      <c r="B443" s="0" t="s">
        <v>2470</v>
      </c>
      <c r="C443" s="0" t="s">
        <v>122</v>
      </c>
      <c r="D443" s="14" t="n">
        <v>46036</v>
      </c>
      <c r="E443" s="0" t="n">
        <v>790.15</v>
      </c>
      <c r="F443" s="15" t="s">
        <v>282</v>
      </c>
    </row>
    <row r="444" customFormat="false" ht="15" hidden="false" customHeight="false" outlineLevel="0" collapsed="false">
      <c r="A444" s="0" t="s">
        <v>3283</v>
      </c>
      <c r="B444" s="0" t="s">
        <v>2471</v>
      </c>
      <c r="C444" s="0" t="s">
        <v>104</v>
      </c>
      <c r="D444" s="14" t="n">
        <v>45775</v>
      </c>
      <c r="E444" s="0" t="n">
        <v>2141.21</v>
      </c>
      <c r="F444" s="15" t="s">
        <v>292</v>
      </c>
    </row>
    <row r="445" customFormat="false" ht="15" hidden="false" customHeight="false" outlineLevel="0" collapsed="false">
      <c r="A445" s="0" t="s">
        <v>3284</v>
      </c>
      <c r="B445" s="0" t="s">
        <v>2472</v>
      </c>
      <c r="C445" s="0" t="s">
        <v>109</v>
      </c>
      <c r="D445" s="14" t="n">
        <v>45955</v>
      </c>
      <c r="E445" s="0" t="n">
        <v>506.73</v>
      </c>
      <c r="F445" s="15" t="s">
        <v>287</v>
      </c>
    </row>
    <row r="446" customFormat="false" ht="15" hidden="false" customHeight="false" outlineLevel="0" collapsed="false">
      <c r="A446" s="0" t="s">
        <v>3285</v>
      </c>
      <c r="B446" s="0" t="s">
        <v>2473</v>
      </c>
      <c r="C446" s="0" t="s">
        <v>109</v>
      </c>
      <c r="D446" s="14" t="n">
        <v>45938</v>
      </c>
      <c r="E446" s="0" t="n">
        <v>426.29</v>
      </c>
      <c r="F446" s="15" t="s">
        <v>287</v>
      </c>
    </row>
    <row r="447" customFormat="false" ht="15" hidden="false" customHeight="false" outlineLevel="0" collapsed="false">
      <c r="A447" s="0" t="s">
        <v>3286</v>
      </c>
      <c r="B447" s="0" t="s">
        <v>2475</v>
      </c>
      <c r="C447" s="0" t="s">
        <v>171</v>
      </c>
      <c r="D447" s="14" t="n">
        <v>45863</v>
      </c>
      <c r="E447" s="0" t="n">
        <v>3958.3</v>
      </c>
      <c r="F447" s="15" t="s">
        <v>290</v>
      </c>
    </row>
    <row r="448" customFormat="false" ht="15" hidden="false" customHeight="false" outlineLevel="0" collapsed="false">
      <c r="A448" s="0" t="s">
        <v>3287</v>
      </c>
      <c r="B448" s="0" t="s">
        <v>2476</v>
      </c>
      <c r="C448" s="0" t="s">
        <v>155</v>
      </c>
      <c r="D448" s="14" t="n">
        <v>46070</v>
      </c>
      <c r="E448" s="0" t="n">
        <v>3426.38</v>
      </c>
      <c r="F448" s="15" t="s">
        <v>321</v>
      </c>
    </row>
    <row r="449" customFormat="false" ht="15" hidden="false" customHeight="false" outlineLevel="0" collapsed="false">
      <c r="A449" s="0" t="s">
        <v>3288</v>
      </c>
      <c r="B449" s="0" t="s">
        <v>2477</v>
      </c>
      <c r="C449" s="0" t="s">
        <v>180</v>
      </c>
      <c r="D449" s="14" t="n">
        <v>46034</v>
      </c>
      <c r="E449" s="0" t="n">
        <v>663.66</v>
      </c>
      <c r="F449" s="15" t="s">
        <v>302</v>
      </c>
    </row>
    <row r="450" customFormat="false" ht="15" hidden="false" customHeight="false" outlineLevel="0" collapsed="false">
      <c r="A450" s="0" t="s">
        <v>3289</v>
      </c>
      <c r="B450" s="0" t="s">
        <v>2479</v>
      </c>
      <c r="C450" s="0" t="s">
        <v>109</v>
      </c>
      <c r="D450" s="14" t="n">
        <v>46146</v>
      </c>
      <c r="E450" s="0" t="n">
        <v>980.08</v>
      </c>
      <c r="F450" s="15" t="s">
        <v>287</v>
      </c>
    </row>
    <row r="451" customFormat="false" ht="15" hidden="false" customHeight="false" outlineLevel="0" collapsed="false">
      <c r="A451" s="0" t="s">
        <v>3290</v>
      </c>
      <c r="B451" s="0" t="s">
        <v>2480</v>
      </c>
      <c r="C451" s="0" t="s">
        <v>84</v>
      </c>
      <c r="D451" s="14" t="n">
        <v>46166</v>
      </c>
      <c r="E451" s="0" t="n">
        <v>2579.28</v>
      </c>
      <c r="F451" s="15" t="s">
        <v>290</v>
      </c>
    </row>
    <row r="452" customFormat="false" ht="15" hidden="false" customHeight="false" outlineLevel="0" collapsed="false">
      <c r="A452" s="0" t="s">
        <v>3291</v>
      </c>
      <c r="B452" s="0" t="s">
        <v>2481</v>
      </c>
      <c r="C452" s="0" t="s">
        <v>167</v>
      </c>
      <c r="D452" s="14" t="n">
        <v>45905</v>
      </c>
      <c r="E452" s="0" t="n">
        <v>3221.77</v>
      </c>
      <c r="F452" s="15" t="s">
        <v>282</v>
      </c>
    </row>
    <row r="453" customFormat="false" ht="15" hidden="false" customHeight="false" outlineLevel="0" collapsed="false">
      <c r="A453" s="0" t="s">
        <v>3292</v>
      </c>
      <c r="B453" s="0" t="s">
        <v>2482</v>
      </c>
      <c r="C453" s="0" t="s">
        <v>167</v>
      </c>
      <c r="D453" s="14" t="n">
        <v>45841</v>
      </c>
      <c r="E453" s="0" t="n">
        <v>130.66</v>
      </c>
      <c r="F453" s="15" t="s">
        <v>302</v>
      </c>
    </row>
    <row r="454" customFormat="false" ht="15" hidden="false" customHeight="false" outlineLevel="0" collapsed="false">
      <c r="A454" s="0" t="s">
        <v>3293</v>
      </c>
      <c r="B454" s="0" t="s">
        <v>2483</v>
      </c>
      <c r="C454" s="0" t="s">
        <v>122</v>
      </c>
      <c r="D454" s="14" t="n">
        <v>46086</v>
      </c>
      <c r="E454" s="0" t="n">
        <v>1768.65</v>
      </c>
      <c r="F454" s="15" t="s">
        <v>290</v>
      </c>
    </row>
    <row r="455" customFormat="false" ht="15" hidden="false" customHeight="false" outlineLevel="0" collapsed="false">
      <c r="A455" s="0" t="s">
        <v>3294</v>
      </c>
      <c r="B455" s="0" t="s">
        <v>2484</v>
      </c>
      <c r="C455" s="0" t="s">
        <v>183</v>
      </c>
      <c r="D455" s="14" t="n">
        <v>46116</v>
      </c>
      <c r="E455" s="0" t="n">
        <v>359.03</v>
      </c>
      <c r="F455" s="15" t="s">
        <v>282</v>
      </c>
    </row>
    <row r="456" customFormat="false" ht="15" hidden="false" customHeight="false" outlineLevel="0" collapsed="false">
      <c r="A456" s="0" t="s">
        <v>3295</v>
      </c>
      <c r="B456" s="0" t="s">
        <v>2485</v>
      </c>
      <c r="C456" s="0" t="s">
        <v>131</v>
      </c>
      <c r="D456" s="14" t="n">
        <v>46155</v>
      </c>
      <c r="E456" s="0" t="n">
        <v>2508.58</v>
      </c>
      <c r="F456" s="15" t="s">
        <v>279</v>
      </c>
    </row>
    <row r="457" customFormat="false" ht="15" hidden="false" customHeight="false" outlineLevel="0" collapsed="false">
      <c r="A457" s="0" t="s">
        <v>3296</v>
      </c>
      <c r="B457" s="0" t="s">
        <v>2487</v>
      </c>
      <c r="C457" s="0" t="s">
        <v>109</v>
      </c>
      <c r="D457" s="14" t="n">
        <v>45740</v>
      </c>
      <c r="E457" s="0" t="n">
        <v>1846.15</v>
      </c>
      <c r="F457" s="15" t="s">
        <v>313</v>
      </c>
    </row>
    <row r="458" customFormat="false" ht="15" hidden="false" customHeight="false" outlineLevel="0" collapsed="false">
      <c r="A458" s="0" t="s">
        <v>3297</v>
      </c>
      <c r="B458" s="0" t="s">
        <v>2488</v>
      </c>
      <c r="C458" s="0" t="s">
        <v>134</v>
      </c>
      <c r="D458" s="14" t="n">
        <v>46041</v>
      </c>
      <c r="E458" s="0" t="n">
        <v>1888.25</v>
      </c>
      <c r="F458" s="15" t="s">
        <v>290</v>
      </c>
    </row>
    <row r="459" customFormat="false" ht="15" hidden="false" customHeight="false" outlineLevel="0" collapsed="false">
      <c r="A459" s="0" t="s">
        <v>3298</v>
      </c>
      <c r="B459" s="0" t="s">
        <v>2491</v>
      </c>
      <c r="C459" s="0" t="s">
        <v>116</v>
      </c>
      <c r="D459" s="14" t="n">
        <v>46115</v>
      </c>
      <c r="E459" s="0" t="n">
        <v>28542.14</v>
      </c>
      <c r="F459" s="15" t="s">
        <v>287</v>
      </c>
    </row>
    <row r="460" customFormat="false" ht="15" hidden="false" customHeight="false" outlineLevel="0" collapsed="false">
      <c r="A460" s="0" t="s">
        <v>3299</v>
      </c>
      <c r="B460" s="0" t="s">
        <v>2492</v>
      </c>
      <c r="C460" s="0" t="s">
        <v>180</v>
      </c>
      <c r="D460" s="14" t="n">
        <v>45915</v>
      </c>
      <c r="E460" s="0" t="n">
        <v>13194.36</v>
      </c>
      <c r="F460" s="15" t="s">
        <v>321</v>
      </c>
    </row>
    <row r="461" customFormat="false" ht="15" hidden="false" customHeight="false" outlineLevel="0" collapsed="false">
      <c r="A461" s="0" t="s">
        <v>3300</v>
      </c>
      <c r="B461" s="0" t="s">
        <v>2494</v>
      </c>
      <c r="C461" s="0" t="s">
        <v>183</v>
      </c>
      <c r="D461" s="14" t="n">
        <v>46045</v>
      </c>
      <c r="E461" s="0" t="n">
        <v>999.65</v>
      </c>
      <c r="F461" s="15" t="s">
        <v>279</v>
      </c>
    </row>
    <row r="462" customFormat="false" ht="15" hidden="false" customHeight="false" outlineLevel="0" collapsed="false">
      <c r="A462" s="0" t="s">
        <v>3301</v>
      </c>
      <c r="B462" s="0" t="s">
        <v>2495</v>
      </c>
      <c r="C462" s="0" t="s">
        <v>109</v>
      </c>
      <c r="D462" s="14" t="n">
        <v>46179</v>
      </c>
      <c r="E462" s="0" t="n">
        <v>2025.11</v>
      </c>
      <c r="F462" s="15" t="s">
        <v>292</v>
      </c>
    </row>
    <row r="463" customFormat="false" ht="15" hidden="false" customHeight="false" outlineLevel="0" collapsed="false">
      <c r="A463" s="0" t="s">
        <v>3302</v>
      </c>
      <c r="B463" s="0" t="s">
        <v>2496</v>
      </c>
      <c r="C463" s="0" t="s">
        <v>109</v>
      </c>
      <c r="D463" s="14" t="n">
        <v>46172</v>
      </c>
      <c r="E463" s="0" t="n">
        <v>2025.11</v>
      </c>
      <c r="F463" s="15" t="s">
        <v>279</v>
      </c>
    </row>
    <row r="464" customFormat="false" ht="15" hidden="false" customHeight="false" outlineLevel="0" collapsed="false">
      <c r="A464" s="0" t="s">
        <v>3303</v>
      </c>
      <c r="B464" s="0" t="s">
        <v>2497</v>
      </c>
      <c r="C464" s="0" t="s">
        <v>119</v>
      </c>
      <c r="D464" s="14" t="n">
        <v>45933</v>
      </c>
      <c r="E464" s="0" t="n">
        <v>1346.34</v>
      </c>
      <c r="F464" s="15" t="s">
        <v>287</v>
      </c>
    </row>
    <row r="465" customFormat="false" ht="15" hidden="false" customHeight="false" outlineLevel="0" collapsed="false">
      <c r="A465" s="0" t="s">
        <v>3304</v>
      </c>
      <c r="B465" s="0" t="s">
        <v>2498</v>
      </c>
      <c r="C465" s="0" t="s">
        <v>131</v>
      </c>
      <c r="D465" s="14" t="n">
        <v>46050</v>
      </c>
      <c r="E465" s="0" t="n">
        <v>473.72</v>
      </c>
      <c r="F465" s="15" t="s">
        <v>292</v>
      </c>
    </row>
    <row r="466" customFormat="false" ht="15" hidden="false" customHeight="false" outlineLevel="0" collapsed="false">
      <c r="A466" s="0" t="s">
        <v>3305</v>
      </c>
      <c r="B466" s="0" t="s">
        <v>2501</v>
      </c>
      <c r="C466" s="0" t="s">
        <v>167</v>
      </c>
      <c r="D466" s="14" t="n">
        <v>46127</v>
      </c>
      <c r="E466" s="0" t="n">
        <v>4513.74</v>
      </c>
      <c r="F466" s="15" t="s">
        <v>290</v>
      </c>
    </row>
    <row r="467" customFormat="false" ht="15" hidden="false" customHeight="false" outlineLevel="0" collapsed="false">
      <c r="A467" s="0" t="s">
        <v>3306</v>
      </c>
      <c r="B467" s="0" t="s">
        <v>2502</v>
      </c>
      <c r="C467" s="0" t="s">
        <v>164</v>
      </c>
      <c r="D467" s="14" t="n">
        <v>45840</v>
      </c>
      <c r="E467" s="0" t="n">
        <v>1308.52</v>
      </c>
      <c r="F467" s="15" t="s">
        <v>282</v>
      </c>
    </row>
    <row r="468" customFormat="false" ht="15" hidden="false" customHeight="false" outlineLevel="0" collapsed="false">
      <c r="A468" s="0" t="s">
        <v>3307</v>
      </c>
      <c r="B468" s="0" t="s">
        <v>2503</v>
      </c>
      <c r="C468" s="0" t="s">
        <v>164</v>
      </c>
      <c r="D468" s="14" t="n">
        <v>45871</v>
      </c>
      <c r="E468" s="0" t="n">
        <v>2254.68</v>
      </c>
      <c r="F468" s="15" t="s">
        <v>302</v>
      </c>
    </row>
    <row r="469" customFormat="false" ht="15" hidden="false" customHeight="false" outlineLevel="0" collapsed="false">
      <c r="A469" s="0" t="s">
        <v>3308</v>
      </c>
      <c r="B469" s="0" t="s">
        <v>2504</v>
      </c>
      <c r="C469" s="0" t="s">
        <v>164</v>
      </c>
      <c r="D469" s="14" t="n">
        <v>45891</v>
      </c>
      <c r="E469" s="0" t="n">
        <v>2254.68</v>
      </c>
      <c r="F469" s="15" t="s">
        <v>287</v>
      </c>
    </row>
    <row r="470" customFormat="false" ht="15" hidden="false" customHeight="false" outlineLevel="0" collapsed="false">
      <c r="A470" s="0" t="s">
        <v>3309</v>
      </c>
      <c r="B470" s="0" t="s">
        <v>2505</v>
      </c>
      <c r="C470" s="0" t="s">
        <v>149</v>
      </c>
      <c r="D470" s="14" t="n">
        <v>45760</v>
      </c>
      <c r="E470" s="0" t="n">
        <v>5770.92</v>
      </c>
      <c r="F470" s="15" t="s">
        <v>279</v>
      </c>
    </row>
    <row r="471" customFormat="false" ht="15" hidden="false" customHeight="false" outlineLevel="0" collapsed="false">
      <c r="A471" s="0" t="s">
        <v>3310</v>
      </c>
      <c r="B471" s="0" t="s">
        <v>2506</v>
      </c>
      <c r="C471" s="0" t="s">
        <v>128</v>
      </c>
      <c r="D471" s="14" t="n">
        <v>45972</v>
      </c>
      <c r="E471" s="0" t="n">
        <v>2271.46</v>
      </c>
      <c r="F471" s="15" t="s">
        <v>321</v>
      </c>
    </row>
    <row r="472" customFormat="false" ht="15" hidden="false" customHeight="false" outlineLevel="0" collapsed="false">
      <c r="A472" s="0" t="s">
        <v>3311</v>
      </c>
      <c r="B472" s="0" t="s">
        <v>2507</v>
      </c>
      <c r="C472" s="0" t="s">
        <v>116</v>
      </c>
      <c r="D472" s="14" t="n">
        <v>45994</v>
      </c>
      <c r="E472" s="0" t="n">
        <v>567.17</v>
      </c>
      <c r="F472" s="15" t="s">
        <v>282</v>
      </c>
    </row>
    <row r="473" customFormat="false" ht="15" hidden="false" customHeight="false" outlineLevel="0" collapsed="false">
      <c r="A473" s="0" t="s">
        <v>3312</v>
      </c>
      <c r="B473" s="0" t="s">
        <v>2508</v>
      </c>
      <c r="C473" s="0" t="s">
        <v>109</v>
      </c>
      <c r="D473" s="14" t="n">
        <v>46104</v>
      </c>
      <c r="E473" s="0" t="n">
        <v>4021.66</v>
      </c>
      <c r="F473" s="15" t="s">
        <v>292</v>
      </c>
    </row>
    <row r="474" customFormat="false" ht="15" hidden="false" customHeight="false" outlineLevel="0" collapsed="false">
      <c r="A474" s="0" t="s">
        <v>3313</v>
      </c>
      <c r="B474" s="0" t="s">
        <v>2510</v>
      </c>
      <c r="C474" s="0" t="s">
        <v>75</v>
      </c>
      <c r="D474" s="14" t="n">
        <v>45720</v>
      </c>
      <c r="E474" s="0" t="n">
        <v>21176.94</v>
      </c>
      <c r="F474" s="15" t="s">
        <v>290</v>
      </c>
    </row>
    <row r="475" customFormat="false" ht="15" hidden="false" customHeight="false" outlineLevel="0" collapsed="false">
      <c r="A475" s="0" t="s">
        <v>3314</v>
      </c>
      <c r="B475" s="0" t="s">
        <v>2511</v>
      </c>
      <c r="C475" s="0" t="s">
        <v>109</v>
      </c>
      <c r="D475" s="14" t="n">
        <v>46176</v>
      </c>
      <c r="E475" s="0" t="n">
        <v>3298.58</v>
      </c>
      <c r="F475" s="15" t="s">
        <v>313</v>
      </c>
    </row>
    <row r="476" customFormat="false" ht="15" hidden="false" customHeight="false" outlineLevel="0" collapsed="false">
      <c r="A476" s="0" t="s">
        <v>3315</v>
      </c>
      <c r="B476" s="0" t="s">
        <v>2512</v>
      </c>
      <c r="C476" s="0" t="s">
        <v>174</v>
      </c>
      <c r="D476" s="14" t="n">
        <v>46018</v>
      </c>
      <c r="E476" s="0" t="n">
        <v>6459.27</v>
      </c>
      <c r="F476" s="15" t="s">
        <v>290</v>
      </c>
    </row>
    <row r="477" customFormat="false" ht="15" hidden="false" customHeight="false" outlineLevel="0" collapsed="false">
      <c r="A477" s="0" t="s">
        <v>3316</v>
      </c>
      <c r="B477" s="0" t="s">
        <v>2513</v>
      </c>
      <c r="C477" s="0" t="s">
        <v>116</v>
      </c>
      <c r="D477" s="14" t="n">
        <v>45823</v>
      </c>
      <c r="E477" s="0" t="n">
        <v>622.67</v>
      </c>
      <c r="F477" s="15" t="s">
        <v>282</v>
      </c>
    </row>
    <row r="478" customFormat="false" ht="15" hidden="false" customHeight="false" outlineLevel="0" collapsed="false">
      <c r="A478" s="0" t="s">
        <v>3317</v>
      </c>
      <c r="B478" s="0" t="s">
        <v>2515</v>
      </c>
      <c r="C478" s="0" t="s">
        <v>89</v>
      </c>
      <c r="D478" s="14" t="n">
        <v>45752</v>
      </c>
      <c r="E478" s="0" t="n">
        <v>4894.13</v>
      </c>
      <c r="F478" s="15" t="s">
        <v>287</v>
      </c>
    </row>
    <row r="479" customFormat="false" ht="15" hidden="false" customHeight="false" outlineLevel="0" collapsed="false">
      <c r="A479" s="0" t="s">
        <v>3318</v>
      </c>
      <c r="B479" s="0" t="s">
        <v>2516</v>
      </c>
      <c r="C479" s="0" t="s">
        <v>152</v>
      </c>
      <c r="D479" s="14" t="n">
        <v>45946</v>
      </c>
      <c r="E479" s="0" t="n">
        <v>640.41</v>
      </c>
      <c r="F479" s="15" t="s">
        <v>287</v>
      </c>
    </row>
    <row r="480" customFormat="false" ht="15" hidden="false" customHeight="false" outlineLevel="0" collapsed="false">
      <c r="A480" s="0" t="s">
        <v>3319</v>
      </c>
      <c r="B480" s="0" t="s">
        <v>2517</v>
      </c>
      <c r="C480" s="0" t="s">
        <v>128</v>
      </c>
      <c r="D480" s="14" t="n">
        <v>45816</v>
      </c>
      <c r="E480" s="0" t="n">
        <v>6607.07</v>
      </c>
      <c r="F480" s="15" t="s">
        <v>290</v>
      </c>
    </row>
    <row r="481" customFormat="false" ht="15" hidden="false" customHeight="false" outlineLevel="0" collapsed="false">
      <c r="A481" s="0" t="s">
        <v>3320</v>
      </c>
      <c r="B481" s="0" t="s">
        <v>2518</v>
      </c>
      <c r="C481" s="0" t="s">
        <v>164</v>
      </c>
      <c r="D481" s="14" t="n">
        <v>45845</v>
      </c>
      <c r="E481" s="0" t="n">
        <v>647.86</v>
      </c>
      <c r="F481" s="15" t="s">
        <v>279</v>
      </c>
    </row>
    <row r="482" customFormat="false" ht="15" hidden="false" customHeight="false" outlineLevel="0" collapsed="false">
      <c r="A482" s="0" t="s">
        <v>3321</v>
      </c>
      <c r="B482" s="0" t="s">
        <v>2519</v>
      </c>
      <c r="C482" s="0" t="s">
        <v>146</v>
      </c>
      <c r="D482" s="14" t="n">
        <v>45717</v>
      </c>
      <c r="E482" s="0" t="n">
        <v>517.06</v>
      </c>
      <c r="F482" s="15" t="s">
        <v>302</v>
      </c>
    </row>
    <row r="483" customFormat="false" ht="15" hidden="false" customHeight="false" outlineLevel="0" collapsed="false">
      <c r="A483" s="0" t="s">
        <v>3322</v>
      </c>
      <c r="B483" s="0" t="s">
        <v>2520</v>
      </c>
      <c r="C483" s="0" t="s">
        <v>112</v>
      </c>
      <c r="D483" s="14" t="n">
        <v>46111</v>
      </c>
      <c r="E483" s="0" t="n">
        <v>316.1</v>
      </c>
      <c r="F483" s="15" t="s">
        <v>282</v>
      </c>
    </row>
    <row r="484" customFormat="false" ht="15" hidden="false" customHeight="false" outlineLevel="0" collapsed="false">
      <c r="A484" s="0" t="s">
        <v>3323</v>
      </c>
      <c r="B484" s="0" t="s">
        <v>2521</v>
      </c>
      <c r="C484" s="0" t="s">
        <v>183</v>
      </c>
      <c r="D484" s="14" t="n">
        <v>46190</v>
      </c>
      <c r="E484" s="0" t="n">
        <v>4436.8</v>
      </c>
      <c r="F484" s="15" t="s">
        <v>302</v>
      </c>
    </row>
    <row r="485" customFormat="false" ht="15" hidden="false" customHeight="false" outlineLevel="0" collapsed="false">
      <c r="A485" s="0" t="s">
        <v>3324</v>
      </c>
      <c r="B485" s="0" t="s">
        <v>2522</v>
      </c>
      <c r="C485" s="0" t="s">
        <v>158</v>
      </c>
      <c r="D485" s="14" t="n">
        <v>46054</v>
      </c>
      <c r="E485" s="0" t="n">
        <v>6594.42</v>
      </c>
      <c r="F485" s="15" t="s">
        <v>313</v>
      </c>
    </row>
    <row r="486" customFormat="false" ht="15" hidden="false" customHeight="false" outlineLevel="0" collapsed="false">
      <c r="A486" s="0" t="s">
        <v>3325</v>
      </c>
      <c r="B486" s="0" t="s">
        <v>2523</v>
      </c>
      <c r="C486" s="0" t="s">
        <v>161</v>
      </c>
      <c r="D486" s="14" t="n">
        <v>45780</v>
      </c>
      <c r="E486" s="0" t="n">
        <v>836.54</v>
      </c>
      <c r="F486" s="15" t="s">
        <v>287</v>
      </c>
    </row>
    <row r="487" customFormat="false" ht="15" hidden="false" customHeight="false" outlineLevel="0" collapsed="false">
      <c r="A487" s="0" t="s">
        <v>3326</v>
      </c>
      <c r="B487" s="0" t="s">
        <v>2524</v>
      </c>
      <c r="C487" s="0" t="s">
        <v>140</v>
      </c>
      <c r="D487" s="14" t="n">
        <v>45953</v>
      </c>
      <c r="E487" s="0" t="n">
        <v>1170.71</v>
      </c>
      <c r="F487" s="15" t="s">
        <v>290</v>
      </c>
    </row>
    <row r="488" customFormat="false" ht="15" hidden="false" customHeight="false" outlineLevel="0" collapsed="false">
      <c r="A488" s="0" t="s">
        <v>3327</v>
      </c>
      <c r="B488" s="0" t="s">
        <v>2525</v>
      </c>
      <c r="C488" s="0" t="s">
        <v>161</v>
      </c>
      <c r="D488" s="14" t="n">
        <v>45879</v>
      </c>
      <c r="E488" s="0" t="n">
        <v>4155.49</v>
      </c>
      <c r="F488" s="15" t="s">
        <v>313</v>
      </c>
    </row>
    <row r="489" customFormat="false" ht="15" hidden="false" customHeight="false" outlineLevel="0" collapsed="false">
      <c r="A489" s="0" t="s">
        <v>3328</v>
      </c>
      <c r="B489" s="0" t="s">
        <v>2526</v>
      </c>
      <c r="C489" s="0" t="s">
        <v>164</v>
      </c>
      <c r="D489" s="14" t="n">
        <v>45987</v>
      </c>
      <c r="E489" s="0" t="n">
        <v>813.95</v>
      </c>
      <c r="F489" s="15" t="s">
        <v>287</v>
      </c>
    </row>
    <row r="490" customFormat="false" ht="15" hidden="false" customHeight="false" outlineLevel="0" collapsed="false">
      <c r="A490" s="0" t="s">
        <v>3329</v>
      </c>
      <c r="B490" s="0" t="s">
        <v>2527</v>
      </c>
      <c r="C490" s="0" t="s">
        <v>143</v>
      </c>
      <c r="D490" s="14" t="n">
        <v>46022</v>
      </c>
      <c r="E490" s="0" t="n">
        <v>219.09</v>
      </c>
      <c r="F490" s="15" t="s">
        <v>279</v>
      </c>
    </row>
    <row r="491" customFormat="false" ht="15" hidden="false" customHeight="false" outlineLevel="0" collapsed="false">
      <c r="A491" s="0" t="s">
        <v>3330</v>
      </c>
      <c r="B491" s="0" t="s">
        <v>2528</v>
      </c>
      <c r="C491" s="0" t="s">
        <v>134</v>
      </c>
      <c r="D491" s="14" t="n">
        <v>45908</v>
      </c>
      <c r="E491" s="0" t="n">
        <v>313.99</v>
      </c>
      <c r="F491" s="15" t="s">
        <v>292</v>
      </c>
    </row>
    <row r="492" customFormat="false" ht="15" hidden="false" customHeight="false" outlineLevel="0" collapsed="false">
      <c r="A492" s="0" t="s">
        <v>3331</v>
      </c>
      <c r="B492" s="0" t="s">
        <v>2529</v>
      </c>
      <c r="C492" s="0" t="s">
        <v>134</v>
      </c>
      <c r="D492" s="14" t="n">
        <v>45911</v>
      </c>
      <c r="E492" s="0" t="n">
        <v>313.99</v>
      </c>
      <c r="F492" s="15" t="s">
        <v>321</v>
      </c>
    </row>
    <row r="493" customFormat="false" ht="15" hidden="false" customHeight="false" outlineLevel="0" collapsed="false">
      <c r="A493" s="0" t="s">
        <v>3332</v>
      </c>
      <c r="B493" s="0" t="s">
        <v>2530</v>
      </c>
      <c r="C493" s="0" t="s">
        <v>89</v>
      </c>
      <c r="D493" s="14" t="n">
        <v>45818</v>
      </c>
      <c r="E493" s="0" t="n">
        <v>7086.46</v>
      </c>
      <c r="F493" s="15" t="s">
        <v>279</v>
      </c>
    </row>
    <row r="494" customFormat="false" ht="15" hidden="false" customHeight="false" outlineLevel="0" collapsed="false">
      <c r="A494" s="0" t="s">
        <v>3333</v>
      </c>
      <c r="B494" s="0" t="s">
        <v>2532</v>
      </c>
      <c r="C494" s="0" t="s">
        <v>89</v>
      </c>
      <c r="D494" s="14" t="n">
        <v>45806</v>
      </c>
      <c r="E494" s="0" t="n">
        <v>745.67</v>
      </c>
      <c r="F494" s="15" t="s">
        <v>287</v>
      </c>
    </row>
    <row r="495" customFormat="false" ht="15" hidden="false" customHeight="false" outlineLevel="0" collapsed="false">
      <c r="A495" s="0" t="s">
        <v>3334</v>
      </c>
      <c r="B495" s="0" t="s">
        <v>2533</v>
      </c>
      <c r="C495" s="0" t="s">
        <v>89</v>
      </c>
      <c r="D495" s="14" t="n">
        <v>45808</v>
      </c>
      <c r="E495" s="0" t="n">
        <v>745.67</v>
      </c>
      <c r="F495" s="15" t="s">
        <v>321</v>
      </c>
    </row>
    <row r="496" customFormat="false" ht="15" hidden="false" customHeight="false" outlineLevel="0" collapsed="false">
      <c r="A496" s="0" t="s">
        <v>3335</v>
      </c>
      <c r="B496" s="0" t="s">
        <v>2534</v>
      </c>
      <c r="C496" s="0" t="s">
        <v>195</v>
      </c>
      <c r="D496" s="14" t="n">
        <v>45895</v>
      </c>
      <c r="E496" s="0" t="n">
        <v>2119.2</v>
      </c>
      <c r="F496" s="15" t="s">
        <v>292</v>
      </c>
    </row>
    <row r="497" customFormat="false" ht="15" hidden="false" customHeight="false" outlineLevel="0" collapsed="false">
      <c r="A497" s="0" t="s">
        <v>3336</v>
      </c>
      <c r="B497" s="0" t="s">
        <v>2535</v>
      </c>
      <c r="C497" s="0" t="s">
        <v>125</v>
      </c>
      <c r="D497" s="14" t="n">
        <v>45946</v>
      </c>
      <c r="E497" s="0" t="n">
        <v>202.78</v>
      </c>
      <c r="F497" s="15" t="s">
        <v>279</v>
      </c>
    </row>
    <row r="498" customFormat="false" ht="15" hidden="false" customHeight="false" outlineLevel="0" collapsed="false">
      <c r="A498" s="0" t="s">
        <v>3337</v>
      </c>
      <c r="B498" s="0" t="s">
        <v>2536</v>
      </c>
      <c r="C498" s="0" t="s">
        <v>149</v>
      </c>
      <c r="D498" s="14" t="n">
        <v>45815</v>
      </c>
      <c r="E498" s="0" t="n">
        <v>1869.57</v>
      </c>
      <c r="F498" s="15" t="s">
        <v>321</v>
      </c>
    </row>
    <row r="499" customFormat="false" ht="15" hidden="false" customHeight="false" outlineLevel="0" collapsed="false">
      <c r="A499" s="0" t="s">
        <v>3338</v>
      </c>
      <c r="B499" s="0" t="s">
        <v>2537</v>
      </c>
      <c r="C499" s="0" t="s">
        <v>116</v>
      </c>
      <c r="D499" s="14" t="n">
        <v>46017</v>
      </c>
      <c r="E499" s="0" t="n">
        <v>1002.81</v>
      </c>
      <c r="F499" s="15" t="s">
        <v>290</v>
      </c>
    </row>
    <row r="500" customFormat="false" ht="15" hidden="false" customHeight="false" outlineLevel="0" collapsed="false">
      <c r="A500" s="0" t="s">
        <v>3339</v>
      </c>
      <c r="B500" s="0" t="s">
        <v>2538</v>
      </c>
      <c r="C500" s="0" t="s">
        <v>137</v>
      </c>
      <c r="D500" s="14" t="n">
        <v>45987</v>
      </c>
      <c r="E500" s="0" t="n">
        <v>829.86</v>
      </c>
      <c r="F500" s="15" t="s">
        <v>282</v>
      </c>
    </row>
    <row r="501" customFormat="false" ht="15" hidden="false" customHeight="false" outlineLevel="0" collapsed="false">
      <c r="A501" s="0" t="s">
        <v>3340</v>
      </c>
      <c r="B501" s="0" t="s">
        <v>2540</v>
      </c>
      <c r="C501" s="0" t="s">
        <v>164</v>
      </c>
      <c r="D501" s="14" t="n">
        <v>45844</v>
      </c>
      <c r="E501" s="0" t="n">
        <v>3096.07</v>
      </c>
      <c r="F501" s="15" t="s">
        <v>279</v>
      </c>
    </row>
    <row r="502" customFormat="false" ht="15" hidden="false" customHeight="false" outlineLevel="0" collapsed="false">
      <c r="A502" s="0" t="s">
        <v>3341</v>
      </c>
      <c r="B502" s="0" t="s">
        <v>2542</v>
      </c>
      <c r="C502" s="0" t="s">
        <v>80</v>
      </c>
      <c r="D502" s="14" t="n">
        <v>46061</v>
      </c>
      <c r="E502" s="0" t="n">
        <v>1462.27</v>
      </c>
      <c r="F502" s="15" t="s">
        <v>313</v>
      </c>
    </row>
    <row r="503" customFormat="false" ht="15" hidden="false" customHeight="false" outlineLevel="0" collapsed="false">
      <c r="A503" s="0" t="s">
        <v>3342</v>
      </c>
      <c r="B503" s="0" t="s">
        <v>2543</v>
      </c>
      <c r="C503" s="0" t="s">
        <v>149</v>
      </c>
      <c r="D503" s="14" t="n">
        <v>45845</v>
      </c>
      <c r="E503" s="0" t="n">
        <v>1476.77</v>
      </c>
      <c r="F503" s="15" t="s">
        <v>282</v>
      </c>
    </row>
    <row r="504" customFormat="false" ht="15" hidden="false" customHeight="false" outlineLevel="0" collapsed="false">
      <c r="A504" s="0" t="s">
        <v>3343</v>
      </c>
      <c r="B504" s="0" t="s">
        <v>2544</v>
      </c>
      <c r="C504" s="0" t="s">
        <v>189</v>
      </c>
      <c r="D504" s="14" t="n">
        <v>45983</v>
      </c>
      <c r="E504" s="0" t="n">
        <v>3152.95</v>
      </c>
      <c r="F504" s="15" t="s">
        <v>302</v>
      </c>
    </row>
    <row r="505" customFormat="false" ht="15" hidden="false" customHeight="false" outlineLevel="0" collapsed="false">
      <c r="A505" s="0" t="s">
        <v>3344</v>
      </c>
      <c r="B505" s="0" t="s">
        <v>2545</v>
      </c>
      <c r="C505" s="0" t="s">
        <v>80</v>
      </c>
      <c r="D505" s="14" t="n">
        <v>46068</v>
      </c>
      <c r="E505" s="0" t="n">
        <v>3405.2</v>
      </c>
      <c r="F505" s="15" t="s">
        <v>290</v>
      </c>
    </row>
    <row r="506" customFormat="false" ht="15" hidden="false" customHeight="false" outlineLevel="0" collapsed="false">
      <c r="A506" s="0" t="s">
        <v>3345</v>
      </c>
      <c r="B506" s="0" t="s">
        <v>2546</v>
      </c>
      <c r="C506" s="0" t="s">
        <v>119</v>
      </c>
      <c r="D506" s="14" t="n">
        <v>46093</v>
      </c>
      <c r="E506" s="0" t="n">
        <v>290.16</v>
      </c>
      <c r="F506" s="15" t="s">
        <v>302</v>
      </c>
    </row>
    <row r="507" customFormat="false" ht="15" hidden="false" customHeight="false" outlineLevel="0" collapsed="false">
      <c r="A507" s="0" t="s">
        <v>3346</v>
      </c>
      <c r="B507" s="0" t="s">
        <v>2547</v>
      </c>
      <c r="C507" s="0" t="s">
        <v>171</v>
      </c>
      <c r="D507" s="14" t="n">
        <v>45719</v>
      </c>
      <c r="E507" s="0" t="n">
        <v>3177.82</v>
      </c>
      <c r="F507" s="15" t="s">
        <v>292</v>
      </c>
    </row>
    <row r="508" customFormat="false" ht="15" hidden="false" customHeight="false" outlineLevel="0" collapsed="false">
      <c r="A508" s="0" t="s">
        <v>3347</v>
      </c>
      <c r="B508" s="0" t="s">
        <v>2549</v>
      </c>
      <c r="C508" s="0" t="s">
        <v>104</v>
      </c>
      <c r="D508" s="14" t="n">
        <v>45951</v>
      </c>
      <c r="E508" s="0" t="n">
        <v>2363.54</v>
      </c>
      <c r="F508" s="15" t="s">
        <v>290</v>
      </c>
    </row>
    <row r="509" customFormat="false" ht="15" hidden="false" customHeight="false" outlineLevel="0" collapsed="false">
      <c r="A509" s="0" t="s">
        <v>3348</v>
      </c>
      <c r="B509" s="0" t="s">
        <v>2550</v>
      </c>
      <c r="C509" s="0" t="s">
        <v>93</v>
      </c>
      <c r="D509" s="14" t="n">
        <v>46174</v>
      </c>
      <c r="E509" s="0" t="n">
        <v>1328.83</v>
      </c>
      <c r="F509" s="15" t="s">
        <v>287</v>
      </c>
    </row>
    <row r="510" customFormat="false" ht="15" hidden="false" customHeight="false" outlineLevel="0" collapsed="false">
      <c r="A510" s="0" t="s">
        <v>3349</v>
      </c>
      <c r="B510" s="0" t="s">
        <v>2551</v>
      </c>
      <c r="C510" s="0" t="s">
        <v>140</v>
      </c>
      <c r="D510" s="14" t="n">
        <v>45848</v>
      </c>
      <c r="E510" s="0" t="n">
        <v>940.45</v>
      </c>
      <c r="F510" s="15" t="s">
        <v>302</v>
      </c>
    </row>
    <row r="511" customFormat="false" ht="15" hidden="false" customHeight="false" outlineLevel="0" collapsed="false">
      <c r="A511" s="0" t="s">
        <v>3350</v>
      </c>
      <c r="B511" s="0" t="s">
        <v>2552</v>
      </c>
      <c r="C511" s="0" t="s">
        <v>189</v>
      </c>
      <c r="D511" s="14" t="n">
        <v>46106</v>
      </c>
      <c r="E511" s="0" t="n">
        <v>3318.83</v>
      </c>
      <c r="F511" s="15" t="s">
        <v>321</v>
      </c>
    </row>
    <row r="512" customFormat="false" ht="15" hidden="false" customHeight="false" outlineLevel="0" collapsed="false">
      <c r="A512" s="0" t="s">
        <v>3351</v>
      </c>
      <c r="B512" s="0" t="s">
        <v>2553</v>
      </c>
      <c r="C512" s="0" t="s">
        <v>96</v>
      </c>
      <c r="D512" s="14" t="n">
        <v>46021</v>
      </c>
      <c r="E512" s="0" t="n">
        <v>2949.36</v>
      </c>
      <c r="F512" s="15" t="s">
        <v>282</v>
      </c>
    </row>
    <row r="513" customFormat="false" ht="15" hidden="false" customHeight="false" outlineLevel="0" collapsed="false">
      <c r="A513" s="0" t="s">
        <v>3352</v>
      </c>
      <c r="B513" s="0" t="s">
        <v>2554</v>
      </c>
      <c r="C513" s="0" t="s">
        <v>99</v>
      </c>
      <c r="D513" s="14" t="n">
        <v>45865</v>
      </c>
      <c r="E513" s="0" t="n">
        <v>1733.53</v>
      </c>
      <c r="F513" s="15" t="s">
        <v>313</v>
      </c>
    </row>
    <row r="514" customFormat="false" ht="15" hidden="false" customHeight="false" outlineLevel="0" collapsed="false">
      <c r="A514" s="0" t="s">
        <v>3353</v>
      </c>
      <c r="B514" s="0" t="s">
        <v>2555</v>
      </c>
      <c r="C514" s="0" t="s">
        <v>186</v>
      </c>
      <c r="D514" s="14" t="n">
        <v>46039</v>
      </c>
      <c r="E514" s="0" t="n">
        <v>2308.67</v>
      </c>
      <c r="F514" s="15" t="s">
        <v>292</v>
      </c>
    </row>
    <row r="515" customFormat="false" ht="15" hidden="false" customHeight="false" outlineLevel="0" collapsed="false">
      <c r="A515" s="0" t="s">
        <v>3354</v>
      </c>
      <c r="B515" s="0" t="s">
        <v>2556</v>
      </c>
      <c r="C515" s="0" t="s">
        <v>167</v>
      </c>
      <c r="D515" s="14" t="n">
        <v>46045</v>
      </c>
      <c r="E515" s="0" t="n">
        <v>3697.76</v>
      </c>
      <c r="F515" s="15" t="s">
        <v>279</v>
      </c>
    </row>
    <row r="516" customFormat="false" ht="15" hidden="false" customHeight="false" outlineLevel="0" collapsed="false">
      <c r="A516" s="0" t="s">
        <v>3355</v>
      </c>
      <c r="B516" s="0" t="s">
        <v>2557</v>
      </c>
      <c r="C516" s="0" t="s">
        <v>119</v>
      </c>
      <c r="D516" s="14" t="n">
        <v>46076</v>
      </c>
      <c r="E516" s="0" t="n">
        <v>1532.53</v>
      </c>
      <c r="F516" s="15" t="s">
        <v>313</v>
      </c>
    </row>
    <row r="517" customFormat="false" ht="15" hidden="false" customHeight="false" outlineLevel="0" collapsed="false">
      <c r="A517" s="0" t="s">
        <v>3356</v>
      </c>
      <c r="B517" s="0" t="s">
        <v>2558</v>
      </c>
      <c r="C517" s="0" t="s">
        <v>134</v>
      </c>
      <c r="D517" s="14" t="n">
        <v>46104</v>
      </c>
      <c r="E517" s="0" t="n">
        <v>354.2</v>
      </c>
      <c r="F517" s="15" t="s">
        <v>302</v>
      </c>
    </row>
    <row r="518" customFormat="false" ht="15" hidden="false" customHeight="false" outlineLevel="0" collapsed="false">
      <c r="A518" s="0" t="s">
        <v>3357</v>
      </c>
      <c r="B518" s="0" t="s">
        <v>2559</v>
      </c>
      <c r="C518" s="0" t="s">
        <v>143</v>
      </c>
      <c r="D518" s="14" t="n">
        <v>46052</v>
      </c>
      <c r="E518" s="0" t="n">
        <v>1077.17</v>
      </c>
      <c r="F518" s="15" t="s">
        <v>302</v>
      </c>
    </row>
    <row r="519" customFormat="false" ht="15" hidden="false" customHeight="false" outlineLevel="0" collapsed="false">
      <c r="A519" s="0" t="s">
        <v>3358</v>
      </c>
      <c r="B519" s="0" t="s">
        <v>2560</v>
      </c>
      <c r="C519" s="0" t="s">
        <v>125</v>
      </c>
      <c r="D519" s="14" t="n">
        <v>46146</v>
      </c>
      <c r="E519" s="0" t="n">
        <v>968.37</v>
      </c>
      <c r="F519" s="15" t="s">
        <v>282</v>
      </c>
    </row>
    <row r="520" customFormat="false" ht="15" hidden="false" customHeight="false" outlineLevel="0" collapsed="false">
      <c r="A520" s="0" t="s">
        <v>3359</v>
      </c>
      <c r="B520" s="0" t="s">
        <v>2561</v>
      </c>
      <c r="C520" s="0" t="s">
        <v>89</v>
      </c>
      <c r="D520" s="14" t="n">
        <v>46028</v>
      </c>
      <c r="E520" s="0" t="n">
        <v>1370.11</v>
      </c>
      <c r="F520" s="15" t="s">
        <v>290</v>
      </c>
    </row>
    <row r="521" customFormat="false" ht="15" hidden="false" customHeight="false" outlineLevel="0" collapsed="false">
      <c r="A521" s="0" t="s">
        <v>3360</v>
      </c>
      <c r="B521" s="0" t="s">
        <v>2563</v>
      </c>
      <c r="C521" s="0" t="s">
        <v>171</v>
      </c>
      <c r="D521" s="14" t="n">
        <v>46018</v>
      </c>
      <c r="E521" s="0" t="n">
        <v>3138.5</v>
      </c>
      <c r="F521" s="15" t="s">
        <v>290</v>
      </c>
    </row>
    <row r="522" customFormat="false" ht="15" hidden="false" customHeight="false" outlineLevel="0" collapsed="false">
      <c r="A522" s="0" t="s">
        <v>3361</v>
      </c>
      <c r="B522" s="0" t="s">
        <v>2564</v>
      </c>
      <c r="C522" s="0" t="s">
        <v>112</v>
      </c>
      <c r="D522" s="14" t="n">
        <v>45869</v>
      </c>
      <c r="E522" s="0" t="n">
        <v>4085.56</v>
      </c>
      <c r="F522" s="15" t="s">
        <v>292</v>
      </c>
    </row>
    <row r="523" customFormat="false" ht="15" hidden="false" customHeight="false" outlineLevel="0" collapsed="false">
      <c r="A523" s="0" t="s">
        <v>3362</v>
      </c>
      <c r="B523" s="0" t="s">
        <v>2565</v>
      </c>
      <c r="C523" s="0" t="s">
        <v>70</v>
      </c>
      <c r="D523" s="14" t="n">
        <v>45934</v>
      </c>
      <c r="E523" s="0" t="n">
        <v>2086.29</v>
      </c>
      <c r="F523" s="15" t="s">
        <v>313</v>
      </c>
    </row>
    <row r="524" customFormat="false" ht="15" hidden="false" customHeight="false" outlineLevel="0" collapsed="false">
      <c r="A524" s="0" t="s">
        <v>3363</v>
      </c>
      <c r="B524" s="0" t="s">
        <v>2566</v>
      </c>
      <c r="C524" s="0" t="s">
        <v>161</v>
      </c>
      <c r="D524" s="14" t="n">
        <v>46019</v>
      </c>
      <c r="E524" s="0" t="n">
        <v>345.65</v>
      </c>
      <c r="F524" s="15" t="s">
        <v>290</v>
      </c>
    </row>
    <row r="525" customFormat="false" ht="15" hidden="false" customHeight="false" outlineLevel="0" collapsed="false">
      <c r="A525" s="0" t="s">
        <v>3364</v>
      </c>
      <c r="B525" s="0" t="s">
        <v>2567</v>
      </c>
      <c r="C525" s="0" t="s">
        <v>140</v>
      </c>
      <c r="D525" s="14" t="n">
        <v>46080</v>
      </c>
      <c r="E525" s="0" t="n">
        <v>1516.39</v>
      </c>
      <c r="F525" s="15" t="s">
        <v>282</v>
      </c>
    </row>
    <row r="526" customFormat="false" ht="15" hidden="false" customHeight="false" outlineLevel="0" collapsed="false">
      <c r="A526" s="0" t="s">
        <v>3365</v>
      </c>
      <c r="B526" s="0" t="s">
        <v>2568</v>
      </c>
      <c r="C526" s="0" t="s">
        <v>70</v>
      </c>
      <c r="D526" s="14" t="n">
        <v>45745</v>
      </c>
      <c r="E526" s="0" t="n">
        <v>19832.55</v>
      </c>
      <c r="F526" s="15" t="s">
        <v>292</v>
      </c>
    </row>
    <row r="527" customFormat="false" ht="15" hidden="false" customHeight="false" outlineLevel="0" collapsed="false">
      <c r="A527" s="0" t="s">
        <v>3366</v>
      </c>
      <c r="B527" s="0" t="s">
        <v>2570</v>
      </c>
      <c r="C527" s="0" t="s">
        <v>104</v>
      </c>
      <c r="D527" s="14" t="n">
        <v>46119</v>
      </c>
      <c r="E527" s="0" t="n">
        <v>2360.64</v>
      </c>
      <c r="F527" s="15" t="s">
        <v>279</v>
      </c>
    </row>
    <row r="528" customFormat="false" ht="15" hidden="false" customHeight="false" outlineLevel="0" collapsed="false">
      <c r="A528" s="0" t="s">
        <v>3367</v>
      </c>
      <c r="B528" s="0" t="s">
        <v>2571</v>
      </c>
      <c r="C528" s="0" t="s">
        <v>104</v>
      </c>
      <c r="D528" s="14" t="n">
        <v>45781</v>
      </c>
      <c r="E528" s="0" t="n">
        <v>1484.72</v>
      </c>
      <c r="F528" s="15" t="s">
        <v>321</v>
      </c>
    </row>
    <row r="529" customFormat="false" ht="15" hidden="false" customHeight="false" outlineLevel="0" collapsed="false">
      <c r="A529" s="0" t="s">
        <v>3368</v>
      </c>
      <c r="B529" s="0" t="s">
        <v>2572</v>
      </c>
      <c r="C529" s="0" t="s">
        <v>134</v>
      </c>
      <c r="D529" s="14" t="n">
        <v>45771</v>
      </c>
      <c r="E529" s="0" t="n">
        <v>1627.91</v>
      </c>
      <c r="F529" s="15" t="s">
        <v>313</v>
      </c>
    </row>
    <row r="530" customFormat="false" ht="15" hidden="false" customHeight="false" outlineLevel="0" collapsed="false">
      <c r="A530" s="0" t="s">
        <v>3369</v>
      </c>
      <c r="B530" s="0" t="s">
        <v>2573</v>
      </c>
      <c r="C530" s="0" t="s">
        <v>70</v>
      </c>
      <c r="D530" s="14" t="n">
        <v>45979</v>
      </c>
      <c r="E530" s="0" t="n">
        <v>1311.69</v>
      </c>
      <c r="F530" s="15" t="s">
        <v>290</v>
      </c>
    </row>
    <row r="531" customFormat="false" ht="15" hidden="false" customHeight="false" outlineLevel="0" collapsed="false">
      <c r="A531" s="0" t="s">
        <v>3370</v>
      </c>
      <c r="B531" s="0" t="s">
        <v>2574</v>
      </c>
      <c r="C531" s="0" t="s">
        <v>70</v>
      </c>
      <c r="D531" s="14" t="n">
        <v>45971</v>
      </c>
      <c r="E531" s="0" t="n">
        <v>1090.07</v>
      </c>
      <c r="F531" s="15" t="s">
        <v>279</v>
      </c>
    </row>
    <row r="532" customFormat="false" ht="15" hidden="false" customHeight="false" outlineLevel="0" collapsed="false">
      <c r="A532" s="0" t="s">
        <v>3371</v>
      </c>
      <c r="B532" s="0" t="s">
        <v>2574</v>
      </c>
      <c r="C532" s="0" t="s">
        <v>70</v>
      </c>
      <c r="D532" s="14" t="n">
        <v>45981</v>
      </c>
      <c r="E532" s="0" t="n">
        <v>1090.07</v>
      </c>
      <c r="F532" s="15" t="s">
        <v>282</v>
      </c>
    </row>
    <row r="533" customFormat="false" ht="15" hidden="false" customHeight="false" outlineLevel="0" collapsed="false">
      <c r="A533" s="0" t="s">
        <v>3372</v>
      </c>
      <c r="B533" s="0" t="s">
        <v>2578</v>
      </c>
      <c r="C533" s="0" t="s">
        <v>152</v>
      </c>
      <c r="D533" s="14" t="n">
        <v>46116</v>
      </c>
      <c r="E533" s="0" t="n">
        <v>2753.96</v>
      </c>
      <c r="F533" s="15" t="s">
        <v>287</v>
      </c>
    </row>
    <row r="534" customFormat="false" ht="15" hidden="false" customHeight="false" outlineLevel="0" collapsed="false">
      <c r="A534" s="0" t="s">
        <v>3373</v>
      </c>
      <c r="B534" s="0" t="s">
        <v>2579</v>
      </c>
      <c r="C534" s="0" t="s">
        <v>119</v>
      </c>
      <c r="D534" s="14" t="n">
        <v>45804</v>
      </c>
      <c r="E534" s="0" t="n">
        <v>5478.24</v>
      </c>
      <c r="F534" s="15" t="s">
        <v>321</v>
      </c>
    </row>
    <row r="535" customFormat="false" ht="15" hidden="false" customHeight="false" outlineLevel="0" collapsed="false">
      <c r="A535" s="0" t="s">
        <v>3374</v>
      </c>
      <c r="B535" s="0" t="s">
        <v>2579</v>
      </c>
      <c r="C535" s="0" t="s">
        <v>119</v>
      </c>
      <c r="D535" s="14" t="n">
        <v>45812</v>
      </c>
      <c r="E535" s="0" t="n">
        <v>5478.24</v>
      </c>
      <c r="F535" s="15" t="s">
        <v>321</v>
      </c>
    </row>
    <row r="536" customFormat="false" ht="15" hidden="false" customHeight="false" outlineLevel="0" collapsed="false">
      <c r="A536" s="0" t="s">
        <v>3375</v>
      </c>
      <c r="B536" s="0" t="s">
        <v>2580</v>
      </c>
      <c r="C536" s="0" t="s">
        <v>104</v>
      </c>
      <c r="D536" s="14" t="n">
        <v>46117</v>
      </c>
      <c r="E536" s="0" t="n">
        <v>581.73</v>
      </c>
      <c r="F536" s="15" t="s">
        <v>292</v>
      </c>
    </row>
    <row r="537" customFormat="false" ht="15" hidden="false" customHeight="false" outlineLevel="0" collapsed="false">
      <c r="A537" s="0" t="s">
        <v>3376</v>
      </c>
      <c r="B537" s="0" t="s">
        <v>2581</v>
      </c>
      <c r="C537" s="0" t="s">
        <v>89</v>
      </c>
      <c r="D537" s="14" t="n">
        <v>45948</v>
      </c>
      <c r="E537" s="0" t="n">
        <v>2739.78</v>
      </c>
      <c r="F537" s="15" t="s">
        <v>321</v>
      </c>
    </row>
    <row r="538" customFormat="false" ht="15" hidden="false" customHeight="false" outlineLevel="0" collapsed="false">
      <c r="A538" s="0" t="s">
        <v>3377</v>
      </c>
      <c r="B538" s="0" t="s">
        <v>2581</v>
      </c>
      <c r="C538" s="0" t="s">
        <v>89</v>
      </c>
      <c r="D538" s="14" t="n">
        <v>45955</v>
      </c>
      <c r="E538" s="0" t="n">
        <v>2739.78</v>
      </c>
      <c r="F538" s="15" t="s">
        <v>287</v>
      </c>
    </row>
    <row r="539" customFormat="false" ht="15" hidden="false" customHeight="false" outlineLevel="0" collapsed="false">
      <c r="A539" s="0" t="s">
        <v>3378</v>
      </c>
      <c r="B539" s="0" t="s">
        <v>2582</v>
      </c>
      <c r="C539" s="0" t="s">
        <v>112</v>
      </c>
      <c r="D539" s="14" t="n">
        <v>46142</v>
      </c>
      <c r="E539" s="0" t="n">
        <v>329.34</v>
      </c>
      <c r="F539" s="15" t="s">
        <v>313</v>
      </c>
    </row>
    <row r="540" customFormat="false" ht="15" hidden="false" customHeight="false" outlineLevel="0" collapsed="false">
      <c r="A540" s="0" t="s">
        <v>3379</v>
      </c>
      <c r="B540" s="0" t="s">
        <v>2584</v>
      </c>
      <c r="C540" s="0" t="s">
        <v>152</v>
      </c>
      <c r="D540" s="14" t="n">
        <v>45864</v>
      </c>
      <c r="E540" s="0" t="n">
        <v>5307.07</v>
      </c>
      <c r="F540" s="15" t="s">
        <v>279</v>
      </c>
    </row>
    <row r="541" customFormat="false" ht="15" hidden="false" customHeight="false" outlineLevel="0" collapsed="false">
      <c r="A541" s="0" t="s">
        <v>3380</v>
      </c>
      <c r="B541" s="0" t="s">
        <v>2585</v>
      </c>
      <c r="C541" s="0" t="s">
        <v>84</v>
      </c>
      <c r="D541" s="14" t="n">
        <v>45765</v>
      </c>
      <c r="E541" s="0" t="n">
        <v>4575.5</v>
      </c>
      <c r="F541" s="15" t="s">
        <v>282</v>
      </c>
    </row>
    <row r="542" customFormat="false" ht="15" hidden="false" customHeight="false" outlineLevel="0" collapsed="false">
      <c r="A542" s="0" t="s">
        <v>3381</v>
      </c>
      <c r="B542" s="0" t="s">
        <v>2587</v>
      </c>
      <c r="C542" s="0" t="s">
        <v>152</v>
      </c>
      <c r="D542" s="14" t="n">
        <v>45788</v>
      </c>
      <c r="E542" s="0" t="n">
        <v>4978.47</v>
      </c>
      <c r="F542" s="15" t="s">
        <v>287</v>
      </c>
    </row>
    <row r="543" customFormat="false" ht="15" hidden="false" customHeight="false" outlineLevel="0" collapsed="false">
      <c r="A543" s="0" t="s">
        <v>3382</v>
      </c>
      <c r="B543" s="0" t="s">
        <v>2589</v>
      </c>
      <c r="C543" s="0" t="s">
        <v>152</v>
      </c>
      <c r="D543" s="14" t="n">
        <v>46147</v>
      </c>
      <c r="E543" s="0" t="n">
        <v>4005.11</v>
      </c>
      <c r="F543" s="15" t="s">
        <v>290</v>
      </c>
    </row>
    <row r="544" customFormat="false" ht="15" hidden="false" customHeight="false" outlineLevel="0" collapsed="false">
      <c r="A544" s="0" t="s">
        <v>3383</v>
      </c>
      <c r="B544" s="0" t="s">
        <v>2590</v>
      </c>
      <c r="C544" s="0" t="s">
        <v>80</v>
      </c>
      <c r="D544" s="14" t="n">
        <v>46090</v>
      </c>
      <c r="E544" s="0" t="n">
        <v>1866.99</v>
      </c>
      <c r="F544" s="15" t="s">
        <v>282</v>
      </c>
    </row>
    <row r="545" customFormat="false" ht="15" hidden="false" customHeight="false" outlineLevel="0" collapsed="false">
      <c r="A545" s="0" t="s">
        <v>3384</v>
      </c>
      <c r="B545" s="0" t="s">
        <v>2596</v>
      </c>
      <c r="C545" s="0" t="s">
        <v>96</v>
      </c>
      <c r="D545" s="14" t="n">
        <v>45699</v>
      </c>
      <c r="E545" s="0" t="n">
        <v>4880.22</v>
      </c>
      <c r="F545" s="15" t="s">
        <v>287</v>
      </c>
    </row>
    <row r="546" customFormat="false" ht="15" hidden="false" customHeight="false" outlineLevel="0" collapsed="false">
      <c r="A546" s="0" t="s">
        <v>3385</v>
      </c>
      <c r="B546" s="0" t="s">
        <v>2597</v>
      </c>
      <c r="C546" s="0" t="s">
        <v>152</v>
      </c>
      <c r="D546" s="14" t="n">
        <v>45993</v>
      </c>
      <c r="E546" s="0" t="n">
        <v>2581.16</v>
      </c>
      <c r="F546" s="15" t="s">
        <v>282</v>
      </c>
    </row>
    <row r="547" customFormat="false" ht="15" hidden="false" customHeight="false" outlineLevel="0" collapsed="false">
      <c r="A547" s="0" t="s">
        <v>3386</v>
      </c>
      <c r="B547" s="0" t="s">
        <v>2599</v>
      </c>
      <c r="C547" s="0" t="s">
        <v>177</v>
      </c>
      <c r="D547" s="14" t="n">
        <v>46073</v>
      </c>
      <c r="E547" s="0" t="n">
        <v>2330.25</v>
      </c>
      <c r="F547" s="15" t="s">
        <v>313</v>
      </c>
    </row>
    <row r="548" customFormat="false" ht="15" hidden="false" customHeight="false" outlineLevel="0" collapsed="false">
      <c r="A548" s="0" t="s">
        <v>3387</v>
      </c>
      <c r="B548" s="0" t="s">
        <v>2600</v>
      </c>
      <c r="C548" s="0" t="s">
        <v>167</v>
      </c>
      <c r="D548" s="14" t="n">
        <v>46036</v>
      </c>
      <c r="E548" s="0" t="n">
        <v>1142.31</v>
      </c>
      <c r="F548" s="15" t="s">
        <v>313</v>
      </c>
    </row>
    <row r="549" customFormat="false" ht="15" hidden="false" customHeight="false" outlineLevel="0" collapsed="false">
      <c r="A549" s="0" t="s">
        <v>3388</v>
      </c>
      <c r="B549" s="0" t="s">
        <v>2601</v>
      </c>
      <c r="C549" s="0" t="s">
        <v>171</v>
      </c>
      <c r="D549" s="14" t="n">
        <v>45999</v>
      </c>
      <c r="E549" s="0" t="n">
        <v>5378.13</v>
      </c>
      <c r="F549" s="15" t="s">
        <v>292</v>
      </c>
    </row>
    <row r="550" customFormat="false" ht="15" hidden="false" customHeight="false" outlineLevel="0" collapsed="false">
      <c r="A550" s="0" t="s">
        <v>3389</v>
      </c>
      <c r="B550" s="0" t="s">
        <v>2602</v>
      </c>
      <c r="C550" s="0" t="s">
        <v>75</v>
      </c>
      <c r="D550" s="14" t="n">
        <v>46114</v>
      </c>
      <c r="E550" s="0" t="n">
        <v>1479.77</v>
      </c>
      <c r="F550" s="15" t="s">
        <v>282</v>
      </c>
    </row>
    <row r="551" customFormat="false" ht="15" hidden="false" customHeight="false" outlineLevel="0" collapsed="false">
      <c r="A551" s="0" t="s">
        <v>3390</v>
      </c>
      <c r="B551" s="0" t="s">
        <v>2603</v>
      </c>
      <c r="C551" s="0" t="s">
        <v>75</v>
      </c>
      <c r="D551" s="14" t="n">
        <v>46133</v>
      </c>
      <c r="E551" s="0" t="n">
        <v>1479.77</v>
      </c>
      <c r="F551" s="15" t="s">
        <v>282</v>
      </c>
    </row>
    <row r="552" customFormat="false" ht="15" hidden="false" customHeight="false" outlineLevel="0" collapsed="false">
      <c r="A552" s="0" t="s">
        <v>3391</v>
      </c>
      <c r="B552" s="0" t="s">
        <v>2605</v>
      </c>
      <c r="C552" s="0" t="s">
        <v>96</v>
      </c>
      <c r="D552" s="14" t="n">
        <v>45744</v>
      </c>
      <c r="E552" s="0" t="n">
        <v>1679.49</v>
      </c>
      <c r="F552" s="15" t="s">
        <v>290</v>
      </c>
    </row>
    <row r="553" customFormat="false" ht="15" hidden="false" customHeight="false" outlineLevel="0" collapsed="false">
      <c r="A553" s="0" t="s">
        <v>3392</v>
      </c>
      <c r="B553" s="0" t="s">
        <v>2607</v>
      </c>
      <c r="C553" s="0" t="s">
        <v>183</v>
      </c>
      <c r="D553" s="14" t="n">
        <v>45832</v>
      </c>
      <c r="E553" s="0" t="n">
        <v>2035.58</v>
      </c>
      <c r="F553" s="15" t="s">
        <v>279</v>
      </c>
    </row>
    <row r="554" customFormat="false" ht="15" hidden="false" customHeight="false" outlineLevel="0" collapsed="false">
      <c r="A554" s="0" t="s">
        <v>3393</v>
      </c>
      <c r="B554" s="0" t="s">
        <v>2608</v>
      </c>
      <c r="C554" s="0" t="s">
        <v>155</v>
      </c>
      <c r="D554" s="14" t="n">
        <v>45700</v>
      </c>
      <c r="E554" s="0" t="n">
        <v>1499.87</v>
      </c>
      <c r="F554" s="15" t="s">
        <v>313</v>
      </c>
    </row>
    <row r="555" customFormat="false" ht="15" hidden="false" customHeight="false" outlineLevel="0" collapsed="false">
      <c r="A555" s="0" t="s">
        <v>3394</v>
      </c>
      <c r="B555" s="0" t="s">
        <v>2609</v>
      </c>
      <c r="C555" s="0" t="s">
        <v>89</v>
      </c>
      <c r="D555" s="14" t="n">
        <v>46157</v>
      </c>
      <c r="E555" s="0" t="n">
        <v>2691.6</v>
      </c>
      <c r="F555" s="15" t="s">
        <v>279</v>
      </c>
    </row>
    <row r="556" customFormat="false" ht="15" hidden="false" customHeight="false" outlineLevel="0" collapsed="false">
      <c r="A556" s="0" t="s">
        <v>3395</v>
      </c>
      <c r="B556" s="0" t="s">
        <v>2610</v>
      </c>
      <c r="C556" s="0" t="s">
        <v>99</v>
      </c>
      <c r="D556" s="14" t="n">
        <v>45998</v>
      </c>
      <c r="E556" s="0" t="n">
        <v>687.41</v>
      </c>
      <c r="F556" s="15" t="s">
        <v>279</v>
      </c>
    </row>
    <row r="557" customFormat="false" ht="15" hidden="false" customHeight="false" outlineLevel="0" collapsed="false">
      <c r="A557" s="0" t="s">
        <v>3396</v>
      </c>
      <c r="B557" s="0" t="s">
        <v>2611</v>
      </c>
      <c r="C557" s="0" t="s">
        <v>174</v>
      </c>
      <c r="D557" s="14" t="n">
        <v>46172</v>
      </c>
      <c r="E557" s="0" t="n">
        <v>915.68</v>
      </c>
      <c r="F557" s="15" t="s">
        <v>290</v>
      </c>
    </row>
    <row r="558" customFormat="false" ht="15" hidden="false" customHeight="false" outlineLevel="0" collapsed="false">
      <c r="A558" s="0" t="s">
        <v>3397</v>
      </c>
      <c r="B558" s="0" t="s">
        <v>2612</v>
      </c>
      <c r="C558" s="0" t="s">
        <v>131</v>
      </c>
      <c r="D558" s="14" t="n">
        <v>45822</v>
      </c>
      <c r="E558" s="0" t="n">
        <v>1560.82</v>
      </c>
      <c r="F558" s="15" t="s">
        <v>302</v>
      </c>
    </row>
    <row r="559" customFormat="false" ht="15" hidden="false" customHeight="false" outlineLevel="0" collapsed="false">
      <c r="A559" s="0" t="s">
        <v>3398</v>
      </c>
      <c r="B559" s="0" t="s">
        <v>2614</v>
      </c>
      <c r="C559" s="0" t="s">
        <v>177</v>
      </c>
      <c r="D559" s="14" t="n">
        <v>46142</v>
      </c>
      <c r="E559" s="0" t="n">
        <v>827.43</v>
      </c>
      <c r="F559" s="15" t="s">
        <v>287</v>
      </c>
    </row>
    <row r="560" customFormat="false" ht="15" hidden="false" customHeight="false" outlineLevel="0" collapsed="false">
      <c r="A560" s="0" t="s">
        <v>3399</v>
      </c>
      <c r="B560" s="0" t="s">
        <v>2615</v>
      </c>
      <c r="C560" s="0" t="s">
        <v>189</v>
      </c>
      <c r="D560" s="14" t="n">
        <v>46175</v>
      </c>
      <c r="E560" s="0" t="n">
        <v>11648.06</v>
      </c>
      <c r="F560" s="15" t="s">
        <v>302</v>
      </c>
    </row>
    <row r="561" customFormat="false" ht="15" hidden="false" customHeight="false" outlineLevel="0" collapsed="false">
      <c r="A561" s="0" t="s">
        <v>3400</v>
      </c>
      <c r="B561" s="0" t="s">
        <v>2616</v>
      </c>
      <c r="C561" s="0" t="s">
        <v>189</v>
      </c>
      <c r="D561" s="14" t="n">
        <v>46185</v>
      </c>
      <c r="E561" s="0" t="n">
        <v>11648.06</v>
      </c>
      <c r="F561" s="15" t="s">
        <v>282</v>
      </c>
    </row>
    <row r="562" customFormat="false" ht="15" hidden="false" customHeight="false" outlineLevel="0" collapsed="false">
      <c r="A562" s="0" t="s">
        <v>3401</v>
      </c>
      <c r="B562" s="0" t="s">
        <v>2617</v>
      </c>
      <c r="C562" s="0" t="s">
        <v>116</v>
      </c>
      <c r="D562" s="14" t="n">
        <v>45846</v>
      </c>
      <c r="E562" s="0" t="n">
        <v>12577.05</v>
      </c>
      <c r="F562" s="15" t="s">
        <v>292</v>
      </c>
    </row>
    <row r="563" customFormat="false" ht="15" hidden="false" customHeight="false" outlineLevel="0" collapsed="false">
      <c r="A563" s="0" t="s">
        <v>3402</v>
      </c>
      <c r="B563" s="0" t="s">
        <v>2617</v>
      </c>
      <c r="C563" s="0" t="s">
        <v>116</v>
      </c>
      <c r="D563" s="14" t="n">
        <v>45852</v>
      </c>
      <c r="E563" s="0" t="n">
        <v>12577.05</v>
      </c>
      <c r="F563" s="15" t="s">
        <v>279</v>
      </c>
    </row>
    <row r="564" customFormat="false" ht="15" hidden="false" customHeight="false" outlineLevel="0" collapsed="false">
      <c r="A564" s="0" t="s">
        <v>3403</v>
      </c>
      <c r="B564" s="0" t="s">
        <v>2618</v>
      </c>
      <c r="C564" s="0" t="s">
        <v>109</v>
      </c>
      <c r="D564" s="14" t="n">
        <v>45910</v>
      </c>
      <c r="E564" s="0" t="n">
        <v>1362.33</v>
      </c>
      <c r="F564" s="15" t="s">
        <v>290</v>
      </c>
    </row>
    <row r="565" customFormat="false" ht="15" hidden="false" customHeight="false" outlineLevel="0" collapsed="false">
      <c r="A565" s="0" t="s">
        <v>3404</v>
      </c>
      <c r="B565" s="0" t="s">
        <v>2619</v>
      </c>
      <c r="C565" s="0" t="s">
        <v>183</v>
      </c>
      <c r="D565" s="14" t="n">
        <v>45775</v>
      </c>
      <c r="E565" s="0" t="n">
        <v>2061.29</v>
      </c>
      <c r="F565" s="15" t="s">
        <v>321</v>
      </c>
    </row>
    <row r="566" customFormat="false" ht="15" hidden="false" customHeight="false" outlineLevel="0" collapsed="false">
      <c r="A566" s="0" t="s">
        <v>3405</v>
      </c>
      <c r="B566" s="0" t="s">
        <v>2620</v>
      </c>
      <c r="C566" s="0" t="s">
        <v>75</v>
      </c>
      <c r="D566" s="14" t="n">
        <v>46182</v>
      </c>
      <c r="E566" s="0" t="n">
        <v>1760.94</v>
      </c>
      <c r="F566" s="15" t="s">
        <v>313</v>
      </c>
    </row>
    <row r="567" customFormat="false" ht="15" hidden="false" customHeight="false" outlineLevel="0" collapsed="false">
      <c r="A567" s="0" t="s">
        <v>3406</v>
      </c>
      <c r="B567" s="0" t="s">
        <v>2621</v>
      </c>
      <c r="C567" s="0" t="s">
        <v>104</v>
      </c>
      <c r="D567" s="14" t="n">
        <v>45864</v>
      </c>
      <c r="E567" s="0" t="n">
        <v>4559.69</v>
      </c>
      <c r="F567" s="15" t="s">
        <v>321</v>
      </c>
    </row>
    <row r="568" customFormat="false" ht="15" hidden="false" customHeight="false" outlineLevel="0" collapsed="false">
      <c r="A568" s="0" t="s">
        <v>3407</v>
      </c>
      <c r="B568" s="0" t="s">
        <v>2622</v>
      </c>
      <c r="C568" s="0" t="s">
        <v>177</v>
      </c>
      <c r="D568" s="14" t="n">
        <v>45966</v>
      </c>
      <c r="E568" s="0" t="n">
        <v>285.04</v>
      </c>
      <c r="F568" s="15" t="s">
        <v>290</v>
      </c>
    </row>
    <row r="569" customFormat="false" ht="15" hidden="false" customHeight="false" outlineLevel="0" collapsed="false">
      <c r="A569" s="0" t="s">
        <v>3408</v>
      </c>
      <c r="B569" s="0" t="s">
        <v>2623</v>
      </c>
      <c r="C569" s="0" t="s">
        <v>164</v>
      </c>
      <c r="D569" s="14" t="n">
        <v>45734</v>
      </c>
      <c r="E569" s="0" t="n">
        <v>2954.28</v>
      </c>
      <c r="F569" s="15" t="s">
        <v>292</v>
      </c>
    </row>
    <row r="570" customFormat="false" ht="15" hidden="false" customHeight="false" outlineLevel="0" collapsed="false">
      <c r="A570" s="0" t="s">
        <v>3409</v>
      </c>
      <c r="B570" s="0" t="s">
        <v>2625</v>
      </c>
      <c r="C570" s="0" t="s">
        <v>164</v>
      </c>
      <c r="D570" s="14" t="n">
        <v>45754</v>
      </c>
      <c r="E570" s="0" t="n">
        <v>603.77</v>
      </c>
      <c r="F570" s="15" t="s">
        <v>279</v>
      </c>
    </row>
    <row r="571" customFormat="false" ht="15" hidden="false" customHeight="false" outlineLevel="0" collapsed="false">
      <c r="A571" s="0" t="s">
        <v>3410</v>
      </c>
      <c r="B571" s="0" t="s">
        <v>2627</v>
      </c>
      <c r="C571" s="0" t="s">
        <v>201</v>
      </c>
      <c r="D571" s="14" t="n">
        <v>46063</v>
      </c>
      <c r="E571" s="0" t="n">
        <v>767.92</v>
      </c>
      <c r="F571" s="15" t="s">
        <v>321</v>
      </c>
    </row>
    <row r="572" customFormat="false" ht="15" hidden="false" customHeight="false" outlineLevel="0" collapsed="false">
      <c r="A572" s="0" t="s">
        <v>3411</v>
      </c>
      <c r="B572" s="0" t="s">
        <v>2628</v>
      </c>
      <c r="C572" s="0" t="s">
        <v>109</v>
      </c>
      <c r="D572" s="14" t="n">
        <v>46083</v>
      </c>
      <c r="E572" s="0" t="n">
        <v>2186.62</v>
      </c>
      <c r="F572" s="15" t="s">
        <v>313</v>
      </c>
    </row>
    <row r="573" customFormat="false" ht="15" hidden="false" customHeight="false" outlineLevel="0" collapsed="false">
      <c r="A573" s="0" t="s">
        <v>3412</v>
      </c>
      <c r="B573" s="0" t="s">
        <v>2629</v>
      </c>
      <c r="C573" s="0" t="s">
        <v>146</v>
      </c>
      <c r="D573" s="14" t="n">
        <v>46201</v>
      </c>
      <c r="E573" s="0" t="n">
        <v>2778.4</v>
      </c>
      <c r="F573" s="15" t="s">
        <v>321</v>
      </c>
    </row>
    <row r="574" customFormat="false" ht="15" hidden="false" customHeight="false" outlineLevel="0" collapsed="false">
      <c r="A574" s="0" t="s">
        <v>3413</v>
      </c>
      <c r="B574" s="0" t="s">
        <v>2630</v>
      </c>
      <c r="C574" s="0" t="s">
        <v>192</v>
      </c>
      <c r="D574" s="14" t="n">
        <v>45916</v>
      </c>
      <c r="E574" s="0" t="n">
        <v>989.27</v>
      </c>
      <c r="F574" s="15" t="s">
        <v>282</v>
      </c>
    </row>
    <row r="575" customFormat="false" ht="15" hidden="false" customHeight="false" outlineLevel="0" collapsed="false">
      <c r="A575" s="0" t="s">
        <v>3414</v>
      </c>
      <c r="B575" s="0" t="s">
        <v>2631</v>
      </c>
      <c r="C575" s="0" t="s">
        <v>177</v>
      </c>
      <c r="D575" s="14" t="n">
        <v>46115</v>
      </c>
      <c r="E575" s="0" t="n">
        <v>1556.9</v>
      </c>
      <c r="F575" s="15" t="s">
        <v>292</v>
      </c>
    </row>
    <row r="576" customFormat="false" ht="15" hidden="false" customHeight="false" outlineLevel="0" collapsed="false">
      <c r="A576" s="0" t="s">
        <v>3415</v>
      </c>
      <c r="B576" s="0" t="s">
        <v>2632</v>
      </c>
      <c r="C576" s="0" t="s">
        <v>112</v>
      </c>
      <c r="D576" s="14" t="n">
        <v>45755</v>
      </c>
      <c r="E576" s="0" t="n">
        <v>6662.15</v>
      </c>
      <c r="F576" s="15" t="s">
        <v>302</v>
      </c>
    </row>
    <row r="577" customFormat="false" ht="15" hidden="false" customHeight="false" outlineLevel="0" collapsed="false">
      <c r="A577" s="0" t="s">
        <v>3416</v>
      </c>
      <c r="B577" s="0" t="s">
        <v>2633</v>
      </c>
      <c r="C577" s="0" t="s">
        <v>198</v>
      </c>
      <c r="D577" s="14" t="n">
        <v>45905</v>
      </c>
      <c r="E577" s="0" t="n">
        <v>5757.86</v>
      </c>
      <c r="F577" s="15" t="s">
        <v>282</v>
      </c>
    </row>
    <row r="578" customFormat="false" ht="15" hidden="false" customHeight="false" outlineLevel="0" collapsed="false">
      <c r="A578" s="0" t="s">
        <v>3417</v>
      </c>
      <c r="B578" s="0" t="s">
        <v>2634</v>
      </c>
      <c r="C578" s="0" t="s">
        <v>171</v>
      </c>
      <c r="D578" s="14" t="n">
        <v>45754</v>
      </c>
      <c r="E578" s="0" t="n">
        <v>6869</v>
      </c>
      <c r="F578" s="15" t="s">
        <v>290</v>
      </c>
    </row>
    <row r="579" customFormat="false" ht="15" hidden="false" customHeight="false" outlineLevel="0" collapsed="false">
      <c r="A579" s="0" t="s">
        <v>3418</v>
      </c>
      <c r="B579" s="0" t="s">
        <v>2635</v>
      </c>
      <c r="C579" s="0" t="s">
        <v>167</v>
      </c>
      <c r="D579" s="14" t="n">
        <v>45958</v>
      </c>
      <c r="E579" s="0" t="n">
        <v>228.89</v>
      </c>
      <c r="F579" s="15" t="s">
        <v>282</v>
      </c>
    </row>
    <row r="580" customFormat="false" ht="15" hidden="false" customHeight="false" outlineLevel="0" collapsed="false">
      <c r="A580" s="0" t="s">
        <v>3419</v>
      </c>
      <c r="B580" s="0" t="s">
        <v>2636</v>
      </c>
      <c r="C580" s="0" t="s">
        <v>140</v>
      </c>
      <c r="D580" s="14" t="n">
        <v>45912</v>
      </c>
      <c r="E580" s="0" t="n">
        <v>887.06</v>
      </c>
      <c r="F580" s="15" t="s">
        <v>292</v>
      </c>
    </row>
    <row r="581" customFormat="false" ht="15" hidden="false" customHeight="false" outlineLevel="0" collapsed="false">
      <c r="A581" s="0" t="s">
        <v>3420</v>
      </c>
      <c r="B581" s="0" t="s">
        <v>2637</v>
      </c>
      <c r="C581" s="0" t="s">
        <v>75</v>
      </c>
      <c r="D581" s="14" t="n">
        <v>46179</v>
      </c>
      <c r="E581" s="0" t="n">
        <v>2875.96</v>
      </c>
      <c r="F581" s="15" t="s">
        <v>287</v>
      </c>
    </row>
    <row r="582" customFormat="false" ht="15" hidden="false" customHeight="false" outlineLevel="0" collapsed="false">
      <c r="A582" s="0" t="s">
        <v>3421</v>
      </c>
      <c r="B582" s="0" t="s">
        <v>2638</v>
      </c>
      <c r="C582" s="0" t="s">
        <v>84</v>
      </c>
      <c r="D582" s="14" t="n">
        <v>45709</v>
      </c>
      <c r="E582" s="0" t="n">
        <v>3337.25</v>
      </c>
      <c r="F582" s="15" t="s">
        <v>302</v>
      </c>
    </row>
    <row r="583" customFormat="false" ht="15" hidden="false" customHeight="false" outlineLevel="0" collapsed="false">
      <c r="A583" s="0" t="s">
        <v>3422</v>
      </c>
      <c r="B583" s="0" t="s">
        <v>2639</v>
      </c>
      <c r="C583" s="0" t="s">
        <v>195</v>
      </c>
      <c r="D583" s="14" t="n">
        <v>45892</v>
      </c>
      <c r="E583" s="0" t="n">
        <v>3555.6</v>
      </c>
      <c r="F583" s="15" t="s">
        <v>290</v>
      </c>
    </row>
    <row r="584" customFormat="false" ht="15" hidden="false" customHeight="false" outlineLevel="0" collapsed="false">
      <c r="A584" s="0" t="s">
        <v>3423</v>
      </c>
      <c r="B584" s="0" t="s">
        <v>2640</v>
      </c>
      <c r="C584" s="0" t="s">
        <v>116</v>
      </c>
      <c r="D584" s="14" t="n">
        <v>45939</v>
      </c>
      <c r="E584" s="0" t="n">
        <v>313.22</v>
      </c>
      <c r="F584" s="15" t="s">
        <v>302</v>
      </c>
    </row>
    <row r="585" customFormat="false" ht="15" hidden="false" customHeight="false" outlineLevel="0" collapsed="false">
      <c r="A585" s="0" t="s">
        <v>3424</v>
      </c>
      <c r="B585" s="0" t="s">
        <v>2641</v>
      </c>
      <c r="C585" s="0" t="s">
        <v>70</v>
      </c>
      <c r="D585" s="14" t="n">
        <v>46203</v>
      </c>
      <c r="E585" s="0" t="n">
        <v>36063.86</v>
      </c>
      <c r="F585" s="15" t="s">
        <v>313</v>
      </c>
    </row>
    <row r="586" customFormat="false" ht="15" hidden="false" customHeight="false" outlineLevel="0" collapsed="false">
      <c r="A586" s="0" t="s">
        <v>3425</v>
      </c>
      <c r="B586" s="0" t="s">
        <v>2642</v>
      </c>
      <c r="C586" s="0" t="s">
        <v>96</v>
      </c>
      <c r="D586" s="14" t="n">
        <v>46164</v>
      </c>
      <c r="E586" s="0" t="n">
        <v>1139.17</v>
      </c>
      <c r="F586" s="15" t="s">
        <v>279</v>
      </c>
    </row>
    <row r="587" customFormat="false" ht="15" hidden="false" customHeight="false" outlineLevel="0" collapsed="false">
      <c r="A587" s="0" t="s">
        <v>3426</v>
      </c>
      <c r="B587" s="0" t="s">
        <v>2643</v>
      </c>
      <c r="C587" s="0" t="s">
        <v>155</v>
      </c>
      <c r="D587" s="14" t="n">
        <v>45741</v>
      </c>
      <c r="E587" s="0" t="n">
        <v>989.07</v>
      </c>
      <c r="F587" s="15" t="s">
        <v>321</v>
      </c>
    </row>
    <row r="588" customFormat="false" ht="15" hidden="false" customHeight="false" outlineLevel="0" collapsed="false">
      <c r="A588" s="0" t="s">
        <v>3427</v>
      </c>
      <c r="B588" s="0" t="s">
        <v>2645</v>
      </c>
      <c r="C588" s="0" t="s">
        <v>177</v>
      </c>
      <c r="D588" s="14" t="n">
        <v>45987</v>
      </c>
      <c r="E588" s="0" t="n">
        <v>2408.69</v>
      </c>
      <c r="F588" s="15" t="s">
        <v>313</v>
      </c>
    </row>
    <row r="589" customFormat="false" ht="15" hidden="false" customHeight="false" outlineLevel="0" collapsed="false">
      <c r="A589" s="0" t="s">
        <v>3428</v>
      </c>
      <c r="B589" s="0" t="s">
        <v>2648</v>
      </c>
      <c r="C589" s="0" t="s">
        <v>171</v>
      </c>
      <c r="D589" s="14" t="n">
        <v>45888</v>
      </c>
      <c r="E589" s="0" t="n">
        <v>526.61</v>
      </c>
      <c r="F589" s="15" t="s">
        <v>321</v>
      </c>
    </row>
    <row r="590" customFormat="false" ht="15" hidden="false" customHeight="false" outlineLevel="0" collapsed="false">
      <c r="A590" s="0" t="s">
        <v>3429</v>
      </c>
      <c r="B590" s="0" t="s">
        <v>2650</v>
      </c>
      <c r="C590" s="0" t="s">
        <v>99</v>
      </c>
      <c r="D590" s="14" t="n">
        <v>45750</v>
      </c>
      <c r="E590" s="0" t="n">
        <v>3315.09</v>
      </c>
      <c r="F590" s="15" t="s">
        <v>290</v>
      </c>
    </row>
    <row r="591" customFormat="false" ht="15" hidden="false" customHeight="false" outlineLevel="0" collapsed="false">
      <c r="A591" s="0" t="s">
        <v>3430</v>
      </c>
      <c r="B591" s="0" t="s">
        <v>2651</v>
      </c>
      <c r="C591" s="0" t="s">
        <v>104</v>
      </c>
      <c r="D591" s="14" t="n">
        <v>46152</v>
      </c>
      <c r="E591" s="0" t="n">
        <v>1645.78</v>
      </c>
      <c r="F591" s="15" t="s">
        <v>279</v>
      </c>
    </row>
    <row r="592" customFormat="false" ht="15" hidden="false" customHeight="false" outlineLevel="0" collapsed="false">
      <c r="A592" s="0" t="s">
        <v>3431</v>
      </c>
      <c r="B592" s="0" t="s">
        <v>2652</v>
      </c>
      <c r="C592" s="0" t="s">
        <v>104</v>
      </c>
      <c r="D592" s="14" t="n">
        <v>46162</v>
      </c>
      <c r="E592" s="0" t="n">
        <v>1645.78</v>
      </c>
      <c r="F592" s="15" t="s">
        <v>279</v>
      </c>
    </row>
    <row r="593" customFormat="false" ht="15" hidden="false" customHeight="false" outlineLevel="0" collapsed="false">
      <c r="A593" s="0" t="s">
        <v>3432</v>
      </c>
      <c r="B593" s="0" t="s">
        <v>2653</v>
      </c>
      <c r="C593" s="0" t="s">
        <v>104</v>
      </c>
      <c r="D593" s="14" t="n">
        <v>45939</v>
      </c>
      <c r="E593" s="0" t="n">
        <v>2048.02</v>
      </c>
      <c r="F593" s="15" t="s">
        <v>313</v>
      </c>
    </row>
    <row r="594" customFormat="false" ht="15" hidden="false" customHeight="false" outlineLevel="0" collapsed="false">
      <c r="A594" s="0" t="s">
        <v>3433</v>
      </c>
      <c r="B594" s="0" t="s">
        <v>2654</v>
      </c>
      <c r="C594" s="0" t="s">
        <v>155</v>
      </c>
      <c r="D594" s="14" t="n">
        <v>46059</v>
      </c>
      <c r="E594" s="0" t="n">
        <v>1796.9</v>
      </c>
      <c r="F594" s="15" t="s">
        <v>321</v>
      </c>
    </row>
    <row r="595" customFormat="false" ht="15" hidden="false" customHeight="false" outlineLevel="0" collapsed="false">
      <c r="A595" s="0" t="s">
        <v>3434</v>
      </c>
      <c r="B595" s="0" t="s">
        <v>2655</v>
      </c>
      <c r="C595" s="0" t="s">
        <v>116</v>
      </c>
      <c r="D595" s="14" t="n">
        <v>46062</v>
      </c>
      <c r="E595" s="0" t="n">
        <v>2764.38</v>
      </c>
      <c r="F595" s="15" t="s">
        <v>313</v>
      </c>
    </row>
    <row r="596" customFormat="false" ht="15" hidden="false" customHeight="false" outlineLevel="0" collapsed="false">
      <c r="A596" s="0" t="s">
        <v>3435</v>
      </c>
      <c r="B596" s="0" t="s">
        <v>2656</v>
      </c>
      <c r="C596" s="0" t="s">
        <v>116</v>
      </c>
      <c r="D596" s="14" t="n">
        <v>46009</v>
      </c>
      <c r="E596" s="0" t="n">
        <v>3596.65</v>
      </c>
      <c r="F596" s="15" t="s">
        <v>279</v>
      </c>
    </row>
    <row r="597" customFormat="false" ht="15" hidden="false" customHeight="false" outlineLevel="0" collapsed="false">
      <c r="A597" s="0" t="s">
        <v>3436</v>
      </c>
      <c r="B597" s="0" t="s">
        <v>2658</v>
      </c>
      <c r="C597" s="0" t="s">
        <v>198</v>
      </c>
      <c r="D597" s="14" t="n">
        <v>46129</v>
      </c>
      <c r="E597" s="0" t="n">
        <v>2397.02</v>
      </c>
      <c r="F597" s="15" t="s">
        <v>292</v>
      </c>
    </row>
    <row r="598" customFormat="false" ht="15" hidden="false" customHeight="false" outlineLevel="0" collapsed="false">
      <c r="A598" s="0" t="s">
        <v>3437</v>
      </c>
      <c r="B598" s="0" t="s">
        <v>2659</v>
      </c>
      <c r="C598" s="0" t="s">
        <v>186</v>
      </c>
      <c r="D598" s="14" t="n">
        <v>45824</v>
      </c>
      <c r="E598" s="0" t="n">
        <v>15935.12</v>
      </c>
      <c r="F598" s="15" t="s">
        <v>279</v>
      </c>
    </row>
    <row r="599" customFormat="false" ht="15" hidden="false" customHeight="false" outlineLevel="0" collapsed="false">
      <c r="A599" s="0" t="s">
        <v>3438</v>
      </c>
      <c r="B599" s="0" t="s">
        <v>2660</v>
      </c>
      <c r="C599" s="0" t="s">
        <v>164</v>
      </c>
      <c r="D599" s="14" t="n">
        <v>45761</v>
      </c>
      <c r="E599" s="0" t="n">
        <v>524.67</v>
      </c>
      <c r="F599" s="15" t="s">
        <v>287</v>
      </c>
    </row>
    <row r="600" customFormat="false" ht="15" hidden="false" customHeight="false" outlineLevel="0" collapsed="false">
      <c r="A600" s="0" t="s">
        <v>3439</v>
      </c>
      <c r="B600" s="0" t="s">
        <v>2662</v>
      </c>
      <c r="C600" s="0" t="s">
        <v>201</v>
      </c>
      <c r="D600" s="14" t="n">
        <v>45754</v>
      </c>
      <c r="E600" s="0" t="n">
        <v>979.13</v>
      </c>
      <c r="F600" s="15" t="s">
        <v>313</v>
      </c>
    </row>
    <row r="601" customFormat="false" ht="15" hidden="false" customHeight="false" outlineLevel="0" collapsed="false">
      <c r="A601" s="0" t="s">
        <v>3440</v>
      </c>
      <c r="B601" s="0" t="s">
        <v>2663</v>
      </c>
      <c r="C601" s="0" t="s">
        <v>93</v>
      </c>
      <c r="D601" s="14" t="n">
        <v>46092</v>
      </c>
      <c r="E601" s="0" t="n">
        <v>3602.11</v>
      </c>
      <c r="F601" s="15" t="s">
        <v>282</v>
      </c>
    </row>
    <row r="602" customFormat="false" ht="15" hidden="false" customHeight="false" outlineLevel="0" collapsed="false">
      <c r="A602" s="0" t="s">
        <v>3441</v>
      </c>
      <c r="B602" s="0" t="s">
        <v>2664</v>
      </c>
      <c r="C602" s="0" t="s">
        <v>125</v>
      </c>
      <c r="D602" s="14" t="n">
        <v>45774</v>
      </c>
      <c r="E602" s="0" t="n">
        <v>579.61</v>
      </c>
      <c r="F602" s="15" t="s">
        <v>292</v>
      </c>
    </row>
    <row r="603" customFormat="false" ht="15" hidden="false" customHeight="false" outlineLevel="0" collapsed="false">
      <c r="A603" s="0" t="s">
        <v>3442</v>
      </c>
      <c r="B603" s="0" t="s">
        <v>2665</v>
      </c>
      <c r="C603" s="0" t="s">
        <v>134</v>
      </c>
      <c r="D603" s="14" t="n">
        <v>45810</v>
      </c>
      <c r="E603" s="0" t="n">
        <v>2463.86</v>
      </c>
      <c r="F603" s="15" t="s">
        <v>313</v>
      </c>
    </row>
    <row r="604" customFormat="false" ht="15" hidden="false" customHeight="false" outlineLevel="0" collapsed="false">
      <c r="A604" s="0" t="s">
        <v>3443</v>
      </c>
      <c r="B604" s="0" t="s">
        <v>2666</v>
      </c>
      <c r="C604" s="0" t="s">
        <v>140</v>
      </c>
      <c r="D604" s="14" t="n">
        <v>46149</v>
      </c>
      <c r="E604" s="0" t="n">
        <v>2741.68</v>
      </c>
      <c r="F604" s="15" t="s">
        <v>290</v>
      </c>
    </row>
    <row r="605" customFormat="false" ht="15" hidden="false" customHeight="false" outlineLevel="0" collapsed="false">
      <c r="A605" s="0" t="s">
        <v>3444</v>
      </c>
      <c r="B605" s="0" t="s">
        <v>2667</v>
      </c>
      <c r="C605" s="0" t="s">
        <v>146</v>
      </c>
      <c r="D605" s="14" t="n">
        <v>45862</v>
      </c>
      <c r="E605" s="0" t="n">
        <v>683.18</v>
      </c>
      <c r="F605" s="15" t="s">
        <v>279</v>
      </c>
    </row>
    <row r="606" customFormat="false" ht="15" hidden="false" customHeight="false" outlineLevel="0" collapsed="false">
      <c r="A606" s="0" t="s">
        <v>3445</v>
      </c>
      <c r="B606" s="0" t="s">
        <v>2668</v>
      </c>
      <c r="C606" s="0" t="s">
        <v>167</v>
      </c>
      <c r="D606" s="14" t="n">
        <v>45780</v>
      </c>
      <c r="E606" s="0" t="n">
        <v>1624.72</v>
      </c>
      <c r="F606" s="15" t="s">
        <v>313</v>
      </c>
    </row>
    <row r="607" customFormat="false" ht="15" hidden="false" customHeight="false" outlineLevel="0" collapsed="false">
      <c r="A607" s="0" t="s">
        <v>3446</v>
      </c>
      <c r="B607" s="0" t="s">
        <v>2669</v>
      </c>
      <c r="C607" s="0" t="s">
        <v>134</v>
      </c>
      <c r="D607" s="14" t="n">
        <v>46168</v>
      </c>
      <c r="E607" s="0" t="n">
        <v>1846.75</v>
      </c>
      <c r="F607" s="15" t="s">
        <v>292</v>
      </c>
    </row>
    <row r="608" customFormat="false" ht="15" hidden="false" customHeight="false" outlineLevel="0" collapsed="false">
      <c r="A608" s="0" t="s">
        <v>3447</v>
      </c>
      <c r="B608" s="0" t="s">
        <v>2670</v>
      </c>
      <c r="C608" s="0" t="s">
        <v>183</v>
      </c>
      <c r="D608" s="14" t="n">
        <v>45698</v>
      </c>
      <c r="E608" s="0" t="n">
        <v>1307.64</v>
      </c>
      <c r="F608" s="15" t="s">
        <v>290</v>
      </c>
    </row>
    <row r="609" customFormat="false" ht="15" hidden="false" customHeight="false" outlineLevel="0" collapsed="false">
      <c r="A609" s="0" t="s">
        <v>3448</v>
      </c>
      <c r="B609" s="0" t="s">
        <v>2671</v>
      </c>
      <c r="C609" s="0" t="s">
        <v>180</v>
      </c>
      <c r="D609" s="14" t="n">
        <v>46171</v>
      </c>
      <c r="E609" s="0" t="n">
        <v>1035.87</v>
      </c>
      <c r="F609" s="15" t="s">
        <v>302</v>
      </c>
    </row>
    <row r="610" customFormat="false" ht="15" hidden="false" customHeight="false" outlineLevel="0" collapsed="false">
      <c r="A610" s="0" t="s">
        <v>3449</v>
      </c>
      <c r="B610" s="0" t="s">
        <v>2672</v>
      </c>
      <c r="C610" s="0" t="s">
        <v>192</v>
      </c>
      <c r="D610" s="14" t="n">
        <v>45770</v>
      </c>
      <c r="E610" s="0" t="n">
        <v>7340.64</v>
      </c>
      <c r="F610" s="15" t="s">
        <v>313</v>
      </c>
    </row>
    <row r="611" customFormat="false" ht="15" hidden="false" customHeight="false" outlineLevel="0" collapsed="false">
      <c r="A611" s="0" t="s">
        <v>3450</v>
      </c>
      <c r="B611" s="0" t="s">
        <v>2672</v>
      </c>
      <c r="C611" s="0" t="s">
        <v>192</v>
      </c>
      <c r="D611" s="14" t="n">
        <v>45774</v>
      </c>
      <c r="E611" s="0" t="n">
        <v>7340.64</v>
      </c>
      <c r="F611" s="15" t="s">
        <v>292</v>
      </c>
    </row>
    <row r="612" customFormat="false" ht="15" hidden="false" customHeight="false" outlineLevel="0" collapsed="false">
      <c r="A612" s="0" t="s">
        <v>3451</v>
      </c>
      <c r="B612" s="0" t="s">
        <v>2673</v>
      </c>
      <c r="C612" s="0" t="s">
        <v>112</v>
      </c>
      <c r="D612" s="14" t="n">
        <v>45770</v>
      </c>
      <c r="E612" s="0" t="n">
        <v>957.43</v>
      </c>
      <c r="F612" s="15" t="s">
        <v>313</v>
      </c>
    </row>
    <row r="613" customFormat="false" ht="15" hidden="false" customHeight="false" outlineLevel="0" collapsed="false">
      <c r="A613" s="0" t="s">
        <v>3452</v>
      </c>
      <c r="B613" s="0" t="s">
        <v>2674</v>
      </c>
      <c r="C613" s="0" t="s">
        <v>109</v>
      </c>
      <c r="D613" s="14" t="n">
        <v>45841</v>
      </c>
      <c r="E613" s="0" t="n">
        <v>2509.24</v>
      </c>
      <c r="F613" s="15" t="s">
        <v>290</v>
      </c>
    </row>
    <row r="614" customFormat="false" ht="15" hidden="false" customHeight="false" outlineLevel="0" collapsed="false">
      <c r="A614" s="0" t="s">
        <v>3453</v>
      </c>
      <c r="B614" s="0" t="s">
        <v>2676</v>
      </c>
      <c r="C614" s="0" t="s">
        <v>198</v>
      </c>
      <c r="D614" s="14" t="n">
        <v>46062</v>
      </c>
      <c r="E614" s="0" t="n">
        <v>629.25</v>
      </c>
      <c r="F614" s="15" t="s">
        <v>321</v>
      </c>
    </row>
    <row r="615" customFormat="false" ht="15" hidden="false" customHeight="false" outlineLevel="0" collapsed="false">
      <c r="A615" s="0" t="s">
        <v>3454</v>
      </c>
      <c r="B615" s="0" t="s">
        <v>2677</v>
      </c>
      <c r="C615" s="0" t="s">
        <v>167</v>
      </c>
      <c r="D615" s="14" t="n">
        <v>45700</v>
      </c>
      <c r="E615" s="0" t="n">
        <v>24756.78</v>
      </c>
      <c r="F615" s="15" t="s">
        <v>290</v>
      </c>
    </row>
    <row r="616" customFormat="false" ht="15" hidden="false" customHeight="false" outlineLevel="0" collapsed="false">
      <c r="A616" s="0" t="s">
        <v>3455</v>
      </c>
      <c r="B616" s="0" t="s">
        <v>2678</v>
      </c>
      <c r="C616" s="0" t="s">
        <v>131</v>
      </c>
      <c r="D616" s="14" t="n">
        <v>45696</v>
      </c>
      <c r="E616" s="0" t="n">
        <v>2964.49</v>
      </c>
      <c r="F616" s="15" t="s">
        <v>282</v>
      </c>
    </row>
    <row r="617" customFormat="false" ht="15" hidden="false" customHeight="false" outlineLevel="0" collapsed="false">
      <c r="A617" s="0" t="s">
        <v>3456</v>
      </c>
      <c r="B617" s="0" t="s">
        <v>2679</v>
      </c>
      <c r="C617" s="0" t="s">
        <v>109</v>
      </c>
      <c r="D617" s="14" t="n">
        <v>46128</v>
      </c>
      <c r="E617" s="0" t="n">
        <v>3993.23</v>
      </c>
      <c r="F617" s="15" t="s">
        <v>313</v>
      </c>
    </row>
    <row r="618" customFormat="false" ht="15" hidden="false" customHeight="false" outlineLevel="0" collapsed="false">
      <c r="A618" s="0" t="s">
        <v>3457</v>
      </c>
      <c r="B618" s="0" t="s">
        <v>2680</v>
      </c>
      <c r="C618" s="0" t="s">
        <v>186</v>
      </c>
      <c r="D618" s="14" t="n">
        <v>45823</v>
      </c>
      <c r="E618" s="0" t="n">
        <v>1604.06</v>
      </c>
      <c r="F618" s="15" t="s">
        <v>321</v>
      </c>
    </row>
    <row r="619" customFormat="false" ht="15" hidden="false" customHeight="false" outlineLevel="0" collapsed="false">
      <c r="A619" s="0" t="s">
        <v>3458</v>
      </c>
      <c r="B619" s="0" t="s">
        <v>2681</v>
      </c>
      <c r="C619" s="0" t="s">
        <v>198</v>
      </c>
      <c r="D619" s="14" t="n">
        <v>45885</v>
      </c>
      <c r="E619" s="0" t="n">
        <v>2211.07</v>
      </c>
      <c r="F619" s="15" t="s">
        <v>321</v>
      </c>
    </row>
    <row r="620" customFormat="false" ht="15" hidden="false" customHeight="false" outlineLevel="0" collapsed="false">
      <c r="A620" s="0" t="s">
        <v>3459</v>
      </c>
      <c r="B620" s="0" t="s">
        <v>2682</v>
      </c>
      <c r="C620" s="0" t="s">
        <v>109</v>
      </c>
      <c r="D620" s="14" t="n">
        <v>45763</v>
      </c>
      <c r="E620" s="0" t="n">
        <v>1034.65</v>
      </c>
      <c r="F620" s="15" t="s">
        <v>292</v>
      </c>
    </row>
    <row r="621" customFormat="false" ht="15" hidden="false" customHeight="false" outlineLevel="0" collapsed="false">
      <c r="A621" s="0" t="s">
        <v>3460</v>
      </c>
      <c r="B621" s="0" t="s">
        <v>2684</v>
      </c>
      <c r="C621" s="0" t="s">
        <v>177</v>
      </c>
      <c r="D621" s="14" t="n">
        <v>46083</v>
      </c>
      <c r="E621" s="0" t="n">
        <v>1848.76</v>
      </c>
      <c r="F621" s="15" t="s">
        <v>321</v>
      </c>
    </row>
    <row r="622" customFormat="false" ht="15" hidden="false" customHeight="false" outlineLevel="0" collapsed="false">
      <c r="A622" s="0" t="s">
        <v>3461</v>
      </c>
      <c r="B622" s="0" t="s">
        <v>2685</v>
      </c>
      <c r="C622" s="0" t="s">
        <v>198</v>
      </c>
      <c r="D622" s="14" t="n">
        <v>45988</v>
      </c>
      <c r="E622" s="0" t="n">
        <v>2842.44</v>
      </c>
      <c r="F622" s="15" t="s">
        <v>290</v>
      </c>
    </row>
    <row r="623" customFormat="false" ht="15" hidden="false" customHeight="false" outlineLevel="0" collapsed="false">
      <c r="A623" s="0" t="s">
        <v>3462</v>
      </c>
      <c r="B623" s="0" t="s">
        <v>2686</v>
      </c>
      <c r="C623" s="0" t="s">
        <v>134</v>
      </c>
      <c r="D623" s="14" t="n">
        <v>46103</v>
      </c>
      <c r="E623" s="0" t="n">
        <v>2826.44</v>
      </c>
      <c r="F623" s="15" t="s">
        <v>313</v>
      </c>
    </row>
    <row r="624" customFormat="false" ht="15" hidden="false" customHeight="false" outlineLevel="0" collapsed="false">
      <c r="A624" s="0" t="s">
        <v>3463</v>
      </c>
      <c r="B624" s="0" t="s">
        <v>2688</v>
      </c>
      <c r="C624" s="0" t="s">
        <v>195</v>
      </c>
      <c r="D624" s="14" t="n">
        <v>46131</v>
      </c>
      <c r="E624" s="0" t="n">
        <v>4662.39</v>
      </c>
      <c r="F624" s="15" t="s">
        <v>321</v>
      </c>
    </row>
    <row r="625" customFormat="false" ht="15" hidden="false" customHeight="false" outlineLevel="0" collapsed="false">
      <c r="A625" s="0" t="s">
        <v>3464</v>
      </c>
      <c r="B625" s="0" t="s">
        <v>2689</v>
      </c>
      <c r="C625" s="0" t="s">
        <v>201</v>
      </c>
      <c r="D625" s="14" t="n">
        <v>45970</v>
      </c>
      <c r="E625" s="0" t="n">
        <v>369.39</v>
      </c>
      <c r="F625" s="15" t="s">
        <v>321</v>
      </c>
    </row>
    <row r="626" customFormat="false" ht="15" hidden="false" customHeight="false" outlineLevel="0" collapsed="false">
      <c r="A626" s="0" t="s">
        <v>3465</v>
      </c>
      <c r="B626" s="0" t="s">
        <v>2693</v>
      </c>
      <c r="C626" s="0" t="s">
        <v>171</v>
      </c>
      <c r="D626" s="14" t="n">
        <v>45719</v>
      </c>
      <c r="E626" s="0" t="n">
        <v>1081.06</v>
      </c>
      <c r="F626" s="15" t="s">
        <v>279</v>
      </c>
    </row>
    <row r="627" customFormat="false" ht="15" hidden="false" customHeight="false" outlineLevel="0" collapsed="false">
      <c r="A627" s="0" t="s">
        <v>3466</v>
      </c>
      <c r="B627" s="0" t="s">
        <v>2694</v>
      </c>
      <c r="C627" s="0" t="s">
        <v>149</v>
      </c>
      <c r="D627" s="14" t="n">
        <v>46118</v>
      </c>
      <c r="E627" s="0" t="n">
        <v>199.69</v>
      </c>
      <c r="F627" s="15" t="s">
        <v>279</v>
      </c>
    </row>
    <row r="628" customFormat="false" ht="15" hidden="false" customHeight="false" outlineLevel="0" collapsed="false">
      <c r="A628" s="0" t="s">
        <v>3467</v>
      </c>
      <c r="B628" s="0" t="s">
        <v>2695</v>
      </c>
      <c r="C628" s="0" t="s">
        <v>198</v>
      </c>
      <c r="D628" s="14" t="n">
        <v>46133</v>
      </c>
      <c r="E628" s="0" t="n">
        <v>1143.13</v>
      </c>
      <c r="F628" s="15" t="s">
        <v>279</v>
      </c>
    </row>
    <row r="629" customFormat="false" ht="15" hidden="false" customHeight="false" outlineLevel="0" collapsed="false">
      <c r="A629" s="0" t="s">
        <v>3468</v>
      </c>
      <c r="B629" s="0" t="s">
        <v>2696</v>
      </c>
      <c r="C629" s="0" t="s">
        <v>180</v>
      </c>
      <c r="D629" s="14" t="n">
        <v>45979</v>
      </c>
      <c r="E629" s="0" t="n">
        <v>3047.46</v>
      </c>
      <c r="F629" s="15" t="s">
        <v>313</v>
      </c>
    </row>
    <row r="630" customFormat="false" ht="15" hidden="false" customHeight="false" outlineLevel="0" collapsed="false">
      <c r="A630" s="0" t="s">
        <v>3469</v>
      </c>
      <c r="B630" s="0" t="s">
        <v>2697</v>
      </c>
      <c r="C630" s="0" t="s">
        <v>112</v>
      </c>
      <c r="D630" s="14" t="n">
        <v>45936</v>
      </c>
      <c r="E630" s="0" t="n">
        <v>2282.24</v>
      </c>
      <c r="F630" s="15" t="s">
        <v>321</v>
      </c>
    </row>
    <row r="631" customFormat="false" ht="15" hidden="false" customHeight="false" outlineLevel="0" collapsed="false">
      <c r="A631" s="0" t="s">
        <v>3470</v>
      </c>
      <c r="B631" s="0" t="s">
        <v>2698</v>
      </c>
      <c r="C631" s="0" t="s">
        <v>99</v>
      </c>
      <c r="D631" s="14" t="n">
        <v>46204</v>
      </c>
      <c r="E631" s="0" t="n">
        <v>866.83</v>
      </c>
      <c r="F631" s="15" t="s">
        <v>302</v>
      </c>
    </row>
    <row r="632" customFormat="false" ht="15" hidden="false" customHeight="false" outlineLevel="0" collapsed="false">
      <c r="A632" s="0" t="s">
        <v>3471</v>
      </c>
      <c r="B632" s="0" t="s">
        <v>2699</v>
      </c>
      <c r="C632" s="0" t="s">
        <v>143</v>
      </c>
      <c r="D632" s="14" t="n">
        <v>45729</v>
      </c>
      <c r="E632" s="0" t="n">
        <v>9584.39</v>
      </c>
      <c r="F632" s="15" t="s">
        <v>279</v>
      </c>
    </row>
    <row r="633" customFormat="false" ht="15" hidden="false" customHeight="false" outlineLevel="0" collapsed="false">
      <c r="A633" s="0" t="s">
        <v>3472</v>
      </c>
      <c r="B633" s="0" t="s">
        <v>2700</v>
      </c>
      <c r="C633" s="0" t="s">
        <v>96</v>
      </c>
      <c r="D633" s="14" t="n">
        <v>45948</v>
      </c>
      <c r="E633" s="0" t="n">
        <v>1413.3</v>
      </c>
      <c r="F633" s="15" t="s">
        <v>290</v>
      </c>
    </row>
    <row r="634" customFormat="false" ht="15" hidden="false" customHeight="false" outlineLevel="0" collapsed="false">
      <c r="A634" s="0" t="s">
        <v>3473</v>
      </c>
      <c r="B634" s="0" t="s">
        <v>2701</v>
      </c>
      <c r="C634" s="0" t="s">
        <v>186</v>
      </c>
      <c r="D634" s="14" t="n">
        <v>45926</v>
      </c>
      <c r="E634" s="0" t="n">
        <v>9255.12</v>
      </c>
      <c r="F634" s="15" t="s">
        <v>292</v>
      </c>
    </row>
    <row r="635" customFormat="false" ht="15" hidden="false" customHeight="false" outlineLevel="0" collapsed="false">
      <c r="A635" s="0" t="s">
        <v>3474</v>
      </c>
      <c r="B635" s="0" t="s">
        <v>2702</v>
      </c>
      <c r="C635" s="0" t="s">
        <v>171</v>
      </c>
      <c r="D635" s="14" t="n">
        <v>46059</v>
      </c>
      <c r="E635" s="0" t="n">
        <v>363.94</v>
      </c>
      <c r="F635" s="15" t="s">
        <v>290</v>
      </c>
    </row>
    <row r="636" customFormat="false" ht="15" hidden="false" customHeight="false" outlineLevel="0" collapsed="false">
      <c r="A636" s="0" t="s">
        <v>3475</v>
      </c>
      <c r="B636" s="0" t="s">
        <v>2703</v>
      </c>
      <c r="C636" s="0" t="s">
        <v>104</v>
      </c>
      <c r="D636" s="14" t="n">
        <v>45939</v>
      </c>
      <c r="E636" s="0" t="n">
        <v>12071.44</v>
      </c>
      <c r="F636" s="15" t="s">
        <v>292</v>
      </c>
    </row>
    <row r="637" customFormat="false" ht="15" hidden="false" customHeight="false" outlineLevel="0" collapsed="false">
      <c r="A637" s="0" t="s">
        <v>3476</v>
      </c>
      <c r="B637" s="0" t="s">
        <v>2704</v>
      </c>
      <c r="C637" s="0" t="s">
        <v>93</v>
      </c>
      <c r="D637" s="14" t="n">
        <v>46180</v>
      </c>
      <c r="E637" s="0" t="n">
        <v>345.86</v>
      </c>
      <c r="F637" s="15" t="s">
        <v>290</v>
      </c>
    </row>
    <row r="638" customFormat="false" ht="15" hidden="false" customHeight="false" outlineLevel="0" collapsed="false">
      <c r="A638" s="0" t="s">
        <v>3477</v>
      </c>
      <c r="B638" s="0" t="s">
        <v>2704</v>
      </c>
      <c r="C638" s="0" t="s">
        <v>93</v>
      </c>
      <c r="D638" s="14" t="n">
        <v>46187</v>
      </c>
      <c r="E638" s="0" t="n">
        <v>345.86</v>
      </c>
      <c r="F638" s="15" t="s">
        <v>313</v>
      </c>
    </row>
    <row r="639" customFormat="false" ht="15" hidden="false" customHeight="false" outlineLevel="0" collapsed="false">
      <c r="A639" s="0" t="s">
        <v>3478</v>
      </c>
      <c r="B639" s="0" t="s">
        <v>2705</v>
      </c>
      <c r="C639" s="0" t="s">
        <v>198</v>
      </c>
      <c r="D639" s="14" t="n">
        <v>45742</v>
      </c>
      <c r="E639" s="0" t="n">
        <v>146.21</v>
      </c>
      <c r="F639" s="15" t="s">
        <v>313</v>
      </c>
    </row>
    <row r="640" customFormat="false" ht="15" hidden="false" customHeight="false" outlineLevel="0" collapsed="false">
      <c r="A640" s="0" t="s">
        <v>3479</v>
      </c>
      <c r="B640" s="0" t="s">
        <v>2706</v>
      </c>
      <c r="C640" s="0" t="s">
        <v>125</v>
      </c>
      <c r="D640" s="14" t="n">
        <v>45744</v>
      </c>
      <c r="E640" s="0" t="n">
        <v>2671.57</v>
      </c>
      <c r="F640" s="15" t="s">
        <v>287</v>
      </c>
    </row>
    <row r="641" customFormat="false" ht="15" hidden="false" customHeight="false" outlineLevel="0" collapsed="false">
      <c r="A641" s="0" t="s">
        <v>3480</v>
      </c>
      <c r="B641" s="0" t="s">
        <v>2707</v>
      </c>
      <c r="C641" s="0" t="s">
        <v>143</v>
      </c>
      <c r="D641" s="14" t="n">
        <v>46000</v>
      </c>
      <c r="E641" s="0" t="n">
        <v>1652.24</v>
      </c>
      <c r="F641" s="15" t="s">
        <v>302</v>
      </c>
    </row>
    <row r="642" customFormat="false" ht="15" hidden="false" customHeight="false" outlineLevel="0" collapsed="false">
      <c r="A642" s="0" t="s">
        <v>3481</v>
      </c>
      <c r="B642" s="0" t="s">
        <v>2708</v>
      </c>
      <c r="C642" s="0" t="s">
        <v>93</v>
      </c>
      <c r="D642" s="14" t="n">
        <v>45712</v>
      </c>
      <c r="E642" s="0" t="n">
        <v>2766.5</v>
      </c>
      <c r="F642" s="15" t="s">
        <v>313</v>
      </c>
    </row>
    <row r="643" customFormat="false" ht="15" hidden="false" customHeight="false" outlineLevel="0" collapsed="false">
      <c r="A643" s="0" t="s">
        <v>3482</v>
      </c>
      <c r="B643" s="0" t="s">
        <v>2709</v>
      </c>
      <c r="C643" s="0" t="s">
        <v>167</v>
      </c>
      <c r="D643" s="14" t="n">
        <v>45853</v>
      </c>
      <c r="E643" s="0" t="n">
        <v>5537.55</v>
      </c>
      <c r="F643" s="15" t="s">
        <v>287</v>
      </c>
    </row>
    <row r="644" customFormat="false" ht="15" hidden="false" customHeight="false" outlineLevel="0" collapsed="false">
      <c r="A644" s="0" t="s">
        <v>3483</v>
      </c>
      <c r="B644" s="0" t="s">
        <v>2710</v>
      </c>
      <c r="C644" s="0" t="s">
        <v>174</v>
      </c>
      <c r="D644" s="14" t="n">
        <v>46057</v>
      </c>
      <c r="E644" s="0" t="n">
        <v>4823.29</v>
      </c>
      <c r="F644" s="15" t="s">
        <v>302</v>
      </c>
    </row>
    <row r="645" customFormat="false" ht="15" hidden="false" customHeight="false" outlineLevel="0" collapsed="false">
      <c r="A645" s="0" t="s">
        <v>3484</v>
      </c>
      <c r="B645" s="0" t="s">
        <v>2711</v>
      </c>
      <c r="C645" s="0" t="s">
        <v>119</v>
      </c>
      <c r="D645" s="14" t="n">
        <v>45990</v>
      </c>
      <c r="E645" s="0" t="n">
        <v>2004.87</v>
      </c>
      <c r="F645" s="15" t="s">
        <v>302</v>
      </c>
    </row>
    <row r="646" customFormat="false" ht="15" hidden="false" customHeight="false" outlineLevel="0" collapsed="false">
      <c r="A646" s="0" t="s">
        <v>3485</v>
      </c>
      <c r="B646" s="0" t="s">
        <v>2712</v>
      </c>
      <c r="C646" s="0" t="s">
        <v>149</v>
      </c>
      <c r="D646" s="14" t="n">
        <v>45859</v>
      </c>
      <c r="E646" s="0" t="n">
        <v>368.64</v>
      </c>
      <c r="F646" s="15" t="s">
        <v>279</v>
      </c>
    </row>
    <row r="647" customFormat="false" ht="15" hidden="false" customHeight="false" outlineLevel="0" collapsed="false">
      <c r="A647" s="0" t="s">
        <v>3486</v>
      </c>
      <c r="B647" s="0" t="s">
        <v>2714</v>
      </c>
      <c r="C647" s="0" t="s">
        <v>112</v>
      </c>
      <c r="D647" s="14" t="n">
        <v>45968</v>
      </c>
      <c r="E647" s="0" t="n">
        <v>18808.64</v>
      </c>
      <c r="F647" s="15" t="s">
        <v>287</v>
      </c>
    </row>
    <row r="648" customFormat="false" ht="15" hidden="false" customHeight="false" outlineLevel="0" collapsed="false">
      <c r="A648" s="0" t="s">
        <v>3487</v>
      </c>
      <c r="B648" s="0" t="s">
        <v>2715</v>
      </c>
      <c r="C648" s="0" t="s">
        <v>80</v>
      </c>
      <c r="D648" s="14" t="n">
        <v>45956</v>
      </c>
      <c r="E648" s="0" t="n">
        <v>2123.75</v>
      </c>
      <c r="F648" s="15" t="s">
        <v>282</v>
      </c>
    </row>
    <row r="649" customFormat="false" ht="15" hidden="false" customHeight="false" outlineLevel="0" collapsed="false">
      <c r="A649" s="0" t="s">
        <v>3488</v>
      </c>
      <c r="B649" s="0" t="s">
        <v>2716</v>
      </c>
      <c r="C649" s="0" t="s">
        <v>109</v>
      </c>
      <c r="D649" s="14" t="n">
        <v>46030</v>
      </c>
      <c r="E649" s="0" t="n">
        <v>2641.8</v>
      </c>
      <c r="F649" s="15" t="s">
        <v>279</v>
      </c>
    </row>
    <row r="650" customFormat="false" ht="15" hidden="false" customHeight="false" outlineLevel="0" collapsed="false">
      <c r="A650" s="0" t="s">
        <v>3489</v>
      </c>
      <c r="B650" s="0" t="s">
        <v>2717</v>
      </c>
      <c r="C650" s="0" t="s">
        <v>125</v>
      </c>
      <c r="D650" s="14" t="n">
        <v>45761</v>
      </c>
      <c r="E650" s="0" t="n">
        <v>2661.22</v>
      </c>
      <c r="F650" s="15" t="s">
        <v>321</v>
      </c>
    </row>
    <row r="651" customFormat="false" ht="15" hidden="false" customHeight="false" outlineLevel="0" collapsed="false">
      <c r="A651" s="0" t="s">
        <v>3490</v>
      </c>
      <c r="B651" s="0" t="s">
        <v>2718</v>
      </c>
      <c r="C651" s="0" t="s">
        <v>146</v>
      </c>
      <c r="D651" s="14" t="n">
        <v>46090</v>
      </c>
      <c r="E651" s="0" t="n">
        <v>2608</v>
      </c>
      <c r="F651" s="15" t="s">
        <v>290</v>
      </c>
    </row>
    <row r="652" customFormat="false" ht="15" hidden="false" customHeight="false" outlineLevel="0" collapsed="false">
      <c r="A652" s="0" t="s">
        <v>3491</v>
      </c>
      <c r="B652" s="0" t="s">
        <v>2719</v>
      </c>
      <c r="C652" s="0" t="s">
        <v>180</v>
      </c>
      <c r="D652" s="14" t="n">
        <v>46146</v>
      </c>
      <c r="E652" s="0" t="n">
        <v>19774.14</v>
      </c>
      <c r="F652" s="15" t="s">
        <v>279</v>
      </c>
    </row>
    <row r="653" customFormat="false" ht="15" hidden="false" customHeight="false" outlineLevel="0" collapsed="false">
      <c r="A653" s="0" t="s">
        <v>3492</v>
      </c>
      <c r="B653" s="0" t="s">
        <v>2720</v>
      </c>
      <c r="C653" s="0" t="s">
        <v>134</v>
      </c>
      <c r="D653" s="14" t="n">
        <v>46033</v>
      </c>
      <c r="E653" s="0" t="n">
        <v>393.39</v>
      </c>
      <c r="F653" s="15" t="s">
        <v>279</v>
      </c>
    </row>
    <row r="654" customFormat="false" ht="15" hidden="false" customHeight="false" outlineLevel="0" collapsed="false">
      <c r="A654" s="0" t="s">
        <v>3493</v>
      </c>
      <c r="B654" s="0" t="s">
        <v>2722</v>
      </c>
      <c r="C654" s="0" t="s">
        <v>158</v>
      </c>
      <c r="D654" s="14" t="n">
        <v>46096</v>
      </c>
      <c r="E654" s="0" t="n">
        <v>19934.95</v>
      </c>
      <c r="F654" s="15" t="s">
        <v>292</v>
      </c>
    </row>
    <row r="655" customFormat="false" ht="15" hidden="false" customHeight="false" outlineLevel="0" collapsed="false">
      <c r="A655" s="0" t="s">
        <v>3494</v>
      </c>
      <c r="B655" s="0" t="s">
        <v>2723</v>
      </c>
      <c r="C655" s="0" t="s">
        <v>99</v>
      </c>
      <c r="D655" s="14" t="n">
        <v>45802</v>
      </c>
      <c r="E655" s="0" t="n">
        <v>812.03</v>
      </c>
      <c r="F655" s="15" t="s">
        <v>292</v>
      </c>
    </row>
    <row r="656" customFormat="false" ht="15" hidden="false" customHeight="false" outlineLevel="0" collapsed="false">
      <c r="A656" s="0" t="s">
        <v>3495</v>
      </c>
      <c r="B656" s="0" t="s">
        <v>2724</v>
      </c>
      <c r="C656" s="0" t="s">
        <v>155</v>
      </c>
      <c r="D656" s="14" t="n">
        <v>45936</v>
      </c>
      <c r="E656" s="0" t="n">
        <v>26179.49</v>
      </c>
      <c r="F656" s="15" t="s">
        <v>279</v>
      </c>
    </row>
    <row r="657" customFormat="false" ht="15" hidden="false" customHeight="false" outlineLevel="0" collapsed="false">
      <c r="A657" s="0" t="s">
        <v>3496</v>
      </c>
      <c r="B657" s="0" t="s">
        <v>2725</v>
      </c>
      <c r="C657" s="0" t="s">
        <v>96</v>
      </c>
      <c r="D657" s="14" t="n">
        <v>45816</v>
      </c>
      <c r="E657" s="0" t="n">
        <v>8117.27</v>
      </c>
      <c r="F657" s="15" t="s">
        <v>313</v>
      </c>
    </row>
    <row r="658" customFormat="false" ht="15" hidden="false" customHeight="false" outlineLevel="0" collapsed="false">
      <c r="A658" s="0" t="s">
        <v>3497</v>
      </c>
      <c r="B658" s="0" t="s">
        <v>2726</v>
      </c>
      <c r="C658" s="0" t="s">
        <v>195</v>
      </c>
      <c r="D658" s="14" t="n">
        <v>45880</v>
      </c>
      <c r="E658" s="0" t="n">
        <v>9161.11</v>
      </c>
      <c r="F658" s="15" t="s">
        <v>290</v>
      </c>
    </row>
    <row r="659" customFormat="false" ht="15" hidden="false" customHeight="false" outlineLevel="0" collapsed="false">
      <c r="A659" s="0" t="s">
        <v>3498</v>
      </c>
      <c r="B659" s="0" t="s">
        <v>2727</v>
      </c>
      <c r="C659" s="0" t="s">
        <v>146</v>
      </c>
      <c r="D659" s="14" t="n">
        <v>45926</v>
      </c>
      <c r="E659" s="0" t="n">
        <v>1056.4</v>
      </c>
      <c r="F659" s="15" t="s">
        <v>282</v>
      </c>
    </row>
    <row r="660" customFormat="false" ht="15" hidden="false" customHeight="false" outlineLevel="0" collapsed="false">
      <c r="A660" s="0" t="s">
        <v>3499</v>
      </c>
      <c r="B660" s="0" t="s">
        <v>2728</v>
      </c>
      <c r="C660" s="0" t="s">
        <v>125</v>
      </c>
      <c r="D660" s="14" t="n">
        <v>45889</v>
      </c>
      <c r="E660" s="0" t="n">
        <v>3577.81</v>
      </c>
      <c r="F660" s="15" t="s">
        <v>302</v>
      </c>
    </row>
    <row r="661" customFormat="false" ht="15" hidden="false" customHeight="false" outlineLevel="0" collapsed="false">
      <c r="A661" s="0" t="s">
        <v>3500</v>
      </c>
      <c r="B661" s="0" t="s">
        <v>2729</v>
      </c>
      <c r="C661" s="0" t="s">
        <v>93</v>
      </c>
      <c r="D661" s="14" t="n">
        <v>45737</v>
      </c>
      <c r="E661" s="0" t="n">
        <v>1478.7</v>
      </c>
      <c r="F661" s="15" t="s">
        <v>290</v>
      </c>
    </row>
    <row r="662" customFormat="false" ht="15" hidden="false" customHeight="false" outlineLevel="0" collapsed="false">
      <c r="A662" s="0" t="s">
        <v>3501</v>
      </c>
      <c r="B662" s="0" t="s">
        <v>2730</v>
      </c>
      <c r="C662" s="0" t="s">
        <v>158</v>
      </c>
      <c r="D662" s="14" t="n">
        <v>45926</v>
      </c>
      <c r="E662" s="0" t="n">
        <v>5071.62</v>
      </c>
      <c r="F662" s="15" t="s">
        <v>313</v>
      </c>
    </row>
    <row r="663" customFormat="false" ht="15" hidden="false" customHeight="false" outlineLevel="0" collapsed="false">
      <c r="A663" s="0" t="s">
        <v>3502</v>
      </c>
      <c r="B663" s="0" t="s">
        <v>2731</v>
      </c>
      <c r="C663" s="0" t="s">
        <v>180</v>
      </c>
      <c r="D663" s="14" t="n">
        <v>46060</v>
      </c>
      <c r="E663" s="0" t="n">
        <v>3714.97</v>
      </c>
      <c r="F663" s="15" t="s">
        <v>321</v>
      </c>
    </row>
    <row r="664" customFormat="false" ht="15" hidden="false" customHeight="false" outlineLevel="0" collapsed="false">
      <c r="A664" s="0" t="s">
        <v>3503</v>
      </c>
      <c r="B664" s="0" t="s">
        <v>2732</v>
      </c>
      <c r="C664" s="0" t="s">
        <v>155</v>
      </c>
      <c r="D664" s="14" t="n">
        <v>45889</v>
      </c>
      <c r="E664" s="0" t="n">
        <v>577.47</v>
      </c>
      <c r="F664" s="15" t="s">
        <v>321</v>
      </c>
    </row>
    <row r="665" customFormat="false" ht="15" hidden="false" customHeight="false" outlineLevel="0" collapsed="false">
      <c r="A665" s="0" t="s">
        <v>3504</v>
      </c>
      <c r="B665" s="0" t="s">
        <v>2734</v>
      </c>
      <c r="C665" s="0" t="s">
        <v>75</v>
      </c>
      <c r="D665" s="14" t="n">
        <v>46203</v>
      </c>
      <c r="E665" s="0" t="n">
        <v>2429.18</v>
      </c>
      <c r="F665" s="15" t="s">
        <v>279</v>
      </c>
    </row>
    <row r="666" customFormat="false" ht="15" hidden="false" customHeight="false" outlineLevel="0" collapsed="false">
      <c r="A666" s="0" t="s">
        <v>3505</v>
      </c>
      <c r="B666" s="0" t="s">
        <v>2735</v>
      </c>
      <c r="C666" s="0" t="s">
        <v>109</v>
      </c>
      <c r="D666" s="14" t="n">
        <v>45721</v>
      </c>
      <c r="E666" s="0" t="n">
        <v>5420.25</v>
      </c>
      <c r="F666" s="15" t="s">
        <v>313</v>
      </c>
    </row>
    <row r="667" customFormat="false" ht="15" hidden="false" customHeight="false" outlineLevel="0" collapsed="false">
      <c r="A667" s="0" t="s">
        <v>3506</v>
      </c>
      <c r="B667" s="0" t="s">
        <v>2737</v>
      </c>
      <c r="C667" s="0" t="s">
        <v>183</v>
      </c>
      <c r="D667" s="14" t="n">
        <v>45711</v>
      </c>
      <c r="E667" s="0" t="n">
        <v>5970.05</v>
      </c>
      <c r="F667" s="15" t="s">
        <v>313</v>
      </c>
    </row>
    <row r="668" customFormat="false" ht="15" hidden="false" customHeight="false" outlineLevel="0" collapsed="false">
      <c r="A668" s="0" t="s">
        <v>3507</v>
      </c>
      <c r="B668" s="0" t="s">
        <v>2738</v>
      </c>
      <c r="C668" s="0" t="s">
        <v>140</v>
      </c>
      <c r="D668" s="14" t="n">
        <v>45719</v>
      </c>
      <c r="E668" s="0" t="n">
        <v>1166.53</v>
      </c>
      <c r="F668" s="15" t="s">
        <v>287</v>
      </c>
    </row>
    <row r="669" customFormat="false" ht="15" hidden="false" customHeight="false" outlineLevel="0" collapsed="false">
      <c r="A669" s="0" t="s">
        <v>3508</v>
      </c>
      <c r="B669" s="0" t="s">
        <v>2739</v>
      </c>
      <c r="C669" s="0" t="s">
        <v>201</v>
      </c>
      <c r="D669" s="14" t="n">
        <v>46103</v>
      </c>
      <c r="E669" s="0" t="n">
        <v>305.02</v>
      </c>
      <c r="F669" s="15" t="s">
        <v>313</v>
      </c>
    </row>
    <row r="670" customFormat="false" ht="15" hidden="false" customHeight="false" outlineLevel="0" collapsed="false">
      <c r="A670" s="0" t="s">
        <v>3509</v>
      </c>
      <c r="B670" s="0" t="s">
        <v>2740</v>
      </c>
      <c r="C670" s="0" t="s">
        <v>99</v>
      </c>
      <c r="D670" s="14" t="n">
        <v>46133</v>
      </c>
      <c r="E670" s="0" t="n">
        <v>888.47</v>
      </c>
      <c r="F670" s="15" t="s">
        <v>290</v>
      </c>
    </row>
    <row r="671" customFormat="false" ht="15" hidden="false" customHeight="false" outlineLevel="0" collapsed="false">
      <c r="A671" s="0" t="s">
        <v>3510</v>
      </c>
      <c r="B671" s="0" t="s">
        <v>2741</v>
      </c>
      <c r="C671" s="0" t="s">
        <v>119</v>
      </c>
      <c r="D671" s="14" t="n">
        <v>46004</v>
      </c>
      <c r="E671" s="0" t="n">
        <v>6115.66</v>
      </c>
      <c r="F671" s="15" t="s">
        <v>302</v>
      </c>
    </row>
    <row r="672" customFormat="false" ht="15" hidden="false" customHeight="false" outlineLevel="0" collapsed="false">
      <c r="A672" s="0" t="s">
        <v>3511</v>
      </c>
      <c r="B672" s="0" t="s">
        <v>2743</v>
      </c>
      <c r="C672" s="0" t="s">
        <v>167</v>
      </c>
      <c r="D672" s="14" t="n">
        <v>46000</v>
      </c>
      <c r="E672" s="0" t="n">
        <v>723.52</v>
      </c>
      <c r="F672" s="15" t="s">
        <v>313</v>
      </c>
    </row>
    <row r="673" customFormat="false" ht="15" hidden="false" customHeight="false" outlineLevel="0" collapsed="false">
      <c r="A673" s="0" t="s">
        <v>3512</v>
      </c>
      <c r="B673" s="0" t="s">
        <v>2745</v>
      </c>
      <c r="C673" s="0" t="s">
        <v>201</v>
      </c>
      <c r="D673" s="14" t="n">
        <v>45771</v>
      </c>
      <c r="E673" s="0" t="n">
        <v>1751.47</v>
      </c>
      <c r="F673" s="15" t="s">
        <v>302</v>
      </c>
    </row>
    <row r="674" customFormat="false" ht="15" hidden="false" customHeight="false" outlineLevel="0" collapsed="false">
      <c r="A674" s="0" t="s">
        <v>3513</v>
      </c>
      <c r="B674" s="0" t="s">
        <v>2746</v>
      </c>
      <c r="C674" s="0" t="s">
        <v>122</v>
      </c>
      <c r="D674" s="14" t="n">
        <v>45883</v>
      </c>
      <c r="E674" s="0" t="n">
        <v>17936.73</v>
      </c>
      <c r="F674" s="15" t="s">
        <v>287</v>
      </c>
    </row>
    <row r="675" customFormat="false" ht="15" hidden="false" customHeight="false" outlineLevel="0" collapsed="false">
      <c r="A675" s="0" t="s">
        <v>3514</v>
      </c>
      <c r="B675" s="0" t="s">
        <v>2747</v>
      </c>
      <c r="C675" s="0" t="s">
        <v>198</v>
      </c>
      <c r="D675" s="14" t="n">
        <v>46061</v>
      </c>
      <c r="E675" s="0" t="n">
        <v>7872.8</v>
      </c>
      <c r="F675" s="15" t="s">
        <v>321</v>
      </c>
    </row>
    <row r="676" customFormat="false" ht="15" hidden="false" customHeight="false" outlineLevel="0" collapsed="false">
      <c r="A676" s="0" t="s">
        <v>3515</v>
      </c>
      <c r="B676" s="0" t="s">
        <v>2748</v>
      </c>
      <c r="C676" s="0" t="s">
        <v>167</v>
      </c>
      <c r="D676" s="14" t="n">
        <v>46101</v>
      </c>
      <c r="E676" s="0" t="n">
        <v>886.11</v>
      </c>
      <c r="F676" s="15" t="s">
        <v>302</v>
      </c>
    </row>
    <row r="677" customFormat="false" ht="15" hidden="false" customHeight="false" outlineLevel="0" collapsed="false">
      <c r="A677" s="0" t="s">
        <v>3516</v>
      </c>
      <c r="B677" s="0" t="s">
        <v>2750</v>
      </c>
      <c r="C677" s="0" t="s">
        <v>146</v>
      </c>
      <c r="D677" s="14" t="n">
        <v>46061</v>
      </c>
      <c r="E677" s="0" t="n">
        <v>270.06</v>
      </c>
      <c r="F677" s="15" t="s">
        <v>279</v>
      </c>
    </row>
    <row r="678" customFormat="false" ht="15" hidden="false" customHeight="false" outlineLevel="0" collapsed="false">
      <c r="A678" s="0" t="s">
        <v>3517</v>
      </c>
      <c r="B678" s="0" t="s">
        <v>2751</v>
      </c>
      <c r="C678" s="0" t="s">
        <v>155</v>
      </c>
      <c r="D678" s="14" t="n">
        <v>46204</v>
      </c>
      <c r="E678" s="0" t="n">
        <v>6371.15</v>
      </c>
      <c r="F678" s="15" t="s">
        <v>290</v>
      </c>
    </row>
    <row r="679" customFormat="false" ht="15" hidden="false" customHeight="false" outlineLevel="0" collapsed="false">
      <c r="A679" s="0" t="s">
        <v>3518</v>
      </c>
      <c r="B679" s="0" t="s">
        <v>2752</v>
      </c>
      <c r="C679" s="0" t="s">
        <v>164</v>
      </c>
      <c r="D679" s="14" t="n">
        <v>46030</v>
      </c>
      <c r="E679" s="0" t="n">
        <v>2179.28</v>
      </c>
      <c r="F679" s="15" t="s">
        <v>290</v>
      </c>
    </row>
    <row r="680" customFormat="false" ht="15" hidden="false" customHeight="false" outlineLevel="0" collapsed="false">
      <c r="A680" s="0" t="s">
        <v>3519</v>
      </c>
      <c r="B680" s="0" t="s">
        <v>2753</v>
      </c>
      <c r="C680" s="0" t="s">
        <v>177</v>
      </c>
      <c r="D680" s="14" t="n">
        <v>45873</v>
      </c>
      <c r="E680" s="0" t="n">
        <v>4559.19</v>
      </c>
      <c r="F680" s="15" t="s">
        <v>321</v>
      </c>
    </row>
    <row r="681" customFormat="false" ht="15" hidden="false" customHeight="false" outlineLevel="0" collapsed="false">
      <c r="A681" s="0" t="s">
        <v>3520</v>
      </c>
      <c r="B681" s="0" t="s">
        <v>2754</v>
      </c>
      <c r="C681" s="0" t="s">
        <v>192</v>
      </c>
      <c r="D681" s="14" t="n">
        <v>46026</v>
      </c>
      <c r="E681" s="0" t="n">
        <v>1738.1</v>
      </c>
      <c r="F681" s="15" t="s">
        <v>290</v>
      </c>
    </row>
    <row r="682" customFormat="false" ht="15" hidden="false" customHeight="false" outlineLevel="0" collapsed="false">
      <c r="A682" s="0" t="s">
        <v>3521</v>
      </c>
      <c r="B682" s="0" t="s">
        <v>2755</v>
      </c>
      <c r="C682" s="0" t="s">
        <v>109</v>
      </c>
      <c r="D682" s="14" t="n">
        <v>45815</v>
      </c>
      <c r="E682" s="0" t="n">
        <v>8655.91</v>
      </c>
      <c r="F682" s="15" t="s">
        <v>282</v>
      </c>
    </row>
    <row r="683" customFormat="false" ht="15" hidden="false" customHeight="false" outlineLevel="0" collapsed="false">
      <c r="A683" s="0" t="s">
        <v>3522</v>
      </c>
      <c r="B683" s="0" t="s">
        <v>2756</v>
      </c>
      <c r="C683" s="0" t="s">
        <v>164</v>
      </c>
      <c r="D683" s="14" t="n">
        <v>46042</v>
      </c>
      <c r="E683" s="0" t="n">
        <v>3002.81</v>
      </c>
      <c r="F683" s="15" t="s">
        <v>321</v>
      </c>
    </row>
    <row r="684" customFormat="false" ht="15" hidden="false" customHeight="false" outlineLevel="0" collapsed="false">
      <c r="A684" s="0" t="s">
        <v>3523</v>
      </c>
      <c r="B684" s="0" t="s">
        <v>2757</v>
      </c>
      <c r="C684" s="0" t="s">
        <v>195</v>
      </c>
      <c r="D684" s="14" t="n">
        <v>45822</v>
      </c>
      <c r="E684" s="0" t="n">
        <v>2069.86</v>
      </c>
      <c r="F684" s="15" t="s">
        <v>290</v>
      </c>
    </row>
    <row r="685" customFormat="false" ht="15" hidden="false" customHeight="false" outlineLevel="0" collapsed="false">
      <c r="A685" s="0" t="s">
        <v>3524</v>
      </c>
      <c r="B685" s="0" t="s">
        <v>2758</v>
      </c>
      <c r="C685" s="0" t="s">
        <v>137</v>
      </c>
      <c r="D685" s="14" t="n">
        <v>45742</v>
      </c>
      <c r="E685" s="0" t="n">
        <v>1217.09</v>
      </c>
      <c r="F685" s="15" t="s">
        <v>287</v>
      </c>
    </row>
    <row r="686" customFormat="false" ht="15" hidden="false" customHeight="false" outlineLevel="0" collapsed="false">
      <c r="A686" s="0" t="s">
        <v>3525</v>
      </c>
      <c r="B686" s="0" t="s">
        <v>2759</v>
      </c>
      <c r="C686" s="0" t="s">
        <v>104</v>
      </c>
      <c r="D686" s="14" t="n">
        <v>46133</v>
      </c>
      <c r="E686" s="0" t="n">
        <v>680.64</v>
      </c>
      <c r="F686" s="15" t="s">
        <v>282</v>
      </c>
    </row>
    <row r="687" customFormat="false" ht="15" hidden="false" customHeight="false" outlineLevel="0" collapsed="false">
      <c r="A687" s="0" t="s">
        <v>3526</v>
      </c>
      <c r="B687" s="0" t="s">
        <v>2760</v>
      </c>
      <c r="C687" s="0" t="s">
        <v>186</v>
      </c>
      <c r="D687" s="14" t="n">
        <v>45911</v>
      </c>
      <c r="E687" s="0" t="n">
        <v>1467.37</v>
      </c>
      <c r="F687" s="15" t="s">
        <v>287</v>
      </c>
    </row>
    <row r="688" customFormat="false" ht="15" hidden="false" customHeight="false" outlineLevel="0" collapsed="false">
      <c r="A688" s="0" t="s">
        <v>3527</v>
      </c>
      <c r="B688" s="0" t="s">
        <v>2761</v>
      </c>
      <c r="C688" s="0" t="s">
        <v>112</v>
      </c>
      <c r="D688" s="14" t="n">
        <v>46099</v>
      </c>
      <c r="E688" s="0" t="n">
        <v>816.48</v>
      </c>
      <c r="F688" s="15" t="s">
        <v>282</v>
      </c>
    </row>
    <row r="689" customFormat="false" ht="15" hidden="false" customHeight="false" outlineLevel="0" collapsed="false">
      <c r="A689" s="0" t="s">
        <v>3528</v>
      </c>
      <c r="B689" s="0" t="s">
        <v>2762</v>
      </c>
      <c r="C689" s="0" t="s">
        <v>75</v>
      </c>
      <c r="D689" s="14" t="n">
        <v>45982</v>
      </c>
      <c r="E689" s="0" t="n">
        <v>1016.58</v>
      </c>
      <c r="F689" s="15" t="s">
        <v>313</v>
      </c>
    </row>
    <row r="690" customFormat="false" ht="15" hidden="false" customHeight="false" outlineLevel="0" collapsed="false">
      <c r="A690" s="0" t="s">
        <v>3529</v>
      </c>
      <c r="B690" s="0" t="s">
        <v>2763</v>
      </c>
      <c r="C690" s="0" t="s">
        <v>186</v>
      </c>
      <c r="D690" s="14" t="n">
        <v>46132</v>
      </c>
      <c r="E690" s="0" t="n">
        <v>7498.53</v>
      </c>
      <c r="F690" s="15" t="s">
        <v>287</v>
      </c>
    </row>
    <row r="691" customFormat="false" ht="15" hidden="false" customHeight="false" outlineLevel="0" collapsed="false">
      <c r="A691" s="0" t="s">
        <v>3530</v>
      </c>
      <c r="B691" s="0" t="s">
        <v>2764</v>
      </c>
      <c r="C691" s="0" t="s">
        <v>198</v>
      </c>
      <c r="D691" s="14" t="n">
        <v>46139</v>
      </c>
      <c r="E691" s="0" t="n">
        <v>396.51</v>
      </c>
      <c r="F691" s="15" t="s">
        <v>313</v>
      </c>
    </row>
    <row r="692" customFormat="false" ht="15" hidden="false" customHeight="false" outlineLevel="0" collapsed="false">
      <c r="A692" s="0" t="s">
        <v>3531</v>
      </c>
      <c r="B692" s="0" t="s">
        <v>2766</v>
      </c>
      <c r="C692" s="0" t="s">
        <v>84</v>
      </c>
      <c r="D692" s="14" t="n">
        <v>46142</v>
      </c>
      <c r="E692" s="0" t="n">
        <v>1497.3</v>
      </c>
      <c r="F692" s="15" t="s">
        <v>313</v>
      </c>
    </row>
    <row r="693" customFormat="false" ht="15" hidden="false" customHeight="false" outlineLevel="0" collapsed="false">
      <c r="A693" s="0" t="s">
        <v>3532</v>
      </c>
      <c r="B693" s="0" t="s">
        <v>2768</v>
      </c>
      <c r="C693" s="0" t="s">
        <v>119</v>
      </c>
      <c r="D693" s="14" t="n">
        <v>46048</v>
      </c>
      <c r="E693" s="0" t="n">
        <v>2091.54</v>
      </c>
      <c r="F693" s="15" t="s">
        <v>313</v>
      </c>
    </row>
    <row r="694" customFormat="false" ht="15" hidden="false" customHeight="false" outlineLevel="0" collapsed="false">
      <c r="A694" s="0" t="s">
        <v>3533</v>
      </c>
      <c r="B694" s="0" t="s">
        <v>2769</v>
      </c>
      <c r="C694" s="0" t="s">
        <v>119</v>
      </c>
      <c r="D694" s="14" t="n">
        <v>46054</v>
      </c>
      <c r="E694" s="0" t="n">
        <v>2091.54</v>
      </c>
      <c r="F694" s="15" t="s">
        <v>292</v>
      </c>
    </row>
    <row r="695" customFormat="false" ht="15" hidden="false" customHeight="false" outlineLevel="0" collapsed="false">
      <c r="A695" s="0" t="s">
        <v>3534</v>
      </c>
      <c r="B695" s="0" t="s">
        <v>2770</v>
      </c>
      <c r="C695" s="0" t="s">
        <v>171</v>
      </c>
      <c r="D695" s="14" t="n">
        <v>45692</v>
      </c>
      <c r="E695" s="0" t="n">
        <v>994.15</v>
      </c>
      <c r="F695" s="15" t="s">
        <v>290</v>
      </c>
    </row>
    <row r="696" customFormat="false" ht="15" hidden="false" customHeight="false" outlineLevel="0" collapsed="false">
      <c r="A696" s="0" t="s">
        <v>3535</v>
      </c>
      <c r="B696" s="0" t="s">
        <v>2771</v>
      </c>
      <c r="C696" s="0" t="s">
        <v>128</v>
      </c>
      <c r="D696" s="14" t="n">
        <v>46180</v>
      </c>
      <c r="E696" s="0" t="n">
        <v>2802.36</v>
      </c>
      <c r="F696" s="15" t="s">
        <v>321</v>
      </c>
    </row>
    <row r="697" customFormat="false" ht="15" hidden="false" customHeight="false" outlineLevel="0" collapsed="false">
      <c r="A697" s="0" t="s">
        <v>3536</v>
      </c>
      <c r="B697" s="0" t="s">
        <v>2772</v>
      </c>
      <c r="C697" s="0" t="s">
        <v>128</v>
      </c>
      <c r="D697" s="14" t="n">
        <v>46195</v>
      </c>
      <c r="E697" s="0" t="n">
        <v>2802.36</v>
      </c>
      <c r="F697" s="15" t="s">
        <v>292</v>
      </c>
    </row>
    <row r="698" customFormat="false" ht="15" hidden="false" customHeight="false" outlineLevel="0" collapsed="false">
      <c r="A698" s="0" t="s">
        <v>3537</v>
      </c>
      <c r="B698" s="0" t="s">
        <v>2773</v>
      </c>
      <c r="C698" s="0" t="s">
        <v>174</v>
      </c>
      <c r="D698" s="14" t="n">
        <v>46127</v>
      </c>
      <c r="E698" s="0" t="n">
        <v>851.07</v>
      </c>
      <c r="F698" s="15" t="s">
        <v>287</v>
      </c>
    </row>
    <row r="699" customFormat="false" ht="15" hidden="false" customHeight="false" outlineLevel="0" collapsed="false">
      <c r="A699" s="0" t="s">
        <v>3538</v>
      </c>
      <c r="B699" s="0" t="s">
        <v>2774</v>
      </c>
      <c r="C699" s="0" t="s">
        <v>192</v>
      </c>
      <c r="D699" s="14" t="n">
        <v>45851</v>
      </c>
      <c r="E699" s="0" t="n">
        <v>14407.31</v>
      </c>
      <c r="F699" s="15" t="s">
        <v>302</v>
      </c>
    </row>
    <row r="700" customFormat="false" ht="15" hidden="false" customHeight="false" outlineLevel="0" collapsed="false">
      <c r="A700" s="0" t="s">
        <v>3539</v>
      </c>
      <c r="B700" s="0" t="s">
        <v>2775</v>
      </c>
      <c r="C700" s="0" t="s">
        <v>198</v>
      </c>
      <c r="D700" s="14" t="n">
        <v>45790</v>
      </c>
      <c r="E700" s="0" t="n">
        <v>562.05</v>
      </c>
      <c r="F700" s="15" t="s">
        <v>313</v>
      </c>
    </row>
    <row r="701" customFormat="false" ht="15" hidden="false" customHeight="false" outlineLevel="0" collapsed="false">
      <c r="A701" s="0" t="s">
        <v>3540</v>
      </c>
      <c r="B701" s="0" t="s">
        <v>2776</v>
      </c>
      <c r="C701" s="0" t="s">
        <v>189</v>
      </c>
      <c r="D701" s="14" t="n">
        <v>46065</v>
      </c>
      <c r="E701" s="0" t="n">
        <v>4017.91</v>
      </c>
      <c r="F701" s="15" t="s">
        <v>292</v>
      </c>
    </row>
    <row r="702" customFormat="false" ht="15" hidden="false" customHeight="false" outlineLevel="0" collapsed="false">
      <c r="A702" s="0" t="s">
        <v>3541</v>
      </c>
      <c r="B702" s="0" t="s">
        <v>2778</v>
      </c>
      <c r="C702" s="0" t="s">
        <v>164</v>
      </c>
      <c r="D702" s="14" t="n">
        <v>45880</v>
      </c>
      <c r="E702" s="0" t="n">
        <v>474.6</v>
      </c>
      <c r="F702" s="15" t="s">
        <v>313</v>
      </c>
    </row>
    <row r="703" customFormat="false" ht="15" hidden="false" customHeight="false" outlineLevel="0" collapsed="false">
      <c r="A703" s="0" t="s">
        <v>3542</v>
      </c>
      <c r="B703" s="0" t="s">
        <v>2779</v>
      </c>
      <c r="C703" s="0" t="s">
        <v>149</v>
      </c>
      <c r="D703" s="14" t="n">
        <v>45683</v>
      </c>
      <c r="E703" s="0" t="n">
        <v>857.39</v>
      </c>
      <c r="F703" s="15" t="s">
        <v>279</v>
      </c>
    </row>
    <row r="704" customFormat="false" ht="15" hidden="false" customHeight="false" outlineLevel="0" collapsed="false">
      <c r="A704" s="0" t="s">
        <v>3543</v>
      </c>
      <c r="B704" s="0" t="s">
        <v>2780</v>
      </c>
      <c r="C704" s="0" t="s">
        <v>80</v>
      </c>
      <c r="D704" s="14" t="n">
        <v>46150</v>
      </c>
      <c r="E704" s="0" t="n">
        <v>8319.43</v>
      </c>
      <c r="F704" s="15" t="s">
        <v>321</v>
      </c>
    </row>
    <row r="705" customFormat="false" ht="15" hidden="false" customHeight="false" outlineLevel="0" collapsed="false">
      <c r="A705" s="0" t="s">
        <v>3544</v>
      </c>
      <c r="B705" s="0" t="s">
        <v>2781</v>
      </c>
      <c r="C705" s="0" t="s">
        <v>171</v>
      </c>
      <c r="D705" s="14" t="n">
        <v>46002</v>
      </c>
      <c r="E705" s="0" t="n">
        <v>259.66</v>
      </c>
      <c r="F705" s="15" t="s">
        <v>290</v>
      </c>
    </row>
    <row r="706" customFormat="false" ht="15" hidden="false" customHeight="false" outlineLevel="0" collapsed="false">
      <c r="A706" s="0" t="s">
        <v>3545</v>
      </c>
      <c r="B706" s="0" t="s">
        <v>2782</v>
      </c>
      <c r="C706" s="0" t="s">
        <v>155</v>
      </c>
      <c r="D706" s="14" t="n">
        <v>45919</v>
      </c>
      <c r="E706" s="0" t="n">
        <v>1164.71</v>
      </c>
      <c r="F706" s="15" t="s">
        <v>282</v>
      </c>
    </row>
    <row r="707" customFormat="false" ht="15" hidden="false" customHeight="false" outlineLevel="0" collapsed="false">
      <c r="A707" s="0" t="s">
        <v>3546</v>
      </c>
      <c r="B707" s="0" t="s">
        <v>2783</v>
      </c>
      <c r="C707" s="0" t="s">
        <v>75</v>
      </c>
      <c r="D707" s="14" t="n">
        <v>45788</v>
      </c>
      <c r="E707" s="0" t="n">
        <v>820.16</v>
      </c>
      <c r="F707" s="15" t="s">
        <v>282</v>
      </c>
    </row>
    <row r="708" customFormat="false" ht="15" hidden="false" customHeight="false" outlineLevel="0" collapsed="false">
      <c r="A708" s="0" t="s">
        <v>3547</v>
      </c>
      <c r="B708" s="0" t="s">
        <v>2784</v>
      </c>
      <c r="C708" s="0" t="s">
        <v>171</v>
      </c>
      <c r="D708" s="14" t="n">
        <v>46023</v>
      </c>
      <c r="E708" s="0" t="n">
        <v>309.11</v>
      </c>
      <c r="F708" s="15" t="s">
        <v>313</v>
      </c>
    </row>
    <row r="709" customFormat="false" ht="15" hidden="false" customHeight="false" outlineLevel="0" collapsed="false">
      <c r="A709" s="0" t="s">
        <v>3548</v>
      </c>
      <c r="B709" s="0" t="s">
        <v>2785</v>
      </c>
      <c r="C709" s="0" t="s">
        <v>152</v>
      </c>
      <c r="D709" s="14" t="n">
        <v>45691</v>
      </c>
      <c r="E709" s="0" t="n">
        <v>1722.25</v>
      </c>
      <c r="F709" s="15" t="s">
        <v>282</v>
      </c>
    </row>
    <row r="710" customFormat="false" ht="15" hidden="false" customHeight="false" outlineLevel="0" collapsed="false">
      <c r="A710" s="0" t="s">
        <v>3549</v>
      </c>
      <c r="B710" s="0" t="s">
        <v>2786</v>
      </c>
      <c r="C710" s="0" t="s">
        <v>84</v>
      </c>
      <c r="D710" s="14" t="n">
        <v>46103</v>
      </c>
      <c r="E710" s="0" t="n">
        <v>1834.48</v>
      </c>
      <c r="F710" s="15" t="s">
        <v>302</v>
      </c>
    </row>
    <row r="711" customFormat="false" ht="15" hidden="false" customHeight="false" outlineLevel="0" collapsed="false">
      <c r="A711" s="0" t="s">
        <v>3550</v>
      </c>
      <c r="B711" s="0" t="s">
        <v>2789</v>
      </c>
      <c r="C711" s="0" t="s">
        <v>192</v>
      </c>
      <c r="D711" s="14" t="n">
        <v>45865</v>
      </c>
      <c r="E711" s="0" t="n">
        <v>2804.48</v>
      </c>
      <c r="F711" s="15" t="s">
        <v>290</v>
      </c>
    </row>
    <row r="712" customFormat="false" ht="15" hidden="false" customHeight="false" outlineLevel="0" collapsed="false">
      <c r="A712" s="0" t="s">
        <v>3551</v>
      </c>
      <c r="B712" s="0" t="s">
        <v>2790</v>
      </c>
      <c r="C712" s="0" t="s">
        <v>189</v>
      </c>
      <c r="D712" s="14" t="n">
        <v>45901</v>
      </c>
      <c r="E712" s="0" t="n">
        <v>241.56</v>
      </c>
      <c r="F712" s="15" t="s">
        <v>290</v>
      </c>
    </row>
    <row r="713" customFormat="false" ht="15" hidden="false" customHeight="false" outlineLevel="0" collapsed="false">
      <c r="A713" s="0" t="s">
        <v>3552</v>
      </c>
      <c r="B713" s="0" t="s">
        <v>2791</v>
      </c>
      <c r="C713" s="0" t="s">
        <v>152</v>
      </c>
      <c r="D713" s="14" t="n">
        <v>46103</v>
      </c>
      <c r="E713" s="0" t="n">
        <v>2328.97</v>
      </c>
      <c r="F713" s="15" t="s">
        <v>290</v>
      </c>
    </row>
    <row r="714" customFormat="false" ht="15" hidden="false" customHeight="false" outlineLevel="0" collapsed="false">
      <c r="A714" s="0" t="s">
        <v>3553</v>
      </c>
      <c r="B714" s="0" t="s">
        <v>2792</v>
      </c>
      <c r="C714" s="0" t="s">
        <v>171</v>
      </c>
      <c r="D714" s="14" t="n">
        <v>46086</v>
      </c>
      <c r="E714" s="0" t="n">
        <v>830.55</v>
      </c>
      <c r="F714" s="15" t="s">
        <v>302</v>
      </c>
    </row>
    <row r="715" customFormat="false" ht="15" hidden="false" customHeight="false" outlineLevel="0" collapsed="false">
      <c r="A715" s="0" t="s">
        <v>3554</v>
      </c>
      <c r="B715" s="0" t="s">
        <v>2793</v>
      </c>
      <c r="C715" s="0" t="s">
        <v>167</v>
      </c>
      <c r="D715" s="14" t="n">
        <v>46002</v>
      </c>
      <c r="E715" s="0" t="n">
        <v>1962.84</v>
      </c>
      <c r="F715" s="15" t="s">
        <v>282</v>
      </c>
    </row>
    <row r="716" customFormat="false" ht="15" hidden="false" customHeight="false" outlineLevel="0" collapsed="false">
      <c r="A716" s="0" t="s">
        <v>3555</v>
      </c>
      <c r="B716" s="0" t="s">
        <v>2794</v>
      </c>
      <c r="C716" s="0" t="s">
        <v>158</v>
      </c>
      <c r="D716" s="14" t="n">
        <v>45735</v>
      </c>
      <c r="E716" s="0" t="n">
        <v>254.85</v>
      </c>
      <c r="F716" s="15" t="s">
        <v>321</v>
      </c>
    </row>
    <row r="717" customFormat="false" ht="15" hidden="false" customHeight="false" outlineLevel="0" collapsed="false">
      <c r="A717" s="0" t="s">
        <v>3556</v>
      </c>
      <c r="B717" s="0" t="s">
        <v>2796</v>
      </c>
      <c r="C717" s="0" t="s">
        <v>149</v>
      </c>
      <c r="D717" s="14" t="n">
        <v>45794</v>
      </c>
      <c r="E717" s="0" t="n">
        <v>6224.71</v>
      </c>
      <c r="F717" s="15" t="s">
        <v>292</v>
      </c>
    </row>
    <row r="718" customFormat="false" ht="15" hidden="false" customHeight="false" outlineLevel="0" collapsed="false">
      <c r="A718" s="0" t="s">
        <v>3557</v>
      </c>
      <c r="B718" s="0" t="s">
        <v>2797</v>
      </c>
      <c r="C718" s="0" t="s">
        <v>180</v>
      </c>
      <c r="D718" s="14" t="n">
        <v>46031</v>
      </c>
      <c r="E718" s="0" t="n">
        <v>505.83</v>
      </c>
      <c r="F718" s="15" t="s">
        <v>302</v>
      </c>
    </row>
    <row r="719" customFormat="false" ht="15" hidden="false" customHeight="false" outlineLevel="0" collapsed="false">
      <c r="A719" s="0" t="s">
        <v>3558</v>
      </c>
      <c r="B719" s="0" t="s">
        <v>2798</v>
      </c>
      <c r="C719" s="0" t="s">
        <v>167</v>
      </c>
      <c r="D719" s="14" t="n">
        <v>46053</v>
      </c>
      <c r="E719" s="0" t="n">
        <v>3028.33</v>
      </c>
      <c r="F719" s="15" t="s">
        <v>282</v>
      </c>
    </row>
    <row r="720" customFormat="false" ht="15" hidden="false" customHeight="false" outlineLevel="0" collapsed="false">
      <c r="A720" s="0" t="s">
        <v>3559</v>
      </c>
      <c r="B720" s="0" t="s">
        <v>2799</v>
      </c>
      <c r="C720" s="0" t="s">
        <v>186</v>
      </c>
      <c r="D720" s="14" t="n">
        <v>45838</v>
      </c>
      <c r="E720" s="0" t="n">
        <v>556.23</v>
      </c>
      <c r="F720" s="15" t="s">
        <v>292</v>
      </c>
    </row>
    <row r="721" customFormat="false" ht="15" hidden="false" customHeight="false" outlineLevel="0" collapsed="false">
      <c r="A721" s="0" t="s">
        <v>3560</v>
      </c>
      <c r="B721" s="0" t="s">
        <v>2800</v>
      </c>
      <c r="C721" s="0" t="s">
        <v>143</v>
      </c>
      <c r="D721" s="14" t="n">
        <v>46059</v>
      </c>
      <c r="E721" s="0" t="n">
        <v>12577.38</v>
      </c>
      <c r="F721" s="15" t="s">
        <v>321</v>
      </c>
    </row>
    <row r="722" customFormat="false" ht="15" hidden="false" customHeight="false" outlineLevel="0" collapsed="false">
      <c r="A722" s="0" t="s">
        <v>3561</v>
      </c>
      <c r="B722" s="0" t="s">
        <v>2803</v>
      </c>
      <c r="C722" s="0" t="s">
        <v>201</v>
      </c>
      <c r="D722" s="14" t="n">
        <v>45855</v>
      </c>
      <c r="E722" s="0" t="n">
        <v>1844.19</v>
      </c>
      <c r="F722" s="15" t="s">
        <v>279</v>
      </c>
    </row>
    <row r="723" customFormat="false" ht="15" hidden="false" customHeight="false" outlineLevel="0" collapsed="false">
      <c r="A723" s="0" t="s">
        <v>3562</v>
      </c>
      <c r="B723" s="0" t="s">
        <v>2804</v>
      </c>
      <c r="C723" s="0" t="s">
        <v>128</v>
      </c>
      <c r="D723" s="14" t="n">
        <v>46090</v>
      </c>
      <c r="E723" s="0" t="n">
        <v>2123.23</v>
      </c>
      <c r="F723" s="15" t="s">
        <v>282</v>
      </c>
    </row>
    <row r="724" customFormat="false" ht="15" hidden="false" customHeight="false" outlineLevel="0" collapsed="false">
      <c r="A724" s="0" t="s">
        <v>3563</v>
      </c>
      <c r="B724" s="0" t="s">
        <v>2805</v>
      </c>
      <c r="C724" s="0" t="s">
        <v>131</v>
      </c>
      <c r="D724" s="14" t="n">
        <v>45748</v>
      </c>
      <c r="E724" s="0" t="n">
        <v>424.45</v>
      </c>
      <c r="F724" s="15" t="s">
        <v>282</v>
      </c>
    </row>
    <row r="725" customFormat="false" ht="15" hidden="false" customHeight="false" outlineLevel="0" collapsed="false">
      <c r="A725" s="0" t="s">
        <v>3564</v>
      </c>
      <c r="B725" s="0" t="s">
        <v>2806</v>
      </c>
      <c r="C725" s="0" t="s">
        <v>93</v>
      </c>
      <c r="D725" s="14" t="n">
        <v>45937</v>
      </c>
      <c r="E725" s="0" t="n">
        <v>751.88</v>
      </c>
      <c r="F725" s="15" t="s">
        <v>279</v>
      </c>
    </row>
    <row r="726" customFormat="false" ht="15" hidden="false" customHeight="false" outlineLevel="0" collapsed="false">
      <c r="A726" s="0" t="s">
        <v>3565</v>
      </c>
      <c r="B726" s="0" t="s">
        <v>2807</v>
      </c>
      <c r="C726" s="0" t="s">
        <v>158</v>
      </c>
      <c r="D726" s="14" t="n">
        <v>45847</v>
      </c>
      <c r="E726" s="0" t="n">
        <v>2408.48</v>
      </c>
      <c r="F726" s="15" t="s">
        <v>290</v>
      </c>
    </row>
    <row r="727" customFormat="false" ht="15" hidden="false" customHeight="false" outlineLevel="0" collapsed="false">
      <c r="A727" s="0" t="s">
        <v>3566</v>
      </c>
      <c r="B727" s="0" t="s">
        <v>2808</v>
      </c>
      <c r="C727" s="0" t="s">
        <v>155</v>
      </c>
      <c r="D727" s="14" t="n">
        <v>46048</v>
      </c>
      <c r="E727" s="0" t="n">
        <v>197.82</v>
      </c>
      <c r="F727" s="15" t="s">
        <v>313</v>
      </c>
    </row>
    <row r="728" customFormat="false" ht="15" hidden="false" customHeight="false" outlineLevel="0" collapsed="false">
      <c r="A728" s="0" t="s">
        <v>3567</v>
      </c>
      <c r="B728" s="0" t="s">
        <v>2809</v>
      </c>
      <c r="C728" s="0" t="s">
        <v>122</v>
      </c>
      <c r="D728" s="14" t="n">
        <v>45936</v>
      </c>
      <c r="E728" s="0" t="n">
        <v>5024.64</v>
      </c>
      <c r="F728" s="15" t="s">
        <v>292</v>
      </c>
    </row>
    <row r="729" customFormat="false" ht="15" hidden="false" customHeight="false" outlineLevel="0" collapsed="false">
      <c r="A729" s="0" t="s">
        <v>3568</v>
      </c>
      <c r="B729" s="0" t="s">
        <v>2810</v>
      </c>
      <c r="C729" s="0" t="s">
        <v>122</v>
      </c>
      <c r="D729" s="14" t="n">
        <v>45956</v>
      </c>
      <c r="E729" s="0" t="n">
        <v>5024.64</v>
      </c>
      <c r="F729" s="15" t="s">
        <v>292</v>
      </c>
    </row>
    <row r="730" customFormat="false" ht="15" hidden="false" customHeight="false" outlineLevel="0" collapsed="false">
      <c r="A730" s="0" t="s">
        <v>3569</v>
      </c>
      <c r="B730" s="0" t="s">
        <v>2811</v>
      </c>
      <c r="C730" s="0" t="s">
        <v>183</v>
      </c>
      <c r="D730" s="14" t="n">
        <v>46048</v>
      </c>
      <c r="E730" s="0" t="n">
        <v>4289.12</v>
      </c>
      <c r="F730" s="15" t="s">
        <v>282</v>
      </c>
    </row>
    <row r="731" customFormat="false" ht="15" hidden="false" customHeight="false" outlineLevel="0" collapsed="false">
      <c r="A731" s="0" t="s">
        <v>3570</v>
      </c>
      <c r="B731" s="0" t="s">
        <v>2812</v>
      </c>
      <c r="C731" s="0" t="s">
        <v>75</v>
      </c>
      <c r="D731" s="14" t="n">
        <v>45730</v>
      </c>
      <c r="E731" s="0" t="n">
        <v>264.62</v>
      </c>
      <c r="F731" s="15" t="s">
        <v>321</v>
      </c>
    </row>
    <row r="732" customFormat="false" ht="15" hidden="false" customHeight="false" outlineLevel="0" collapsed="false">
      <c r="A732" s="0" t="s">
        <v>3571</v>
      </c>
      <c r="B732" s="0" t="s">
        <v>2813</v>
      </c>
      <c r="C732" s="0" t="s">
        <v>75</v>
      </c>
      <c r="D732" s="14" t="n">
        <v>45896</v>
      </c>
      <c r="E732" s="0" t="n">
        <v>18783.05</v>
      </c>
      <c r="F732" s="15" t="s">
        <v>302</v>
      </c>
    </row>
    <row r="733" customFormat="false" ht="15" hidden="false" customHeight="false" outlineLevel="0" collapsed="false">
      <c r="A733" s="0" t="s">
        <v>3572</v>
      </c>
      <c r="B733" s="0" t="s">
        <v>2814</v>
      </c>
      <c r="C733" s="0" t="s">
        <v>174</v>
      </c>
      <c r="D733" s="14" t="n">
        <v>46027</v>
      </c>
      <c r="E733" s="0" t="n">
        <v>796.83</v>
      </c>
      <c r="F733" s="15" t="s">
        <v>302</v>
      </c>
    </row>
    <row r="734" customFormat="false" ht="15" hidden="false" customHeight="false" outlineLevel="0" collapsed="false">
      <c r="A734" s="0" t="s">
        <v>3573</v>
      </c>
      <c r="B734" s="0" t="s">
        <v>2815</v>
      </c>
      <c r="C734" s="0" t="s">
        <v>183</v>
      </c>
      <c r="D734" s="14" t="n">
        <v>45691</v>
      </c>
      <c r="E734" s="0" t="n">
        <v>115.93</v>
      </c>
      <c r="F734" s="15" t="s">
        <v>292</v>
      </c>
    </row>
    <row r="735" customFormat="false" ht="15" hidden="false" customHeight="false" outlineLevel="0" collapsed="false">
      <c r="A735" s="0" t="s">
        <v>3574</v>
      </c>
      <c r="B735" s="0" t="s">
        <v>2816</v>
      </c>
      <c r="C735" s="0" t="s">
        <v>198</v>
      </c>
      <c r="D735" s="14" t="n">
        <v>45832</v>
      </c>
      <c r="E735" s="0" t="n">
        <v>2115.29</v>
      </c>
      <c r="F735" s="15" t="s">
        <v>290</v>
      </c>
    </row>
    <row r="736" customFormat="false" ht="15" hidden="false" customHeight="false" outlineLevel="0" collapsed="false">
      <c r="A736" s="0" t="s">
        <v>3575</v>
      </c>
      <c r="B736" s="0" t="s">
        <v>2817</v>
      </c>
      <c r="C736" s="0" t="s">
        <v>192</v>
      </c>
      <c r="D736" s="14" t="n">
        <v>45785</v>
      </c>
      <c r="E736" s="0" t="n">
        <v>1027.6</v>
      </c>
      <c r="F736" s="15" t="s">
        <v>313</v>
      </c>
    </row>
    <row r="737" customFormat="false" ht="15" hidden="false" customHeight="false" outlineLevel="0" collapsed="false">
      <c r="A737" s="0" t="s">
        <v>3576</v>
      </c>
      <c r="B737" s="0" t="s">
        <v>2818</v>
      </c>
      <c r="C737" s="0" t="s">
        <v>80</v>
      </c>
      <c r="D737" s="14" t="n">
        <v>45752</v>
      </c>
      <c r="E737" s="0" t="n">
        <v>1165</v>
      </c>
      <c r="F737" s="15" t="s">
        <v>290</v>
      </c>
    </row>
    <row r="738" customFormat="false" ht="15" hidden="false" customHeight="false" outlineLevel="0" collapsed="false">
      <c r="A738" s="0" t="s">
        <v>3577</v>
      </c>
      <c r="B738" s="0" t="s">
        <v>2819</v>
      </c>
      <c r="C738" s="0" t="s">
        <v>192</v>
      </c>
      <c r="D738" s="14" t="n">
        <v>45818</v>
      </c>
      <c r="E738" s="0" t="n">
        <v>1553.94</v>
      </c>
      <c r="F738" s="15" t="s">
        <v>282</v>
      </c>
    </row>
    <row r="739" customFormat="false" ht="15" hidden="false" customHeight="false" outlineLevel="0" collapsed="false">
      <c r="A739" s="0" t="s">
        <v>3578</v>
      </c>
      <c r="B739" s="0" t="s">
        <v>2820</v>
      </c>
      <c r="C739" s="0" t="s">
        <v>192</v>
      </c>
      <c r="D739" s="14" t="n">
        <v>45835</v>
      </c>
      <c r="E739" s="0" t="n">
        <v>1553.94</v>
      </c>
      <c r="F739" s="15" t="s">
        <v>290</v>
      </c>
    </row>
    <row r="740" customFormat="false" ht="15" hidden="false" customHeight="false" outlineLevel="0" collapsed="false">
      <c r="A740" s="0" t="s">
        <v>3579</v>
      </c>
      <c r="B740" s="0" t="s">
        <v>2821</v>
      </c>
      <c r="C740" s="0" t="s">
        <v>152</v>
      </c>
      <c r="D740" s="14" t="n">
        <v>45865</v>
      </c>
      <c r="E740" s="0" t="n">
        <v>764.25</v>
      </c>
      <c r="F740" s="15" t="s">
        <v>282</v>
      </c>
    </row>
    <row r="741" customFormat="false" ht="15" hidden="false" customHeight="false" outlineLevel="0" collapsed="false">
      <c r="A741" s="0" t="s">
        <v>3580</v>
      </c>
      <c r="B741" s="0" t="s">
        <v>2822</v>
      </c>
      <c r="C741" s="0" t="s">
        <v>146</v>
      </c>
      <c r="D741" s="14" t="n">
        <v>45708</v>
      </c>
      <c r="E741" s="0" t="n">
        <v>8318.12</v>
      </c>
      <c r="F741" s="15" t="s">
        <v>313</v>
      </c>
    </row>
    <row r="742" customFormat="false" ht="15" hidden="false" customHeight="false" outlineLevel="0" collapsed="false">
      <c r="A742" s="0" t="s">
        <v>3581</v>
      </c>
      <c r="B742" s="0" t="s">
        <v>2823</v>
      </c>
      <c r="C742" s="0" t="s">
        <v>161</v>
      </c>
      <c r="D742" s="14" t="n">
        <v>46094</v>
      </c>
      <c r="E742" s="0" t="n">
        <v>2564.63</v>
      </c>
      <c r="F742" s="15" t="s">
        <v>292</v>
      </c>
    </row>
    <row r="743" customFormat="false" ht="15" hidden="false" customHeight="false" outlineLevel="0" collapsed="false">
      <c r="A743" s="0" t="s">
        <v>3582</v>
      </c>
      <c r="B743" s="0" t="s">
        <v>2824</v>
      </c>
      <c r="C743" s="0" t="s">
        <v>189</v>
      </c>
      <c r="D743" s="14" t="n">
        <v>45796</v>
      </c>
      <c r="E743" s="0" t="n">
        <v>5467.62</v>
      </c>
      <c r="F743" s="15" t="s">
        <v>287</v>
      </c>
    </row>
    <row r="744" customFormat="false" ht="15" hidden="false" customHeight="false" outlineLevel="0" collapsed="false">
      <c r="A744" s="0" t="s">
        <v>3583</v>
      </c>
      <c r="B744" s="0" t="s">
        <v>2825</v>
      </c>
      <c r="C744" s="0" t="s">
        <v>104</v>
      </c>
      <c r="D744" s="14" t="n">
        <v>45873</v>
      </c>
      <c r="E744" s="0" t="n">
        <v>4948.03</v>
      </c>
      <c r="F744" s="15" t="s">
        <v>313</v>
      </c>
    </row>
    <row r="745" customFormat="false" ht="15" hidden="false" customHeight="false" outlineLevel="0" collapsed="false">
      <c r="A745" s="0" t="s">
        <v>3584</v>
      </c>
      <c r="B745" s="0" t="s">
        <v>2826</v>
      </c>
      <c r="C745" s="0" t="s">
        <v>167</v>
      </c>
      <c r="D745" s="14" t="n">
        <v>46066</v>
      </c>
      <c r="E745" s="0" t="n">
        <v>1631.21</v>
      </c>
      <c r="F745" s="15" t="s">
        <v>279</v>
      </c>
    </row>
    <row r="746" customFormat="false" ht="15" hidden="false" customHeight="false" outlineLevel="0" collapsed="false">
      <c r="A746" s="0" t="s">
        <v>3585</v>
      </c>
      <c r="B746" s="0" t="s">
        <v>2827</v>
      </c>
      <c r="C746" s="0" t="s">
        <v>201</v>
      </c>
      <c r="D746" s="14" t="n">
        <v>45987</v>
      </c>
      <c r="E746" s="0" t="n">
        <v>819.06</v>
      </c>
      <c r="F746" s="15" t="s">
        <v>313</v>
      </c>
    </row>
    <row r="747" customFormat="false" ht="15" hidden="false" customHeight="false" outlineLevel="0" collapsed="false">
      <c r="A747" s="0" t="s">
        <v>3586</v>
      </c>
      <c r="B747" s="0" t="s">
        <v>2828</v>
      </c>
      <c r="C747" s="0" t="s">
        <v>104</v>
      </c>
      <c r="D747" s="14" t="n">
        <v>46138</v>
      </c>
      <c r="E747" s="0" t="n">
        <v>1380.81</v>
      </c>
      <c r="F747" s="15" t="s">
        <v>292</v>
      </c>
    </row>
    <row r="748" customFormat="false" ht="15" hidden="false" customHeight="false" outlineLevel="0" collapsed="false">
      <c r="A748" s="0" t="s">
        <v>3587</v>
      </c>
      <c r="B748" s="0" t="s">
        <v>2829</v>
      </c>
      <c r="C748" s="0" t="s">
        <v>164</v>
      </c>
      <c r="D748" s="14" t="n">
        <v>46112</v>
      </c>
      <c r="E748" s="0" t="n">
        <v>537.91</v>
      </c>
      <c r="F748" s="15" t="s">
        <v>302</v>
      </c>
    </row>
    <row r="749" customFormat="false" ht="15" hidden="false" customHeight="false" outlineLevel="0" collapsed="false">
      <c r="A749" s="0" t="s">
        <v>3588</v>
      </c>
      <c r="B749" s="0" t="s">
        <v>2830</v>
      </c>
      <c r="C749" s="0" t="s">
        <v>198</v>
      </c>
      <c r="D749" s="14" t="n">
        <v>45728</v>
      </c>
      <c r="E749" s="0" t="n">
        <v>2224.01</v>
      </c>
      <c r="F749" s="15" t="s">
        <v>321</v>
      </c>
    </row>
    <row r="750" customFormat="false" ht="15" hidden="false" customHeight="false" outlineLevel="0" collapsed="false">
      <c r="A750" s="0" t="s">
        <v>3589</v>
      </c>
      <c r="B750" s="0" t="s">
        <v>2831</v>
      </c>
      <c r="C750" s="0" t="s">
        <v>137</v>
      </c>
      <c r="D750" s="14" t="n">
        <v>46179</v>
      </c>
      <c r="E750" s="0" t="n">
        <v>972.49</v>
      </c>
      <c r="F750" s="15" t="s">
        <v>287</v>
      </c>
    </row>
    <row r="751" customFormat="false" ht="15" hidden="false" customHeight="false" outlineLevel="0" collapsed="false">
      <c r="A751" s="0" t="s">
        <v>3590</v>
      </c>
      <c r="B751" s="0" t="s">
        <v>2834</v>
      </c>
      <c r="C751" s="0" t="s">
        <v>140</v>
      </c>
      <c r="D751" s="14" t="n">
        <v>46195</v>
      </c>
      <c r="E751" s="0" t="n">
        <v>7892.6</v>
      </c>
      <c r="F751" s="15" t="s">
        <v>302</v>
      </c>
    </row>
    <row r="752" customFormat="false" ht="15" hidden="false" customHeight="false" outlineLevel="0" collapsed="false">
      <c r="A752" s="0" t="s">
        <v>3591</v>
      </c>
      <c r="B752" s="0" t="s">
        <v>2835</v>
      </c>
      <c r="C752" s="0" t="s">
        <v>167</v>
      </c>
      <c r="D752" s="14" t="n">
        <v>46171</v>
      </c>
      <c r="E752" s="0" t="n">
        <v>5336.94</v>
      </c>
      <c r="F752" s="15" t="s">
        <v>313</v>
      </c>
    </row>
    <row r="753" customFormat="false" ht="15" hidden="false" customHeight="false" outlineLevel="0" collapsed="false">
      <c r="A753" s="0" t="s">
        <v>3592</v>
      </c>
      <c r="B753" s="0" t="s">
        <v>2837</v>
      </c>
      <c r="C753" s="0" t="s">
        <v>122</v>
      </c>
      <c r="D753" s="14" t="n">
        <v>46002</v>
      </c>
      <c r="E753" s="0" t="n">
        <v>4104.49</v>
      </c>
      <c r="F753" s="15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7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7.75" hidden="false" customHeight="true" outlineLevel="0" collapsed="false">
      <c r="A1" s="7" t="s">
        <v>3593</v>
      </c>
      <c r="B1" s="7" t="s">
        <v>3594</v>
      </c>
      <c r="C1" s="7" t="s">
        <v>3595</v>
      </c>
      <c r="D1" s="7" t="s">
        <v>3596</v>
      </c>
      <c r="E1" s="7" t="s">
        <v>3597</v>
      </c>
    </row>
    <row r="2" customFormat="false" ht="15" hidden="false" customHeight="false" outlineLevel="0" collapsed="false">
      <c r="A2" s="0" t="s">
        <v>3598</v>
      </c>
      <c r="B2" s="14" t="n">
        <v>46144</v>
      </c>
      <c r="C2" s="0" t="n">
        <v>-1417.41</v>
      </c>
      <c r="D2" s="15" t="s">
        <v>3599</v>
      </c>
      <c r="E2" s="15" t="s">
        <v>2841</v>
      </c>
    </row>
    <row r="3" customFormat="false" ht="15" hidden="false" customHeight="false" outlineLevel="0" collapsed="false">
      <c r="A3" s="0" t="s">
        <v>3600</v>
      </c>
      <c r="B3" s="14" t="n">
        <v>45807</v>
      </c>
      <c r="C3" s="0" t="n">
        <v>-1749.66</v>
      </c>
      <c r="D3" s="15" t="s">
        <v>3601</v>
      </c>
      <c r="E3" s="15" t="s">
        <v>2842</v>
      </c>
    </row>
    <row r="4" customFormat="false" ht="15" hidden="false" customHeight="false" outlineLevel="0" collapsed="false">
      <c r="A4" s="0" t="s">
        <v>3602</v>
      </c>
      <c r="B4" s="14" t="n">
        <v>45683</v>
      </c>
      <c r="C4" s="0" t="n">
        <v>-2691.35</v>
      </c>
      <c r="D4" s="15" t="s">
        <v>3603</v>
      </c>
      <c r="E4" s="15" t="s">
        <v>2843</v>
      </c>
    </row>
    <row r="5" customFormat="false" ht="15" hidden="false" customHeight="false" outlineLevel="0" collapsed="false">
      <c r="A5" s="0" t="s">
        <v>3604</v>
      </c>
      <c r="B5" s="14" t="n">
        <v>45808</v>
      </c>
      <c r="C5" s="0" t="n">
        <v>-889.24</v>
      </c>
      <c r="D5" s="15" t="s">
        <v>3605</v>
      </c>
      <c r="E5" s="15" t="s">
        <v>2844</v>
      </c>
    </row>
    <row r="6" customFormat="false" ht="15" hidden="false" customHeight="false" outlineLevel="0" collapsed="false">
      <c r="A6" s="0" t="s">
        <v>3606</v>
      </c>
      <c r="B6" s="14" t="n">
        <v>45886</v>
      </c>
      <c r="C6" s="0" t="n">
        <v>-3058.04</v>
      </c>
      <c r="D6" s="15" t="s">
        <v>3607</v>
      </c>
      <c r="E6" s="15" t="s">
        <v>2845</v>
      </c>
    </row>
    <row r="7" customFormat="false" ht="15" hidden="false" customHeight="false" outlineLevel="0" collapsed="false">
      <c r="A7" s="0" t="s">
        <v>3608</v>
      </c>
      <c r="B7" s="14" t="n">
        <v>46161</v>
      </c>
      <c r="C7" s="0" t="n">
        <v>-1359.77</v>
      </c>
      <c r="D7" s="15" t="s">
        <v>3605</v>
      </c>
      <c r="E7" s="15" t="s">
        <v>2846</v>
      </c>
    </row>
    <row r="8" customFormat="false" ht="15" hidden="false" customHeight="false" outlineLevel="0" collapsed="false">
      <c r="A8" s="0" t="s">
        <v>3609</v>
      </c>
      <c r="B8" s="14" t="n">
        <v>46195</v>
      </c>
      <c r="C8" s="0" t="n">
        <v>-3708.39</v>
      </c>
      <c r="D8" s="15" t="s">
        <v>3605</v>
      </c>
      <c r="E8" s="15" t="s">
        <v>2847</v>
      </c>
    </row>
    <row r="9" customFormat="false" ht="15" hidden="false" customHeight="false" outlineLevel="0" collapsed="false">
      <c r="A9" s="0" t="s">
        <v>3610</v>
      </c>
      <c r="B9" s="14" t="n">
        <v>45861</v>
      </c>
      <c r="C9" s="0" t="n">
        <v>-6081.19</v>
      </c>
      <c r="D9" s="15" t="s">
        <v>3611</v>
      </c>
      <c r="E9" s="15" t="s">
        <v>2848</v>
      </c>
    </row>
    <row r="10" customFormat="false" ht="15" hidden="false" customHeight="false" outlineLevel="0" collapsed="false">
      <c r="A10" s="0" t="s">
        <v>3612</v>
      </c>
      <c r="B10" s="14" t="n">
        <v>45885</v>
      </c>
      <c r="C10" s="0" t="n">
        <v>-1466.07</v>
      </c>
      <c r="D10" s="15" t="s">
        <v>3613</v>
      </c>
      <c r="E10" s="15" t="s">
        <v>2849</v>
      </c>
    </row>
    <row r="11" customFormat="false" ht="15" hidden="false" customHeight="false" outlineLevel="0" collapsed="false">
      <c r="A11" s="0" t="s">
        <v>3614</v>
      </c>
      <c r="B11" s="14" t="n">
        <v>45992</v>
      </c>
      <c r="C11" s="0" t="n">
        <v>-15002.72</v>
      </c>
      <c r="D11" s="15" t="s">
        <v>3615</v>
      </c>
      <c r="E11" s="15" t="s">
        <v>2850</v>
      </c>
    </row>
    <row r="12" customFormat="false" ht="15" hidden="false" customHeight="false" outlineLevel="0" collapsed="false">
      <c r="A12" s="0" t="s">
        <v>3616</v>
      </c>
      <c r="B12" s="14" t="n">
        <v>46197</v>
      </c>
      <c r="C12" s="0" t="n">
        <v>-911.91</v>
      </c>
      <c r="D12" s="15" t="s">
        <v>3617</v>
      </c>
      <c r="E12" s="15" t="s">
        <v>2851</v>
      </c>
    </row>
    <row r="13" customFormat="false" ht="15" hidden="false" customHeight="false" outlineLevel="0" collapsed="false">
      <c r="A13" s="0" t="s">
        <v>3618</v>
      </c>
      <c r="B13" s="14" t="n">
        <v>45753</v>
      </c>
      <c r="C13" s="0" t="n">
        <v>-1222.88</v>
      </c>
      <c r="D13" s="15" t="s">
        <v>3619</v>
      </c>
      <c r="E13" s="15" t="s">
        <v>2852</v>
      </c>
    </row>
    <row r="14" customFormat="false" ht="15" hidden="false" customHeight="false" outlineLevel="0" collapsed="false">
      <c r="A14" s="0" t="s">
        <v>3620</v>
      </c>
      <c r="B14" s="14" t="n">
        <v>45778</v>
      </c>
      <c r="C14" s="0" t="n">
        <v>-4721.09</v>
      </c>
      <c r="D14" s="15" t="s">
        <v>3621</v>
      </c>
      <c r="E14" s="15" t="s">
        <v>2853</v>
      </c>
    </row>
    <row r="15" customFormat="false" ht="15" hidden="false" customHeight="false" outlineLevel="0" collapsed="false">
      <c r="A15" s="0" t="s">
        <v>3622</v>
      </c>
      <c r="B15" s="14" t="n">
        <v>45840</v>
      </c>
      <c r="C15" s="0" t="n">
        <v>-302.18</v>
      </c>
      <c r="D15" s="15" t="s">
        <v>3623</v>
      </c>
      <c r="E15" s="15" t="s">
        <v>2854</v>
      </c>
    </row>
    <row r="16" customFormat="false" ht="15" hidden="false" customHeight="false" outlineLevel="0" collapsed="false">
      <c r="A16" s="0" t="s">
        <v>3624</v>
      </c>
      <c r="B16" s="14" t="n">
        <v>45756</v>
      </c>
      <c r="C16" s="0" t="n">
        <v>-2051.54</v>
      </c>
      <c r="D16" s="15" t="s">
        <v>3625</v>
      </c>
      <c r="E16" s="15" t="s">
        <v>2855</v>
      </c>
    </row>
    <row r="17" customFormat="false" ht="15" hidden="false" customHeight="false" outlineLevel="0" collapsed="false">
      <c r="A17" s="0" t="s">
        <v>3626</v>
      </c>
      <c r="B17" s="14" t="n">
        <v>45914</v>
      </c>
      <c r="C17" s="0" t="n">
        <v>-9960.57</v>
      </c>
      <c r="D17" s="15" t="s">
        <v>3627</v>
      </c>
      <c r="E17" s="15" t="s">
        <v>2856</v>
      </c>
    </row>
    <row r="18" customFormat="false" ht="15" hidden="false" customHeight="false" outlineLevel="0" collapsed="false">
      <c r="A18" s="0" t="s">
        <v>3628</v>
      </c>
      <c r="B18" s="14" t="n">
        <v>46099</v>
      </c>
      <c r="C18" s="0" t="n">
        <v>-15696.57</v>
      </c>
      <c r="D18" s="15" t="s">
        <v>3629</v>
      </c>
      <c r="E18" s="15" t="s">
        <v>2857</v>
      </c>
    </row>
    <row r="19" customFormat="false" ht="15" hidden="false" customHeight="false" outlineLevel="0" collapsed="false">
      <c r="A19" s="0" t="s">
        <v>3630</v>
      </c>
      <c r="B19" s="14" t="n">
        <v>45842</v>
      </c>
      <c r="C19" s="0" t="n">
        <v>-1879.55</v>
      </c>
      <c r="D19" s="15" t="s">
        <v>3617</v>
      </c>
      <c r="E19" s="15" t="s">
        <v>2858</v>
      </c>
    </row>
    <row r="20" customFormat="false" ht="15" hidden="false" customHeight="false" outlineLevel="0" collapsed="false">
      <c r="A20" s="0" t="s">
        <v>3631</v>
      </c>
      <c r="B20" s="14" t="n">
        <v>46012</v>
      </c>
      <c r="C20" s="0" t="n">
        <v>-883.86</v>
      </c>
      <c r="D20" s="15" t="s">
        <v>3632</v>
      </c>
      <c r="E20" s="15" t="s">
        <v>2859</v>
      </c>
    </row>
    <row r="21" customFormat="false" ht="15" hidden="false" customHeight="false" outlineLevel="0" collapsed="false">
      <c r="A21" s="0" t="s">
        <v>3633</v>
      </c>
      <c r="B21" s="14" t="n">
        <v>45971</v>
      </c>
      <c r="C21" s="0" t="n">
        <v>-1058.03</v>
      </c>
      <c r="D21" s="15" t="s">
        <v>3634</v>
      </c>
      <c r="E21" s="15" t="s">
        <v>2860</v>
      </c>
    </row>
    <row r="22" customFormat="false" ht="15" hidden="false" customHeight="false" outlineLevel="0" collapsed="false">
      <c r="A22" s="0" t="s">
        <v>3635</v>
      </c>
      <c r="B22" s="14" t="n">
        <v>45900</v>
      </c>
      <c r="C22" s="0" t="n">
        <v>-2265.24</v>
      </c>
      <c r="D22" s="15" t="s">
        <v>3636</v>
      </c>
      <c r="E22" s="15" t="s">
        <v>2861</v>
      </c>
    </row>
    <row r="23" customFormat="false" ht="15" hidden="false" customHeight="false" outlineLevel="0" collapsed="false">
      <c r="A23" s="0" t="s">
        <v>3637</v>
      </c>
      <c r="B23" s="14" t="n">
        <v>46010</v>
      </c>
      <c r="C23" s="0" t="n">
        <v>-1994.87</v>
      </c>
      <c r="D23" s="15" t="s">
        <v>3632</v>
      </c>
      <c r="E23" s="15" t="s">
        <v>2862</v>
      </c>
    </row>
    <row r="24" customFormat="false" ht="15" hidden="false" customHeight="false" outlineLevel="0" collapsed="false">
      <c r="A24" s="0" t="s">
        <v>3638</v>
      </c>
      <c r="B24" s="14" t="n">
        <v>45828</v>
      </c>
      <c r="C24" s="0" t="n">
        <v>-1863.09</v>
      </c>
      <c r="D24" s="15" t="s">
        <v>3639</v>
      </c>
      <c r="E24" s="15" t="s">
        <v>2863</v>
      </c>
    </row>
    <row r="25" customFormat="false" ht="15" hidden="false" customHeight="false" outlineLevel="0" collapsed="false">
      <c r="A25" s="0" t="s">
        <v>3640</v>
      </c>
      <c r="B25" s="14" t="n">
        <v>46071</v>
      </c>
      <c r="C25" s="0" t="n">
        <v>-1558.36</v>
      </c>
      <c r="D25" s="15" t="s">
        <v>3641</v>
      </c>
      <c r="E25" s="15" t="s">
        <v>2864</v>
      </c>
    </row>
    <row r="26" customFormat="false" ht="15" hidden="false" customHeight="false" outlineLevel="0" collapsed="false">
      <c r="A26" s="0" t="s">
        <v>3642</v>
      </c>
      <c r="B26" s="14" t="n">
        <v>45711</v>
      </c>
      <c r="C26" s="0" t="n">
        <v>-1249.67</v>
      </c>
      <c r="D26" s="15" t="s">
        <v>3643</v>
      </c>
      <c r="E26" s="15" t="s">
        <v>2865</v>
      </c>
    </row>
    <row r="27" customFormat="false" ht="15" hidden="false" customHeight="false" outlineLevel="0" collapsed="false">
      <c r="A27" s="0" t="s">
        <v>3644</v>
      </c>
      <c r="B27" s="14" t="n">
        <v>45960</v>
      </c>
      <c r="C27" s="0" t="n">
        <v>-877.47</v>
      </c>
      <c r="D27" s="15" t="s">
        <v>3617</v>
      </c>
      <c r="E27" s="15" t="s">
        <v>2866</v>
      </c>
    </row>
    <row r="28" customFormat="false" ht="15" hidden="false" customHeight="false" outlineLevel="0" collapsed="false">
      <c r="A28" s="0" t="s">
        <v>3645</v>
      </c>
      <c r="B28" s="14" t="n">
        <v>46074</v>
      </c>
      <c r="C28" s="0" t="n">
        <v>-644.78</v>
      </c>
      <c r="D28" s="15" t="s">
        <v>3639</v>
      </c>
      <c r="E28" s="15" t="s">
        <v>2867</v>
      </c>
    </row>
    <row r="29" customFormat="false" ht="15" hidden="false" customHeight="false" outlineLevel="0" collapsed="false">
      <c r="A29" s="0" t="s">
        <v>3646</v>
      </c>
      <c r="B29" s="14" t="n">
        <v>46088</v>
      </c>
      <c r="C29" s="0" t="n">
        <v>-10749.2</v>
      </c>
      <c r="D29" s="15" t="s">
        <v>3605</v>
      </c>
      <c r="E29" s="15" t="s">
        <v>2868</v>
      </c>
    </row>
    <row r="30" customFormat="false" ht="15" hidden="false" customHeight="false" outlineLevel="0" collapsed="false">
      <c r="A30" s="0" t="s">
        <v>3647</v>
      </c>
      <c r="B30" s="14" t="n">
        <v>46040</v>
      </c>
      <c r="C30" s="0" t="n">
        <v>-10173.53</v>
      </c>
      <c r="D30" s="15" t="s">
        <v>3629</v>
      </c>
      <c r="E30" s="15" t="s">
        <v>2869</v>
      </c>
    </row>
    <row r="31" customFormat="false" ht="15" hidden="false" customHeight="false" outlineLevel="0" collapsed="false">
      <c r="A31" s="0" t="s">
        <v>3648</v>
      </c>
      <c r="B31" s="14" t="n">
        <v>45872</v>
      </c>
      <c r="C31" s="0" t="n">
        <v>-7427.81</v>
      </c>
      <c r="D31" s="15" t="s">
        <v>3649</v>
      </c>
      <c r="E31" s="15" t="s">
        <v>2870</v>
      </c>
    </row>
    <row r="32" customFormat="false" ht="15" hidden="false" customHeight="false" outlineLevel="0" collapsed="false">
      <c r="A32" s="0" t="s">
        <v>3650</v>
      </c>
      <c r="B32" s="14" t="n">
        <v>45739</v>
      </c>
      <c r="C32" s="0" t="n">
        <v>-3858.14</v>
      </c>
      <c r="D32" s="15" t="s">
        <v>3625</v>
      </c>
      <c r="E32" s="15" t="s">
        <v>2871</v>
      </c>
    </row>
    <row r="33" customFormat="false" ht="15" hidden="false" customHeight="false" outlineLevel="0" collapsed="false">
      <c r="A33" s="0" t="s">
        <v>3651</v>
      </c>
      <c r="B33" s="14" t="n">
        <v>46041</v>
      </c>
      <c r="C33" s="0" t="n">
        <v>-1031.9</v>
      </c>
      <c r="D33" s="15" t="s">
        <v>3652</v>
      </c>
      <c r="E33" s="15" t="s">
        <v>2872</v>
      </c>
    </row>
    <row r="34" customFormat="false" ht="15" hidden="false" customHeight="false" outlineLevel="0" collapsed="false">
      <c r="A34" s="0" t="s">
        <v>3653</v>
      </c>
      <c r="B34" s="14" t="n">
        <v>45872</v>
      </c>
      <c r="C34" s="0" t="n">
        <v>-117.56</v>
      </c>
      <c r="D34" s="15" t="s">
        <v>3649</v>
      </c>
      <c r="E34" s="15" t="s">
        <v>2873</v>
      </c>
    </row>
    <row r="35" customFormat="false" ht="15" hidden="false" customHeight="false" outlineLevel="0" collapsed="false">
      <c r="A35" s="0" t="s">
        <v>3654</v>
      </c>
      <c r="B35" s="14" t="n">
        <v>45889</v>
      </c>
      <c r="C35" s="0" t="n">
        <v>-21146.76</v>
      </c>
      <c r="D35" s="15" t="s">
        <v>3655</v>
      </c>
      <c r="E35" s="15" t="s">
        <v>2874</v>
      </c>
    </row>
    <row r="36" customFormat="false" ht="15" hidden="false" customHeight="false" outlineLevel="0" collapsed="false">
      <c r="A36" s="0" t="s">
        <v>3656</v>
      </c>
      <c r="B36" s="14" t="n">
        <v>46160</v>
      </c>
      <c r="C36" s="0" t="n">
        <v>-869.11</v>
      </c>
      <c r="D36" s="15" t="s">
        <v>3657</v>
      </c>
      <c r="E36" s="15" t="s">
        <v>2875</v>
      </c>
    </row>
    <row r="37" customFormat="false" ht="15" hidden="false" customHeight="false" outlineLevel="0" collapsed="false">
      <c r="A37" s="0" t="s">
        <v>3658</v>
      </c>
      <c r="B37" s="14" t="n">
        <v>46091</v>
      </c>
      <c r="C37" s="0" t="n">
        <v>-1696.08</v>
      </c>
      <c r="D37" s="15" t="s">
        <v>3611</v>
      </c>
      <c r="E37" s="15" t="s">
        <v>2876</v>
      </c>
    </row>
    <row r="38" customFormat="false" ht="15" hidden="false" customHeight="false" outlineLevel="0" collapsed="false">
      <c r="A38" s="0" t="s">
        <v>3659</v>
      </c>
      <c r="B38" s="14" t="n">
        <v>45847</v>
      </c>
      <c r="C38" s="0" t="n">
        <v>-1814.85</v>
      </c>
      <c r="D38" s="15" t="s">
        <v>3660</v>
      </c>
      <c r="E38" s="15" t="s">
        <v>2877</v>
      </c>
    </row>
    <row r="39" customFormat="false" ht="15" hidden="false" customHeight="false" outlineLevel="0" collapsed="false">
      <c r="A39" s="0" t="s">
        <v>3661</v>
      </c>
      <c r="B39" s="14" t="n">
        <v>45910</v>
      </c>
      <c r="C39" s="0" t="n">
        <v>-9938.09</v>
      </c>
      <c r="D39" s="15" t="s">
        <v>3660</v>
      </c>
      <c r="E39" s="15" t="s">
        <v>2878</v>
      </c>
    </row>
    <row r="40" customFormat="false" ht="15" hidden="false" customHeight="false" outlineLevel="0" collapsed="false">
      <c r="A40" s="0" t="s">
        <v>3662</v>
      </c>
      <c r="B40" s="14" t="n">
        <v>45924</v>
      </c>
      <c r="C40" s="0" t="n">
        <v>-9938.09</v>
      </c>
      <c r="D40" s="15" t="s">
        <v>3660</v>
      </c>
      <c r="E40" s="15" t="s">
        <v>2879</v>
      </c>
    </row>
    <row r="41" customFormat="false" ht="15" hidden="false" customHeight="false" outlineLevel="0" collapsed="false">
      <c r="A41" s="0" t="s">
        <v>3663</v>
      </c>
      <c r="B41" s="14" t="n">
        <v>45931</v>
      </c>
      <c r="C41" s="0" t="n">
        <v>-1076.83</v>
      </c>
      <c r="D41" s="15" t="s">
        <v>3617</v>
      </c>
      <c r="E41" s="15" t="s">
        <v>2880</v>
      </c>
    </row>
    <row r="42" customFormat="false" ht="15" hidden="false" customHeight="false" outlineLevel="0" collapsed="false">
      <c r="A42" s="0" t="s">
        <v>3664</v>
      </c>
      <c r="B42" s="14" t="n">
        <v>45937</v>
      </c>
      <c r="C42" s="0" t="n">
        <v>-1076.83</v>
      </c>
      <c r="D42" s="15" t="s">
        <v>3617</v>
      </c>
      <c r="E42" s="15" t="s">
        <v>2881</v>
      </c>
    </row>
    <row r="43" customFormat="false" ht="15" hidden="false" customHeight="false" outlineLevel="0" collapsed="false">
      <c r="A43" s="0" t="s">
        <v>3665</v>
      </c>
      <c r="B43" s="14" t="n">
        <v>45855</v>
      </c>
      <c r="C43" s="0" t="n">
        <v>-5899.58</v>
      </c>
      <c r="D43" s="15" t="s">
        <v>3666</v>
      </c>
      <c r="E43" s="15" t="s">
        <v>2882</v>
      </c>
    </row>
    <row r="44" customFormat="false" ht="15" hidden="false" customHeight="false" outlineLevel="0" collapsed="false">
      <c r="A44" s="0" t="s">
        <v>3667</v>
      </c>
      <c r="B44" s="14" t="n">
        <v>45778</v>
      </c>
      <c r="C44" s="0" t="n">
        <v>-31348.72</v>
      </c>
      <c r="D44" s="15" t="s">
        <v>3599</v>
      </c>
      <c r="E44" s="15" t="s">
        <v>2883</v>
      </c>
    </row>
    <row r="45" customFormat="false" ht="15" hidden="false" customHeight="false" outlineLevel="0" collapsed="false">
      <c r="A45" s="0" t="s">
        <v>3668</v>
      </c>
      <c r="B45" s="14" t="n">
        <v>45939</v>
      </c>
      <c r="C45" s="0" t="n">
        <v>-2845.35</v>
      </c>
      <c r="D45" s="15" t="s">
        <v>3607</v>
      </c>
      <c r="E45" s="15" t="s">
        <v>2884</v>
      </c>
    </row>
    <row r="46" customFormat="false" ht="15" hidden="false" customHeight="false" outlineLevel="0" collapsed="false">
      <c r="A46" s="0" t="s">
        <v>3669</v>
      </c>
      <c r="B46" s="14" t="n">
        <v>46059</v>
      </c>
      <c r="C46" s="0" t="n">
        <v>-22892.64</v>
      </c>
      <c r="D46" s="15" t="s">
        <v>3670</v>
      </c>
      <c r="E46" s="15" t="s">
        <v>2885</v>
      </c>
    </row>
    <row r="47" customFormat="false" ht="15" hidden="false" customHeight="false" outlineLevel="0" collapsed="false">
      <c r="A47" s="0" t="s">
        <v>3671</v>
      </c>
      <c r="B47" s="14" t="n">
        <v>46172</v>
      </c>
      <c r="C47" s="0" t="n">
        <v>-306.49</v>
      </c>
      <c r="D47" s="15" t="s">
        <v>3672</v>
      </c>
      <c r="E47" s="15" t="s">
        <v>2886</v>
      </c>
    </row>
    <row r="48" customFormat="false" ht="15" hidden="false" customHeight="false" outlineLevel="0" collapsed="false">
      <c r="A48" s="0" t="s">
        <v>3673</v>
      </c>
      <c r="B48" s="14" t="n">
        <v>46043</v>
      </c>
      <c r="C48" s="0" t="n">
        <v>-5034.71</v>
      </c>
      <c r="D48" s="15" t="s">
        <v>3625</v>
      </c>
      <c r="E48" s="15" t="s">
        <v>2887</v>
      </c>
    </row>
    <row r="49" customFormat="false" ht="15" hidden="false" customHeight="false" outlineLevel="0" collapsed="false">
      <c r="A49" s="0" t="s">
        <v>3674</v>
      </c>
      <c r="B49" s="14" t="n">
        <v>46034</v>
      </c>
      <c r="C49" s="0" t="n">
        <v>-5034.71</v>
      </c>
      <c r="D49" s="15" t="s">
        <v>3625</v>
      </c>
      <c r="E49" s="15" t="s">
        <v>2888</v>
      </c>
    </row>
    <row r="50" customFormat="false" ht="15" hidden="false" customHeight="false" outlineLevel="0" collapsed="false">
      <c r="A50" s="0" t="s">
        <v>3675</v>
      </c>
      <c r="B50" s="14" t="n">
        <v>45851</v>
      </c>
      <c r="C50" s="0" t="n">
        <v>-1369.29</v>
      </c>
      <c r="D50" s="15" t="s">
        <v>3676</v>
      </c>
      <c r="E50" s="15" t="s">
        <v>2889</v>
      </c>
    </row>
    <row r="51" customFormat="false" ht="15" hidden="false" customHeight="false" outlineLevel="0" collapsed="false">
      <c r="A51" s="0" t="s">
        <v>3677</v>
      </c>
      <c r="B51" s="14" t="n">
        <v>45997</v>
      </c>
      <c r="C51" s="0" t="n">
        <v>-2783.02</v>
      </c>
      <c r="D51" s="15" t="s">
        <v>3670</v>
      </c>
      <c r="E51" s="15" t="s">
        <v>2890</v>
      </c>
    </row>
    <row r="52" customFormat="false" ht="15" hidden="false" customHeight="false" outlineLevel="0" collapsed="false">
      <c r="A52" s="0" t="s">
        <v>3678</v>
      </c>
      <c r="B52" s="14" t="n">
        <v>45681</v>
      </c>
      <c r="C52" s="0" t="n">
        <v>-1474.66</v>
      </c>
      <c r="D52" s="15" t="s">
        <v>3679</v>
      </c>
      <c r="E52" s="15" t="s">
        <v>2891</v>
      </c>
    </row>
    <row r="53" customFormat="false" ht="15" hidden="false" customHeight="false" outlineLevel="0" collapsed="false">
      <c r="A53" s="0" t="s">
        <v>3680</v>
      </c>
      <c r="B53" s="14" t="n">
        <v>45844</v>
      </c>
      <c r="C53" s="0" t="n">
        <v>-1567.44</v>
      </c>
      <c r="D53" s="15" t="s">
        <v>3679</v>
      </c>
      <c r="E53" s="15" t="s">
        <v>2892</v>
      </c>
    </row>
    <row r="54" customFormat="false" ht="15" hidden="false" customHeight="false" outlineLevel="0" collapsed="false">
      <c r="A54" s="0" t="s">
        <v>3681</v>
      </c>
      <c r="B54" s="14" t="n">
        <v>45934</v>
      </c>
      <c r="C54" s="0" t="n">
        <v>-7649.01</v>
      </c>
      <c r="D54" s="15" t="s">
        <v>3676</v>
      </c>
      <c r="E54" s="15" t="s">
        <v>2893</v>
      </c>
    </row>
    <row r="55" customFormat="false" ht="15" hidden="false" customHeight="false" outlineLevel="0" collapsed="false">
      <c r="A55" s="0" t="s">
        <v>3682</v>
      </c>
      <c r="B55" s="14" t="n">
        <v>46004</v>
      </c>
      <c r="C55" s="0" t="n">
        <v>-3881</v>
      </c>
      <c r="D55" s="15" t="s">
        <v>3641</v>
      </c>
      <c r="E55" s="15" t="s">
        <v>2894</v>
      </c>
    </row>
    <row r="56" customFormat="false" ht="15" hidden="false" customHeight="false" outlineLevel="0" collapsed="false">
      <c r="A56" s="0" t="s">
        <v>3683</v>
      </c>
      <c r="B56" s="14" t="n">
        <v>46043</v>
      </c>
      <c r="C56" s="0" t="n">
        <v>-3262.21</v>
      </c>
      <c r="D56" s="15" t="s">
        <v>3684</v>
      </c>
      <c r="E56" s="15" t="s">
        <v>2895</v>
      </c>
    </row>
    <row r="57" customFormat="false" ht="15" hidden="false" customHeight="false" outlineLevel="0" collapsed="false">
      <c r="A57" s="0" t="s">
        <v>3685</v>
      </c>
      <c r="B57" s="14" t="n">
        <v>45929</v>
      </c>
      <c r="C57" s="0" t="n">
        <v>-5144.03</v>
      </c>
      <c r="D57" s="15" t="s">
        <v>3643</v>
      </c>
      <c r="E57" s="15" t="s">
        <v>2896</v>
      </c>
    </row>
    <row r="58" customFormat="false" ht="15" hidden="false" customHeight="false" outlineLevel="0" collapsed="false">
      <c r="A58" s="0" t="s">
        <v>3686</v>
      </c>
      <c r="B58" s="14" t="n">
        <v>45958</v>
      </c>
      <c r="C58" s="0" t="n">
        <v>-5496.95</v>
      </c>
      <c r="D58" s="15" t="s">
        <v>3657</v>
      </c>
      <c r="E58" s="15" t="s">
        <v>2897</v>
      </c>
    </row>
    <row r="59" customFormat="false" ht="15" hidden="false" customHeight="false" outlineLevel="0" collapsed="false">
      <c r="A59" s="0" t="s">
        <v>3687</v>
      </c>
      <c r="B59" s="14" t="n">
        <v>46167</v>
      </c>
      <c r="C59" s="0" t="n">
        <v>-1566.24</v>
      </c>
      <c r="D59" s="15" t="s">
        <v>3679</v>
      </c>
      <c r="E59" s="15" t="s">
        <v>2898</v>
      </c>
    </row>
    <row r="60" customFormat="false" ht="15" hidden="false" customHeight="false" outlineLevel="0" collapsed="false">
      <c r="A60" s="0" t="s">
        <v>3688</v>
      </c>
      <c r="B60" s="14" t="n">
        <v>46122</v>
      </c>
      <c r="C60" s="0" t="n">
        <v>-17358.33</v>
      </c>
      <c r="D60" s="15" t="s">
        <v>3632</v>
      </c>
      <c r="E60" s="15" t="s">
        <v>2899</v>
      </c>
    </row>
    <row r="61" customFormat="false" ht="15" hidden="false" customHeight="false" outlineLevel="0" collapsed="false">
      <c r="A61" s="0" t="s">
        <v>3689</v>
      </c>
      <c r="B61" s="14" t="n">
        <v>45784</v>
      </c>
      <c r="C61" s="0" t="n">
        <v>-537.25</v>
      </c>
      <c r="D61" s="15" t="s">
        <v>3690</v>
      </c>
      <c r="E61" s="15" t="s">
        <v>2900</v>
      </c>
    </row>
    <row r="62" customFormat="false" ht="15" hidden="false" customHeight="false" outlineLevel="0" collapsed="false">
      <c r="A62" s="0" t="s">
        <v>3691</v>
      </c>
      <c r="B62" s="14" t="n">
        <v>45756</v>
      </c>
      <c r="C62" s="0" t="n">
        <v>-4040.21</v>
      </c>
      <c r="D62" s="15" t="s">
        <v>3603</v>
      </c>
      <c r="E62" s="15" t="s">
        <v>2901</v>
      </c>
    </row>
    <row r="63" customFormat="false" ht="15" hidden="false" customHeight="false" outlineLevel="0" collapsed="false">
      <c r="A63" s="0" t="s">
        <v>3692</v>
      </c>
      <c r="B63" s="14" t="n">
        <v>45972</v>
      </c>
      <c r="C63" s="0" t="n">
        <v>-158.45</v>
      </c>
      <c r="D63" s="15" t="s">
        <v>3619</v>
      </c>
      <c r="E63" s="15" t="s">
        <v>2902</v>
      </c>
    </row>
    <row r="64" customFormat="false" ht="15" hidden="false" customHeight="false" outlineLevel="0" collapsed="false">
      <c r="A64" s="0" t="s">
        <v>3693</v>
      </c>
      <c r="B64" s="14" t="n">
        <v>46023</v>
      </c>
      <c r="C64" s="0" t="n">
        <v>-2227.94</v>
      </c>
      <c r="D64" s="15" t="s">
        <v>3690</v>
      </c>
      <c r="E64" s="15" t="s">
        <v>2903</v>
      </c>
    </row>
    <row r="65" customFormat="false" ht="15" hidden="false" customHeight="false" outlineLevel="0" collapsed="false">
      <c r="A65" s="0" t="s">
        <v>3694</v>
      </c>
      <c r="B65" s="14" t="n">
        <v>45885</v>
      </c>
      <c r="C65" s="0" t="n">
        <v>-3409.89</v>
      </c>
      <c r="D65" s="15" t="s">
        <v>3652</v>
      </c>
      <c r="E65" s="15" t="s">
        <v>2904</v>
      </c>
    </row>
    <row r="66" customFormat="false" ht="15" hidden="false" customHeight="false" outlineLevel="0" collapsed="false">
      <c r="A66" s="0" t="s">
        <v>3695</v>
      </c>
      <c r="B66" s="14" t="n">
        <v>46137</v>
      </c>
      <c r="C66" s="0" t="n">
        <v>-426.18</v>
      </c>
      <c r="D66" s="15" t="s">
        <v>3660</v>
      </c>
      <c r="E66" s="15" t="s">
        <v>2905</v>
      </c>
    </row>
    <row r="67" customFormat="false" ht="15" hidden="false" customHeight="false" outlineLevel="0" collapsed="false">
      <c r="A67" s="0" t="s">
        <v>3696</v>
      </c>
      <c r="B67" s="14" t="n">
        <v>46120</v>
      </c>
      <c r="C67" s="0" t="n">
        <v>-650.45</v>
      </c>
      <c r="D67" s="15" t="s">
        <v>3657</v>
      </c>
      <c r="E67" s="15" t="s">
        <v>2906</v>
      </c>
    </row>
    <row r="68" customFormat="false" ht="15" hidden="false" customHeight="false" outlineLevel="0" collapsed="false">
      <c r="A68" s="0" t="s">
        <v>3697</v>
      </c>
      <c r="B68" s="14" t="n">
        <v>46072</v>
      </c>
      <c r="C68" s="0" t="n">
        <v>-173.05</v>
      </c>
      <c r="D68" s="15" t="s">
        <v>3641</v>
      </c>
      <c r="E68" s="15" t="s">
        <v>2907</v>
      </c>
    </row>
    <row r="69" customFormat="false" ht="15" hidden="false" customHeight="false" outlineLevel="0" collapsed="false">
      <c r="A69" s="0" t="s">
        <v>3698</v>
      </c>
      <c r="B69" s="14" t="n">
        <v>46074</v>
      </c>
      <c r="C69" s="0" t="n">
        <v>-173.05</v>
      </c>
      <c r="D69" s="15" t="s">
        <v>3641</v>
      </c>
      <c r="E69" s="15" t="s">
        <v>2908</v>
      </c>
    </row>
    <row r="70" customFormat="false" ht="15" hidden="false" customHeight="false" outlineLevel="0" collapsed="false">
      <c r="A70" s="0" t="s">
        <v>3699</v>
      </c>
      <c r="B70" s="14" t="n">
        <v>45790</v>
      </c>
      <c r="C70" s="0" t="n">
        <v>-3225.76</v>
      </c>
      <c r="D70" s="15" t="s">
        <v>3639</v>
      </c>
      <c r="E70" s="15" t="s">
        <v>2909</v>
      </c>
    </row>
    <row r="71" customFormat="false" ht="15" hidden="false" customHeight="false" outlineLevel="0" collapsed="false">
      <c r="A71" s="0" t="s">
        <v>3700</v>
      </c>
      <c r="B71" s="14" t="n">
        <v>45697</v>
      </c>
      <c r="C71" s="0" t="n">
        <v>-773.09</v>
      </c>
      <c r="D71" s="15" t="s">
        <v>3603</v>
      </c>
      <c r="E71" s="15" t="s">
        <v>2910</v>
      </c>
    </row>
    <row r="72" customFormat="false" ht="15" hidden="false" customHeight="false" outlineLevel="0" collapsed="false">
      <c r="A72" s="0" t="s">
        <v>3701</v>
      </c>
      <c r="B72" s="14" t="n">
        <v>45826</v>
      </c>
      <c r="C72" s="0" t="n">
        <v>-3182.11</v>
      </c>
      <c r="D72" s="15" t="s">
        <v>3625</v>
      </c>
      <c r="E72" s="15" t="s">
        <v>2911</v>
      </c>
    </row>
    <row r="73" customFormat="false" ht="15" hidden="false" customHeight="false" outlineLevel="0" collapsed="false">
      <c r="A73" s="0" t="s">
        <v>3702</v>
      </c>
      <c r="B73" s="14" t="n">
        <v>45929</v>
      </c>
      <c r="C73" s="0" t="n">
        <v>-2202.92</v>
      </c>
      <c r="D73" s="15" t="s">
        <v>3703</v>
      </c>
      <c r="E73" s="15" t="s">
        <v>2912</v>
      </c>
    </row>
    <row r="74" customFormat="false" ht="15" hidden="false" customHeight="false" outlineLevel="0" collapsed="false">
      <c r="A74" s="0" t="s">
        <v>3704</v>
      </c>
      <c r="B74" s="14" t="n">
        <v>45948</v>
      </c>
      <c r="C74" s="0" t="n">
        <v>-2202.92</v>
      </c>
      <c r="D74" s="15" t="s">
        <v>3703</v>
      </c>
      <c r="E74" s="15" t="s">
        <v>2913</v>
      </c>
    </row>
    <row r="75" customFormat="false" ht="15" hidden="false" customHeight="false" outlineLevel="0" collapsed="false">
      <c r="A75" s="0" t="s">
        <v>3705</v>
      </c>
      <c r="B75" s="14" t="n">
        <v>46139</v>
      </c>
      <c r="C75" s="0" t="n">
        <v>-13999.16</v>
      </c>
      <c r="D75" s="15" t="s">
        <v>3655</v>
      </c>
      <c r="E75" s="15" t="s">
        <v>2914</v>
      </c>
    </row>
    <row r="76" customFormat="false" ht="15" hidden="false" customHeight="false" outlineLevel="0" collapsed="false">
      <c r="A76" s="0" t="s">
        <v>3706</v>
      </c>
      <c r="B76" s="14" t="n">
        <v>45724</v>
      </c>
      <c r="C76" s="0" t="n">
        <v>-4652.88</v>
      </c>
      <c r="D76" s="15" t="s">
        <v>3617</v>
      </c>
      <c r="E76" s="15" t="s">
        <v>2915</v>
      </c>
    </row>
    <row r="77" customFormat="false" ht="15" hidden="false" customHeight="false" outlineLevel="0" collapsed="false">
      <c r="A77" s="0" t="s">
        <v>3707</v>
      </c>
      <c r="B77" s="14" t="n">
        <v>45921</v>
      </c>
      <c r="C77" s="0" t="n">
        <v>-131.26</v>
      </c>
      <c r="D77" s="15" t="s">
        <v>3613</v>
      </c>
      <c r="E77" s="15" t="s">
        <v>2916</v>
      </c>
    </row>
    <row r="78" customFormat="false" ht="15" hidden="false" customHeight="false" outlineLevel="0" collapsed="false">
      <c r="A78" s="0" t="s">
        <v>3708</v>
      </c>
      <c r="B78" s="14" t="n">
        <v>46023</v>
      </c>
      <c r="C78" s="0" t="n">
        <v>-370.46</v>
      </c>
      <c r="D78" s="15" t="s">
        <v>3619</v>
      </c>
      <c r="E78" s="15" t="s">
        <v>2917</v>
      </c>
    </row>
    <row r="79" customFormat="false" ht="15" hidden="false" customHeight="false" outlineLevel="0" collapsed="false">
      <c r="A79" s="0" t="s">
        <v>3709</v>
      </c>
      <c r="B79" s="14" t="n">
        <v>46079</v>
      </c>
      <c r="C79" s="0" t="n">
        <v>-11559.96</v>
      </c>
      <c r="D79" s="15" t="s">
        <v>3603</v>
      </c>
      <c r="E79" s="15" t="s">
        <v>2918</v>
      </c>
    </row>
    <row r="80" customFormat="false" ht="15" hidden="false" customHeight="false" outlineLevel="0" collapsed="false">
      <c r="A80" s="0" t="s">
        <v>3710</v>
      </c>
      <c r="B80" s="14" t="n">
        <v>45954</v>
      </c>
      <c r="C80" s="0" t="n">
        <v>-1118.76</v>
      </c>
      <c r="D80" s="15" t="s">
        <v>3615</v>
      </c>
      <c r="E80" s="15" t="s">
        <v>2919</v>
      </c>
    </row>
    <row r="81" customFormat="false" ht="15" hidden="false" customHeight="false" outlineLevel="0" collapsed="false">
      <c r="A81" s="0" t="s">
        <v>3711</v>
      </c>
      <c r="B81" s="14" t="n">
        <v>45841</v>
      </c>
      <c r="C81" s="0" t="n">
        <v>-1602.67</v>
      </c>
      <c r="D81" s="15" t="s">
        <v>3703</v>
      </c>
      <c r="E81" s="15" t="s">
        <v>2920</v>
      </c>
    </row>
    <row r="82" customFormat="false" ht="15" hidden="false" customHeight="false" outlineLevel="0" collapsed="false">
      <c r="A82" s="0" t="s">
        <v>3712</v>
      </c>
      <c r="B82" s="14" t="n">
        <v>45712</v>
      </c>
      <c r="C82" s="0" t="n">
        <v>-1239.53</v>
      </c>
      <c r="D82" s="15" t="s">
        <v>3619</v>
      </c>
      <c r="E82" s="15" t="s">
        <v>2921</v>
      </c>
    </row>
    <row r="83" customFormat="false" ht="15" hidden="false" customHeight="false" outlineLevel="0" collapsed="false">
      <c r="A83" s="0" t="s">
        <v>3713</v>
      </c>
      <c r="B83" s="14" t="n">
        <v>46103</v>
      </c>
      <c r="C83" s="0" t="n">
        <v>-6686.22</v>
      </c>
      <c r="D83" s="15" t="s">
        <v>3714</v>
      </c>
      <c r="E83" s="15" t="s">
        <v>2922</v>
      </c>
    </row>
    <row r="84" customFormat="false" ht="15" hidden="false" customHeight="false" outlineLevel="0" collapsed="false">
      <c r="A84" s="0" t="s">
        <v>3715</v>
      </c>
      <c r="B84" s="14" t="n">
        <v>46127</v>
      </c>
      <c r="C84" s="0" t="n">
        <v>-3940.78</v>
      </c>
      <c r="D84" s="15" t="s">
        <v>3611</v>
      </c>
      <c r="E84" s="15" t="s">
        <v>2923</v>
      </c>
    </row>
    <row r="85" customFormat="false" ht="15" hidden="false" customHeight="false" outlineLevel="0" collapsed="false">
      <c r="A85" s="0" t="s">
        <v>3716</v>
      </c>
      <c r="B85" s="14" t="n">
        <v>45766</v>
      </c>
      <c r="C85" s="0" t="n">
        <v>-625.95</v>
      </c>
      <c r="D85" s="15" t="s">
        <v>3717</v>
      </c>
      <c r="E85" s="15" t="s">
        <v>2924</v>
      </c>
    </row>
    <row r="86" customFormat="false" ht="15" hidden="false" customHeight="false" outlineLevel="0" collapsed="false">
      <c r="A86" s="0" t="s">
        <v>3718</v>
      </c>
      <c r="B86" s="14" t="n">
        <v>45799</v>
      </c>
      <c r="C86" s="0" t="n">
        <v>-2302.86</v>
      </c>
      <c r="D86" s="15" t="s">
        <v>3621</v>
      </c>
      <c r="E86" s="15" t="s">
        <v>2925</v>
      </c>
    </row>
    <row r="87" customFormat="false" ht="15" hidden="false" customHeight="false" outlineLevel="0" collapsed="false">
      <c r="A87" s="0" t="s">
        <v>3719</v>
      </c>
      <c r="B87" s="14" t="n">
        <v>45963</v>
      </c>
      <c r="C87" s="0" t="n">
        <v>-226.65</v>
      </c>
      <c r="D87" s="15" t="s">
        <v>3621</v>
      </c>
      <c r="E87" s="15" t="s">
        <v>2926</v>
      </c>
    </row>
    <row r="88" customFormat="false" ht="15" hidden="false" customHeight="false" outlineLevel="0" collapsed="false">
      <c r="A88" s="0" t="s">
        <v>3720</v>
      </c>
      <c r="B88" s="14" t="n">
        <v>45700</v>
      </c>
      <c r="C88" s="0" t="n">
        <v>-814.32</v>
      </c>
      <c r="D88" s="15" t="s">
        <v>3672</v>
      </c>
      <c r="E88" s="15" t="s">
        <v>2927</v>
      </c>
    </row>
    <row r="89" customFormat="false" ht="15" hidden="false" customHeight="false" outlineLevel="0" collapsed="false">
      <c r="A89" s="0" t="s">
        <v>3721</v>
      </c>
      <c r="B89" s="14" t="n">
        <v>45821</v>
      </c>
      <c r="C89" s="0" t="n">
        <v>-1618.39</v>
      </c>
      <c r="D89" s="15" t="s">
        <v>3679</v>
      </c>
      <c r="E89" s="15" t="s">
        <v>2928</v>
      </c>
    </row>
    <row r="90" customFormat="false" ht="15" hidden="false" customHeight="false" outlineLevel="0" collapsed="false">
      <c r="A90" s="0" t="s">
        <v>3722</v>
      </c>
      <c r="B90" s="14" t="n">
        <v>46159</v>
      </c>
      <c r="C90" s="0" t="n">
        <v>-994</v>
      </c>
      <c r="D90" s="15" t="s">
        <v>3676</v>
      </c>
      <c r="E90" s="15" t="s">
        <v>2929</v>
      </c>
    </row>
    <row r="91" customFormat="false" ht="15" hidden="false" customHeight="false" outlineLevel="0" collapsed="false">
      <c r="A91" s="0" t="s">
        <v>3723</v>
      </c>
      <c r="B91" s="14" t="n">
        <v>45932</v>
      </c>
      <c r="C91" s="0" t="n">
        <v>-456.94</v>
      </c>
      <c r="D91" s="15" t="s">
        <v>3641</v>
      </c>
      <c r="E91" s="15" t="s">
        <v>2930</v>
      </c>
    </row>
    <row r="92" customFormat="false" ht="15" hidden="false" customHeight="false" outlineLevel="0" collapsed="false">
      <c r="A92" s="0" t="s">
        <v>3724</v>
      </c>
      <c r="B92" s="14" t="n">
        <v>46125</v>
      </c>
      <c r="C92" s="0" t="n">
        <v>-3515.6</v>
      </c>
      <c r="D92" s="15" t="s">
        <v>3672</v>
      </c>
      <c r="E92" s="15" t="s">
        <v>2931</v>
      </c>
    </row>
    <row r="93" customFormat="false" ht="15" hidden="false" customHeight="false" outlineLevel="0" collapsed="false">
      <c r="A93" s="0" t="s">
        <v>3725</v>
      </c>
      <c r="B93" s="14" t="n">
        <v>45998</v>
      </c>
      <c r="C93" s="0" t="n">
        <v>-2184.66</v>
      </c>
      <c r="D93" s="15" t="s">
        <v>3672</v>
      </c>
      <c r="E93" s="15" t="s">
        <v>2932</v>
      </c>
    </row>
    <row r="94" customFormat="false" ht="15" hidden="false" customHeight="false" outlineLevel="0" collapsed="false">
      <c r="A94" s="0" t="s">
        <v>3726</v>
      </c>
      <c r="B94" s="14" t="n">
        <v>46169</v>
      </c>
      <c r="C94" s="0" t="n">
        <v>-3835.01</v>
      </c>
      <c r="D94" s="15" t="s">
        <v>3649</v>
      </c>
      <c r="E94" s="15" t="s">
        <v>2933</v>
      </c>
    </row>
    <row r="95" customFormat="false" ht="15" hidden="false" customHeight="false" outlineLevel="0" collapsed="false">
      <c r="A95" s="0" t="s">
        <v>3727</v>
      </c>
      <c r="B95" s="14" t="n">
        <v>46045</v>
      </c>
      <c r="C95" s="0" t="n">
        <v>-402.4</v>
      </c>
      <c r="D95" s="15" t="s">
        <v>3615</v>
      </c>
      <c r="E95" s="15" t="s">
        <v>2934</v>
      </c>
    </row>
    <row r="96" customFormat="false" ht="15" hidden="false" customHeight="false" outlineLevel="0" collapsed="false">
      <c r="A96" s="0" t="s">
        <v>3728</v>
      </c>
      <c r="B96" s="14" t="n">
        <v>45965</v>
      </c>
      <c r="C96" s="0" t="n">
        <v>-816.15</v>
      </c>
      <c r="D96" s="15" t="s">
        <v>3655</v>
      </c>
      <c r="E96" s="15" t="s">
        <v>2935</v>
      </c>
    </row>
    <row r="97" customFormat="false" ht="15" hidden="false" customHeight="false" outlineLevel="0" collapsed="false">
      <c r="A97" s="0" t="s">
        <v>3729</v>
      </c>
      <c r="B97" s="14" t="n">
        <v>46150</v>
      </c>
      <c r="C97" s="0" t="n">
        <v>-5798.93</v>
      </c>
      <c r="D97" s="15" t="s">
        <v>3655</v>
      </c>
      <c r="E97" s="15" t="s">
        <v>2936</v>
      </c>
    </row>
    <row r="98" customFormat="false" ht="15" hidden="false" customHeight="false" outlineLevel="0" collapsed="false">
      <c r="A98" s="0" t="s">
        <v>3730</v>
      </c>
      <c r="B98" s="14" t="n">
        <v>46001</v>
      </c>
      <c r="C98" s="0" t="n">
        <v>-3177.07</v>
      </c>
      <c r="D98" s="15" t="s">
        <v>3627</v>
      </c>
      <c r="E98" s="15" t="s">
        <v>2937</v>
      </c>
    </row>
    <row r="99" customFormat="false" ht="15" hidden="false" customHeight="false" outlineLevel="0" collapsed="false">
      <c r="A99" s="0" t="s">
        <v>3731</v>
      </c>
      <c r="B99" s="14" t="n">
        <v>46189</v>
      </c>
      <c r="C99" s="0" t="n">
        <v>-2099.16</v>
      </c>
      <c r="D99" s="15" t="s">
        <v>3639</v>
      </c>
      <c r="E99" s="15" t="s">
        <v>2938</v>
      </c>
    </row>
    <row r="100" customFormat="false" ht="15" hidden="false" customHeight="false" outlineLevel="0" collapsed="false">
      <c r="A100" s="0" t="s">
        <v>3732</v>
      </c>
      <c r="B100" s="14" t="n">
        <v>46106</v>
      </c>
      <c r="C100" s="0" t="n">
        <v>-2167.65</v>
      </c>
      <c r="D100" s="15" t="s">
        <v>3611</v>
      </c>
      <c r="E100" s="15" t="s">
        <v>2939</v>
      </c>
    </row>
    <row r="101" customFormat="false" ht="15" hidden="false" customHeight="false" outlineLevel="0" collapsed="false">
      <c r="A101" s="0" t="s">
        <v>3733</v>
      </c>
      <c r="B101" s="14" t="n">
        <v>45933</v>
      </c>
      <c r="C101" s="0" t="n">
        <v>-865.82</v>
      </c>
      <c r="D101" s="15" t="s">
        <v>3629</v>
      </c>
      <c r="E101" s="15" t="s">
        <v>2940</v>
      </c>
    </row>
    <row r="102" customFormat="false" ht="15" hidden="false" customHeight="false" outlineLevel="0" collapsed="false">
      <c r="A102" s="0" t="s">
        <v>3734</v>
      </c>
      <c r="B102" s="14" t="n">
        <v>45838</v>
      </c>
      <c r="C102" s="0" t="n">
        <v>-588.49</v>
      </c>
      <c r="D102" s="15" t="s">
        <v>3672</v>
      </c>
      <c r="E102" s="15" t="s">
        <v>2941</v>
      </c>
    </row>
    <row r="103" customFormat="false" ht="15" hidden="false" customHeight="false" outlineLevel="0" collapsed="false">
      <c r="A103" s="0" t="s">
        <v>3735</v>
      </c>
      <c r="B103" s="14" t="n">
        <v>45818</v>
      </c>
      <c r="C103" s="0" t="n">
        <v>-1755.83</v>
      </c>
      <c r="D103" s="15" t="s">
        <v>3657</v>
      </c>
      <c r="E103" s="15" t="s">
        <v>2942</v>
      </c>
    </row>
    <row r="104" customFormat="false" ht="15" hidden="false" customHeight="false" outlineLevel="0" collapsed="false">
      <c r="A104" s="0" t="s">
        <v>3736</v>
      </c>
      <c r="B104" s="14" t="n">
        <v>46041</v>
      </c>
      <c r="C104" s="0" t="n">
        <v>-946.66</v>
      </c>
      <c r="D104" s="15" t="s">
        <v>3621</v>
      </c>
      <c r="E104" s="15" t="s">
        <v>2943</v>
      </c>
    </row>
    <row r="105" customFormat="false" ht="15" hidden="false" customHeight="false" outlineLevel="0" collapsed="false">
      <c r="A105" s="0" t="s">
        <v>3737</v>
      </c>
      <c r="B105" s="14" t="n">
        <v>46114</v>
      </c>
      <c r="C105" s="0" t="n">
        <v>-17767.35</v>
      </c>
      <c r="D105" s="15" t="s">
        <v>3632</v>
      </c>
      <c r="E105" s="15" t="s">
        <v>2944</v>
      </c>
    </row>
    <row r="106" customFormat="false" ht="15" hidden="false" customHeight="false" outlineLevel="0" collapsed="false">
      <c r="A106" s="0" t="s">
        <v>3738</v>
      </c>
      <c r="B106" s="14" t="n">
        <v>45980</v>
      </c>
      <c r="C106" s="0" t="n">
        <v>-8633.55</v>
      </c>
      <c r="D106" s="15" t="s">
        <v>3619</v>
      </c>
      <c r="E106" s="15" t="s">
        <v>2945</v>
      </c>
    </row>
    <row r="107" customFormat="false" ht="15" hidden="false" customHeight="false" outlineLevel="0" collapsed="false">
      <c r="A107" s="0" t="s">
        <v>3739</v>
      </c>
      <c r="B107" s="14" t="n">
        <v>46044</v>
      </c>
      <c r="C107" s="0" t="n">
        <v>-1731.53</v>
      </c>
      <c r="D107" s="15" t="s">
        <v>3657</v>
      </c>
      <c r="E107" s="15" t="s">
        <v>2946</v>
      </c>
    </row>
    <row r="108" customFormat="false" ht="15" hidden="false" customHeight="false" outlineLevel="0" collapsed="false">
      <c r="A108" s="0" t="s">
        <v>3740</v>
      </c>
      <c r="B108" s="14" t="n">
        <v>45857</v>
      </c>
      <c r="C108" s="0" t="n">
        <v>-1559.4</v>
      </c>
      <c r="D108" s="15" t="s">
        <v>3670</v>
      </c>
      <c r="E108" s="15" t="s">
        <v>2947</v>
      </c>
    </row>
    <row r="109" customFormat="false" ht="15" hidden="false" customHeight="false" outlineLevel="0" collapsed="false">
      <c r="A109" s="0" t="s">
        <v>3741</v>
      </c>
      <c r="B109" s="14" t="n">
        <v>45746</v>
      </c>
      <c r="C109" s="0" t="n">
        <v>-1484.65</v>
      </c>
      <c r="D109" s="15" t="s">
        <v>3684</v>
      </c>
      <c r="E109" s="15" t="s">
        <v>2948</v>
      </c>
    </row>
    <row r="110" customFormat="false" ht="15" hidden="false" customHeight="false" outlineLevel="0" collapsed="false">
      <c r="A110" s="0" t="s">
        <v>3742</v>
      </c>
      <c r="B110" s="14" t="n">
        <v>45840</v>
      </c>
      <c r="C110" s="0" t="n">
        <v>-448.18</v>
      </c>
      <c r="D110" s="15" t="s">
        <v>3603</v>
      </c>
      <c r="E110" s="15" t="s">
        <v>2949</v>
      </c>
    </row>
    <row r="111" customFormat="false" ht="15" hidden="false" customHeight="false" outlineLevel="0" collapsed="false">
      <c r="A111" s="0" t="s">
        <v>3743</v>
      </c>
      <c r="B111" s="14" t="n">
        <v>45815</v>
      </c>
      <c r="C111" s="0" t="n">
        <v>-381.28</v>
      </c>
      <c r="D111" s="15" t="s">
        <v>3627</v>
      </c>
      <c r="E111" s="15" t="s">
        <v>2950</v>
      </c>
    </row>
    <row r="112" customFormat="false" ht="15" hidden="false" customHeight="false" outlineLevel="0" collapsed="false">
      <c r="A112" s="0" t="s">
        <v>3744</v>
      </c>
      <c r="B112" s="14" t="n">
        <v>45885</v>
      </c>
      <c r="C112" s="0" t="n">
        <v>-432.73</v>
      </c>
      <c r="D112" s="15" t="s">
        <v>3639</v>
      </c>
      <c r="E112" s="15" t="s">
        <v>2951</v>
      </c>
    </row>
    <row r="113" customFormat="false" ht="15" hidden="false" customHeight="false" outlineLevel="0" collapsed="false">
      <c r="A113" s="0" t="s">
        <v>3745</v>
      </c>
      <c r="B113" s="14" t="n">
        <v>45977</v>
      </c>
      <c r="C113" s="0" t="n">
        <v>-2005.68</v>
      </c>
      <c r="D113" s="15" t="s">
        <v>3746</v>
      </c>
      <c r="E113" s="15" t="s">
        <v>2952</v>
      </c>
    </row>
    <row r="114" customFormat="false" ht="15" hidden="false" customHeight="false" outlineLevel="0" collapsed="false">
      <c r="A114" s="0" t="s">
        <v>3747</v>
      </c>
      <c r="B114" s="14" t="n">
        <v>45783</v>
      </c>
      <c r="C114" s="0" t="n">
        <v>-12091.17</v>
      </c>
      <c r="D114" s="15" t="s">
        <v>3641</v>
      </c>
      <c r="E114" s="15" t="s">
        <v>2953</v>
      </c>
    </row>
    <row r="115" customFormat="false" ht="15" hidden="false" customHeight="false" outlineLevel="0" collapsed="false">
      <c r="A115" s="0" t="s">
        <v>3748</v>
      </c>
      <c r="B115" s="14" t="n">
        <v>45813</v>
      </c>
      <c r="C115" s="0" t="n">
        <v>-1425.03</v>
      </c>
      <c r="D115" s="15" t="s">
        <v>3749</v>
      </c>
      <c r="E115" s="15" t="s">
        <v>2954</v>
      </c>
    </row>
    <row r="116" customFormat="false" ht="15" hidden="false" customHeight="false" outlineLevel="0" collapsed="false">
      <c r="A116" s="0" t="s">
        <v>3750</v>
      </c>
      <c r="B116" s="14" t="n">
        <v>46087</v>
      </c>
      <c r="C116" s="0" t="n">
        <v>-13874.68</v>
      </c>
      <c r="D116" s="15" t="s">
        <v>3613</v>
      </c>
      <c r="E116" s="15" t="s">
        <v>2955</v>
      </c>
    </row>
    <row r="117" customFormat="false" ht="15" hidden="false" customHeight="false" outlineLevel="0" collapsed="false">
      <c r="A117" s="0" t="s">
        <v>3751</v>
      </c>
      <c r="B117" s="14" t="n">
        <v>46088</v>
      </c>
      <c r="C117" s="0" t="n">
        <v>-2603.15</v>
      </c>
      <c r="D117" s="15" t="s">
        <v>3670</v>
      </c>
      <c r="E117" s="15" t="s">
        <v>2956</v>
      </c>
    </row>
    <row r="118" customFormat="false" ht="15" hidden="false" customHeight="false" outlineLevel="0" collapsed="false">
      <c r="A118" s="0" t="s">
        <v>3752</v>
      </c>
      <c r="B118" s="14" t="n">
        <v>45902</v>
      </c>
      <c r="C118" s="0" t="n">
        <v>-4244.35</v>
      </c>
      <c r="D118" s="15" t="s">
        <v>3634</v>
      </c>
      <c r="E118" s="15" t="s">
        <v>2957</v>
      </c>
    </row>
    <row r="119" customFormat="false" ht="15" hidden="false" customHeight="false" outlineLevel="0" collapsed="false">
      <c r="A119" s="0" t="s">
        <v>3753</v>
      </c>
      <c r="B119" s="14" t="n">
        <v>45901</v>
      </c>
      <c r="C119" s="0" t="n">
        <v>-1297.3</v>
      </c>
      <c r="D119" s="15" t="s">
        <v>3634</v>
      </c>
      <c r="E119" s="15" t="s">
        <v>2958</v>
      </c>
    </row>
    <row r="120" customFormat="false" ht="15" hidden="false" customHeight="false" outlineLevel="0" collapsed="false">
      <c r="A120" s="0" t="s">
        <v>3754</v>
      </c>
      <c r="B120" s="14" t="n">
        <v>45790</v>
      </c>
      <c r="C120" s="0" t="n">
        <v>-1349.8</v>
      </c>
      <c r="D120" s="15" t="s">
        <v>3641</v>
      </c>
      <c r="E120" s="15" t="s">
        <v>2959</v>
      </c>
    </row>
    <row r="121" customFormat="false" ht="15" hidden="false" customHeight="false" outlineLevel="0" collapsed="false">
      <c r="A121" s="0" t="s">
        <v>3755</v>
      </c>
      <c r="B121" s="14" t="n">
        <v>45925</v>
      </c>
      <c r="C121" s="0" t="n">
        <v>-9053.44</v>
      </c>
      <c r="D121" s="15" t="s">
        <v>3607</v>
      </c>
      <c r="E121" s="15" t="s">
        <v>2960</v>
      </c>
    </row>
    <row r="122" customFormat="false" ht="15" hidden="false" customHeight="false" outlineLevel="0" collapsed="false">
      <c r="A122" s="0" t="s">
        <v>3756</v>
      </c>
      <c r="B122" s="14" t="n">
        <v>46185</v>
      </c>
      <c r="C122" s="0" t="n">
        <v>-974.82</v>
      </c>
      <c r="D122" s="15" t="s">
        <v>3607</v>
      </c>
      <c r="E122" s="15" t="s">
        <v>2961</v>
      </c>
    </row>
    <row r="123" customFormat="false" ht="15" hidden="false" customHeight="false" outlineLevel="0" collapsed="false">
      <c r="A123" s="0" t="s">
        <v>3757</v>
      </c>
      <c r="B123" s="14" t="n">
        <v>46006</v>
      </c>
      <c r="C123" s="0" t="n">
        <v>-5730.61</v>
      </c>
      <c r="D123" s="15" t="s">
        <v>3601</v>
      </c>
      <c r="E123" s="15" t="s">
        <v>2962</v>
      </c>
    </row>
    <row r="124" customFormat="false" ht="15" hidden="false" customHeight="false" outlineLevel="0" collapsed="false">
      <c r="A124" s="0" t="s">
        <v>3758</v>
      </c>
      <c r="B124" s="14" t="n">
        <v>46066</v>
      </c>
      <c r="C124" s="0" t="n">
        <v>-11169.56</v>
      </c>
      <c r="D124" s="15" t="s">
        <v>3605</v>
      </c>
      <c r="E124" s="15" t="s">
        <v>2963</v>
      </c>
    </row>
    <row r="125" customFormat="false" ht="15" hidden="false" customHeight="false" outlineLevel="0" collapsed="false">
      <c r="A125" s="0" t="s">
        <v>3759</v>
      </c>
      <c r="B125" s="14" t="n">
        <v>46167</v>
      </c>
      <c r="C125" s="0" t="n">
        <v>-573.05</v>
      </c>
      <c r="D125" s="15" t="s">
        <v>3746</v>
      </c>
      <c r="E125" s="15" t="s">
        <v>2964</v>
      </c>
    </row>
    <row r="126" customFormat="false" ht="15" hidden="false" customHeight="false" outlineLevel="0" collapsed="false">
      <c r="A126" s="0" t="s">
        <v>3760</v>
      </c>
      <c r="B126" s="14" t="n">
        <v>46132</v>
      </c>
      <c r="C126" s="0" t="n">
        <v>-267.6</v>
      </c>
      <c r="D126" s="15" t="s">
        <v>3703</v>
      </c>
      <c r="E126" s="15" t="s">
        <v>2965</v>
      </c>
    </row>
    <row r="127" customFormat="false" ht="15" hidden="false" customHeight="false" outlineLevel="0" collapsed="false">
      <c r="A127" s="0" t="s">
        <v>3761</v>
      </c>
      <c r="B127" s="14" t="n">
        <v>45882</v>
      </c>
      <c r="C127" s="0" t="n">
        <v>-634.26</v>
      </c>
      <c r="D127" s="15" t="s">
        <v>3717</v>
      </c>
      <c r="E127" s="15" t="s">
        <v>2966</v>
      </c>
    </row>
    <row r="128" customFormat="false" ht="15" hidden="false" customHeight="false" outlineLevel="0" collapsed="false">
      <c r="A128" s="0" t="s">
        <v>3762</v>
      </c>
      <c r="B128" s="14" t="n">
        <v>45686</v>
      </c>
      <c r="C128" s="0" t="n">
        <v>-858.6</v>
      </c>
      <c r="D128" s="15" t="s">
        <v>3676</v>
      </c>
      <c r="E128" s="15" t="s">
        <v>2967</v>
      </c>
    </row>
    <row r="129" customFormat="false" ht="15" hidden="false" customHeight="false" outlineLevel="0" collapsed="false">
      <c r="A129" s="0" t="s">
        <v>3763</v>
      </c>
      <c r="B129" s="14" t="n">
        <v>45892</v>
      </c>
      <c r="C129" s="0" t="n">
        <v>-1495.05</v>
      </c>
      <c r="D129" s="15" t="s">
        <v>3649</v>
      </c>
      <c r="E129" s="15" t="s">
        <v>2968</v>
      </c>
    </row>
    <row r="130" customFormat="false" ht="15" hidden="false" customHeight="false" outlineLevel="0" collapsed="false">
      <c r="A130" s="0" t="s">
        <v>3764</v>
      </c>
      <c r="B130" s="14" t="n">
        <v>46102</v>
      </c>
      <c r="C130" s="0" t="n">
        <v>-4226.43</v>
      </c>
      <c r="D130" s="15" t="s">
        <v>3765</v>
      </c>
      <c r="E130" s="15" t="s">
        <v>2969</v>
      </c>
    </row>
    <row r="131" customFormat="false" ht="15" hidden="false" customHeight="false" outlineLevel="0" collapsed="false">
      <c r="A131" s="0" t="s">
        <v>3766</v>
      </c>
      <c r="B131" s="14" t="n">
        <v>46175</v>
      </c>
      <c r="C131" s="0" t="n">
        <v>-203.15</v>
      </c>
      <c r="D131" s="15" t="s">
        <v>3676</v>
      </c>
      <c r="E131" s="15" t="s">
        <v>2970</v>
      </c>
    </row>
    <row r="132" customFormat="false" ht="15" hidden="false" customHeight="false" outlineLevel="0" collapsed="false">
      <c r="A132" s="0" t="s">
        <v>3767</v>
      </c>
      <c r="B132" s="14" t="n">
        <v>45926</v>
      </c>
      <c r="C132" s="0" t="n">
        <v>-3143.41</v>
      </c>
      <c r="D132" s="15" t="s">
        <v>3717</v>
      </c>
      <c r="E132" s="15" t="s">
        <v>2971</v>
      </c>
    </row>
    <row r="133" customFormat="false" ht="15" hidden="false" customHeight="false" outlineLevel="0" collapsed="false">
      <c r="A133" s="0" t="s">
        <v>3768</v>
      </c>
      <c r="B133" s="14" t="n">
        <v>46116</v>
      </c>
      <c r="C133" s="0" t="n">
        <v>-13042.87</v>
      </c>
      <c r="D133" s="15" t="s">
        <v>3613</v>
      </c>
      <c r="E133" s="15" t="s">
        <v>2972</v>
      </c>
    </row>
    <row r="134" customFormat="false" ht="15" hidden="false" customHeight="false" outlineLevel="0" collapsed="false">
      <c r="A134" s="0" t="s">
        <v>3769</v>
      </c>
      <c r="B134" s="14" t="n">
        <v>45988</v>
      </c>
      <c r="C134" s="0" t="n">
        <v>-4664.8</v>
      </c>
      <c r="D134" s="15" t="s">
        <v>3636</v>
      </c>
      <c r="E134" s="15" t="s">
        <v>2973</v>
      </c>
    </row>
    <row r="135" customFormat="false" ht="15" hidden="false" customHeight="false" outlineLevel="0" collapsed="false">
      <c r="A135" s="0" t="s">
        <v>3770</v>
      </c>
      <c r="B135" s="14" t="n">
        <v>46023</v>
      </c>
      <c r="C135" s="0" t="n">
        <v>-2106.89</v>
      </c>
      <c r="D135" s="15" t="s">
        <v>3611</v>
      </c>
      <c r="E135" s="15" t="s">
        <v>2974</v>
      </c>
    </row>
    <row r="136" customFormat="false" ht="15" hidden="false" customHeight="false" outlineLevel="0" collapsed="false">
      <c r="A136" s="0" t="s">
        <v>3771</v>
      </c>
      <c r="B136" s="14" t="n">
        <v>45806</v>
      </c>
      <c r="C136" s="0" t="n">
        <v>-7303.36</v>
      </c>
      <c r="D136" s="15" t="s">
        <v>3652</v>
      </c>
      <c r="E136" s="15" t="s">
        <v>2975</v>
      </c>
    </row>
    <row r="137" customFormat="false" ht="15" hidden="false" customHeight="false" outlineLevel="0" collapsed="false">
      <c r="A137" s="0" t="s">
        <v>3772</v>
      </c>
      <c r="B137" s="14" t="n">
        <v>45804</v>
      </c>
      <c r="C137" s="0" t="n">
        <v>-2285.28</v>
      </c>
      <c r="D137" s="15" t="s">
        <v>3666</v>
      </c>
      <c r="E137" s="15" t="s">
        <v>2976</v>
      </c>
    </row>
    <row r="138" customFormat="false" ht="15" hidden="false" customHeight="false" outlineLevel="0" collapsed="false">
      <c r="A138" s="0" t="s">
        <v>3773</v>
      </c>
      <c r="B138" s="14" t="n">
        <v>45950</v>
      </c>
      <c r="C138" s="0" t="n">
        <v>-358.03</v>
      </c>
      <c r="D138" s="15" t="s">
        <v>3629</v>
      </c>
      <c r="E138" s="15" t="s">
        <v>2977</v>
      </c>
    </row>
    <row r="139" customFormat="false" ht="15" hidden="false" customHeight="false" outlineLevel="0" collapsed="false">
      <c r="A139" s="0" t="s">
        <v>3774</v>
      </c>
      <c r="B139" s="14" t="n">
        <v>45709</v>
      </c>
      <c r="C139" s="0" t="n">
        <v>-2062.27</v>
      </c>
      <c r="D139" s="15" t="s">
        <v>3639</v>
      </c>
      <c r="E139" s="15" t="s">
        <v>2978</v>
      </c>
    </row>
    <row r="140" customFormat="false" ht="15" hidden="false" customHeight="false" outlineLevel="0" collapsed="false">
      <c r="A140" s="0" t="s">
        <v>3775</v>
      </c>
      <c r="B140" s="14" t="n">
        <v>45872</v>
      </c>
      <c r="C140" s="0" t="n">
        <v>-8142.95</v>
      </c>
      <c r="D140" s="15" t="s">
        <v>3670</v>
      </c>
      <c r="E140" s="15" t="s">
        <v>2979</v>
      </c>
    </row>
    <row r="141" customFormat="false" ht="15" hidden="false" customHeight="false" outlineLevel="0" collapsed="false">
      <c r="A141" s="0" t="s">
        <v>3776</v>
      </c>
      <c r="B141" s="14" t="n">
        <v>46066</v>
      </c>
      <c r="C141" s="0" t="n">
        <v>-499.89</v>
      </c>
      <c r="D141" s="15" t="s">
        <v>3639</v>
      </c>
      <c r="E141" s="15" t="s">
        <v>2980</v>
      </c>
    </row>
    <row r="142" customFormat="false" ht="15" hidden="false" customHeight="false" outlineLevel="0" collapsed="false">
      <c r="A142" s="0" t="s">
        <v>3777</v>
      </c>
      <c r="B142" s="14" t="n">
        <v>45909</v>
      </c>
      <c r="C142" s="0" t="n">
        <v>-2573.09</v>
      </c>
      <c r="D142" s="15" t="s">
        <v>3634</v>
      </c>
      <c r="E142" s="15" t="s">
        <v>2981</v>
      </c>
    </row>
    <row r="143" customFormat="false" ht="15" hidden="false" customHeight="false" outlineLevel="0" collapsed="false">
      <c r="A143" s="0" t="s">
        <v>3778</v>
      </c>
      <c r="B143" s="14" t="n">
        <v>45785</v>
      </c>
      <c r="C143" s="0" t="n">
        <v>-2632.16</v>
      </c>
      <c r="D143" s="15" t="s">
        <v>3619</v>
      </c>
      <c r="E143" s="15" t="s">
        <v>2982</v>
      </c>
    </row>
    <row r="144" customFormat="false" ht="15" hidden="false" customHeight="false" outlineLevel="0" collapsed="false">
      <c r="A144" s="0" t="s">
        <v>3779</v>
      </c>
      <c r="B144" s="14" t="n">
        <v>45958</v>
      </c>
      <c r="C144" s="0" t="n">
        <v>-332.16</v>
      </c>
      <c r="D144" s="15" t="s">
        <v>3666</v>
      </c>
      <c r="E144" s="15" t="s">
        <v>2983</v>
      </c>
    </row>
    <row r="145" customFormat="false" ht="15" hidden="false" customHeight="false" outlineLevel="0" collapsed="false">
      <c r="A145" s="0" t="s">
        <v>3780</v>
      </c>
      <c r="B145" s="14" t="n">
        <v>46021</v>
      </c>
      <c r="C145" s="0" t="n">
        <v>-783.53</v>
      </c>
      <c r="D145" s="15" t="s">
        <v>3615</v>
      </c>
      <c r="E145" s="15" t="s">
        <v>2984</v>
      </c>
    </row>
    <row r="146" customFormat="false" ht="15" hidden="false" customHeight="false" outlineLevel="0" collapsed="false">
      <c r="A146" s="0" t="s">
        <v>3781</v>
      </c>
      <c r="B146" s="14" t="n">
        <v>45914</v>
      </c>
      <c r="C146" s="0" t="n">
        <v>-327.42</v>
      </c>
      <c r="D146" s="15" t="s">
        <v>3660</v>
      </c>
      <c r="E146" s="15" t="s">
        <v>2985</v>
      </c>
    </row>
    <row r="147" customFormat="false" ht="15" hidden="false" customHeight="false" outlineLevel="0" collapsed="false">
      <c r="A147" s="0" t="s">
        <v>3782</v>
      </c>
      <c r="B147" s="14" t="n">
        <v>46018</v>
      </c>
      <c r="C147" s="0" t="n">
        <v>-12338.24</v>
      </c>
      <c r="D147" s="15" t="s">
        <v>3603</v>
      </c>
      <c r="E147" s="15" t="s">
        <v>2986</v>
      </c>
    </row>
    <row r="148" customFormat="false" ht="15" hidden="false" customHeight="false" outlineLevel="0" collapsed="false">
      <c r="A148" s="0" t="s">
        <v>3783</v>
      </c>
      <c r="B148" s="14" t="n">
        <v>45694</v>
      </c>
      <c r="C148" s="0" t="n">
        <v>-1431.29</v>
      </c>
      <c r="D148" s="15" t="s">
        <v>3607</v>
      </c>
      <c r="E148" s="15" t="s">
        <v>2987</v>
      </c>
    </row>
    <row r="149" customFormat="false" ht="15" hidden="false" customHeight="false" outlineLevel="0" collapsed="false">
      <c r="A149" s="0" t="s">
        <v>3784</v>
      </c>
      <c r="B149" s="14" t="n">
        <v>46030</v>
      </c>
      <c r="C149" s="0" t="n">
        <v>-9458.18</v>
      </c>
      <c r="D149" s="15" t="s">
        <v>3627</v>
      </c>
      <c r="E149" s="15" t="s">
        <v>2988</v>
      </c>
    </row>
    <row r="150" customFormat="false" ht="15" hidden="false" customHeight="false" outlineLevel="0" collapsed="false">
      <c r="A150" s="0" t="s">
        <v>3785</v>
      </c>
      <c r="B150" s="14" t="n">
        <v>45759</v>
      </c>
      <c r="C150" s="0" t="n">
        <v>-354.26</v>
      </c>
      <c r="D150" s="15" t="s">
        <v>3786</v>
      </c>
      <c r="E150" s="15" t="s">
        <v>2989</v>
      </c>
    </row>
    <row r="151" customFormat="false" ht="15" hidden="false" customHeight="false" outlineLevel="0" collapsed="false">
      <c r="A151" s="0" t="s">
        <v>3787</v>
      </c>
      <c r="B151" s="14" t="n">
        <v>45934</v>
      </c>
      <c r="C151" s="0" t="n">
        <v>-1640.65</v>
      </c>
      <c r="D151" s="15" t="s">
        <v>3625</v>
      </c>
      <c r="E151" s="15" t="s">
        <v>2990</v>
      </c>
    </row>
    <row r="152" customFormat="false" ht="15" hidden="false" customHeight="false" outlineLevel="0" collapsed="false">
      <c r="A152" s="0" t="s">
        <v>3788</v>
      </c>
      <c r="B152" s="14" t="n">
        <v>45948</v>
      </c>
      <c r="C152" s="0" t="n">
        <v>-1640.65</v>
      </c>
      <c r="D152" s="15" t="s">
        <v>3625</v>
      </c>
      <c r="E152" s="15" t="s">
        <v>2991</v>
      </c>
    </row>
    <row r="153" customFormat="false" ht="15" hidden="false" customHeight="false" outlineLevel="0" collapsed="false">
      <c r="A153" s="0" t="s">
        <v>3789</v>
      </c>
      <c r="B153" s="14" t="n">
        <v>45694</v>
      </c>
      <c r="C153" s="0" t="n">
        <v>-14457.87</v>
      </c>
      <c r="D153" s="15" t="s">
        <v>3660</v>
      </c>
      <c r="E153" s="15" t="s">
        <v>2992</v>
      </c>
    </row>
    <row r="154" customFormat="false" ht="15" hidden="false" customHeight="false" outlineLevel="0" collapsed="false">
      <c r="A154" s="0" t="s">
        <v>3790</v>
      </c>
      <c r="B154" s="14" t="n">
        <v>45890</v>
      </c>
      <c r="C154" s="0" t="n">
        <v>-3828.96</v>
      </c>
      <c r="D154" s="15" t="s">
        <v>3660</v>
      </c>
      <c r="E154" s="15" t="s">
        <v>2993</v>
      </c>
    </row>
    <row r="155" customFormat="false" ht="15" hidden="false" customHeight="false" outlineLevel="0" collapsed="false">
      <c r="A155" s="0" t="s">
        <v>3791</v>
      </c>
      <c r="B155" s="14" t="n">
        <v>45803</v>
      </c>
      <c r="C155" s="0" t="n">
        <v>-1542.51</v>
      </c>
      <c r="D155" s="15" t="s">
        <v>3670</v>
      </c>
      <c r="E155" s="15" t="s">
        <v>2994</v>
      </c>
    </row>
    <row r="156" customFormat="false" ht="15" hidden="false" customHeight="false" outlineLevel="0" collapsed="false">
      <c r="A156" s="0" t="s">
        <v>3792</v>
      </c>
      <c r="B156" s="14" t="n">
        <v>45863</v>
      </c>
      <c r="C156" s="0" t="n">
        <v>-1235.82</v>
      </c>
      <c r="D156" s="15" t="s">
        <v>3599</v>
      </c>
      <c r="E156" s="15" t="s">
        <v>2995</v>
      </c>
    </row>
    <row r="157" customFormat="false" ht="15" hidden="false" customHeight="false" outlineLevel="0" collapsed="false">
      <c r="A157" s="0" t="s">
        <v>3793</v>
      </c>
      <c r="B157" s="14" t="n">
        <v>46103</v>
      </c>
      <c r="C157" s="0" t="n">
        <v>-21822.22</v>
      </c>
      <c r="D157" s="15" t="s">
        <v>3613</v>
      </c>
      <c r="E157" s="15" t="s">
        <v>2996</v>
      </c>
    </row>
    <row r="158" customFormat="false" ht="15" hidden="false" customHeight="false" outlineLevel="0" collapsed="false">
      <c r="A158" s="0" t="s">
        <v>3794</v>
      </c>
      <c r="B158" s="14" t="n">
        <v>45918</v>
      </c>
      <c r="C158" s="0" t="n">
        <v>-3828.8</v>
      </c>
      <c r="D158" s="15" t="s">
        <v>3666</v>
      </c>
      <c r="E158" s="15" t="s">
        <v>2997</v>
      </c>
    </row>
    <row r="159" customFormat="false" ht="15" hidden="false" customHeight="false" outlineLevel="0" collapsed="false">
      <c r="A159" s="0" t="s">
        <v>3795</v>
      </c>
      <c r="B159" s="14" t="n">
        <v>46104</v>
      </c>
      <c r="C159" s="0" t="n">
        <v>-2084.01</v>
      </c>
      <c r="D159" s="15" t="s">
        <v>3625</v>
      </c>
      <c r="E159" s="15" t="s">
        <v>2998</v>
      </c>
    </row>
    <row r="160" customFormat="false" ht="15" hidden="false" customHeight="false" outlineLevel="0" collapsed="false">
      <c r="A160" s="0" t="s">
        <v>3796</v>
      </c>
      <c r="B160" s="14" t="n">
        <v>46160</v>
      </c>
      <c r="C160" s="0" t="n">
        <v>-1489.22</v>
      </c>
      <c r="D160" s="15" t="s">
        <v>3749</v>
      </c>
      <c r="E160" s="15" t="s">
        <v>2999</v>
      </c>
    </row>
    <row r="161" customFormat="false" ht="15" hidden="false" customHeight="false" outlineLevel="0" collapsed="false">
      <c r="A161" s="0" t="s">
        <v>3797</v>
      </c>
      <c r="B161" s="14" t="n">
        <v>45826</v>
      </c>
      <c r="C161" s="0" t="n">
        <v>-1056.69</v>
      </c>
      <c r="D161" s="15" t="s">
        <v>3615</v>
      </c>
      <c r="E161" s="15" t="s">
        <v>3000</v>
      </c>
    </row>
    <row r="162" customFormat="false" ht="15" hidden="false" customHeight="false" outlineLevel="0" collapsed="false">
      <c r="A162" s="0" t="s">
        <v>3798</v>
      </c>
      <c r="B162" s="14" t="n">
        <v>45743</v>
      </c>
      <c r="C162" s="0" t="n">
        <v>-3628.81</v>
      </c>
      <c r="D162" s="15" t="s">
        <v>3641</v>
      </c>
      <c r="E162" s="15" t="s">
        <v>3001</v>
      </c>
    </row>
    <row r="163" customFormat="false" ht="15" hidden="false" customHeight="false" outlineLevel="0" collapsed="false">
      <c r="A163" s="0" t="s">
        <v>3799</v>
      </c>
      <c r="B163" s="14" t="n">
        <v>45713</v>
      </c>
      <c r="C163" s="0" t="n">
        <v>-588.95</v>
      </c>
      <c r="D163" s="15" t="s">
        <v>3601</v>
      </c>
      <c r="E163" s="15" t="s">
        <v>3002</v>
      </c>
    </row>
    <row r="164" customFormat="false" ht="15" hidden="false" customHeight="false" outlineLevel="0" collapsed="false">
      <c r="A164" s="0" t="s">
        <v>3800</v>
      </c>
      <c r="B164" s="14" t="n">
        <v>45961</v>
      </c>
      <c r="C164" s="0" t="n">
        <v>-2268.78</v>
      </c>
      <c r="D164" s="15" t="s">
        <v>3639</v>
      </c>
      <c r="E164" s="15" t="s">
        <v>3003</v>
      </c>
    </row>
    <row r="165" customFormat="false" ht="15" hidden="false" customHeight="false" outlineLevel="0" collapsed="false">
      <c r="A165" s="0" t="s">
        <v>3801</v>
      </c>
      <c r="B165" s="14" t="n">
        <v>45897</v>
      </c>
      <c r="C165" s="0" t="n">
        <v>-560.32</v>
      </c>
      <c r="D165" s="15" t="s">
        <v>3786</v>
      </c>
      <c r="E165" s="15" t="s">
        <v>3004</v>
      </c>
    </row>
    <row r="166" customFormat="false" ht="15" hidden="false" customHeight="false" outlineLevel="0" collapsed="false">
      <c r="A166" s="0" t="s">
        <v>3802</v>
      </c>
      <c r="B166" s="14" t="n">
        <v>46025</v>
      </c>
      <c r="C166" s="0" t="n">
        <v>-2281.25</v>
      </c>
      <c r="D166" s="15" t="s">
        <v>3613</v>
      </c>
      <c r="E166" s="15" t="s">
        <v>3005</v>
      </c>
    </row>
    <row r="167" customFormat="false" ht="15" hidden="false" customHeight="false" outlineLevel="0" collapsed="false">
      <c r="A167" s="0" t="s">
        <v>3803</v>
      </c>
      <c r="B167" s="14" t="n">
        <v>46109</v>
      </c>
      <c r="C167" s="0" t="n">
        <v>-795.03</v>
      </c>
      <c r="D167" s="15" t="s">
        <v>3652</v>
      </c>
      <c r="E167" s="15" t="s">
        <v>3006</v>
      </c>
    </row>
    <row r="168" customFormat="false" ht="15" hidden="false" customHeight="false" outlineLevel="0" collapsed="false">
      <c r="A168" s="0" t="s">
        <v>3804</v>
      </c>
      <c r="B168" s="14" t="n">
        <v>46047</v>
      </c>
      <c r="C168" s="0" t="n">
        <v>-1829.81</v>
      </c>
      <c r="D168" s="15" t="s">
        <v>3657</v>
      </c>
      <c r="E168" s="15" t="s">
        <v>3007</v>
      </c>
    </row>
    <row r="169" customFormat="false" ht="15" hidden="false" customHeight="false" outlineLevel="0" collapsed="false">
      <c r="A169" s="0" t="s">
        <v>3805</v>
      </c>
      <c r="B169" s="14" t="n">
        <v>46090</v>
      </c>
      <c r="C169" s="0" t="n">
        <v>-3612.23</v>
      </c>
      <c r="D169" s="15" t="s">
        <v>3639</v>
      </c>
      <c r="E169" s="15" t="s">
        <v>3008</v>
      </c>
    </row>
    <row r="170" customFormat="false" ht="15" hidden="false" customHeight="false" outlineLevel="0" collapsed="false">
      <c r="A170" s="0" t="s">
        <v>3806</v>
      </c>
      <c r="B170" s="14" t="n">
        <v>45790</v>
      </c>
      <c r="C170" s="0" t="n">
        <v>-1825.14</v>
      </c>
      <c r="D170" s="15" t="s">
        <v>3652</v>
      </c>
      <c r="E170" s="15" t="s">
        <v>3009</v>
      </c>
    </row>
    <row r="171" customFormat="false" ht="15" hidden="false" customHeight="false" outlineLevel="0" collapsed="false">
      <c r="A171" s="0" t="s">
        <v>3807</v>
      </c>
      <c r="B171" s="14" t="n">
        <v>45686</v>
      </c>
      <c r="C171" s="0" t="n">
        <v>-21706.69</v>
      </c>
      <c r="D171" s="15" t="s">
        <v>3607</v>
      </c>
      <c r="E171" s="15" t="s">
        <v>3010</v>
      </c>
    </row>
    <row r="172" customFormat="false" ht="15" hidden="false" customHeight="false" outlineLevel="0" collapsed="false">
      <c r="A172" s="0" t="s">
        <v>3808</v>
      </c>
      <c r="B172" s="14" t="n">
        <v>45781</v>
      </c>
      <c r="C172" s="0" t="n">
        <v>-342.72</v>
      </c>
      <c r="D172" s="15" t="s">
        <v>3660</v>
      </c>
      <c r="E172" s="15" t="s">
        <v>3011</v>
      </c>
    </row>
    <row r="173" customFormat="false" ht="15" hidden="false" customHeight="false" outlineLevel="0" collapsed="false">
      <c r="A173" s="0" t="s">
        <v>3809</v>
      </c>
      <c r="B173" s="14" t="n">
        <v>45741</v>
      </c>
      <c r="C173" s="0" t="n">
        <v>-781.51</v>
      </c>
      <c r="D173" s="15" t="s">
        <v>3634</v>
      </c>
      <c r="E173" s="15" t="s">
        <v>3012</v>
      </c>
    </row>
    <row r="174" customFormat="false" ht="15" hidden="false" customHeight="false" outlineLevel="0" collapsed="false">
      <c r="A174" s="0" t="s">
        <v>3810</v>
      </c>
      <c r="B174" s="14" t="n">
        <v>46056</v>
      </c>
      <c r="C174" s="0" t="n">
        <v>-5652.95</v>
      </c>
      <c r="D174" s="15" t="s">
        <v>3703</v>
      </c>
      <c r="E174" s="15" t="s">
        <v>3013</v>
      </c>
    </row>
    <row r="175" customFormat="false" ht="15" hidden="false" customHeight="false" outlineLevel="0" collapsed="false">
      <c r="A175" s="0" t="s">
        <v>3811</v>
      </c>
      <c r="B175" s="14" t="n">
        <v>45999</v>
      </c>
      <c r="C175" s="0" t="n">
        <v>-133.11</v>
      </c>
      <c r="D175" s="15" t="s">
        <v>3690</v>
      </c>
      <c r="E175" s="15" t="s">
        <v>3014</v>
      </c>
    </row>
    <row r="176" customFormat="false" ht="15" hidden="false" customHeight="false" outlineLevel="0" collapsed="false">
      <c r="A176" s="0" t="s">
        <v>3812</v>
      </c>
      <c r="B176" s="14" t="n">
        <v>45810</v>
      </c>
      <c r="C176" s="0" t="n">
        <v>-17090.48</v>
      </c>
      <c r="D176" s="15" t="s">
        <v>3643</v>
      </c>
      <c r="E176" s="15" t="s">
        <v>3015</v>
      </c>
    </row>
    <row r="177" customFormat="false" ht="15" hidden="false" customHeight="false" outlineLevel="0" collapsed="false">
      <c r="A177" s="0" t="s">
        <v>3813</v>
      </c>
      <c r="B177" s="14" t="n">
        <v>46094</v>
      </c>
      <c r="C177" s="0" t="n">
        <v>-8157.32</v>
      </c>
      <c r="D177" s="15" t="s">
        <v>3611</v>
      </c>
      <c r="E177" s="15" t="s">
        <v>3016</v>
      </c>
    </row>
    <row r="178" customFormat="false" ht="15" hidden="false" customHeight="false" outlineLevel="0" collapsed="false">
      <c r="A178" s="0" t="s">
        <v>3814</v>
      </c>
      <c r="B178" s="14" t="n">
        <v>46120</v>
      </c>
      <c r="C178" s="0" t="n">
        <v>-547.49</v>
      </c>
      <c r="D178" s="15" t="s">
        <v>3629</v>
      </c>
      <c r="E178" s="15" t="s">
        <v>3017</v>
      </c>
    </row>
    <row r="179" customFormat="false" ht="15" hidden="false" customHeight="false" outlineLevel="0" collapsed="false">
      <c r="A179" s="0" t="s">
        <v>3815</v>
      </c>
      <c r="B179" s="14" t="n">
        <v>45772</v>
      </c>
      <c r="C179" s="0" t="n">
        <v>-10027.78</v>
      </c>
      <c r="D179" s="15" t="s">
        <v>3717</v>
      </c>
      <c r="E179" s="15" t="s">
        <v>3018</v>
      </c>
    </row>
    <row r="180" customFormat="false" ht="15" hidden="false" customHeight="false" outlineLevel="0" collapsed="false">
      <c r="A180" s="0" t="s">
        <v>3816</v>
      </c>
      <c r="B180" s="14" t="n">
        <v>46035</v>
      </c>
      <c r="C180" s="0" t="n">
        <v>-3961.93</v>
      </c>
      <c r="D180" s="15" t="s">
        <v>3679</v>
      </c>
      <c r="E180" s="15" t="s">
        <v>3019</v>
      </c>
    </row>
    <row r="181" customFormat="false" ht="15" hidden="false" customHeight="false" outlineLevel="0" collapsed="false">
      <c r="A181" s="0" t="s">
        <v>3817</v>
      </c>
      <c r="B181" s="14" t="n">
        <v>46084</v>
      </c>
      <c r="C181" s="0" t="n">
        <v>-2554.75</v>
      </c>
      <c r="D181" s="15" t="s">
        <v>3717</v>
      </c>
      <c r="E181" s="15" t="s">
        <v>3020</v>
      </c>
    </row>
    <row r="182" customFormat="false" ht="15" hidden="false" customHeight="false" outlineLevel="0" collapsed="false">
      <c r="A182" s="0" t="s">
        <v>3818</v>
      </c>
      <c r="B182" s="14" t="n">
        <v>45739</v>
      </c>
      <c r="C182" s="0" t="n">
        <v>-1471.18</v>
      </c>
      <c r="D182" s="15" t="s">
        <v>3717</v>
      </c>
      <c r="E182" s="15" t="s">
        <v>3021</v>
      </c>
    </row>
    <row r="183" customFormat="false" ht="15" hidden="false" customHeight="false" outlineLevel="0" collapsed="false">
      <c r="A183" s="0" t="s">
        <v>3819</v>
      </c>
      <c r="B183" s="14" t="n">
        <v>46144</v>
      </c>
      <c r="C183" s="0" t="n">
        <v>-682.63</v>
      </c>
      <c r="D183" s="15" t="s">
        <v>3672</v>
      </c>
      <c r="E183" s="15" t="s">
        <v>3022</v>
      </c>
    </row>
    <row r="184" customFormat="false" ht="15" hidden="false" customHeight="false" outlineLevel="0" collapsed="false">
      <c r="A184" s="0" t="s">
        <v>3820</v>
      </c>
      <c r="B184" s="14" t="n">
        <v>45763</v>
      </c>
      <c r="C184" s="0" t="n">
        <v>-7251.89</v>
      </c>
      <c r="D184" s="15" t="s">
        <v>3599</v>
      </c>
      <c r="E184" s="15" t="s">
        <v>3023</v>
      </c>
    </row>
    <row r="185" customFormat="false" ht="15" hidden="false" customHeight="false" outlineLevel="0" collapsed="false">
      <c r="A185" s="0" t="s">
        <v>3821</v>
      </c>
      <c r="B185" s="14" t="n">
        <v>45708</v>
      </c>
      <c r="C185" s="0" t="n">
        <v>-4929.33</v>
      </c>
      <c r="D185" s="15" t="s">
        <v>3641</v>
      </c>
      <c r="E185" s="15" t="s">
        <v>3024</v>
      </c>
    </row>
    <row r="186" customFormat="false" ht="15" hidden="false" customHeight="false" outlineLevel="0" collapsed="false">
      <c r="A186" s="0" t="s">
        <v>3822</v>
      </c>
      <c r="B186" s="14" t="n">
        <v>46058</v>
      </c>
      <c r="C186" s="0" t="n">
        <v>-1074.95</v>
      </c>
      <c r="D186" s="15" t="s">
        <v>3613</v>
      </c>
      <c r="E186" s="15" t="s">
        <v>3025</v>
      </c>
    </row>
    <row r="187" customFormat="false" ht="15" hidden="false" customHeight="false" outlineLevel="0" collapsed="false">
      <c r="A187" s="0" t="s">
        <v>3823</v>
      </c>
      <c r="B187" s="14" t="n">
        <v>45930</v>
      </c>
      <c r="C187" s="0" t="n">
        <v>-759.35</v>
      </c>
      <c r="D187" s="15" t="s">
        <v>3601</v>
      </c>
      <c r="E187" s="15" t="s">
        <v>3026</v>
      </c>
    </row>
    <row r="188" customFormat="false" ht="15" hidden="false" customHeight="false" outlineLevel="0" collapsed="false">
      <c r="A188" s="0" t="s">
        <v>3824</v>
      </c>
      <c r="B188" s="14" t="n">
        <v>46056</v>
      </c>
      <c r="C188" s="0" t="n">
        <v>-2745.78</v>
      </c>
      <c r="D188" s="15" t="s">
        <v>3714</v>
      </c>
      <c r="E188" s="15" t="s">
        <v>3027</v>
      </c>
    </row>
    <row r="189" customFormat="false" ht="15" hidden="false" customHeight="false" outlineLevel="0" collapsed="false">
      <c r="A189" s="0" t="s">
        <v>3825</v>
      </c>
      <c r="B189" s="14" t="n">
        <v>45716</v>
      </c>
      <c r="C189" s="0" t="n">
        <v>-1562.55</v>
      </c>
      <c r="D189" s="15" t="s">
        <v>3660</v>
      </c>
      <c r="E189" s="15" t="s">
        <v>3028</v>
      </c>
    </row>
    <row r="190" customFormat="false" ht="15" hidden="false" customHeight="false" outlineLevel="0" collapsed="false">
      <c r="A190" s="0" t="s">
        <v>3826</v>
      </c>
      <c r="B190" s="14" t="n">
        <v>46073</v>
      </c>
      <c r="C190" s="0" t="n">
        <v>-1854.08</v>
      </c>
      <c r="D190" s="15" t="s">
        <v>3599</v>
      </c>
      <c r="E190" s="15" t="s">
        <v>3029</v>
      </c>
    </row>
    <row r="191" customFormat="false" ht="15" hidden="false" customHeight="false" outlineLevel="0" collapsed="false">
      <c r="A191" s="0" t="s">
        <v>3827</v>
      </c>
      <c r="B191" s="14" t="n">
        <v>46037</v>
      </c>
      <c r="C191" s="0" t="n">
        <v>-4069.45</v>
      </c>
      <c r="D191" s="15" t="s">
        <v>3611</v>
      </c>
      <c r="E191" s="15" t="s">
        <v>3030</v>
      </c>
    </row>
    <row r="192" customFormat="false" ht="15" hidden="false" customHeight="false" outlineLevel="0" collapsed="false">
      <c r="A192" s="0" t="s">
        <v>3828</v>
      </c>
      <c r="B192" s="14" t="n">
        <v>45737</v>
      </c>
      <c r="C192" s="0" t="n">
        <v>-2117.88</v>
      </c>
      <c r="D192" s="15" t="s">
        <v>3623</v>
      </c>
      <c r="E192" s="15" t="s">
        <v>3031</v>
      </c>
    </row>
    <row r="193" customFormat="false" ht="15" hidden="false" customHeight="false" outlineLevel="0" collapsed="false">
      <c r="A193" s="0" t="s">
        <v>3829</v>
      </c>
      <c r="B193" s="14" t="n">
        <v>45742</v>
      </c>
      <c r="C193" s="0" t="n">
        <v>-2117.88</v>
      </c>
      <c r="D193" s="15" t="s">
        <v>3623</v>
      </c>
      <c r="E193" s="15" t="s">
        <v>3032</v>
      </c>
    </row>
    <row r="194" customFormat="false" ht="15" hidden="false" customHeight="false" outlineLevel="0" collapsed="false">
      <c r="A194" s="0" t="s">
        <v>3830</v>
      </c>
      <c r="B194" s="14" t="n">
        <v>46138</v>
      </c>
      <c r="C194" s="0" t="n">
        <v>-266.54</v>
      </c>
      <c r="D194" s="15" t="s">
        <v>3666</v>
      </c>
      <c r="E194" s="15" t="s">
        <v>3033</v>
      </c>
    </row>
    <row r="195" customFormat="false" ht="15" hidden="false" customHeight="false" outlineLevel="0" collapsed="false">
      <c r="A195" s="0" t="s">
        <v>3831</v>
      </c>
      <c r="B195" s="14" t="n">
        <v>46095</v>
      </c>
      <c r="C195" s="0" t="n">
        <v>-266.54</v>
      </c>
      <c r="D195" s="15" t="s">
        <v>3666</v>
      </c>
      <c r="E195" s="15" t="s">
        <v>3034</v>
      </c>
    </row>
    <row r="196" customFormat="false" ht="15" hidden="false" customHeight="false" outlineLevel="0" collapsed="false">
      <c r="A196" s="0" t="s">
        <v>3832</v>
      </c>
      <c r="B196" s="14" t="n">
        <v>46172</v>
      </c>
      <c r="C196" s="0" t="n">
        <v>-1071.3</v>
      </c>
      <c r="D196" s="15" t="s">
        <v>3617</v>
      </c>
      <c r="E196" s="15" t="s">
        <v>3035</v>
      </c>
    </row>
    <row r="197" customFormat="false" ht="15" hidden="false" customHeight="false" outlineLevel="0" collapsed="false">
      <c r="A197" s="0" t="s">
        <v>3833</v>
      </c>
      <c r="B197" s="14" t="n">
        <v>46019</v>
      </c>
      <c r="C197" s="0" t="n">
        <v>-728.71</v>
      </c>
      <c r="D197" s="15" t="s">
        <v>3617</v>
      </c>
      <c r="E197" s="15" t="s">
        <v>3036</v>
      </c>
    </row>
    <row r="198" customFormat="false" ht="15" hidden="false" customHeight="false" outlineLevel="0" collapsed="false">
      <c r="A198" s="0" t="s">
        <v>3834</v>
      </c>
      <c r="B198" s="14" t="n">
        <v>45773</v>
      </c>
      <c r="C198" s="0" t="n">
        <v>-3728.38</v>
      </c>
      <c r="D198" s="15" t="s">
        <v>3649</v>
      </c>
      <c r="E198" s="15" t="s">
        <v>3037</v>
      </c>
    </row>
    <row r="199" customFormat="false" ht="15" hidden="false" customHeight="false" outlineLevel="0" collapsed="false">
      <c r="A199" s="0" t="s">
        <v>3835</v>
      </c>
      <c r="B199" s="14" t="n">
        <v>46206</v>
      </c>
      <c r="C199" s="0" t="n">
        <v>-5712.19</v>
      </c>
      <c r="D199" s="15" t="s">
        <v>3617</v>
      </c>
      <c r="E199" s="15" t="s">
        <v>3038</v>
      </c>
    </row>
    <row r="200" customFormat="false" ht="15" hidden="false" customHeight="false" outlineLevel="0" collapsed="false">
      <c r="A200" s="0" t="s">
        <v>3836</v>
      </c>
      <c r="B200" s="14" t="n">
        <v>45875</v>
      </c>
      <c r="C200" s="0" t="n">
        <v>-1442.03</v>
      </c>
      <c r="D200" s="15" t="s">
        <v>3629</v>
      </c>
      <c r="E200" s="15" t="s">
        <v>3039</v>
      </c>
    </row>
    <row r="201" customFormat="false" ht="15" hidden="false" customHeight="false" outlineLevel="0" collapsed="false">
      <c r="A201" s="0" t="s">
        <v>3837</v>
      </c>
      <c r="B201" s="14" t="n">
        <v>45905</v>
      </c>
      <c r="C201" s="0" t="n">
        <v>-14974.83</v>
      </c>
      <c r="D201" s="15" t="s">
        <v>3634</v>
      </c>
      <c r="E201" s="15" t="s">
        <v>3040</v>
      </c>
    </row>
    <row r="202" customFormat="false" ht="15" hidden="false" customHeight="false" outlineLevel="0" collapsed="false">
      <c r="A202" s="0" t="s">
        <v>3838</v>
      </c>
      <c r="B202" s="14" t="n">
        <v>45901</v>
      </c>
      <c r="C202" s="0" t="n">
        <v>-877.63</v>
      </c>
      <c r="D202" s="15" t="s">
        <v>3746</v>
      </c>
      <c r="E202" s="15" t="s">
        <v>3041</v>
      </c>
    </row>
    <row r="203" customFormat="false" ht="15" hidden="false" customHeight="false" outlineLevel="0" collapsed="false">
      <c r="A203" s="0" t="s">
        <v>3839</v>
      </c>
      <c r="B203" s="14" t="n">
        <v>45994</v>
      </c>
      <c r="C203" s="0" t="n">
        <v>-2542.66</v>
      </c>
      <c r="D203" s="15" t="s">
        <v>3786</v>
      </c>
      <c r="E203" s="15" t="s">
        <v>3042</v>
      </c>
    </row>
    <row r="204" customFormat="false" ht="15" hidden="false" customHeight="false" outlineLevel="0" collapsed="false">
      <c r="A204" s="0" t="s">
        <v>3840</v>
      </c>
      <c r="B204" s="14" t="n">
        <v>45885</v>
      </c>
      <c r="C204" s="0" t="n">
        <v>-3210.01</v>
      </c>
      <c r="D204" s="15" t="s">
        <v>3634</v>
      </c>
      <c r="E204" s="15" t="s">
        <v>3043</v>
      </c>
    </row>
    <row r="205" customFormat="false" ht="15" hidden="false" customHeight="false" outlineLevel="0" collapsed="false">
      <c r="A205" s="0" t="s">
        <v>3841</v>
      </c>
      <c r="B205" s="14" t="n">
        <v>46125</v>
      </c>
      <c r="C205" s="0" t="n">
        <v>-4612.25</v>
      </c>
      <c r="D205" s="15" t="s">
        <v>3613</v>
      </c>
      <c r="E205" s="15" t="s">
        <v>3044</v>
      </c>
    </row>
    <row r="206" customFormat="false" ht="15" hidden="false" customHeight="false" outlineLevel="0" collapsed="false">
      <c r="A206" s="0" t="s">
        <v>3842</v>
      </c>
      <c r="B206" s="14" t="n">
        <v>45762</v>
      </c>
      <c r="C206" s="0" t="n">
        <v>-884.17</v>
      </c>
      <c r="D206" s="15" t="s">
        <v>3679</v>
      </c>
      <c r="E206" s="15" t="s">
        <v>3045</v>
      </c>
    </row>
    <row r="207" customFormat="false" ht="15" hidden="false" customHeight="false" outlineLevel="0" collapsed="false">
      <c r="A207" s="0" t="s">
        <v>3843</v>
      </c>
      <c r="B207" s="14" t="n">
        <v>46044</v>
      </c>
      <c r="C207" s="0" t="n">
        <v>-1486.84</v>
      </c>
      <c r="D207" s="15" t="s">
        <v>3599</v>
      </c>
      <c r="E207" s="15" t="s">
        <v>3046</v>
      </c>
    </row>
    <row r="208" customFormat="false" ht="15" hidden="false" customHeight="false" outlineLevel="0" collapsed="false">
      <c r="A208" s="0" t="s">
        <v>3844</v>
      </c>
      <c r="B208" s="14" t="n">
        <v>46013</v>
      </c>
      <c r="C208" s="0" t="n">
        <v>-1741.37</v>
      </c>
      <c r="D208" s="15" t="s">
        <v>3599</v>
      </c>
      <c r="E208" s="15" t="s">
        <v>3047</v>
      </c>
    </row>
    <row r="209" customFormat="false" ht="15" hidden="false" customHeight="false" outlineLevel="0" collapsed="false">
      <c r="A209" s="0" t="s">
        <v>3845</v>
      </c>
      <c r="B209" s="14" t="n">
        <v>46135</v>
      </c>
      <c r="C209" s="0" t="n">
        <v>-201.48</v>
      </c>
      <c r="D209" s="15" t="s">
        <v>3714</v>
      </c>
      <c r="E209" s="15" t="s">
        <v>3048</v>
      </c>
    </row>
    <row r="210" customFormat="false" ht="15" hidden="false" customHeight="false" outlineLevel="0" collapsed="false">
      <c r="A210" s="0" t="s">
        <v>3846</v>
      </c>
      <c r="B210" s="14" t="n">
        <v>46059</v>
      </c>
      <c r="C210" s="0" t="n">
        <v>-4326.08</v>
      </c>
      <c r="D210" s="15" t="s">
        <v>3615</v>
      </c>
      <c r="E210" s="15" t="s">
        <v>3049</v>
      </c>
    </row>
    <row r="211" customFormat="false" ht="15" hidden="false" customHeight="false" outlineLevel="0" collapsed="false">
      <c r="A211" s="0" t="s">
        <v>3847</v>
      </c>
      <c r="B211" s="14" t="n">
        <v>45908</v>
      </c>
      <c r="C211" s="0" t="n">
        <v>-1933.86</v>
      </c>
      <c r="D211" s="15" t="s">
        <v>3643</v>
      </c>
      <c r="E211" s="15" t="s">
        <v>3050</v>
      </c>
    </row>
    <row r="212" customFormat="false" ht="15" hidden="false" customHeight="false" outlineLevel="0" collapsed="false">
      <c r="A212" s="0" t="s">
        <v>3848</v>
      </c>
      <c r="B212" s="14" t="n">
        <v>46079</v>
      </c>
      <c r="C212" s="0" t="n">
        <v>-301.96</v>
      </c>
      <c r="D212" s="15" t="s">
        <v>3613</v>
      </c>
      <c r="E212" s="15" t="s">
        <v>3051</v>
      </c>
    </row>
    <row r="213" customFormat="false" ht="15" hidden="false" customHeight="false" outlineLevel="0" collapsed="false">
      <c r="A213" s="0" t="s">
        <v>3849</v>
      </c>
      <c r="B213" s="14" t="n">
        <v>45848</v>
      </c>
      <c r="C213" s="0" t="n">
        <v>-594.08</v>
      </c>
      <c r="D213" s="15" t="s">
        <v>3657</v>
      </c>
      <c r="E213" s="15" t="s">
        <v>3052</v>
      </c>
    </row>
    <row r="214" customFormat="false" ht="15" hidden="false" customHeight="false" outlineLevel="0" collapsed="false">
      <c r="A214" s="0" t="s">
        <v>3850</v>
      </c>
      <c r="B214" s="14" t="n">
        <v>46120</v>
      </c>
      <c r="C214" s="0" t="n">
        <v>-4409.64</v>
      </c>
      <c r="D214" s="15" t="s">
        <v>3634</v>
      </c>
      <c r="E214" s="15" t="s">
        <v>3053</v>
      </c>
    </row>
    <row r="215" customFormat="false" ht="15" hidden="false" customHeight="false" outlineLevel="0" collapsed="false">
      <c r="A215" s="0" t="s">
        <v>3851</v>
      </c>
      <c r="B215" s="14" t="n">
        <v>45990</v>
      </c>
      <c r="C215" s="0" t="n">
        <v>-1370.36</v>
      </c>
      <c r="D215" s="15" t="s">
        <v>3599</v>
      </c>
      <c r="E215" s="15" t="s">
        <v>3054</v>
      </c>
    </row>
    <row r="216" customFormat="false" ht="15" hidden="false" customHeight="false" outlineLevel="0" collapsed="false">
      <c r="A216" s="0" t="s">
        <v>3852</v>
      </c>
      <c r="B216" s="14" t="n">
        <v>45934</v>
      </c>
      <c r="C216" s="0" t="n">
        <v>-480.9</v>
      </c>
      <c r="D216" s="15" t="s">
        <v>3679</v>
      </c>
      <c r="E216" s="15" t="s">
        <v>3055</v>
      </c>
    </row>
    <row r="217" customFormat="false" ht="15" hidden="false" customHeight="false" outlineLevel="0" collapsed="false">
      <c r="A217" s="0" t="s">
        <v>3853</v>
      </c>
      <c r="B217" s="14" t="n">
        <v>45933</v>
      </c>
      <c r="C217" s="0" t="n">
        <v>-728.26</v>
      </c>
      <c r="D217" s="15" t="s">
        <v>3625</v>
      </c>
      <c r="E217" s="15" t="s">
        <v>3056</v>
      </c>
    </row>
    <row r="218" customFormat="false" ht="15" hidden="false" customHeight="false" outlineLevel="0" collapsed="false">
      <c r="A218" s="0" t="s">
        <v>3854</v>
      </c>
      <c r="B218" s="14" t="n">
        <v>46097</v>
      </c>
      <c r="C218" s="0" t="n">
        <v>-4217.99</v>
      </c>
      <c r="D218" s="15" t="s">
        <v>3615</v>
      </c>
      <c r="E218" s="15" t="s">
        <v>3057</v>
      </c>
    </row>
    <row r="219" customFormat="false" ht="15" hidden="false" customHeight="false" outlineLevel="0" collapsed="false">
      <c r="A219" s="0" t="s">
        <v>3855</v>
      </c>
      <c r="B219" s="14" t="n">
        <v>46162</v>
      </c>
      <c r="C219" s="0" t="n">
        <v>-2055.39</v>
      </c>
      <c r="D219" s="15" t="s">
        <v>3634</v>
      </c>
      <c r="E219" s="15" t="s">
        <v>3058</v>
      </c>
    </row>
    <row r="220" customFormat="false" ht="15" hidden="false" customHeight="false" outlineLevel="0" collapsed="false">
      <c r="A220" s="0" t="s">
        <v>3856</v>
      </c>
      <c r="B220" s="14" t="n">
        <v>46138</v>
      </c>
      <c r="C220" s="0" t="n">
        <v>-207.67</v>
      </c>
      <c r="D220" s="15" t="s">
        <v>3684</v>
      </c>
      <c r="E220" s="15" t="s">
        <v>3059</v>
      </c>
    </row>
    <row r="221" customFormat="false" ht="15" hidden="false" customHeight="false" outlineLevel="0" collapsed="false">
      <c r="A221" s="0" t="s">
        <v>3857</v>
      </c>
      <c r="B221" s="14" t="n">
        <v>45765</v>
      </c>
      <c r="C221" s="0" t="n">
        <v>-1766.28</v>
      </c>
      <c r="D221" s="15" t="s">
        <v>3649</v>
      </c>
      <c r="E221" s="15" t="s">
        <v>3060</v>
      </c>
    </row>
    <row r="222" customFormat="false" ht="15" hidden="false" customHeight="false" outlineLevel="0" collapsed="false">
      <c r="A222" s="0" t="s">
        <v>3858</v>
      </c>
      <c r="B222" s="14" t="n">
        <v>46190</v>
      </c>
      <c r="C222" s="0" t="n">
        <v>-1408.36</v>
      </c>
      <c r="D222" s="15" t="s">
        <v>3717</v>
      </c>
      <c r="E222" s="15" t="s">
        <v>3061</v>
      </c>
    </row>
    <row r="223" customFormat="false" ht="15" hidden="false" customHeight="false" outlineLevel="0" collapsed="false">
      <c r="A223" s="0" t="s">
        <v>3859</v>
      </c>
      <c r="B223" s="14" t="n">
        <v>45816</v>
      </c>
      <c r="C223" s="0" t="n">
        <v>-1546.99</v>
      </c>
      <c r="D223" s="15" t="s">
        <v>3714</v>
      </c>
      <c r="E223" s="15" t="s">
        <v>3062</v>
      </c>
    </row>
    <row r="224" customFormat="false" ht="15" hidden="false" customHeight="false" outlineLevel="0" collapsed="false">
      <c r="A224" s="0" t="s">
        <v>3860</v>
      </c>
      <c r="B224" s="14" t="n">
        <v>45825</v>
      </c>
      <c r="C224" s="0" t="n">
        <v>-1546.99</v>
      </c>
      <c r="D224" s="15" t="s">
        <v>3714</v>
      </c>
      <c r="E224" s="15" t="s">
        <v>3063</v>
      </c>
    </row>
    <row r="225" customFormat="false" ht="15" hidden="false" customHeight="false" outlineLevel="0" collapsed="false">
      <c r="A225" s="0" t="s">
        <v>3861</v>
      </c>
      <c r="B225" s="14" t="n">
        <v>45954</v>
      </c>
      <c r="C225" s="0" t="n">
        <v>-5615.74</v>
      </c>
      <c r="D225" s="15" t="s">
        <v>3605</v>
      </c>
      <c r="E225" s="15" t="s">
        <v>3064</v>
      </c>
    </row>
    <row r="226" customFormat="false" ht="15" hidden="false" customHeight="false" outlineLevel="0" collapsed="false">
      <c r="A226" s="0" t="s">
        <v>3862</v>
      </c>
      <c r="B226" s="14" t="n">
        <v>46045</v>
      </c>
      <c r="C226" s="0" t="n">
        <v>-3821.71</v>
      </c>
      <c r="D226" s="15" t="s">
        <v>3601</v>
      </c>
      <c r="E226" s="15" t="s">
        <v>3065</v>
      </c>
    </row>
    <row r="227" customFormat="false" ht="15" hidden="false" customHeight="false" outlineLevel="0" collapsed="false">
      <c r="A227" s="0" t="s">
        <v>3863</v>
      </c>
      <c r="B227" s="14" t="n">
        <v>45881</v>
      </c>
      <c r="C227" s="0" t="n">
        <v>-943.22</v>
      </c>
      <c r="D227" s="15" t="s">
        <v>3652</v>
      </c>
      <c r="E227" s="15" t="s">
        <v>3066</v>
      </c>
    </row>
    <row r="228" customFormat="false" ht="15" hidden="false" customHeight="false" outlineLevel="0" collapsed="false">
      <c r="A228" s="0" t="s">
        <v>3864</v>
      </c>
      <c r="B228" s="14" t="n">
        <v>45695</v>
      </c>
      <c r="C228" s="0" t="n">
        <v>-618.31</v>
      </c>
      <c r="D228" s="15" t="s">
        <v>3679</v>
      </c>
      <c r="E228" s="15" t="s">
        <v>3067</v>
      </c>
    </row>
    <row r="229" customFormat="false" ht="15" hidden="false" customHeight="false" outlineLevel="0" collapsed="false">
      <c r="A229" s="0" t="s">
        <v>3865</v>
      </c>
      <c r="B229" s="14" t="n">
        <v>46179</v>
      </c>
      <c r="C229" s="0" t="n">
        <v>-17214.28</v>
      </c>
      <c r="D229" s="15" t="s">
        <v>3657</v>
      </c>
      <c r="E229" s="15" t="s">
        <v>3068</v>
      </c>
    </row>
    <row r="230" customFormat="false" ht="15" hidden="false" customHeight="false" outlineLevel="0" collapsed="false">
      <c r="A230" s="0" t="s">
        <v>3866</v>
      </c>
      <c r="B230" s="14" t="n">
        <v>45829</v>
      </c>
      <c r="C230" s="0" t="n">
        <v>-1164.57</v>
      </c>
      <c r="D230" s="15" t="s">
        <v>3599</v>
      </c>
      <c r="E230" s="15" t="s">
        <v>3069</v>
      </c>
    </row>
    <row r="231" customFormat="false" ht="15" hidden="false" customHeight="false" outlineLevel="0" collapsed="false">
      <c r="A231" s="0" t="s">
        <v>3867</v>
      </c>
      <c r="B231" s="14" t="n">
        <v>45877</v>
      </c>
      <c r="C231" s="0" t="n">
        <v>-1150.99</v>
      </c>
      <c r="D231" s="15" t="s">
        <v>3714</v>
      </c>
      <c r="E231" s="15" t="s">
        <v>3070</v>
      </c>
    </row>
    <row r="232" customFormat="false" ht="15" hidden="false" customHeight="false" outlineLevel="0" collapsed="false">
      <c r="A232" s="0" t="s">
        <v>3868</v>
      </c>
      <c r="B232" s="14" t="n">
        <v>45865</v>
      </c>
      <c r="C232" s="0" t="n">
        <v>-1219.73</v>
      </c>
      <c r="D232" s="15" t="s">
        <v>3714</v>
      </c>
      <c r="E232" s="15" t="s">
        <v>3071</v>
      </c>
    </row>
    <row r="233" customFormat="false" ht="15" hidden="false" customHeight="false" outlineLevel="0" collapsed="false">
      <c r="A233" s="0" t="s">
        <v>3869</v>
      </c>
      <c r="B233" s="14" t="n">
        <v>45866</v>
      </c>
      <c r="C233" s="0" t="n">
        <v>-1219.73</v>
      </c>
      <c r="D233" s="15" t="s">
        <v>3714</v>
      </c>
      <c r="E233" s="15" t="s">
        <v>3072</v>
      </c>
    </row>
    <row r="234" customFormat="false" ht="15" hidden="false" customHeight="false" outlineLevel="0" collapsed="false">
      <c r="A234" s="0" t="s">
        <v>3870</v>
      </c>
      <c r="B234" s="14" t="n">
        <v>46173</v>
      </c>
      <c r="C234" s="0" t="n">
        <v>-2121.27</v>
      </c>
      <c r="D234" s="15" t="s">
        <v>3634</v>
      </c>
      <c r="E234" s="15" t="s">
        <v>3073</v>
      </c>
    </row>
    <row r="235" customFormat="false" ht="15" hidden="false" customHeight="false" outlineLevel="0" collapsed="false">
      <c r="A235" s="0" t="s">
        <v>3871</v>
      </c>
      <c r="B235" s="14" t="n">
        <v>46058</v>
      </c>
      <c r="C235" s="0" t="n">
        <v>-782.81</v>
      </c>
      <c r="D235" s="15" t="s">
        <v>3652</v>
      </c>
      <c r="E235" s="15" t="s">
        <v>3074</v>
      </c>
    </row>
    <row r="236" customFormat="false" ht="15" hidden="false" customHeight="false" outlineLevel="0" collapsed="false">
      <c r="A236" s="0" t="s">
        <v>3872</v>
      </c>
      <c r="B236" s="14" t="n">
        <v>45850</v>
      </c>
      <c r="C236" s="0" t="n">
        <v>-231.64</v>
      </c>
      <c r="D236" s="15" t="s">
        <v>3634</v>
      </c>
      <c r="E236" s="15" t="s">
        <v>3075</v>
      </c>
    </row>
    <row r="237" customFormat="false" ht="15" hidden="false" customHeight="false" outlineLevel="0" collapsed="false">
      <c r="A237" s="0" t="s">
        <v>3873</v>
      </c>
      <c r="B237" s="14" t="n">
        <v>45709</v>
      </c>
      <c r="C237" s="0" t="n">
        <v>-585.14</v>
      </c>
      <c r="D237" s="15" t="s">
        <v>3703</v>
      </c>
      <c r="E237" s="15" t="s">
        <v>3076</v>
      </c>
    </row>
    <row r="238" customFormat="false" ht="15" hidden="false" customHeight="false" outlineLevel="0" collapsed="false">
      <c r="A238" s="0" t="s">
        <v>3874</v>
      </c>
      <c r="B238" s="14" t="n">
        <v>46181</v>
      </c>
      <c r="C238" s="0" t="n">
        <v>-2715.46</v>
      </c>
      <c r="D238" s="15" t="s">
        <v>3607</v>
      </c>
      <c r="E238" s="15" t="s">
        <v>3077</v>
      </c>
    </row>
    <row r="239" customFormat="false" ht="15" hidden="false" customHeight="false" outlineLevel="0" collapsed="false">
      <c r="A239" s="0" t="s">
        <v>3875</v>
      </c>
      <c r="B239" s="14" t="n">
        <v>46074</v>
      </c>
      <c r="C239" s="0" t="n">
        <v>-5917.43</v>
      </c>
      <c r="D239" s="15" t="s">
        <v>3607</v>
      </c>
      <c r="E239" s="15" t="s">
        <v>3078</v>
      </c>
    </row>
    <row r="240" customFormat="false" ht="15" hidden="false" customHeight="false" outlineLevel="0" collapsed="false">
      <c r="A240" s="0" t="s">
        <v>3876</v>
      </c>
      <c r="B240" s="14" t="n">
        <v>45968</v>
      </c>
      <c r="C240" s="0" t="n">
        <v>-866.85</v>
      </c>
      <c r="D240" s="15" t="s">
        <v>3749</v>
      </c>
      <c r="E240" s="15" t="s">
        <v>3079</v>
      </c>
    </row>
    <row r="241" customFormat="false" ht="15" hidden="false" customHeight="false" outlineLevel="0" collapsed="false">
      <c r="A241" s="0" t="s">
        <v>3877</v>
      </c>
      <c r="B241" s="14" t="n">
        <v>46118</v>
      </c>
      <c r="C241" s="0" t="n">
        <v>-5943.52</v>
      </c>
      <c r="D241" s="15" t="s">
        <v>3639</v>
      </c>
      <c r="E241" s="15" t="s">
        <v>3080</v>
      </c>
    </row>
    <row r="242" customFormat="false" ht="15" hidden="false" customHeight="false" outlineLevel="0" collapsed="false">
      <c r="A242" s="0" t="s">
        <v>3878</v>
      </c>
      <c r="B242" s="14" t="n">
        <v>46078</v>
      </c>
      <c r="C242" s="0" t="n">
        <v>-2495.51</v>
      </c>
      <c r="D242" s="15" t="s">
        <v>3617</v>
      </c>
      <c r="E242" s="15" t="s">
        <v>3081</v>
      </c>
    </row>
    <row r="243" customFormat="false" ht="15" hidden="false" customHeight="false" outlineLevel="0" collapsed="false">
      <c r="A243" s="0" t="s">
        <v>3879</v>
      </c>
      <c r="B243" s="14" t="n">
        <v>45945</v>
      </c>
      <c r="C243" s="0" t="n">
        <v>-1274.7</v>
      </c>
      <c r="D243" s="15" t="s">
        <v>3615</v>
      </c>
      <c r="E243" s="15" t="s">
        <v>3082</v>
      </c>
    </row>
    <row r="244" customFormat="false" ht="15" hidden="false" customHeight="false" outlineLevel="0" collapsed="false">
      <c r="A244" s="0" t="s">
        <v>3880</v>
      </c>
      <c r="B244" s="14" t="n">
        <v>46142</v>
      </c>
      <c r="C244" s="0" t="n">
        <v>-2055.42</v>
      </c>
      <c r="D244" s="15" t="s">
        <v>3749</v>
      </c>
      <c r="E244" s="15" t="s">
        <v>3083</v>
      </c>
    </row>
    <row r="245" customFormat="false" ht="15" hidden="false" customHeight="false" outlineLevel="0" collapsed="false">
      <c r="A245" s="0" t="s">
        <v>3881</v>
      </c>
      <c r="B245" s="14" t="n">
        <v>45744</v>
      </c>
      <c r="C245" s="0" t="n">
        <v>-8984.32</v>
      </c>
      <c r="D245" s="15" t="s">
        <v>3655</v>
      </c>
      <c r="E245" s="15" t="s">
        <v>3084</v>
      </c>
    </row>
    <row r="246" customFormat="false" ht="15" hidden="false" customHeight="false" outlineLevel="0" collapsed="false">
      <c r="A246" s="0" t="s">
        <v>3882</v>
      </c>
      <c r="B246" s="14" t="n">
        <v>45807</v>
      </c>
      <c r="C246" s="0" t="n">
        <v>-4378.74</v>
      </c>
      <c r="D246" s="15" t="s">
        <v>3607</v>
      </c>
      <c r="E246" s="15" t="s">
        <v>3085</v>
      </c>
    </row>
    <row r="247" customFormat="false" ht="15" hidden="false" customHeight="false" outlineLevel="0" collapsed="false">
      <c r="A247" s="0" t="s">
        <v>3883</v>
      </c>
      <c r="B247" s="14" t="n">
        <v>46055</v>
      </c>
      <c r="C247" s="0" t="n">
        <v>-519.69</v>
      </c>
      <c r="D247" s="15" t="s">
        <v>3714</v>
      </c>
      <c r="E247" s="15" t="s">
        <v>3086</v>
      </c>
    </row>
    <row r="248" customFormat="false" ht="15" hidden="false" customHeight="false" outlineLevel="0" collapsed="false">
      <c r="A248" s="0" t="s">
        <v>3884</v>
      </c>
      <c r="B248" s="14" t="n">
        <v>45862</v>
      </c>
      <c r="C248" s="0" t="n">
        <v>-2656.9</v>
      </c>
      <c r="D248" s="15" t="s">
        <v>3639</v>
      </c>
      <c r="E248" s="15" t="s">
        <v>3087</v>
      </c>
    </row>
    <row r="249" customFormat="false" ht="15" hidden="false" customHeight="false" outlineLevel="0" collapsed="false">
      <c r="A249" s="0" t="s">
        <v>3885</v>
      </c>
      <c r="B249" s="14" t="n">
        <v>46012</v>
      </c>
      <c r="C249" s="0" t="n">
        <v>-611.97</v>
      </c>
      <c r="D249" s="15" t="s">
        <v>3617</v>
      </c>
      <c r="E249" s="15" t="s">
        <v>3088</v>
      </c>
    </row>
    <row r="250" customFormat="false" ht="15" hidden="false" customHeight="false" outlineLevel="0" collapsed="false">
      <c r="A250" s="0" t="s">
        <v>3886</v>
      </c>
      <c r="B250" s="14" t="n">
        <v>45935</v>
      </c>
      <c r="C250" s="0" t="n">
        <v>-3378.98</v>
      </c>
      <c r="D250" s="15" t="s">
        <v>3611</v>
      </c>
      <c r="E250" s="15" t="s">
        <v>3089</v>
      </c>
    </row>
    <row r="251" customFormat="false" ht="15" hidden="false" customHeight="false" outlineLevel="0" collapsed="false">
      <c r="A251" s="0" t="s">
        <v>3887</v>
      </c>
      <c r="B251" s="14" t="n">
        <v>45936</v>
      </c>
      <c r="C251" s="0" t="n">
        <v>-225.68</v>
      </c>
      <c r="D251" s="15" t="s">
        <v>3613</v>
      </c>
      <c r="E251" s="15" t="s">
        <v>3090</v>
      </c>
    </row>
    <row r="252" customFormat="false" ht="15" hidden="false" customHeight="false" outlineLevel="0" collapsed="false">
      <c r="A252" s="0" t="s">
        <v>3888</v>
      </c>
      <c r="B252" s="14" t="n">
        <v>46096</v>
      </c>
      <c r="C252" s="0" t="n">
        <v>-1424.85</v>
      </c>
      <c r="D252" s="15" t="s">
        <v>3623</v>
      </c>
      <c r="E252" s="15" t="s">
        <v>3091</v>
      </c>
    </row>
    <row r="253" customFormat="false" ht="15" hidden="false" customHeight="false" outlineLevel="0" collapsed="false">
      <c r="A253" s="0" t="s">
        <v>3889</v>
      </c>
      <c r="B253" s="14" t="n">
        <v>45858</v>
      </c>
      <c r="C253" s="0" t="n">
        <v>-643.44</v>
      </c>
      <c r="D253" s="15" t="s">
        <v>3605</v>
      </c>
      <c r="E253" s="15" t="s">
        <v>3092</v>
      </c>
    </row>
    <row r="254" customFormat="false" ht="15" hidden="false" customHeight="false" outlineLevel="0" collapsed="false">
      <c r="A254" s="0" t="s">
        <v>3890</v>
      </c>
      <c r="B254" s="14" t="n">
        <v>45852</v>
      </c>
      <c r="C254" s="0" t="n">
        <v>-289.77</v>
      </c>
      <c r="D254" s="15" t="s">
        <v>3657</v>
      </c>
      <c r="E254" s="15" t="s">
        <v>3093</v>
      </c>
    </row>
    <row r="255" customFormat="false" ht="15" hidden="false" customHeight="false" outlineLevel="0" collapsed="false">
      <c r="A255" s="0" t="s">
        <v>3891</v>
      </c>
      <c r="B255" s="14" t="n">
        <v>45816</v>
      </c>
      <c r="C255" s="0" t="n">
        <v>-325.7</v>
      </c>
      <c r="D255" s="15" t="s">
        <v>3660</v>
      </c>
      <c r="E255" s="15" t="s">
        <v>3094</v>
      </c>
    </row>
    <row r="256" customFormat="false" ht="15" hidden="false" customHeight="false" outlineLevel="0" collapsed="false">
      <c r="A256" s="0" t="s">
        <v>3892</v>
      </c>
      <c r="B256" s="14" t="n">
        <v>45736</v>
      </c>
      <c r="C256" s="0" t="n">
        <v>-8611.23</v>
      </c>
      <c r="D256" s="15" t="s">
        <v>3679</v>
      </c>
      <c r="E256" s="15" t="s">
        <v>3095</v>
      </c>
    </row>
    <row r="257" customFormat="false" ht="15" hidden="false" customHeight="false" outlineLevel="0" collapsed="false">
      <c r="A257" s="0" t="s">
        <v>3893</v>
      </c>
      <c r="B257" s="14" t="n">
        <v>45781</v>
      </c>
      <c r="C257" s="0" t="n">
        <v>-1496.91</v>
      </c>
      <c r="D257" s="15" t="s">
        <v>3613</v>
      </c>
      <c r="E257" s="15" t="s">
        <v>3096</v>
      </c>
    </row>
    <row r="258" customFormat="false" ht="15" hidden="false" customHeight="false" outlineLevel="0" collapsed="false">
      <c r="A258" s="0" t="s">
        <v>3894</v>
      </c>
      <c r="B258" s="14" t="n">
        <v>45747</v>
      </c>
      <c r="C258" s="0" t="n">
        <v>-6053.15</v>
      </c>
      <c r="D258" s="15" t="s">
        <v>3679</v>
      </c>
      <c r="E258" s="15" t="s">
        <v>3097</v>
      </c>
    </row>
    <row r="259" customFormat="false" ht="15" hidden="false" customHeight="false" outlineLevel="0" collapsed="false">
      <c r="A259" s="0" t="s">
        <v>3895</v>
      </c>
      <c r="B259" s="14" t="n">
        <v>45991</v>
      </c>
      <c r="C259" s="0" t="n">
        <v>-3104.44</v>
      </c>
      <c r="D259" s="15" t="s">
        <v>3615</v>
      </c>
      <c r="E259" s="15" t="s">
        <v>3098</v>
      </c>
    </row>
    <row r="260" customFormat="false" ht="15" hidden="false" customHeight="false" outlineLevel="0" collapsed="false">
      <c r="A260" s="0" t="s">
        <v>3896</v>
      </c>
      <c r="B260" s="14" t="n">
        <v>46109</v>
      </c>
      <c r="C260" s="0" t="n">
        <v>-1405.31</v>
      </c>
      <c r="D260" s="15" t="s">
        <v>3676</v>
      </c>
      <c r="E260" s="15" t="s">
        <v>3099</v>
      </c>
    </row>
    <row r="261" customFormat="false" ht="15" hidden="false" customHeight="false" outlineLevel="0" collapsed="false">
      <c r="A261" s="0" t="s">
        <v>3897</v>
      </c>
      <c r="B261" s="14" t="n">
        <v>45795</v>
      </c>
      <c r="C261" s="0" t="n">
        <v>-3241.37</v>
      </c>
      <c r="D261" s="15" t="s">
        <v>3621</v>
      </c>
      <c r="E261" s="15" t="s">
        <v>3100</v>
      </c>
    </row>
    <row r="262" customFormat="false" ht="15" hidden="false" customHeight="false" outlineLevel="0" collapsed="false">
      <c r="A262" s="0" t="s">
        <v>3898</v>
      </c>
      <c r="B262" s="14" t="n">
        <v>45795</v>
      </c>
      <c r="C262" s="0" t="n">
        <v>-871.5</v>
      </c>
      <c r="D262" s="15" t="s">
        <v>3717</v>
      </c>
      <c r="E262" s="15" t="s">
        <v>3101</v>
      </c>
    </row>
    <row r="263" customFormat="false" ht="15" hidden="false" customHeight="false" outlineLevel="0" collapsed="false">
      <c r="A263" s="0" t="s">
        <v>3899</v>
      </c>
      <c r="B263" s="14" t="n">
        <v>45948</v>
      </c>
      <c r="C263" s="0" t="n">
        <v>-651.66</v>
      </c>
      <c r="D263" s="15" t="s">
        <v>3684</v>
      </c>
      <c r="E263" s="15" t="s">
        <v>3102</v>
      </c>
    </row>
    <row r="264" customFormat="false" ht="15" hidden="false" customHeight="false" outlineLevel="0" collapsed="false">
      <c r="A264" s="0" t="s">
        <v>3900</v>
      </c>
      <c r="B264" s="14" t="n">
        <v>46080</v>
      </c>
      <c r="C264" s="0" t="n">
        <v>-2962.24</v>
      </c>
      <c r="D264" s="15" t="s">
        <v>3632</v>
      </c>
      <c r="E264" s="15" t="s">
        <v>3103</v>
      </c>
    </row>
    <row r="265" customFormat="false" ht="15" hidden="false" customHeight="false" outlineLevel="0" collapsed="false">
      <c r="A265" s="0" t="s">
        <v>3901</v>
      </c>
      <c r="B265" s="14" t="n">
        <v>45959</v>
      </c>
      <c r="C265" s="0" t="n">
        <v>-7560.72</v>
      </c>
      <c r="D265" s="15" t="s">
        <v>3607</v>
      </c>
      <c r="E265" s="15" t="s">
        <v>3104</v>
      </c>
    </row>
    <row r="266" customFormat="false" ht="15" hidden="false" customHeight="false" outlineLevel="0" collapsed="false">
      <c r="A266" s="0" t="s">
        <v>3902</v>
      </c>
      <c r="B266" s="14" t="n">
        <v>45866</v>
      </c>
      <c r="C266" s="0" t="n">
        <v>-2957.14</v>
      </c>
      <c r="D266" s="15" t="s">
        <v>3746</v>
      </c>
      <c r="E266" s="15" t="s">
        <v>3105</v>
      </c>
    </row>
    <row r="267" customFormat="false" ht="15" hidden="false" customHeight="false" outlineLevel="0" collapsed="false">
      <c r="A267" s="0" t="s">
        <v>3903</v>
      </c>
      <c r="B267" s="14" t="n">
        <v>45716</v>
      </c>
      <c r="C267" s="0" t="n">
        <v>-1792.24</v>
      </c>
      <c r="D267" s="15" t="s">
        <v>3649</v>
      </c>
      <c r="E267" s="15" t="s">
        <v>3106</v>
      </c>
    </row>
    <row r="268" customFormat="false" ht="15" hidden="false" customHeight="false" outlineLevel="0" collapsed="false">
      <c r="A268" s="0" t="s">
        <v>3904</v>
      </c>
      <c r="B268" s="14" t="n">
        <v>45777</v>
      </c>
      <c r="C268" s="0" t="n">
        <v>-3587.55</v>
      </c>
      <c r="D268" s="15" t="s">
        <v>3601</v>
      </c>
      <c r="E268" s="15" t="s">
        <v>3107</v>
      </c>
    </row>
    <row r="269" customFormat="false" ht="15" hidden="false" customHeight="false" outlineLevel="0" collapsed="false">
      <c r="A269" s="0" t="s">
        <v>3905</v>
      </c>
      <c r="B269" s="14" t="n">
        <v>45787</v>
      </c>
      <c r="C269" s="0" t="n">
        <v>-13244.8</v>
      </c>
      <c r="D269" s="15" t="s">
        <v>3632</v>
      </c>
      <c r="E269" s="15" t="s">
        <v>3108</v>
      </c>
    </row>
    <row r="270" customFormat="false" ht="15" hidden="false" customHeight="false" outlineLevel="0" collapsed="false">
      <c r="A270" s="0" t="s">
        <v>3906</v>
      </c>
      <c r="B270" s="14" t="n">
        <v>45773</v>
      </c>
      <c r="C270" s="0" t="n">
        <v>-810.36</v>
      </c>
      <c r="D270" s="15" t="s">
        <v>3615</v>
      </c>
      <c r="E270" s="15" t="s">
        <v>3109</v>
      </c>
    </row>
    <row r="271" customFormat="false" ht="15" hidden="false" customHeight="false" outlineLevel="0" collapsed="false">
      <c r="A271" s="0" t="s">
        <v>3907</v>
      </c>
      <c r="B271" s="14" t="n">
        <v>45776</v>
      </c>
      <c r="C271" s="0" t="n">
        <v>-810.36</v>
      </c>
      <c r="D271" s="15" t="s">
        <v>3615</v>
      </c>
      <c r="E271" s="15" t="s">
        <v>3110</v>
      </c>
    </row>
    <row r="272" customFormat="false" ht="15" hidden="false" customHeight="false" outlineLevel="0" collapsed="false">
      <c r="A272" s="0" t="s">
        <v>3908</v>
      </c>
      <c r="B272" s="14" t="n">
        <v>45706</v>
      </c>
      <c r="C272" s="0" t="n">
        <v>-256.08</v>
      </c>
      <c r="D272" s="15" t="s">
        <v>3641</v>
      </c>
      <c r="E272" s="15" t="s">
        <v>3111</v>
      </c>
    </row>
    <row r="273" customFormat="false" ht="15" hidden="false" customHeight="false" outlineLevel="0" collapsed="false">
      <c r="A273" s="0" t="s">
        <v>3909</v>
      </c>
      <c r="B273" s="14" t="n">
        <v>45990</v>
      </c>
      <c r="C273" s="0" t="n">
        <v>-8486.94</v>
      </c>
      <c r="D273" s="15" t="s">
        <v>3690</v>
      </c>
      <c r="E273" s="15" t="s">
        <v>3112</v>
      </c>
    </row>
    <row r="274" customFormat="false" ht="15" hidden="false" customHeight="false" outlineLevel="0" collapsed="false">
      <c r="A274" s="0" t="s">
        <v>3910</v>
      </c>
      <c r="B274" s="14" t="n">
        <v>45820</v>
      </c>
      <c r="C274" s="0" t="n">
        <v>-3079.87</v>
      </c>
      <c r="D274" s="15" t="s">
        <v>3643</v>
      </c>
      <c r="E274" s="15" t="s">
        <v>3113</v>
      </c>
    </row>
    <row r="275" customFormat="false" ht="15" hidden="false" customHeight="false" outlineLevel="0" collapsed="false">
      <c r="A275" s="0" t="s">
        <v>3911</v>
      </c>
      <c r="B275" s="14" t="n">
        <v>45997</v>
      </c>
      <c r="C275" s="0" t="n">
        <v>-4491.48</v>
      </c>
      <c r="D275" s="15" t="s">
        <v>3765</v>
      </c>
      <c r="E275" s="15" t="s">
        <v>3114</v>
      </c>
    </row>
    <row r="276" customFormat="false" ht="15" hidden="false" customHeight="false" outlineLevel="0" collapsed="false">
      <c r="A276" s="0" t="s">
        <v>3912</v>
      </c>
      <c r="B276" s="14" t="n">
        <v>46071</v>
      </c>
      <c r="C276" s="0" t="n">
        <v>-1494.98</v>
      </c>
      <c r="D276" s="15" t="s">
        <v>3613</v>
      </c>
      <c r="E276" s="15" t="s">
        <v>3115</v>
      </c>
    </row>
    <row r="277" customFormat="false" ht="15" hidden="false" customHeight="false" outlineLevel="0" collapsed="false">
      <c r="A277" s="0" t="s">
        <v>3913</v>
      </c>
      <c r="B277" s="14" t="n">
        <v>45740</v>
      </c>
      <c r="C277" s="0" t="n">
        <v>-1119.52</v>
      </c>
      <c r="D277" s="15" t="s">
        <v>3786</v>
      </c>
      <c r="E277" s="15" t="s">
        <v>3116</v>
      </c>
    </row>
    <row r="278" customFormat="false" ht="15" hidden="false" customHeight="false" outlineLevel="0" collapsed="false">
      <c r="A278" s="0" t="s">
        <v>3914</v>
      </c>
      <c r="B278" s="14" t="n">
        <v>46142</v>
      </c>
      <c r="C278" s="0" t="n">
        <v>-531.72</v>
      </c>
      <c r="D278" s="15" t="s">
        <v>3672</v>
      </c>
      <c r="E278" s="15" t="s">
        <v>3117</v>
      </c>
    </row>
    <row r="279" customFormat="false" ht="15" hidden="false" customHeight="false" outlineLevel="0" collapsed="false">
      <c r="A279" s="0" t="s">
        <v>3915</v>
      </c>
      <c r="B279" s="14" t="n">
        <v>46157</v>
      </c>
      <c r="C279" s="0" t="n">
        <v>-6043.12</v>
      </c>
      <c r="D279" s="15" t="s">
        <v>3684</v>
      </c>
      <c r="E279" s="15" t="s">
        <v>3118</v>
      </c>
    </row>
    <row r="280" customFormat="false" ht="15" hidden="false" customHeight="false" outlineLevel="0" collapsed="false">
      <c r="A280" s="0" t="s">
        <v>3916</v>
      </c>
      <c r="B280" s="14" t="n">
        <v>46009</v>
      </c>
      <c r="C280" s="0" t="n">
        <v>-1017.03</v>
      </c>
      <c r="D280" s="15" t="s">
        <v>3603</v>
      </c>
      <c r="E280" s="15" t="s">
        <v>3119</v>
      </c>
    </row>
    <row r="281" customFormat="false" ht="15" hidden="false" customHeight="false" outlineLevel="0" collapsed="false">
      <c r="A281" s="0" t="s">
        <v>3917</v>
      </c>
      <c r="B281" s="14" t="n">
        <v>45959</v>
      </c>
      <c r="C281" s="0" t="n">
        <v>-33982.32</v>
      </c>
      <c r="D281" s="15" t="s">
        <v>3639</v>
      </c>
      <c r="E281" s="15" t="s">
        <v>3120</v>
      </c>
    </row>
    <row r="282" customFormat="false" ht="15" hidden="false" customHeight="false" outlineLevel="0" collapsed="false">
      <c r="A282" s="0" t="s">
        <v>3918</v>
      </c>
      <c r="B282" s="14" t="n">
        <v>45951</v>
      </c>
      <c r="C282" s="0" t="n">
        <v>-2011.97</v>
      </c>
      <c r="D282" s="15" t="s">
        <v>3621</v>
      </c>
      <c r="E282" s="15" t="s">
        <v>3121</v>
      </c>
    </row>
    <row r="283" customFormat="false" ht="15" hidden="false" customHeight="false" outlineLevel="0" collapsed="false">
      <c r="A283" s="0" t="s">
        <v>3919</v>
      </c>
      <c r="B283" s="14" t="n">
        <v>45726</v>
      </c>
      <c r="C283" s="0" t="n">
        <v>-1953.14</v>
      </c>
      <c r="D283" s="15" t="s">
        <v>3621</v>
      </c>
      <c r="E283" s="15" t="s">
        <v>3122</v>
      </c>
    </row>
    <row r="284" customFormat="false" ht="15" hidden="false" customHeight="false" outlineLevel="0" collapsed="false">
      <c r="A284" s="0" t="s">
        <v>3920</v>
      </c>
      <c r="B284" s="14" t="n">
        <v>46205</v>
      </c>
      <c r="C284" s="0" t="n">
        <v>-275.18</v>
      </c>
      <c r="D284" s="15" t="s">
        <v>3679</v>
      </c>
      <c r="E284" s="15" t="s">
        <v>3123</v>
      </c>
    </row>
    <row r="285" customFormat="false" ht="15" hidden="false" customHeight="false" outlineLevel="0" collapsed="false">
      <c r="A285" s="0" t="s">
        <v>3921</v>
      </c>
      <c r="B285" s="14" t="n">
        <v>45922</v>
      </c>
      <c r="C285" s="0" t="n">
        <v>-2929.12</v>
      </c>
      <c r="D285" s="15" t="s">
        <v>3619</v>
      </c>
      <c r="E285" s="15" t="s">
        <v>3124</v>
      </c>
    </row>
    <row r="286" customFormat="false" ht="15" hidden="false" customHeight="false" outlineLevel="0" collapsed="false">
      <c r="A286" s="0" t="s">
        <v>3922</v>
      </c>
      <c r="B286" s="14" t="n">
        <v>45927</v>
      </c>
      <c r="C286" s="0" t="n">
        <v>-2929.12</v>
      </c>
      <c r="D286" s="15" t="s">
        <v>3619</v>
      </c>
      <c r="E286" s="15" t="s">
        <v>3125</v>
      </c>
    </row>
    <row r="287" customFormat="false" ht="15" hidden="false" customHeight="false" outlineLevel="0" collapsed="false">
      <c r="A287" s="0" t="s">
        <v>3923</v>
      </c>
      <c r="B287" s="14" t="n">
        <v>46138</v>
      </c>
      <c r="C287" s="0" t="n">
        <v>-2560.65</v>
      </c>
      <c r="D287" s="15" t="s">
        <v>3611</v>
      </c>
      <c r="E287" s="15" t="s">
        <v>3126</v>
      </c>
    </row>
    <row r="288" customFormat="false" ht="15" hidden="false" customHeight="false" outlineLevel="0" collapsed="false">
      <c r="A288" s="0" t="s">
        <v>3924</v>
      </c>
      <c r="B288" s="14" t="n">
        <v>45920</v>
      </c>
      <c r="C288" s="0" t="n">
        <v>-1086.25</v>
      </c>
      <c r="D288" s="15" t="s">
        <v>3617</v>
      </c>
      <c r="E288" s="15" t="s">
        <v>3127</v>
      </c>
    </row>
    <row r="289" customFormat="false" ht="15" hidden="false" customHeight="false" outlineLevel="0" collapsed="false">
      <c r="A289" s="0" t="s">
        <v>3925</v>
      </c>
      <c r="B289" s="14" t="n">
        <v>45729</v>
      </c>
      <c r="C289" s="0" t="n">
        <v>-3484.24</v>
      </c>
      <c r="D289" s="15" t="s">
        <v>3636</v>
      </c>
      <c r="E289" s="15" t="s">
        <v>3128</v>
      </c>
    </row>
    <row r="290" customFormat="false" ht="15" hidden="false" customHeight="false" outlineLevel="0" collapsed="false">
      <c r="A290" s="0" t="s">
        <v>3926</v>
      </c>
      <c r="B290" s="14" t="n">
        <v>46018</v>
      </c>
      <c r="C290" s="0" t="n">
        <v>-4212.6</v>
      </c>
      <c r="D290" s="15" t="s">
        <v>3670</v>
      </c>
      <c r="E290" s="15" t="s">
        <v>3129</v>
      </c>
    </row>
    <row r="291" customFormat="false" ht="15" hidden="false" customHeight="false" outlineLevel="0" collapsed="false">
      <c r="A291" s="0" t="s">
        <v>3927</v>
      </c>
      <c r="B291" s="14" t="n">
        <v>45712</v>
      </c>
      <c r="C291" s="0" t="n">
        <v>-2560.27</v>
      </c>
      <c r="D291" s="15" t="s">
        <v>3746</v>
      </c>
      <c r="E291" s="15" t="s">
        <v>3130</v>
      </c>
    </row>
    <row r="292" customFormat="false" ht="15" hidden="false" customHeight="false" outlineLevel="0" collapsed="false">
      <c r="A292" s="0" t="s">
        <v>3928</v>
      </c>
      <c r="B292" s="14" t="n">
        <v>45771</v>
      </c>
      <c r="C292" s="0" t="n">
        <v>-3373.65</v>
      </c>
      <c r="D292" s="15" t="s">
        <v>3670</v>
      </c>
      <c r="E292" s="15" t="s">
        <v>3131</v>
      </c>
    </row>
    <row r="293" customFormat="false" ht="15" hidden="false" customHeight="false" outlineLevel="0" collapsed="false">
      <c r="A293" s="0" t="s">
        <v>3929</v>
      </c>
      <c r="B293" s="14" t="n">
        <v>45992</v>
      </c>
      <c r="C293" s="0" t="n">
        <v>-1093.64</v>
      </c>
      <c r="D293" s="15" t="s">
        <v>3679</v>
      </c>
      <c r="E293" s="15" t="s">
        <v>3132</v>
      </c>
    </row>
    <row r="294" customFormat="false" ht="15" hidden="false" customHeight="false" outlineLevel="0" collapsed="false">
      <c r="A294" s="0" t="s">
        <v>3930</v>
      </c>
      <c r="B294" s="14" t="n">
        <v>45864</v>
      </c>
      <c r="C294" s="0" t="n">
        <v>-1134.36</v>
      </c>
      <c r="D294" s="15" t="s">
        <v>3657</v>
      </c>
      <c r="E294" s="15" t="s">
        <v>3133</v>
      </c>
    </row>
    <row r="295" customFormat="false" ht="15" hidden="false" customHeight="false" outlineLevel="0" collapsed="false">
      <c r="A295" s="0" t="s">
        <v>3931</v>
      </c>
      <c r="B295" s="14" t="n">
        <v>46018</v>
      </c>
      <c r="C295" s="0" t="n">
        <v>-4424.59</v>
      </c>
      <c r="D295" s="15" t="s">
        <v>3641</v>
      </c>
      <c r="E295" s="15" t="s">
        <v>3134</v>
      </c>
    </row>
    <row r="296" customFormat="false" ht="15" hidden="false" customHeight="false" outlineLevel="0" collapsed="false">
      <c r="A296" s="0" t="s">
        <v>3932</v>
      </c>
      <c r="B296" s="14" t="n">
        <v>45801</v>
      </c>
      <c r="C296" s="0" t="n">
        <v>-606.42</v>
      </c>
      <c r="D296" s="15" t="s">
        <v>3672</v>
      </c>
      <c r="E296" s="15" t="s">
        <v>3135</v>
      </c>
    </row>
    <row r="297" customFormat="false" ht="15" hidden="false" customHeight="false" outlineLevel="0" collapsed="false">
      <c r="A297" s="0" t="s">
        <v>3933</v>
      </c>
      <c r="B297" s="14" t="n">
        <v>45979</v>
      </c>
      <c r="C297" s="0" t="n">
        <v>-1652.62</v>
      </c>
      <c r="D297" s="15" t="s">
        <v>3619</v>
      </c>
      <c r="E297" s="15" t="s">
        <v>3136</v>
      </c>
    </row>
    <row r="298" customFormat="false" ht="15" hidden="false" customHeight="false" outlineLevel="0" collapsed="false">
      <c r="A298" s="0" t="s">
        <v>3934</v>
      </c>
      <c r="B298" s="14" t="n">
        <v>45923</v>
      </c>
      <c r="C298" s="0" t="n">
        <v>-609.35</v>
      </c>
      <c r="D298" s="15" t="s">
        <v>3655</v>
      </c>
      <c r="E298" s="15" t="s">
        <v>3137</v>
      </c>
    </row>
    <row r="299" customFormat="false" ht="15" hidden="false" customHeight="false" outlineLevel="0" collapsed="false">
      <c r="A299" s="0" t="s">
        <v>3935</v>
      </c>
      <c r="B299" s="14" t="n">
        <v>45930</v>
      </c>
      <c r="C299" s="0" t="n">
        <v>-1216.45</v>
      </c>
      <c r="D299" s="15" t="s">
        <v>3660</v>
      </c>
      <c r="E299" s="15" t="s">
        <v>3138</v>
      </c>
    </row>
    <row r="300" customFormat="false" ht="15" hidden="false" customHeight="false" outlineLevel="0" collapsed="false">
      <c r="A300" s="0" t="s">
        <v>3936</v>
      </c>
      <c r="B300" s="14" t="n">
        <v>46166</v>
      </c>
      <c r="C300" s="0" t="n">
        <v>-3585.97</v>
      </c>
      <c r="D300" s="15" t="s">
        <v>3765</v>
      </c>
      <c r="E300" s="15" t="s">
        <v>3139</v>
      </c>
    </row>
    <row r="301" customFormat="false" ht="15" hidden="false" customHeight="false" outlineLevel="0" collapsed="false">
      <c r="A301" s="0" t="s">
        <v>3937</v>
      </c>
      <c r="B301" s="14" t="n">
        <v>45876</v>
      </c>
      <c r="C301" s="0" t="n">
        <v>-5413.88</v>
      </c>
      <c r="D301" s="15" t="s">
        <v>3672</v>
      </c>
      <c r="E301" s="15" t="s">
        <v>3140</v>
      </c>
    </row>
    <row r="302" customFormat="false" ht="15" hidden="false" customHeight="false" outlineLevel="0" collapsed="false">
      <c r="A302" s="0" t="s">
        <v>3938</v>
      </c>
      <c r="B302" s="14" t="n">
        <v>46045</v>
      </c>
      <c r="C302" s="0" t="n">
        <v>-4075.62</v>
      </c>
      <c r="D302" s="15" t="s">
        <v>3676</v>
      </c>
      <c r="E302" s="15" t="s">
        <v>3141</v>
      </c>
    </row>
    <row r="303" customFormat="false" ht="15" hidden="false" customHeight="false" outlineLevel="0" collapsed="false">
      <c r="A303" s="0" t="s">
        <v>3939</v>
      </c>
      <c r="B303" s="14" t="n">
        <v>46027</v>
      </c>
      <c r="C303" s="0" t="n">
        <v>-674.21</v>
      </c>
      <c r="D303" s="15" t="s">
        <v>3765</v>
      </c>
      <c r="E303" s="15" t="s">
        <v>3142</v>
      </c>
    </row>
    <row r="304" customFormat="false" ht="15" hidden="false" customHeight="false" outlineLevel="0" collapsed="false">
      <c r="A304" s="0" t="s">
        <v>3940</v>
      </c>
      <c r="B304" s="14" t="n">
        <v>46087</v>
      </c>
      <c r="C304" s="0" t="n">
        <v>-1314.98</v>
      </c>
      <c r="D304" s="15" t="s">
        <v>3634</v>
      </c>
      <c r="E304" s="15" t="s">
        <v>3143</v>
      </c>
    </row>
    <row r="305" customFormat="false" ht="15" hidden="false" customHeight="false" outlineLevel="0" collapsed="false">
      <c r="A305" s="0" t="s">
        <v>3941</v>
      </c>
      <c r="B305" s="14" t="n">
        <v>46098</v>
      </c>
      <c r="C305" s="0" t="n">
        <v>-1314.98</v>
      </c>
      <c r="D305" s="15" t="s">
        <v>3634</v>
      </c>
      <c r="E305" s="15" t="s">
        <v>3144</v>
      </c>
    </row>
    <row r="306" customFormat="false" ht="15" hidden="false" customHeight="false" outlineLevel="0" collapsed="false">
      <c r="A306" s="0" t="s">
        <v>3942</v>
      </c>
      <c r="B306" s="14" t="n">
        <v>45800</v>
      </c>
      <c r="C306" s="0" t="n">
        <v>-427.04</v>
      </c>
      <c r="D306" s="15" t="s">
        <v>3605</v>
      </c>
      <c r="E306" s="15" t="s">
        <v>3145</v>
      </c>
    </row>
    <row r="307" customFormat="false" ht="15" hidden="false" customHeight="false" outlineLevel="0" collapsed="false">
      <c r="A307" s="0" t="s">
        <v>3943</v>
      </c>
      <c r="B307" s="14" t="n">
        <v>45797</v>
      </c>
      <c r="C307" s="0" t="n">
        <v>-427.04</v>
      </c>
      <c r="D307" s="15" t="s">
        <v>3605</v>
      </c>
      <c r="E307" s="15" t="s">
        <v>3146</v>
      </c>
    </row>
    <row r="308" customFormat="false" ht="15" hidden="false" customHeight="false" outlineLevel="0" collapsed="false">
      <c r="A308" s="0" t="s">
        <v>3944</v>
      </c>
      <c r="B308" s="14" t="n">
        <v>45794</v>
      </c>
      <c r="C308" s="0" t="n">
        <v>-1109.9</v>
      </c>
      <c r="D308" s="15" t="s">
        <v>3749</v>
      </c>
      <c r="E308" s="15" t="s">
        <v>3147</v>
      </c>
    </row>
    <row r="309" customFormat="false" ht="15" hidden="false" customHeight="false" outlineLevel="0" collapsed="false">
      <c r="A309" s="0" t="s">
        <v>3945</v>
      </c>
      <c r="B309" s="14" t="n">
        <v>46061</v>
      </c>
      <c r="C309" s="0" t="n">
        <v>-3284.61</v>
      </c>
      <c r="D309" s="15" t="s">
        <v>3666</v>
      </c>
      <c r="E309" s="15" t="s">
        <v>3148</v>
      </c>
    </row>
    <row r="310" customFormat="false" ht="15" hidden="false" customHeight="false" outlineLevel="0" collapsed="false">
      <c r="A310" s="0" t="s">
        <v>3946</v>
      </c>
      <c r="B310" s="14" t="n">
        <v>45785</v>
      </c>
      <c r="C310" s="0" t="n">
        <v>-2187.07</v>
      </c>
      <c r="D310" s="15" t="s">
        <v>3627</v>
      </c>
      <c r="E310" s="15" t="s">
        <v>3149</v>
      </c>
    </row>
    <row r="311" customFormat="false" ht="15" hidden="false" customHeight="false" outlineLevel="0" collapsed="false">
      <c r="A311" s="0" t="s">
        <v>3947</v>
      </c>
      <c r="B311" s="14" t="n">
        <v>45786</v>
      </c>
      <c r="C311" s="0" t="n">
        <v>-4407.35</v>
      </c>
      <c r="D311" s="15" t="s">
        <v>3621</v>
      </c>
      <c r="E311" s="15" t="s">
        <v>3150</v>
      </c>
    </row>
    <row r="312" customFormat="false" ht="15" hidden="false" customHeight="false" outlineLevel="0" collapsed="false">
      <c r="A312" s="0" t="s">
        <v>3948</v>
      </c>
      <c r="B312" s="14" t="n">
        <v>45713</v>
      </c>
      <c r="C312" s="0" t="n">
        <v>-814.56</v>
      </c>
      <c r="D312" s="15" t="s">
        <v>3625</v>
      </c>
      <c r="E312" s="15" t="s">
        <v>3151</v>
      </c>
    </row>
    <row r="313" customFormat="false" ht="15" hidden="false" customHeight="false" outlineLevel="0" collapsed="false">
      <c r="A313" s="0" t="s">
        <v>3949</v>
      </c>
      <c r="B313" s="14" t="n">
        <v>45674</v>
      </c>
      <c r="C313" s="0" t="n">
        <v>-988.16</v>
      </c>
      <c r="D313" s="15" t="s">
        <v>3749</v>
      </c>
      <c r="E313" s="15" t="s">
        <v>3152</v>
      </c>
    </row>
    <row r="314" customFormat="false" ht="15" hidden="false" customHeight="false" outlineLevel="0" collapsed="false">
      <c r="A314" s="0" t="s">
        <v>3950</v>
      </c>
      <c r="B314" s="14" t="n">
        <v>45927</v>
      </c>
      <c r="C314" s="0" t="n">
        <v>-721.3</v>
      </c>
      <c r="D314" s="15" t="s">
        <v>3749</v>
      </c>
      <c r="E314" s="15" t="s">
        <v>3153</v>
      </c>
    </row>
    <row r="315" customFormat="false" ht="15" hidden="false" customHeight="false" outlineLevel="0" collapsed="false">
      <c r="A315" s="0" t="s">
        <v>3951</v>
      </c>
      <c r="B315" s="14" t="n">
        <v>46008</v>
      </c>
      <c r="C315" s="0" t="n">
        <v>-5762.48</v>
      </c>
      <c r="D315" s="15" t="s">
        <v>3623</v>
      </c>
      <c r="E315" s="15" t="s">
        <v>3154</v>
      </c>
    </row>
    <row r="316" customFormat="false" ht="15" hidden="false" customHeight="false" outlineLevel="0" collapsed="false">
      <c r="A316" s="0" t="s">
        <v>3952</v>
      </c>
      <c r="B316" s="14" t="n">
        <v>45850</v>
      </c>
      <c r="C316" s="0" t="n">
        <v>-3958.91</v>
      </c>
      <c r="D316" s="15" t="s">
        <v>3613</v>
      </c>
      <c r="E316" s="15" t="s">
        <v>3155</v>
      </c>
    </row>
    <row r="317" customFormat="false" ht="15" hidden="false" customHeight="false" outlineLevel="0" collapsed="false">
      <c r="A317" s="0" t="s">
        <v>3953</v>
      </c>
      <c r="B317" s="14" t="n">
        <v>46097</v>
      </c>
      <c r="C317" s="0" t="n">
        <v>-1396.44</v>
      </c>
      <c r="D317" s="15" t="s">
        <v>3670</v>
      </c>
      <c r="E317" s="15" t="s">
        <v>3156</v>
      </c>
    </row>
    <row r="318" customFormat="false" ht="15" hidden="false" customHeight="false" outlineLevel="0" collapsed="false">
      <c r="A318" s="0" t="s">
        <v>3954</v>
      </c>
      <c r="B318" s="14" t="n">
        <v>46103</v>
      </c>
      <c r="C318" s="0" t="n">
        <v>-1396.44</v>
      </c>
      <c r="D318" s="15" t="s">
        <v>3670</v>
      </c>
      <c r="E318" s="15" t="s">
        <v>3157</v>
      </c>
    </row>
    <row r="319" customFormat="false" ht="15" hidden="false" customHeight="false" outlineLevel="0" collapsed="false">
      <c r="A319" s="0" t="s">
        <v>3955</v>
      </c>
      <c r="B319" s="14" t="n">
        <v>45958</v>
      </c>
      <c r="C319" s="0" t="n">
        <v>-1682.49</v>
      </c>
      <c r="D319" s="15" t="s">
        <v>3666</v>
      </c>
      <c r="E319" s="15" t="s">
        <v>3158</v>
      </c>
    </row>
    <row r="320" customFormat="false" ht="15" hidden="false" customHeight="false" outlineLevel="0" collapsed="false">
      <c r="A320" s="0" t="s">
        <v>3956</v>
      </c>
      <c r="B320" s="14" t="n">
        <v>46049</v>
      </c>
      <c r="C320" s="0" t="n">
        <v>-1974.18</v>
      </c>
      <c r="D320" s="15" t="s">
        <v>3765</v>
      </c>
      <c r="E320" s="15" t="s">
        <v>3159</v>
      </c>
    </row>
    <row r="321" customFormat="false" ht="15" hidden="false" customHeight="false" outlineLevel="0" collapsed="false">
      <c r="A321" s="0" t="s">
        <v>3957</v>
      </c>
      <c r="B321" s="14" t="n">
        <v>46018</v>
      </c>
      <c r="C321" s="0" t="n">
        <v>-2928.06</v>
      </c>
      <c r="D321" s="15" t="s">
        <v>3599</v>
      </c>
      <c r="E321" s="15" t="s">
        <v>3160</v>
      </c>
    </row>
    <row r="322" customFormat="false" ht="15" hidden="false" customHeight="false" outlineLevel="0" collapsed="false">
      <c r="A322" s="0" t="s">
        <v>3958</v>
      </c>
      <c r="B322" s="14" t="n">
        <v>46047</v>
      </c>
      <c r="C322" s="0" t="n">
        <v>-3306.72</v>
      </c>
      <c r="D322" s="15" t="s">
        <v>3605</v>
      </c>
      <c r="E322" s="15" t="s">
        <v>3161</v>
      </c>
    </row>
    <row r="323" customFormat="false" ht="15" hidden="false" customHeight="false" outlineLevel="0" collapsed="false">
      <c r="A323" s="0" t="s">
        <v>3959</v>
      </c>
      <c r="B323" s="14" t="n">
        <v>46180</v>
      </c>
      <c r="C323" s="0" t="n">
        <v>-7330.11</v>
      </c>
      <c r="D323" s="15" t="s">
        <v>3684</v>
      </c>
      <c r="E323" s="15" t="s">
        <v>3162</v>
      </c>
    </row>
    <row r="324" customFormat="false" ht="15" hidden="false" customHeight="false" outlineLevel="0" collapsed="false">
      <c r="A324" s="0" t="s">
        <v>3960</v>
      </c>
      <c r="B324" s="14" t="n">
        <v>45921</v>
      </c>
      <c r="C324" s="0" t="n">
        <v>-305.65</v>
      </c>
      <c r="D324" s="15" t="s">
        <v>3605</v>
      </c>
      <c r="E324" s="15" t="s">
        <v>3163</v>
      </c>
    </row>
    <row r="325" customFormat="false" ht="15" hidden="false" customHeight="false" outlineLevel="0" collapsed="false">
      <c r="A325" s="0" t="s">
        <v>3961</v>
      </c>
      <c r="B325" s="14" t="n">
        <v>45974</v>
      </c>
      <c r="C325" s="0" t="n">
        <v>-695.44</v>
      </c>
      <c r="D325" s="15" t="s">
        <v>3655</v>
      </c>
      <c r="E325" s="15" t="s">
        <v>3164</v>
      </c>
    </row>
    <row r="326" customFormat="false" ht="15" hidden="false" customHeight="false" outlineLevel="0" collapsed="false">
      <c r="A326" s="0" t="s">
        <v>3962</v>
      </c>
      <c r="B326" s="14" t="n">
        <v>46057</v>
      </c>
      <c r="C326" s="0" t="n">
        <v>-8378.51</v>
      </c>
      <c r="D326" s="15" t="s">
        <v>3623</v>
      </c>
      <c r="E326" s="15" t="s">
        <v>3165</v>
      </c>
    </row>
    <row r="327" customFormat="false" ht="15" hidden="false" customHeight="false" outlineLevel="0" collapsed="false">
      <c r="A327" s="0" t="s">
        <v>3963</v>
      </c>
      <c r="B327" s="14" t="n">
        <v>46199</v>
      </c>
      <c r="C327" s="0" t="n">
        <v>-1194.11</v>
      </c>
      <c r="D327" s="15" t="s">
        <v>3613</v>
      </c>
      <c r="E327" s="15" t="s">
        <v>3166</v>
      </c>
    </row>
    <row r="328" customFormat="false" ht="15" hidden="false" customHeight="false" outlineLevel="0" collapsed="false">
      <c r="A328" s="0" t="s">
        <v>3964</v>
      </c>
      <c r="B328" s="14" t="n">
        <v>46143</v>
      </c>
      <c r="C328" s="0" t="n">
        <v>-755.76</v>
      </c>
      <c r="D328" s="15" t="s">
        <v>3643</v>
      </c>
      <c r="E328" s="15" t="s">
        <v>3167</v>
      </c>
    </row>
    <row r="329" customFormat="false" ht="15" hidden="false" customHeight="false" outlineLevel="0" collapsed="false">
      <c r="A329" s="0" t="s">
        <v>3965</v>
      </c>
      <c r="B329" s="14" t="n">
        <v>45703</v>
      </c>
      <c r="C329" s="0" t="n">
        <v>-14821.15</v>
      </c>
      <c r="D329" s="15" t="s">
        <v>3786</v>
      </c>
      <c r="E329" s="15" t="s">
        <v>3168</v>
      </c>
    </row>
    <row r="330" customFormat="false" ht="15" hidden="false" customHeight="false" outlineLevel="0" collapsed="false">
      <c r="A330" s="0" t="s">
        <v>3966</v>
      </c>
      <c r="B330" s="14" t="n">
        <v>45857</v>
      </c>
      <c r="C330" s="0" t="n">
        <v>-4303.23</v>
      </c>
      <c r="D330" s="15" t="s">
        <v>3765</v>
      </c>
      <c r="E330" s="15" t="s">
        <v>3169</v>
      </c>
    </row>
    <row r="331" customFormat="false" ht="15" hidden="false" customHeight="false" outlineLevel="0" collapsed="false">
      <c r="A331" s="0" t="s">
        <v>3967</v>
      </c>
      <c r="B331" s="14" t="n">
        <v>46126</v>
      </c>
      <c r="C331" s="0" t="n">
        <v>-525.18</v>
      </c>
      <c r="D331" s="15" t="s">
        <v>3615</v>
      </c>
      <c r="E331" s="15" t="s">
        <v>3170</v>
      </c>
    </row>
    <row r="332" customFormat="false" ht="15" hidden="false" customHeight="false" outlineLevel="0" collapsed="false">
      <c r="A332" s="0" t="s">
        <v>3968</v>
      </c>
      <c r="B332" s="14" t="n">
        <v>46002</v>
      </c>
      <c r="C332" s="0" t="n">
        <v>-2740.38</v>
      </c>
      <c r="D332" s="15" t="s">
        <v>3599</v>
      </c>
      <c r="E332" s="15" t="s">
        <v>3171</v>
      </c>
    </row>
    <row r="333" customFormat="false" ht="15" hidden="false" customHeight="false" outlineLevel="0" collapsed="false">
      <c r="A333" s="0" t="s">
        <v>3969</v>
      </c>
      <c r="B333" s="14" t="n">
        <v>45851</v>
      </c>
      <c r="C333" s="0" t="n">
        <v>-9606.11</v>
      </c>
      <c r="D333" s="15" t="s">
        <v>3652</v>
      </c>
      <c r="E333" s="15" t="s">
        <v>3172</v>
      </c>
    </row>
    <row r="334" customFormat="false" ht="15" hidden="false" customHeight="false" outlineLevel="0" collapsed="false">
      <c r="A334" s="0" t="s">
        <v>3970</v>
      </c>
      <c r="B334" s="14" t="n">
        <v>45741</v>
      </c>
      <c r="C334" s="0" t="n">
        <v>-3156.13</v>
      </c>
      <c r="D334" s="15" t="s">
        <v>3703</v>
      </c>
      <c r="E334" s="15" t="s">
        <v>3173</v>
      </c>
    </row>
    <row r="335" customFormat="false" ht="15" hidden="false" customHeight="false" outlineLevel="0" collapsed="false">
      <c r="A335" s="0" t="s">
        <v>3971</v>
      </c>
      <c r="B335" s="14" t="n">
        <v>46070</v>
      </c>
      <c r="C335" s="0" t="n">
        <v>-4442.2</v>
      </c>
      <c r="D335" s="15" t="s">
        <v>3765</v>
      </c>
      <c r="E335" s="15" t="s">
        <v>3174</v>
      </c>
    </row>
    <row r="336" customFormat="false" ht="15" hidden="false" customHeight="false" outlineLevel="0" collapsed="false">
      <c r="A336" s="0" t="s">
        <v>3972</v>
      </c>
      <c r="B336" s="14" t="n">
        <v>45973</v>
      </c>
      <c r="C336" s="0" t="n">
        <v>-2002.66</v>
      </c>
      <c r="D336" s="15" t="s">
        <v>3623</v>
      </c>
      <c r="E336" s="15" t="s">
        <v>3175</v>
      </c>
    </row>
    <row r="337" customFormat="false" ht="15" hidden="false" customHeight="false" outlineLevel="0" collapsed="false">
      <c r="A337" s="0" t="s">
        <v>3973</v>
      </c>
      <c r="B337" s="14" t="n">
        <v>45971</v>
      </c>
      <c r="C337" s="0" t="n">
        <v>-1387.72</v>
      </c>
      <c r="D337" s="15" t="s">
        <v>3625</v>
      </c>
      <c r="E337" s="15" t="s">
        <v>3176</v>
      </c>
    </row>
    <row r="338" customFormat="false" ht="15" hidden="false" customHeight="false" outlineLevel="0" collapsed="false">
      <c r="A338" s="0" t="s">
        <v>3974</v>
      </c>
      <c r="B338" s="14" t="n">
        <v>45754</v>
      </c>
      <c r="C338" s="0" t="n">
        <v>-2387.19</v>
      </c>
      <c r="D338" s="15" t="s">
        <v>3601</v>
      </c>
      <c r="E338" s="15" t="s">
        <v>3177</v>
      </c>
    </row>
    <row r="339" customFormat="false" ht="15" hidden="false" customHeight="false" outlineLevel="0" collapsed="false">
      <c r="A339" s="0" t="s">
        <v>3975</v>
      </c>
      <c r="B339" s="14" t="n">
        <v>45699</v>
      </c>
      <c r="C339" s="0" t="n">
        <v>-4785.43</v>
      </c>
      <c r="D339" s="15" t="s">
        <v>3611</v>
      </c>
      <c r="E339" s="15" t="s">
        <v>3178</v>
      </c>
    </row>
    <row r="340" customFormat="false" ht="15" hidden="false" customHeight="false" outlineLevel="0" collapsed="false">
      <c r="A340" s="0" t="s">
        <v>3976</v>
      </c>
      <c r="B340" s="14" t="n">
        <v>45934</v>
      </c>
      <c r="C340" s="0" t="n">
        <v>-543.23</v>
      </c>
      <c r="D340" s="15" t="s">
        <v>3623</v>
      </c>
      <c r="E340" s="15" t="s">
        <v>3179</v>
      </c>
    </row>
    <row r="341" customFormat="false" ht="15" hidden="false" customHeight="false" outlineLevel="0" collapsed="false">
      <c r="A341" s="0" t="s">
        <v>3977</v>
      </c>
      <c r="B341" s="14" t="n">
        <v>45886</v>
      </c>
      <c r="C341" s="0" t="n">
        <v>-327.34</v>
      </c>
      <c r="D341" s="15" t="s">
        <v>3632</v>
      </c>
      <c r="E341" s="15" t="s">
        <v>3180</v>
      </c>
    </row>
    <row r="342" customFormat="false" ht="15" hidden="false" customHeight="false" outlineLevel="0" collapsed="false">
      <c r="A342" s="0" t="s">
        <v>3978</v>
      </c>
      <c r="B342" s="14" t="n">
        <v>45864</v>
      </c>
      <c r="C342" s="0" t="n">
        <v>-327.34</v>
      </c>
      <c r="D342" s="15" t="s">
        <v>3632</v>
      </c>
      <c r="E342" s="15" t="s">
        <v>3181</v>
      </c>
    </row>
    <row r="343" customFormat="false" ht="15" hidden="false" customHeight="false" outlineLevel="0" collapsed="false">
      <c r="A343" s="0" t="s">
        <v>3979</v>
      </c>
      <c r="B343" s="14" t="n">
        <v>45829</v>
      </c>
      <c r="C343" s="0" t="n">
        <v>-2106.84</v>
      </c>
      <c r="D343" s="15" t="s">
        <v>3623</v>
      </c>
      <c r="E343" s="15" t="s">
        <v>3182</v>
      </c>
    </row>
    <row r="344" customFormat="false" ht="15" hidden="false" customHeight="false" outlineLevel="0" collapsed="false">
      <c r="A344" s="0" t="s">
        <v>3980</v>
      </c>
      <c r="B344" s="14" t="n">
        <v>45747</v>
      </c>
      <c r="C344" s="0" t="n">
        <v>-175.5</v>
      </c>
      <c r="D344" s="15" t="s">
        <v>3599</v>
      </c>
      <c r="E344" s="15" t="s">
        <v>3183</v>
      </c>
    </row>
    <row r="345" customFormat="false" ht="15" hidden="false" customHeight="false" outlineLevel="0" collapsed="false">
      <c r="A345" s="0" t="s">
        <v>3981</v>
      </c>
      <c r="B345" s="14" t="n">
        <v>46148</v>
      </c>
      <c r="C345" s="0" t="n">
        <v>-3683.41</v>
      </c>
      <c r="D345" s="15" t="s">
        <v>3625</v>
      </c>
      <c r="E345" s="15" t="s">
        <v>3184</v>
      </c>
    </row>
    <row r="346" customFormat="false" ht="15" hidden="false" customHeight="false" outlineLevel="0" collapsed="false">
      <c r="A346" s="0" t="s">
        <v>3982</v>
      </c>
      <c r="B346" s="14" t="n">
        <v>46005</v>
      </c>
      <c r="C346" s="0" t="n">
        <v>-1037.11</v>
      </c>
      <c r="D346" s="15" t="s">
        <v>3657</v>
      </c>
      <c r="E346" s="15" t="s">
        <v>3185</v>
      </c>
    </row>
    <row r="347" customFormat="false" ht="15" hidden="false" customHeight="false" outlineLevel="0" collapsed="false">
      <c r="A347" s="0" t="s">
        <v>3983</v>
      </c>
      <c r="B347" s="14" t="n">
        <v>46061</v>
      </c>
      <c r="C347" s="0" t="n">
        <v>-688.7</v>
      </c>
      <c r="D347" s="15" t="s">
        <v>3652</v>
      </c>
      <c r="E347" s="15" t="s">
        <v>3186</v>
      </c>
    </row>
    <row r="348" customFormat="false" ht="15" hidden="false" customHeight="false" outlineLevel="0" collapsed="false">
      <c r="A348" s="0" t="s">
        <v>3984</v>
      </c>
      <c r="B348" s="14" t="n">
        <v>45838</v>
      </c>
      <c r="C348" s="0" t="n">
        <v>-8582.35</v>
      </c>
      <c r="D348" s="15" t="s">
        <v>3670</v>
      </c>
      <c r="E348" s="15" t="s">
        <v>3187</v>
      </c>
    </row>
    <row r="349" customFormat="false" ht="15" hidden="false" customHeight="false" outlineLevel="0" collapsed="false">
      <c r="A349" s="0" t="s">
        <v>3985</v>
      </c>
      <c r="B349" s="14" t="n">
        <v>45711</v>
      </c>
      <c r="C349" s="0" t="n">
        <v>-4765.55</v>
      </c>
      <c r="D349" s="15" t="s">
        <v>3660</v>
      </c>
      <c r="E349" s="15" t="s">
        <v>3188</v>
      </c>
    </row>
    <row r="350" customFormat="false" ht="15" hidden="false" customHeight="false" outlineLevel="0" collapsed="false">
      <c r="A350" s="0" t="s">
        <v>3986</v>
      </c>
      <c r="B350" s="14" t="n">
        <v>46095</v>
      </c>
      <c r="C350" s="0" t="n">
        <v>-3276.88</v>
      </c>
      <c r="D350" s="15" t="s">
        <v>3619</v>
      </c>
      <c r="E350" s="15" t="s">
        <v>3189</v>
      </c>
    </row>
    <row r="351" customFormat="false" ht="15" hidden="false" customHeight="false" outlineLevel="0" collapsed="false">
      <c r="A351" s="0" t="s">
        <v>3987</v>
      </c>
      <c r="B351" s="14" t="n">
        <v>45935</v>
      </c>
      <c r="C351" s="0" t="n">
        <v>-1027.11</v>
      </c>
      <c r="D351" s="15" t="s">
        <v>3786</v>
      </c>
      <c r="E351" s="15" t="s">
        <v>3190</v>
      </c>
    </row>
    <row r="352" customFormat="false" ht="15" hidden="false" customHeight="false" outlineLevel="0" collapsed="false">
      <c r="A352" s="0" t="s">
        <v>3988</v>
      </c>
      <c r="B352" s="14" t="n">
        <v>45949</v>
      </c>
      <c r="C352" s="0" t="n">
        <v>-1027.11</v>
      </c>
      <c r="D352" s="15" t="s">
        <v>3786</v>
      </c>
      <c r="E352" s="15" t="s">
        <v>3191</v>
      </c>
    </row>
    <row r="353" customFormat="false" ht="15" hidden="false" customHeight="false" outlineLevel="0" collapsed="false">
      <c r="A353" s="0" t="s">
        <v>3989</v>
      </c>
      <c r="B353" s="14" t="n">
        <v>46068</v>
      </c>
      <c r="C353" s="0" t="n">
        <v>-4853.33</v>
      </c>
      <c r="D353" s="15" t="s">
        <v>3714</v>
      </c>
      <c r="E353" s="15" t="s">
        <v>3192</v>
      </c>
    </row>
    <row r="354" customFormat="false" ht="15" hidden="false" customHeight="false" outlineLevel="0" collapsed="false">
      <c r="A354" s="0" t="s">
        <v>3990</v>
      </c>
      <c r="B354" s="14" t="n">
        <v>46192</v>
      </c>
      <c r="C354" s="0" t="n">
        <v>-4213.88</v>
      </c>
      <c r="D354" s="15" t="s">
        <v>3639</v>
      </c>
      <c r="E354" s="15" t="s">
        <v>3193</v>
      </c>
    </row>
    <row r="355" customFormat="false" ht="15" hidden="false" customHeight="false" outlineLevel="0" collapsed="false">
      <c r="A355" s="0" t="s">
        <v>3991</v>
      </c>
      <c r="B355" s="14" t="n">
        <v>45788</v>
      </c>
      <c r="C355" s="0" t="n">
        <v>-1024.13</v>
      </c>
      <c r="D355" s="15" t="s">
        <v>3629</v>
      </c>
      <c r="E355" s="15" t="s">
        <v>3194</v>
      </c>
    </row>
    <row r="356" customFormat="false" ht="15" hidden="false" customHeight="false" outlineLevel="0" collapsed="false">
      <c r="A356" s="0" t="s">
        <v>3992</v>
      </c>
      <c r="B356" s="14" t="n">
        <v>45996</v>
      </c>
      <c r="C356" s="0" t="n">
        <v>-6836.7</v>
      </c>
      <c r="D356" s="15" t="s">
        <v>3619</v>
      </c>
      <c r="E356" s="15" t="s">
        <v>3195</v>
      </c>
    </row>
    <row r="357" customFormat="false" ht="15" hidden="false" customHeight="false" outlineLevel="0" collapsed="false">
      <c r="A357" s="0" t="s">
        <v>3993</v>
      </c>
      <c r="B357" s="14" t="n">
        <v>46058</v>
      </c>
      <c r="C357" s="0" t="n">
        <v>-2800.96</v>
      </c>
      <c r="D357" s="15" t="s">
        <v>3676</v>
      </c>
      <c r="E357" s="15" t="s">
        <v>3196</v>
      </c>
    </row>
    <row r="358" customFormat="false" ht="15" hidden="false" customHeight="false" outlineLevel="0" collapsed="false">
      <c r="A358" s="0" t="s">
        <v>3994</v>
      </c>
      <c r="B358" s="14" t="n">
        <v>45958</v>
      </c>
      <c r="C358" s="0" t="n">
        <v>-2607.21</v>
      </c>
      <c r="D358" s="15" t="s">
        <v>3623</v>
      </c>
      <c r="E358" s="15" t="s">
        <v>3197</v>
      </c>
    </row>
    <row r="359" customFormat="false" ht="15" hidden="false" customHeight="false" outlineLevel="0" collapsed="false">
      <c r="A359" s="0" t="s">
        <v>3995</v>
      </c>
      <c r="B359" s="14" t="n">
        <v>45745</v>
      </c>
      <c r="C359" s="0" t="n">
        <v>-3346.97</v>
      </c>
      <c r="D359" s="15" t="s">
        <v>3603</v>
      </c>
      <c r="E359" s="15" t="s">
        <v>3198</v>
      </c>
    </row>
    <row r="360" customFormat="false" ht="15" hidden="false" customHeight="false" outlineLevel="0" collapsed="false">
      <c r="A360" s="0" t="s">
        <v>3996</v>
      </c>
      <c r="B360" s="14" t="n">
        <v>45873</v>
      </c>
      <c r="C360" s="0" t="n">
        <v>-927.7</v>
      </c>
      <c r="D360" s="15" t="s">
        <v>3627</v>
      </c>
      <c r="E360" s="15" t="s">
        <v>3199</v>
      </c>
    </row>
    <row r="361" customFormat="false" ht="15" hidden="false" customHeight="false" outlineLevel="0" collapsed="false">
      <c r="A361" s="0" t="s">
        <v>3997</v>
      </c>
      <c r="B361" s="14" t="n">
        <v>45871</v>
      </c>
      <c r="C361" s="0" t="n">
        <v>-1759.54</v>
      </c>
      <c r="D361" s="15" t="s">
        <v>3629</v>
      </c>
      <c r="E361" s="15" t="s">
        <v>3200</v>
      </c>
    </row>
    <row r="362" customFormat="false" ht="15" hidden="false" customHeight="false" outlineLevel="0" collapsed="false">
      <c r="A362" s="0" t="s">
        <v>3998</v>
      </c>
      <c r="B362" s="14" t="n">
        <v>46064</v>
      </c>
      <c r="C362" s="0" t="n">
        <v>-1478.45</v>
      </c>
      <c r="D362" s="15" t="s">
        <v>3676</v>
      </c>
      <c r="E362" s="15" t="s">
        <v>3201</v>
      </c>
    </row>
    <row r="363" customFormat="false" ht="15" hidden="false" customHeight="false" outlineLevel="0" collapsed="false">
      <c r="A363" s="0" t="s">
        <v>3999</v>
      </c>
      <c r="B363" s="14" t="n">
        <v>46147</v>
      </c>
      <c r="C363" s="0" t="n">
        <v>-5195.5</v>
      </c>
      <c r="D363" s="15" t="s">
        <v>3621</v>
      </c>
      <c r="E363" s="15" t="s">
        <v>3202</v>
      </c>
    </row>
    <row r="364" customFormat="false" ht="15" hidden="false" customHeight="false" outlineLevel="0" collapsed="false">
      <c r="A364" s="0" t="s">
        <v>4000</v>
      </c>
      <c r="B364" s="14" t="n">
        <v>45892</v>
      </c>
      <c r="C364" s="0" t="n">
        <v>-3949.44</v>
      </c>
      <c r="D364" s="15" t="s">
        <v>3670</v>
      </c>
      <c r="E364" s="15" t="s">
        <v>3203</v>
      </c>
    </row>
    <row r="365" customFormat="false" ht="15" hidden="false" customHeight="false" outlineLevel="0" collapsed="false">
      <c r="A365" s="0" t="s">
        <v>4001</v>
      </c>
      <c r="B365" s="14" t="n">
        <v>46048</v>
      </c>
      <c r="C365" s="0" t="n">
        <v>-1814.72</v>
      </c>
      <c r="D365" s="15" t="s">
        <v>3679</v>
      </c>
      <c r="E365" s="15" t="s">
        <v>3204</v>
      </c>
    </row>
    <row r="366" customFormat="false" ht="15" hidden="false" customHeight="false" outlineLevel="0" collapsed="false">
      <c r="A366" s="0" t="s">
        <v>4002</v>
      </c>
      <c r="B366" s="14" t="n">
        <v>45835</v>
      </c>
      <c r="C366" s="0" t="n">
        <v>-3826.85</v>
      </c>
      <c r="D366" s="15" t="s">
        <v>3749</v>
      </c>
      <c r="E366" s="15" t="s">
        <v>3205</v>
      </c>
    </row>
    <row r="367" customFormat="false" ht="15" hidden="false" customHeight="false" outlineLevel="0" collapsed="false">
      <c r="A367" s="0" t="s">
        <v>4003</v>
      </c>
      <c r="B367" s="14" t="n">
        <v>46201</v>
      </c>
      <c r="C367" s="0" t="n">
        <v>-1836.32</v>
      </c>
      <c r="D367" s="15" t="s">
        <v>3643</v>
      </c>
      <c r="E367" s="15" t="s">
        <v>3206</v>
      </c>
    </row>
    <row r="368" customFormat="false" ht="15" hidden="false" customHeight="false" outlineLevel="0" collapsed="false">
      <c r="A368" s="0" t="s">
        <v>4004</v>
      </c>
      <c r="B368" s="14" t="n">
        <v>45980</v>
      </c>
      <c r="C368" s="0" t="n">
        <v>-7023.92</v>
      </c>
      <c r="D368" s="15" t="s">
        <v>3655</v>
      </c>
      <c r="E368" s="15" t="s">
        <v>3207</v>
      </c>
    </row>
    <row r="369" customFormat="false" ht="15" hidden="false" customHeight="false" outlineLevel="0" collapsed="false">
      <c r="A369" s="0" t="s">
        <v>4005</v>
      </c>
      <c r="B369" s="14" t="n">
        <v>45922</v>
      </c>
      <c r="C369" s="0" t="n">
        <v>-3586.35</v>
      </c>
      <c r="D369" s="15" t="s">
        <v>3607</v>
      </c>
      <c r="E369" s="15" t="s">
        <v>3208</v>
      </c>
    </row>
    <row r="370" customFormat="false" ht="15" hidden="false" customHeight="false" outlineLevel="0" collapsed="false">
      <c r="A370" s="0" t="s">
        <v>4006</v>
      </c>
      <c r="B370" s="14" t="n">
        <v>45863</v>
      </c>
      <c r="C370" s="0" t="n">
        <v>-3705.05</v>
      </c>
      <c r="D370" s="15" t="s">
        <v>3676</v>
      </c>
      <c r="E370" s="15" t="s">
        <v>3209</v>
      </c>
    </row>
    <row r="371" customFormat="false" ht="15" hidden="false" customHeight="false" outlineLevel="0" collapsed="false">
      <c r="A371" s="0" t="s">
        <v>4007</v>
      </c>
      <c r="B371" s="14" t="n">
        <v>45860</v>
      </c>
      <c r="C371" s="0" t="n">
        <v>-4579.99</v>
      </c>
      <c r="D371" s="15" t="s">
        <v>3613</v>
      </c>
      <c r="E371" s="15" t="s">
        <v>3210</v>
      </c>
    </row>
    <row r="372" customFormat="false" ht="15" hidden="false" customHeight="false" outlineLevel="0" collapsed="false">
      <c r="A372" s="0" t="s">
        <v>4008</v>
      </c>
      <c r="B372" s="14" t="n">
        <v>45909</v>
      </c>
      <c r="C372" s="0" t="n">
        <v>-1348.19</v>
      </c>
      <c r="D372" s="15" t="s">
        <v>3690</v>
      </c>
      <c r="E372" s="15" t="s">
        <v>3211</v>
      </c>
    </row>
    <row r="373" customFormat="false" ht="15" hidden="false" customHeight="false" outlineLevel="0" collapsed="false">
      <c r="A373" s="0" t="s">
        <v>4009</v>
      </c>
      <c r="B373" s="14" t="n">
        <v>45914</v>
      </c>
      <c r="C373" s="0" t="n">
        <v>-1348.19</v>
      </c>
      <c r="D373" s="15" t="s">
        <v>3690</v>
      </c>
      <c r="E373" s="15" t="s">
        <v>3212</v>
      </c>
    </row>
    <row r="374" customFormat="false" ht="15" hidden="false" customHeight="false" outlineLevel="0" collapsed="false">
      <c r="A374" s="0" t="s">
        <v>4010</v>
      </c>
      <c r="B374" s="14" t="n">
        <v>45992</v>
      </c>
      <c r="C374" s="0" t="n">
        <v>-2579.5</v>
      </c>
      <c r="D374" s="15" t="s">
        <v>3629</v>
      </c>
      <c r="E374" s="15" t="s">
        <v>3213</v>
      </c>
    </row>
    <row r="375" customFormat="false" ht="15" hidden="false" customHeight="false" outlineLevel="0" collapsed="false">
      <c r="A375" s="0" t="s">
        <v>4011</v>
      </c>
      <c r="B375" s="14" t="n">
        <v>46055</v>
      </c>
      <c r="C375" s="0" t="n">
        <v>-1850.75</v>
      </c>
      <c r="D375" s="15" t="s">
        <v>3601</v>
      </c>
      <c r="E375" s="15" t="s">
        <v>3214</v>
      </c>
    </row>
    <row r="376" customFormat="false" ht="15" hidden="false" customHeight="false" outlineLevel="0" collapsed="false">
      <c r="A376" s="0" t="s">
        <v>4012</v>
      </c>
      <c r="B376" s="14" t="n">
        <v>45972</v>
      </c>
      <c r="C376" s="0" t="n">
        <v>-1673.73</v>
      </c>
      <c r="D376" s="15" t="s">
        <v>3672</v>
      </c>
      <c r="E376" s="15" t="s">
        <v>3215</v>
      </c>
    </row>
    <row r="377" customFormat="false" ht="15" hidden="false" customHeight="false" outlineLevel="0" collapsed="false">
      <c r="A377" s="0" t="s">
        <v>4013</v>
      </c>
      <c r="B377" s="14" t="n">
        <v>45931</v>
      </c>
      <c r="C377" s="0" t="n">
        <v>-3809.51</v>
      </c>
      <c r="D377" s="15" t="s">
        <v>3619</v>
      </c>
      <c r="E377" s="15" t="s">
        <v>3216</v>
      </c>
    </row>
    <row r="378" customFormat="false" ht="15" hidden="false" customHeight="false" outlineLevel="0" collapsed="false">
      <c r="A378" s="0" t="s">
        <v>4014</v>
      </c>
      <c r="B378" s="14" t="n">
        <v>45886</v>
      </c>
      <c r="C378" s="0" t="n">
        <v>-1115.7</v>
      </c>
      <c r="D378" s="15" t="s">
        <v>3634</v>
      </c>
      <c r="E378" s="15" t="s">
        <v>3217</v>
      </c>
    </row>
    <row r="379" customFormat="false" ht="15" hidden="false" customHeight="false" outlineLevel="0" collapsed="false">
      <c r="A379" s="0" t="s">
        <v>4015</v>
      </c>
      <c r="B379" s="14" t="n">
        <v>46104</v>
      </c>
      <c r="C379" s="0" t="n">
        <v>-1572.78</v>
      </c>
      <c r="D379" s="15" t="s">
        <v>3684</v>
      </c>
      <c r="E379" s="15" t="s">
        <v>3218</v>
      </c>
    </row>
    <row r="380" customFormat="false" ht="15" hidden="false" customHeight="false" outlineLevel="0" collapsed="false">
      <c r="A380" s="0" t="s">
        <v>4016</v>
      </c>
      <c r="B380" s="14" t="n">
        <v>46032</v>
      </c>
      <c r="C380" s="0" t="n">
        <v>-1440.58</v>
      </c>
      <c r="D380" s="15" t="s">
        <v>3670</v>
      </c>
      <c r="E380" s="15" t="s">
        <v>3219</v>
      </c>
    </row>
    <row r="381" customFormat="false" ht="15" hidden="false" customHeight="false" outlineLevel="0" collapsed="false">
      <c r="A381" s="0" t="s">
        <v>4017</v>
      </c>
      <c r="B381" s="14" t="n">
        <v>46126</v>
      </c>
      <c r="C381" s="0" t="n">
        <v>-308.34</v>
      </c>
      <c r="D381" s="15" t="s">
        <v>3599</v>
      </c>
      <c r="E381" s="15" t="s">
        <v>3220</v>
      </c>
    </row>
    <row r="382" customFormat="false" ht="15" hidden="false" customHeight="false" outlineLevel="0" collapsed="false">
      <c r="A382" s="0" t="s">
        <v>4018</v>
      </c>
      <c r="B382" s="14" t="n">
        <v>45791</v>
      </c>
      <c r="C382" s="0" t="n">
        <v>-303.89</v>
      </c>
      <c r="D382" s="15" t="s">
        <v>3601</v>
      </c>
      <c r="E382" s="15" t="s">
        <v>3221</v>
      </c>
    </row>
    <row r="383" customFormat="false" ht="15" hidden="false" customHeight="false" outlineLevel="0" collapsed="false">
      <c r="A383" s="0" t="s">
        <v>4019</v>
      </c>
      <c r="B383" s="14" t="n">
        <v>45987</v>
      </c>
      <c r="C383" s="0" t="n">
        <v>-4223.32</v>
      </c>
      <c r="D383" s="15" t="s">
        <v>3649</v>
      </c>
      <c r="E383" s="15" t="s">
        <v>3222</v>
      </c>
    </row>
    <row r="384" customFormat="false" ht="15" hidden="false" customHeight="false" outlineLevel="0" collapsed="false">
      <c r="A384" s="0" t="s">
        <v>4020</v>
      </c>
      <c r="B384" s="14" t="n">
        <v>46188</v>
      </c>
      <c r="C384" s="0" t="n">
        <v>-1084.38</v>
      </c>
      <c r="D384" s="15" t="s">
        <v>3611</v>
      </c>
      <c r="E384" s="15" t="s">
        <v>3223</v>
      </c>
    </row>
    <row r="385" customFormat="false" ht="15" hidden="false" customHeight="false" outlineLevel="0" collapsed="false">
      <c r="A385" s="0" t="s">
        <v>4021</v>
      </c>
      <c r="B385" s="14" t="n">
        <v>45911</v>
      </c>
      <c r="C385" s="0" t="n">
        <v>-3288.85</v>
      </c>
      <c r="D385" s="15" t="s">
        <v>3765</v>
      </c>
      <c r="E385" s="15" t="s">
        <v>3224</v>
      </c>
    </row>
    <row r="386" customFormat="false" ht="15" hidden="false" customHeight="false" outlineLevel="0" collapsed="false">
      <c r="A386" s="0" t="s">
        <v>4022</v>
      </c>
      <c r="B386" s="14" t="n">
        <v>46078</v>
      </c>
      <c r="C386" s="0" t="n">
        <v>-2979.58</v>
      </c>
      <c r="D386" s="15" t="s">
        <v>3619</v>
      </c>
      <c r="E386" s="15" t="s">
        <v>3225</v>
      </c>
    </row>
    <row r="387" customFormat="false" ht="15" hidden="false" customHeight="false" outlineLevel="0" collapsed="false">
      <c r="A387" s="0" t="s">
        <v>4023</v>
      </c>
      <c r="B387" s="14" t="n">
        <v>45734</v>
      </c>
      <c r="C387" s="0" t="n">
        <v>-209.66</v>
      </c>
      <c r="D387" s="15" t="s">
        <v>3629</v>
      </c>
      <c r="E387" s="15" t="s">
        <v>3226</v>
      </c>
    </row>
    <row r="388" customFormat="false" ht="15" hidden="false" customHeight="false" outlineLevel="0" collapsed="false">
      <c r="A388" s="0" t="s">
        <v>4024</v>
      </c>
      <c r="B388" s="14" t="n">
        <v>46200</v>
      </c>
      <c r="C388" s="0" t="n">
        <v>-3415.67</v>
      </c>
      <c r="D388" s="15" t="s">
        <v>3765</v>
      </c>
      <c r="E388" s="15" t="s">
        <v>3227</v>
      </c>
    </row>
    <row r="389" customFormat="false" ht="15" hidden="false" customHeight="false" outlineLevel="0" collapsed="false">
      <c r="A389" s="0" t="s">
        <v>4025</v>
      </c>
      <c r="B389" s="14" t="n">
        <v>46013</v>
      </c>
      <c r="C389" s="0" t="n">
        <v>-1992.56</v>
      </c>
      <c r="D389" s="15" t="s">
        <v>3621</v>
      </c>
      <c r="E389" s="15" t="s">
        <v>3228</v>
      </c>
    </row>
    <row r="390" customFormat="false" ht="15" hidden="false" customHeight="false" outlineLevel="0" collapsed="false">
      <c r="A390" s="0" t="s">
        <v>4026</v>
      </c>
      <c r="B390" s="14" t="n">
        <v>45821</v>
      </c>
      <c r="C390" s="0" t="n">
        <v>-2035.46</v>
      </c>
      <c r="D390" s="15" t="s">
        <v>3666</v>
      </c>
      <c r="E390" s="15" t="s">
        <v>3229</v>
      </c>
    </row>
    <row r="391" customFormat="false" ht="15" hidden="false" customHeight="false" outlineLevel="0" collapsed="false">
      <c r="A391" s="0" t="s">
        <v>4027</v>
      </c>
      <c r="B391" s="14" t="n">
        <v>45760</v>
      </c>
      <c r="C391" s="0" t="n">
        <v>-9019.36</v>
      </c>
      <c r="D391" s="15" t="s">
        <v>3672</v>
      </c>
      <c r="E391" s="15" t="s">
        <v>3230</v>
      </c>
    </row>
    <row r="392" customFormat="false" ht="15" hidden="false" customHeight="false" outlineLevel="0" collapsed="false">
      <c r="A392" s="0" t="s">
        <v>4028</v>
      </c>
      <c r="B392" s="14" t="n">
        <v>45991</v>
      </c>
      <c r="C392" s="0" t="n">
        <v>-1812.95</v>
      </c>
      <c r="D392" s="15" t="s">
        <v>3617</v>
      </c>
      <c r="E392" s="15" t="s">
        <v>3231</v>
      </c>
    </row>
    <row r="393" customFormat="false" ht="15" hidden="false" customHeight="false" outlineLevel="0" collapsed="false">
      <c r="A393" s="0" t="s">
        <v>4029</v>
      </c>
      <c r="B393" s="14" t="n">
        <v>45998</v>
      </c>
      <c r="C393" s="0" t="n">
        <v>-1047.46</v>
      </c>
      <c r="D393" s="15" t="s">
        <v>3649</v>
      </c>
      <c r="E393" s="15" t="s">
        <v>3232</v>
      </c>
    </row>
    <row r="394" customFormat="false" ht="15" hidden="false" customHeight="false" outlineLevel="0" collapsed="false">
      <c r="A394" s="0" t="s">
        <v>4030</v>
      </c>
      <c r="B394" s="14" t="n">
        <v>45728</v>
      </c>
      <c r="C394" s="0" t="n">
        <v>-3396.34</v>
      </c>
      <c r="D394" s="15" t="s">
        <v>3641</v>
      </c>
      <c r="E394" s="15" t="s">
        <v>3233</v>
      </c>
    </row>
    <row r="395" customFormat="false" ht="15" hidden="false" customHeight="false" outlineLevel="0" collapsed="false">
      <c r="A395" s="0" t="s">
        <v>4031</v>
      </c>
      <c r="B395" s="14" t="n">
        <v>46173</v>
      </c>
      <c r="C395" s="0" t="n">
        <v>-1201.82</v>
      </c>
      <c r="D395" s="15" t="s">
        <v>3643</v>
      </c>
      <c r="E395" s="15" t="s">
        <v>3234</v>
      </c>
    </row>
    <row r="396" customFormat="false" ht="15" hidden="false" customHeight="false" outlineLevel="0" collapsed="false">
      <c r="A396" s="0" t="s">
        <v>4032</v>
      </c>
      <c r="B396" s="14" t="n">
        <v>45955</v>
      </c>
      <c r="C396" s="0" t="n">
        <v>-1494.41</v>
      </c>
      <c r="D396" s="15" t="s">
        <v>3690</v>
      </c>
      <c r="E396" s="15" t="s">
        <v>3235</v>
      </c>
    </row>
    <row r="397" customFormat="false" ht="15" hidden="false" customHeight="false" outlineLevel="0" collapsed="false">
      <c r="A397" s="0" t="s">
        <v>4033</v>
      </c>
      <c r="B397" s="14" t="n">
        <v>46153</v>
      </c>
      <c r="C397" s="0" t="n">
        <v>-2064.66</v>
      </c>
      <c r="D397" s="15" t="s">
        <v>3629</v>
      </c>
      <c r="E397" s="15" t="s">
        <v>3236</v>
      </c>
    </row>
    <row r="398" customFormat="false" ht="15" hidden="false" customHeight="false" outlineLevel="0" collapsed="false">
      <c r="A398" s="0" t="s">
        <v>4034</v>
      </c>
      <c r="B398" s="14" t="n">
        <v>45967</v>
      </c>
      <c r="C398" s="0" t="n">
        <v>-882.52</v>
      </c>
      <c r="D398" s="15" t="s">
        <v>3629</v>
      </c>
      <c r="E398" s="15" t="s">
        <v>3237</v>
      </c>
    </row>
    <row r="399" customFormat="false" ht="15" hidden="false" customHeight="false" outlineLevel="0" collapsed="false">
      <c r="A399" s="0" t="s">
        <v>4035</v>
      </c>
      <c r="B399" s="14" t="n">
        <v>46088</v>
      </c>
      <c r="C399" s="0" t="n">
        <v>-3855.85</v>
      </c>
      <c r="D399" s="15" t="s">
        <v>3627</v>
      </c>
      <c r="E399" s="15" t="s">
        <v>3238</v>
      </c>
    </row>
    <row r="400" customFormat="false" ht="15" hidden="false" customHeight="false" outlineLevel="0" collapsed="false">
      <c r="A400" s="0" t="s">
        <v>4036</v>
      </c>
      <c r="B400" s="14" t="n">
        <v>45941</v>
      </c>
      <c r="C400" s="0" t="n">
        <v>-1396.94</v>
      </c>
      <c r="D400" s="15" t="s">
        <v>3632</v>
      </c>
      <c r="E400" s="15" t="s">
        <v>3239</v>
      </c>
    </row>
    <row r="401" customFormat="false" ht="15" hidden="false" customHeight="false" outlineLevel="0" collapsed="false">
      <c r="A401" s="0" t="s">
        <v>4037</v>
      </c>
      <c r="B401" s="14" t="n">
        <v>45832</v>
      </c>
      <c r="C401" s="0" t="n">
        <v>-1284.51</v>
      </c>
      <c r="D401" s="15" t="s">
        <v>3657</v>
      </c>
      <c r="E401" s="15" t="s">
        <v>3240</v>
      </c>
    </row>
    <row r="402" customFormat="false" ht="15" hidden="false" customHeight="false" outlineLevel="0" collapsed="false">
      <c r="A402" s="0" t="s">
        <v>4038</v>
      </c>
      <c r="B402" s="14" t="n">
        <v>46151</v>
      </c>
      <c r="C402" s="0" t="n">
        <v>-3088.46</v>
      </c>
      <c r="D402" s="15" t="s">
        <v>3714</v>
      </c>
      <c r="E402" s="15" t="s">
        <v>3241</v>
      </c>
    </row>
    <row r="403" customFormat="false" ht="15" hidden="false" customHeight="false" outlineLevel="0" collapsed="false">
      <c r="A403" s="0" t="s">
        <v>4039</v>
      </c>
      <c r="B403" s="14" t="n">
        <v>45813</v>
      </c>
      <c r="C403" s="0" t="n">
        <v>-3083.99</v>
      </c>
      <c r="D403" s="15" t="s">
        <v>3641</v>
      </c>
      <c r="E403" s="15" t="s">
        <v>3242</v>
      </c>
    </row>
    <row r="404" customFormat="false" ht="15" hidden="false" customHeight="false" outlineLevel="0" collapsed="false">
      <c r="A404" s="0" t="s">
        <v>4040</v>
      </c>
      <c r="B404" s="14" t="n">
        <v>45904</v>
      </c>
      <c r="C404" s="0" t="n">
        <v>-1846.25</v>
      </c>
      <c r="D404" s="15" t="s">
        <v>3684</v>
      </c>
      <c r="E404" s="15" t="s">
        <v>3243</v>
      </c>
    </row>
    <row r="405" customFormat="false" ht="15" hidden="false" customHeight="false" outlineLevel="0" collapsed="false">
      <c r="A405" s="0" t="s">
        <v>4041</v>
      </c>
      <c r="B405" s="14" t="n">
        <v>46171</v>
      </c>
      <c r="C405" s="0" t="n">
        <v>-4660.66</v>
      </c>
      <c r="D405" s="15" t="s">
        <v>3617</v>
      </c>
      <c r="E405" s="15" t="s">
        <v>3244</v>
      </c>
    </row>
    <row r="406" customFormat="false" ht="15" hidden="false" customHeight="false" outlineLevel="0" collapsed="false">
      <c r="A406" s="0" t="s">
        <v>4042</v>
      </c>
      <c r="B406" s="14" t="n">
        <v>45857</v>
      </c>
      <c r="C406" s="0" t="n">
        <v>-4354.54</v>
      </c>
      <c r="D406" s="15" t="s">
        <v>3660</v>
      </c>
      <c r="E406" s="15" t="s">
        <v>3245</v>
      </c>
    </row>
    <row r="407" customFormat="false" ht="15" hidden="false" customHeight="false" outlineLevel="0" collapsed="false">
      <c r="A407" s="0" t="s">
        <v>4043</v>
      </c>
      <c r="B407" s="14" t="n">
        <v>46115</v>
      </c>
      <c r="C407" s="0" t="n">
        <v>-1820.28</v>
      </c>
      <c r="D407" s="15" t="s">
        <v>3634</v>
      </c>
      <c r="E407" s="15" t="s">
        <v>3246</v>
      </c>
    </row>
    <row r="408" customFormat="false" ht="15" hidden="false" customHeight="false" outlineLevel="0" collapsed="false">
      <c r="A408" s="0" t="s">
        <v>4044</v>
      </c>
      <c r="B408" s="14" t="n">
        <v>45984</v>
      </c>
      <c r="C408" s="0" t="n">
        <v>-1334.13</v>
      </c>
      <c r="D408" s="15" t="s">
        <v>3643</v>
      </c>
      <c r="E408" s="15" t="s">
        <v>3247</v>
      </c>
    </row>
    <row r="409" customFormat="false" ht="15" hidden="false" customHeight="false" outlineLevel="0" collapsed="false">
      <c r="A409" s="0" t="s">
        <v>4045</v>
      </c>
      <c r="B409" s="14" t="n">
        <v>46157</v>
      </c>
      <c r="C409" s="0" t="n">
        <v>-2328.91</v>
      </c>
      <c r="D409" s="15" t="s">
        <v>3660</v>
      </c>
      <c r="E409" s="15" t="s">
        <v>3248</v>
      </c>
    </row>
    <row r="410" customFormat="false" ht="15" hidden="false" customHeight="false" outlineLevel="0" collapsed="false">
      <c r="A410" s="0" t="s">
        <v>4046</v>
      </c>
      <c r="B410" s="14" t="n">
        <v>45845</v>
      </c>
      <c r="C410" s="0" t="n">
        <v>-460.42</v>
      </c>
      <c r="D410" s="15" t="s">
        <v>3717</v>
      </c>
      <c r="E410" s="15" t="s">
        <v>3249</v>
      </c>
    </row>
    <row r="411" customFormat="false" ht="15" hidden="false" customHeight="false" outlineLevel="0" collapsed="false">
      <c r="A411" s="0" t="s">
        <v>4047</v>
      </c>
      <c r="B411" s="14" t="n">
        <v>45851</v>
      </c>
      <c r="C411" s="0" t="n">
        <v>-820.42</v>
      </c>
      <c r="D411" s="15" t="s">
        <v>3714</v>
      </c>
      <c r="E411" s="15" t="s">
        <v>3250</v>
      </c>
    </row>
    <row r="412" customFormat="false" ht="15" hidden="false" customHeight="false" outlineLevel="0" collapsed="false">
      <c r="A412" s="0" t="s">
        <v>4048</v>
      </c>
      <c r="B412" s="14" t="n">
        <v>46013</v>
      </c>
      <c r="C412" s="0" t="n">
        <v>-1135.98</v>
      </c>
      <c r="D412" s="15" t="s">
        <v>3627</v>
      </c>
      <c r="E412" s="15" t="s">
        <v>3251</v>
      </c>
    </row>
    <row r="413" customFormat="false" ht="15" hidden="false" customHeight="false" outlineLevel="0" collapsed="false">
      <c r="A413" s="0" t="s">
        <v>4049</v>
      </c>
      <c r="B413" s="14" t="n">
        <v>46014</v>
      </c>
      <c r="C413" s="0" t="n">
        <v>-1135.98</v>
      </c>
      <c r="D413" s="15" t="s">
        <v>3627</v>
      </c>
      <c r="E413" s="15" t="s">
        <v>3252</v>
      </c>
    </row>
    <row r="414" customFormat="false" ht="15" hidden="false" customHeight="false" outlineLevel="0" collapsed="false">
      <c r="A414" s="0" t="s">
        <v>4050</v>
      </c>
      <c r="B414" s="14" t="n">
        <v>46003</v>
      </c>
      <c r="C414" s="0" t="n">
        <v>-1135.98</v>
      </c>
      <c r="D414" s="15" t="s">
        <v>3627</v>
      </c>
      <c r="E414" s="15" t="s">
        <v>3253</v>
      </c>
    </row>
    <row r="415" customFormat="false" ht="15" hidden="false" customHeight="false" outlineLevel="0" collapsed="false">
      <c r="A415" s="0" t="s">
        <v>4051</v>
      </c>
      <c r="B415" s="14" t="n">
        <v>45952</v>
      </c>
      <c r="C415" s="0" t="n">
        <v>-15313.53</v>
      </c>
      <c r="D415" s="15" t="s">
        <v>3666</v>
      </c>
      <c r="E415" s="15" t="s">
        <v>3254</v>
      </c>
    </row>
    <row r="416" customFormat="false" ht="15" hidden="false" customHeight="false" outlineLevel="0" collapsed="false">
      <c r="A416" s="0" t="s">
        <v>4052</v>
      </c>
      <c r="B416" s="14" t="n">
        <v>45752</v>
      </c>
      <c r="C416" s="0" t="n">
        <v>-653.1</v>
      </c>
      <c r="D416" s="15" t="s">
        <v>3634</v>
      </c>
      <c r="E416" s="15" t="s">
        <v>3255</v>
      </c>
    </row>
    <row r="417" customFormat="false" ht="15" hidden="false" customHeight="false" outlineLevel="0" collapsed="false">
      <c r="A417" s="0" t="s">
        <v>4053</v>
      </c>
      <c r="B417" s="14" t="n">
        <v>45988</v>
      </c>
      <c r="C417" s="0" t="n">
        <v>-2324.66</v>
      </c>
      <c r="D417" s="15" t="s">
        <v>3652</v>
      </c>
      <c r="E417" s="15" t="s">
        <v>3256</v>
      </c>
    </row>
    <row r="418" customFormat="false" ht="15" hidden="false" customHeight="false" outlineLevel="0" collapsed="false">
      <c r="A418" s="0" t="s">
        <v>4054</v>
      </c>
      <c r="B418" s="14" t="n">
        <v>45890</v>
      </c>
      <c r="C418" s="0" t="n">
        <v>-1644.55</v>
      </c>
      <c r="D418" s="15" t="s">
        <v>3679</v>
      </c>
      <c r="E418" s="15" t="s">
        <v>3257</v>
      </c>
    </row>
    <row r="419" customFormat="false" ht="15" hidden="false" customHeight="false" outlineLevel="0" collapsed="false">
      <c r="A419" s="0" t="s">
        <v>4055</v>
      </c>
      <c r="B419" s="14" t="n">
        <v>45890</v>
      </c>
      <c r="C419" s="0" t="n">
        <v>-1644.55</v>
      </c>
      <c r="D419" s="15" t="s">
        <v>3679</v>
      </c>
      <c r="E419" s="15" t="s">
        <v>3258</v>
      </c>
    </row>
    <row r="420" customFormat="false" ht="15" hidden="false" customHeight="false" outlineLevel="0" collapsed="false">
      <c r="A420" s="0" t="s">
        <v>4056</v>
      </c>
      <c r="B420" s="14" t="n">
        <v>45970</v>
      </c>
      <c r="C420" s="0" t="n">
        <v>-236.77</v>
      </c>
      <c r="D420" s="15" t="s">
        <v>3749</v>
      </c>
      <c r="E420" s="15" t="s">
        <v>3259</v>
      </c>
    </row>
    <row r="421" customFormat="false" ht="15" hidden="false" customHeight="false" outlineLevel="0" collapsed="false">
      <c r="A421" s="0" t="s">
        <v>4057</v>
      </c>
      <c r="B421" s="14" t="n">
        <v>45997</v>
      </c>
      <c r="C421" s="0" t="n">
        <v>-1018.47</v>
      </c>
      <c r="D421" s="15" t="s">
        <v>3670</v>
      </c>
      <c r="E421" s="15" t="s">
        <v>3260</v>
      </c>
    </row>
    <row r="422" customFormat="false" ht="15" hidden="false" customHeight="false" outlineLevel="0" collapsed="false">
      <c r="A422" s="0" t="s">
        <v>4058</v>
      </c>
      <c r="B422" s="14" t="n">
        <v>45930</v>
      </c>
      <c r="C422" s="0" t="n">
        <v>-3142.38</v>
      </c>
      <c r="D422" s="15" t="s">
        <v>3625</v>
      </c>
      <c r="E422" s="15" t="s">
        <v>3261</v>
      </c>
    </row>
    <row r="423" customFormat="false" ht="15" hidden="false" customHeight="false" outlineLevel="0" collapsed="false">
      <c r="A423" s="0" t="s">
        <v>4059</v>
      </c>
      <c r="B423" s="14" t="n">
        <v>45854</v>
      </c>
      <c r="C423" s="0" t="n">
        <v>-2788.31</v>
      </c>
      <c r="D423" s="15" t="s">
        <v>3601</v>
      </c>
      <c r="E423" s="15" t="s">
        <v>3262</v>
      </c>
    </row>
    <row r="424" customFormat="false" ht="15" hidden="false" customHeight="false" outlineLevel="0" collapsed="false">
      <c r="A424" s="0" t="s">
        <v>4060</v>
      </c>
      <c r="B424" s="14" t="n">
        <v>45798</v>
      </c>
      <c r="C424" s="0" t="n">
        <v>-12520.7</v>
      </c>
      <c r="D424" s="15" t="s">
        <v>3607</v>
      </c>
      <c r="E424" s="15" t="s">
        <v>3263</v>
      </c>
    </row>
    <row r="425" customFormat="false" ht="15" hidden="false" customHeight="false" outlineLevel="0" collapsed="false">
      <c r="A425" s="0" t="s">
        <v>4061</v>
      </c>
      <c r="B425" s="14" t="n">
        <v>46076</v>
      </c>
      <c r="C425" s="0" t="n">
        <v>-1099.38</v>
      </c>
      <c r="D425" s="15" t="s">
        <v>3684</v>
      </c>
      <c r="E425" s="15" t="s">
        <v>3264</v>
      </c>
    </row>
    <row r="426" customFormat="false" ht="15" hidden="false" customHeight="false" outlineLevel="0" collapsed="false">
      <c r="A426" s="0" t="s">
        <v>4062</v>
      </c>
      <c r="B426" s="14" t="n">
        <v>46020</v>
      </c>
      <c r="C426" s="0" t="n">
        <v>-3207.79</v>
      </c>
      <c r="D426" s="15" t="s">
        <v>3649</v>
      </c>
      <c r="E426" s="15" t="s">
        <v>3265</v>
      </c>
    </row>
    <row r="427" customFormat="false" ht="15" hidden="false" customHeight="false" outlineLevel="0" collapsed="false">
      <c r="A427" s="0" t="s">
        <v>4063</v>
      </c>
      <c r="B427" s="14" t="n">
        <v>45810</v>
      </c>
      <c r="C427" s="0" t="n">
        <v>-182.59</v>
      </c>
      <c r="D427" s="15" t="s">
        <v>3666</v>
      </c>
      <c r="E427" s="15" t="s">
        <v>3266</v>
      </c>
    </row>
    <row r="428" customFormat="false" ht="15" hidden="false" customHeight="false" outlineLevel="0" collapsed="false">
      <c r="A428" s="0" t="s">
        <v>4064</v>
      </c>
      <c r="B428" s="14" t="n">
        <v>46118</v>
      </c>
      <c r="C428" s="0" t="n">
        <v>-1223.73</v>
      </c>
      <c r="D428" s="15" t="s">
        <v>3605</v>
      </c>
      <c r="E428" s="15" t="s">
        <v>3267</v>
      </c>
    </row>
    <row r="429" customFormat="false" ht="15" hidden="false" customHeight="false" outlineLevel="0" collapsed="false">
      <c r="A429" s="0" t="s">
        <v>4065</v>
      </c>
      <c r="B429" s="14" t="n">
        <v>45709</v>
      </c>
      <c r="C429" s="0" t="n">
        <v>-585.34</v>
      </c>
      <c r="D429" s="15" t="s">
        <v>3611</v>
      </c>
      <c r="E429" s="15" t="s">
        <v>3268</v>
      </c>
    </row>
    <row r="430" customFormat="false" ht="15" hidden="false" customHeight="false" outlineLevel="0" collapsed="false">
      <c r="A430" s="0" t="s">
        <v>4066</v>
      </c>
      <c r="B430" s="14" t="n">
        <v>46084</v>
      </c>
      <c r="C430" s="0" t="n">
        <v>-40497.91</v>
      </c>
      <c r="D430" s="15" t="s">
        <v>3636</v>
      </c>
      <c r="E430" s="15" t="s">
        <v>3269</v>
      </c>
    </row>
    <row r="431" customFormat="false" ht="15" hidden="false" customHeight="false" outlineLevel="0" collapsed="false">
      <c r="A431" s="0" t="s">
        <v>4067</v>
      </c>
      <c r="B431" s="14" t="n">
        <v>46052</v>
      </c>
      <c r="C431" s="0" t="n">
        <v>-8071.8</v>
      </c>
      <c r="D431" s="15" t="s">
        <v>3617</v>
      </c>
      <c r="E431" s="15" t="s">
        <v>3270</v>
      </c>
    </row>
    <row r="432" customFormat="false" ht="15" hidden="false" customHeight="false" outlineLevel="0" collapsed="false">
      <c r="A432" s="0" t="s">
        <v>4068</v>
      </c>
      <c r="B432" s="14" t="n">
        <v>45926</v>
      </c>
      <c r="C432" s="0" t="n">
        <v>-1395.93</v>
      </c>
      <c r="D432" s="15" t="s">
        <v>3655</v>
      </c>
      <c r="E432" s="15" t="s">
        <v>3271</v>
      </c>
    </row>
    <row r="433" customFormat="false" ht="15" hidden="false" customHeight="false" outlineLevel="0" collapsed="false">
      <c r="A433" s="0" t="s">
        <v>4069</v>
      </c>
      <c r="B433" s="14" t="n">
        <v>46055</v>
      </c>
      <c r="C433" s="0" t="n">
        <v>-2578.48</v>
      </c>
      <c r="D433" s="15" t="s">
        <v>3684</v>
      </c>
      <c r="E433" s="15" t="s">
        <v>3272</v>
      </c>
    </row>
    <row r="434" customFormat="false" ht="15" hidden="false" customHeight="false" outlineLevel="0" collapsed="false">
      <c r="A434" s="0" t="s">
        <v>4070</v>
      </c>
      <c r="B434" s="14" t="n">
        <v>46137</v>
      </c>
      <c r="C434" s="0" t="n">
        <v>-891.87</v>
      </c>
      <c r="D434" s="15" t="s">
        <v>3623</v>
      </c>
      <c r="E434" s="15" t="s">
        <v>3273</v>
      </c>
    </row>
    <row r="435" customFormat="false" ht="15" hidden="false" customHeight="false" outlineLevel="0" collapsed="false">
      <c r="A435" s="0" t="s">
        <v>4071</v>
      </c>
      <c r="B435" s="14" t="n">
        <v>45968</v>
      </c>
      <c r="C435" s="0" t="n">
        <v>-1155.61</v>
      </c>
      <c r="D435" s="15" t="s">
        <v>3672</v>
      </c>
      <c r="E435" s="15" t="s">
        <v>3274</v>
      </c>
    </row>
    <row r="436" customFormat="false" ht="15" hidden="false" customHeight="false" outlineLevel="0" collapsed="false">
      <c r="A436" s="0" t="s">
        <v>4072</v>
      </c>
      <c r="B436" s="14" t="n">
        <v>45708</v>
      </c>
      <c r="C436" s="0" t="n">
        <v>-542.8</v>
      </c>
      <c r="D436" s="15" t="s">
        <v>3634</v>
      </c>
      <c r="E436" s="15" t="s">
        <v>3275</v>
      </c>
    </row>
    <row r="437" customFormat="false" ht="15" hidden="false" customHeight="false" outlineLevel="0" collapsed="false">
      <c r="A437" s="0" t="s">
        <v>4073</v>
      </c>
      <c r="B437" s="14" t="n">
        <v>45983</v>
      </c>
      <c r="C437" s="0" t="n">
        <v>-1208.25</v>
      </c>
      <c r="D437" s="15" t="s">
        <v>3703</v>
      </c>
      <c r="E437" s="15" t="s">
        <v>3276</v>
      </c>
    </row>
    <row r="438" customFormat="false" ht="15" hidden="false" customHeight="false" outlineLevel="0" collapsed="false">
      <c r="A438" s="0" t="s">
        <v>4074</v>
      </c>
      <c r="B438" s="14" t="n">
        <v>46006</v>
      </c>
      <c r="C438" s="0" t="n">
        <v>-1492.36</v>
      </c>
      <c r="D438" s="15" t="s">
        <v>3657</v>
      </c>
      <c r="E438" s="15" t="s">
        <v>3277</v>
      </c>
    </row>
    <row r="439" customFormat="false" ht="15" hidden="false" customHeight="false" outlineLevel="0" collapsed="false">
      <c r="A439" s="0" t="s">
        <v>4075</v>
      </c>
      <c r="B439" s="14" t="n">
        <v>46167</v>
      </c>
      <c r="C439" s="0" t="n">
        <v>-916.33</v>
      </c>
      <c r="D439" s="15" t="s">
        <v>3643</v>
      </c>
      <c r="E439" s="15" t="s">
        <v>3278</v>
      </c>
    </row>
    <row r="440" customFormat="false" ht="15" hidden="false" customHeight="false" outlineLevel="0" collapsed="false">
      <c r="A440" s="0" t="s">
        <v>4076</v>
      </c>
      <c r="B440" s="14" t="n">
        <v>46160</v>
      </c>
      <c r="C440" s="0" t="n">
        <v>-13637.91</v>
      </c>
      <c r="D440" s="15" t="s">
        <v>3617</v>
      </c>
      <c r="E440" s="15" t="s">
        <v>3279</v>
      </c>
    </row>
    <row r="441" customFormat="false" ht="15" hidden="false" customHeight="false" outlineLevel="0" collapsed="false">
      <c r="A441" s="0" t="s">
        <v>4077</v>
      </c>
      <c r="B441" s="14" t="n">
        <v>45929</v>
      </c>
      <c r="C441" s="0" t="n">
        <v>-984.21</v>
      </c>
      <c r="D441" s="15" t="s">
        <v>3623</v>
      </c>
      <c r="E441" s="15" t="s">
        <v>3280</v>
      </c>
    </row>
    <row r="442" customFormat="false" ht="15" hidden="false" customHeight="false" outlineLevel="0" collapsed="false">
      <c r="A442" s="0" t="s">
        <v>4078</v>
      </c>
      <c r="B442" s="14" t="n">
        <v>45972</v>
      </c>
      <c r="C442" s="0" t="n">
        <v>-2718.82</v>
      </c>
      <c r="D442" s="15" t="s">
        <v>3655</v>
      </c>
      <c r="E442" s="15" t="s">
        <v>3281</v>
      </c>
    </row>
    <row r="443" customFormat="false" ht="15" hidden="false" customHeight="false" outlineLevel="0" collapsed="false">
      <c r="A443" s="0" t="s">
        <v>4079</v>
      </c>
      <c r="B443" s="14" t="n">
        <v>46038</v>
      </c>
      <c r="C443" s="0" t="n">
        <v>-790.15</v>
      </c>
      <c r="D443" s="15" t="s">
        <v>3603</v>
      </c>
      <c r="E443" s="15" t="s">
        <v>3282</v>
      </c>
    </row>
    <row r="444" customFormat="false" ht="15" hidden="false" customHeight="false" outlineLevel="0" collapsed="false">
      <c r="A444" s="0" t="s">
        <v>4080</v>
      </c>
      <c r="B444" s="14" t="n">
        <v>45778</v>
      </c>
      <c r="C444" s="0" t="n">
        <v>-2141.21</v>
      </c>
      <c r="D444" s="15" t="s">
        <v>3641</v>
      </c>
      <c r="E444" s="15" t="s">
        <v>3283</v>
      </c>
    </row>
    <row r="445" customFormat="false" ht="15" hidden="false" customHeight="false" outlineLevel="0" collapsed="false">
      <c r="A445" s="0" t="s">
        <v>4081</v>
      </c>
      <c r="B445" s="14" t="n">
        <v>45957</v>
      </c>
      <c r="C445" s="0" t="n">
        <v>-506.73</v>
      </c>
      <c r="D445" s="15" t="s">
        <v>3690</v>
      </c>
      <c r="E445" s="15" t="s">
        <v>3284</v>
      </c>
    </row>
    <row r="446" customFormat="false" ht="15" hidden="false" customHeight="false" outlineLevel="0" collapsed="false">
      <c r="A446" s="0" t="s">
        <v>4082</v>
      </c>
      <c r="B446" s="14" t="n">
        <v>45938</v>
      </c>
      <c r="C446" s="0" t="n">
        <v>-426.29</v>
      </c>
      <c r="D446" s="15" t="s">
        <v>3690</v>
      </c>
      <c r="E446" s="15" t="s">
        <v>3285</v>
      </c>
    </row>
    <row r="447" customFormat="false" ht="15" hidden="false" customHeight="false" outlineLevel="0" collapsed="false">
      <c r="A447" s="0" t="s">
        <v>4083</v>
      </c>
      <c r="B447" s="14" t="n">
        <v>45863</v>
      </c>
      <c r="C447" s="0" t="n">
        <v>-3958.3</v>
      </c>
      <c r="D447" s="15" t="s">
        <v>3714</v>
      </c>
      <c r="E447" s="15" t="s">
        <v>3286</v>
      </c>
    </row>
    <row r="448" customFormat="false" ht="15" hidden="false" customHeight="false" outlineLevel="0" collapsed="false">
      <c r="A448" s="0" t="s">
        <v>4084</v>
      </c>
      <c r="B448" s="14" t="n">
        <v>46070</v>
      </c>
      <c r="C448" s="0" t="n">
        <v>-3426.38</v>
      </c>
      <c r="D448" s="15" t="s">
        <v>3670</v>
      </c>
      <c r="E448" s="15" t="s">
        <v>3287</v>
      </c>
    </row>
    <row r="449" customFormat="false" ht="15" hidden="false" customHeight="false" outlineLevel="0" collapsed="false">
      <c r="A449" s="0" t="s">
        <v>4085</v>
      </c>
      <c r="B449" s="14" t="n">
        <v>46035</v>
      </c>
      <c r="C449" s="0" t="n">
        <v>-663.66</v>
      </c>
      <c r="D449" s="15" t="s">
        <v>3786</v>
      </c>
      <c r="E449" s="15" t="s">
        <v>3288</v>
      </c>
    </row>
    <row r="450" customFormat="false" ht="15" hidden="false" customHeight="false" outlineLevel="0" collapsed="false">
      <c r="A450" s="0" t="s">
        <v>4086</v>
      </c>
      <c r="B450" s="14" t="n">
        <v>46147</v>
      </c>
      <c r="C450" s="0" t="n">
        <v>-980.08</v>
      </c>
      <c r="D450" s="15" t="s">
        <v>3690</v>
      </c>
      <c r="E450" s="15" t="s">
        <v>3289</v>
      </c>
    </row>
    <row r="451" customFormat="false" ht="15" hidden="false" customHeight="false" outlineLevel="0" collapsed="false">
      <c r="A451" s="0" t="s">
        <v>4087</v>
      </c>
      <c r="B451" s="14" t="n">
        <v>46169</v>
      </c>
      <c r="C451" s="0" t="n">
        <v>-2579.28</v>
      </c>
      <c r="D451" s="15" t="s">
        <v>3623</v>
      </c>
      <c r="E451" s="15" t="s">
        <v>3290</v>
      </c>
    </row>
    <row r="452" customFormat="false" ht="15" hidden="false" customHeight="false" outlineLevel="0" collapsed="false">
      <c r="A452" s="0" t="s">
        <v>4088</v>
      </c>
      <c r="B452" s="14" t="n">
        <v>45906</v>
      </c>
      <c r="C452" s="0" t="n">
        <v>-3221.77</v>
      </c>
      <c r="D452" s="15" t="s">
        <v>3676</v>
      </c>
      <c r="E452" s="15" t="s">
        <v>3291</v>
      </c>
    </row>
    <row r="453" customFormat="false" ht="15" hidden="false" customHeight="false" outlineLevel="0" collapsed="false">
      <c r="A453" s="0" t="s">
        <v>4089</v>
      </c>
      <c r="B453" s="14" t="n">
        <v>45842</v>
      </c>
      <c r="C453" s="0" t="n">
        <v>-130.66</v>
      </c>
      <c r="D453" s="15" t="s">
        <v>3676</v>
      </c>
      <c r="E453" s="15" t="s">
        <v>3292</v>
      </c>
    </row>
    <row r="454" customFormat="false" ht="15" hidden="false" customHeight="false" outlineLevel="0" collapsed="false">
      <c r="A454" s="0" t="s">
        <v>4090</v>
      </c>
      <c r="B454" s="14" t="n">
        <v>46087</v>
      </c>
      <c r="C454" s="0" t="n">
        <v>-1768.65</v>
      </c>
      <c r="D454" s="15" t="s">
        <v>3603</v>
      </c>
      <c r="E454" s="15" t="s">
        <v>3293</v>
      </c>
    </row>
    <row r="455" customFormat="false" ht="15" hidden="false" customHeight="false" outlineLevel="0" collapsed="false">
      <c r="A455" s="0" t="s">
        <v>4091</v>
      </c>
      <c r="B455" s="14" t="n">
        <v>46118</v>
      </c>
      <c r="C455" s="0" t="n">
        <v>-359.03</v>
      </c>
      <c r="D455" s="15" t="s">
        <v>3601</v>
      </c>
      <c r="E455" s="15" t="s">
        <v>3294</v>
      </c>
    </row>
    <row r="456" customFormat="false" ht="15" hidden="false" customHeight="false" outlineLevel="0" collapsed="false">
      <c r="A456" s="0" t="s">
        <v>4092</v>
      </c>
      <c r="B456" s="14" t="n">
        <v>46157</v>
      </c>
      <c r="C456" s="0" t="n">
        <v>-2508.58</v>
      </c>
      <c r="D456" s="15" t="s">
        <v>3639</v>
      </c>
      <c r="E456" s="15" t="s">
        <v>3295</v>
      </c>
    </row>
    <row r="457" customFormat="false" ht="15" hidden="false" customHeight="false" outlineLevel="0" collapsed="false">
      <c r="A457" s="0" t="s">
        <v>4093</v>
      </c>
      <c r="B457" s="14" t="n">
        <v>45740</v>
      </c>
      <c r="C457" s="0" t="n">
        <v>-1846.15</v>
      </c>
      <c r="D457" s="15" t="s">
        <v>3690</v>
      </c>
      <c r="E457" s="15" t="s">
        <v>3296</v>
      </c>
    </row>
    <row r="458" customFormat="false" ht="15" hidden="false" customHeight="false" outlineLevel="0" collapsed="false">
      <c r="A458" s="0" t="s">
        <v>4094</v>
      </c>
      <c r="B458" s="14" t="n">
        <v>46044</v>
      </c>
      <c r="C458" s="0" t="n">
        <v>-1888.25</v>
      </c>
      <c r="D458" s="15" t="s">
        <v>3629</v>
      </c>
      <c r="E458" s="15" t="s">
        <v>3297</v>
      </c>
    </row>
    <row r="459" customFormat="false" ht="15" hidden="false" customHeight="false" outlineLevel="0" collapsed="false">
      <c r="A459" s="0" t="s">
        <v>4095</v>
      </c>
      <c r="B459" s="14" t="n">
        <v>46116</v>
      </c>
      <c r="C459" s="0" t="n">
        <v>-28542.14</v>
      </c>
      <c r="D459" s="15" t="s">
        <v>3655</v>
      </c>
      <c r="E459" s="15" t="s">
        <v>3298</v>
      </c>
    </row>
    <row r="460" customFormat="false" ht="15" hidden="false" customHeight="false" outlineLevel="0" collapsed="false">
      <c r="A460" s="0" t="s">
        <v>4096</v>
      </c>
      <c r="B460" s="14" t="n">
        <v>45915</v>
      </c>
      <c r="C460" s="0" t="n">
        <v>-13194.36</v>
      </c>
      <c r="D460" s="15" t="s">
        <v>3786</v>
      </c>
      <c r="E460" s="15" t="s">
        <v>3299</v>
      </c>
    </row>
    <row r="461" customFormat="false" ht="15" hidden="false" customHeight="false" outlineLevel="0" collapsed="false">
      <c r="A461" s="0" t="s">
        <v>4097</v>
      </c>
      <c r="B461" s="14" t="n">
        <v>46045</v>
      </c>
      <c r="C461" s="0" t="n">
        <v>-999.65</v>
      </c>
      <c r="D461" s="15" t="s">
        <v>3601</v>
      </c>
      <c r="E461" s="15" t="s">
        <v>3300</v>
      </c>
    </row>
    <row r="462" customFormat="false" ht="15" hidden="false" customHeight="false" outlineLevel="0" collapsed="false">
      <c r="A462" s="0" t="s">
        <v>4098</v>
      </c>
      <c r="B462" s="14" t="n">
        <v>46179</v>
      </c>
      <c r="C462" s="0" t="n">
        <v>-2025.11</v>
      </c>
      <c r="D462" s="15" t="s">
        <v>3690</v>
      </c>
      <c r="E462" s="15" t="s">
        <v>3301</v>
      </c>
    </row>
    <row r="463" customFormat="false" ht="15" hidden="false" customHeight="false" outlineLevel="0" collapsed="false">
      <c r="A463" s="0" t="s">
        <v>4099</v>
      </c>
      <c r="B463" s="14" t="n">
        <v>46173</v>
      </c>
      <c r="C463" s="0" t="n">
        <v>-2025.11</v>
      </c>
      <c r="D463" s="15" t="s">
        <v>3690</v>
      </c>
      <c r="E463" s="15" t="s">
        <v>3302</v>
      </c>
    </row>
    <row r="464" customFormat="false" ht="15" hidden="false" customHeight="false" outlineLevel="0" collapsed="false">
      <c r="A464" s="0" t="s">
        <v>4100</v>
      </c>
      <c r="B464" s="14" t="n">
        <v>45933</v>
      </c>
      <c r="C464" s="0" t="n">
        <v>-1346.34</v>
      </c>
      <c r="D464" s="15" t="s">
        <v>3643</v>
      </c>
      <c r="E464" s="15" t="s">
        <v>3303</v>
      </c>
    </row>
    <row r="465" customFormat="false" ht="15" hidden="false" customHeight="false" outlineLevel="0" collapsed="false">
      <c r="A465" s="0" t="s">
        <v>4101</v>
      </c>
      <c r="B465" s="14" t="n">
        <v>46050</v>
      </c>
      <c r="C465" s="0" t="n">
        <v>-473.72</v>
      </c>
      <c r="D465" s="15" t="s">
        <v>3639</v>
      </c>
      <c r="E465" s="15" t="s">
        <v>3304</v>
      </c>
    </row>
    <row r="466" customFormat="false" ht="15" hidden="false" customHeight="false" outlineLevel="0" collapsed="false">
      <c r="A466" s="0" t="s">
        <v>4102</v>
      </c>
      <c r="B466" s="14" t="n">
        <v>46128</v>
      </c>
      <c r="C466" s="0" t="n">
        <v>-4513.74</v>
      </c>
      <c r="D466" s="15" t="s">
        <v>3676</v>
      </c>
      <c r="E466" s="15" t="s">
        <v>3305</v>
      </c>
    </row>
    <row r="467" customFormat="false" ht="15" hidden="false" customHeight="false" outlineLevel="0" collapsed="false">
      <c r="A467" s="0" t="s">
        <v>4103</v>
      </c>
      <c r="B467" s="14" t="n">
        <v>45841</v>
      </c>
      <c r="C467" s="0" t="n">
        <v>-1308.52</v>
      </c>
      <c r="D467" s="15" t="s">
        <v>3627</v>
      </c>
      <c r="E467" s="15" t="s">
        <v>3306</v>
      </c>
    </row>
    <row r="468" customFormat="false" ht="15" hidden="false" customHeight="false" outlineLevel="0" collapsed="false">
      <c r="A468" s="0" t="s">
        <v>4104</v>
      </c>
      <c r="B468" s="14" t="n">
        <v>45871</v>
      </c>
      <c r="C468" s="0" t="n">
        <v>-2254.68</v>
      </c>
      <c r="D468" s="15" t="s">
        <v>3627</v>
      </c>
      <c r="E468" s="15" t="s">
        <v>3307</v>
      </c>
    </row>
    <row r="469" customFormat="false" ht="15" hidden="false" customHeight="false" outlineLevel="0" collapsed="false">
      <c r="A469" s="0" t="s">
        <v>4105</v>
      </c>
      <c r="B469" s="14" t="n">
        <v>45894</v>
      </c>
      <c r="C469" s="0" t="n">
        <v>-2254.68</v>
      </c>
      <c r="D469" s="15" t="s">
        <v>3627</v>
      </c>
      <c r="E469" s="15" t="s">
        <v>3308</v>
      </c>
    </row>
    <row r="470" customFormat="false" ht="15" hidden="false" customHeight="false" outlineLevel="0" collapsed="false">
      <c r="A470" s="0" t="s">
        <v>4106</v>
      </c>
      <c r="B470" s="14" t="n">
        <v>45760</v>
      </c>
      <c r="C470" s="0" t="n">
        <v>-5770.92</v>
      </c>
      <c r="D470" s="15" t="s">
        <v>3649</v>
      </c>
      <c r="E470" s="15" t="s">
        <v>3309</v>
      </c>
    </row>
    <row r="471" customFormat="false" ht="15" hidden="false" customHeight="false" outlineLevel="0" collapsed="false">
      <c r="A471" s="0" t="s">
        <v>4107</v>
      </c>
      <c r="B471" s="14" t="n">
        <v>45975</v>
      </c>
      <c r="C471" s="0" t="n">
        <v>-2271.46</v>
      </c>
      <c r="D471" s="15" t="s">
        <v>3617</v>
      </c>
      <c r="E471" s="15" t="s">
        <v>3310</v>
      </c>
    </row>
    <row r="472" customFormat="false" ht="15" hidden="false" customHeight="false" outlineLevel="0" collapsed="false">
      <c r="A472" s="0" t="s">
        <v>4108</v>
      </c>
      <c r="B472" s="14" t="n">
        <v>45997</v>
      </c>
      <c r="C472" s="0" t="n">
        <v>-567.17</v>
      </c>
      <c r="D472" s="15" t="s">
        <v>3655</v>
      </c>
      <c r="E472" s="15" t="s">
        <v>3311</v>
      </c>
    </row>
    <row r="473" customFormat="false" ht="15" hidden="false" customHeight="false" outlineLevel="0" collapsed="false">
      <c r="A473" s="0" t="s">
        <v>4109</v>
      </c>
      <c r="B473" s="14" t="n">
        <v>46104</v>
      </c>
      <c r="C473" s="0" t="n">
        <v>-4021.66</v>
      </c>
      <c r="D473" s="15" t="s">
        <v>3690</v>
      </c>
      <c r="E473" s="15" t="s">
        <v>3312</v>
      </c>
    </row>
    <row r="474" customFormat="false" ht="15" hidden="false" customHeight="false" outlineLevel="0" collapsed="false">
      <c r="A474" s="0" t="s">
        <v>4110</v>
      </c>
      <c r="B474" s="14" t="n">
        <v>45720</v>
      </c>
      <c r="C474" s="0" t="n">
        <v>-21176.94</v>
      </c>
      <c r="D474" s="15" t="s">
        <v>3619</v>
      </c>
      <c r="E474" s="15" t="s">
        <v>3313</v>
      </c>
    </row>
    <row r="475" customFormat="false" ht="15" hidden="false" customHeight="false" outlineLevel="0" collapsed="false">
      <c r="A475" s="0" t="s">
        <v>4111</v>
      </c>
      <c r="B475" s="14" t="n">
        <v>46178</v>
      </c>
      <c r="C475" s="0" t="n">
        <v>-3298.58</v>
      </c>
      <c r="D475" s="15" t="s">
        <v>3690</v>
      </c>
      <c r="E475" s="15" t="s">
        <v>3314</v>
      </c>
    </row>
    <row r="476" customFormat="false" ht="15" hidden="false" customHeight="false" outlineLevel="0" collapsed="false">
      <c r="A476" s="0" t="s">
        <v>4112</v>
      </c>
      <c r="B476" s="14" t="n">
        <v>46021</v>
      </c>
      <c r="C476" s="0" t="n">
        <v>-6459.27</v>
      </c>
      <c r="D476" s="15" t="s">
        <v>3679</v>
      </c>
      <c r="E476" s="15" t="s">
        <v>3315</v>
      </c>
    </row>
    <row r="477" customFormat="false" ht="15" hidden="false" customHeight="false" outlineLevel="0" collapsed="false">
      <c r="A477" s="0" t="s">
        <v>4113</v>
      </c>
      <c r="B477" s="14" t="n">
        <v>45826</v>
      </c>
      <c r="C477" s="0" t="n">
        <v>-622.67</v>
      </c>
      <c r="D477" s="15" t="s">
        <v>3655</v>
      </c>
      <c r="E477" s="15" t="s">
        <v>3316</v>
      </c>
    </row>
    <row r="478" customFormat="false" ht="15" hidden="false" customHeight="false" outlineLevel="0" collapsed="false">
      <c r="A478" s="0" t="s">
        <v>4114</v>
      </c>
      <c r="B478" s="14" t="n">
        <v>45753</v>
      </c>
      <c r="C478" s="0" t="n">
        <v>-4894.13</v>
      </c>
      <c r="D478" s="15" t="s">
        <v>3613</v>
      </c>
      <c r="E478" s="15" t="s">
        <v>3317</v>
      </c>
    </row>
    <row r="479" customFormat="false" ht="15" hidden="false" customHeight="false" outlineLevel="0" collapsed="false">
      <c r="A479" s="0" t="s">
        <v>4115</v>
      </c>
      <c r="B479" s="14" t="n">
        <v>45947</v>
      </c>
      <c r="C479" s="0" t="n">
        <v>-640.41</v>
      </c>
      <c r="D479" s="15" t="s">
        <v>3625</v>
      </c>
      <c r="E479" s="15" t="s">
        <v>3318</v>
      </c>
    </row>
    <row r="480" customFormat="false" ht="15" hidden="false" customHeight="false" outlineLevel="0" collapsed="false">
      <c r="A480" s="0" t="s">
        <v>4116</v>
      </c>
      <c r="B480" s="14" t="n">
        <v>45818</v>
      </c>
      <c r="C480" s="0" t="n">
        <v>-6607.07</v>
      </c>
      <c r="D480" s="15" t="s">
        <v>3617</v>
      </c>
      <c r="E480" s="15" t="s">
        <v>3319</v>
      </c>
    </row>
    <row r="481" customFormat="false" ht="15" hidden="false" customHeight="false" outlineLevel="0" collapsed="false">
      <c r="A481" s="0" t="s">
        <v>4117</v>
      </c>
      <c r="B481" s="14" t="n">
        <v>45848</v>
      </c>
      <c r="C481" s="0" t="n">
        <v>-647.86</v>
      </c>
      <c r="D481" s="15" t="s">
        <v>3627</v>
      </c>
      <c r="E481" s="15" t="s">
        <v>3320</v>
      </c>
    </row>
    <row r="482" customFormat="false" ht="15" hidden="false" customHeight="false" outlineLevel="0" collapsed="false">
      <c r="A482" s="0" t="s">
        <v>4118</v>
      </c>
      <c r="B482" s="14" t="n">
        <v>45717</v>
      </c>
      <c r="C482" s="0" t="n">
        <v>-517.06</v>
      </c>
      <c r="D482" s="15" t="s">
        <v>3607</v>
      </c>
      <c r="E482" s="15" t="s">
        <v>3321</v>
      </c>
    </row>
    <row r="483" customFormat="false" ht="15" hidden="false" customHeight="false" outlineLevel="0" collapsed="false">
      <c r="A483" s="0" t="s">
        <v>4119</v>
      </c>
      <c r="B483" s="14" t="n">
        <v>46114</v>
      </c>
      <c r="C483" s="0" t="n">
        <v>-316.1</v>
      </c>
      <c r="D483" s="15" t="s">
        <v>3660</v>
      </c>
      <c r="E483" s="15" t="s">
        <v>3322</v>
      </c>
    </row>
    <row r="484" customFormat="false" ht="15" hidden="false" customHeight="false" outlineLevel="0" collapsed="false">
      <c r="A484" s="0" t="s">
        <v>4120</v>
      </c>
      <c r="B484" s="14" t="n">
        <v>46191</v>
      </c>
      <c r="C484" s="0" t="n">
        <v>-4436.8</v>
      </c>
      <c r="D484" s="15" t="s">
        <v>3601</v>
      </c>
      <c r="E484" s="15" t="s">
        <v>3323</v>
      </c>
    </row>
    <row r="485" customFormat="false" ht="15" hidden="false" customHeight="false" outlineLevel="0" collapsed="false">
      <c r="A485" s="0" t="s">
        <v>4121</v>
      </c>
      <c r="B485" s="14" t="n">
        <v>46054</v>
      </c>
      <c r="C485" s="0" t="n">
        <v>-6594.42</v>
      </c>
      <c r="D485" s="15" t="s">
        <v>3621</v>
      </c>
      <c r="E485" s="15" t="s">
        <v>3324</v>
      </c>
    </row>
    <row r="486" customFormat="false" ht="15" hidden="false" customHeight="false" outlineLevel="0" collapsed="false">
      <c r="A486" s="0" t="s">
        <v>4122</v>
      </c>
      <c r="B486" s="14" t="n">
        <v>45781</v>
      </c>
      <c r="C486" s="0" t="n">
        <v>-836.54</v>
      </c>
      <c r="D486" s="15" t="s">
        <v>3632</v>
      </c>
      <c r="E486" s="15" t="s">
        <v>3325</v>
      </c>
    </row>
    <row r="487" customFormat="false" ht="15" hidden="false" customHeight="false" outlineLevel="0" collapsed="false">
      <c r="A487" s="0" t="s">
        <v>4123</v>
      </c>
      <c r="B487" s="14" t="n">
        <v>45954</v>
      </c>
      <c r="C487" s="0" t="n">
        <v>-1170.71</v>
      </c>
      <c r="D487" s="15" t="s">
        <v>3599</v>
      </c>
      <c r="E487" s="15" t="s">
        <v>3326</v>
      </c>
    </row>
    <row r="488" customFormat="false" ht="15" hidden="false" customHeight="false" outlineLevel="0" collapsed="false">
      <c r="A488" s="0" t="s">
        <v>4124</v>
      </c>
      <c r="B488" s="14" t="n">
        <v>45880</v>
      </c>
      <c r="C488" s="0" t="n">
        <v>-4155.49</v>
      </c>
      <c r="D488" s="15" t="s">
        <v>3632</v>
      </c>
      <c r="E488" s="15" t="s">
        <v>3327</v>
      </c>
    </row>
    <row r="489" customFormat="false" ht="15" hidden="false" customHeight="false" outlineLevel="0" collapsed="false">
      <c r="A489" s="0" t="s">
        <v>4125</v>
      </c>
      <c r="B489" s="14" t="n">
        <v>45988</v>
      </c>
      <c r="C489" s="0" t="n">
        <v>-813.95</v>
      </c>
      <c r="D489" s="15" t="s">
        <v>3627</v>
      </c>
      <c r="E489" s="15" t="s">
        <v>3328</v>
      </c>
    </row>
    <row r="490" customFormat="false" ht="15" hidden="false" customHeight="false" outlineLevel="0" collapsed="false">
      <c r="A490" s="0" t="s">
        <v>4126</v>
      </c>
      <c r="B490" s="14" t="n">
        <v>46023</v>
      </c>
      <c r="C490" s="0" t="n">
        <v>-219.09</v>
      </c>
      <c r="D490" s="15" t="s">
        <v>3703</v>
      </c>
      <c r="E490" s="15" t="s">
        <v>3329</v>
      </c>
    </row>
    <row r="491" customFormat="false" ht="15" hidden="false" customHeight="false" outlineLevel="0" collapsed="false">
      <c r="A491" s="0" t="s">
        <v>4127</v>
      </c>
      <c r="B491" s="14" t="n">
        <v>45911</v>
      </c>
      <c r="C491" s="0" t="n">
        <v>-313.99</v>
      </c>
      <c r="D491" s="15" t="s">
        <v>3629</v>
      </c>
      <c r="E491" s="15" t="s">
        <v>3330</v>
      </c>
    </row>
    <row r="492" customFormat="false" ht="15" hidden="false" customHeight="false" outlineLevel="0" collapsed="false">
      <c r="A492" s="0" t="s">
        <v>4128</v>
      </c>
      <c r="B492" s="14" t="n">
        <v>45914</v>
      </c>
      <c r="C492" s="0" t="n">
        <v>-313.99</v>
      </c>
      <c r="D492" s="15" t="s">
        <v>3629</v>
      </c>
      <c r="E492" s="15" t="s">
        <v>3331</v>
      </c>
    </row>
    <row r="493" customFormat="false" ht="15" hidden="false" customHeight="false" outlineLevel="0" collapsed="false">
      <c r="A493" s="0" t="s">
        <v>4129</v>
      </c>
      <c r="B493" s="14" t="n">
        <v>45820</v>
      </c>
      <c r="C493" s="0" t="n">
        <v>-7086.46</v>
      </c>
      <c r="D493" s="15" t="s">
        <v>3613</v>
      </c>
      <c r="E493" s="15" t="s">
        <v>3332</v>
      </c>
    </row>
    <row r="494" customFormat="false" ht="15" hidden="false" customHeight="false" outlineLevel="0" collapsed="false">
      <c r="A494" s="0" t="s">
        <v>4130</v>
      </c>
      <c r="B494" s="14" t="n">
        <v>45808</v>
      </c>
      <c r="C494" s="0" t="n">
        <v>-745.67</v>
      </c>
      <c r="D494" s="15" t="s">
        <v>3613</v>
      </c>
      <c r="E494" s="15" t="s">
        <v>3333</v>
      </c>
    </row>
    <row r="495" customFormat="false" ht="15" hidden="false" customHeight="false" outlineLevel="0" collapsed="false">
      <c r="A495" s="0" t="s">
        <v>4131</v>
      </c>
      <c r="B495" s="14" t="n">
        <v>45808</v>
      </c>
      <c r="C495" s="0" t="n">
        <v>-745.67</v>
      </c>
      <c r="D495" s="15" t="s">
        <v>3613</v>
      </c>
      <c r="E495" s="15" t="s">
        <v>3334</v>
      </c>
    </row>
    <row r="496" customFormat="false" ht="15" hidden="false" customHeight="false" outlineLevel="0" collapsed="false">
      <c r="A496" s="0" t="s">
        <v>4132</v>
      </c>
      <c r="B496" s="14" t="n">
        <v>45898</v>
      </c>
      <c r="C496" s="0" t="n">
        <v>-2119.2</v>
      </c>
      <c r="D496" s="15" t="s">
        <v>3657</v>
      </c>
      <c r="E496" s="15" t="s">
        <v>3335</v>
      </c>
    </row>
    <row r="497" customFormat="false" ht="15" hidden="false" customHeight="false" outlineLevel="0" collapsed="false">
      <c r="A497" s="0" t="s">
        <v>4133</v>
      </c>
      <c r="B497" s="14" t="n">
        <v>45948</v>
      </c>
      <c r="C497" s="0" t="n">
        <v>-202.78</v>
      </c>
      <c r="D497" s="15" t="s">
        <v>3611</v>
      </c>
      <c r="E497" s="15" t="s">
        <v>3336</v>
      </c>
    </row>
    <row r="498" customFormat="false" ht="15" hidden="false" customHeight="false" outlineLevel="0" collapsed="false">
      <c r="A498" s="0" t="s">
        <v>4134</v>
      </c>
      <c r="B498" s="14" t="n">
        <v>45817</v>
      </c>
      <c r="C498" s="0" t="n">
        <v>-1869.57</v>
      </c>
      <c r="D498" s="15" t="s">
        <v>3649</v>
      </c>
      <c r="E498" s="15" t="s">
        <v>3337</v>
      </c>
    </row>
    <row r="499" customFormat="false" ht="15" hidden="false" customHeight="false" outlineLevel="0" collapsed="false">
      <c r="A499" s="0" t="s">
        <v>4135</v>
      </c>
      <c r="B499" s="14" t="n">
        <v>46020</v>
      </c>
      <c r="C499" s="0" t="n">
        <v>-1002.81</v>
      </c>
      <c r="D499" s="15" t="s">
        <v>3655</v>
      </c>
      <c r="E499" s="15" t="s">
        <v>3338</v>
      </c>
    </row>
    <row r="500" customFormat="false" ht="15" hidden="false" customHeight="false" outlineLevel="0" collapsed="false">
      <c r="A500" s="0" t="s">
        <v>4136</v>
      </c>
      <c r="B500" s="14" t="n">
        <v>45990</v>
      </c>
      <c r="C500" s="0" t="n">
        <v>-829.86</v>
      </c>
      <c r="D500" s="15" t="s">
        <v>3684</v>
      </c>
      <c r="E500" s="15" t="s">
        <v>3339</v>
      </c>
    </row>
    <row r="501" customFormat="false" ht="15" hidden="false" customHeight="false" outlineLevel="0" collapsed="false">
      <c r="A501" s="0" t="s">
        <v>4137</v>
      </c>
      <c r="B501" s="14" t="n">
        <v>45844</v>
      </c>
      <c r="C501" s="0" t="n">
        <v>-3096.07</v>
      </c>
      <c r="D501" s="15" t="s">
        <v>3627</v>
      </c>
      <c r="E501" s="15" t="s">
        <v>3340</v>
      </c>
    </row>
    <row r="502" customFormat="false" ht="15" hidden="false" customHeight="false" outlineLevel="0" collapsed="false">
      <c r="A502" s="0" t="s">
        <v>4138</v>
      </c>
      <c r="B502" s="14" t="n">
        <v>46064</v>
      </c>
      <c r="C502" s="0" t="n">
        <v>-1462.27</v>
      </c>
      <c r="D502" s="15" t="s">
        <v>3749</v>
      </c>
      <c r="E502" s="15" t="s">
        <v>3341</v>
      </c>
    </row>
    <row r="503" customFormat="false" ht="15" hidden="false" customHeight="false" outlineLevel="0" collapsed="false">
      <c r="A503" s="0" t="s">
        <v>4139</v>
      </c>
      <c r="B503" s="14" t="n">
        <v>45848</v>
      </c>
      <c r="C503" s="0" t="n">
        <v>-1476.77</v>
      </c>
      <c r="D503" s="15" t="s">
        <v>3649</v>
      </c>
      <c r="E503" s="15" t="s">
        <v>3342</v>
      </c>
    </row>
    <row r="504" customFormat="false" ht="15" hidden="false" customHeight="false" outlineLevel="0" collapsed="false">
      <c r="A504" s="0" t="s">
        <v>4140</v>
      </c>
      <c r="B504" s="14" t="n">
        <v>45986</v>
      </c>
      <c r="C504" s="0" t="n">
        <v>-3152.95</v>
      </c>
      <c r="D504" s="15" t="s">
        <v>3717</v>
      </c>
      <c r="E504" s="15" t="s">
        <v>3343</v>
      </c>
    </row>
    <row r="505" customFormat="false" ht="15" hidden="false" customHeight="false" outlineLevel="0" collapsed="false">
      <c r="A505" s="0" t="s">
        <v>4141</v>
      </c>
      <c r="B505" s="14" t="n">
        <v>46069</v>
      </c>
      <c r="C505" s="0" t="n">
        <v>-3405.2</v>
      </c>
      <c r="D505" s="15" t="s">
        <v>3749</v>
      </c>
      <c r="E505" s="15" t="s">
        <v>3344</v>
      </c>
    </row>
    <row r="506" customFormat="false" ht="15" hidden="false" customHeight="false" outlineLevel="0" collapsed="false">
      <c r="A506" s="0" t="s">
        <v>4142</v>
      </c>
      <c r="B506" s="14" t="n">
        <v>46093</v>
      </c>
      <c r="C506" s="0" t="n">
        <v>-290.16</v>
      </c>
      <c r="D506" s="15" t="s">
        <v>3643</v>
      </c>
      <c r="E506" s="15" t="s">
        <v>3345</v>
      </c>
    </row>
    <row r="507" customFormat="false" ht="15" hidden="false" customHeight="false" outlineLevel="0" collapsed="false">
      <c r="A507" s="0" t="s">
        <v>4143</v>
      </c>
      <c r="B507" s="14" t="n">
        <v>45721</v>
      </c>
      <c r="C507" s="0" t="n">
        <v>-3177.82</v>
      </c>
      <c r="D507" s="15" t="s">
        <v>3714</v>
      </c>
      <c r="E507" s="15" t="s">
        <v>3346</v>
      </c>
    </row>
    <row r="508" customFormat="false" ht="15" hidden="false" customHeight="false" outlineLevel="0" collapsed="false">
      <c r="A508" s="0" t="s">
        <v>4144</v>
      </c>
      <c r="B508" s="14" t="n">
        <v>45954</v>
      </c>
      <c r="C508" s="0" t="n">
        <v>-2363.54</v>
      </c>
      <c r="D508" s="15" t="s">
        <v>3641</v>
      </c>
      <c r="E508" s="15" t="s">
        <v>3347</v>
      </c>
    </row>
    <row r="509" customFormat="false" ht="15" hidden="false" customHeight="false" outlineLevel="0" collapsed="false">
      <c r="A509" s="0" t="s">
        <v>4145</v>
      </c>
      <c r="B509" s="14" t="n">
        <v>46174</v>
      </c>
      <c r="C509" s="0" t="n">
        <v>-1328.83</v>
      </c>
      <c r="D509" s="15" t="s">
        <v>3672</v>
      </c>
      <c r="E509" s="15" t="s">
        <v>3348</v>
      </c>
    </row>
    <row r="510" customFormat="false" ht="15" hidden="false" customHeight="false" outlineLevel="0" collapsed="false">
      <c r="A510" s="0" t="s">
        <v>4146</v>
      </c>
      <c r="B510" s="14" t="n">
        <v>45851</v>
      </c>
      <c r="C510" s="0" t="n">
        <v>-940.45</v>
      </c>
      <c r="D510" s="15" t="s">
        <v>3599</v>
      </c>
      <c r="E510" s="15" t="s">
        <v>3349</v>
      </c>
    </row>
    <row r="511" customFormat="false" ht="15" hidden="false" customHeight="false" outlineLevel="0" collapsed="false">
      <c r="A511" s="0" t="s">
        <v>4147</v>
      </c>
      <c r="B511" s="14" t="n">
        <v>46106</v>
      </c>
      <c r="C511" s="0" t="n">
        <v>-3318.83</v>
      </c>
      <c r="D511" s="15" t="s">
        <v>3717</v>
      </c>
      <c r="E511" s="15" t="s">
        <v>3350</v>
      </c>
    </row>
    <row r="512" customFormat="false" ht="15" hidden="false" customHeight="false" outlineLevel="0" collapsed="false">
      <c r="A512" s="0" t="s">
        <v>4148</v>
      </c>
      <c r="B512" s="14" t="n">
        <v>46023</v>
      </c>
      <c r="C512" s="0" t="n">
        <v>-2949.36</v>
      </c>
      <c r="D512" s="15" t="s">
        <v>3634</v>
      </c>
      <c r="E512" s="15" t="s">
        <v>3351</v>
      </c>
    </row>
    <row r="513" customFormat="false" ht="15" hidden="false" customHeight="false" outlineLevel="0" collapsed="false">
      <c r="A513" s="0" t="s">
        <v>4149</v>
      </c>
      <c r="B513" s="14" t="n">
        <v>45865</v>
      </c>
      <c r="C513" s="0" t="n">
        <v>-1733.53</v>
      </c>
      <c r="D513" s="15" t="s">
        <v>3652</v>
      </c>
      <c r="E513" s="15" t="s">
        <v>3352</v>
      </c>
    </row>
    <row r="514" customFormat="false" ht="15" hidden="false" customHeight="false" outlineLevel="0" collapsed="false">
      <c r="A514" s="0" t="s">
        <v>4150</v>
      </c>
      <c r="B514" s="14" t="n">
        <v>46042</v>
      </c>
      <c r="C514" s="0" t="n">
        <v>-2308.67</v>
      </c>
      <c r="D514" s="15" t="s">
        <v>3615</v>
      </c>
      <c r="E514" s="15" t="s">
        <v>3353</v>
      </c>
    </row>
    <row r="515" customFormat="false" ht="15" hidden="false" customHeight="false" outlineLevel="0" collapsed="false">
      <c r="A515" s="0" t="s">
        <v>4151</v>
      </c>
      <c r="B515" s="14" t="n">
        <v>46045</v>
      </c>
      <c r="C515" s="0" t="n">
        <v>-3697.76</v>
      </c>
      <c r="D515" s="15" t="s">
        <v>3676</v>
      </c>
      <c r="E515" s="15" t="s">
        <v>3354</v>
      </c>
    </row>
    <row r="516" customFormat="false" ht="15" hidden="false" customHeight="false" outlineLevel="0" collapsed="false">
      <c r="A516" s="0" t="s">
        <v>4152</v>
      </c>
      <c r="B516" s="14" t="n">
        <v>46078</v>
      </c>
      <c r="C516" s="0" t="n">
        <v>-1532.53</v>
      </c>
      <c r="D516" s="15" t="s">
        <v>3643</v>
      </c>
      <c r="E516" s="15" t="s">
        <v>3355</v>
      </c>
    </row>
    <row r="517" customFormat="false" ht="15" hidden="false" customHeight="false" outlineLevel="0" collapsed="false">
      <c r="A517" s="0" t="s">
        <v>4153</v>
      </c>
      <c r="B517" s="14" t="n">
        <v>46105</v>
      </c>
      <c r="C517" s="0" t="n">
        <v>-354.2</v>
      </c>
      <c r="D517" s="15" t="s">
        <v>3629</v>
      </c>
      <c r="E517" s="15" t="s">
        <v>3356</v>
      </c>
    </row>
    <row r="518" customFormat="false" ht="15" hidden="false" customHeight="false" outlineLevel="0" collapsed="false">
      <c r="A518" s="0" t="s">
        <v>4154</v>
      </c>
      <c r="B518" s="14" t="n">
        <v>46055</v>
      </c>
      <c r="C518" s="0" t="n">
        <v>-1077.17</v>
      </c>
      <c r="D518" s="15" t="s">
        <v>3703</v>
      </c>
      <c r="E518" s="15" t="s">
        <v>3357</v>
      </c>
    </row>
    <row r="519" customFormat="false" ht="15" hidden="false" customHeight="false" outlineLevel="0" collapsed="false">
      <c r="A519" s="0" t="s">
        <v>4155</v>
      </c>
      <c r="B519" s="14" t="n">
        <v>46149</v>
      </c>
      <c r="C519" s="0" t="n">
        <v>-968.37</v>
      </c>
      <c r="D519" s="15" t="s">
        <v>3611</v>
      </c>
      <c r="E519" s="15" t="s">
        <v>3358</v>
      </c>
    </row>
    <row r="520" customFormat="false" ht="15" hidden="false" customHeight="false" outlineLevel="0" collapsed="false">
      <c r="A520" s="0" t="s">
        <v>4156</v>
      </c>
      <c r="B520" s="14" t="n">
        <v>46030</v>
      </c>
      <c r="C520" s="0" t="n">
        <v>-1370.11</v>
      </c>
      <c r="D520" s="15" t="s">
        <v>3613</v>
      </c>
      <c r="E520" s="15" t="s">
        <v>3359</v>
      </c>
    </row>
    <row r="521" customFormat="false" ht="15" hidden="false" customHeight="false" outlineLevel="0" collapsed="false">
      <c r="A521" s="0" t="s">
        <v>4157</v>
      </c>
      <c r="B521" s="14" t="n">
        <v>46018</v>
      </c>
      <c r="C521" s="0" t="n">
        <v>-3138.5</v>
      </c>
      <c r="D521" s="15" t="s">
        <v>3714</v>
      </c>
      <c r="E521" s="15" t="s">
        <v>3360</v>
      </c>
    </row>
    <row r="522" customFormat="false" ht="15" hidden="false" customHeight="false" outlineLevel="0" collapsed="false">
      <c r="A522" s="0" t="s">
        <v>4158</v>
      </c>
      <c r="B522" s="14" t="n">
        <v>45870</v>
      </c>
      <c r="C522" s="0" t="n">
        <v>-4085.56</v>
      </c>
      <c r="D522" s="15" t="s">
        <v>3660</v>
      </c>
      <c r="E522" s="15" t="s">
        <v>3361</v>
      </c>
    </row>
    <row r="523" customFormat="false" ht="15" hidden="false" customHeight="false" outlineLevel="0" collapsed="false">
      <c r="A523" s="0" t="s">
        <v>4159</v>
      </c>
      <c r="B523" s="14" t="n">
        <v>45936</v>
      </c>
      <c r="C523" s="0" t="n">
        <v>-2086.29</v>
      </c>
      <c r="D523" s="15" t="s">
        <v>3666</v>
      </c>
      <c r="E523" s="15" t="s">
        <v>3362</v>
      </c>
    </row>
    <row r="524" customFormat="false" ht="15" hidden="false" customHeight="false" outlineLevel="0" collapsed="false">
      <c r="A524" s="0" t="s">
        <v>4160</v>
      </c>
      <c r="B524" s="14" t="n">
        <v>46020</v>
      </c>
      <c r="C524" s="0" t="n">
        <v>-345.65</v>
      </c>
      <c r="D524" s="15" t="s">
        <v>3632</v>
      </c>
      <c r="E524" s="15" t="s">
        <v>3363</v>
      </c>
    </row>
    <row r="525" customFormat="false" ht="15" hidden="false" customHeight="false" outlineLevel="0" collapsed="false">
      <c r="A525" s="0" t="s">
        <v>4161</v>
      </c>
      <c r="B525" s="14" t="n">
        <v>46082</v>
      </c>
      <c r="C525" s="0" t="n">
        <v>-1516.39</v>
      </c>
      <c r="D525" s="15" t="s">
        <v>3599</v>
      </c>
      <c r="E525" s="15" t="s">
        <v>3364</v>
      </c>
    </row>
    <row r="526" customFormat="false" ht="15" hidden="false" customHeight="false" outlineLevel="0" collapsed="false">
      <c r="A526" s="0" t="s">
        <v>4162</v>
      </c>
      <c r="B526" s="14" t="n">
        <v>45748</v>
      </c>
      <c r="C526" s="0" t="n">
        <v>-19832.55</v>
      </c>
      <c r="D526" s="15" t="s">
        <v>3666</v>
      </c>
      <c r="E526" s="15" t="s">
        <v>3365</v>
      </c>
    </row>
    <row r="527" customFormat="false" ht="15" hidden="false" customHeight="false" outlineLevel="0" collapsed="false">
      <c r="A527" s="0" t="s">
        <v>4163</v>
      </c>
      <c r="B527" s="14" t="n">
        <v>46119</v>
      </c>
      <c r="C527" s="0" t="n">
        <v>-2360.64</v>
      </c>
      <c r="D527" s="15" t="s">
        <v>3641</v>
      </c>
      <c r="E527" s="15" t="s">
        <v>3366</v>
      </c>
    </row>
    <row r="528" customFormat="false" ht="15" hidden="false" customHeight="false" outlineLevel="0" collapsed="false">
      <c r="A528" s="0" t="s">
        <v>4164</v>
      </c>
      <c r="B528" s="14" t="n">
        <v>45782</v>
      </c>
      <c r="C528" s="0" t="n">
        <v>-1484.72</v>
      </c>
      <c r="D528" s="15" t="s">
        <v>3641</v>
      </c>
      <c r="E528" s="15" t="s">
        <v>3367</v>
      </c>
    </row>
    <row r="529" customFormat="false" ht="15" hidden="false" customHeight="false" outlineLevel="0" collapsed="false">
      <c r="A529" s="0" t="s">
        <v>4165</v>
      </c>
      <c r="B529" s="14" t="n">
        <v>45772</v>
      </c>
      <c r="C529" s="0" t="n">
        <v>-1627.91</v>
      </c>
      <c r="D529" s="15" t="s">
        <v>3629</v>
      </c>
      <c r="E529" s="15" t="s">
        <v>3368</v>
      </c>
    </row>
    <row r="530" customFormat="false" ht="15" hidden="false" customHeight="false" outlineLevel="0" collapsed="false">
      <c r="A530" s="0" t="s">
        <v>4166</v>
      </c>
      <c r="B530" s="14" t="n">
        <v>45981</v>
      </c>
      <c r="C530" s="0" t="n">
        <v>-1311.69</v>
      </c>
      <c r="D530" s="15" t="s">
        <v>3666</v>
      </c>
      <c r="E530" s="15" t="s">
        <v>3369</v>
      </c>
    </row>
    <row r="531" customFormat="false" ht="15" hidden="false" customHeight="false" outlineLevel="0" collapsed="false">
      <c r="A531" s="0" t="s">
        <v>4167</v>
      </c>
      <c r="B531" s="14" t="n">
        <v>45973</v>
      </c>
      <c r="C531" s="0" t="n">
        <v>-1090.07</v>
      </c>
      <c r="D531" s="15" t="s">
        <v>3666</v>
      </c>
      <c r="E531" s="15" t="s">
        <v>3370</v>
      </c>
    </row>
    <row r="532" customFormat="false" ht="15" hidden="false" customHeight="false" outlineLevel="0" collapsed="false">
      <c r="A532" s="0" t="s">
        <v>4168</v>
      </c>
      <c r="B532" s="14" t="n">
        <v>45984</v>
      </c>
      <c r="C532" s="0" t="n">
        <v>-1090.07</v>
      </c>
      <c r="D532" s="15" t="s">
        <v>3666</v>
      </c>
      <c r="E532" s="15" t="s">
        <v>3371</v>
      </c>
    </row>
    <row r="533" customFormat="false" ht="15" hidden="false" customHeight="false" outlineLevel="0" collapsed="false">
      <c r="A533" s="0" t="s">
        <v>4169</v>
      </c>
      <c r="B533" s="14" t="n">
        <v>46117</v>
      </c>
      <c r="C533" s="0" t="n">
        <v>-2753.96</v>
      </c>
      <c r="D533" s="15" t="s">
        <v>3625</v>
      </c>
      <c r="E533" s="15" t="s">
        <v>3372</v>
      </c>
    </row>
    <row r="534" customFormat="false" ht="15" hidden="false" customHeight="false" outlineLevel="0" collapsed="false">
      <c r="A534" s="0" t="s">
        <v>4170</v>
      </c>
      <c r="B534" s="14" t="n">
        <v>45806</v>
      </c>
      <c r="C534" s="0" t="n">
        <v>-5478.24</v>
      </c>
      <c r="D534" s="15" t="s">
        <v>3643</v>
      </c>
      <c r="E534" s="15" t="s">
        <v>3373</v>
      </c>
    </row>
    <row r="535" customFormat="false" ht="15" hidden="false" customHeight="false" outlineLevel="0" collapsed="false">
      <c r="A535" s="0" t="s">
        <v>4171</v>
      </c>
      <c r="B535" s="14" t="n">
        <v>45814</v>
      </c>
      <c r="C535" s="0" t="n">
        <v>-5478.24</v>
      </c>
      <c r="D535" s="15" t="s">
        <v>3643</v>
      </c>
      <c r="E535" s="15" t="s">
        <v>3374</v>
      </c>
    </row>
    <row r="536" customFormat="false" ht="15" hidden="false" customHeight="false" outlineLevel="0" collapsed="false">
      <c r="A536" s="0" t="s">
        <v>4172</v>
      </c>
      <c r="B536" s="14" t="n">
        <v>46120</v>
      </c>
      <c r="C536" s="0" t="n">
        <v>-581.73</v>
      </c>
      <c r="D536" s="15" t="s">
        <v>3641</v>
      </c>
      <c r="E536" s="15" t="s">
        <v>3375</v>
      </c>
    </row>
    <row r="537" customFormat="false" ht="15" hidden="false" customHeight="false" outlineLevel="0" collapsed="false">
      <c r="A537" s="0" t="s">
        <v>4173</v>
      </c>
      <c r="B537" s="14" t="n">
        <v>45948</v>
      </c>
      <c r="C537" s="0" t="n">
        <v>-2739.78</v>
      </c>
      <c r="D537" s="15" t="s">
        <v>3613</v>
      </c>
      <c r="E537" s="15" t="s">
        <v>3376</v>
      </c>
    </row>
    <row r="538" customFormat="false" ht="15" hidden="false" customHeight="false" outlineLevel="0" collapsed="false">
      <c r="A538" s="0" t="s">
        <v>4174</v>
      </c>
      <c r="B538" s="14" t="n">
        <v>45958</v>
      </c>
      <c r="C538" s="0" t="n">
        <v>-2739.78</v>
      </c>
      <c r="D538" s="15" t="s">
        <v>3613</v>
      </c>
      <c r="E538" s="15" t="s">
        <v>3377</v>
      </c>
    </row>
    <row r="539" customFormat="false" ht="15" hidden="false" customHeight="false" outlineLevel="0" collapsed="false">
      <c r="A539" s="0" t="s">
        <v>4175</v>
      </c>
      <c r="B539" s="14" t="n">
        <v>46145</v>
      </c>
      <c r="C539" s="0" t="n">
        <v>-329.34</v>
      </c>
      <c r="D539" s="15" t="s">
        <v>3660</v>
      </c>
      <c r="E539" s="15" t="s">
        <v>3378</v>
      </c>
    </row>
    <row r="540" customFormat="false" ht="15" hidden="false" customHeight="false" outlineLevel="0" collapsed="false">
      <c r="A540" s="0" t="s">
        <v>4176</v>
      </c>
      <c r="B540" s="14" t="n">
        <v>45867</v>
      </c>
      <c r="C540" s="0" t="n">
        <v>-5307.07</v>
      </c>
      <c r="D540" s="15" t="s">
        <v>3625</v>
      </c>
      <c r="E540" s="15" t="s">
        <v>3379</v>
      </c>
    </row>
    <row r="541" customFormat="false" ht="15" hidden="false" customHeight="false" outlineLevel="0" collapsed="false">
      <c r="A541" s="0" t="s">
        <v>4177</v>
      </c>
      <c r="B541" s="14" t="n">
        <v>45766</v>
      </c>
      <c r="C541" s="0" t="n">
        <v>-4575.5</v>
      </c>
      <c r="D541" s="15" t="s">
        <v>3623</v>
      </c>
      <c r="E541" s="15" t="s">
        <v>3380</v>
      </c>
    </row>
    <row r="542" customFormat="false" ht="15" hidden="false" customHeight="false" outlineLevel="0" collapsed="false">
      <c r="A542" s="0" t="s">
        <v>4178</v>
      </c>
      <c r="B542" s="14" t="n">
        <v>45790</v>
      </c>
      <c r="C542" s="0" t="n">
        <v>-4978.47</v>
      </c>
      <c r="D542" s="15" t="s">
        <v>3625</v>
      </c>
      <c r="E542" s="15" t="s">
        <v>3381</v>
      </c>
    </row>
    <row r="543" customFormat="false" ht="15" hidden="false" customHeight="false" outlineLevel="0" collapsed="false">
      <c r="A543" s="0" t="s">
        <v>4179</v>
      </c>
      <c r="B543" s="14" t="n">
        <v>46148</v>
      </c>
      <c r="C543" s="0" t="n">
        <v>-4005.11</v>
      </c>
      <c r="D543" s="15" t="s">
        <v>3625</v>
      </c>
      <c r="E543" s="15" t="s">
        <v>3382</v>
      </c>
    </row>
    <row r="544" customFormat="false" ht="15" hidden="false" customHeight="false" outlineLevel="0" collapsed="false">
      <c r="A544" s="0" t="s">
        <v>4180</v>
      </c>
      <c r="B544" s="14" t="n">
        <v>46092</v>
      </c>
      <c r="C544" s="0" t="n">
        <v>-1866.99</v>
      </c>
      <c r="D544" s="15" t="s">
        <v>3749</v>
      </c>
      <c r="E544" s="15" t="s">
        <v>3383</v>
      </c>
    </row>
    <row r="545" customFormat="false" ht="15" hidden="false" customHeight="false" outlineLevel="0" collapsed="false">
      <c r="A545" s="0" t="s">
        <v>4181</v>
      </c>
      <c r="B545" s="14" t="n">
        <v>45701</v>
      </c>
      <c r="C545" s="0" t="n">
        <v>-4880.22</v>
      </c>
      <c r="D545" s="15" t="s">
        <v>3634</v>
      </c>
      <c r="E545" s="15" t="s">
        <v>3384</v>
      </c>
    </row>
    <row r="546" customFormat="false" ht="15" hidden="false" customHeight="false" outlineLevel="0" collapsed="false">
      <c r="A546" s="0" t="s">
        <v>4182</v>
      </c>
      <c r="B546" s="14" t="n">
        <v>45996</v>
      </c>
      <c r="C546" s="0" t="n">
        <v>-2581.16</v>
      </c>
      <c r="D546" s="15" t="s">
        <v>3625</v>
      </c>
      <c r="E546" s="15" t="s">
        <v>3385</v>
      </c>
    </row>
    <row r="547" customFormat="false" ht="15" hidden="false" customHeight="false" outlineLevel="0" collapsed="false">
      <c r="A547" s="0" t="s">
        <v>4183</v>
      </c>
      <c r="B547" s="14" t="n">
        <v>46073</v>
      </c>
      <c r="C547" s="0" t="n">
        <v>-2330.25</v>
      </c>
      <c r="D547" s="15" t="s">
        <v>3746</v>
      </c>
      <c r="E547" s="15" t="s">
        <v>3386</v>
      </c>
    </row>
    <row r="548" customFormat="false" ht="15" hidden="false" customHeight="false" outlineLevel="0" collapsed="false">
      <c r="A548" s="0" t="s">
        <v>4184</v>
      </c>
      <c r="B548" s="14" t="n">
        <v>46036</v>
      </c>
      <c r="C548" s="0" t="n">
        <v>-1142.31</v>
      </c>
      <c r="D548" s="15" t="s">
        <v>3676</v>
      </c>
      <c r="E548" s="15" t="s">
        <v>3387</v>
      </c>
    </row>
    <row r="549" customFormat="false" ht="15" hidden="false" customHeight="false" outlineLevel="0" collapsed="false">
      <c r="A549" s="0" t="s">
        <v>4185</v>
      </c>
      <c r="B549" s="14" t="n">
        <v>45999</v>
      </c>
      <c r="C549" s="0" t="n">
        <v>-5378.13</v>
      </c>
      <c r="D549" s="15" t="s">
        <v>3714</v>
      </c>
      <c r="E549" s="15" t="s">
        <v>3388</v>
      </c>
    </row>
    <row r="550" customFormat="false" ht="15" hidden="false" customHeight="false" outlineLevel="0" collapsed="false">
      <c r="A550" s="0" t="s">
        <v>4186</v>
      </c>
      <c r="B550" s="14" t="n">
        <v>46115</v>
      </c>
      <c r="C550" s="0" t="n">
        <v>-1479.77</v>
      </c>
      <c r="D550" s="15" t="s">
        <v>3619</v>
      </c>
      <c r="E550" s="15" t="s">
        <v>3389</v>
      </c>
    </row>
    <row r="551" customFormat="false" ht="15" hidden="false" customHeight="false" outlineLevel="0" collapsed="false">
      <c r="A551" s="0" t="s">
        <v>4187</v>
      </c>
      <c r="B551" s="14" t="n">
        <v>46134</v>
      </c>
      <c r="C551" s="0" t="n">
        <v>-1479.77</v>
      </c>
      <c r="D551" s="15" t="s">
        <v>3619</v>
      </c>
      <c r="E551" s="15" t="s">
        <v>3390</v>
      </c>
    </row>
    <row r="552" customFormat="false" ht="15" hidden="false" customHeight="false" outlineLevel="0" collapsed="false">
      <c r="A552" s="0" t="s">
        <v>4188</v>
      </c>
      <c r="B552" s="14" t="n">
        <v>45744</v>
      </c>
      <c r="C552" s="0" t="n">
        <v>-1679.49</v>
      </c>
      <c r="D552" s="15" t="s">
        <v>3634</v>
      </c>
      <c r="E552" s="15" t="s">
        <v>3391</v>
      </c>
    </row>
    <row r="553" customFormat="false" ht="15" hidden="false" customHeight="false" outlineLevel="0" collapsed="false">
      <c r="A553" s="0" t="s">
        <v>4189</v>
      </c>
      <c r="B553" s="14" t="n">
        <v>45832</v>
      </c>
      <c r="C553" s="0" t="n">
        <v>-2035.58</v>
      </c>
      <c r="D553" s="15" t="s">
        <v>3601</v>
      </c>
      <c r="E553" s="15" t="s">
        <v>3392</v>
      </c>
    </row>
    <row r="554" customFormat="false" ht="15" hidden="false" customHeight="false" outlineLevel="0" collapsed="false">
      <c r="A554" s="0" t="s">
        <v>4190</v>
      </c>
      <c r="B554" s="14" t="n">
        <v>45703</v>
      </c>
      <c r="C554" s="0" t="n">
        <v>-1499.87</v>
      </c>
      <c r="D554" s="15" t="s">
        <v>3670</v>
      </c>
      <c r="E554" s="15" t="s">
        <v>3393</v>
      </c>
    </row>
    <row r="555" customFormat="false" ht="15" hidden="false" customHeight="false" outlineLevel="0" collapsed="false">
      <c r="A555" s="0" t="s">
        <v>4191</v>
      </c>
      <c r="B555" s="14" t="n">
        <v>46160</v>
      </c>
      <c r="C555" s="0" t="n">
        <v>-2691.6</v>
      </c>
      <c r="D555" s="15" t="s">
        <v>3613</v>
      </c>
      <c r="E555" s="15" t="s">
        <v>3394</v>
      </c>
    </row>
    <row r="556" customFormat="false" ht="15" hidden="false" customHeight="false" outlineLevel="0" collapsed="false">
      <c r="A556" s="0" t="s">
        <v>4192</v>
      </c>
      <c r="B556" s="14" t="n">
        <v>46000</v>
      </c>
      <c r="C556" s="0" t="n">
        <v>-687.41</v>
      </c>
      <c r="D556" s="15" t="s">
        <v>3652</v>
      </c>
      <c r="E556" s="15" t="s">
        <v>3395</v>
      </c>
    </row>
    <row r="557" customFormat="false" ht="15" hidden="false" customHeight="false" outlineLevel="0" collapsed="false">
      <c r="A557" s="0" t="s">
        <v>4193</v>
      </c>
      <c r="B557" s="14" t="n">
        <v>46173</v>
      </c>
      <c r="C557" s="0" t="n">
        <v>-915.68</v>
      </c>
      <c r="D557" s="15" t="s">
        <v>3679</v>
      </c>
      <c r="E557" s="15" t="s">
        <v>3396</v>
      </c>
    </row>
    <row r="558" customFormat="false" ht="15" hidden="false" customHeight="false" outlineLevel="0" collapsed="false">
      <c r="A558" s="0" t="s">
        <v>4194</v>
      </c>
      <c r="B558" s="14" t="n">
        <v>45823</v>
      </c>
      <c r="C558" s="0" t="n">
        <v>-1560.82</v>
      </c>
      <c r="D558" s="15" t="s">
        <v>3639</v>
      </c>
      <c r="E558" s="15" t="s">
        <v>3397</v>
      </c>
    </row>
    <row r="559" customFormat="false" ht="15" hidden="false" customHeight="false" outlineLevel="0" collapsed="false">
      <c r="A559" s="0" t="s">
        <v>4195</v>
      </c>
      <c r="B559" s="14" t="n">
        <v>46142</v>
      </c>
      <c r="C559" s="0" t="n">
        <v>-827.43</v>
      </c>
      <c r="D559" s="15" t="s">
        <v>3746</v>
      </c>
      <c r="E559" s="15" t="s">
        <v>3398</v>
      </c>
    </row>
    <row r="560" customFormat="false" ht="15" hidden="false" customHeight="false" outlineLevel="0" collapsed="false">
      <c r="A560" s="0" t="s">
        <v>4196</v>
      </c>
      <c r="B560" s="14" t="n">
        <v>46176</v>
      </c>
      <c r="C560" s="0" t="n">
        <v>-11648.06</v>
      </c>
      <c r="D560" s="15" t="s">
        <v>3717</v>
      </c>
      <c r="E560" s="15" t="s">
        <v>3399</v>
      </c>
    </row>
    <row r="561" customFormat="false" ht="15" hidden="false" customHeight="false" outlineLevel="0" collapsed="false">
      <c r="A561" s="0" t="s">
        <v>4197</v>
      </c>
      <c r="B561" s="14" t="n">
        <v>46188</v>
      </c>
      <c r="C561" s="0" t="n">
        <v>-11648.06</v>
      </c>
      <c r="D561" s="15" t="s">
        <v>3717</v>
      </c>
      <c r="E561" s="15" t="s">
        <v>3400</v>
      </c>
    </row>
    <row r="562" customFormat="false" ht="15" hidden="false" customHeight="false" outlineLevel="0" collapsed="false">
      <c r="A562" s="0" t="s">
        <v>4198</v>
      </c>
      <c r="B562" s="14" t="n">
        <v>45849</v>
      </c>
      <c r="C562" s="0" t="n">
        <v>-12577.05</v>
      </c>
      <c r="D562" s="15" t="s">
        <v>3655</v>
      </c>
      <c r="E562" s="15" t="s">
        <v>3401</v>
      </c>
    </row>
    <row r="563" customFormat="false" ht="15" hidden="false" customHeight="false" outlineLevel="0" collapsed="false">
      <c r="A563" s="0" t="s">
        <v>4199</v>
      </c>
      <c r="B563" s="14" t="n">
        <v>45852</v>
      </c>
      <c r="C563" s="0" t="n">
        <v>-12577.05</v>
      </c>
      <c r="D563" s="15" t="s">
        <v>3655</v>
      </c>
      <c r="E563" s="15" t="s">
        <v>3402</v>
      </c>
    </row>
    <row r="564" customFormat="false" ht="15" hidden="false" customHeight="false" outlineLevel="0" collapsed="false">
      <c r="A564" s="0" t="s">
        <v>4200</v>
      </c>
      <c r="B564" s="14" t="n">
        <v>45910</v>
      </c>
      <c r="C564" s="0" t="n">
        <v>-1362.33</v>
      </c>
      <c r="D564" s="15" t="s">
        <v>3690</v>
      </c>
      <c r="E564" s="15" t="s">
        <v>3403</v>
      </c>
    </row>
    <row r="565" customFormat="false" ht="15" hidden="false" customHeight="false" outlineLevel="0" collapsed="false">
      <c r="A565" s="0" t="s">
        <v>4201</v>
      </c>
      <c r="B565" s="14" t="n">
        <v>45777</v>
      </c>
      <c r="C565" s="0" t="n">
        <v>-2061.29</v>
      </c>
      <c r="D565" s="15" t="s">
        <v>3601</v>
      </c>
      <c r="E565" s="15" t="s">
        <v>3404</v>
      </c>
    </row>
    <row r="566" customFormat="false" ht="15" hidden="false" customHeight="false" outlineLevel="0" collapsed="false">
      <c r="A566" s="0" t="s">
        <v>4202</v>
      </c>
      <c r="B566" s="14" t="n">
        <v>46182</v>
      </c>
      <c r="C566" s="0" t="n">
        <v>-1760.94</v>
      </c>
      <c r="D566" s="15" t="s">
        <v>3619</v>
      </c>
      <c r="E566" s="15" t="s">
        <v>3405</v>
      </c>
    </row>
    <row r="567" customFormat="false" ht="15" hidden="false" customHeight="false" outlineLevel="0" collapsed="false">
      <c r="A567" s="0" t="s">
        <v>4203</v>
      </c>
      <c r="B567" s="14" t="n">
        <v>45864</v>
      </c>
      <c r="C567" s="0" t="n">
        <v>-4559.69</v>
      </c>
      <c r="D567" s="15" t="s">
        <v>3641</v>
      </c>
      <c r="E567" s="15" t="s">
        <v>3406</v>
      </c>
    </row>
    <row r="568" customFormat="false" ht="15" hidden="false" customHeight="false" outlineLevel="0" collapsed="false">
      <c r="A568" s="0" t="s">
        <v>4204</v>
      </c>
      <c r="B568" s="14" t="n">
        <v>45966</v>
      </c>
      <c r="C568" s="0" t="n">
        <v>-285.04</v>
      </c>
      <c r="D568" s="15" t="s">
        <v>3746</v>
      </c>
      <c r="E568" s="15" t="s">
        <v>3407</v>
      </c>
    </row>
    <row r="569" customFormat="false" ht="15" hidden="false" customHeight="false" outlineLevel="0" collapsed="false">
      <c r="A569" s="0" t="s">
        <v>4205</v>
      </c>
      <c r="B569" s="14" t="n">
        <v>45737</v>
      </c>
      <c r="C569" s="0" t="n">
        <v>-2954.28</v>
      </c>
      <c r="D569" s="15" t="s">
        <v>3627</v>
      </c>
      <c r="E569" s="15" t="s">
        <v>3408</v>
      </c>
    </row>
    <row r="570" customFormat="false" ht="15" hidden="false" customHeight="false" outlineLevel="0" collapsed="false">
      <c r="A570" s="0" t="s">
        <v>4206</v>
      </c>
      <c r="B570" s="14" t="n">
        <v>45756</v>
      </c>
      <c r="C570" s="0" t="n">
        <v>-603.77</v>
      </c>
      <c r="D570" s="15" t="s">
        <v>3627</v>
      </c>
      <c r="E570" s="15" t="s">
        <v>3409</v>
      </c>
    </row>
    <row r="571" customFormat="false" ht="15" hidden="false" customHeight="false" outlineLevel="0" collapsed="false">
      <c r="A571" s="0" t="s">
        <v>4207</v>
      </c>
      <c r="B571" s="14" t="n">
        <v>46063</v>
      </c>
      <c r="C571" s="0" t="n">
        <v>-767.92</v>
      </c>
      <c r="D571" s="15" t="s">
        <v>3605</v>
      </c>
      <c r="E571" s="15" t="s">
        <v>3410</v>
      </c>
    </row>
    <row r="572" customFormat="false" ht="15" hidden="false" customHeight="false" outlineLevel="0" collapsed="false">
      <c r="A572" s="0" t="s">
        <v>4208</v>
      </c>
      <c r="B572" s="14" t="n">
        <v>46084</v>
      </c>
      <c r="C572" s="0" t="n">
        <v>-2186.62</v>
      </c>
      <c r="D572" s="15" t="s">
        <v>3690</v>
      </c>
      <c r="E572" s="15" t="s">
        <v>3411</v>
      </c>
    </row>
    <row r="573" customFormat="false" ht="15" hidden="false" customHeight="false" outlineLevel="0" collapsed="false">
      <c r="A573" s="0" t="s">
        <v>4209</v>
      </c>
      <c r="B573" s="14" t="n">
        <v>46203</v>
      </c>
      <c r="C573" s="0" t="n">
        <v>-2778.4</v>
      </c>
      <c r="D573" s="15" t="s">
        <v>3607</v>
      </c>
      <c r="E573" s="15" t="s">
        <v>3412</v>
      </c>
    </row>
    <row r="574" customFormat="false" ht="15" hidden="false" customHeight="false" outlineLevel="0" collapsed="false">
      <c r="A574" s="0" t="s">
        <v>4210</v>
      </c>
      <c r="B574" s="14" t="n">
        <v>45916</v>
      </c>
      <c r="C574" s="0" t="n">
        <v>-989.27</v>
      </c>
      <c r="D574" s="15" t="s">
        <v>3765</v>
      </c>
      <c r="E574" s="15" t="s">
        <v>3413</v>
      </c>
    </row>
    <row r="575" customFormat="false" ht="15" hidden="false" customHeight="false" outlineLevel="0" collapsed="false">
      <c r="A575" s="0" t="s">
        <v>4211</v>
      </c>
      <c r="B575" s="14" t="n">
        <v>46118</v>
      </c>
      <c r="C575" s="0" t="n">
        <v>-1556.9</v>
      </c>
      <c r="D575" s="15" t="s">
        <v>3746</v>
      </c>
      <c r="E575" s="15" t="s">
        <v>3414</v>
      </c>
    </row>
    <row r="576" customFormat="false" ht="15" hidden="false" customHeight="false" outlineLevel="0" collapsed="false">
      <c r="A576" s="0" t="s">
        <v>4212</v>
      </c>
      <c r="B576" s="14" t="n">
        <v>45758</v>
      </c>
      <c r="C576" s="0" t="n">
        <v>-6662.15</v>
      </c>
      <c r="D576" s="15" t="s">
        <v>3660</v>
      </c>
      <c r="E576" s="15" t="s">
        <v>3415</v>
      </c>
    </row>
    <row r="577" customFormat="false" ht="15" hidden="false" customHeight="false" outlineLevel="0" collapsed="false">
      <c r="A577" s="0" t="s">
        <v>4213</v>
      </c>
      <c r="B577" s="14" t="n">
        <v>45906</v>
      </c>
      <c r="C577" s="0" t="n">
        <v>-5757.86</v>
      </c>
      <c r="D577" s="15" t="s">
        <v>3636</v>
      </c>
      <c r="E577" s="15" t="s">
        <v>3416</v>
      </c>
    </row>
    <row r="578" customFormat="false" ht="15" hidden="false" customHeight="false" outlineLevel="0" collapsed="false">
      <c r="A578" s="0" t="s">
        <v>4214</v>
      </c>
      <c r="B578" s="14" t="n">
        <v>45755</v>
      </c>
      <c r="C578" s="0" t="n">
        <v>-6869</v>
      </c>
      <c r="D578" s="15" t="s">
        <v>3714</v>
      </c>
      <c r="E578" s="15" t="s">
        <v>3417</v>
      </c>
    </row>
    <row r="579" customFormat="false" ht="15" hidden="false" customHeight="false" outlineLevel="0" collapsed="false">
      <c r="A579" s="0" t="s">
        <v>4215</v>
      </c>
      <c r="B579" s="14" t="n">
        <v>45959</v>
      </c>
      <c r="C579" s="0" t="n">
        <v>-228.89</v>
      </c>
      <c r="D579" s="15" t="s">
        <v>3676</v>
      </c>
      <c r="E579" s="15" t="s">
        <v>3418</v>
      </c>
    </row>
    <row r="580" customFormat="false" ht="15" hidden="false" customHeight="false" outlineLevel="0" collapsed="false">
      <c r="A580" s="0" t="s">
        <v>4216</v>
      </c>
      <c r="B580" s="14" t="n">
        <v>45914</v>
      </c>
      <c r="C580" s="0" t="n">
        <v>-887.06</v>
      </c>
      <c r="D580" s="15" t="s">
        <v>3599</v>
      </c>
      <c r="E580" s="15" t="s">
        <v>3419</v>
      </c>
    </row>
    <row r="581" customFormat="false" ht="15" hidden="false" customHeight="false" outlineLevel="0" collapsed="false">
      <c r="A581" s="0" t="s">
        <v>4217</v>
      </c>
      <c r="B581" s="14" t="n">
        <v>46182</v>
      </c>
      <c r="C581" s="0" t="n">
        <v>-2875.96</v>
      </c>
      <c r="D581" s="15" t="s">
        <v>3619</v>
      </c>
      <c r="E581" s="15" t="s">
        <v>3420</v>
      </c>
    </row>
    <row r="582" customFormat="false" ht="15" hidden="false" customHeight="false" outlineLevel="0" collapsed="false">
      <c r="A582" s="0" t="s">
        <v>4218</v>
      </c>
      <c r="B582" s="14" t="n">
        <v>45712</v>
      </c>
      <c r="C582" s="0" t="n">
        <v>-3337.25</v>
      </c>
      <c r="D582" s="15" t="s">
        <v>3623</v>
      </c>
      <c r="E582" s="15" t="s">
        <v>3421</v>
      </c>
    </row>
    <row r="583" customFormat="false" ht="15" hidden="false" customHeight="false" outlineLevel="0" collapsed="false">
      <c r="A583" s="0" t="s">
        <v>4219</v>
      </c>
      <c r="B583" s="14" t="n">
        <v>45894</v>
      </c>
      <c r="C583" s="0" t="n">
        <v>-3555.6</v>
      </c>
      <c r="D583" s="15" t="s">
        <v>3657</v>
      </c>
      <c r="E583" s="15" t="s">
        <v>3422</v>
      </c>
    </row>
    <row r="584" customFormat="false" ht="15" hidden="false" customHeight="false" outlineLevel="0" collapsed="false">
      <c r="A584" s="0" t="s">
        <v>4220</v>
      </c>
      <c r="B584" s="14" t="n">
        <v>45940</v>
      </c>
      <c r="C584" s="0" t="n">
        <v>-313.22</v>
      </c>
      <c r="D584" s="15" t="s">
        <v>3655</v>
      </c>
      <c r="E584" s="15" t="s">
        <v>3423</v>
      </c>
    </row>
    <row r="585" customFormat="false" ht="15" hidden="false" customHeight="false" outlineLevel="0" collapsed="false">
      <c r="A585" s="0" t="s">
        <v>4221</v>
      </c>
      <c r="B585" s="14" t="n">
        <v>46204</v>
      </c>
      <c r="C585" s="0" t="n">
        <v>-36063.86</v>
      </c>
      <c r="D585" s="15" t="s">
        <v>3666</v>
      </c>
      <c r="E585" s="15" t="s">
        <v>3424</v>
      </c>
    </row>
    <row r="586" customFormat="false" ht="15" hidden="false" customHeight="false" outlineLevel="0" collapsed="false">
      <c r="A586" s="0" t="s">
        <v>4222</v>
      </c>
      <c r="B586" s="14" t="n">
        <v>46165</v>
      </c>
      <c r="C586" s="0" t="n">
        <v>-1139.17</v>
      </c>
      <c r="D586" s="15" t="s">
        <v>3634</v>
      </c>
      <c r="E586" s="15" t="s">
        <v>3425</v>
      </c>
    </row>
    <row r="587" customFormat="false" ht="15" hidden="false" customHeight="false" outlineLevel="0" collapsed="false">
      <c r="A587" s="0" t="s">
        <v>4223</v>
      </c>
      <c r="B587" s="14" t="n">
        <v>45744</v>
      </c>
      <c r="C587" s="0" t="n">
        <v>-989.07</v>
      </c>
      <c r="D587" s="15" t="s">
        <v>3670</v>
      </c>
      <c r="E587" s="15" t="s">
        <v>3426</v>
      </c>
    </row>
    <row r="588" customFormat="false" ht="15" hidden="false" customHeight="false" outlineLevel="0" collapsed="false">
      <c r="A588" s="0" t="s">
        <v>4224</v>
      </c>
      <c r="B588" s="14" t="n">
        <v>45988</v>
      </c>
      <c r="C588" s="0" t="n">
        <v>-2408.69</v>
      </c>
      <c r="D588" s="15" t="s">
        <v>3746</v>
      </c>
      <c r="E588" s="15" t="s">
        <v>3427</v>
      </c>
    </row>
    <row r="589" customFormat="false" ht="15" hidden="false" customHeight="false" outlineLevel="0" collapsed="false">
      <c r="A589" s="0" t="s">
        <v>4225</v>
      </c>
      <c r="B589" s="14" t="n">
        <v>45888</v>
      </c>
      <c r="C589" s="0" t="n">
        <v>-526.61</v>
      </c>
      <c r="D589" s="15" t="s">
        <v>3714</v>
      </c>
      <c r="E589" s="15" t="s">
        <v>3428</v>
      </c>
    </row>
    <row r="590" customFormat="false" ht="15" hidden="false" customHeight="false" outlineLevel="0" collapsed="false">
      <c r="A590" s="0" t="s">
        <v>4226</v>
      </c>
      <c r="B590" s="14" t="n">
        <v>45750</v>
      </c>
      <c r="C590" s="0" t="n">
        <v>-3315.09</v>
      </c>
      <c r="D590" s="15" t="s">
        <v>3652</v>
      </c>
      <c r="E590" s="15" t="s">
        <v>3429</v>
      </c>
    </row>
    <row r="591" customFormat="false" ht="15" hidden="false" customHeight="false" outlineLevel="0" collapsed="false">
      <c r="A591" s="0" t="s">
        <v>4227</v>
      </c>
      <c r="B591" s="14" t="n">
        <v>46152</v>
      </c>
      <c r="C591" s="0" t="n">
        <v>-1645.78</v>
      </c>
      <c r="D591" s="15" t="s">
        <v>3641</v>
      </c>
      <c r="E591" s="15" t="s">
        <v>3430</v>
      </c>
    </row>
    <row r="592" customFormat="false" ht="15" hidden="false" customHeight="false" outlineLevel="0" collapsed="false">
      <c r="A592" s="0" t="s">
        <v>4228</v>
      </c>
      <c r="B592" s="14" t="n">
        <v>46163</v>
      </c>
      <c r="C592" s="0" t="n">
        <v>-1645.78</v>
      </c>
      <c r="D592" s="15" t="s">
        <v>3641</v>
      </c>
      <c r="E592" s="15" t="s">
        <v>3431</v>
      </c>
    </row>
    <row r="593" customFormat="false" ht="15" hidden="false" customHeight="false" outlineLevel="0" collapsed="false">
      <c r="A593" s="0" t="s">
        <v>4229</v>
      </c>
      <c r="B593" s="14" t="n">
        <v>45939</v>
      </c>
      <c r="C593" s="0" t="n">
        <v>-2048.02</v>
      </c>
      <c r="D593" s="15" t="s">
        <v>3641</v>
      </c>
      <c r="E593" s="15" t="s">
        <v>3432</v>
      </c>
    </row>
    <row r="594" customFormat="false" ht="15" hidden="false" customHeight="false" outlineLevel="0" collapsed="false">
      <c r="A594" s="0" t="s">
        <v>4230</v>
      </c>
      <c r="B594" s="14" t="n">
        <v>46060</v>
      </c>
      <c r="C594" s="0" t="n">
        <v>-1796.9</v>
      </c>
      <c r="D594" s="15" t="s">
        <v>3670</v>
      </c>
      <c r="E594" s="15" t="s">
        <v>3433</v>
      </c>
    </row>
    <row r="595" customFormat="false" ht="15" hidden="false" customHeight="false" outlineLevel="0" collapsed="false">
      <c r="A595" s="0" t="s">
        <v>4231</v>
      </c>
      <c r="B595" s="14" t="n">
        <v>46062</v>
      </c>
      <c r="C595" s="0" t="n">
        <v>-2764.38</v>
      </c>
      <c r="D595" s="15" t="s">
        <v>3655</v>
      </c>
      <c r="E595" s="15" t="s">
        <v>3434</v>
      </c>
    </row>
    <row r="596" customFormat="false" ht="15" hidden="false" customHeight="false" outlineLevel="0" collapsed="false">
      <c r="A596" s="0" t="s">
        <v>4232</v>
      </c>
      <c r="B596" s="14" t="n">
        <v>46011</v>
      </c>
      <c r="C596" s="0" t="n">
        <v>-3596.65</v>
      </c>
      <c r="D596" s="15" t="s">
        <v>3655</v>
      </c>
      <c r="E596" s="15" t="s">
        <v>3435</v>
      </c>
    </row>
    <row r="597" customFormat="false" ht="15" hidden="false" customHeight="false" outlineLevel="0" collapsed="false">
      <c r="A597" s="0" t="s">
        <v>4233</v>
      </c>
      <c r="B597" s="14" t="n">
        <v>46132</v>
      </c>
      <c r="C597" s="0" t="n">
        <v>-2397.02</v>
      </c>
      <c r="D597" s="15" t="s">
        <v>3636</v>
      </c>
      <c r="E597" s="15" t="s">
        <v>3436</v>
      </c>
    </row>
    <row r="598" customFormat="false" ht="15" hidden="false" customHeight="false" outlineLevel="0" collapsed="false">
      <c r="A598" s="0" t="s">
        <v>4234</v>
      </c>
      <c r="B598" s="14" t="n">
        <v>45824</v>
      </c>
      <c r="C598" s="0" t="n">
        <v>-15935.12</v>
      </c>
      <c r="D598" s="15" t="s">
        <v>3615</v>
      </c>
      <c r="E598" s="15" t="s">
        <v>3437</v>
      </c>
    </row>
    <row r="599" customFormat="false" ht="15" hidden="false" customHeight="false" outlineLevel="0" collapsed="false">
      <c r="A599" s="0" t="s">
        <v>4235</v>
      </c>
      <c r="B599" s="14" t="n">
        <v>45763</v>
      </c>
      <c r="C599" s="0" t="n">
        <v>-524.67</v>
      </c>
      <c r="D599" s="15" t="s">
        <v>3627</v>
      </c>
      <c r="E599" s="15" t="s">
        <v>3438</v>
      </c>
    </row>
    <row r="600" customFormat="false" ht="15" hidden="false" customHeight="false" outlineLevel="0" collapsed="false">
      <c r="A600" s="0" t="s">
        <v>4236</v>
      </c>
      <c r="B600" s="14" t="n">
        <v>45755</v>
      </c>
      <c r="C600" s="0" t="n">
        <v>-979.13</v>
      </c>
      <c r="D600" s="15" t="s">
        <v>3605</v>
      </c>
      <c r="E600" s="15" t="s">
        <v>3439</v>
      </c>
    </row>
    <row r="601" customFormat="false" ht="15" hidden="false" customHeight="false" outlineLevel="0" collapsed="false">
      <c r="A601" s="0" t="s">
        <v>4237</v>
      </c>
      <c r="B601" s="14" t="n">
        <v>46095</v>
      </c>
      <c r="C601" s="0" t="n">
        <v>-3602.11</v>
      </c>
      <c r="D601" s="15" t="s">
        <v>3672</v>
      </c>
      <c r="E601" s="15" t="s">
        <v>3440</v>
      </c>
    </row>
    <row r="602" customFormat="false" ht="15" hidden="false" customHeight="false" outlineLevel="0" collapsed="false">
      <c r="A602" s="0" t="s">
        <v>4238</v>
      </c>
      <c r="B602" s="14" t="n">
        <v>45775</v>
      </c>
      <c r="C602" s="0" t="n">
        <v>-579.61</v>
      </c>
      <c r="D602" s="15" t="s">
        <v>3611</v>
      </c>
      <c r="E602" s="15" t="s">
        <v>3441</v>
      </c>
    </row>
    <row r="603" customFormat="false" ht="15" hidden="false" customHeight="false" outlineLevel="0" collapsed="false">
      <c r="A603" s="0" t="s">
        <v>4239</v>
      </c>
      <c r="B603" s="14" t="n">
        <v>45811</v>
      </c>
      <c r="C603" s="0" t="n">
        <v>-2463.86</v>
      </c>
      <c r="D603" s="15" t="s">
        <v>3629</v>
      </c>
      <c r="E603" s="15" t="s">
        <v>3442</v>
      </c>
    </row>
    <row r="604" customFormat="false" ht="15" hidden="false" customHeight="false" outlineLevel="0" collapsed="false">
      <c r="A604" s="0" t="s">
        <v>4240</v>
      </c>
      <c r="B604" s="14" t="n">
        <v>46152</v>
      </c>
      <c r="C604" s="0" t="n">
        <v>-2741.68</v>
      </c>
      <c r="D604" s="15" t="s">
        <v>3599</v>
      </c>
      <c r="E604" s="15" t="s">
        <v>3443</v>
      </c>
    </row>
    <row r="605" customFormat="false" ht="15" hidden="false" customHeight="false" outlineLevel="0" collapsed="false">
      <c r="A605" s="0" t="s">
        <v>4241</v>
      </c>
      <c r="B605" s="14" t="n">
        <v>45864</v>
      </c>
      <c r="C605" s="0" t="n">
        <v>-683.18</v>
      </c>
      <c r="D605" s="15" t="s">
        <v>3607</v>
      </c>
      <c r="E605" s="15" t="s">
        <v>3444</v>
      </c>
    </row>
    <row r="606" customFormat="false" ht="15" hidden="false" customHeight="false" outlineLevel="0" collapsed="false">
      <c r="A606" s="0" t="s">
        <v>4242</v>
      </c>
      <c r="B606" s="14" t="n">
        <v>45782</v>
      </c>
      <c r="C606" s="0" t="n">
        <v>-1624.72</v>
      </c>
      <c r="D606" s="15" t="s">
        <v>3676</v>
      </c>
      <c r="E606" s="15" t="s">
        <v>3445</v>
      </c>
    </row>
    <row r="607" customFormat="false" ht="15" hidden="false" customHeight="false" outlineLevel="0" collapsed="false">
      <c r="A607" s="0" t="s">
        <v>4243</v>
      </c>
      <c r="B607" s="14" t="n">
        <v>46169</v>
      </c>
      <c r="C607" s="0" t="n">
        <v>-1846.75</v>
      </c>
      <c r="D607" s="15" t="s">
        <v>3629</v>
      </c>
      <c r="E607" s="15" t="s">
        <v>3446</v>
      </c>
    </row>
    <row r="608" customFormat="false" ht="15" hidden="false" customHeight="false" outlineLevel="0" collapsed="false">
      <c r="A608" s="0" t="s">
        <v>4244</v>
      </c>
      <c r="B608" s="14" t="n">
        <v>45698</v>
      </c>
      <c r="C608" s="0" t="n">
        <v>-1307.64</v>
      </c>
      <c r="D608" s="15" t="s">
        <v>3601</v>
      </c>
      <c r="E608" s="15" t="s">
        <v>3447</v>
      </c>
    </row>
    <row r="609" customFormat="false" ht="15" hidden="false" customHeight="false" outlineLevel="0" collapsed="false">
      <c r="A609" s="0" t="s">
        <v>4245</v>
      </c>
      <c r="B609" s="14" t="n">
        <v>46174</v>
      </c>
      <c r="C609" s="0" t="n">
        <v>-1035.87</v>
      </c>
      <c r="D609" s="15" t="s">
        <v>3786</v>
      </c>
      <c r="E609" s="15" t="s">
        <v>3448</v>
      </c>
    </row>
    <row r="610" customFormat="false" ht="15" hidden="false" customHeight="false" outlineLevel="0" collapsed="false">
      <c r="A610" s="0" t="s">
        <v>4246</v>
      </c>
      <c r="B610" s="14" t="n">
        <v>45773</v>
      </c>
      <c r="C610" s="0" t="n">
        <v>-7340.64</v>
      </c>
      <c r="D610" s="15" t="s">
        <v>3765</v>
      </c>
      <c r="E610" s="15" t="s">
        <v>3449</v>
      </c>
    </row>
    <row r="611" customFormat="false" ht="15" hidden="false" customHeight="false" outlineLevel="0" collapsed="false">
      <c r="A611" s="0" t="s">
        <v>4247</v>
      </c>
      <c r="B611" s="14" t="n">
        <v>45777</v>
      </c>
      <c r="C611" s="0" t="n">
        <v>-7340.64</v>
      </c>
      <c r="D611" s="15" t="s">
        <v>3765</v>
      </c>
      <c r="E611" s="15" t="s">
        <v>3450</v>
      </c>
    </row>
    <row r="612" customFormat="false" ht="15" hidden="false" customHeight="false" outlineLevel="0" collapsed="false">
      <c r="A612" s="0" t="s">
        <v>4248</v>
      </c>
      <c r="B612" s="14" t="n">
        <v>45770</v>
      </c>
      <c r="C612" s="0" t="n">
        <v>-957.43</v>
      </c>
      <c r="D612" s="15" t="s">
        <v>3660</v>
      </c>
      <c r="E612" s="15" t="s">
        <v>3451</v>
      </c>
    </row>
    <row r="613" customFormat="false" ht="15" hidden="false" customHeight="false" outlineLevel="0" collapsed="false">
      <c r="A613" s="0" t="s">
        <v>4249</v>
      </c>
      <c r="B613" s="14" t="n">
        <v>45841</v>
      </c>
      <c r="C613" s="0" t="n">
        <v>-2509.24</v>
      </c>
      <c r="D613" s="15" t="s">
        <v>3690</v>
      </c>
      <c r="E613" s="15" t="s">
        <v>3452</v>
      </c>
    </row>
    <row r="614" customFormat="false" ht="15" hidden="false" customHeight="false" outlineLevel="0" collapsed="false">
      <c r="A614" s="0" t="s">
        <v>4250</v>
      </c>
      <c r="B614" s="14" t="n">
        <v>46063</v>
      </c>
      <c r="C614" s="0" t="n">
        <v>-629.25</v>
      </c>
      <c r="D614" s="15" t="s">
        <v>3636</v>
      </c>
      <c r="E614" s="15" t="s">
        <v>3453</v>
      </c>
    </row>
    <row r="615" customFormat="false" ht="15" hidden="false" customHeight="false" outlineLevel="0" collapsed="false">
      <c r="A615" s="0" t="s">
        <v>4251</v>
      </c>
      <c r="B615" s="14" t="n">
        <v>45702</v>
      </c>
      <c r="C615" s="0" t="n">
        <v>-24756.78</v>
      </c>
      <c r="D615" s="15" t="s">
        <v>3676</v>
      </c>
      <c r="E615" s="15" t="s">
        <v>3454</v>
      </c>
    </row>
    <row r="616" customFormat="false" ht="15" hidden="false" customHeight="false" outlineLevel="0" collapsed="false">
      <c r="A616" s="0" t="s">
        <v>4252</v>
      </c>
      <c r="B616" s="14" t="n">
        <v>45696</v>
      </c>
      <c r="C616" s="0" t="n">
        <v>-2964.49</v>
      </c>
      <c r="D616" s="15" t="s">
        <v>3639</v>
      </c>
      <c r="E616" s="15" t="s">
        <v>3455</v>
      </c>
    </row>
    <row r="617" customFormat="false" ht="15" hidden="false" customHeight="false" outlineLevel="0" collapsed="false">
      <c r="A617" s="0" t="s">
        <v>4253</v>
      </c>
      <c r="B617" s="14" t="n">
        <v>46128</v>
      </c>
      <c r="C617" s="0" t="n">
        <v>-3993.23</v>
      </c>
      <c r="D617" s="15" t="s">
        <v>3690</v>
      </c>
      <c r="E617" s="15" t="s">
        <v>3456</v>
      </c>
    </row>
    <row r="618" customFormat="false" ht="15" hidden="false" customHeight="false" outlineLevel="0" collapsed="false">
      <c r="A618" s="0" t="s">
        <v>4254</v>
      </c>
      <c r="B618" s="14" t="n">
        <v>45826</v>
      </c>
      <c r="C618" s="0" t="n">
        <v>-1604.06</v>
      </c>
      <c r="D618" s="15" t="s">
        <v>3615</v>
      </c>
      <c r="E618" s="15" t="s">
        <v>3457</v>
      </c>
    </row>
    <row r="619" customFormat="false" ht="15" hidden="false" customHeight="false" outlineLevel="0" collapsed="false">
      <c r="A619" s="0" t="s">
        <v>4255</v>
      </c>
      <c r="B619" s="14" t="n">
        <v>45886</v>
      </c>
      <c r="C619" s="0" t="n">
        <v>-2211.07</v>
      </c>
      <c r="D619" s="15" t="s">
        <v>3636</v>
      </c>
      <c r="E619" s="15" t="s">
        <v>3458</v>
      </c>
    </row>
    <row r="620" customFormat="false" ht="15" hidden="false" customHeight="false" outlineLevel="0" collapsed="false">
      <c r="A620" s="0" t="s">
        <v>4256</v>
      </c>
      <c r="B620" s="14" t="n">
        <v>45763</v>
      </c>
      <c r="C620" s="0" t="n">
        <v>-1034.65</v>
      </c>
      <c r="D620" s="15" t="s">
        <v>3690</v>
      </c>
      <c r="E620" s="15" t="s">
        <v>3459</v>
      </c>
    </row>
    <row r="621" customFormat="false" ht="15" hidden="false" customHeight="false" outlineLevel="0" collapsed="false">
      <c r="A621" s="0" t="s">
        <v>4257</v>
      </c>
      <c r="B621" s="14" t="n">
        <v>46085</v>
      </c>
      <c r="C621" s="0" t="n">
        <v>-1848.76</v>
      </c>
      <c r="D621" s="15" t="s">
        <v>3746</v>
      </c>
      <c r="E621" s="15" t="s">
        <v>3460</v>
      </c>
    </row>
    <row r="622" customFormat="false" ht="15" hidden="false" customHeight="false" outlineLevel="0" collapsed="false">
      <c r="A622" s="0" t="s">
        <v>4258</v>
      </c>
      <c r="B622" s="14" t="n">
        <v>45988</v>
      </c>
      <c r="C622" s="0" t="n">
        <v>-2842.44</v>
      </c>
      <c r="D622" s="15" t="s">
        <v>3636</v>
      </c>
      <c r="E622" s="15" t="s">
        <v>3461</v>
      </c>
    </row>
    <row r="623" customFormat="false" ht="15" hidden="false" customHeight="false" outlineLevel="0" collapsed="false">
      <c r="A623" s="0" t="s">
        <v>4259</v>
      </c>
      <c r="B623" s="14" t="n">
        <v>46104</v>
      </c>
      <c r="C623" s="0" t="n">
        <v>-2826.44</v>
      </c>
      <c r="D623" s="15" t="s">
        <v>3629</v>
      </c>
      <c r="E623" s="15" t="s">
        <v>3462</v>
      </c>
    </row>
    <row r="624" customFormat="false" ht="15" hidden="false" customHeight="false" outlineLevel="0" collapsed="false">
      <c r="A624" s="0" t="s">
        <v>4260</v>
      </c>
      <c r="B624" s="14" t="n">
        <v>46133</v>
      </c>
      <c r="C624" s="0" t="n">
        <v>-4662.39</v>
      </c>
      <c r="D624" s="15" t="s">
        <v>3657</v>
      </c>
      <c r="E624" s="15" t="s">
        <v>3463</v>
      </c>
    </row>
    <row r="625" customFormat="false" ht="15" hidden="false" customHeight="false" outlineLevel="0" collapsed="false">
      <c r="A625" s="0" t="s">
        <v>4261</v>
      </c>
      <c r="B625" s="14" t="n">
        <v>45972</v>
      </c>
      <c r="C625" s="0" t="n">
        <v>-369.39</v>
      </c>
      <c r="D625" s="15" t="s">
        <v>3605</v>
      </c>
      <c r="E625" s="15" t="s">
        <v>3464</v>
      </c>
    </row>
    <row r="626" customFormat="false" ht="15" hidden="false" customHeight="false" outlineLevel="0" collapsed="false">
      <c r="A626" s="0" t="s">
        <v>4262</v>
      </c>
      <c r="B626" s="14" t="n">
        <v>45722</v>
      </c>
      <c r="C626" s="0" t="n">
        <v>-1081.06</v>
      </c>
      <c r="D626" s="15" t="s">
        <v>3714</v>
      </c>
      <c r="E626" s="15" t="s">
        <v>3465</v>
      </c>
    </row>
    <row r="627" customFormat="false" ht="15" hidden="false" customHeight="false" outlineLevel="0" collapsed="false">
      <c r="A627" s="0" t="s">
        <v>4263</v>
      </c>
      <c r="B627" s="14" t="n">
        <v>46120</v>
      </c>
      <c r="C627" s="0" t="n">
        <v>-199.69</v>
      </c>
      <c r="D627" s="15" t="s">
        <v>3649</v>
      </c>
      <c r="E627" s="15" t="s">
        <v>3466</v>
      </c>
    </row>
    <row r="628" customFormat="false" ht="15" hidden="false" customHeight="false" outlineLevel="0" collapsed="false">
      <c r="A628" s="0" t="s">
        <v>4264</v>
      </c>
      <c r="B628" s="14" t="n">
        <v>46133</v>
      </c>
      <c r="C628" s="0" t="n">
        <v>-1143.13</v>
      </c>
      <c r="D628" s="15" t="s">
        <v>3636</v>
      </c>
      <c r="E628" s="15" t="s">
        <v>3467</v>
      </c>
    </row>
    <row r="629" customFormat="false" ht="15" hidden="false" customHeight="false" outlineLevel="0" collapsed="false">
      <c r="A629" s="0" t="s">
        <v>4265</v>
      </c>
      <c r="B629" s="14" t="n">
        <v>45980</v>
      </c>
      <c r="C629" s="0" t="n">
        <v>-3047.46</v>
      </c>
      <c r="D629" s="15" t="s">
        <v>3786</v>
      </c>
      <c r="E629" s="15" t="s">
        <v>3468</v>
      </c>
    </row>
    <row r="630" customFormat="false" ht="15" hidden="false" customHeight="false" outlineLevel="0" collapsed="false">
      <c r="A630" s="0" t="s">
        <v>4266</v>
      </c>
      <c r="B630" s="14" t="n">
        <v>45938</v>
      </c>
      <c r="C630" s="0" t="n">
        <v>-2282.24</v>
      </c>
      <c r="D630" s="15" t="s">
        <v>3660</v>
      </c>
      <c r="E630" s="15" t="s">
        <v>3469</v>
      </c>
    </row>
    <row r="631" customFormat="false" ht="15" hidden="false" customHeight="false" outlineLevel="0" collapsed="false">
      <c r="A631" s="0" t="s">
        <v>4267</v>
      </c>
      <c r="B631" s="14" t="n">
        <v>46204</v>
      </c>
      <c r="C631" s="0" t="n">
        <v>-866.83</v>
      </c>
      <c r="D631" s="15" t="s">
        <v>3652</v>
      </c>
      <c r="E631" s="15" t="s">
        <v>3470</v>
      </c>
    </row>
    <row r="632" customFormat="false" ht="15" hidden="false" customHeight="false" outlineLevel="0" collapsed="false">
      <c r="A632" s="0" t="s">
        <v>4268</v>
      </c>
      <c r="B632" s="14" t="n">
        <v>45730</v>
      </c>
      <c r="C632" s="0" t="n">
        <v>-9584.39</v>
      </c>
      <c r="D632" s="15" t="s">
        <v>3703</v>
      </c>
      <c r="E632" s="15" t="s">
        <v>3471</v>
      </c>
    </row>
    <row r="633" customFormat="false" ht="15" hidden="false" customHeight="false" outlineLevel="0" collapsed="false">
      <c r="A633" s="0" t="s">
        <v>4269</v>
      </c>
      <c r="B633" s="14" t="n">
        <v>45950</v>
      </c>
      <c r="C633" s="0" t="n">
        <v>-1413.3</v>
      </c>
      <c r="D633" s="15" t="s">
        <v>3634</v>
      </c>
      <c r="E633" s="15" t="s">
        <v>3472</v>
      </c>
    </row>
    <row r="634" customFormat="false" ht="15" hidden="false" customHeight="false" outlineLevel="0" collapsed="false">
      <c r="A634" s="0" t="s">
        <v>4270</v>
      </c>
      <c r="B634" s="14" t="n">
        <v>45929</v>
      </c>
      <c r="C634" s="0" t="n">
        <v>-9255.12</v>
      </c>
      <c r="D634" s="15" t="s">
        <v>3615</v>
      </c>
      <c r="E634" s="15" t="s">
        <v>3473</v>
      </c>
    </row>
    <row r="635" customFormat="false" ht="15" hidden="false" customHeight="false" outlineLevel="0" collapsed="false">
      <c r="A635" s="0" t="s">
        <v>4271</v>
      </c>
      <c r="B635" s="14" t="n">
        <v>46059</v>
      </c>
      <c r="C635" s="0" t="n">
        <v>-363.94</v>
      </c>
      <c r="D635" s="15" t="s">
        <v>3714</v>
      </c>
      <c r="E635" s="15" t="s">
        <v>3474</v>
      </c>
    </row>
    <row r="636" customFormat="false" ht="15" hidden="false" customHeight="false" outlineLevel="0" collapsed="false">
      <c r="A636" s="0" t="s">
        <v>4272</v>
      </c>
      <c r="B636" s="14" t="n">
        <v>45939</v>
      </c>
      <c r="C636" s="0" t="n">
        <v>-12071.44</v>
      </c>
      <c r="D636" s="15" t="s">
        <v>3641</v>
      </c>
      <c r="E636" s="15" t="s">
        <v>3475</v>
      </c>
    </row>
    <row r="637" customFormat="false" ht="15" hidden="false" customHeight="false" outlineLevel="0" collapsed="false">
      <c r="A637" s="0" t="s">
        <v>4273</v>
      </c>
      <c r="B637" s="14" t="n">
        <v>46183</v>
      </c>
      <c r="C637" s="0" t="n">
        <v>-345.86</v>
      </c>
      <c r="D637" s="15" t="s">
        <v>3672</v>
      </c>
      <c r="E637" s="15" t="s">
        <v>3476</v>
      </c>
    </row>
    <row r="638" customFormat="false" ht="15" hidden="false" customHeight="false" outlineLevel="0" collapsed="false">
      <c r="A638" s="0" t="s">
        <v>4274</v>
      </c>
      <c r="B638" s="14" t="n">
        <v>46189</v>
      </c>
      <c r="C638" s="0" t="n">
        <v>-345.86</v>
      </c>
      <c r="D638" s="15" t="s">
        <v>3672</v>
      </c>
      <c r="E638" s="15" t="s">
        <v>3477</v>
      </c>
    </row>
    <row r="639" customFormat="false" ht="15" hidden="false" customHeight="false" outlineLevel="0" collapsed="false">
      <c r="A639" s="0" t="s">
        <v>4275</v>
      </c>
      <c r="B639" s="14" t="n">
        <v>45742</v>
      </c>
      <c r="C639" s="0" t="n">
        <v>-146.21</v>
      </c>
      <c r="D639" s="15" t="s">
        <v>3636</v>
      </c>
      <c r="E639" s="15" t="s">
        <v>3478</v>
      </c>
    </row>
    <row r="640" customFormat="false" ht="15" hidden="false" customHeight="false" outlineLevel="0" collapsed="false">
      <c r="A640" s="0" t="s">
        <v>4276</v>
      </c>
      <c r="B640" s="14" t="n">
        <v>45744</v>
      </c>
      <c r="C640" s="0" t="n">
        <v>-2671.57</v>
      </c>
      <c r="D640" s="15" t="s">
        <v>3611</v>
      </c>
      <c r="E640" s="15" t="s">
        <v>3479</v>
      </c>
    </row>
    <row r="641" customFormat="false" ht="15" hidden="false" customHeight="false" outlineLevel="0" collapsed="false">
      <c r="A641" s="0" t="s">
        <v>4277</v>
      </c>
      <c r="B641" s="14" t="n">
        <v>46002</v>
      </c>
      <c r="C641" s="0" t="n">
        <v>-1652.24</v>
      </c>
      <c r="D641" s="15" t="s">
        <v>3703</v>
      </c>
      <c r="E641" s="15" t="s">
        <v>3480</v>
      </c>
    </row>
    <row r="642" customFormat="false" ht="15" hidden="false" customHeight="false" outlineLevel="0" collapsed="false">
      <c r="A642" s="0" t="s">
        <v>4278</v>
      </c>
      <c r="B642" s="14" t="n">
        <v>45715</v>
      </c>
      <c r="C642" s="0" t="n">
        <v>-2766.5</v>
      </c>
      <c r="D642" s="15" t="s">
        <v>3672</v>
      </c>
      <c r="E642" s="15" t="s">
        <v>3481</v>
      </c>
    </row>
    <row r="643" customFormat="false" ht="15" hidden="false" customHeight="false" outlineLevel="0" collapsed="false">
      <c r="A643" s="0" t="s">
        <v>4279</v>
      </c>
      <c r="B643" s="14" t="n">
        <v>45855</v>
      </c>
      <c r="C643" s="0" t="n">
        <v>-5537.55</v>
      </c>
      <c r="D643" s="15" t="s">
        <v>3676</v>
      </c>
      <c r="E643" s="15" t="s">
        <v>3482</v>
      </c>
    </row>
    <row r="644" customFormat="false" ht="15" hidden="false" customHeight="false" outlineLevel="0" collapsed="false">
      <c r="A644" s="0" t="s">
        <v>4280</v>
      </c>
      <c r="B644" s="14" t="n">
        <v>46058</v>
      </c>
      <c r="C644" s="0" t="n">
        <v>-4823.29</v>
      </c>
      <c r="D644" s="15" t="s">
        <v>3679</v>
      </c>
      <c r="E644" s="15" t="s">
        <v>3483</v>
      </c>
    </row>
    <row r="645" customFormat="false" ht="15" hidden="false" customHeight="false" outlineLevel="0" collapsed="false">
      <c r="A645" s="0" t="s">
        <v>4281</v>
      </c>
      <c r="B645" s="14" t="n">
        <v>45992</v>
      </c>
      <c r="C645" s="0" t="n">
        <v>-2004.87</v>
      </c>
      <c r="D645" s="15" t="s">
        <v>3643</v>
      </c>
      <c r="E645" s="15" t="s">
        <v>3484</v>
      </c>
    </row>
    <row r="646" customFormat="false" ht="15" hidden="false" customHeight="false" outlineLevel="0" collapsed="false">
      <c r="A646" s="0" t="s">
        <v>4282</v>
      </c>
      <c r="B646" s="14" t="n">
        <v>45859</v>
      </c>
      <c r="C646" s="0" t="n">
        <v>-368.64</v>
      </c>
      <c r="D646" s="15" t="s">
        <v>3649</v>
      </c>
      <c r="E646" s="15" t="s">
        <v>3485</v>
      </c>
    </row>
    <row r="647" customFormat="false" ht="15" hidden="false" customHeight="false" outlineLevel="0" collapsed="false">
      <c r="A647" s="0" t="s">
        <v>4283</v>
      </c>
      <c r="B647" s="14" t="n">
        <v>45969</v>
      </c>
      <c r="C647" s="0" t="n">
        <v>-18808.64</v>
      </c>
      <c r="D647" s="15" t="s">
        <v>3660</v>
      </c>
      <c r="E647" s="15" t="s">
        <v>3486</v>
      </c>
    </row>
    <row r="648" customFormat="false" ht="15" hidden="false" customHeight="false" outlineLevel="0" collapsed="false">
      <c r="A648" s="0" t="s">
        <v>4284</v>
      </c>
      <c r="B648" s="14" t="n">
        <v>45957</v>
      </c>
      <c r="C648" s="0" t="n">
        <v>-2123.75</v>
      </c>
      <c r="D648" s="15" t="s">
        <v>3749</v>
      </c>
      <c r="E648" s="15" t="s">
        <v>3487</v>
      </c>
    </row>
    <row r="649" customFormat="false" ht="15" hidden="false" customHeight="false" outlineLevel="0" collapsed="false">
      <c r="A649" s="0" t="s">
        <v>4285</v>
      </c>
      <c r="B649" s="14" t="n">
        <v>46032</v>
      </c>
      <c r="C649" s="0" t="n">
        <v>-2641.8</v>
      </c>
      <c r="D649" s="15" t="s">
        <v>3690</v>
      </c>
      <c r="E649" s="15" t="s">
        <v>3488</v>
      </c>
    </row>
    <row r="650" customFormat="false" ht="15" hidden="false" customHeight="false" outlineLevel="0" collapsed="false">
      <c r="A650" s="0" t="s">
        <v>4286</v>
      </c>
      <c r="B650" s="14" t="n">
        <v>45761</v>
      </c>
      <c r="C650" s="0" t="n">
        <v>-2661.22</v>
      </c>
      <c r="D650" s="15" t="s">
        <v>3611</v>
      </c>
      <c r="E650" s="15" t="s">
        <v>3489</v>
      </c>
    </row>
    <row r="651" customFormat="false" ht="15" hidden="false" customHeight="false" outlineLevel="0" collapsed="false">
      <c r="A651" s="0" t="s">
        <v>4287</v>
      </c>
      <c r="B651" s="14" t="n">
        <v>46091</v>
      </c>
      <c r="C651" s="0" t="n">
        <v>-2608</v>
      </c>
      <c r="D651" s="15" t="s">
        <v>3607</v>
      </c>
      <c r="E651" s="15" t="s">
        <v>3490</v>
      </c>
    </row>
    <row r="652" customFormat="false" ht="15" hidden="false" customHeight="false" outlineLevel="0" collapsed="false">
      <c r="A652" s="0" t="s">
        <v>4288</v>
      </c>
      <c r="B652" s="14" t="n">
        <v>46149</v>
      </c>
      <c r="C652" s="0" t="n">
        <v>-19774.14</v>
      </c>
      <c r="D652" s="15" t="s">
        <v>3786</v>
      </c>
      <c r="E652" s="15" t="s">
        <v>3491</v>
      </c>
    </row>
    <row r="653" customFormat="false" ht="15" hidden="false" customHeight="false" outlineLevel="0" collapsed="false">
      <c r="A653" s="0" t="s">
        <v>4289</v>
      </c>
      <c r="B653" s="14" t="n">
        <v>46033</v>
      </c>
      <c r="C653" s="0" t="n">
        <v>-393.39</v>
      </c>
      <c r="D653" s="15" t="s">
        <v>3629</v>
      </c>
      <c r="E653" s="15" t="s">
        <v>3492</v>
      </c>
    </row>
    <row r="654" customFormat="false" ht="15" hidden="false" customHeight="false" outlineLevel="0" collapsed="false">
      <c r="A654" s="0" t="s">
        <v>4290</v>
      </c>
      <c r="B654" s="14" t="n">
        <v>46096</v>
      </c>
      <c r="C654" s="0" t="n">
        <v>-19934.95</v>
      </c>
      <c r="D654" s="15" t="s">
        <v>3621</v>
      </c>
      <c r="E654" s="15" t="s">
        <v>3493</v>
      </c>
    </row>
    <row r="655" customFormat="false" ht="15" hidden="false" customHeight="false" outlineLevel="0" collapsed="false">
      <c r="A655" s="0" t="s">
        <v>4291</v>
      </c>
      <c r="B655" s="14" t="n">
        <v>45804</v>
      </c>
      <c r="C655" s="0" t="n">
        <v>-812.03</v>
      </c>
      <c r="D655" s="15" t="s">
        <v>3652</v>
      </c>
      <c r="E655" s="15" t="s">
        <v>3494</v>
      </c>
    </row>
    <row r="656" customFormat="false" ht="15" hidden="false" customHeight="false" outlineLevel="0" collapsed="false">
      <c r="A656" s="0" t="s">
        <v>4292</v>
      </c>
      <c r="B656" s="14" t="n">
        <v>45936</v>
      </c>
      <c r="C656" s="0" t="n">
        <v>-26179.49</v>
      </c>
      <c r="D656" s="15" t="s">
        <v>3670</v>
      </c>
      <c r="E656" s="15" t="s">
        <v>3495</v>
      </c>
    </row>
    <row r="657" customFormat="false" ht="15" hidden="false" customHeight="false" outlineLevel="0" collapsed="false">
      <c r="A657" s="0" t="s">
        <v>4293</v>
      </c>
      <c r="B657" s="14" t="n">
        <v>45819</v>
      </c>
      <c r="C657" s="0" t="n">
        <v>-8117.27</v>
      </c>
      <c r="D657" s="15" t="s">
        <v>3634</v>
      </c>
      <c r="E657" s="15" t="s">
        <v>3496</v>
      </c>
    </row>
    <row r="658" customFormat="false" ht="15" hidden="false" customHeight="false" outlineLevel="0" collapsed="false">
      <c r="A658" s="0" t="s">
        <v>4294</v>
      </c>
      <c r="B658" s="14" t="n">
        <v>45880</v>
      </c>
      <c r="C658" s="0" t="n">
        <v>-9161.11</v>
      </c>
      <c r="D658" s="15" t="s">
        <v>3657</v>
      </c>
      <c r="E658" s="15" t="s">
        <v>3497</v>
      </c>
    </row>
    <row r="659" customFormat="false" ht="15" hidden="false" customHeight="false" outlineLevel="0" collapsed="false">
      <c r="A659" s="0" t="s">
        <v>4295</v>
      </c>
      <c r="B659" s="14" t="n">
        <v>45929</v>
      </c>
      <c r="C659" s="0" t="n">
        <v>-1056.4</v>
      </c>
      <c r="D659" s="15" t="s">
        <v>3607</v>
      </c>
      <c r="E659" s="15" t="s">
        <v>3498</v>
      </c>
    </row>
    <row r="660" customFormat="false" ht="15" hidden="false" customHeight="false" outlineLevel="0" collapsed="false">
      <c r="A660" s="0" t="s">
        <v>4296</v>
      </c>
      <c r="B660" s="14" t="n">
        <v>45890</v>
      </c>
      <c r="C660" s="0" t="n">
        <v>-3577.81</v>
      </c>
      <c r="D660" s="15" t="s">
        <v>3611</v>
      </c>
      <c r="E660" s="15" t="s">
        <v>3499</v>
      </c>
    </row>
    <row r="661" customFormat="false" ht="15" hidden="false" customHeight="false" outlineLevel="0" collapsed="false">
      <c r="A661" s="0" t="s">
        <v>4297</v>
      </c>
      <c r="B661" s="14" t="n">
        <v>45739</v>
      </c>
      <c r="C661" s="0" t="n">
        <v>-1478.7</v>
      </c>
      <c r="D661" s="15" t="s">
        <v>3672</v>
      </c>
      <c r="E661" s="15" t="s">
        <v>3500</v>
      </c>
    </row>
    <row r="662" customFormat="false" ht="15" hidden="false" customHeight="false" outlineLevel="0" collapsed="false">
      <c r="A662" s="0" t="s">
        <v>4298</v>
      </c>
      <c r="B662" s="14" t="n">
        <v>45926</v>
      </c>
      <c r="C662" s="0" t="n">
        <v>-5071.62</v>
      </c>
      <c r="D662" s="15" t="s">
        <v>3621</v>
      </c>
      <c r="E662" s="15" t="s">
        <v>3501</v>
      </c>
    </row>
    <row r="663" customFormat="false" ht="15" hidden="false" customHeight="false" outlineLevel="0" collapsed="false">
      <c r="A663" s="0" t="s">
        <v>4299</v>
      </c>
      <c r="B663" s="14" t="n">
        <v>46060</v>
      </c>
      <c r="C663" s="0" t="n">
        <v>-3714.97</v>
      </c>
      <c r="D663" s="15" t="s">
        <v>3786</v>
      </c>
      <c r="E663" s="15" t="s">
        <v>3502</v>
      </c>
    </row>
    <row r="664" customFormat="false" ht="15" hidden="false" customHeight="false" outlineLevel="0" collapsed="false">
      <c r="A664" s="0" t="s">
        <v>4300</v>
      </c>
      <c r="B664" s="14" t="n">
        <v>45889</v>
      </c>
      <c r="C664" s="0" t="n">
        <v>-577.47</v>
      </c>
      <c r="D664" s="15" t="s">
        <v>3670</v>
      </c>
      <c r="E664" s="15" t="s">
        <v>3503</v>
      </c>
    </row>
    <row r="665" customFormat="false" ht="15" hidden="false" customHeight="false" outlineLevel="0" collapsed="false">
      <c r="A665" s="0" t="s">
        <v>4301</v>
      </c>
      <c r="B665" s="14" t="n">
        <v>46206</v>
      </c>
      <c r="C665" s="0" t="n">
        <v>-2429.18</v>
      </c>
      <c r="D665" s="15" t="s">
        <v>3619</v>
      </c>
      <c r="E665" s="15" t="s">
        <v>3504</v>
      </c>
    </row>
    <row r="666" customFormat="false" ht="15" hidden="false" customHeight="false" outlineLevel="0" collapsed="false">
      <c r="A666" s="0" t="s">
        <v>4302</v>
      </c>
      <c r="B666" s="14" t="n">
        <v>45722</v>
      </c>
      <c r="C666" s="0" t="n">
        <v>-5420.25</v>
      </c>
      <c r="D666" s="15" t="s">
        <v>3690</v>
      </c>
      <c r="E666" s="15" t="s">
        <v>3505</v>
      </c>
    </row>
    <row r="667" customFormat="false" ht="15" hidden="false" customHeight="false" outlineLevel="0" collapsed="false">
      <c r="A667" s="0" t="s">
        <v>4303</v>
      </c>
      <c r="B667" s="14" t="n">
        <v>45713</v>
      </c>
      <c r="C667" s="0" t="n">
        <v>-5970.05</v>
      </c>
      <c r="D667" s="15" t="s">
        <v>3601</v>
      </c>
      <c r="E667" s="15" t="s">
        <v>3506</v>
      </c>
    </row>
    <row r="668" customFormat="false" ht="15" hidden="false" customHeight="false" outlineLevel="0" collapsed="false">
      <c r="A668" s="0" t="s">
        <v>4304</v>
      </c>
      <c r="B668" s="14" t="n">
        <v>45722</v>
      </c>
      <c r="C668" s="0" t="n">
        <v>-1166.53</v>
      </c>
      <c r="D668" s="15" t="s">
        <v>3599</v>
      </c>
      <c r="E668" s="15" t="s">
        <v>3507</v>
      </c>
    </row>
    <row r="669" customFormat="false" ht="15" hidden="false" customHeight="false" outlineLevel="0" collapsed="false">
      <c r="A669" s="0" t="s">
        <v>4305</v>
      </c>
      <c r="B669" s="14" t="n">
        <v>46106</v>
      </c>
      <c r="C669" s="0" t="n">
        <v>-305.02</v>
      </c>
      <c r="D669" s="15" t="s">
        <v>3605</v>
      </c>
      <c r="E669" s="15" t="s">
        <v>3508</v>
      </c>
    </row>
    <row r="670" customFormat="false" ht="15" hidden="false" customHeight="false" outlineLevel="0" collapsed="false">
      <c r="A670" s="0" t="s">
        <v>4306</v>
      </c>
      <c r="B670" s="14" t="n">
        <v>46135</v>
      </c>
      <c r="C670" s="0" t="n">
        <v>-888.47</v>
      </c>
      <c r="D670" s="15" t="s">
        <v>3652</v>
      </c>
      <c r="E670" s="15" t="s">
        <v>3509</v>
      </c>
    </row>
    <row r="671" customFormat="false" ht="15" hidden="false" customHeight="false" outlineLevel="0" collapsed="false">
      <c r="A671" s="0" t="s">
        <v>4307</v>
      </c>
      <c r="B671" s="14" t="n">
        <v>46005</v>
      </c>
      <c r="C671" s="0" t="n">
        <v>-6115.66</v>
      </c>
      <c r="D671" s="15" t="s">
        <v>3643</v>
      </c>
      <c r="E671" s="15" t="s">
        <v>3510</v>
      </c>
    </row>
    <row r="672" customFormat="false" ht="15" hidden="false" customHeight="false" outlineLevel="0" collapsed="false">
      <c r="A672" s="0" t="s">
        <v>4308</v>
      </c>
      <c r="B672" s="14" t="n">
        <v>46000</v>
      </c>
      <c r="C672" s="0" t="n">
        <v>-723.52</v>
      </c>
      <c r="D672" s="15" t="s">
        <v>3676</v>
      </c>
      <c r="E672" s="15" t="s">
        <v>3511</v>
      </c>
    </row>
    <row r="673" customFormat="false" ht="15" hidden="false" customHeight="false" outlineLevel="0" collapsed="false">
      <c r="A673" s="0" t="s">
        <v>4309</v>
      </c>
      <c r="B673" s="14" t="n">
        <v>45771</v>
      </c>
      <c r="C673" s="0" t="n">
        <v>-1751.47</v>
      </c>
      <c r="D673" s="15" t="s">
        <v>3605</v>
      </c>
      <c r="E673" s="15" t="s">
        <v>3512</v>
      </c>
    </row>
    <row r="674" customFormat="false" ht="15" hidden="false" customHeight="false" outlineLevel="0" collapsed="false">
      <c r="A674" s="0" t="s">
        <v>4310</v>
      </c>
      <c r="B674" s="14" t="n">
        <v>45883</v>
      </c>
      <c r="C674" s="0" t="n">
        <v>-17936.73</v>
      </c>
      <c r="D674" s="15" t="s">
        <v>3603</v>
      </c>
      <c r="E674" s="15" t="s">
        <v>3513</v>
      </c>
    </row>
    <row r="675" customFormat="false" ht="15" hidden="false" customHeight="false" outlineLevel="0" collapsed="false">
      <c r="A675" s="0" t="s">
        <v>4311</v>
      </c>
      <c r="B675" s="14" t="n">
        <v>46062</v>
      </c>
      <c r="C675" s="0" t="n">
        <v>-7872.8</v>
      </c>
      <c r="D675" s="15" t="s">
        <v>3636</v>
      </c>
      <c r="E675" s="15" t="s">
        <v>3514</v>
      </c>
    </row>
    <row r="676" customFormat="false" ht="15" hidden="false" customHeight="false" outlineLevel="0" collapsed="false">
      <c r="A676" s="0" t="s">
        <v>4312</v>
      </c>
      <c r="B676" s="14" t="n">
        <v>46104</v>
      </c>
      <c r="C676" s="0" t="n">
        <v>-886.11</v>
      </c>
      <c r="D676" s="15" t="s">
        <v>3676</v>
      </c>
      <c r="E676" s="15" t="s">
        <v>3515</v>
      </c>
    </row>
    <row r="677" customFormat="false" ht="15" hidden="false" customHeight="false" outlineLevel="0" collapsed="false">
      <c r="A677" s="0" t="s">
        <v>4313</v>
      </c>
      <c r="B677" s="14" t="n">
        <v>46061</v>
      </c>
      <c r="C677" s="0" t="n">
        <v>-270.06</v>
      </c>
      <c r="D677" s="15" t="s">
        <v>3607</v>
      </c>
      <c r="E677" s="15" t="s">
        <v>3516</v>
      </c>
    </row>
    <row r="678" customFormat="false" ht="15" hidden="false" customHeight="false" outlineLevel="0" collapsed="false">
      <c r="A678" s="0" t="s">
        <v>4314</v>
      </c>
      <c r="B678" s="14" t="n">
        <v>46207</v>
      </c>
      <c r="C678" s="0" t="n">
        <v>-6371.15</v>
      </c>
      <c r="D678" s="15" t="s">
        <v>3670</v>
      </c>
      <c r="E678" s="15" t="s">
        <v>3517</v>
      </c>
    </row>
    <row r="679" customFormat="false" ht="15" hidden="false" customHeight="false" outlineLevel="0" collapsed="false">
      <c r="A679" s="0" t="s">
        <v>4315</v>
      </c>
      <c r="B679" s="14" t="n">
        <v>46030</v>
      </c>
      <c r="C679" s="0" t="n">
        <v>-2179.28</v>
      </c>
      <c r="D679" s="15" t="s">
        <v>3627</v>
      </c>
      <c r="E679" s="15" t="s">
        <v>3518</v>
      </c>
    </row>
    <row r="680" customFormat="false" ht="15" hidden="false" customHeight="false" outlineLevel="0" collapsed="false">
      <c r="A680" s="0" t="s">
        <v>4316</v>
      </c>
      <c r="B680" s="14" t="n">
        <v>45876</v>
      </c>
      <c r="C680" s="0" t="n">
        <v>-4559.19</v>
      </c>
      <c r="D680" s="15" t="s">
        <v>3746</v>
      </c>
      <c r="E680" s="15" t="s">
        <v>3519</v>
      </c>
    </row>
    <row r="681" customFormat="false" ht="15" hidden="false" customHeight="false" outlineLevel="0" collapsed="false">
      <c r="A681" s="0" t="s">
        <v>4317</v>
      </c>
      <c r="B681" s="14" t="n">
        <v>46029</v>
      </c>
      <c r="C681" s="0" t="n">
        <v>-1738.1</v>
      </c>
      <c r="D681" s="15" t="s">
        <v>3765</v>
      </c>
      <c r="E681" s="15" t="s">
        <v>3520</v>
      </c>
    </row>
    <row r="682" customFormat="false" ht="15" hidden="false" customHeight="false" outlineLevel="0" collapsed="false">
      <c r="A682" s="0" t="s">
        <v>4318</v>
      </c>
      <c r="B682" s="14" t="n">
        <v>45816</v>
      </c>
      <c r="C682" s="0" t="n">
        <v>-8655.91</v>
      </c>
      <c r="D682" s="15" t="s">
        <v>3690</v>
      </c>
      <c r="E682" s="15" t="s">
        <v>3521</v>
      </c>
    </row>
    <row r="683" customFormat="false" ht="15" hidden="false" customHeight="false" outlineLevel="0" collapsed="false">
      <c r="A683" s="0" t="s">
        <v>4319</v>
      </c>
      <c r="B683" s="14" t="n">
        <v>46045</v>
      </c>
      <c r="C683" s="0" t="n">
        <v>-3002.81</v>
      </c>
      <c r="D683" s="15" t="s">
        <v>3627</v>
      </c>
      <c r="E683" s="15" t="s">
        <v>3522</v>
      </c>
    </row>
    <row r="684" customFormat="false" ht="15" hidden="false" customHeight="false" outlineLevel="0" collapsed="false">
      <c r="A684" s="0" t="s">
        <v>4320</v>
      </c>
      <c r="B684" s="14" t="n">
        <v>45825</v>
      </c>
      <c r="C684" s="0" t="n">
        <v>-2069.86</v>
      </c>
      <c r="D684" s="15" t="s">
        <v>3657</v>
      </c>
      <c r="E684" s="15" t="s">
        <v>3523</v>
      </c>
    </row>
    <row r="685" customFormat="false" ht="15" hidden="false" customHeight="false" outlineLevel="0" collapsed="false">
      <c r="A685" s="0" t="s">
        <v>4321</v>
      </c>
      <c r="B685" s="14" t="n">
        <v>45743</v>
      </c>
      <c r="C685" s="0" t="n">
        <v>-1217.09</v>
      </c>
      <c r="D685" s="15" t="s">
        <v>3684</v>
      </c>
      <c r="E685" s="15" t="s">
        <v>3524</v>
      </c>
    </row>
    <row r="686" customFormat="false" ht="15" hidden="false" customHeight="false" outlineLevel="0" collapsed="false">
      <c r="A686" s="0" t="s">
        <v>4322</v>
      </c>
      <c r="B686" s="14" t="n">
        <v>46133</v>
      </c>
      <c r="C686" s="0" t="n">
        <v>-680.64</v>
      </c>
      <c r="D686" s="15" t="s">
        <v>3641</v>
      </c>
      <c r="E686" s="15" t="s">
        <v>3525</v>
      </c>
    </row>
    <row r="687" customFormat="false" ht="15" hidden="false" customHeight="false" outlineLevel="0" collapsed="false">
      <c r="A687" s="0" t="s">
        <v>4323</v>
      </c>
      <c r="B687" s="14" t="n">
        <v>45914</v>
      </c>
      <c r="C687" s="0" t="n">
        <v>-1467.37</v>
      </c>
      <c r="D687" s="15" t="s">
        <v>3615</v>
      </c>
      <c r="E687" s="15" t="s">
        <v>3526</v>
      </c>
    </row>
    <row r="688" customFormat="false" ht="15" hidden="false" customHeight="false" outlineLevel="0" collapsed="false">
      <c r="A688" s="0" t="s">
        <v>4324</v>
      </c>
      <c r="B688" s="14" t="n">
        <v>46099</v>
      </c>
      <c r="C688" s="0" t="n">
        <v>-816.48</v>
      </c>
      <c r="D688" s="15" t="s">
        <v>3660</v>
      </c>
      <c r="E688" s="15" t="s">
        <v>3527</v>
      </c>
    </row>
    <row r="689" customFormat="false" ht="15" hidden="false" customHeight="false" outlineLevel="0" collapsed="false">
      <c r="A689" s="0" t="s">
        <v>4325</v>
      </c>
      <c r="B689" s="14" t="n">
        <v>45984</v>
      </c>
      <c r="C689" s="0" t="n">
        <v>-1016.58</v>
      </c>
      <c r="D689" s="15" t="s">
        <v>3619</v>
      </c>
      <c r="E689" s="15" t="s">
        <v>3528</v>
      </c>
    </row>
    <row r="690" customFormat="false" ht="15" hidden="false" customHeight="false" outlineLevel="0" collapsed="false">
      <c r="A690" s="0" t="s">
        <v>4326</v>
      </c>
      <c r="B690" s="14" t="n">
        <v>46134</v>
      </c>
      <c r="C690" s="0" t="n">
        <v>-7498.53</v>
      </c>
      <c r="D690" s="15" t="s">
        <v>3615</v>
      </c>
      <c r="E690" s="15" t="s">
        <v>3529</v>
      </c>
    </row>
    <row r="691" customFormat="false" ht="15" hidden="false" customHeight="false" outlineLevel="0" collapsed="false">
      <c r="A691" s="0" t="s">
        <v>4327</v>
      </c>
      <c r="B691" s="14" t="n">
        <v>46140</v>
      </c>
      <c r="C691" s="0" t="n">
        <v>-396.51</v>
      </c>
      <c r="D691" s="15" t="s">
        <v>3636</v>
      </c>
      <c r="E691" s="15" t="s">
        <v>3530</v>
      </c>
    </row>
    <row r="692" customFormat="false" ht="15" hidden="false" customHeight="false" outlineLevel="0" collapsed="false">
      <c r="A692" s="0" t="s">
        <v>4328</v>
      </c>
      <c r="B692" s="14" t="n">
        <v>46144</v>
      </c>
      <c r="C692" s="0" t="n">
        <v>-1497.3</v>
      </c>
      <c r="D692" s="15" t="s">
        <v>3623</v>
      </c>
      <c r="E692" s="15" t="s">
        <v>3531</v>
      </c>
    </row>
    <row r="693" customFormat="false" ht="15" hidden="false" customHeight="false" outlineLevel="0" collapsed="false">
      <c r="A693" s="0" t="s">
        <v>4329</v>
      </c>
      <c r="B693" s="14" t="n">
        <v>46051</v>
      </c>
      <c r="C693" s="0" t="n">
        <v>-2091.54</v>
      </c>
      <c r="D693" s="15" t="s">
        <v>3643</v>
      </c>
      <c r="E693" s="15" t="s">
        <v>3532</v>
      </c>
    </row>
    <row r="694" customFormat="false" ht="15" hidden="false" customHeight="false" outlineLevel="0" collapsed="false">
      <c r="A694" s="0" t="s">
        <v>4330</v>
      </c>
      <c r="B694" s="14" t="n">
        <v>46054</v>
      </c>
      <c r="C694" s="0" t="n">
        <v>-2091.54</v>
      </c>
      <c r="D694" s="15" t="s">
        <v>3643</v>
      </c>
      <c r="E694" s="15" t="s">
        <v>3533</v>
      </c>
    </row>
    <row r="695" customFormat="false" ht="15" hidden="false" customHeight="false" outlineLevel="0" collapsed="false">
      <c r="A695" s="0" t="s">
        <v>4331</v>
      </c>
      <c r="B695" s="14" t="n">
        <v>45693</v>
      </c>
      <c r="C695" s="0" t="n">
        <v>-994.15</v>
      </c>
      <c r="D695" s="15" t="s">
        <v>3714</v>
      </c>
      <c r="E695" s="15" t="s">
        <v>3534</v>
      </c>
    </row>
    <row r="696" customFormat="false" ht="15" hidden="false" customHeight="false" outlineLevel="0" collapsed="false">
      <c r="A696" s="0" t="s">
        <v>4332</v>
      </c>
      <c r="B696" s="14" t="n">
        <v>46181</v>
      </c>
      <c r="C696" s="0" t="n">
        <v>-2802.36</v>
      </c>
      <c r="D696" s="15" t="s">
        <v>3617</v>
      </c>
      <c r="E696" s="15" t="s">
        <v>3535</v>
      </c>
    </row>
    <row r="697" customFormat="false" ht="15" hidden="false" customHeight="false" outlineLevel="0" collapsed="false">
      <c r="A697" s="0" t="s">
        <v>4333</v>
      </c>
      <c r="B697" s="14" t="n">
        <v>46195</v>
      </c>
      <c r="C697" s="0" t="n">
        <v>-2802.36</v>
      </c>
      <c r="D697" s="15" t="s">
        <v>3617</v>
      </c>
      <c r="E697" s="15" t="s">
        <v>3536</v>
      </c>
    </row>
    <row r="698" customFormat="false" ht="15" hidden="false" customHeight="false" outlineLevel="0" collapsed="false">
      <c r="A698" s="0" t="s">
        <v>4334</v>
      </c>
      <c r="B698" s="14" t="n">
        <v>46127</v>
      </c>
      <c r="C698" s="0" t="n">
        <v>-851.07</v>
      </c>
      <c r="D698" s="15" t="s">
        <v>3679</v>
      </c>
      <c r="E698" s="15" t="s">
        <v>3537</v>
      </c>
    </row>
    <row r="699" customFormat="false" ht="15" hidden="false" customHeight="false" outlineLevel="0" collapsed="false">
      <c r="A699" s="0" t="s">
        <v>4335</v>
      </c>
      <c r="B699" s="14" t="n">
        <v>45852</v>
      </c>
      <c r="C699" s="0" t="n">
        <v>-14407.31</v>
      </c>
      <c r="D699" s="15" t="s">
        <v>3765</v>
      </c>
      <c r="E699" s="15" t="s">
        <v>3538</v>
      </c>
    </row>
    <row r="700" customFormat="false" ht="15" hidden="false" customHeight="false" outlineLevel="0" collapsed="false">
      <c r="A700" s="0" t="s">
        <v>4336</v>
      </c>
      <c r="B700" s="14" t="n">
        <v>45793</v>
      </c>
      <c r="C700" s="0" t="n">
        <v>-562.05</v>
      </c>
      <c r="D700" s="15" t="s">
        <v>3636</v>
      </c>
      <c r="E700" s="15" t="s">
        <v>3539</v>
      </c>
    </row>
    <row r="701" customFormat="false" ht="15" hidden="false" customHeight="false" outlineLevel="0" collapsed="false">
      <c r="A701" s="0" t="s">
        <v>4337</v>
      </c>
      <c r="B701" s="14" t="n">
        <v>46065</v>
      </c>
      <c r="C701" s="0" t="n">
        <v>-4017.91</v>
      </c>
      <c r="D701" s="15" t="s">
        <v>3717</v>
      </c>
      <c r="E701" s="15" t="s">
        <v>3540</v>
      </c>
    </row>
    <row r="702" customFormat="false" ht="15" hidden="false" customHeight="false" outlineLevel="0" collapsed="false">
      <c r="A702" s="0" t="s">
        <v>4338</v>
      </c>
      <c r="B702" s="14" t="n">
        <v>45880</v>
      </c>
      <c r="C702" s="0" t="n">
        <v>-474.6</v>
      </c>
      <c r="D702" s="15" t="s">
        <v>3627</v>
      </c>
      <c r="E702" s="15" t="s">
        <v>3541</v>
      </c>
    </row>
    <row r="703" customFormat="false" ht="15" hidden="false" customHeight="false" outlineLevel="0" collapsed="false">
      <c r="A703" s="0" t="s">
        <v>4339</v>
      </c>
      <c r="B703" s="14" t="n">
        <v>45684</v>
      </c>
      <c r="C703" s="0" t="n">
        <v>-857.39</v>
      </c>
      <c r="D703" s="15" t="s">
        <v>3649</v>
      </c>
      <c r="E703" s="15" t="s">
        <v>3542</v>
      </c>
    </row>
    <row r="704" customFormat="false" ht="15" hidden="false" customHeight="false" outlineLevel="0" collapsed="false">
      <c r="A704" s="0" t="s">
        <v>4340</v>
      </c>
      <c r="B704" s="14" t="n">
        <v>46150</v>
      </c>
      <c r="C704" s="0" t="n">
        <v>-8319.43</v>
      </c>
      <c r="D704" s="15" t="s">
        <v>3749</v>
      </c>
      <c r="E704" s="15" t="s">
        <v>3543</v>
      </c>
    </row>
    <row r="705" customFormat="false" ht="15" hidden="false" customHeight="false" outlineLevel="0" collapsed="false">
      <c r="A705" s="0" t="s">
        <v>4341</v>
      </c>
      <c r="B705" s="14" t="n">
        <v>46002</v>
      </c>
      <c r="C705" s="0" t="n">
        <v>-259.66</v>
      </c>
      <c r="D705" s="15" t="s">
        <v>3714</v>
      </c>
      <c r="E705" s="15" t="s">
        <v>3544</v>
      </c>
    </row>
    <row r="706" customFormat="false" ht="15" hidden="false" customHeight="false" outlineLevel="0" collapsed="false">
      <c r="A706" s="0" t="s">
        <v>4342</v>
      </c>
      <c r="B706" s="14" t="n">
        <v>45919</v>
      </c>
      <c r="C706" s="0" t="n">
        <v>-1164.71</v>
      </c>
      <c r="D706" s="15" t="s">
        <v>3670</v>
      </c>
      <c r="E706" s="15" t="s">
        <v>3545</v>
      </c>
    </row>
    <row r="707" customFormat="false" ht="15" hidden="false" customHeight="false" outlineLevel="0" collapsed="false">
      <c r="A707" s="0" t="s">
        <v>4343</v>
      </c>
      <c r="B707" s="14" t="n">
        <v>45789</v>
      </c>
      <c r="C707" s="0" t="n">
        <v>-820.16</v>
      </c>
      <c r="D707" s="15" t="s">
        <v>3619</v>
      </c>
      <c r="E707" s="15" t="s">
        <v>3546</v>
      </c>
    </row>
    <row r="708" customFormat="false" ht="15" hidden="false" customHeight="false" outlineLevel="0" collapsed="false">
      <c r="A708" s="0" t="s">
        <v>4344</v>
      </c>
      <c r="B708" s="14" t="n">
        <v>46026</v>
      </c>
      <c r="C708" s="0" t="n">
        <v>-309.11</v>
      </c>
      <c r="D708" s="15" t="s">
        <v>3714</v>
      </c>
      <c r="E708" s="15" t="s">
        <v>3547</v>
      </c>
    </row>
    <row r="709" customFormat="false" ht="15" hidden="false" customHeight="false" outlineLevel="0" collapsed="false">
      <c r="A709" s="0" t="s">
        <v>4345</v>
      </c>
      <c r="B709" s="14" t="n">
        <v>45692</v>
      </c>
      <c r="C709" s="0" t="n">
        <v>-1722.25</v>
      </c>
      <c r="D709" s="15" t="s">
        <v>3625</v>
      </c>
      <c r="E709" s="15" t="s">
        <v>3548</v>
      </c>
    </row>
    <row r="710" customFormat="false" ht="15" hidden="false" customHeight="false" outlineLevel="0" collapsed="false">
      <c r="A710" s="0" t="s">
        <v>4346</v>
      </c>
      <c r="B710" s="14" t="n">
        <v>46105</v>
      </c>
      <c r="C710" s="0" t="n">
        <v>-1834.48</v>
      </c>
      <c r="D710" s="15" t="s">
        <v>3623</v>
      </c>
      <c r="E710" s="15" t="s">
        <v>3549</v>
      </c>
    </row>
    <row r="711" customFormat="false" ht="15" hidden="false" customHeight="false" outlineLevel="0" collapsed="false">
      <c r="A711" s="0" t="s">
        <v>4347</v>
      </c>
      <c r="B711" s="14" t="n">
        <v>45865</v>
      </c>
      <c r="C711" s="0" t="n">
        <v>-2804.48</v>
      </c>
      <c r="D711" s="15" t="s">
        <v>3765</v>
      </c>
      <c r="E711" s="15" t="s">
        <v>3550</v>
      </c>
    </row>
    <row r="712" customFormat="false" ht="15" hidden="false" customHeight="false" outlineLevel="0" collapsed="false">
      <c r="A712" s="0" t="s">
        <v>4348</v>
      </c>
      <c r="B712" s="14" t="n">
        <v>45903</v>
      </c>
      <c r="C712" s="0" t="n">
        <v>-241.56</v>
      </c>
      <c r="D712" s="15" t="s">
        <v>3717</v>
      </c>
      <c r="E712" s="15" t="s">
        <v>3551</v>
      </c>
    </row>
    <row r="713" customFormat="false" ht="15" hidden="false" customHeight="false" outlineLevel="0" collapsed="false">
      <c r="A713" s="0" t="s">
        <v>4349</v>
      </c>
      <c r="B713" s="14" t="n">
        <v>46105</v>
      </c>
      <c r="C713" s="0" t="n">
        <v>-2328.97</v>
      </c>
      <c r="D713" s="15" t="s">
        <v>3625</v>
      </c>
      <c r="E713" s="15" t="s">
        <v>3552</v>
      </c>
    </row>
    <row r="714" customFormat="false" ht="15" hidden="false" customHeight="false" outlineLevel="0" collapsed="false">
      <c r="A714" s="0" t="s">
        <v>4350</v>
      </c>
      <c r="B714" s="14" t="n">
        <v>46087</v>
      </c>
      <c r="C714" s="0" t="n">
        <v>-830.55</v>
      </c>
      <c r="D714" s="15" t="s">
        <v>3714</v>
      </c>
      <c r="E714" s="15" t="s">
        <v>3553</v>
      </c>
    </row>
    <row r="715" customFormat="false" ht="15" hidden="false" customHeight="false" outlineLevel="0" collapsed="false">
      <c r="A715" s="0" t="s">
        <v>4351</v>
      </c>
      <c r="B715" s="14" t="n">
        <v>46004</v>
      </c>
      <c r="C715" s="0" t="n">
        <v>-1962.84</v>
      </c>
      <c r="D715" s="15" t="s">
        <v>3676</v>
      </c>
      <c r="E715" s="15" t="s">
        <v>3554</v>
      </c>
    </row>
    <row r="716" customFormat="false" ht="15" hidden="false" customHeight="false" outlineLevel="0" collapsed="false">
      <c r="A716" s="0" t="s">
        <v>4352</v>
      </c>
      <c r="B716" s="14" t="n">
        <v>45736</v>
      </c>
      <c r="C716" s="0" t="n">
        <v>-254.85</v>
      </c>
      <c r="D716" s="15" t="s">
        <v>3621</v>
      </c>
      <c r="E716" s="15" t="s">
        <v>3555</v>
      </c>
    </row>
    <row r="717" customFormat="false" ht="15" hidden="false" customHeight="false" outlineLevel="0" collapsed="false">
      <c r="A717" s="0" t="s">
        <v>4353</v>
      </c>
      <c r="B717" s="14" t="n">
        <v>45797</v>
      </c>
      <c r="C717" s="0" t="n">
        <v>-6224.71</v>
      </c>
      <c r="D717" s="15" t="s">
        <v>3649</v>
      </c>
      <c r="E717" s="15" t="s">
        <v>3556</v>
      </c>
    </row>
    <row r="718" customFormat="false" ht="15" hidden="false" customHeight="false" outlineLevel="0" collapsed="false">
      <c r="A718" s="0" t="s">
        <v>4354</v>
      </c>
      <c r="B718" s="14" t="n">
        <v>46034</v>
      </c>
      <c r="C718" s="0" t="n">
        <v>-505.83</v>
      </c>
      <c r="D718" s="15" t="s">
        <v>3786</v>
      </c>
      <c r="E718" s="15" t="s">
        <v>3557</v>
      </c>
    </row>
    <row r="719" customFormat="false" ht="15" hidden="false" customHeight="false" outlineLevel="0" collapsed="false">
      <c r="A719" s="0" t="s">
        <v>4355</v>
      </c>
      <c r="B719" s="14" t="n">
        <v>46053</v>
      </c>
      <c r="C719" s="0" t="n">
        <v>-3028.33</v>
      </c>
      <c r="D719" s="15" t="s">
        <v>3676</v>
      </c>
      <c r="E719" s="15" t="s">
        <v>3558</v>
      </c>
    </row>
    <row r="720" customFormat="false" ht="15" hidden="false" customHeight="false" outlineLevel="0" collapsed="false">
      <c r="A720" s="0" t="s">
        <v>4356</v>
      </c>
      <c r="B720" s="14" t="n">
        <v>45838</v>
      </c>
      <c r="C720" s="0" t="n">
        <v>-556.23</v>
      </c>
      <c r="D720" s="15" t="s">
        <v>3615</v>
      </c>
      <c r="E720" s="15" t="s">
        <v>3559</v>
      </c>
    </row>
    <row r="721" customFormat="false" ht="15" hidden="false" customHeight="false" outlineLevel="0" collapsed="false">
      <c r="A721" s="0" t="s">
        <v>4357</v>
      </c>
      <c r="B721" s="14" t="n">
        <v>46059</v>
      </c>
      <c r="C721" s="0" t="n">
        <v>-12577.38</v>
      </c>
      <c r="D721" s="15" t="s">
        <v>3703</v>
      </c>
      <c r="E721" s="15" t="s">
        <v>3560</v>
      </c>
    </row>
    <row r="722" customFormat="false" ht="15" hidden="false" customHeight="false" outlineLevel="0" collapsed="false">
      <c r="A722" s="0" t="s">
        <v>4358</v>
      </c>
      <c r="B722" s="14" t="n">
        <v>45857</v>
      </c>
      <c r="C722" s="0" t="n">
        <v>-1844.19</v>
      </c>
      <c r="D722" s="15" t="s">
        <v>3605</v>
      </c>
      <c r="E722" s="15" t="s">
        <v>3561</v>
      </c>
    </row>
    <row r="723" customFormat="false" ht="15" hidden="false" customHeight="false" outlineLevel="0" collapsed="false">
      <c r="A723" s="0" t="s">
        <v>4359</v>
      </c>
      <c r="B723" s="14" t="n">
        <v>46091</v>
      </c>
      <c r="C723" s="0" t="n">
        <v>-2123.23</v>
      </c>
      <c r="D723" s="15" t="s">
        <v>3617</v>
      </c>
      <c r="E723" s="15" t="s">
        <v>3562</v>
      </c>
    </row>
    <row r="724" customFormat="false" ht="15" hidden="false" customHeight="false" outlineLevel="0" collapsed="false">
      <c r="A724" s="0" t="s">
        <v>4360</v>
      </c>
      <c r="B724" s="14" t="n">
        <v>45751</v>
      </c>
      <c r="C724" s="0" t="n">
        <v>-424.45</v>
      </c>
      <c r="D724" s="15" t="s">
        <v>3639</v>
      </c>
      <c r="E724" s="15" t="s">
        <v>3563</v>
      </c>
    </row>
    <row r="725" customFormat="false" ht="15" hidden="false" customHeight="false" outlineLevel="0" collapsed="false">
      <c r="A725" s="0" t="s">
        <v>4361</v>
      </c>
      <c r="B725" s="14" t="n">
        <v>45939</v>
      </c>
      <c r="C725" s="0" t="n">
        <v>-751.88</v>
      </c>
      <c r="D725" s="15" t="s">
        <v>3672</v>
      </c>
      <c r="E725" s="15" t="s">
        <v>3564</v>
      </c>
    </row>
    <row r="726" customFormat="false" ht="15" hidden="false" customHeight="false" outlineLevel="0" collapsed="false">
      <c r="A726" s="0" t="s">
        <v>4362</v>
      </c>
      <c r="B726" s="14" t="n">
        <v>45848</v>
      </c>
      <c r="C726" s="0" t="n">
        <v>-2408.48</v>
      </c>
      <c r="D726" s="15" t="s">
        <v>3621</v>
      </c>
      <c r="E726" s="15" t="s">
        <v>3565</v>
      </c>
    </row>
    <row r="727" customFormat="false" ht="15" hidden="false" customHeight="false" outlineLevel="0" collapsed="false">
      <c r="A727" s="0" t="s">
        <v>4363</v>
      </c>
      <c r="B727" s="14" t="n">
        <v>46051</v>
      </c>
      <c r="C727" s="0" t="n">
        <v>-197.82</v>
      </c>
      <c r="D727" s="15" t="s">
        <v>3670</v>
      </c>
      <c r="E727" s="15" t="s">
        <v>3566</v>
      </c>
    </row>
    <row r="728" customFormat="false" ht="15" hidden="false" customHeight="false" outlineLevel="0" collapsed="false">
      <c r="A728" s="0" t="s">
        <v>4364</v>
      </c>
      <c r="B728" s="14" t="n">
        <v>45938</v>
      </c>
      <c r="C728" s="0" t="n">
        <v>-5024.64</v>
      </c>
      <c r="D728" s="15" t="s">
        <v>3603</v>
      </c>
      <c r="E728" s="15" t="s">
        <v>3567</v>
      </c>
    </row>
    <row r="729" customFormat="false" ht="15" hidden="false" customHeight="false" outlineLevel="0" collapsed="false">
      <c r="A729" s="0" t="s">
        <v>4365</v>
      </c>
      <c r="B729" s="14" t="n">
        <v>45958</v>
      </c>
      <c r="C729" s="0" t="n">
        <v>-5024.64</v>
      </c>
      <c r="D729" s="15" t="s">
        <v>3603</v>
      </c>
      <c r="E729" s="15" t="s">
        <v>3568</v>
      </c>
    </row>
    <row r="730" customFormat="false" ht="15" hidden="false" customHeight="false" outlineLevel="0" collapsed="false">
      <c r="A730" s="0" t="s">
        <v>4366</v>
      </c>
      <c r="B730" s="14" t="n">
        <v>46050</v>
      </c>
      <c r="C730" s="0" t="n">
        <v>-4289.12</v>
      </c>
      <c r="D730" s="15" t="s">
        <v>3601</v>
      </c>
      <c r="E730" s="15" t="s">
        <v>3569</v>
      </c>
    </row>
    <row r="731" customFormat="false" ht="15" hidden="false" customHeight="false" outlineLevel="0" collapsed="false">
      <c r="A731" s="0" t="s">
        <v>4367</v>
      </c>
      <c r="B731" s="14" t="n">
        <v>45731</v>
      </c>
      <c r="C731" s="0" t="n">
        <v>-264.62</v>
      </c>
      <c r="D731" s="15" t="s">
        <v>3619</v>
      </c>
      <c r="E731" s="15" t="s">
        <v>3570</v>
      </c>
    </row>
    <row r="732" customFormat="false" ht="15" hidden="false" customHeight="false" outlineLevel="0" collapsed="false">
      <c r="A732" s="0" t="s">
        <v>4368</v>
      </c>
      <c r="B732" s="14" t="n">
        <v>45898</v>
      </c>
      <c r="C732" s="0" t="n">
        <v>-18783.05</v>
      </c>
      <c r="D732" s="15" t="s">
        <v>3619</v>
      </c>
      <c r="E732" s="15" t="s">
        <v>3571</v>
      </c>
    </row>
    <row r="733" customFormat="false" ht="15" hidden="false" customHeight="false" outlineLevel="0" collapsed="false">
      <c r="A733" s="0" t="s">
        <v>4369</v>
      </c>
      <c r="B733" s="14" t="n">
        <v>46029</v>
      </c>
      <c r="C733" s="0" t="n">
        <v>-796.83</v>
      </c>
      <c r="D733" s="15" t="s">
        <v>3679</v>
      </c>
      <c r="E733" s="15" t="s">
        <v>3572</v>
      </c>
    </row>
    <row r="734" customFormat="false" ht="15" hidden="false" customHeight="false" outlineLevel="0" collapsed="false">
      <c r="A734" s="0" t="s">
        <v>4370</v>
      </c>
      <c r="B734" s="14" t="n">
        <v>45691</v>
      </c>
      <c r="C734" s="0" t="n">
        <v>-115.93</v>
      </c>
      <c r="D734" s="15" t="s">
        <v>3601</v>
      </c>
      <c r="E734" s="15" t="s">
        <v>3573</v>
      </c>
    </row>
    <row r="735" customFormat="false" ht="15" hidden="false" customHeight="false" outlineLevel="0" collapsed="false">
      <c r="A735" s="0" t="s">
        <v>4371</v>
      </c>
      <c r="B735" s="14" t="n">
        <v>45832</v>
      </c>
      <c r="C735" s="0" t="n">
        <v>-2115.29</v>
      </c>
      <c r="D735" s="15" t="s">
        <v>3636</v>
      </c>
      <c r="E735" s="15" t="s">
        <v>3574</v>
      </c>
    </row>
    <row r="736" customFormat="false" ht="15" hidden="false" customHeight="false" outlineLevel="0" collapsed="false">
      <c r="A736" s="0" t="s">
        <v>4372</v>
      </c>
      <c r="B736" s="14" t="n">
        <v>45787</v>
      </c>
      <c r="C736" s="0" t="n">
        <v>-1027.6</v>
      </c>
      <c r="D736" s="15" t="s">
        <v>3765</v>
      </c>
      <c r="E736" s="15" t="s">
        <v>3575</v>
      </c>
    </row>
    <row r="737" customFormat="false" ht="15" hidden="false" customHeight="false" outlineLevel="0" collapsed="false">
      <c r="A737" s="0" t="s">
        <v>4373</v>
      </c>
      <c r="B737" s="14" t="n">
        <v>45755</v>
      </c>
      <c r="C737" s="0" t="n">
        <v>-1165</v>
      </c>
      <c r="D737" s="15" t="s">
        <v>3749</v>
      </c>
      <c r="E737" s="15" t="s">
        <v>3576</v>
      </c>
    </row>
    <row r="738" customFormat="false" ht="15" hidden="false" customHeight="false" outlineLevel="0" collapsed="false">
      <c r="A738" s="0" t="s">
        <v>4374</v>
      </c>
      <c r="B738" s="14" t="n">
        <v>45821</v>
      </c>
      <c r="C738" s="0" t="n">
        <v>-1553.94</v>
      </c>
      <c r="D738" s="15" t="s">
        <v>3765</v>
      </c>
      <c r="E738" s="15" t="s">
        <v>3577</v>
      </c>
    </row>
    <row r="739" customFormat="false" ht="15" hidden="false" customHeight="false" outlineLevel="0" collapsed="false">
      <c r="A739" s="0" t="s">
        <v>4375</v>
      </c>
      <c r="B739" s="14" t="n">
        <v>45837</v>
      </c>
      <c r="C739" s="0" t="n">
        <v>-1553.94</v>
      </c>
      <c r="D739" s="15" t="s">
        <v>3765</v>
      </c>
      <c r="E739" s="15" t="s">
        <v>3578</v>
      </c>
    </row>
    <row r="740" customFormat="false" ht="15" hidden="false" customHeight="false" outlineLevel="0" collapsed="false">
      <c r="A740" s="0" t="s">
        <v>4376</v>
      </c>
      <c r="B740" s="14" t="n">
        <v>45865</v>
      </c>
      <c r="C740" s="0" t="n">
        <v>-764.25</v>
      </c>
      <c r="D740" s="15" t="s">
        <v>3625</v>
      </c>
      <c r="E740" s="15" t="s">
        <v>3579</v>
      </c>
    </row>
    <row r="741" customFormat="false" ht="15" hidden="false" customHeight="false" outlineLevel="0" collapsed="false">
      <c r="A741" s="0" t="s">
        <v>4377</v>
      </c>
      <c r="B741" s="14" t="n">
        <v>45709</v>
      </c>
      <c r="C741" s="0" t="n">
        <v>-8318.12</v>
      </c>
      <c r="D741" s="15" t="s">
        <v>3607</v>
      </c>
      <c r="E741" s="15" t="s">
        <v>3580</v>
      </c>
    </row>
    <row r="742" customFormat="false" ht="15" hidden="false" customHeight="false" outlineLevel="0" collapsed="false">
      <c r="A742" s="0" t="s">
        <v>4378</v>
      </c>
      <c r="B742" s="14" t="n">
        <v>46095</v>
      </c>
      <c r="C742" s="0" t="n">
        <v>-2564.63</v>
      </c>
      <c r="D742" s="15" t="s">
        <v>3632</v>
      </c>
      <c r="E742" s="15" t="s">
        <v>3581</v>
      </c>
    </row>
    <row r="743" customFormat="false" ht="15" hidden="false" customHeight="false" outlineLevel="0" collapsed="false">
      <c r="A743" s="0" t="s">
        <v>4379</v>
      </c>
      <c r="B743" s="14" t="n">
        <v>45797</v>
      </c>
      <c r="C743" s="0" t="n">
        <v>-5467.62</v>
      </c>
      <c r="D743" s="15" t="s">
        <v>3717</v>
      </c>
      <c r="E743" s="15" t="s">
        <v>3582</v>
      </c>
    </row>
    <row r="744" customFormat="false" ht="15" hidden="false" customHeight="false" outlineLevel="0" collapsed="false">
      <c r="A744" s="0" t="s">
        <v>4380</v>
      </c>
      <c r="B744" s="14" t="n">
        <v>45875</v>
      </c>
      <c r="C744" s="0" t="n">
        <v>-4948.03</v>
      </c>
      <c r="D744" s="15" t="s">
        <v>3641</v>
      </c>
      <c r="E744" s="15" t="s">
        <v>3583</v>
      </c>
    </row>
    <row r="745" customFormat="false" ht="15" hidden="false" customHeight="false" outlineLevel="0" collapsed="false">
      <c r="A745" s="0" t="s">
        <v>4381</v>
      </c>
      <c r="B745" s="14" t="n">
        <v>46067</v>
      </c>
      <c r="C745" s="0" t="n">
        <v>-1631.21</v>
      </c>
      <c r="D745" s="15" t="s">
        <v>3676</v>
      </c>
      <c r="E745" s="15" t="s">
        <v>3584</v>
      </c>
    </row>
    <row r="746" customFormat="false" ht="15" hidden="false" customHeight="false" outlineLevel="0" collapsed="false">
      <c r="A746" s="0" t="s">
        <v>4382</v>
      </c>
      <c r="B746" s="14" t="n">
        <v>45987</v>
      </c>
      <c r="C746" s="0" t="n">
        <v>-819.06</v>
      </c>
      <c r="D746" s="15" t="s">
        <v>3605</v>
      </c>
      <c r="E746" s="15" t="s">
        <v>3585</v>
      </c>
    </row>
    <row r="747" customFormat="false" ht="15" hidden="false" customHeight="false" outlineLevel="0" collapsed="false">
      <c r="A747" s="0" t="s">
        <v>4383</v>
      </c>
      <c r="B747" s="14" t="n">
        <v>46140</v>
      </c>
      <c r="C747" s="0" t="n">
        <v>-1380.81</v>
      </c>
      <c r="D747" s="15" t="s">
        <v>3641</v>
      </c>
      <c r="E747" s="15" t="s">
        <v>3586</v>
      </c>
    </row>
    <row r="748" customFormat="false" ht="15" hidden="false" customHeight="false" outlineLevel="0" collapsed="false">
      <c r="A748" s="0" t="s">
        <v>4384</v>
      </c>
      <c r="B748" s="14" t="n">
        <v>46113</v>
      </c>
      <c r="C748" s="0" t="n">
        <v>-537.91</v>
      </c>
      <c r="D748" s="15" t="s">
        <v>3627</v>
      </c>
      <c r="E748" s="15" t="s">
        <v>3587</v>
      </c>
    </row>
    <row r="749" customFormat="false" ht="15" hidden="false" customHeight="false" outlineLevel="0" collapsed="false">
      <c r="A749" s="0" t="s">
        <v>4385</v>
      </c>
      <c r="B749" s="14" t="n">
        <v>45728</v>
      </c>
      <c r="C749" s="0" t="n">
        <v>-2224.01</v>
      </c>
      <c r="D749" s="15" t="s">
        <v>3636</v>
      </c>
      <c r="E749" s="15" t="s">
        <v>3588</v>
      </c>
    </row>
    <row r="750" customFormat="false" ht="15" hidden="false" customHeight="false" outlineLevel="0" collapsed="false">
      <c r="A750" s="0" t="s">
        <v>4386</v>
      </c>
      <c r="B750" s="14" t="n">
        <v>46180</v>
      </c>
      <c r="C750" s="0" t="n">
        <v>-972.49</v>
      </c>
      <c r="D750" s="15" t="s">
        <v>3684</v>
      </c>
      <c r="E750" s="15" t="s">
        <v>3589</v>
      </c>
    </row>
    <row r="751" customFormat="false" ht="15" hidden="false" customHeight="false" outlineLevel="0" collapsed="false">
      <c r="A751" s="0" t="s">
        <v>4387</v>
      </c>
      <c r="B751" s="14" t="n">
        <v>46198</v>
      </c>
      <c r="C751" s="0" t="n">
        <v>-7892.6</v>
      </c>
      <c r="D751" s="15" t="s">
        <v>3599</v>
      </c>
      <c r="E751" s="15" t="s">
        <v>3590</v>
      </c>
    </row>
    <row r="752" customFormat="false" ht="15" hidden="false" customHeight="false" outlineLevel="0" collapsed="false">
      <c r="A752" s="0" t="s">
        <v>4388</v>
      </c>
      <c r="B752" s="14" t="n">
        <v>46174</v>
      </c>
      <c r="C752" s="0" t="n">
        <v>-5336.94</v>
      </c>
      <c r="D752" s="15" t="s">
        <v>3676</v>
      </c>
      <c r="E752" s="15" t="s">
        <v>3591</v>
      </c>
    </row>
    <row r="753" customFormat="false" ht="15" hidden="false" customHeight="false" outlineLevel="0" collapsed="false">
      <c r="A753" s="0" t="s">
        <v>4389</v>
      </c>
      <c r="B753" s="14" t="n">
        <v>46002</v>
      </c>
      <c r="C753" s="0" t="n">
        <v>-4104.49</v>
      </c>
      <c r="D753" s="15" t="s">
        <v>3603</v>
      </c>
      <c r="E753" s="15" t="s">
        <v>3592</v>
      </c>
    </row>
    <row r="754" customFormat="false" ht="15" hidden="false" customHeight="false" outlineLevel="0" collapsed="false">
      <c r="A754" s="0" t="s">
        <v>4390</v>
      </c>
      <c r="B754" s="14" t="n">
        <v>46044</v>
      </c>
      <c r="C754" s="0" t="n">
        <v>-20.43</v>
      </c>
      <c r="D754" s="15" t="s">
        <v>4391</v>
      </c>
    </row>
    <row r="755" customFormat="false" ht="15" hidden="false" customHeight="false" outlineLevel="0" collapsed="false">
      <c r="A755" s="0" t="s">
        <v>4392</v>
      </c>
      <c r="B755" s="14" t="n">
        <v>45885</v>
      </c>
      <c r="C755" s="0" t="n">
        <v>-142.45</v>
      </c>
      <c r="D755" s="15" t="s">
        <v>4393</v>
      </c>
    </row>
    <row r="756" customFormat="false" ht="15" hidden="false" customHeight="false" outlineLevel="0" collapsed="false">
      <c r="A756" s="0" t="s">
        <v>4394</v>
      </c>
      <c r="B756" s="14" t="n">
        <v>45720</v>
      </c>
      <c r="C756" s="0" t="n">
        <v>-198.25</v>
      </c>
      <c r="D756" s="15" t="s">
        <v>4391</v>
      </c>
    </row>
    <row r="757" customFormat="false" ht="15" hidden="false" customHeight="false" outlineLevel="0" collapsed="false">
      <c r="A757" s="0" t="s">
        <v>4395</v>
      </c>
      <c r="B757" s="14" t="n">
        <v>45669</v>
      </c>
      <c r="C757" s="0" t="n">
        <v>-39.26</v>
      </c>
      <c r="D757" s="15" t="s">
        <v>4393</v>
      </c>
    </row>
    <row r="758" customFormat="false" ht="15" hidden="false" customHeight="false" outlineLevel="0" collapsed="false">
      <c r="A758" s="0" t="s">
        <v>4396</v>
      </c>
      <c r="B758" s="14" t="n">
        <v>45834</v>
      </c>
      <c r="C758" s="0" t="n">
        <v>-198.13</v>
      </c>
      <c r="D758" s="15" t="s">
        <v>4391</v>
      </c>
    </row>
    <row r="759" customFormat="false" ht="15" hidden="false" customHeight="false" outlineLevel="0" collapsed="false">
      <c r="A759" s="0" t="s">
        <v>4397</v>
      </c>
      <c r="B759" s="14" t="n">
        <v>46094</v>
      </c>
      <c r="C759" s="0" t="n">
        <v>-432.76</v>
      </c>
      <c r="D759" s="15" t="s">
        <v>4398</v>
      </c>
    </row>
    <row r="760" customFormat="false" ht="15" hidden="false" customHeight="false" outlineLevel="0" collapsed="false">
      <c r="A760" s="0" t="s">
        <v>4399</v>
      </c>
      <c r="B760" s="14" t="n">
        <v>45994</v>
      </c>
      <c r="C760" s="0" t="n">
        <v>-227.57</v>
      </c>
      <c r="D760" s="15" t="s">
        <v>4391</v>
      </c>
    </row>
    <row r="761" customFormat="false" ht="15" hidden="false" customHeight="false" outlineLevel="0" collapsed="false">
      <c r="A761" s="0" t="s">
        <v>4400</v>
      </c>
      <c r="B761" s="14" t="n">
        <v>46111</v>
      </c>
      <c r="C761" s="0" t="n">
        <v>-110.81</v>
      </c>
      <c r="D761" s="15" t="s">
        <v>4391</v>
      </c>
    </row>
    <row r="762" customFormat="false" ht="15" hidden="false" customHeight="false" outlineLevel="0" collapsed="false">
      <c r="A762" s="0" t="s">
        <v>4401</v>
      </c>
      <c r="B762" s="14" t="n">
        <v>46159</v>
      </c>
      <c r="C762" s="0" t="n">
        <v>-333.36</v>
      </c>
      <c r="D762" s="15" t="s">
        <v>4393</v>
      </c>
    </row>
    <row r="763" customFormat="false" ht="15" hidden="false" customHeight="false" outlineLevel="0" collapsed="false">
      <c r="A763" s="0" t="s">
        <v>4402</v>
      </c>
      <c r="B763" s="14" t="n">
        <v>45706</v>
      </c>
      <c r="C763" s="0" t="n">
        <v>-35.61</v>
      </c>
      <c r="D763" s="15" t="s">
        <v>4398</v>
      </c>
    </row>
    <row r="764" customFormat="false" ht="15" hidden="false" customHeight="false" outlineLevel="0" collapsed="false">
      <c r="A764" s="0" t="s">
        <v>4403</v>
      </c>
      <c r="B764" s="14" t="n">
        <v>46118</v>
      </c>
      <c r="C764" s="0" t="n">
        <v>-25.34</v>
      </c>
      <c r="D764" s="15" t="s">
        <v>4398</v>
      </c>
    </row>
    <row r="765" customFormat="false" ht="15" hidden="false" customHeight="false" outlineLevel="0" collapsed="false">
      <c r="A765" s="0" t="s">
        <v>4404</v>
      </c>
      <c r="B765" s="14" t="n">
        <v>45790</v>
      </c>
      <c r="C765" s="0" t="n">
        <v>-469.24</v>
      </c>
      <c r="D765" s="15" t="s">
        <v>4393</v>
      </c>
    </row>
    <row r="766" customFormat="false" ht="15" hidden="false" customHeight="false" outlineLevel="0" collapsed="false">
      <c r="A766" s="0" t="s">
        <v>4405</v>
      </c>
      <c r="B766" s="14" t="n">
        <v>45978</v>
      </c>
      <c r="C766" s="0" t="n">
        <v>-379.69</v>
      </c>
      <c r="D766" s="15" t="s">
        <v>4398</v>
      </c>
    </row>
    <row r="767" customFormat="false" ht="15" hidden="false" customHeight="false" outlineLevel="0" collapsed="false">
      <c r="A767" s="0" t="s">
        <v>4406</v>
      </c>
      <c r="B767" s="14" t="n">
        <v>45943</v>
      </c>
      <c r="C767" s="0" t="n">
        <v>-462.12</v>
      </c>
      <c r="D767" s="15" t="s">
        <v>4398</v>
      </c>
    </row>
    <row r="768" customFormat="false" ht="15" hidden="false" customHeight="false" outlineLevel="0" collapsed="false">
      <c r="A768" s="0" t="s">
        <v>4407</v>
      </c>
      <c r="B768" s="14" t="n">
        <v>45873</v>
      </c>
      <c r="C768" s="0" t="n">
        <v>-407.02</v>
      </c>
      <c r="D768" s="15" t="s">
        <v>4393</v>
      </c>
    </row>
    <row r="769" customFormat="false" ht="15" hidden="false" customHeight="false" outlineLevel="0" collapsed="false">
      <c r="A769" s="0" t="s">
        <v>4408</v>
      </c>
      <c r="B769" s="14" t="n">
        <v>45827</v>
      </c>
      <c r="C769" s="0" t="n">
        <v>-116.11</v>
      </c>
      <c r="D769" s="15" t="s">
        <v>4391</v>
      </c>
    </row>
    <row r="770" customFormat="false" ht="15" hidden="false" customHeight="false" outlineLevel="0" collapsed="false">
      <c r="A770" s="0" t="s">
        <v>4409</v>
      </c>
      <c r="B770" s="14" t="n">
        <v>45843</v>
      </c>
      <c r="C770" s="0" t="n">
        <v>-177.06</v>
      </c>
      <c r="D770" s="15" t="s">
        <v>4393</v>
      </c>
    </row>
    <row r="771" customFormat="false" ht="15" hidden="false" customHeight="false" outlineLevel="0" collapsed="false">
      <c r="A771" s="0" t="s">
        <v>4410</v>
      </c>
      <c r="B771" s="14" t="n">
        <v>45839</v>
      </c>
      <c r="C771" s="0" t="n">
        <v>-222.7</v>
      </c>
      <c r="D771" s="15" t="s">
        <v>4398</v>
      </c>
    </row>
    <row r="772" customFormat="false" ht="15" hidden="false" customHeight="false" outlineLevel="0" collapsed="false">
      <c r="A772" s="0" t="s">
        <v>4411</v>
      </c>
      <c r="B772" s="14" t="n">
        <v>45749</v>
      </c>
      <c r="C772" s="0" t="n">
        <v>-393.48</v>
      </c>
      <c r="D772" s="15" t="s">
        <v>4393</v>
      </c>
    </row>
    <row r="773" customFormat="false" ht="15" hidden="false" customHeight="false" outlineLevel="0" collapsed="false">
      <c r="A773" s="0" t="s">
        <v>4412</v>
      </c>
      <c r="B773" s="14" t="n">
        <v>45936</v>
      </c>
      <c r="C773" s="0" t="n">
        <v>-378.68</v>
      </c>
      <c r="D773" s="15" t="s">
        <v>4391</v>
      </c>
    </row>
    <row r="774" customFormat="false" ht="15" hidden="false" customHeight="false" outlineLevel="0" collapsed="false">
      <c r="A774" s="0" t="s">
        <v>4413</v>
      </c>
      <c r="B774" s="14" t="n">
        <v>45720</v>
      </c>
      <c r="C774" s="0" t="n">
        <v>-281.11</v>
      </c>
      <c r="D774" s="15" t="s">
        <v>4393</v>
      </c>
    </row>
    <row r="775" customFormat="false" ht="15" hidden="false" customHeight="false" outlineLevel="0" collapsed="false">
      <c r="A775" s="0" t="s">
        <v>4414</v>
      </c>
      <c r="B775" s="14" t="n">
        <v>45935</v>
      </c>
      <c r="C775" s="0" t="n">
        <v>-466.91</v>
      </c>
      <c r="D775" s="15" t="s">
        <v>4398</v>
      </c>
    </row>
    <row r="776" customFormat="false" ht="15" hidden="false" customHeight="false" outlineLevel="0" collapsed="false">
      <c r="A776" s="0" t="s">
        <v>4415</v>
      </c>
      <c r="B776" s="14" t="n">
        <v>46151</v>
      </c>
      <c r="C776" s="0" t="n">
        <v>-430.67</v>
      </c>
      <c r="D776" s="15" t="s">
        <v>4393</v>
      </c>
    </row>
    <row r="777" customFormat="false" ht="15" hidden="false" customHeight="false" outlineLevel="0" collapsed="false">
      <c r="A777" s="0" t="s">
        <v>4416</v>
      </c>
      <c r="B777" s="14" t="n">
        <v>45848</v>
      </c>
      <c r="C777" s="0" t="n">
        <v>-237.12</v>
      </c>
      <c r="D777" s="15" t="s">
        <v>4393</v>
      </c>
    </row>
    <row r="778" customFormat="false" ht="15" hidden="false" customHeight="false" outlineLevel="0" collapsed="false">
      <c r="A778" s="0" t="s">
        <v>4417</v>
      </c>
      <c r="B778" s="14" t="n">
        <v>46054</v>
      </c>
      <c r="C778" s="0" t="n">
        <v>-362.42</v>
      </c>
      <c r="D778" s="15" t="s">
        <v>4393</v>
      </c>
    </row>
    <row r="779" customFormat="false" ht="15" hidden="false" customHeight="false" outlineLevel="0" collapsed="false">
      <c r="A779" s="0" t="s">
        <v>4418</v>
      </c>
      <c r="B779" s="14" t="n">
        <v>46104</v>
      </c>
      <c r="C779" s="0" t="n">
        <v>-137.45</v>
      </c>
      <c r="D779" s="15" t="s">
        <v>4398</v>
      </c>
    </row>
    <row r="780" customFormat="false" ht="15" hidden="false" customHeight="false" outlineLevel="0" collapsed="false">
      <c r="A780" s="0" t="s">
        <v>4419</v>
      </c>
      <c r="B780" s="14" t="n">
        <v>46102</v>
      </c>
      <c r="C780" s="0" t="n">
        <v>-238.99</v>
      </c>
      <c r="D780" s="15" t="s">
        <v>4391</v>
      </c>
    </row>
    <row r="781" customFormat="false" ht="15" hidden="false" customHeight="false" outlineLevel="0" collapsed="false">
      <c r="A781" s="0" t="s">
        <v>4420</v>
      </c>
      <c r="B781" s="14" t="n">
        <v>45786</v>
      </c>
      <c r="C781" s="0" t="n">
        <v>-74.62</v>
      </c>
      <c r="D781" s="15" t="s">
        <v>4391</v>
      </c>
    </row>
    <row r="782" customFormat="false" ht="15" hidden="false" customHeight="false" outlineLevel="0" collapsed="false">
      <c r="A782" s="0" t="s">
        <v>4421</v>
      </c>
      <c r="B782" s="14" t="n">
        <v>45737</v>
      </c>
      <c r="C782" s="0" t="n">
        <v>-147.54</v>
      </c>
      <c r="D782" s="15" t="s">
        <v>4393</v>
      </c>
    </row>
    <row r="783" customFormat="false" ht="15" hidden="false" customHeight="false" outlineLevel="0" collapsed="false">
      <c r="A783" s="0" t="s">
        <v>4422</v>
      </c>
      <c r="B783" s="14" t="n">
        <v>45765</v>
      </c>
      <c r="C783" s="0" t="n">
        <v>-475.97</v>
      </c>
      <c r="D783" s="15" t="s">
        <v>4391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7.75" hidden="false" customHeight="true" outlineLevel="0" collapsed="false">
      <c r="A1" s="7" t="s">
        <v>4423</v>
      </c>
      <c r="B1" s="7" t="s">
        <v>204</v>
      </c>
      <c r="C1" s="7" t="s">
        <v>4424</v>
      </c>
      <c r="D1" s="7" t="s">
        <v>1955</v>
      </c>
      <c r="E1" s="7" t="s">
        <v>1956</v>
      </c>
    </row>
    <row r="2" customFormat="false" ht="15" hidden="false" customHeight="false" outlineLevel="0" collapsed="false">
      <c r="A2" s="0" t="s">
        <v>4425</v>
      </c>
      <c r="B2" s="0" t="s">
        <v>214</v>
      </c>
      <c r="C2" s="14" t="n">
        <v>45986</v>
      </c>
      <c r="D2" s="0" t="n">
        <v>6493.93</v>
      </c>
      <c r="E2" s="14" t="n">
        <v>46031</v>
      </c>
    </row>
    <row r="3" customFormat="false" ht="15" hidden="false" customHeight="false" outlineLevel="0" collapsed="false">
      <c r="A3" s="0" t="s">
        <v>4426</v>
      </c>
      <c r="B3" s="0" t="s">
        <v>239</v>
      </c>
      <c r="C3" s="14" t="n">
        <v>46072</v>
      </c>
      <c r="D3" s="0" t="n">
        <v>3250.9</v>
      </c>
      <c r="E3" s="14" t="n">
        <v>46102</v>
      </c>
    </row>
    <row r="4" customFormat="false" ht="15" hidden="false" customHeight="false" outlineLevel="0" collapsed="false">
      <c r="A4" s="0" t="s">
        <v>4427</v>
      </c>
      <c r="B4" s="0" t="s">
        <v>230</v>
      </c>
      <c r="C4" s="14" t="n">
        <v>46015</v>
      </c>
      <c r="D4" s="0" t="n">
        <v>715.25</v>
      </c>
      <c r="E4" s="14" t="n">
        <v>46075</v>
      </c>
    </row>
    <row r="5" customFormat="false" ht="15" hidden="false" customHeight="false" outlineLevel="0" collapsed="false">
      <c r="A5" s="0" t="s">
        <v>4428</v>
      </c>
      <c r="B5" s="0" t="s">
        <v>270</v>
      </c>
      <c r="C5" s="14" t="n">
        <v>45754</v>
      </c>
      <c r="D5" s="0" t="n">
        <v>3252.02</v>
      </c>
      <c r="E5" s="14" t="n">
        <v>45769</v>
      </c>
    </row>
    <row r="6" customFormat="false" ht="15" hidden="false" customHeight="false" outlineLevel="0" collapsed="false">
      <c r="A6" s="0" t="s">
        <v>4429</v>
      </c>
      <c r="B6" s="0" t="s">
        <v>239</v>
      </c>
      <c r="C6" s="14" t="n">
        <v>46079</v>
      </c>
      <c r="D6" s="0" t="n">
        <v>6622.57</v>
      </c>
      <c r="E6" s="14" t="n">
        <v>46109</v>
      </c>
    </row>
    <row r="7" customFormat="false" ht="15" hidden="false" customHeight="false" outlineLevel="0" collapsed="false">
      <c r="A7" s="0" t="s">
        <v>4430</v>
      </c>
      <c r="B7" s="0" t="s">
        <v>217</v>
      </c>
      <c r="C7" s="14" t="n">
        <v>45927</v>
      </c>
      <c r="D7" s="0" t="n">
        <v>8576.41</v>
      </c>
      <c r="E7" s="14" t="n">
        <v>45957</v>
      </c>
    </row>
    <row r="8" customFormat="false" ht="15" hidden="false" customHeight="false" outlineLevel="0" collapsed="false">
      <c r="A8" s="0" t="s">
        <v>4431</v>
      </c>
      <c r="B8" s="0" t="s">
        <v>265</v>
      </c>
      <c r="C8" s="14" t="n">
        <v>46069</v>
      </c>
      <c r="D8" s="0" t="n">
        <v>4091.62</v>
      </c>
      <c r="E8" s="14" t="n">
        <v>46129</v>
      </c>
    </row>
    <row r="9" customFormat="false" ht="15" hidden="false" customHeight="false" outlineLevel="0" collapsed="false">
      <c r="A9" s="0" t="s">
        <v>4432</v>
      </c>
      <c r="B9" s="0" t="s">
        <v>228</v>
      </c>
      <c r="C9" s="14" t="n">
        <v>46072</v>
      </c>
      <c r="D9" s="0" t="n">
        <v>673.49</v>
      </c>
      <c r="E9" s="14" t="n">
        <v>46117</v>
      </c>
    </row>
    <row r="10" customFormat="false" ht="15" hidden="false" customHeight="false" outlineLevel="0" collapsed="false">
      <c r="A10" s="0" t="s">
        <v>4433</v>
      </c>
      <c r="B10" s="0" t="s">
        <v>265</v>
      </c>
      <c r="C10" s="14" t="n">
        <v>45902</v>
      </c>
      <c r="D10" s="0" t="n">
        <v>4452.11</v>
      </c>
      <c r="E10" s="14" t="n">
        <v>45962</v>
      </c>
    </row>
    <row r="11" customFormat="false" ht="15" hidden="false" customHeight="false" outlineLevel="0" collapsed="false">
      <c r="A11" s="0" t="s">
        <v>4434</v>
      </c>
      <c r="B11" s="0" t="s">
        <v>226</v>
      </c>
      <c r="C11" s="14" t="n">
        <v>46161</v>
      </c>
      <c r="D11" s="0" t="n">
        <v>6127.03</v>
      </c>
      <c r="E11" s="14" t="n">
        <v>46221</v>
      </c>
    </row>
    <row r="12" customFormat="false" ht="15" hidden="false" customHeight="false" outlineLevel="0" collapsed="false">
      <c r="A12" s="0" t="s">
        <v>4435</v>
      </c>
      <c r="B12" s="0" t="s">
        <v>208</v>
      </c>
      <c r="C12" s="14" t="n">
        <v>45965</v>
      </c>
      <c r="D12" s="0" t="n">
        <v>3666.96</v>
      </c>
      <c r="E12" s="14" t="n">
        <v>46010</v>
      </c>
    </row>
    <row r="13" customFormat="false" ht="15" hidden="false" customHeight="false" outlineLevel="0" collapsed="false">
      <c r="A13" s="0" t="s">
        <v>4436</v>
      </c>
      <c r="B13" s="0" t="s">
        <v>243</v>
      </c>
      <c r="C13" s="14" t="n">
        <v>46004</v>
      </c>
      <c r="D13" s="0" t="n">
        <v>8288.62</v>
      </c>
      <c r="E13" s="14" t="n">
        <v>46034</v>
      </c>
    </row>
    <row r="14" customFormat="false" ht="15" hidden="false" customHeight="false" outlineLevel="0" collapsed="false">
      <c r="A14" s="0" t="s">
        <v>4437</v>
      </c>
      <c r="B14" s="0" t="s">
        <v>261</v>
      </c>
      <c r="C14" s="14" t="n">
        <v>45998</v>
      </c>
      <c r="D14" s="0" t="n">
        <v>1708.27</v>
      </c>
      <c r="E14" s="14" t="n">
        <v>46013</v>
      </c>
    </row>
    <row r="15" customFormat="false" ht="15" hidden="false" customHeight="false" outlineLevel="0" collapsed="false">
      <c r="A15" s="0" t="s">
        <v>4438</v>
      </c>
      <c r="B15" s="0" t="s">
        <v>243</v>
      </c>
      <c r="C15" s="14" t="n">
        <v>46129</v>
      </c>
      <c r="D15" s="0" t="n">
        <v>10942.48</v>
      </c>
      <c r="E15" s="14" t="n">
        <v>46159</v>
      </c>
    </row>
    <row r="16" customFormat="false" ht="15" hidden="false" customHeight="false" outlineLevel="0" collapsed="false">
      <c r="A16" s="0" t="s">
        <v>4439</v>
      </c>
      <c r="B16" s="0" t="s">
        <v>245</v>
      </c>
      <c r="C16" s="14" t="n">
        <v>45999</v>
      </c>
      <c r="D16" s="0" t="n">
        <v>1415.72</v>
      </c>
      <c r="E16" s="14" t="n">
        <v>46014</v>
      </c>
    </row>
    <row r="17" customFormat="false" ht="15" hidden="false" customHeight="false" outlineLevel="0" collapsed="false">
      <c r="A17" s="0" t="s">
        <v>4440</v>
      </c>
      <c r="B17" s="0" t="s">
        <v>243</v>
      </c>
      <c r="C17" s="14" t="n">
        <v>45740</v>
      </c>
      <c r="D17" s="0" t="n">
        <v>2952.16</v>
      </c>
      <c r="E17" s="14" t="n">
        <v>45770</v>
      </c>
    </row>
    <row r="18" customFormat="false" ht="15" hidden="false" customHeight="false" outlineLevel="0" collapsed="false">
      <c r="A18" s="0" t="s">
        <v>4441</v>
      </c>
      <c r="B18" s="0" t="s">
        <v>241</v>
      </c>
      <c r="C18" s="14" t="n">
        <v>45695</v>
      </c>
      <c r="D18" s="0" t="n">
        <v>3137.15</v>
      </c>
      <c r="E18" s="14" t="n">
        <v>45710</v>
      </c>
    </row>
    <row r="19" customFormat="false" ht="15" hidden="false" customHeight="false" outlineLevel="0" collapsed="false">
      <c r="A19" s="0" t="s">
        <v>4442</v>
      </c>
      <c r="B19" s="0" t="s">
        <v>208</v>
      </c>
      <c r="C19" s="14" t="n">
        <v>45899</v>
      </c>
      <c r="D19" s="0" t="n">
        <v>1090.77</v>
      </c>
      <c r="E19" s="14" t="n">
        <v>45944</v>
      </c>
    </row>
    <row r="20" customFormat="false" ht="15" hidden="false" customHeight="false" outlineLevel="0" collapsed="false">
      <c r="A20" s="0" t="s">
        <v>4443</v>
      </c>
      <c r="B20" s="0" t="s">
        <v>234</v>
      </c>
      <c r="C20" s="14" t="n">
        <v>45823</v>
      </c>
      <c r="D20" s="0" t="n">
        <v>1542.98</v>
      </c>
      <c r="E20" s="14" t="n">
        <v>45868</v>
      </c>
    </row>
    <row r="21" customFormat="false" ht="15" hidden="false" customHeight="false" outlineLevel="0" collapsed="false">
      <c r="A21" s="0" t="s">
        <v>4444</v>
      </c>
      <c r="B21" s="0" t="s">
        <v>261</v>
      </c>
      <c r="C21" s="14" t="n">
        <v>45807</v>
      </c>
      <c r="D21" s="0" t="n">
        <v>4945.6</v>
      </c>
      <c r="E21" s="14" t="n">
        <v>45822</v>
      </c>
    </row>
    <row r="22" customFormat="false" ht="15" hidden="false" customHeight="false" outlineLevel="0" collapsed="false">
      <c r="A22" s="0" t="s">
        <v>4445</v>
      </c>
      <c r="B22" s="0" t="s">
        <v>224</v>
      </c>
      <c r="C22" s="14" t="n">
        <v>45688</v>
      </c>
      <c r="D22" s="0" t="n">
        <v>1269.3</v>
      </c>
      <c r="E22" s="14" t="n">
        <v>45718</v>
      </c>
    </row>
    <row r="23" customFormat="false" ht="15" hidden="false" customHeight="false" outlineLevel="0" collapsed="false">
      <c r="A23" s="0" t="s">
        <v>4446</v>
      </c>
      <c r="B23" s="0" t="s">
        <v>228</v>
      </c>
      <c r="C23" s="14" t="n">
        <v>45934</v>
      </c>
      <c r="D23" s="0" t="n">
        <v>10752.52</v>
      </c>
      <c r="E23" s="14" t="n">
        <v>45979</v>
      </c>
    </row>
    <row r="24" customFormat="false" ht="15" hidden="false" customHeight="false" outlineLevel="0" collapsed="false">
      <c r="A24" s="0" t="s">
        <v>4447</v>
      </c>
      <c r="B24" s="0" t="s">
        <v>263</v>
      </c>
      <c r="C24" s="14" t="n">
        <v>45827</v>
      </c>
      <c r="D24" s="0" t="n">
        <v>738.73</v>
      </c>
      <c r="E24" s="14" t="n">
        <v>45887</v>
      </c>
    </row>
    <row r="25" customFormat="false" ht="15" hidden="false" customHeight="false" outlineLevel="0" collapsed="false">
      <c r="A25" s="0" t="s">
        <v>4448</v>
      </c>
      <c r="B25" s="0" t="s">
        <v>226</v>
      </c>
      <c r="C25" s="14" t="n">
        <v>45904</v>
      </c>
      <c r="D25" s="0" t="n">
        <v>2574.77</v>
      </c>
      <c r="E25" s="14" t="n">
        <v>45964</v>
      </c>
    </row>
    <row r="26" customFormat="false" ht="15" hidden="false" customHeight="false" outlineLevel="0" collapsed="false">
      <c r="A26" s="0" t="s">
        <v>4449</v>
      </c>
      <c r="B26" s="0" t="s">
        <v>265</v>
      </c>
      <c r="C26" s="14" t="n">
        <v>45689</v>
      </c>
      <c r="D26" s="0" t="n">
        <v>2017.81</v>
      </c>
      <c r="E26" s="14" t="n">
        <v>45749</v>
      </c>
    </row>
    <row r="27" customFormat="false" ht="15" hidden="false" customHeight="false" outlineLevel="0" collapsed="false">
      <c r="A27" s="0" t="s">
        <v>4450</v>
      </c>
      <c r="B27" s="0" t="s">
        <v>234</v>
      </c>
      <c r="C27" s="14" t="n">
        <v>46111</v>
      </c>
      <c r="D27" s="0" t="n">
        <v>419.87</v>
      </c>
      <c r="E27" s="14" t="n">
        <v>46156</v>
      </c>
    </row>
    <row r="28" customFormat="false" ht="15" hidden="false" customHeight="false" outlineLevel="0" collapsed="false">
      <c r="A28" s="0" t="s">
        <v>4451</v>
      </c>
      <c r="B28" s="0" t="s">
        <v>259</v>
      </c>
      <c r="C28" s="14" t="n">
        <v>45699</v>
      </c>
      <c r="D28" s="0" t="n">
        <v>1097.71</v>
      </c>
      <c r="E28" s="14" t="n">
        <v>45759</v>
      </c>
    </row>
    <row r="29" customFormat="false" ht="15" hidden="false" customHeight="false" outlineLevel="0" collapsed="false">
      <c r="A29" s="0" t="s">
        <v>4452</v>
      </c>
      <c r="B29" s="0" t="s">
        <v>268</v>
      </c>
      <c r="C29" s="14" t="n">
        <v>46129</v>
      </c>
      <c r="D29" s="0" t="n">
        <v>3200.16</v>
      </c>
      <c r="E29" s="14" t="n">
        <v>46189</v>
      </c>
    </row>
    <row r="30" customFormat="false" ht="15" hidden="false" customHeight="false" outlineLevel="0" collapsed="false">
      <c r="A30" s="0" t="s">
        <v>4453</v>
      </c>
      <c r="B30" s="0" t="s">
        <v>222</v>
      </c>
      <c r="C30" s="14" t="n">
        <v>46124</v>
      </c>
      <c r="D30" s="0" t="n">
        <v>1642.53</v>
      </c>
      <c r="E30" s="14" t="n">
        <v>46139</v>
      </c>
    </row>
    <row r="31" customFormat="false" ht="15" hidden="false" customHeight="false" outlineLevel="0" collapsed="false">
      <c r="A31" s="0" t="s">
        <v>4454</v>
      </c>
      <c r="B31" s="0" t="s">
        <v>249</v>
      </c>
      <c r="C31" s="14" t="n">
        <v>45993</v>
      </c>
      <c r="D31" s="0" t="n">
        <v>3022.81</v>
      </c>
      <c r="E31" s="14" t="n">
        <v>46008</v>
      </c>
    </row>
    <row r="32" customFormat="false" ht="15" hidden="false" customHeight="false" outlineLevel="0" collapsed="false">
      <c r="A32" s="0" t="s">
        <v>4455</v>
      </c>
      <c r="B32" s="0" t="s">
        <v>267</v>
      </c>
      <c r="C32" s="14" t="n">
        <v>45934</v>
      </c>
      <c r="D32" s="0" t="n">
        <v>3581.88</v>
      </c>
      <c r="E32" s="14" t="n">
        <v>45949</v>
      </c>
    </row>
    <row r="33" customFormat="false" ht="15" hidden="false" customHeight="false" outlineLevel="0" collapsed="false">
      <c r="A33" s="0" t="s">
        <v>4456</v>
      </c>
      <c r="B33" s="0" t="s">
        <v>265</v>
      </c>
      <c r="C33" s="14" t="n">
        <v>45910</v>
      </c>
      <c r="D33" s="0" t="n">
        <v>2165.8</v>
      </c>
      <c r="E33" s="14" t="n">
        <v>45970</v>
      </c>
    </row>
    <row r="34" customFormat="false" ht="15" hidden="false" customHeight="false" outlineLevel="0" collapsed="false">
      <c r="A34" s="0" t="s">
        <v>4457</v>
      </c>
      <c r="B34" s="0" t="s">
        <v>247</v>
      </c>
      <c r="C34" s="14" t="n">
        <v>45960</v>
      </c>
      <c r="D34" s="0" t="n">
        <v>1078.27</v>
      </c>
      <c r="E34" s="14" t="n">
        <v>45975</v>
      </c>
    </row>
    <row r="35" customFormat="false" ht="15" hidden="false" customHeight="false" outlineLevel="0" collapsed="false">
      <c r="A35" s="0" t="s">
        <v>4458</v>
      </c>
      <c r="B35" s="0" t="s">
        <v>247</v>
      </c>
      <c r="C35" s="14" t="n">
        <v>46089</v>
      </c>
      <c r="D35" s="0" t="n">
        <v>4109.52</v>
      </c>
      <c r="E35" s="14" t="n">
        <v>46104</v>
      </c>
    </row>
    <row r="36" customFormat="false" ht="15" hidden="false" customHeight="false" outlineLevel="0" collapsed="false">
      <c r="A36" s="0" t="s">
        <v>4459</v>
      </c>
      <c r="B36" s="0" t="s">
        <v>253</v>
      </c>
      <c r="C36" s="14" t="n">
        <v>46146</v>
      </c>
      <c r="D36" s="0" t="n">
        <v>2519.07</v>
      </c>
      <c r="E36" s="14" t="n">
        <v>46206</v>
      </c>
    </row>
    <row r="37" customFormat="false" ht="15" hidden="false" customHeight="false" outlineLevel="0" collapsed="false">
      <c r="A37" s="0" t="s">
        <v>4460</v>
      </c>
      <c r="B37" s="0" t="s">
        <v>208</v>
      </c>
      <c r="C37" s="14" t="n">
        <v>45903</v>
      </c>
      <c r="D37" s="0" t="n">
        <v>5268.62</v>
      </c>
      <c r="E37" s="14" t="n">
        <v>45948</v>
      </c>
    </row>
    <row r="38" customFormat="false" ht="15" hidden="false" customHeight="false" outlineLevel="0" collapsed="false">
      <c r="A38" s="0" t="s">
        <v>4461</v>
      </c>
      <c r="B38" s="0" t="s">
        <v>265</v>
      </c>
      <c r="C38" s="14" t="n">
        <v>46099</v>
      </c>
      <c r="D38" s="0" t="n">
        <v>1149.12</v>
      </c>
      <c r="E38" s="14" t="n">
        <v>46159</v>
      </c>
    </row>
    <row r="39" customFormat="false" ht="15" hidden="false" customHeight="false" outlineLevel="0" collapsed="false">
      <c r="A39" s="0" t="s">
        <v>4462</v>
      </c>
      <c r="B39" s="0" t="s">
        <v>232</v>
      </c>
      <c r="C39" s="14" t="n">
        <v>46013</v>
      </c>
      <c r="D39" s="0" t="n">
        <v>546.28</v>
      </c>
      <c r="E39" s="14" t="n">
        <v>46043</v>
      </c>
    </row>
    <row r="40" customFormat="false" ht="15" hidden="false" customHeight="false" outlineLevel="0" collapsed="false">
      <c r="A40" s="0" t="s">
        <v>4463</v>
      </c>
      <c r="B40" s="0" t="s">
        <v>208</v>
      </c>
      <c r="C40" s="14" t="n">
        <v>45833</v>
      </c>
      <c r="D40" s="0" t="n">
        <v>5425.91</v>
      </c>
      <c r="E40" s="14" t="n">
        <v>45878</v>
      </c>
    </row>
    <row r="41" customFormat="false" ht="15" hidden="false" customHeight="false" outlineLevel="0" collapsed="false">
      <c r="A41" s="0" t="s">
        <v>4464</v>
      </c>
      <c r="B41" s="0" t="s">
        <v>245</v>
      </c>
      <c r="C41" s="14" t="n">
        <v>45917</v>
      </c>
      <c r="D41" s="0" t="n">
        <v>2859.95</v>
      </c>
      <c r="E41" s="14" t="n">
        <v>45932</v>
      </c>
    </row>
    <row r="42" customFormat="false" ht="15" hidden="false" customHeight="false" outlineLevel="0" collapsed="false">
      <c r="A42" s="0" t="s">
        <v>4465</v>
      </c>
      <c r="B42" s="0" t="s">
        <v>236</v>
      </c>
      <c r="C42" s="14" t="n">
        <v>45740</v>
      </c>
      <c r="D42" s="0" t="n">
        <v>8209.38</v>
      </c>
      <c r="E42" s="14" t="n">
        <v>45800</v>
      </c>
    </row>
    <row r="43" customFormat="false" ht="15" hidden="false" customHeight="false" outlineLevel="0" collapsed="false">
      <c r="A43" s="0" t="s">
        <v>4466</v>
      </c>
      <c r="B43" s="0" t="s">
        <v>230</v>
      </c>
      <c r="C43" s="14" t="n">
        <v>45691</v>
      </c>
      <c r="D43" s="0" t="n">
        <v>2699.15</v>
      </c>
      <c r="E43" s="14" t="n">
        <v>45751</v>
      </c>
    </row>
    <row r="44" customFormat="false" ht="15" hidden="false" customHeight="false" outlineLevel="0" collapsed="false">
      <c r="A44" s="0" t="s">
        <v>4467</v>
      </c>
      <c r="B44" s="0" t="s">
        <v>211</v>
      </c>
      <c r="C44" s="14" t="n">
        <v>45714</v>
      </c>
      <c r="D44" s="0" t="n">
        <v>1257.66</v>
      </c>
      <c r="E44" s="14" t="n">
        <v>45729</v>
      </c>
    </row>
    <row r="45" customFormat="false" ht="15" hidden="false" customHeight="false" outlineLevel="0" collapsed="false">
      <c r="A45" s="0" t="s">
        <v>4468</v>
      </c>
      <c r="B45" s="0" t="s">
        <v>226</v>
      </c>
      <c r="C45" s="14" t="n">
        <v>46148</v>
      </c>
      <c r="D45" s="0" t="n">
        <v>1354.65</v>
      </c>
      <c r="E45" s="14" t="n">
        <v>46208</v>
      </c>
    </row>
    <row r="46" customFormat="false" ht="15" hidden="false" customHeight="false" outlineLevel="0" collapsed="false">
      <c r="A46" s="0" t="s">
        <v>4469</v>
      </c>
      <c r="B46" s="0" t="s">
        <v>241</v>
      </c>
      <c r="C46" s="14" t="n">
        <v>45845</v>
      </c>
      <c r="D46" s="0" t="n">
        <v>2443.44</v>
      </c>
      <c r="E46" s="14" t="n">
        <v>45860</v>
      </c>
    </row>
    <row r="47" customFormat="false" ht="15" hidden="false" customHeight="false" outlineLevel="0" collapsed="false">
      <c r="A47" s="0" t="s">
        <v>4470</v>
      </c>
      <c r="B47" s="0" t="s">
        <v>243</v>
      </c>
      <c r="C47" s="14" t="n">
        <v>46047</v>
      </c>
      <c r="D47" s="0" t="n">
        <v>4874.17</v>
      </c>
      <c r="E47" s="14" t="n">
        <v>46077</v>
      </c>
    </row>
    <row r="48" customFormat="false" ht="15" hidden="false" customHeight="false" outlineLevel="0" collapsed="false">
      <c r="A48" s="0" t="s">
        <v>4471</v>
      </c>
      <c r="B48" s="0" t="s">
        <v>211</v>
      </c>
      <c r="C48" s="14" t="n">
        <v>45932</v>
      </c>
      <c r="D48" s="0" t="n">
        <v>326.8</v>
      </c>
      <c r="E48" s="14" t="n">
        <v>45947</v>
      </c>
    </row>
    <row r="49" customFormat="false" ht="15" hidden="false" customHeight="false" outlineLevel="0" collapsed="false">
      <c r="A49" s="0" t="s">
        <v>4472</v>
      </c>
      <c r="B49" s="0" t="s">
        <v>232</v>
      </c>
      <c r="C49" s="14" t="n">
        <v>45752</v>
      </c>
      <c r="D49" s="0" t="n">
        <v>1044.13</v>
      </c>
      <c r="E49" s="14" t="n">
        <v>45782</v>
      </c>
    </row>
    <row r="50" customFormat="false" ht="15" hidden="false" customHeight="false" outlineLevel="0" collapsed="false">
      <c r="A50" s="0" t="s">
        <v>4473</v>
      </c>
      <c r="B50" s="0" t="s">
        <v>232</v>
      </c>
      <c r="C50" s="14" t="n">
        <v>45793</v>
      </c>
      <c r="D50" s="0" t="n">
        <v>3700.7</v>
      </c>
      <c r="E50" s="14" t="n">
        <v>45823</v>
      </c>
    </row>
    <row r="51" customFormat="false" ht="15" hidden="false" customHeight="false" outlineLevel="0" collapsed="false">
      <c r="A51" s="0" t="s">
        <v>4474</v>
      </c>
      <c r="B51" s="0" t="s">
        <v>267</v>
      </c>
      <c r="C51" s="14" t="n">
        <v>45896</v>
      </c>
      <c r="D51" s="0" t="n">
        <v>1168.97</v>
      </c>
      <c r="E51" s="14" t="n">
        <v>45911</v>
      </c>
    </row>
    <row r="52" customFormat="false" ht="15" hidden="false" customHeight="false" outlineLevel="0" collapsed="false">
      <c r="A52" s="0" t="s">
        <v>4475</v>
      </c>
      <c r="B52" s="0" t="s">
        <v>228</v>
      </c>
      <c r="C52" s="14" t="n">
        <v>45897</v>
      </c>
      <c r="D52" s="0" t="n">
        <v>1984.44</v>
      </c>
      <c r="E52" s="14" t="n">
        <v>45942</v>
      </c>
    </row>
    <row r="53" customFormat="false" ht="15" hidden="false" customHeight="false" outlineLevel="0" collapsed="false">
      <c r="A53" s="0" t="s">
        <v>4476</v>
      </c>
      <c r="B53" s="0" t="s">
        <v>249</v>
      </c>
      <c r="C53" s="14" t="n">
        <v>45942</v>
      </c>
      <c r="D53" s="0" t="n">
        <v>1193.06</v>
      </c>
      <c r="E53" s="14" t="n">
        <v>45957</v>
      </c>
    </row>
    <row r="54" customFormat="false" ht="15" hidden="false" customHeight="false" outlineLevel="0" collapsed="false">
      <c r="A54" s="0" t="s">
        <v>4477</v>
      </c>
      <c r="B54" s="0" t="s">
        <v>208</v>
      </c>
      <c r="C54" s="14" t="n">
        <v>45744</v>
      </c>
      <c r="D54" s="0" t="n">
        <v>1358.01</v>
      </c>
      <c r="E54" s="14" t="n">
        <v>45789</v>
      </c>
    </row>
    <row r="55" customFormat="false" ht="15" hidden="false" customHeight="false" outlineLevel="0" collapsed="false">
      <c r="A55" s="0" t="s">
        <v>4478</v>
      </c>
      <c r="B55" s="0" t="s">
        <v>220</v>
      </c>
      <c r="C55" s="14" t="n">
        <v>45861</v>
      </c>
      <c r="D55" s="0" t="n">
        <v>857.18</v>
      </c>
      <c r="E55" s="14" t="n">
        <v>45876</v>
      </c>
    </row>
    <row r="56" customFormat="false" ht="15" hidden="false" customHeight="false" outlineLevel="0" collapsed="false">
      <c r="A56" s="0" t="s">
        <v>4479</v>
      </c>
      <c r="B56" s="0" t="s">
        <v>232</v>
      </c>
      <c r="C56" s="14" t="n">
        <v>45812</v>
      </c>
      <c r="D56" s="0" t="n">
        <v>2386.51</v>
      </c>
      <c r="E56" s="14" t="n">
        <v>45842</v>
      </c>
    </row>
    <row r="57" customFormat="false" ht="15" hidden="false" customHeight="false" outlineLevel="0" collapsed="false">
      <c r="A57" s="0" t="s">
        <v>4480</v>
      </c>
      <c r="B57" s="0" t="s">
        <v>249</v>
      </c>
      <c r="C57" s="14" t="n">
        <v>45880</v>
      </c>
      <c r="D57" s="0" t="n">
        <v>1552.87</v>
      </c>
      <c r="E57" s="14" t="n">
        <v>45895</v>
      </c>
    </row>
    <row r="58" customFormat="false" ht="15" hidden="false" customHeight="false" outlineLevel="0" collapsed="false">
      <c r="A58" s="0" t="s">
        <v>4481</v>
      </c>
      <c r="B58" s="0" t="s">
        <v>251</v>
      </c>
      <c r="C58" s="14" t="n">
        <v>45842</v>
      </c>
      <c r="D58" s="0" t="n">
        <v>738.05</v>
      </c>
      <c r="E58" s="14" t="n">
        <v>45872</v>
      </c>
    </row>
    <row r="59" customFormat="false" ht="15" hidden="false" customHeight="false" outlineLevel="0" collapsed="false">
      <c r="A59" s="0" t="s">
        <v>4482</v>
      </c>
      <c r="B59" s="0" t="s">
        <v>265</v>
      </c>
      <c r="C59" s="14" t="n">
        <v>45983</v>
      </c>
      <c r="D59" s="0" t="n">
        <v>7195.65</v>
      </c>
      <c r="E59" s="14" t="n">
        <v>46043</v>
      </c>
    </row>
    <row r="60" customFormat="false" ht="15" hidden="false" customHeight="false" outlineLevel="0" collapsed="false">
      <c r="A60" s="0" t="s">
        <v>4483</v>
      </c>
      <c r="B60" s="0" t="s">
        <v>253</v>
      </c>
      <c r="C60" s="14" t="n">
        <v>46088</v>
      </c>
      <c r="D60" s="0" t="n">
        <v>1143.06</v>
      </c>
      <c r="E60" s="14" t="n">
        <v>46148</v>
      </c>
    </row>
    <row r="61" customFormat="false" ht="15" hidden="false" customHeight="false" outlineLevel="0" collapsed="false">
      <c r="A61" s="0" t="s">
        <v>4484</v>
      </c>
      <c r="B61" s="0" t="s">
        <v>239</v>
      </c>
      <c r="C61" s="14" t="n">
        <v>46010</v>
      </c>
      <c r="D61" s="0" t="n">
        <v>139.79</v>
      </c>
      <c r="E61" s="14" t="n">
        <v>46040</v>
      </c>
    </row>
    <row r="62" customFormat="false" ht="15" hidden="false" customHeight="false" outlineLevel="0" collapsed="false">
      <c r="A62" s="0" t="s">
        <v>4485</v>
      </c>
      <c r="B62" s="0" t="s">
        <v>220</v>
      </c>
      <c r="C62" s="14" t="n">
        <v>45693</v>
      </c>
      <c r="D62" s="0" t="n">
        <v>1962</v>
      </c>
      <c r="E62" s="14" t="n">
        <v>45708</v>
      </c>
    </row>
    <row r="63" customFormat="false" ht="15" hidden="false" customHeight="false" outlineLevel="0" collapsed="false">
      <c r="A63" s="0" t="s">
        <v>4486</v>
      </c>
      <c r="B63" s="0" t="s">
        <v>268</v>
      </c>
      <c r="C63" s="14" t="n">
        <v>45709</v>
      </c>
      <c r="D63" s="0" t="n">
        <v>1462.38</v>
      </c>
      <c r="E63" s="14" t="n">
        <v>45769</v>
      </c>
    </row>
    <row r="64" customFormat="false" ht="15" hidden="false" customHeight="false" outlineLevel="0" collapsed="false">
      <c r="A64" s="0" t="s">
        <v>4487</v>
      </c>
      <c r="B64" s="0" t="s">
        <v>263</v>
      </c>
      <c r="C64" s="14" t="n">
        <v>46027</v>
      </c>
      <c r="D64" s="0" t="n">
        <v>1069.79</v>
      </c>
      <c r="E64" s="14" t="n">
        <v>46087</v>
      </c>
    </row>
    <row r="65" customFormat="false" ht="15" hidden="false" customHeight="false" outlineLevel="0" collapsed="false">
      <c r="A65" s="0" t="s">
        <v>4488</v>
      </c>
      <c r="B65" s="0" t="s">
        <v>236</v>
      </c>
      <c r="C65" s="14" t="n">
        <v>45812</v>
      </c>
      <c r="D65" s="0" t="n">
        <v>5778.66</v>
      </c>
      <c r="E65" s="14" t="n">
        <v>45872</v>
      </c>
    </row>
    <row r="66" customFormat="false" ht="15" hidden="false" customHeight="false" outlineLevel="0" collapsed="false">
      <c r="A66" s="0" t="s">
        <v>4489</v>
      </c>
      <c r="B66" s="0" t="s">
        <v>243</v>
      </c>
      <c r="C66" s="14" t="n">
        <v>46052</v>
      </c>
      <c r="D66" s="0" t="n">
        <v>2296.31</v>
      </c>
      <c r="E66" s="14" t="n">
        <v>46082</v>
      </c>
    </row>
    <row r="67" customFormat="false" ht="15" hidden="false" customHeight="false" outlineLevel="0" collapsed="false">
      <c r="A67" s="0" t="s">
        <v>4490</v>
      </c>
      <c r="B67" s="0" t="s">
        <v>228</v>
      </c>
      <c r="C67" s="14" t="n">
        <v>46015</v>
      </c>
      <c r="D67" s="0" t="n">
        <v>7915.97</v>
      </c>
      <c r="E67" s="14" t="n">
        <v>46060</v>
      </c>
    </row>
    <row r="68" customFormat="false" ht="15" hidden="false" customHeight="false" outlineLevel="0" collapsed="false">
      <c r="A68" s="0" t="s">
        <v>4491</v>
      </c>
      <c r="B68" s="0" t="s">
        <v>222</v>
      </c>
      <c r="C68" s="14" t="n">
        <v>46151</v>
      </c>
      <c r="D68" s="0" t="n">
        <v>2115.58</v>
      </c>
      <c r="E68" s="14" t="n">
        <v>46166</v>
      </c>
    </row>
    <row r="69" customFormat="false" ht="15" hidden="false" customHeight="false" outlineLevel="0" collapsed="false">
      <c r="A69" s="0" t="s">
        <v>4492</v>
      </c>
      <c r="B69" s="0" t="s">
        <v>234</v>
      </c>
      <c r="C69" s="14" t="n">
        <v>46133</v>
      </c>
      <c r="D69" s="0" t="n">
        <v>1470.85</v>
      </c>
      <c r="E69" s="14" t="n">
        <v>46178</v>
      </c>
    </row>
    <row r="70" customFormat="false" ht="15" hidden="false" customHeight="false" outlineLevel="0" collapsed="false">
      <c r="A70" s="0" t="s">
        <v>4493</v>
      </c>
      <c r="B70" s="0" t="s">
        <v>222</v>
      </c>
      <c r="C70" s="14" t="n">
        <v>45839</v>
      </c>
      <c r="D70" s="0" t="n">
        <v>1903.66</v>
      </c>
      <c r="E70" s="14" t="n">
        <v>45854</v>
      </c>
    </row>
    <row r="71" customFormat="false" ht="15" hidden="false" customHeight="false" outlineLevel="0" collapsed="false">
      <c r="A71" s="0" t="s">
        <v>4494</v>
      </c>
      <c r="B71" s="0" t="s">
        <v>243</v>
      </c>
      <c r="C71" s="14" t="n">
        <v>45975</v>
      </c>
      <c r="D71" s="0" t="n">
        <v>11396.88</v>
      </c>
      <c r="E71" s="14" t="n">
        <v>46005</v>
      </c>
    </row>
    <row r="72" customFormat="false" ht="15" hidden="false" customHeight="false" outlineLevel="0" collapsed="false">
      <c r="A72" s="0" t="s">
        <v>4495</v>
      </c>
      <c r="B72" s="0" t="s">
        <v>245</v>
      </c>
      <c r="C72" s="14" t="n">
        <v>45735</v>
      </c>
      <c r="D72" s="0" t="n">
        <v>2362.28</v>
      </c>
      <c r="E72" s="14" t="n">
        <v>45750</v>
      </c>
    </row>
    <row r="73" customFormat="false" ht="15" hidden="false" customHeight="false" outlineLevel="0" collapsed="false">
      <c r="A73" s="0" t="s">
        <v>4496</v>
      </c>
      <c r="B73" s="0" t="s">
        <v>270</v>
      </c>
      <c r="C73" s="14" t="n">
        <v>45848</v>
      </c>
      <c r="D73" s="0" t="n">
        <v>19405.86</v>
      </c>
      <c r="E73" s="14" t="n">
        <v>45863</v>
      </c>
    </row>
    <row r="74" customFormat="false" ht="15" hidden="false" customHeight="false" outlineLevel="0" collapsed="false">
      <c r="A74" s="0" t="s">
        <v>4497</v>
      </c>
      <c r="B74" s="0" t="s">
        <v>261</v>
      </c>
      <c r="C74" s="14" t="n">
        <v>46185</v>
      </c>
      <c r="D74" s="0" t="n">
        <v>2340.97</v>
      </c>
      <c r="E74" s="14" t="n">
        <v>46200</v>
      </c>
    </row>
    <row r="75" customFormat="false" ht="15" hidden="false" customHeight="false" outlineLevel="0" collapsed="false">
      <c r="A75" s="0" t="s">
        <v>4498</v>
      </c>
      <c r="B75" s="0" t="s">
        <v>270</v>
      </c>
      <c r="C75" s="14" t="n">
        <v>46038</v>
      </c>
      <c r="D75" s="0" t="n">
        <v>422.1</v>
      </c>
      <c r="E75" s="14" t="n">
        <v>46053</v>
      </c>
    </row>
    <row r="76" customFormat="false" ht="15" hidden="false" customHeight="false" outlineLevel="0" collapsed="false">
      <c r="A76" s="0" t="s">
        <v>4499</v>
      </c>
      <c r="B76" s="0" t="s">
        <v>241</v>
      </c>
      <c r="C76" s="14" t="n">
        <v>45871</v>
      </c>
      <c r="D76" s="0" t="n">
        <v>3092.13</v>
      </c>
      <c r="E76" s="14" t="n">
        <v>45886</v>
      </c>
    </row>
    <row r="77" customFormat="false" ht="15" hidden="false" customHeight="false" outlineLevel="0" collapsed="false">
      <c r="A77" s="0" t="s">
        <v>4500</v>
      </c>
      <c r="B77" s="0" t="s">
        <v>255</v>
      </c>
      <c r="C77" s="14" t="n">
        <v>45982</v>
      </c>
      <c r="D77" s="0" t="n">
        <v>4650.25</v>
      </c>
      <c r="E77" s="14" t="n">
        <v>46012</v>
      </c>
    </row>
    <row r="78" customFormat="false" ht="15" hidden="false" customHeight="false" outlineLevel="0" collapsed="false">
      <c r="A78" s="0" t="s">
        <v>4501</v>
      </c>
      <c r="B78" s="0" t="s">
        <v>220</v>
      </c>
      <c r="C78" s="14" t="n">
        <v>46169</v>
      </c>
      <c r="D78" s="0" t="n">
        <v>949.22</v>
      </c>
      <c r="E78" s="14" t="n">
        <v>46184</v>
      </c>
    </row>
    <row r="79" customFormat="false" ht="15" hidden="false" customHeight="false" outlineLevel="0" collapsed="false">
      <c r="A79" s="0" t="s">
        <v>4502</v>
      </c>
      <c r="B79" s="0" t="s">
        <v>211</v>
      </c>
      <c r="C79" s="14" t="n">
        <v>45826</v>
      </c>
      <c r="D79" s="0" t="n">
        <v>2761.96</v>
      </c>
      <c r="E79" s="14" t="n">
        <v>45841</v>
      </c>
    </row>
    <row r="80" customFormat="false" ht="15" hidden="false" customHeight="false" outlineLevel="0" collapsed="false">
      <c r="A80" s="0" t="s">
        <v>4503</v>
      </c>
      <c r="B80" s="0" t="s">
        <v>236</v>
      </c>
      <c r="C80" s="14" t="n">
        <v>45863</v>
      </c>
      <c r="D80" s="0" t="n">
        <v>2517.6</v>
      </c>
      <c r="E80" s="14" t="n">
        <v>45923</v>
      </c>
    </row>
    <row r="81" customFormat="false" ht="15" hidden="false" customHeight="false" outlineLevel="0" collapsed="false">
      <c r="A81" s="0" t="s">
        <v>4504</v>
      </c>
      <c r="B81" s="0" t="s">
        <v>226</v>
      </c>
      <c r="C81" s="14" t="n">
        <v>46089</v>
      </c>
      <c r="D81" s="0" t="n">
        <v>2398.54</v>
      </c>
      <c r="E81" s="14" t="n">
        <v>46149</v>
      </c>
    </row>
    <row r="82" customFormat="false" ht="15" hidden="false" customHeight="false" outlineLevel="0" collapsed="false">
      <c r="A82" s="0" t="s">
        <v>4505</v>
      </c>
      <c r="B82" s="0" t="s">
        <v>259</v>
      </c>
      <c r="C82" s="14" t="n">
        <v>46101</v>
      </c>
      <c r="D82" s="0" t="n">
        <v>1418.91</v>
      </c>
      <c r="E82" s="14" t="n">
        <v>46161</v>
      </c>
    </row>
    <row r="83" customFormat="false" ht="15" hidden="false" customHeight="false" outlineLevel="0" collapsed="false">
      <c r="A83" s="0" t="s">
        <v>4506</v>
      </c>
      <c r="B83" s="0" t="s">
        <v>224</v>
      </c>
      <c r="C83" s="14" t="n">
        <v>46023</v>
      </c>
      <c r="D83" s="0" t="n">
        <v>2710.4</v>
      </c>
      <c r="E83" s="14" t="n">
        <v>46053</v>
      </c>
    </row>
    <row r="84" customFormat="false" ht="15" hidden="false" customHeight="false" outlineLevel="0" collapsed="false">
      <c r="A84" s="0" t="s">
        <v>4507</v>
      </c>
      <c r="B84" s="0" t="s">
        <v>220</v>
      </c>
      <c r="C84" s="14" t="n">
        <v>46109</v>
      </c>
      <c r="D84" s="0" t="n">
        <v>3607.75</v>
      </c>
      <c r="E84" s="14" t="n">
        <v>46124</v>
      </c>
    </row>
    <row r="85" customFormat="false" ht="15" hidden="false" customHeight="false" outlineLevel="0" collapsed="false">
      <c r="A85" s="0" t="s">
        <v>4508</v>
      </c>
      <c r="B85" s="0" t="s">
        <v>245</v>
      </c>
      <c r="C85" s="14" t="n">
        <v>46060</v>
      </c>
      <c r="D85" s="0" t="n">
        <v>855.89</v>
      </c>
      <c r="E85" s="14" t="n">
        <v>46075</v>
      </c>
    </row>
    <row r="86" customFormat="false" ht="15" hidden="false" customHeight="false" outlineLevel="0" collapsed="false">
      <c r="A86" s="0" t="s">
        <v>4509</v>
      </c>
      <c r="B86" s="0" t="s">
        <v>214</v>
      </c>
      <c r="C86" s="14" t="n">
        <v>46031</v>
      </c>
      <c r="D86" s="0" t="n">
        <v>2589.72</v>
      </c>
      <c r="E86" s="14" t="n">
        <v>46076</v>
      </c>
    </row>
    <row r="87" customFormat="false" ht="15" hidden="false" customHeight="false" outlineLevel="0" collapsed="false">
      <c r="A87" s="0" t="s">
        <v>4510</v>
      </c>
      <c r="B87" s="0" t="s">
        <v>253</v>
      </c>
      <c r="C87" s="14" t="n">
        <v>45944</v>
      </c>
      <c r="D87" s="0" t="n">
        <v>1236.06</v>
      </c>
      <c r="E87" s="14" t="n">
        <v>46004</v>
      </c>
    </row>
    <row r="88" customFormat="false" ht="15" hidden="false" customHeight="false" outlineLevel="0" collapsed="false">
      <c r="A88" s="0" t="s">
        <v>4511</v>
      </c>
      <c r="B88" s="0" t="s">
        <v>257</v>
      </c>
      <c r="C88" s="14" t="n">
        <v>46010</v>
      </c>
      <c r="D88" s="0" t="n">
        <v>3022.29</v>
      </c>
      <c r="E88" s="14" t="n">
        <v>46070</v>
      </c>
    </row>
    <row r="89" customFormat="false" ht="15" hidden="false" customHeight="false" outlineLevel="0" collapsed="false">
      <c r="A89" s="0" t="s">
        <v>4512</v>
      </c>
      <c r="B89" s="0" t="s">
        <v>222</v>
      </c>
      <c r="C89" s="14" t="n">
        <v>45888</v>
      </c>
      <c r="D89" s="0" t="n">
        <v>7933.14</v>
      </c>
      <c r="E89" s="14" t="n">
        <v>45903</v>
      </c>
    </row>
    <row r="90" customFormat="false" ht="15" hidden="false" customHeight="false" outlineLevel="0" collapsed="false">
      <c r="A90" s="0" t="s">
        <v>4513</v>
      </c>
      <c r="B90" s="0" t="s">
        <v>253</v>
      </c>
      <c r="C90" s="14" t="n">
        <v>45855</v>
      </c>
      <c r="D90" s="0" t="n">
        <v>8308.55</v>
      </c>
      <c r="E90" s="14" t="n">
        <v>45915</v>
      </c>
    </row>
    <row r="91" customFormat="false" ht="15" hidden="false" customHeight="false" outlineLevel="0" collapsed="false">
      <c r="A91" s="0" t="s">
        <v>4514</v>
      </c>
      <c r="B91" s="0" t="s">
        <v>228</v>
      </c>
      <c r="C91" s="14" t="n">
        <v>45855</v>
      </c>
      <c r="D91" s="0" t="n">
        <v>11319.08</v>
      </c>
      <c r="E91" s="14" t="n">
        <v>45900</v>
      </c>
    </row>
    <row r="92" customFormat="false" ht="15" hidden="false" customHeight="false" outlineLevel="0" collapsed="false">
      <c r="A92" s="0" t="s">
        <v>4515</v>
      </c>
      <c r="B92" s="0" t="s">
        <v>263</v>
      </c>
      <c r="C92" s="14" t="n">
        <v>45756</v>
      </c>
      <c r="D92" s="0" t="n">
        <v>3436.09</v>
      </c>
      <c r="E92" s="14" t="n">
        <v>45816</v>
      </c>
    </row>
    <row r="93" customFormat="false" ht="15" hidden="false" customHeight="false" outlineLevel="0" collapsed="false">
      <c r="A93" s="0" t="s">
        <v>4516</v>
      </c>
      <c r="B93" s="0" t="s">
        <v>226</v>
      </c>
      <c r="C93" s="14" t="n">
        <v>45774</v>
      </c>
      <c r="D93" s="0" t="n">
        <v>6787.28</v>
      </c>
      <c r="E93" s="14" t="n">
        <v>45834</v>
      </c>
    </row>
    <row r="94" customFormat="false" ht="15" hidden="false" customHeight="false" outlineLevel="0" collapsed="false">
      <c r="A94" s="0" t="s">
        <v>4517</v>
      </c>
      <c r="B94" s="0" t="s">
        <v>247</v>
      </c>
      <c r="C94" s="14" t="n">
        <v>46174</v>
      </c>
      <c r="D94" s="0" t="n">
        <v>1540.61</v>
      </c>
      <c r="E94" s="14" t="n">
        <v>46189</v>
      </c>
    </row>
    <row r="95" customFormat="false" ht="15" hidden="false" customHeight="false" outlineLevel="0" collapsed="false">
      <c r="A95" s="0" t="s">
        <v>4518</v>
      </c>
      <c r="B95" s="0" t="s">
        <v>222</v>
      </c>
      <c r="C95" s="14" t="n">
        <v>45923</v>
      </c>
      <c r="D95" s="0" t="n">
        <v>5089.83</v>
      </c>
      <c r="E95" s="14" t="n">
        <v>45938</v>
      </c>
    </row>
    <row r="96" customFormat="false" ht="15" hidden="false" customHeight="false" outlineLevel="0" collapsed="false">
      <c r="A96" s="0" t="s">
        <v>4519</v>
      </c>
      <c r="B96" s="0" t="s">
        <v>228</v>
      </c>
      <c r="C96" s="14" t="n">
        <v>45781</v>
      </c>
      <c r="D96" s="0" t="n">
        <v>4255.63</v>
      </c>
      <c r="E96" s="14" t="n">
        <v>45826</v>
      </c>
    </row>
    <row r="97" customFormat="false" ht="15" hidden="false" customHeight="false" outlineLevel="0" collapsed="false">
      <c r="A97" s="0" t="s">
        <v>4520</v>
      </c>
      <c r="B97" s="0" t="s">
        <v>230</v>
      </c>
      <c r="C97" s="14" t="n">
        <v>45732</v>
      </c>
      <c r="D97" s="0" t="n">
        <v>1792.09</v>
      </c>
      <c r="E97" s="14" t="n">
        <v>45792</v>
      </c>
    </row>
    <row r="98" customFormat="false" ht="15" hidden="false" customHeight="false" outlineLevel="0" collapsed="false">
      <c r="A98" s="0" t="s">
        <v>4521</v>
      </c>
      <c r="B98" s="0" t="s">
        <v>243</v>
      </c>
      <c r="C98" s="14" t="n">
        <v>45700</v>
      </c>
      <c r="D98" s="0" t="n">
        <v>1932.03</v>
      </c>
      <c r="E98" s="14" t="n">
        <v>45730</v>
      </c>
    </row>
    <row r="99" customFormat="false" ht="15" hidden="false" customHeight="false" outlineLevel="0" collapsed="false">
      <c r="A99" s="0" t="s">
        <v>4522</v>
      </c>
      <c r="B99" s="0" t="s">
        <v>255</v>
      </c>
      <c r="C99" s="14" t="n">
        <v>46118</v>
      </c>
      <c r="D99" s="0" t="n">
        <v>7159.38</v>
      </c>
      <c r="E99" s="14" t="n">
        <v>46148</v>
      </c>
    </row>
    <row r="100" customFormat="false" ht="15" hidden="false" customHeight="false" outlineLevel="0" collapsed="false">
      <c r="A100" s="0" t="s">
        <v>4523</v>
      </c>
      <c r="B100" s="0" t="s">
        <v>259</v>
      </c>
      <c r="C100" s="14" t="n">
        <v>45713</v>
      </c>
      <c r="D100" s="0" t="n">
        <v>1930.69</v>
      </c>
      <c r="E100" s="14" t="n">
        <v>45773</v>
      </c>
    </row>
    <row r="101" customFormat="false" ht="15" hidden="false" customHeight="false" outlineLevel="0" collapsed="false">
      <c r="A101" s="0" t="s">
        <v>4524</v>
      </c>
      <c r="B101" s="0" t="s">
        <v>222</v>
      </c>
      <c r="C101" s="14" t="n">
        <v>46078</v>
      </c>
      <c r="D101" s="0" t="n">
        <v>1385.74</v>
      </c>
      <c r="E101" s="14" t="n">
        <v>46093</v>
      </c>
    </row>
    <row r="102" customFormat="false" ht="15" hidden="false" customHeight="false" outlineLevel="0" collapsed="false">
      <c r="A102" s="0" t="s">
        <v>4525</v>
      </c>
      <c r="B102" s="0" t="s">
        <v>217</v>
      </c>
      <c r="C102" s="14" t="n">
        <v>46113</v>
      </c>
      <c r="D102" s="0" t="n">
        <v>1466.44</v>
      </c>
      <c r="E102" s="14" t="n">
        <v>46143</v>
      </c>
    </row>
    <row r="103" customFormat="false" ht="15" hidden="false" customHeight="false" outlineLevel="0" collapsed="false">
      <c r="A103" s="0" t="s">
        <v>4526</v>
      </c>
      <c r="B103" s="0" t="s">
        <v>267</v>
      </c>
      <c r="C103" s="14" t="n">
        <v>46139</v>
      </c>
      <c r="D103" s="0" t="n">
        <v>2761.43</v>
      </c>
      <c r="E103" s="14" t="n">
        <v>46154</v>
      </c>
    </row>
    <row r="104" customFormat="false" ht="15" hidden="false" customHeight="false" outlineLevel="0" collapsed="false">
      <c r="A104" s="0" t="s">
        <v>4527</v>
      </c>
      <c r="B104" s="0" t="s">
        <v>222</v>
      </c>
      <c r="C104" s="14" t="n">
        <v>45678</v>
      </c>
      <c r="D104" s="0" t="n">
        <v>773.4</v>
      </c>
      <c r="E104" s="14" t="n">
        <v>45693</v>
      </c>
    </row>
    <row r="105" customFormat="false" ht="15" hidden="false" customHeight="false" outlineLevel="0" collapsed="false">
      <c r="A105" s="0" t="s">
        <v>4528</v>
      </c>
      <c r="B105" s="0" t="s">
        <v>247</v>
      </c>
      <c r="C105" s="14" t="n">
        <v>45841</v>
      </c>
      <c r="D105" s="0" t="n">
        <v>4096.85</v>
      </c>
      <c r="E105" s="14" t="n">
        <v>45856</v>
      </c>
    </row>
    <row r="106" customFormat="false" ht="15" hidden="false" customHeight="false" outlineLevel="0" collapsed="false">
      <c r="A106" s="0" t="s">
        <v>4529</v>
      </c>
      <c r="B106" s="0" t="s">
        <v>255</v>
      </c>
      <c r="C106" s="14" t="n">
        <v>46075</v>
      </c>
      <c r="D106" s="0" t="n">
        <v>1991.17</v>
      </c>
      <c r="E106" s="14" t="n">
        <v>46105</v>
      </c>
    </row>
    <row r="107" customFormat="false" ht="15" hidden="false" customHeight="false" outlineLevel="0" collapsed="false">
      <c r="A107" s="0" t="s">
        <v>4530</v>
      </c>
      <c r="B107" s="0" t="s">
        <v>259</v>
      </c>
      <c r="C107" s="14" t="n">
        <v>45729</v>
      </c>
      <c r="D107" s="0" t="n">
        <v>7900.96</v>
      </c>
      <c r="E107" s="14" t="n">
        <v>45789</v>
      </c>
    </row>
    <row r="108" customFormat="false" ht="15" hidden="false" customHeight="false" outlineLevel="0" collapsed="false">
      <c r="A108" s="0" t="s">
        <v>4531</v>
      </c>
      <c r="B108" s="0" t="s">
        <v>226</v>
      </c>
      <c r="C108" s="14" t="n">
        <v>45863</v>
      </c>
      <c r="D108" s="0" t="n">
        <v>3604.05</v>
      </c>
      <c r="E108" s="14" t="n">
        <v>45923</v>
      </c>
    </row>
    <row r="109" customFormat="false" ht="15" hidden="false" customHeight="false" outlineLevel="0" collapsed="false">
      <c r="A109" s="0" t="s">
        <v>4532</v>
      </c>
      <c r="B109" s="0" t="s">
        <v>245</v>
      </c>
      <c r="C109" s="14" t="n">
        <v>45746</v>
      </c>
      <c r="D109" s="0" t="n">
        <v>14838.59</v>
      </c>
      <c r="E109" s="14" t="n">
        <v>45761</v>
      </c>
    </row>
    <row r="110" customFormat="false" ht="15" hidden="false" customHeight="false" outlineLevel="0" collapsed="false">
      <c r="A110" s="0" t="s">
        <v>4533</v>
      </c>
      <c r="B110" s="0" t="s">
        <v>257</v>
      </c>
      <c r="C110" s="14" t="n">
        <v>46111</v>
      </c>
      <c r="D110" s="0" t="n">
        <v>615.89</v>
      </c>
      <c r="E110" s="14" t="n">
        <v>46171</v>
      </c>
    </row>
    <row r="111" customFormat="false" ht="15" hidden="false" customHeight="false" outlineLevel="0" collapsed="false">
      <c r="A111" s="0" t="s">
        <v>4534</v>
      </c>
      <c r="B111" s="0" t="s">
        <v>208</v>
      </c>
      <c r="C111" s="14" t="n">
        <v>46078</v>
      </c>
      <c r="D111" s="0" t="n">
        <v>614.16</v>
      </c>
      <c r="E111" s="14" t="n">
        <v>46123</v>
      </c>
    </row>
    <row r="112" customFormat="false" ht="15" hidden="false" customHeight="false" outlineLevel="0" collapsed="false">
      <c r="A112" s="0" t="s">
        <v>4535</v>
      </c>
      <c r="B112" s="0" t="s">
        <v>236</v>
      </c>
      <c r="C112" s="14" t="n">
        <v>46098</v>
      </c>
      <c r="D112" s="0" t="n">
        <v>3085.97</v>
      </c>
      <c r="E112" s="14" t="n">
        <v>46158</v>
      </c>
    </row>
    <row r="113" customFormat="false" ht="15" hidden="false" customHeight="false" outlineLevel="0" collapsed="false">
      <c r="A113" s="0" t="s">
        <v>4536</v>
      </c>
      <c r="B113" s="0" t="s">
        <v>234</v>
      </c>
      <c r="C113" s="14" t="n">
        <v>45748</v>
      </c>
      <c r="D113" s="0" t="n">
        <v>1494.36</v>
      </c>
      <c r="E113" s="14" t="n">
        <v>45793</v>
      </c>
    </row>
    <row r="114" customFormat="false" ht="15" hidden="false" customHeight="false" outlineLevel="0" collapsed="false">
      <c r="A114" s="0" t="s">
        <v>4537</v>
      </c>
      <c r="B114" s="0" t="s">
        <v>257</v>
      </c>
      <c r="C114" s="14" t="n">
        <v>45896</v>
      </c>
      <c r="D114" s="0" t="n">
        <v>3555.91</v>
      </c>
      <c r="E114" s="14" t="n">
        <v>45956</v>
      </c>
    </row>
    <row r="115" customFormat="false" ht="15" hidden="false" customHeight="false" outlineLevel="0" collapsed="false">
      <c r="A115" s="0" t="s">
        <v>4538</v>
      </c>
      <c r="B115" s="0" t="s">
        <v>211</v>
      </c>
      <c r="C115" s="14" t="n">
        <v>45881</v>
      </c>
      <c r="D115" s="0" t="n">
        <v>3592.42</v>
      </c>
      <c r="E115" s="14" t="n">
        <v>45896</v>
      </c>
    </row>
    <row r="116" customFormat="false" ht="15" hidden="false" customHeight="false" outlineLevel="0" collapsed="false">
      <c r="A116" s="0" t="s">
        <v>4539</v>
      </c>
      <c r="B116" s="0" t="s">
        <v>232</v>
      </c>
      <c r="C116" s="14" t="n">
        <v>46026</v>
      </c>
      <c r="D116" s="0" t="n">
        <v>389.2</v>
      </c>
      <c r="E116" s="14" t="n">
        <v>46056</v>
      </c>
    </row>
    <row r="117" customFormat="false" ht="15" hidden="false" customHeight="false" outlineLevel="0" collapsed="false">
      <c r="A117" s="0" t="s">
        <v>4540</v>
      </c>
      <c r="B117" s="0" t="s">
        <v>232</v>
      </c>
      <c r="C117" s="14" t="n">
        <v>45787</v>
      </c>
      <c r="D117" s="0" t="n">
        <v>394.94</v>
      </c>
      <c r="E117" s="14" t="n">
        <v>45817</v>
      </c>
    </row>
    <row r="118" customFormat="false" ht="15" hidden="false" customHeight="false" outlineLevel="0" collapsed="false">
      <c r="A118" s="0" t="s">
        <v>4541</v>
      </c>
      <c r="B118" s="0" t="s">
        <v>220</v>
      </c>
      <c r="C118" s="14" t="n">
        <v>45900</v>
      </c>
      <c r="D118" s="0" t="n">
        <v>3529.53</v>
      </c>
      <c r="E118" s="14" t="n">
        <v>45915</v>
      </c>
    </row>
    <row r="119" customFormat="false" ht="15" hidden="false" customHeight="false" outlineLevel="0" collapsed="false">
      <c r="A119" s="0" t="s">
        <v>4542</v>
      </c>
      <c r="B119" s="0" t="s">
        <v>257</v>
      </c>
      <c r="C119" s="14" t="n">
        <v>45813</v>
      </c>
      <c r="D119" s="0" t="n">
        <v>1344.49</v>
      </c>
      <c r="E119" s="14" t="n">
        <v>45873</v>
      </c>
    </row>
    <row r="120" customFormat="false" ht="15" hidden="false" customHeight="false" outlineLevel="0" collapsed="false">
      <c r="A120" s="0" t="s">
        <v>4543</v>
      </c>
      <c r="B120" s="0" t="s">
        <v>234</v>
      </c>
      <c r="C120" s="14" t="n">
        <v>46065</v>
      </c>
      <c r="D120" s="0" t="n">
        <v>7154.52</v>
      </c>
      <c r="E120" s="14" t="n">
        <v>46110</v>
      </c>
    </row>
    <row r="121" customFormat="false" ht="15" hidden="false" customHeight="false" outlineLevel="0" collapsed="false">
      <c r="A121" s="0" t="s">
        <v>4544</v>
      </c>
      <c r="B121" s="0" t="s">
        <v>261</v>
      </c>
      <c r="C121" s="14" t="n">
        <v>45902</v>
      </c>
      <c r="D121" s="0" t="n">
        <v>2756.04</v>
      </c>
      <c r="E121" s="14" t="n">
        <v>45917</v>
      </c>
    </row>
    <row r="122" customFormat="false" ht="15" hidden="false" customHeight="false" outlineLevel="0" collapsed="false">
      <c r="A122" s="0" t="s">
        <v>4545</v>
      </c>
      <c r="B122" s="0" t="s">
        <v>241</v>
      </c>
      <c r="C122" s="14" t="n">
        <v>45949</v>
      </c>
      <c r="D122" s="0" t="n">
        <v>1425.44</v>
      </c>
      <c r="E122" s="14" t="n">
        <v>45964</v>
      </c>
    </row>
    <row r="123" customFormat="false" ht="15" hidden="false" customHeight="false" outlineLevel="0" collapsed="false">
      <c r="A123" s="0" t="s">
        <v>4546</v>
      </c>
      <c r="B123" s="0" t="s">
        <v>239</v>
      </c>
      <c r="C123" s="14" t="n">
        <v>45826</v>
      </c>
      <c r="D123" s="0" t="n">
        <v>14970.09</v>
      </c>
      <c r="E123" s="14" t="n">
        <v>45856</v>
      </c>
    </row>
    <row r="124" customFormat="false" ht="15" hidden="false" customHeight="false" outlineLevel="0" collapsed="false">
      <c r="A124" s="0" t="s">
        <v>4547</v>
      </c>
      <c r="B124" s="0" t="s">
        <v>220</v>
      </c>
      <c r="C124" s="14" t="n">
        <v>46098</v>
      </c>
      <c r="D124" s="0" t="n">
        <v>384.06</v>
      </c>
      <c r="E124" s="14" t="n">
        <v>46113</v>
      </c>
    </row>
    <row r="125" customFormat="false" ht="15" hidden="false" customHeight="false" outlineLevel="0" collapsed="false">
      <c r="A125" s="0" t="s">
        <v>4548</v>
      </c>
      <c r="B125" s="0" t="s">
        <v>259</v>
      </c>
      <c r="C125" s="14" t="n">
        <v>45913</v>
      </c>
      <c r="D125" s="0" t="n">
        <v>1780.11</v>
      </c>
      <c r="E125" s="14" t="n">
        <v>45973</v>
      </c>
    </row>
    <row r="126" customFormat="false" ht="15" hidden="false" customHeight="false" outlineLevel="0" collapsed="false">
      <c r="A126" s="0" t="s">
        <v>4549</v>
      </c>
      <c r="B126" s="0" t="s">
        <v>232</v>
      </c>
      <c r="C126" s="14" t="n">
        <v>46113</v>
      </c>
      <c r="D126" s="0" t="n">
        <v>1695.79</v>
      </c>
      <c r="E126" s="14" t="n">
        <v>46143</v>
      </c>
    </row>
    <row r="127" customFormat="false" ht="15" hidden="false" customHeight="false" outlineLevel="0" collapsed="false">
      <c r="A127" s="0" t="s">
        <v>4550</v>
      </c>
      <c r="B127" s="0" t="s">
        <v>268</v>
      </c>
      <c r="C127" s="14" t="n">
        <v>45858</v>
      </c>
      <c r="D127" s="0" t="n">
        <v>2702</v>
      </c>
      <c r="E127" s="14" t="n">
        <v>45918</v>
      </c>
    </row>
    <row r="128" customFormat="false" ht="15" hidden="false" customHeight="false" outlineLevel="0" collapsed="false">
      <c r="A128" s="0" t="s">
        <v>4551</v>
      </c>
      <c r="B128" s="0" t="s">
        <v>222</v>
      </c>
      <c r="C128" s="14" t="n">
        <v>46174</v>
      </c>
      <c r="D128" s="0" t="n">
        <v>6868.48</v>
      </c>
      <c r="E128" s="14" t="n">
        <v>46189</v>
      </c>
    </row>
    <row r="129" customFormat="false" ht="15" hidden="false" customHeight="false" outlineLevel="0" collapsed="false">
      <c r="A129" s="0" t="s">
        <v>4552</v>
      </c>
      <c r="B129" s="0" t="s">
        <v>232</v>
      </c>
      <c r="C129" s="14" t="n">
        <v>46194</v>
      </c>
      <c r="D129" s="0" t="n">
        <v>6006.81</v>
      </c>
      <c r="E129" s="14" t="n">
        <v>46224</v>
      </c>
    </row>
    <row r="130" customFormat="false" ht="15" hidden="false" customHeight="false" outlineLevel="0" collapsed="false">
      <c r="A130" s="0" t="s">
        <v>4553</v>
      </c>
      <c r="B130" s="0" t="s">
        <v>234</v>
      </c>
      <c r="C130" s="14" t="n">
        <v>45909</v>
      </c>
      <c r="D130" s="0" t="n">
        <v>1048.47</v>
      </c>
      <c r="E130" s="14" t="n">
        <v>45954</v>
      </c>
    </row>
    <row r="131" customFormat="false" ht="15" hidden="false" customHeight="false" outlineLevel="0" collapsed="false">
      <c r="A131" s="0" t="s">
        <v>4554</v>
      </c>
      <c r="B131" s="0" t="s">
        <v>245</v>
      </c>
      <c r="C131" s="14" t="n">
        <v>45811</v>
      </c>
      <c r="D131" s="0" t="n">
        <v>4969.45</v>
      </c>
      <c r="E131" s="14" t="n">
        <v>45826</v>
      </c>
    </row>
    <row r="132" customFormat="false" ht="15" hidden="false" customHeight="false" outlineLevel="0" collapsed="false">
      <c r="A132" s="0" t="s">
        <v>4555</v>
      </c>
      <c r="B132" s="0" t="s">
        <v>245</v>
      </c>
      <c r="C132" s="14" t="n">
        <v>45866</v>
      </c>
      <c r="D132" s="0" t="n">
        <v>11087.34</v>
      </c>
      <c r="E132" s="14" t="n">
        <v>45881</v>
      </c>
    </row>
    <row r="133" customFormat="false" ht="15" hidden="false" customHeight="false" outlineLevel="0" collapsed="false">
      <c r="A133" s="0" t="s">
        <v>4556</v>
      </c>
      <c r="B133" s="0" t="s">
        <v>220</v>
      </c>
      <c r="C133" s="14" t="n">
        <v>45945</v>
      </c>
      <c r="D133" s="0" t="n">
        <v>1027.67</v>
      </c>
      <c r="E133" s="14" t="n">
        <v>45960</v>
      </c>
    </row>
    <row r="134" customFormat="false" ht="15" hidden="false" customHeight="false" outlineLevel="0" collapsed="false">
      <c r="A134" s="0" t="s">
        <v>4557</v>
      </c>
      <c r="B134" s="0" t="s">
        <v>243</v>
      </c>
      <c r="C134" s="14" t="n">
        <v>46184</v>
      </c>
      <c r="D134" s="0" t="n">
        <v>1672.41</v>
      </c>
      <c r="E134" s="14" t="n">
        <v>46214</v>
      </c>
    </row>
    <row r="135" customFormat="false" ht="15" hidden="false" customHeight="false" outlineLevel="0" collapsed="false">
      <c r="A135" s="0" t="s">
        <v>4558</v>
      </c>
      <c r="B135" s="0" t="s">
        <v>263</v>
      </c>
      <c r="C135" s="14" t="n">
        <v>46103</v>
      </c>
      <c r="D135" s="0" t="n">
        <v>2028.73</v>
      </c>
      <c r="E135" s="14" t="n">
        <v>46163</v>
      </c>
    </row>
    <row r="136" customFormat="false" ht="15" hidden="false" customHeight="false" outlineLevel="0" collapsed="false">
      <c r="A136" s="0" t="s">
        <v>4559</v>
      </c>
      <c r="B136" s="0" t="s">
        <v>234</v>
      </c>
      <c r="C136" s="14" t="n">
        <v>46094</v>
      </c>
      <c r="D136" s="0" t="n">
        <v>6379.66</v>
      </c>
      <c r="E136" s="14" t="n">
        <v>46139</v>
      </c>
    </row>
    <row r="137" customFormat="false" ht="15" hidden="false" customHeight="false" outlineLevel="0" collapsed="false">
      <c r="A137" s="0" t="s">
        <v>4560</v>
      </c>
      <c r="B137" s="0" t="s">
        <v>257</v>
      </c>
      <c r="C137" s="14" t="n">
        <v>45733</v>
      </c>
      <c r="D137" s="0" t="n">
        <v>2883.05</v>
      </c>
      <c r="E137" s="14" t="n">
        <v>45793</v>
      </c>
    </row>
    <row r="138" customFormat="false" ht="15" hidden="false" customHeight="false" outlineLevel="0" collapsed="false">
      <c r="A138" s="0" t="s">
        <v>4561</v>
      </c>
      <c r="B138" s="0" t="s">
        <v>226</v>
      </c>
      <c r="C138" s="14" t="n">
        <v>45794</v>
      </c>
      <c r="D138" s="0" t="n">
        <v>880.8</v>
      </c>
      <c r="E138" s="14" t="n">
        <v>45854</v>
      </c>
    </row>
    <row r="139" customFormat="false" ht="15" hidden="false" customHeight="false" outlineLevel="0" collapsed="false">
      <c r="A139" s="0" t="s">
        <v>4562</v>
      </c>
      <c r="B139" s="0" t="s">
        <v>211</v>
      </c>
      <c r="C139" s="14" t="n">
        <v>46007</v>
      </c>
      <c r="D139" s="0" t="n">
        <v>2834.41</v>
      </c>
      <c r="E139" s="14" t="n">
        <v>46022</v>
      </c>
    </row>
    <row r="140" customFormat="false" ht="15" hidden="false" customHeight="false" outlineLevel="0" collapsed="false">
      <c r="A140" s="0" t="s">
        <v>4563</v>
      </c>
      <c r="B140" s="0" t="s">
        <v>259</v>
      </c>
      <c r="C140" s="14" t="n">
        <v>46134</v>
      </c>
      <c r="D140" s="0" t="n">
        <v>3358.61</v>
      </c>
      <c r="E140" s="14" t="n">
        <v>46194</v>
      </c>
    </row>
    <row r="141" customFormat="false" ht="15" hidden="false" customHeight="false" outlineLevel="0" collapsed="false">
      <c r="A141" s="0" t="s">
        <v>4564</v>
      </c>
      <c r="B141" s="0" t="s">
        <v>253</v>
      </c>
      <c r="C141" s="14" t="n">
        <v>45960</v>
      </c>
      <c r="D141" s="0" t="n">
        <v>2962.83</v>
      </c>
      <c r="E141" s="14" t="n">
        <v>46020</v>
      </c>
    </row>
    <row r="142" customFormat="false" ht="15" hidden="false" customHeight="false" outlineLevel="0" collapsed="false">
      <c r="A142" s="0" t="s">
        <v>4565</v>
      </c>
      <c r="B142" s="0" t="s">
        <v>241</v>
      </c>
      <c r="C142" s="14" t="n">
        <v>45713</v>
      </c>
      <c r="D142" s="0" t="n">
        <v>1642.39</v>
      </c>
      <c r="E142" s="14" t="n">
        <v>45728</v>
      </c>
    </row>
    <row r="143" customFormat="false" ht="15" hidden="false" customHeight="false" outlineLevel="0" collapsed="false">
      <c r="A143" s="0" t="s">
        <v>4566</v>
      </c>
      <c r="B143" s="0" t="s">
        <v>255</v>
      </c>
      <c r="C143" s="14" t="n">
        <v>46119</v>
      </c>
      <c r="D143" s="0" t="n">
        <v>1076.31</v>
      </c>
      <c r="E143" s="14" t="n">
        <v>46149</v>
      </c>
    </row>
    <row r="144" customFormat="false" ht="15" hidden="false" customHeight="false" outlineLevel="0" collapsed="false">
      <c r="A144" s="0" t="s">
        <v>4567</v>
      </c>
      <c r="B144" s="0" t="s">
        <v>226</v>
      </c>
      <c r="C144" s="14" t="n">
        <v>46121</v>
      </c>
      <c r="D144" s="0" t="n">
        <v>1464.84</v>
      </c>
      <c r="E144" s="14" t="n">
        <v>46181</v>
      </c>
    </row>
    <row r="145" customFormat="false" ht="15" hidden="false" customHeight="false" outlineLevel="0" collapsed="false">
      <c r="A145" s="0" t="s">
        <v>4568</v>
      </c>
      <c r="B145" s="0" t="s">
        <v>249</v>
      </c>
      <c r="C145" s="14" t="n">
        <v>45813</v>
      </c>
      <c r="D145" s="0" t="n">
        <v>9454.9</v>
      </c>
      <c r="E145" s="14" t="n">
        <v>45828</v>
      </c>
    </row>
    <row r="146" customFormat="false" ht="15" hidden="false" customHeight="false" outlineLevel="0" collapsed="false">
      <c r="A146" s="0" t="s">
        <v>4569</v>
      </c>
      <c r="B146" s="0" t="s">
        <v>224</v>
      </c>
      <c r="C146" s="14" t="n">
        <v>46073</v>
      </c>
      <c r="D146" s="0" t="n">
        <v>2303.51</v>
      </c>
      <c r="E146" s="14" t="n">
        <v>46103</v>
      </c>
    </row>
    <row r="147" customFormat="false" ht="15" hidden="false" customHeight="false" outlineLevel="0" collapsed="false">
      <c r="A147" s="0" t="s">
        <v>4570</v>
      </c>
      <c r="B147" s="0" t="s">
        <v>243</v>
      </c>
      <c r="C147" s="14" t="n">
        <v>45806</v>
      </c>
      <c r="D147" s="0" t="n">
        <v>10490.23</v>
      </c>
      <c r="E147" s="14" t="n">
        <v>45836</v>
      </c>
    </row>
    <row r="148" customFormat="false" ht="15" hidden="false" customHeight="false" outlineLevel="0" collapsed="false">
      <c r="A148" s="0" t="s">
        <v>4571</v>
      </c>
      <c r="B148" s="0" t="s">
        <v>257</v>
      </c>
      <c r="C148" s="14" t="n">
        <v>46151</v>
      </c>
      <c r="D148" s="0" t="n">
        <v>6140.98</v>
      </c>
      <c r="E148" s="14" t="n">
        <v>46211</v>
      </c>
    </row>
    <row r="149" customFormat="false" ht="15" hidden="false" customHeight="false" outlineLevel="0" collapsed="false">
      <c r="A149" s="0" t="s">
        <v>4572</v>
      </c>
      <c r="B149" s="0" t="s">
        <v>236</v>
      </c>
      <c r="C149" s="14" t="n">
        <v>45738</v>
      </c>
      <c r="D149" s="0" t="n">
        <v>3313.51</v>
      </c>
      <c r="E149" s="14" t="n">
        <v>45798</v>
      </c>
    </row>
    <row r="150" customFormat="false" ht="15" hidden="false" customHeight="false" outlineLevel="0" collapsed="false">
      <c r="A150" s="0" t="s">
        <v>4573</v>
      </c>
      <c r="B150" s="0" t="s">
        <v>239</v>
      </c>
      <c r="C150" s="14" t="n">
        <v>45896</v>
      </c>
      <c r="D150" s="0" t="n">
        <v>691.61</v>
      </c>
      <c r="E150" s="14" t="n">
        <v>45926</v>
      </c>
    </row>
    <row r="151" customFormat="false" ht="15" hidden="false" customHeight="false" outlineLevel="0" collapsed="false">
      <c r="A151" s="0" t="s">
        <v>4574</v>
      </c>
      <c r="B151" s="0" t="s">
        <v>268</v>
      </c>
      <c r="C151" s="14" t="n">
        <v>46173</v>
      </c>
      <c r="D151" s="0" t="n">
        <v>3158.11</v>
      </c>
      <c r="E151" s="14" t="n">
        <v>46233</v>
      </c>
    </row>
    <row r="152" customFormat="false" ht="15" hidden="false" customHeight="false" outlineLevel="0" collapsed="false">
      <c r="A152" s="0" t="s">
        <v>4575</v>
      </c>
      <c r="B152" s="0" t="s">
        <v>270</v>
      </c>
      <c r="C152" s="14" t="n">
        <v>45779</v>
      </c>
      <c r="D152" s="0" t="n">
        <v>5637.18</v>
      </c>
      <c r="E152" s="14" t="n">
        <v>45794</v>
      </c>
    </row>
    <row r="153" customFormat="false" ht="15" hidden="false" customHeight="false" outlineLevel="0" collapsed="false">
      <c r="A153" s="0" t="s">
        <v>4576</v>
      </c>
      <c r="B153" s="0" t="s">
        <v>239</v>
      </c>
      <c r="C153" s="14" t="n">
        <v>45903</v>
      </c>
      <c r="D153" s="0" t="n">
        <v>12200.28</v>
      </c>
      <c r="E153" s="14" t="n">
        <v>45933</v>
      </c>
    </row>
    <row r="154" customFormat="false" ht="15" hidden="false" customHeight="false" outlineLevel="0" collapsed="false">
      <c r="A154" s="0" t="s">
        <v>4577</v>
      </c>
      <c r="B154" s="0" t="s">
        <v>239</v>
      </c>
      <c r="C154" s="14" t="n">
        <v>45848</v>
      </c>
      <c r="D154" s="0" t="n">
        <v>7567.96</v>
      </c>
      <c r="E154" s="14" t="n">
        <v>45878</v>
      </c>
    </row>
    <row r="155" customFormat="false" ht="15" hidden="false" customHeight="false" outlineLevel="0" collapsed="false">
      <c r="A155" s="0" t="s">
        <v>4578</v>
      </c>
      <c r="B155" s="0" t="s">
        <v>251</v>
      </c>
      <c r="C155" s="14" t="n">
        <v>45672</v>
      </c>
      <c r="D155" s="0" t="n">
        <v>549.85</v>
      </c>
      <c r="E155" s="14" t="n">
        <v>45702</v>
      </c>
    </row>
    <row r="156" customFormat="false" ht="15" hidden="false" customHeight="false" outlineLevel="0" collapsed="false">
      <c r="A156" s="0" t="s">
        <v>4579</v>
      </c>
      <c r="B156" s="0" t="s">
        <v>222</v>
      </c>
      <c r="C156" s="14" t="n">
        <v>45687</v>
      </c>
      <c r="D156" s="0" t="n">
        <v>4482.25</v>
      </c>
      <c r="E156" s="14" t="n">
        <v>45702</v>
      </c>
    </row>
    <row r="157" customFormat="false" ht="15" hidden="false" customHeight="false" outlineLevel="0" collapsed="false">
      <c r="A157" s="0" t="s">
        <v>4580</v>
      </c>
      <c r="B157" s="0" t="s">
        <v>261</v>
      </c>
      <c r="C157" s="14" t="n">
        <v>45931</v>
      </c>
      <c r="D157" s="0" t="n">
        <v>739.82</v>
      </c>
      <c r="E157" s="14" t="n">
        <v>45946</v>
      </c>
    </row>
    <row r="158" customFormat="false" ht="15" hidden="false" customHeight="false" outlineLevel="0" collapsed="false">
      <c r="A158" s="0" t="s">
        <v>4581</v>
      </c>
      <c r="B158" s="0" t="s">
        <v>270</v>
      </c>
      <c r="C158" s="14" t="n">
        <v>45786</v>
      </c>
      <c r="D158" s="0" t="n">
        <v>2784.82</v>
      </c>
      <c r="E158" s="14" t="n">
        <v>45801</v>
      </c>
    </row>
    <row r="159" customFormat="false" ht="15" hidden="false" customHeight="false" outlineLevel="0" collapsed="false">
      <c r="A159" s="0" t="s">
        <v>4582</v>
      </c>
      <c r="B159" s="0" t="s">
        <v>257</v>
      </c>
      <c r="C159" s="14" t="n">
        <v>46200</v>
      </c>
      <c r="D159" s="0" t="n">
        <v>446.4</v>
      </c>
      <c r="E159" s="14" t="n">
        <v>46260</v>
      </c>
    </row>
    <row r="160" customFormat="false" ht="15" hidden="false" customHeight="false" outlineLevel="0" collapsed="false">
      <c r="A160" s="0" t="s">
        <v>4583</v>
      </c>
      <c r="B160" s="0" t="s">
        <v>245</v>
      </c>
      <c r="C160" s="14" t="n">
        <v>45862</v>
      </c>
      <c r="D160" s="0" t="n">
        <v>2740.17</v>
      </c>
      <c r="E160" s="14" t="n">
        <v>45877</v>
      </c>
    </row>
    <row r="161" customFormat="false" ht="15" hidden="false" customHeight="false" outlineLevel="0" collapsed="false">
      <c r="A161" s="0" t="s">
        <v>4584</v>
      </c>
      <c r="B161" s="0" t="s">
        <v>270</v>
      </c>
      <c r="C161" s="14" t="n">
        <v>45673</v>
      </c>
      <c r="D161" s="0" t="n">
        <v>1008.67</v>
      </c>
      <c r="E161" s="14" t="n">
        <v>45688</v>
      </c>
    </row>
    <row r="162" customFormat="false" ht="15" hidden="false" customHeight="false" outlineLevel="0" collapsed="false">
      <c r="A162" s="0" t="s">
        <v>4585</v>
      </c>
      <c r="B162" s="0" t="s">
        <v>249</v>
      </c>
      <c r="C162" s="14" t="n">
        <v>46165</v>
      </c>
      <c r="D162" s="0" t="n">
        <v>1252.91</v>
      </c>
      <c r="E162" s="14" t="n">
        <v>46180</v>
      </c>
    </row>
    <row r="163" customFormat="false" ht="15" hidden="false" customHeight="false" outlineLevel="0" collapsed="false">
      <c r="A163" s="0" t="s">
        <v>4586</v>
      </c>
      <c r="B163" s="0" t="s">
        <v>236</v>
      </c>
      <c r="C163" s="14" t="n">
        <v>46115</v>
      </c>
      <c r="D163" s="0" t="n">
        <v>581.09</v>
      </c>
      <c r="E163" s="14" t="n">
        <v>46175</v>
      </c>
    </row>
    <row r="164" customFormat="false" ht="15" hidden="false" customHeight="false" outlineLevel="0" collapsed="false">
      <c r="A164" s="0" t="s">
        <v>4587</v>
      </c>
      <c r="B164" s="0" t="s">
        <v>245</v>
      </c>
      <c r="C164" s="14" t="n">
        <v>46012</v>
      </c>
      <c r="D164" s="0" t="n">
        <v>5364.47</v>
      </c>
      <c r="E164" s="14" t="n">
        <v>46027</v>
      </c>
    </row>
    <row r="165" customFormat="false" ht="15" hidden="false" customHeight="false" outlineLevel="0" collapsed="false">
      <c r="A165" s="0" t="s">
        <v>4588</v>
      </c>
      <c r="B165" s="0" t="s">
        <v>214</v>
      </c>
      <c r="C165" s="14" t="n">
        <v>46089</v>
      </c>
      <c r="D165" s="0" t="n">
        <v>2482.23</v>
      </c>
      <c r="E165" s="14" t="n">
        <v>46134</v>
      </c>
    </row>
    <row r="166" customFormat="false" ht="15" hidden="false" customHeight="false" outlineLevel="0" collapsed="false">
      <c r="A166" s="0" t="s">
        <v>4589</v>
      </c>
      <c r="B166" s="0" t="s">
        <v>208</v>
      </c>
      <c r="C166" s="14" t="n">
        <v>45732</v>
      </c>
      <c r="D166" s="0" t="n">
        <v>10479.09</v>
      </c>
      <c r="E166" s="14" t="n">
        <v>45777</v>
      </c>
    </row>
    <row r="167" customFormat="false" ht="15" hidden="false" customHeight="false" outlineLevel="0" collapsed="false">
      <c r="A167" s="0" t="s">
        <v>4590</v>
      </c>
      <c r="B167" s="0" t="s">
        <v>224</v>
      </c>
      <c r="C167" s="14" t="n">
        <v>45814</v>
      </c>
      <c r="D167" s="0" t="n">
        <v>1447.89</v>
      </c>
      <c r="E167" s="14" t="n">
        <v>45844</v>
      </c>
    </row>
    <row r="168" customFormat="false" ht="15" hidden="false" customHeight="false" outlineLevel="0" collapsed="false">
      <c r="A168" s="0" t="s">
        <v>4591</v>
      </c>
      <c r="B168" s="0" t="s">
        <v>230</v>
      </c>
      <c r="C168" s="14" t="n">
        <v>46110</v>
      </c>
      <c r="D168" s="0" t="n">
        <v>697.19</v>
      </c>
      <c r="E168" s="14" t="n">
        <v>46170</v>
      </c>
    </row>
    <row r="169" customFormat="false" ht="15" hidden="false" customHeight="false" outlineLevel="0" collapsed="false">
      <c r="A169" s="0" t="s">
        <v>4592</v>
      </c>
      <c r="B169" s="0" t="s">
        <v>230</v>
      </c>
      <c r="C169" s="14" t="n">
        <v>46037</v>
      </c>
      <c r="D169" s="0" t="n">
        <v>1767.03</v>
      </c>
      <c r="E169" s="14" t="n">
        <v>46097</v>
      </c>
    </row>
    <row r="170" customFormat="false" ht="15" hidden="false" customHeight="false" outlineLevel="0" collapsed="false">
      <c r="A170" s="0" t="s">
        <v>4593</v>
      </c>
      <c r="B170" s="0" t="s">
        <v>261</v>
      </c>
      <c r="C170" s="14" t="n">
        <v>45733</v>
      </c>
      <c r="D170" s="0" t="n">
        <v>2989.29</v>
      </c>
      <c r="E170" s="14" t="n">
        <v>45748</v>
      </c>
    </row>
    <row r="171" customFormat="false" ht="15" hidden="false" customHeight="false" outlineLevel="0" collapsed="false">
      <c r="A171" s="0" t="s">
        <v>4594</v>
      </c>
      <c r="B171" s="0" t="s">
        <v>251</v>
      </c>
      <c r="C171" s="14" t="n">
        <v>46042</v>
      </c>
      <c r="D171" s="0" t="n">
        <v>216.72</v>
      </c>
      <c r="E171" s="14" t="n">
        <v>46072</v>
      </c>
    </row>
    <row r="172" customFormat="false" ht="15" hidden="false" customHeight="false" outlineLevel="0" collapsed="false">
      <c r="A172" s="0" t="s">
        <v>4595</v>
      </c>
      <c r="B172" s="0" t="s">
        <v>268</v>
      </c>
      <c r="C172" s="14" t="n">
        <v>45902</v>
      </c>
      <c r="D172" s="0" t="n">
        <v>9409.48</v>
      </c>
      <c r="E172" s="14" t="n">
        <v>45962</v>
      </c>
    </row>
    <row r="173" customFormat="false" ht="15" hidden="false" customHeight="false" outlineLevel="0" collapsed="false">
      <c r="A173" s="0" t="s">
        <v>4596</v>
      </c>
      <c r="B173" s="0" t="s">
        <v>214</v>
      </c>
      <c r="C173" s="14" t="n">
        <v>45660</v>
      </c>
      <c r="D173" s="0" t="n">
        <v>937.8</v>
      </c>
      <c r="E173" s="14" t="n">
        <v>45705</v>
      </c>
    </row>
    <row r="174" customFormat="false" ht="15" hidden="false" customHeight="false" outlineLevel="0" collapsed="false">
      <c r="A174" s="0" t="s">
        <v>4597</v>
      </c>
      <c r="B174" s="0" t="s">
        <v>247</v>
      </c>
      <c r="C174" s="14" t="n">
        <v>45701</v>
      </c>
      <c r="D174" s="0" t="n">
        <v>1637.03</v>
      </c>
      <c r="E174" s="14" t="n">
        <v>45716</v>
      </c>
    </row>
    <row r="175" customFormat="false" ht="15" hidden="false" customHeight="false" outlineLevel="0" collapsed="false">
      <c r="A175" s="0" t="s">
        <v>4598</v>
      </c>
      <c r="B175" s="0" t="s">
        <v>241</v>
      </c>
      <c r="C175" s="14" t="n">
        <v>45797</v>
      </c>
      <c r="D175" s="0" t="n">
        <v>2021.6</v>
      </c>
      <c r="E175" s="14" t="n">
        <v>45812</v>
      </c>
    </row>
    <row r="176" customFormat="false" ht="15" hidden="false" customHeight="false" outlineLevel="0" collapsed="false">
      <c r="A176" s="0" t="s">
        <v>4599</v>
      </c>
      <c r="B176" s="0" t="s">
        <v>257</v>
      </c>
      <c r="C176" s="14" t="n">
        <v>46113</v>
      </c>
      <c r="D176" s="0" t="n">
        <v>475.54</v>
      </c>
      <c r="E176" s="14" t="n">
        <v>46173</v>
      </c>
    </row>
    <row r="177" customFormat="false" ht="15" hidden="false" customHeight="false" outlineLevel="0" collapsed="false">
      <c r="A177" s="0" t="s">
        <v>4600</v>
      </c>
      <c r="B177" s="0" t="s">
        <v>253</v>
      </c>
      <c r="C177" s="14" t="n">
        <v>45957</v>
      </c>
      <c r="D177" s="0" t="n">
        <v>3003.96</v>
      </c>
      <c r="E177" s="14" t="n">
        <v>46017</v>
      </c>
    </row>
    <row r="178" customFormat="false" ht="15" hidden="false" customHeight="false" outlineLevel="0" collapsed="false">
      <c r="A178" s="0" t="s">
        <v>4601</v>
      </c>
      <c r="B178" s="0" t="s">
        <v>236</v>
      </c>
      <c r="C178" s="14" t="n">
        <v>46054</v>
      </c>
      <c r="D178" s="0" t="n">
        <v>2861.28</v>
      </c>
      <c r="E178" s="14" t="n">
        <v>46114</v>
      </c>
    </row>
    <row r="179" customFormat="false" ht="15" hidden="false" customHeight="false" outlineLevel="0" collapsed="false">
      <c r="A179" s="0" t="s">
        <v>4602</v>
      </c>
      <c r="B179" s="0" t="s">
        <v>267</v>
      </c>
      <c r="C179" s="14" t="n">
        <v>45945</v>
      </c>
      <c r="D179" s="0" t="n">
        <v>3929.53</v>
      </c>
      <c r="E179" s="14" t="n">
        <v>45960</v>
      </c>
    </row>
    <row r="180" customFormat="false" ht="15" hidden="false" customHeight="false" outlineLevel="0" collapsed="false">
      <c r="A180" s="0" t="s">
        <v>4603</v>
      </c>
      <c r="B180" s="0" t="s">
        <v>243</v>
      </c>
      <c r="C180" s="14" t="n">
        <v>45718</v>
      </c>
      <c r="D180" s="0" t="n">
        <v>1121.02</v>
      </c>
      <c r="E180" s="14" t="n">
        <v>45748</v>
      </c>
    </row>
    <row r="181" customFormat="false" ht="15" hidden="false" customHeight="false" outlineLevel="0" collapsed="false">
      <c r="A181" s="0" t="s">
        <v>4604</v>
      </c>
      <c r="B181" s="0" t="s">
        <v>247</v>
      </c>
      <c r="C181" s="14" t="n">
        <v>45815</v>
      </c>
      <c r="D181" s="0" t="n">
        <v>781.09</v>
      </c>
      <c r="E181" s="14" t="n">
        <v>45830</v>
      </c>
    </row>
    <row r="182" customFormat="false" ht="15" hidden="false" customHeight="false" outlineLevel="0" collapsed="false">
      <c r="A182" s="0" t="s">
        <v>4605</v>
      </c>
      <c r="B182" s="0" t="s">
        <v>236</v>
      </c>
      <c r="C182" s="14" t="n">
        <v>45822</v>
      </c>
      <c r="D182" s="0" t="n">
        <v>30870.59</v>
      </c>
      <c r="E182" s="14" t="n">
        <v>45882</v>
      </c>
    </row>
    <row r="183" customFormat="false" ht="15" hidden="false" customHeight="false" outlineLevel="0" collapsed="false">
      <c r="A183" s="0" t="s">
        <v>4606</v>
      </c>
      <c r="B183" s="0" t="s">
        <v>243</v>
      </c>
      <c r="C183" s="14" t="n">
        <v>45684</v>
      </c>
      <c r="D183" s="0" t="n">
        <v>4442.76</v>
      </c>
      <c r="E183" s="14" t="n">
        <v>45714</v>
      </c>
    </row>
    <row r="184" customFormat="false" ht="15" hidden="false" customHeight="false" outlineLevel="0" collapsed="false">
      <c r="A184" s="0" t="s">
        <v>4607</v>
      </c>
      <c r="B184" s="0" t="s">
        <v>261</v>
      </c>
      <c r="C184" s="14" t="n">
        <v>45886</v>
      </c>
      <c r="D184" s="0" t="n">
        <v>843.64</v>
      </c>
      <c r="E184" s="14" t="n">
        <v>45901</v>
      </c>
    </row>
    <row r="185" customFormat="false" ht="15" hidden="false" customHeight="false" outlineLevel="0" collapsed="false">
      <c r="A185" s="0" t="s">
        <v>4608</v>
      </c>
      <c r="B185" s="0" t="s">
        <v>236</v>
      </c>
      <c r="C185" s="14" t="n">
        <v>46090</v>
      </c>
      <c r="D185" s="0" t="n">
        <v>18351.9</v>
      </c>
      <c r="E185" s="14" t="n">
        <v>46150</v>
      </c>
    </row>
    <row r="186" customFormat="false" ht="15" hidden="false" customHeight="false" outlineLevel="0" collapsed="false">
      <c r="A186" s="0" t="s">
        <v>4609</v>
      </c>
      <c r="B186" s="0" t="s">
        <v>261</v>
      </c>
      <c r="C186" s="14" t="n">
        <v>45907</v>
      </c>
      <c r="D186" s="0" t="n">
        <v>2310.93</v>
      </c>
      <c r="E186" s="14" t="n">
        <v>45922</v>
      </c>
    </row>
    <row r="187" customFormat="false" ht="15" hidden="false" customHeight="false" outlineLevel="0" collapsed="false">
      <c r="A187" s="0" t="s">
        <v>4610</v>
      </c>
      <c r="B187" s="0" t="s">
        <v>245</v>
      </c>
      <c r="C187" s="14" t="n">
        <v>45718</v>
      </c>
      <c r="D187" s="0" t="n">
        <v>1671.7</v>
      </c>
      <c r="E187" s="14" t="n">
        <v>45733</v>
      </c>
    </row>
    <row r="188" customFormat="false" ht="15" hidden="false" customHeight="false" outlineLevel="0" collapsed="false">
      <c r="A188" s="0" t="s">
        <v>4611</v>
      </c>
      <c r="B188" s="0" t="s">
        <v>222</v>
      </c>
      <c r="C188" s="14" t="n">
        <v>46151</v>
      </c>
      <c r="D188" s="0" t="n">
        <v>1617.75</v>
      </c>
      <c r="E188" s="14" t="n">
        <v>46166</v>
      </c>
    </row>
    <row r="189" customFormat="false" ht="15" hidden="false" customHeight="false" outlineLevel="0" collapsed="false">
      <c r="A189" s="0" t="s">
        <v>4612</v>
      </c>
      <c r="B189" s="0" t="s">
        <v>270</v>
      </c>
      <c r="C189" s="14" t="n">
        <v>45983</v>
      </c>
      <c r="D189" s="0" t="n">
        <v>650.59</v>
      </c>
      <c r="E189" s="14" t="n">
        <v>45998</v>
      </c>
    </row>
    <row r="190" customFormat="false" ht="15" hidden="false" customHeight="false" outlineLevel="0" collapsed="false">
      <c r="A190" s="0" t="s">
        <v>4613</v>
      </c>
      <c r="B190" s="0" t="s">
        <v>270</v>
      </c>
      <c r="C190" s="14" t="n">
        <v>45666</v>
      </c>
      <c r="D190" s="0" t="n">
        <v>14441.58</v>
      </c>
      <c r="E190" s="14" t="n">
        <v>45681</v>
      </c>
    </row>
    <row r="191" customFormat="false" ht="15" hidden="false" customHeight="false" outlineLevel="0" collapsed="false">
      <c r="A191" s="0" t="s">
        <v>4614</v>
      </c>
      <c r="B191" s="0" t="s">
        <v>220</v>
      </c>
      <c r="C191" s="14" t="n">
        <v>45938</v>
      </c>
      <c r="D191" s="0" t="n">
        <v>8138.88</v>
      </c>
      <c r="E191" s="14" t="n">
        <v>45953</v>
      </c>
    </row>
    <row r="192" customFormat="false" ht="15" hidden="false" customHeight="false" outlineLevel="0" collapsed="false">
      <c r="A192" s="0" t="s">
        <v>4615</v>
      </c>
      <c r="B192" s="0" t="s">
        <v>267</v>
      </c>
      <c r="C192" s="14" t="n">
        <v>45789</v>
      </c>
      <c r="D192" s="0" t="n">
        <v>5632.06</v>
      </c>
      <c r="E192" s="14" t="n">
        <v>45804</v>
      </c>
    </row>
    <row r="193" customFormat="false" ht="15" hidden="false" customHeight="false" outlineLevel="0" collapsed="false">
      <c r="A193" s="0" t="s">
        <v>4616</v>
      </c>
      <c r="B193" s="0" t="s">
        <v>234</v>
      </c>
      <c r="C193" s="14" t="n">
        <v>45736</v>
      </c>
      <c r="D193" s="0" t="n">
        <v>3931.49</v>
      </c>
      <c r="E193" s="14" t="n">
        <v>45781</v>
      </c>
    </row>
    <row r="194" customFormat="false" ht="15" hidden="false" customHeight="false" outlineLevel="0" collapsed="false">
      <c r="A194" s="0" t="s">
        <v>4617</v>
      </c>
      <c r="B194" s="0" t="s">
        <v>217</v>
      </c>
      <c r="C194" s="14" t="n">
        <v>45891</v>
      </c>
      <c r="D194" s="0" t="n">
        <v>1675.46</v>
      </c>
      <c r="E194" s="14" t="n">
        <v>45921</v>
      </c>
    </row>
    <row r="195" customFormat="false" ht="15" hidden="false" customHeight="false" outlineLevel="0" collapsed="false">
      <c r="A195" s="0" t="s">
        <v>4618</v>
      </c>
      <c r="B195" s="0" t="s">
        <v>253</v>
      </c>
      <c r="C195" s="14" t="n">
        <v>45993</v>
      </c>
      <c r="D195" s="0" t="n">
        <v>4788.54</v>
      </c>
      <c r="E195" s="14" t="n">
        <v>46053</v>
      </c>
    </row>
    <row r="196" customFormat="false" ht="15" hidden="false" customHeight="false" outlineLevel="0" collapsed="false">
      <c r="A196" s="0" t="s">
        <v>4619</v>
      </c>
      <c r="B196" s="0" t="s">
        <v>265</v>
      </c>
      <c r="C196" s="14" t="n">
        <v>45789</v>
      </c>
      <c r="D196" s="0" t="n">
        <v>1283.11</v>
      </c>
      <c r="E196" s="14" t="n">
        <v>45849</v>
      </c>
    </row>
    <row r="197" customFormat="false" ht="15" hidden="false" customHeight="false" outlineLevel="0" collapsed="false">
      <c r="A197" s="0" t="s">
        <v>4620</v>
      </c>
      <c r="B197" s="0" t="s">
        <v>226</v>
      </c>
      <c r="C197" s="14" t="n">
        <v>45885</v>
      </c>
      <c r="D197" s="0" t="n">
        <v>5545.72</v>
      </c>
      <c r="E197" s="14" t="n">
        <v>45945</v>
      </c>
    </row>
    <row r="198" customFormat="false" ht="15" hidden="false" customHeight="false" outlineLevel="0" collapsed="false">
      <c r="A198" s="0" t="s">
        <v>4621</v>
      </c>
      <c r="B198" s="0" t="s">
        <v>259</v>
      </c>
      <c r="C198" s="14" t="n">
        <v>46020</v>
      </c>
      <c r="D198" s="0" t="n">
        <v>2989.16</v>
      </c>
      <c r="E198" s="14" t="n">
        <v>46080</v>
      </c>
    </row>
    <row r="199" customFormat="false" ht="15" hidden="false" customHeight="false" outlineLevel="0" collapsed="false">
      <c r="A199" s="0" t="s">
        <v>4622</v>
      </c>
      <c r="B199" s="0" t="s">
        <v>259</v>
      </c>
      <c r="C199" s="14" t="n">
        <v>45704</v>
      </c>
      <c r="D199" s="0" t="n">
        <v>3613.89</v>
      </c>
      <c r="E199" s="14" t="n">
        <v>45764</v>
      </c>
    </row>
    <row r="200" customFormat="false" ht="15" hidden="false" customHeight="false" outlineLevel="0" collapsed="false">
      <c r="A200" s="0" t="s">
        <v>4623</v>
      </c>
      <c r="B200" s="0" t="s">
        <v>222</v>
      </c>
      <c r="C200" s="14" t="n">
        <v>46189</v>
      </c>
      <c r="D200" s="0" t="n">
        <v>8770.73</v>
      </c>
      <c r="E200" s="14" t="n">
        <v>46204</v>
      </c>
    </row>
    <row r="201" customFormat="false" ht="15" hidden="false" customHeight="false" outlineLevel="0" collapsed="false">
      <c r="A201" s="0" t="s">
        <v>4624</v>
      </c>
      <c r="B201" s="0" t="s">
        <v>245</v>
      </c>
      <c r="C201" s="14" t="n">
        <v>45694</v>
      </c>
      <c r="D201" s="0" t="n">
        <v>5089.31</v>
      </c>
      <c r="E201" s="14" t="n">
        <v>45709</v>
      </c>
    </row>
    <row r="202" customFormat="false" ht="15" hidden="false" customHeight="false" outlineLevel="0" collapsed="false">
      <c r="A202" s="0" t="s">
        <v>4625</v>
      </c>
      <c r="B202" s="0" t="s">
        <v>259</v>
      </c>
      <c r="C202" s="14" t="n">
        <v>45944</v>
      </c>
      <c r="D202" s="0" t="n">
        <v>1860.95</v>
      </c>
      <c r="E202" s="14" t="n">
        <v>46004</v>
      </c>
    </row>
    <row r="203" customFormat="false" ht="15" hidden="false" customHeight="false" outlineLevel="0" collapsed="false">
      <c r="A203" s="0" t="s">
        <v>4626</v>
      </c>
      <c r="B203" s="0" t="s">
        <v>234</v>
      </c>
      <c r="C203" s="14" t="n">
        <v>45934</v>
      </c>
      <c r="D203" s="0" t="n">
        <v>9808.37</v>
      </c>
      <c r="E203" s="14" t="n">
        <v>45979</v>
      </c>
    </row>
    <row r="204" customFormat="false" ht="15" hidden="false" customHeight="false" outlineLevel="0" collapsed="false">
      <c r="A204" s="0" t="s">
        <v>4627</v>
      </c>
      <c r="B204" s="0" t="s">
        <v>270</v>
      </c>
      <c r="C204" s="14" t="n">
        <v>46196</v>
      </c>
      <c r="D204" s="0" t="n">
        <v>834.04</v>
      </c>
      <c r="E204" s="14" t="n">
        <v>46211</v>
      </c>
    </row>
    <row r="205" customFormat="false" ht="15" hidden="false" customHeight="false" outlineLevel="0" collapsed="false">
      <c r="A205" s="0" t="s">
        <v>4628</v>
      </c>
      <c r="B205" s="0" t="s">
        <v>232</v>
      </c>
      <c r="C205" s="14" t="n">
        <v>45960</v>
      </c>
      <c r="D205" s="0" t="n">
        <v>1305.87</v>
      </c>
      <c r="E205" s="14" t="n">
        <v>45990</v>
      </c>
    </row>
    <row r="206" customFormat="false" ht="15" hidden="false" customHeight="false" outlineLevel="0" collapsed="false">
      <c r="A206" s="0" t="s">
        <v>4629</v>
      </c>
      <c r="B206" s="0" t="s">
        <v>208</v>
      </c>
      <c r="C206" s="14" t="n">
        <v>45870</v>
      </c>
      <c r="D206" s="0" t="n">
        <v>5919.46</v>
      </c>
      <c r="E206" s="14" t="n">
        <v>45915</v>
      </c>
    </row>
    <row r="207" customFormat="false" ht="15" hidden="false" customHeight="false" outlineLevel="0" collapsed="false">
      <c r="A207" s="0" t="s">
        <v>4630</v>
      </c>
      <c r="B207" s="0" t="s">
        <v>232</v>
      </c>
      <c r="C207" s="14" t="n">
        <v>45914</v>
      </c>
      <c r="D207" s="0" t="n">
        <v>318.17</v>
      </c>
      <c r="E207" s="14" t="n">
        <v>45944</v>
      </c>
    </row>
    <row r="208" customFormat="false" ht="15" hidden="false" customHeight="false" outlineLevel="0" collapsed="false">
      <c r="A208" s="0" t="s">
        <v>4631</v>
      </c>
      <c r="B208" s="0" t="s">
        <v>245</v>
      </c>
      <c r="C208" s="14" t="n">
        <v>46004</v>
      </c>
      <c r="D208" s="0" t="n">
        <v>4186.99</v>
      </c>
      <c r="E208" s="14" t="n">
        <v>46019</v>
      </c>
    </row>
    <row r="209" customFormat="false" ht="15" hidden="false" customHeight="false" outlineLevel="0" collapsed="false">
      <c r="A209" s="0" t="s">
        <v>4632</v>
      </c>
      <c r="B209" s="0" t="s">
        <v>259</v>
      </c>
      <c r="C209" s="14" t="n">
        <v>46192</v>
      </c>
      <c r="D209" s="0" t="n">
        <v>753.14</v>
      </c>
      <c r="E209" s="14" t="n">
        <v>46252</v>
      </c>
    </row>
    <row r="210" customFormat="false" ht="15" hidden="false" customHeight="false" outlineLevel="0" collapsed="false">
      <c r="A210" s="0" t="s">
        <v>4633</v>
      </c>
      <c r="B210" s="0" t="s">
        <v>214</v>
      </c>
      <c r="C210" s="14" t="n">
        <v>45796</v>
      </c>
      <c r="D210" s="0" t="n">
        <v>672.7</v>
      </c>
      <c r="E210" s="14" t="n">
        <v>45841</v>
      </c>
    </row>
    <row r="211" customFormat="false" ht="15" hidden="false" customHeight="false" outlineLevel="0" collapsed="false">
      <c r="A211" s="0" t="s">
        <v>4634</v>
      </c>
      <c r="B211" s="0" t="s">
        <v>249</v>
      </c>
      <c r="C211" s="14" t="n">
        <v>45666</v>
      </c>
      <c r="D211" s="0" t="n">
        <v>6725.63</v>
      </c>
      <c r="E211" s="14" t="n">
        <v>45681</v>
      </c>
    </row>
    <row r="212" customFormat="false" ht="15" hidden="false" customHeight="false" outlineLevel="0" collapsed="false">
      <c r="A212" s="0" t="s">
        <v>4635</v>
      </c>
      <c r="B212" s="0" t="s">
        <v>268</v>
      </c>
      <c r="C212" s="14" t="n">
        <v>46087</v>
      </c>
      <c r="D212" s="0" t="n">
        <v>576.63</v>
      </c>
      <c r="E212" s="14" t="n">
        <v>46147</v>
      </c>
    </row>
    <row r="213" customFormat="false" ht="15" hidden="false" customHeight="false" outlineLevel="0" collapsed="false">
      <c r="A213" s="0" t="s">
        <v>4636</v>
      </c>
      <c r="B213" s="0" t="s">
        <v>220</v>
      </c>
      <c r="C213" s="14" t="n">
        <v>45845</v>
      </c>
      <c r="D213" s="0" t="n">
        <v>410.31</v>
      </c>
      <c r="E213" s="14" t="n">
        <v>45860</v>
      </c>
    </row>
    <row r="214" customFormat="false" ht="15" hidden="false" customHeight="false" outlineLevel="0" collapsed="false">
      <c r="A214" s="0" t="s">
        <v>4637</v>
      </c>
      <c r="B214" s="0" t="s">
        <v>251</v>
      </c>
      <c r="C214" s="14" t="n">
        <v>46057</v>
      </c>
      <c r="D214" s="0" t="n">
        <v>2023.11</v>
      </c>
      <c r="E214" s="14" t="n">
        <v>46087</v>
      </c>
    </row>
    <row r="215" customFormat="false" ht="15" hidden="false" customHeight="false" outlineLevel="0" collapsed="false">
      <c r="A215" s="0" t="s">
        <v>4638</v>
      </c>
      <c r="B215" s="0" t="s">
        <v>255</v>
      </c>
      <c r="C215" s="14" t="n">
        <v>46000</v>
      </c>
      <c r="D215" s="0" t="n">
        <v>882.81</v>
      </c>
      <c r="E215" s="14" t="n">
        <v>46030</v>
      </c>
    </row>
    <row r="216" customFormat="false" ht="15" hidden="false" customHeight="false" outlineLevel="0" collapsed="false">
      <c r="A216" s="0" t="s">
        <v>4639</v>
      </c>
      <c r="B216" s="0" t="s">
        <v>234</v>
      </c>
      <c r="C216" s="14" t="n">
        <v>46078</v>
      </c>
      <c r="D216" s="0" t="n">
        <v>6647.76</v>
      </c>
      <c r="E216" s="14" t="n">
        <v>46123</v>
      </c>
    </row>
    <row r="217" customFormat="false" ht="15" hidden="false" customHeight="false" outlineLevel="0" collapsed="false">
      <c r="A217" s="0" t="s">
        <v>4640</v>
      </c>
      <c r="B217" s="0" t="s">
        <v>236</v>
      </c>
      <c r="C217" s="14" t="n">
        <v>46058</v>
      </c>
      <c r="D217" s="0" t="n">
        <v>1948.03</v>
      </c>
      <c r="E217" s="14" t="n">
        <v>46118</v>
      </c>
    </row>
    <row r="218" customFormat="false" ht="15" hidden="false" customHeight="false" outlineLevel="0" collapsed="false">
      <c r="A218" s="0" t="s">
        <v>4641</v>
      </c>
      <c r="B218" s="0" t="s">
        <v>211</v>
      </c>
      <c r="C218" s="14" t="n">
        <v>45839</v>
      </c>
      <c r="D218" s="0" t="n">
        <v>13454.72</v>
      </c>
      <c r="E218" s="14" t="n">
        <v>45854</v>
      </c>
    </row>
    <row r="219" customFormat="false" ht="15" hidden="false" customHeight="false" outlineLevel="0" collapsed="false">
      <c r="A219" s="0" t="s">
        <v>4642</v>
      </c>
      <c r="B219" s="0" t="s">
        <v>243</v>
      </c>
      <c r="C219" s="14" t="n">
        <v>45682</v>
      </c>
      <c r="D219" s="0" t="n">
        <v>397.84</v>
      </c>
      <c r="E219" s="14" t="n">
        <v>45712</v>
      </c>
    </row>
    <row r="220" customFormat="false" ht="15" hidden="false" customHeight="false" outlineLevel="0" collapsed="false">
      <c r="A220" s="0" t="s">
        <v>4643</v>
      </c>
      <c r="B220" s="0" t="s">
        <v>261</v>
      </c>
      <c r="C220" s="14" t="n">
        <v>45955</v>
      </c>
      <c r="D220" s="0" t="n">
        <v>2005.26</v>
      </c>
      <c r="E220" s="14" t="n">
        <v>45970</v>
      </c>
    </row>
    <row r="221" customFormat="false" ht="15" hidden="false" customHeight="false" outlineLevel="0" collapsed="false">
      <c r="A221" s="0" t="s">
        <v>4644</v>
      </c>
      <c r="B221" s="0" t="s">
        <v>255</v>
      </c>
      <c r="C221" s="14" t="n">
        <v>46101</v>
      </c>
      <c r="D221" s="0" t="n">
        <v>5191.06</v>
      </c>
      <c r="E221" s="14" t="n">
        <v>46131</v>
      </c>
    </row>
    <row r="222" customFormat="false" ht="15" hidden="false" customHeight="false" outlineLevel="0" collapsed="false">
      <c r="A222" s="0" t="s">
        <v>4645</v>
      </c>
      <c r="B222" s="0" t="s">
        <v>268</v>
      </c>
      <c r="C222" s="14" t="n">
        <v>45753</v>
      </c>
      <c r="D222" s="0" t="n">
        <v>2721.67</v>
      </c>
      <c r="E222" s="14" t="n">
        <v>45813</v>
      </c>
    </row>
    <row r="223" customFormat="false" ht="15" hidden="false" customHeight="false" outlineLevel="0" collapsed="false">
      <c r="A223" s="0" t="s">
        <v>4646</v>
      </c>
      <c r="B223" s="0" t="s">
        <v>239</v>
      </c>
      <c r="C223" s="14" t="n">
        <v>46082</v>
      </c>
      <c r="D223" s="0" t="n">
        <v>6806.9</v>
      </c>
      <c r="E223" s="14" t="n">
        <v>46112</v>
      </c>
    </row>
    <row r="224" customFormat="false" ht="15" hidden="false" customHeight="false" outlineLevel="0" collapsed="false">
      <c r="A224" s="0" t="s">
        <v>4647</v>
      </c>
      <c r="B224" s="0" t="s">
        <v>263</v>
      </c>
      <c r="C224" s="14" t="n">
        <v>45911</v>
      </c>
      <c r="D224" s="0" t="n">
        <v>1083.03</v>
      </c>
      <c r="E224" s="14" t="n">
        <v>45971</v>
      </c>
    </row>
    <row r="225" customFormat="false" ht="15" hidden="false" customHeight="false" outlineLevel="0" collapsed="false">
      <c r="A225" s="0" t="s">
        <v>4648</v>
      </c>
      <c r="B225" s="0" t="s">
        <v>211</v>
      </c>
      <c r="C225" s="14" t="n">
        <v>46036</v>
      </c>
      <c r="D225" s="0" t="n">
        <v>4378.8</v>
      </c>
      <c r="E225" s="14" t="n">
        <v>46051</v>
      </c>
    </row>
    <row r="226" customFormat="false" ht="15" hidden="false" customHeight="false" outlineLevel="0" collapsed="false">
      <c r="A226" s="0" t="s">
        <v>4649</v>
      </c>
      <c r="B226" s="0" t="s">
        <v>257</v>
      </c>
      <c r="C226" s="14" t="n">
        <v>46002</v>
      </c>
      <c r="D226" s="0" t="n">
        <v>8987.97</v>
      </c>
      <c r="E226" s="14" t="n">
        <v>46062</v>
      </c>
    </row>
    <row r="227" customFormat="false" ht="15" hidden="false" customHeight="false" outlineLevel="0" collapsed="false">
      <c r="A227" s="0" t="s">
        <v>4650</v>
      </c>
      <c r="B227" s="0" t="s">
        <v>267</v>
      </c>
      <c r="C227" s="14" t="n">
        <v>46100</v>
      </c>
      <c r="D227" s="0" t="n">
        <v>14949.45</v>
      </c>
      <c r="E227" s="14" t="n">
        <v>46115</v>
      </c>
    </row>
    <row r="228" customFormat="false" ht="15" hidden="false" customHeight="false" outlineLevel="0" collapsed="false">
      <c r="A228" s="0" t="s">
        <v>4651</v>
      </c>
      <c r="B228" s="0" t="s">
        <v>261</v>
      </c>
      <c r="C228" s="14" t="n">
        <v>45692</v>
      </c>
      <c r="D228" s="0" t="n">
        <v>2225.7</v>
      </c>
      <c r="E228" s="14" t="n">
        <v>45707</v>
      </c>
    </row>
    <row r="229" customFormat="false" ht="15" hidden="false" customHeight="false" outlineLevel="0" collapsed="false">
      <c r="A229" s="0" t="s">
        <v>4652</v>
      </c>
      <c r="B229" s="0" t="s">
        <v>232</v>
      </c>
      <c r="C229" s="14" t="n">
        <v>46081</v>
      </c>
      <c r="D229" s="0" t="n">
        <v>1125.91</v>
      </c>
      <c r="E229" s="14" t="n">
        <v>46111</v>
      </c>
    </row>
    <row r="230" customFormat="false" ht="15" hidden="false" customHeight="false" outlineLevel="0" collapsed="false">
      <c r="A230" s="0" t="s">
        <v>4653</v>
      </c>
      <c r="B230" s="0" t="s">
        <v>270</v>
      </c>
      <c r="C230" s="14" t="n">
        <v>45907</v>
      </c>
      <c r="D230" s="0" t="n">
        <v>3138.47</v>
      </c>
      <c r="E230" s="14" t="n">
        <v>45922</v>
      </c>
    </row>
    <row r="231" customFormat="false" ht="15" hidden="false" customHeight="false" outlineLevel="0" collapsed="false">
      <c r="A231" s="0" t="s">
        <v>4654</v>
      </c>
      <c r="B231" s="0" t="s">
        <v>268</v>
      </c>
      <c r="C231" s="14" t="n">
        <v>45817</v>
      </c>
      <c r="D231" s="0" t="n">
        <v>3349.88</v>
      </c>
      <c r="E231" s="14" t="n">
        <v>45877</v>
      </c>
    </row>
    <row r="232" customFormat="false" ht="15" hidden="false" customHeight="false" outlineLevel="0" collapsed="false">
      <c r="A232" s="0" t="s">
        <v>4655</v>
      </c>
      <c r="B232" s="0" t="s">
        <v>247</v>
      </c>
      <c r="C232" s="14" t="n">
        <v>45681</v>
      </c>
      <c r="D232" s="0" t="n">
        <v>3302.54</v>
      </c>
      <c r="E232" s="14" t="n">
        <v>45696</v>
      </c>
    </row>
    <row r="233" customFormat="false" ht="15" hidden="false" customHeight="false" outlineLevel="0" collapsed="false">
      <c r="A233" s="0" t="s">
        <v>4656</v>
      </c>
      <c r="B233" s="0" t="s">
        <v>251</v>
      </c>
      <c r="C233" s="14" t="n">
        <v>45766</v>
      </c>
      <c r="D233" s="0" t="n">
        <v>346.91</v>
      </c>
      <c r="E233" s="14" t="n">
        <v>45796</v>
      </c>
    </row>
    <row r="234" customFormat="false" ht="15" hidden="false" customHeight="false" outlineLevel="0" collapsed="false">
      <c r="A234" s="0" t="s">
        <v>4657</v>
      </c>
      <c r="B234" s="0" t="s">
        <v>226</v>
      </c>
      <c r="C234" s="14" t="n">
        <v>45680</v>
      </c>
      <c r="D234" s="0" t="n">
        <v>6811</v>
      </c>
      <c r="E234" s="14" t="n">
        <v>45740</v>
      </c>
    </row>
    <row r="235" customFormat="false" ht="15" hidden="false" customHeight="false" outlineLevel="0" collapsed="false">
      <c r="A235" s="0" t="s">
        <v>4658</v>
      </c>
      <c r="B235" s="0" t="s">
        <v>236</v>
      </c>
      <c r="C235" s="14" t="n">
        <v>46166</v>
      </c>
      <c r="D235" s="0" t="n">
        <v>1186.01</v>
      </c>
      <c r="E235" s="14" t="n">
        <v>46226</v>
      </c>
    </row>
    <row r="236" customFormat="false" ht="15" hidden="false" customHeight="false" outlineLevel="0" collapsed="false">
      <c r="A236" s="0" t="s">
        <v>4659</v>
      </c>
      <c r="B236" s="0" t="s">
        <v>270</v>
      </c>
      <c r="C236" s="14" t="n">
        <v>45938</v>
      </c>
      <c r="D236" s="0" t="n">
        <v>713.03</v>
      </c>
      <c r="E236" s="14" t="n">
        <v>45953</v>
      </c>
    </row>
    <row r="237" customFormat="false" ht="15" hidden="false" customHeight="false" outlineLevel="0" collapsed="false">
      <c r="A237" s="0" t="s">
        <v>4660</v>
      </c>
      <c r="B237" s="0" t="s">
        <v>257</v>
      </c>
      <c r="C237" s="14" t="n">
        <v>46197</v>
      </c>
      <c r="D237" s="0" t="n">
        <v>3693.27</v>
      </c>
      <c r="E237" s="14" t="n">
        <v>46257</v>
      </c>
    </row>
    <row r="238" customFormat="false" ht="15" hidden="false" customHeight="false" outlineLevel="0" collapsed="false">
      <c r="A238" s="0" t="s">
        <v>4661</v>
      </c>
      <c r="B238" s="0" t="s">
        <v>222</v>
      </c>
      <c r="C238" s="14" t="n">
        <v>45953</v>
      </c>
      <c r="D238" s="0" t="n">
        <v>1811.75</v>
      </c>
      <c r="E238" s="14" t="n">
        <v>45968</v>
      </c>
    </row>
    <row r="239" customFormat="false" ht="15" hidden="false" customHeight="false" outlineLevel="0" collapsed="false">
      <c r="A239" s="0" t="s">
        <v>4662</v>
      </c>
      <c r="B239" s="0" t="s">
        <v>255</v>
      </c>
      <c r="C239" s="14" t="n">
        <v>45796</v>
      </c>
      <c r="D239" s="0" t="n">
        <v>2133.93</v>
      </c>
      <c r="E239" s="14" t="n">
        <v>45826</v>
      </c>
    </row>
    <row r="240" customFormat="false" ht="15" hidden="false" customHeight="false" outlineLevel="0" collapsed="false">
      <c r="A240" s="0" t="s">
        <v>4663</v>
      </c>
      <c r="B240" s="0" t="s">
        <v>259</v>
      </c>
      <c r="C240" s="14" t="n">
        <v>46068</v>
      </c>
      <c r="D240" s="0" t="n">
        <v>2390.69</v>
      </c>
      <c r="E240" s="14" t="n">
        <v>46128</v>
      </c>
    </row>
    <row r="241" customFormat="false" ht="15" hidden="false" customHeight="false" outlineLevel="0" collapsed="false">
      <c r="A241" s="0" t="s">
        <v>4664</v>
      </c>
      <c r="B241" s="0" t="s">
        <v>268</v>
      </c>
      <c r="C241" s="14" t="n">
        <v>45762</v>
      </c>
      <c r="D241" s="0" t="n">
        <v>1478.27</v>
      </c>
      <c r="E241" s="14" t="n">
        <v>45822</v>
      </c>
    </row>
    <row r="242" customFormat="false" ht="15" hidden="false" customHeight="false" outlineLevel="0" collapsed="false">
      <c r="A242" s="0" t="s">
        <v>4665</v>
      </c>
      <c r="B242" s="0" t="s">
        <v>211</v>
      </c>
      <c r="C242" s="14" t="n">
        <v>45852</v>
      </c>
      <c r="D242" s="0" t="n">
        <v>951.67</v>
      </c>
      <c r="E242" s="14" t="n">
        <v>45867</v>
      </c>
    </row>
    <row r="243" customFormat="false" ht="15" hidden="false" customHeight="false" outlineLevel="0" collapsed="false">
      <c r="A243" s="0" t="s">
        <v>4666</v>
      </c>
      <c r="B243" s="0" t="s">
        <v>228</v>
      </c>
      <c r="C243" s="14" t="n">
        <v>46083</v>
      </c>
      <c r="D243" s="0" t="n">
        <v>4785.44</v>
      </c>
      <c r="E243" s="14" t="n">
        <v>46128</v>
      </c>
    </row>
    <row r="244" customFormat="false" ht="15" hidden="false" customHeight="false" outlineLevel="0" collapsed="false">
      <c r="A244" s="0" t="s">
        <v>4667</v>
      </c>
      <c r="B244" s="0" t="s">
        <v>270</v>
      </c>
      <c r="C244" s="14" t="n">
        <v>46129</v>
      </c>
      <c r="D244" s="0" t="n">
        <v>4420.51</v>
      </c>
      <c r="E244" s="14" t="n">
        <v>46144</v>
      </c>
    </row>
    <row r="245" customFormat="false" ht="15" hidden="false" customHeight="false" outlineLevel="0" collapsed="false">
      <c r="A245" s="0" t="s">
        <v>4668</v>
      </c>
      <c r="B245" s="0" t="s">
        <v>224</v>
      </c>
      <c r="C245" s="14" t="n">
        <v>45838</v>
      </c>
      <c r="D245" s="0" t="n">
        <v>2086.28</v>
      </c>
      <c r="E245" s="14" t="n">
        <v>45868</v>
      </c>
    </row>
    <row r="246" customFormat="false" ht="15" hidden="false" customHeight="false" outlineLevel="0" collapsed="false">
      <c r="A246" s="0" t="s">
        <v>4669</v>
      </c>
      <c r="B246" s="0" t="s">
        <v>261</v>
      </c>
      <c r="C246" s="14" t="n">
        <v>45725</v>
      </c>
      <c r="D246" s="0" t="n">
        <v>21829.68</v>
      </c>
      <c r="E246" s="14" t="n">
        <v>45740</v>
      </c>
    </row>
    <row r="247" customFormat="false" ht="15" hidden="false" customHeight="false" outlineLevel="0" collapsed="false">
      <c r="A247" s="0" t="s">
        <v>4670</v>
      </c>
      <c r="B247" s="0" t="s">
        <v>228</v>
      </c>
      <c r="C247" s="14" t="n">
        <v>45858</v>
      </c>
      <c r="D247" s="0" t="n">
        <v>10564.24</v>
      </c>
      <c r="E247" s="14" t="n">
        <v>45903</v>
      </c>
    </row>
    <row r="248" customFormat="false" ht="15" hidden="false" customHeight="false" outlineLevel="0" collapsed="false">
      <c r="A248" s="0" t="s">
        <v>4671</v>
      </c>
      <c r="B248" s="0" t="s">
        <v>228</v>
      </c>
      <c r="C248" s="14" t="n">
        <v>46142</v>
      </c>
      <c r="D248" s="0" t="n">
        <v>1103.66</v>
      </c>
      <c r="E248" s="14" t="n">
        <v>46187</v>
      </c>
    </row>
    <row r="249" customFormat="false" ht="15" hidden="false" customHeight="false" outlineLevel="0" collapsed="false">
      <c r="A249" s="0" t="s">
        <v>4672</v>
      </c>
      <c r="B249" s="0" t="s">
        <v>249</v>
      </c>
      <c r="C249" s="14" t="n">
        <v>46063</v>
      </c>
      <c r="D249" s="0" t="n">
        <v>3351.82</v>
      </c>
      <c r="E249" s="14" t="n">
        <v>46078</v>
      </c>
    </row>
    <row r="250" customFormat="false" ht="15" hidden="false" customHeight="false" outlineLevel="0" collapsed="false">
      <c r="A250" s="0" t="s">
        <v>4673</v>
      </c>
      <c r="B250" s="0" t="s">
        <v>259</v>
      </c>
      <c r="C250" s="14" t="n">
        <v>46145</v>
      </c>
      <c r="D250" s="0" t="n">
        <v>693.6</v>
      </c>
      <c r="E250" s="14" t="n">
        <v>46205</v>
      </c>
    </row>
    <row r="251" customFormat="false" ht="15" hidden="false" customHeight="false" outlineLevel="0" collapsed="false">
      <c r="A251" s="0" t="s">
        <v>4674</v>
      </c>
      <c r="B251" s="0" t="s">
        <v>247</v>
      </c>
      <c r="C251" s="14" t="n">
        <v>45868</v>
      </c>
      <c r="D251" s="0" t="n">
        <v>5622.05</v>
      </c>
      <c r="E251" s="14" t="n">
        <v>45883</v>
      </c>
    </row>
    <row r="252" customFormat="false" ht="15" hidden="false" customHeight="false" outlineLevel="0" collapsed="false">
      <c r="A252" s="0" t="s">
        <v>4675</v>
      </c>
      <c r="B252" s="0" t="s">
        <v>211</v>
      </c>
      <c r="C252" s="14" t="n">
        <v>46188</v>
      </c>
      <c r="D252" s="0" t="n">
        <v>95.7</v>
      </c>
      <c r="E252" s="14" t="n">
        <v>46203</v>
      </c>
    </row>
    <row r="253" customFormat="false" ht="15" hidden="false" customHeight="false" outlineLevel="0" collapsed="false">
      <c r="A253" s="0" t="s">
        <v>4676</v>
      </c>
      <c r="B253" s="0" t="s">
        <v>226</v>
      </c>
      <c r="C253" s="14" t="n">
        <v>45928</v>
      </c>
      <c r="D253" s="0" t="n">
        <v>1015.03</v>
      </c>
      <c r="E253" s="14" t="n">
        <v>45988</v>
      </c>
    </row>
    <row r="254" customFormat="false" ht="15" hidden="false" customHeight="false" outlineLevel="0" collapsed="false">
      <c r="A254" s="0" t="s">
        <v>4677</v>
      </c>
      <c r="B254" s="0" t="s">
        <v>222</v>
      </c>
      <c r="C254" s="14" t="n">
        <v>45929</v>
      </c>
      <c r="D254" s="0" t="n">
        <v>1106.15</v>
      </c>
      <c r="E254" s="14" t="n">
        <v>45944</v>
      </c>
    </row>
    <row r="255" customFormat="false" ht="15" hidden="false" customHeight="false" outlineLevel="0" collapsed="false">
      <c r="A255" s="0" t="s">
        <v>4678</v>
      </c>
      <c r="B255" s="0" t="s">
        <v>265</v>
      </c>
      <c r="C255" s="14" t="n">
        <v>46161</v>
      </c>
      <c r="D255" s="0" t="n">
        <v>868.28</v>
      </c>
      <c r="E255" s="14" t="n">
        <v>46221</v>
      </c>
    </row>
    <row r="256" customFormat="false" ht="15" hidden="false" customHeight="false" outlineLevel="0" collapsed="false">
      <c r="A256" s="0" t="s">
        <v>4679</v>
      </c>
      <c r="B256" s="0" t="s">
        <v>234</v>
      </c>
      <c r="C256" s="14" t="n">
        <v>45941</v>
      </c>
      <c r="D256" s="0" t="n">
        <v>1314.94</v>
      </c>
      <c r="E256" s="14" t="n">
        <v>45986</v>
      </c>
    </row>
    <row r="257" customFormat="false" ht="15" hidden="false" customHeight="false" outlineLevel="0" collapsed="false">
      <c r="A257" s="0" t="s">
        <v>4680</v>
      </c>
      <c r="B257" s="0" t="s">
        <v>251</v>
      </c>
      <c r="C257" s="14" t="n">
        <v>46094</v>
      </c>
      <c r="D257" s="0" t="n">
        <v>1978.9</v>
      </c>
      <c r="E257" s="14" t="n">
        <v>46124</v>
      </c>
    </row>
    <row r="258" customFormat="false" ht="15" hidden="false" customHeight="false" outlineLevel="0" collapsed="false">
      <c r="A258" s="0" t="s">
        <v>4681</v>
      </c>
      <c r="B258" s="0" t="s">
        <v>214</v>
      </c>
      <c r="C258" s="14" t="n">
        <v>46054</v>
      </c>
      <c r="D258" s="0" t="n">
        <v>11178.22</v>
      </c>
      <c r="E258" s="14" t="n">
        <v>46099</v>
      </c>
    </row>
    <row r="259" customFormat="false" ht="15" hidden="false" customHeight="false" outlineLevel="0" collapsed="false">
      <c r="A259" s="0" t="s">
        <v>4682</v>
      </c>
      <c r="B259" s="0" t="s">
        <v>220</v>
      </c>
      <c r="C259" s="14" t="n">
        <v>45701</v>
      </c>
      <c r="D259" s="0" t="n">
        <v>1371.8</v>
      </c>
      <c r="E259" s="14" t="n">
        <v>45716</v>
      </c>
    </row>
    <row r="260" customFormat="false" ht="15" hidden="false" customHeight="false" outlineLevel="0" collapsed="false">
      <c r="A260" s="0" t="s">
        <v>4683</v>
      </c>
      <c r="B260" s="0" t="s">
        <v>257</v>
      </c>
      <c r="C260" s="14" t="n">
        <v>45986</v>
      </c>
      <c r="D260" s="0" t="n">
        <v>7064.1</v>
      </c>
      <c r="E260" s="14" t="n">
        <v>46046</v>
      </c>
    </row>
    <row r="261" customFormat="false" ht="15" hidden="false" customHeight="false" outlineLevel="0" collapsed="false">
      <c r="A261" s="0" t="s">
        <v>4684</v>
      </c>
      <c r="B261" s="0" t="s">
        <v>217</v>
      </c>
      <c r="C261" s="14" t="n">
        <v>46106</v>
      </c>
      <c r="D261" s="0" t="n">
        <v>631.11</v>
      </c>
      <c r="E261" s="14" t="n">
        <v>46136</v>
      </c>
    </row>
    <row r="262" customFormat="false" ht="15" hidden="false" customHeight="false" outlineLevel="0" collapsed="false">
      <c r="A262" s="0" t="s">
        <v>4685</v>
      </c>
      <c r="B262" s="0" t="s">
        <v>222</v>
      </c>
      <c r="C262" s="14" t="n">
        <v>45955</v>
      </c>
      <c r="D262" s="0" t="n">
        <v>3621.74</v>
      </c>
      <c r="E262" s="14" t="n">
        <v>45970</v>
      </c>
    </row>
    <row r="263" customFormat="false" ht="15" hidden="false" customHeight="false" outlineLevel="0" collapsed="false">
      <c r="A263" s="0" t="s">
        <v>4686</v>
      </c>
      <c r="B263" s="0" t="s">
        <v>270</v>
      </c>
      <c r="C263" s="14" t="n">
        <v>45833</v>
      </c>
      <c r="D263" s="0" t="n">
        <v>1066.33</v>
      </c>
      <c r="E263" s="14" t="n">
        <v>45848</v>
      </c>
    </row>
    <row r="264" customFormat="false" ht="15" hidden="false" customHeight="false" outlineLevel="0" collapsed="false">
      <c r="A264" s="0" t="s">
        <v>4687</v>
      </c>
      <c r="B264" s="0" t="s">
        <v>243</v>
      </c>
      <c r="C264" s="14" t="n">
        <v>45701</v>
      </c>
      <c r="D264" s="0" t="n">
        <v>4466.52</v>
      </c>
      <c r="E264" s="14" t="n">
        <v>45731</v>
      </c>
    </row>
    <row r="265" customFormat="false" ht="15" hidden="false" customHeight="false" outlineLevel="0" collapsed="false">
      <c r="A265" s="0" t="s">
        <v>4688</v>
      </c>
      <c r="B265" s="0" t="s">
        <v>232</v>
      </c>
      <c r="C265" s="14" t="n">
        <v>46018</v>
      </c>
      <c r="D265" s="0" t="n">
        <v>11407.94</v>
      </c>
      <c r="E265" s="14" t="n">
        <v>46048</v>
      </c>
    </row>
    <row r="266" customFormat="false" ht="15" hidden="false" customHeight="false" outlineLevel="0" collapsed="false">
      <c r="A266" s="0" t="s">
        <v>4689</v>
      </c>
      <c r="B266" s="0" t="s">
        <v>243</v>
      </c>
      <c r="C266" s="14" t="n">
        <v>45825</v>
      </c>
      <c r="D266" s="0" t="n">
        <v>1511.06</v>
      </c>
      <c r="E266" s="14" t="n">
        <v>45855</v>
      </c>
    </row>
    <row r="267" customFormat="false" ht="15" hidden="false" customHeight="false" outlineLevel="0" collapsed="false">
      <c r="A267" s="0" t="s">
        <v>4690</v>
      </c>
      <c r="B267" s="0" t="s">
        <v>236</v>
      </c>
      <c r="C267" s="14" t="n">
        <v>45986</v>
      </c>
      <c r="D267" s="0" t="n">
        <v>1105.87</v>
      </c>
      <c r="E267" s="14" t="n">
        <v>46046</v>
      </c>
    </row>
    <row r="268" customFormat="false" ht="15" hidden="false" customHeight="false" outlineLevel="0" collapsed="false">
      <c r="A268" s="0" t="s">
        <v>4691</v>
      </c>
      <c r="B268" s="0" t="s">
        <v>259</v>
      </c>
      <c r="C268" s="14" t="n">
        <v>45890</v>
      </c>
      <c r="D268" s="0" t="n">
        <v>5771.14</v>
      </c>
      <c r="E268" s="14" t="n">
        <v>45950</v>
      </c>
    </row>
    <row r="269" customFormat="false" ht="15" hidden="false" customHeight="false" outlineLevel="0" collapsed="false">
      <c r="A269" s="0" t="s">
        <v>4692</v>
      </c>
      <c r="B269" s="0" t="s">
        <v>226</v>
      </c>
      <c r="C269" s="14" t="n">
        <v>46033</v>
      </c>
      <c r="D269" s="0" t="n">
        <v>5158.41</v>
      </c>
      <c r="E269" s="14" t="n">
        <v>46093</v>
      </c>
    </row>
    <row r="270" customFormat="false" ht="15" hidden="false" customHeight="false" outlineLevel="0" collapsed="false">
      <c r="A270" s="0" t="s">
        <v>4693</v>
      </c>
      <c r="B270" s="0" t="s">
        <v>214</v>
      </c>
      <c r="C270" s="14" t="n">
        <v>45849</v>
      </c>
      <c r="D270" s="0" t="n">
        <v>7321.9</v>
      </c>
      <c r="E270" s="14" t="n">
        <v>45894</v>
      </c>
    </row>
    <row r="271" customFormat="false" ht="15" hidden="false" customHeight="false" outlineLevel="0" collapsed="false">
      <c r="A271" s="0" t="s">
        <v>4694</v>
      </c>
      <c r="B271" s="0" t="s">
        <v>211</v>
      </c>
      <c r="C271" s="14" t="n">
        <v>45681</v>
      </c>
      <c r="D271" s="0" t="n">
        <v>6400.75</v>
      </c>
      <c r="E271" s="14" t="n">
        <v>45696</v>
      </c>
    </row>
    <row r="272" customFormat="false" ht="15" hidden="false" customHeight="false" outlineLevel="0" collapsed="false">
      <c r="A272" s="0" t="s">
        <v>4695</v>
      </c>
      <c r="B272" s="0" t="s">
        <v>217</v>
      </c>
      <c r="C272" s="14" t="n">
        <v>46132</v>
      </c>
      <c r="D272" s="0" t="n">
        <v>261.15</v>
      </c>
      <c r="E272" s="14" t="n">
        <v>46162</v>
      </c>
    </row>
    <row r="273" customFormat="false" ht="15" hidden="false" customHeight="false" outlineLevel="0" collapsed="false">
      <c r="A273" s="0" t="s">
        <v>4696</v>
      </c>
      <c r="B273" s="0" t="s">
        <v>270</v>
      </c>
      <c r="C273" s="14" t="n">
        <v>45850</v>
      </c>
      <c r="D273" s="0" t="n">
        <v>1021.35</v>
      </c>
      <c r="E273" s="14" t="n">
        <v>45865</v>
      </c>
    </row>
    <row r="274" customFormat="false" ht="15" hidden="false" customHeight="false" outlineLevel="0" collapsed="false">
      <c r="A274" s="0" t="s">
        <v>4697</v>
      </c>
      <c r="B274" s="0" t="s">
        <v>261</v>
      </c>
      <c r="C274" s="14" t="n">
        <v>46201</v>
      </c>
      <c r="D274" s="0" t="n">
        <v>710.23</v>
      </c>
      <c r="E274" s="14" t="n">
        <v>46216</v>
      </c>
    </row>
    <row r="275" customFormat="false" ht="15" hidden="false" customHeight="false" outlineLevel="0" collapsed="false">
      <c r="A275" s="0" t="s">
        <v>4698</v>
      </c>
      <c r="B275" s="0" t="s">
        <v>249</v>
      </c>
      <c r="C275" s="14" t="n">
        <v>45807</v>
      </c>
      <c r="D275" s="0" t="n">
        <v>506.01</v>
      </c>
      <c r="E275" s="14" t="n">
        <v>45822</v>
      </c>
    </row>
    <row r="276" customFormat="false" ht="15" hidden="false" customHeight="false" outlineLevel="0" collapsed="false">
      <c r="A276" s="0" t="s">
        <v>4699</v>
      </c>
      <c r="B276" s="0" t="s">
        <v>263</v>
      </c>
      <c r="C276" s="14" t="n">
        <v>46192</v>
      </c>
      <c r="D276" s="0" t="n">
        <v>1071.06</v>
      </c>
      <c r="E276" s="14" t="n">
        <v>46252</v>
      </c>
    </row>
    <row r="277" customFormat="false" ht="15" hidden="false" customHeight="false" outlineLevel="0" collapsed="false">
      <c r="A277" s="0" t="s">
        <v>4700</v>
      </c>
      <c r="B277" s="0" t="s">
        <v>239</v>
      </c>
      <c r="C277" s="14" t="n">
        <v>46174</v>
      </c>
      <c r="D277" s="0" t="n">
        <v>10242.53</v>
      </c>
      <c r="E277" s="14" t="n">
        <v>46204</v>
      </c>
    </row>
    <row r="278" customFormat="false" ht="15" hidden="false" customHeight="false" outlineLevel="0" collapsed="false">
      <c r="A278" s="0" t="s">
        <v>4701</v>
      </c>
      <c r="B278" s="0" t="s">
        <v>224</v>
      </c>
      <c r="C278" s="14" t="n">
        <v>45698</v>
      </c>
      <c r="D278" s="0" t="n">
        <v>3658.12</v>
      </c>
      <c r="E278" s="14" t="n">
        <v>45728</v>
      </c>
    </row>
    <row r="279" customFormat="false" ht="15" hidden="false" customHeight="false" outlineLevel="0" collapsed="false">
      <c r="A279" s="0" t="s">
        <v>4702</v>
      </c>
      <c r="B279" s="0" t="s">
        <v>228</v>
      </c>
      <c r="C279" s="14" t="n">
        <v>46005</v>
      </c>
      <c r="D279" s="0" t="n">
        <v>2604.05</v>
      </c>
      <c r="E279" s="14" t="n">
        <v>46050</v>
      </c>
    </row>
    <row r="280" customFormat="false" ht="15" hidden="false" customHeight="false" outlineLevel="0" collapsed="false">
      <c r="A280" s="0" t="s">
        <v>4703</v>
      </c>
      <c r="B280" s="0" t="s">
        <v>232</v>
      </c>
      <c r="C280" s="14" t="n">
        <v>45856</v>
      </c>
      <c r="D280" s="0" t="n">
        <v>2819.13</v>
      </c>
      <c r="E280" s="14" t="n">
        <v>45886</v>
      </c>
    </row>
    <row r="281" customFormat="false" ht="15" hidden="false" customHeight="false" outlineLevel="0" collapsed="false">
      <c r="A281" s="0" t="s">
        <v>4704</v>
      </c>
      <c r="B281" s="0" t="s">
        <v>267</v>
      </c>
      <c r="C281" s="14" t="n">
        <v>46094</v>
      </c>
      <c r="D281" s="0" t="n">
        <v>7427.02</v>
      </c>
      <c r="E281" s="14" t="n">
        <v>46109</v>
      </c>
    </row>
    <row r="282" customFormat="false" ht="15" hidden="false" customHeight="false" outlineLevel="0" collapsed="false">
      <c r="A282" s="0" t="s">
        <v>4705</v>
      </c>
      <c r="B282" s="0" t="s">
        <v>230</v>
      </c>
      <c r="C282" s="14" t="n">
        <v>46028</v>
      </c>
      <c r="D282" s="0" t="n">
        <v>1206.18</v>
      </c>
      <c r="E282" s="14" t="n">
        <v>46088</v>
      </c>
    </row>
    <row r="283" customFormat="false" ht="15" hidden="false" customHeight="false" outlineLevel="0" collapsed="false">
      <c r="A283" s="0" t="s">
        <v>4706</v>
      </c>
      <c r="B283" s="0" t="s">
        <v>247</v>
      </c>
      <c r="C283" s="14" t="n">
        <v>46177</v>
      </c>
      <c r="D283" s="0" t="n">
        <v>4124.86</v>
      </c>
      <c r="E283" s="14" t="n">
        <v>46192</v>
      </c>
    </row>
    <row r="284" customFormat="false" ht="15" hidden="false" customHeight="false" outlineLevel="0" collapsed="false">
      <c r="A284" s="0" t="s">
        <v>4707</v>
      </c>
      <c r="B284" s="0" t="s">
        <v>208</v>
      </c>
      <c r="C284" s="14" t="n">
        <v>45735</v>
      </c>
      <c r="D284" s="0" t="n">
        <v>7132.42</v>
      </c>
      <c r="E284" s="14" t="n">
        <v>45780</v>
      </c>
    </row>
    <row r="285" customFormat="false" ht="15" hidden="false" customHeight="false" outlineLevel="0" collapsed="false">
      <c r="A285" s="0" t="s">
        <v>4708</v>
      </c>
      <c r="B285" s="0" t="s">
        <v>230</v>
      </c>
      <c r="C285" s="14" t="n">
        <v>45989</v>
      </c>
      <c r="D285" s="0" t="n">
        <v>18569.06</v>
      </c>
      <c r="E285" s="14" t="n">
        <v>46049</v>
      </c>
    </row>
    <row r="286" customFormat="false" ht="15" hidden="false" customHeight="false" outlineLevel="0" collapsed="false">
      <c r="A286" s="0" t="s">
        <v>4709</v>
      </c>
      <c r="B286" s="0" t="s">
        <v>234</v>
      </c>
      <c r="C286" s="14" t="n">
        <v>46083</v>
      </c>
      <c r="D286" s="0" t="n">
        <v>2350.26</v>
      </c>
      <c r="E286" s="14" t="n">
        <v>46128</v>
      </c>
    </row>
    <row r="287" customFormat="false" ht="15" hidden="false" customHeight="false" outlineLevel="0" collapsed="false">
      <c r="A287" s="0" t="s">
        <v>4710</v>
      </c>
      <c r="B287" s="0" t="s">
        <v>270</v>
      </c>
      <c r="C287" s="14" t="n">
        <v>45676</v>
      </c>
      <c r="D287" s="0" t="n">
        <v>2018.8</v>
      </c>
      <c r="E287" s="14" t="n">
        <v>45691</v>
      </c>
    </row>
    <row r="288" customFormat="false" ht="15" hidden="false" customHeight="false" outlineLevel="0" collapsed="false">
      <c r="A288" s="0" t="s">
        <v>4711</v>
      </c>
      <c r="B288" s="0" t="s">
        <v>265</v>
      </c>
      <c r="C288" s="14" t="n">
        <v>45694</v>
      </c>
      <c r="D288" s="0" t="n">
        <v>15670.91</v>
      </c>
      <c r="E288" s="14" t="n">
        <v>45754</v>
      </c>
    </row>
    <row r="289" customFormat="false" ht="15" hidden="false" customHeight="false" outlineLevel="0" collapsed="false">
      <c r="A289" s="0" t="s">
        <v>4712</v>
      </c>
      <c r="B289" s="0" t="s">
        <v>214</v>
      </c>
      <c r="C289" s="14" t="n">
        <v>46082</v>
      </c>
      <c r="D289" s="0" t="n">
        <v>1067.02</v>
      </c>
      <c r="E289" s="14" t="n">
        <v>46127</v>
      </c>
    </row>
    <row r="290" customFormat="false" ht="15" hidden="false" customHeight="false" outlineLevel="0" collapsed="false">
      <c r="A290" s="0" t="s">
        <v>4713</v>
      </c>
      <c r="B290" s="0" t="s">
        <v>268</v>
      </c>
      <c r="C290" s="14" t="n">
        <v>45857</v>
      </c>
      <c r="D290" s="0" t="n">
        <v>606.08</v>
      </c>
      <c r="E290" s="14" t="n">
        <v>45917</v>
      </c>
    </row>
    <row r="291" customFormat="false" ht="15" hidden="false" customHeight="false" outlineLevel="0" collapsed="false">
      <c r="A291" s="0" t="s">
        <v>4714</v>
      </c>
      <c r="B291" s="0" t="s">
        <v>232</v>
      </c>
      <c r="C291" s="14" t="n">
        <v>45866</v>
      </c>
      <c r="D291" s="0" t="n">
        <v>1284.72</v>
      </c>
      <c r="E291" s="14" t="n">
        <v>45896</v>
      </c>
    </row>
    <row r="292" customFormat="false" ht="15" hidden="false" customHeight="false" outlineLevel="0" collapsed="false">
      <c r="A292" s="0" t="s">
        <v>4715</v>
      </c>
      <c r="B292" s="0" t="s">
        <v>265</v>
      </c>
      <c r="C292" s="14" t="n">
        <v>45967</v>
      </c>
      <c r="D292" s="0" t="n">
        <v>568.24</v>
      </c>
      <c r="E292" s="14" t="n">
        <v>46027</v>
      </c>
    </row>
    <row r="293" customFormat="false" ht="15" hidden="false" customHeight="false" outlineLevel="0" collapsed="false">
      <c r="A293" s="0" t="s">
        <v>4716</v>
      </c>
      <c r="B293" s="0" t="s">
        <v>267</v>
      </c>
      <c r="C293" s="14" t="n">
        <v>45987</v>
      </c>
      <c r="D293" s="0" t="n">
        <v>2529.28</v>
      </c>
      <c r="E293" s="14" t="n">
        <v>46002</v>
      </c>
    </row>
    <row r="294" customFormat="false" ht="15" hidden="false" customHeight="false" outlineLevel="0" collapsed="false">
      <c r="A294" s="0" t="s">
        <v>4717</v>
      </c>
      <c r="B294" s="0" t="s">
        <v>263</v>
      </c>
      <c r="C294" s="14" t="n">
        <v>46028</v>
      </c>
      <c r="D294" s="0" t="n">
        <v>4574.28</v>
      </c>
      <c r="E294" s="14" t="n">
        <v>46088</v>
      </c>
    </row>
    <row r="295" customFormat="false" ht="15" hidden="false" customHeight="false" outlineLevel="0" collapsed="false">
      <c r="A295" s="0" t="s">
        <v>4718</v>
      </c>
      <c r="B295" s="0" t="s">
        <v>243</v>
      </c>
      <c r="C295" s="14" t="n">
        <v>46175</v>
      </c>
      <c r="D295" s="0" t="n">
        <v>3028.37</v>
      </c>
      <c r="E295" s="14" t="n">
        <v>46205</v>
      </c>
    </row>
    <row r="296" customFormat="false" ht="15" hidden="false" customHeight="false" outlineLevel="0" collapsed="false">
      <c r="A296" s="0" t="s">
        <v>4719</v>
      </c>
      <c r="B296" s="0" t="s">
        <v>217</v>
      </c>
      <c r="C296" s="14" t="n">
        <v>45860</v>
      </c>
      <c r="D296" s="0" t="n">
        <v>1302.49</v>
      </c>
      <c r="E296" s="14" t="n">
        <v>45890</v>
      </c>
    </row>
    <row r="297" customFormat="false" ht="15" hidden="false" customHeight="false" outlineLevel="0" collapsed="false">
      <c r="A297" s="0" t="s">
        <v>4720</v>
      </c>
      <c r="B297" s="0" t="s">
        <v>236</v>
      </c>
      <c r="C297" s="14" t="n">
        <v>46073</v>
      </c>
      <c r="D297" s="0" t="n">
        <v>4414.93</v>
      </c>
      <c r="E297" s="14" t="n">
        <v>46133</v>
      </c>
    </row>
    <row r="298" customFormat="false" ht="15" hidden="false" customHeight="false" outlineLevel="0" collapsed="false">
      <c r="A298" s="0" t="s">
        <v>4721</v>
      </c>
      <c r="B298" s="0" t="s">
        <v>253</v>
      </c>
      <c r="C298" s="14" t="n">
        <v>45970</v>
      </c>
      <c r="D298" s="0" t="n">
        <v>353.93</v>
      </c>
      <c r="E298" s="14" t="n">
        <v>46030</v>
      </c>
    </row>
    <row r="299" customFormat="false" ht="15" hidden="false" customHeight="false" outlineLevel="0" collapsed="false">
      <c r="A299" s="0" t="s">
        <v>4722</v>
      </c>
      <c r="B299" s="0" t="s">
        <v>208</v>
      </c>
      <c r="C299" s="14" t="n">
        <v>45946</v>
      </c>
      <c r="D299" s="0" t="n">
        <v>3971.65</v>
      </c>
      <c r="E299" s="14" t="n">
        <v>45991</v>
      </c>
    </row>
    <row r="300" customFormat="false" ht="15" hidden="false" customHeight="false" outlineLevel="0" collapsed="false">
      <c r="A300" s="0" t="s">
        <v>4723</v>
      </c>
      <c r="B300" s="0" t="s">
        <v>208</v>
      </c>
      <c r="C300" s="14" t="n">
        <v>45874</v>
      </c>
      <c r="D300" s="0" t="n">
        <v>977.25</v>
      </c>
      <c r="E300" s="14" t="n">
        <v>45919</v>
      </c>
    </row>
    <row r="301" customFormat="false" ht="15" hidden="false" customHeight="false" outlineLevel="0" collapsed="false">
      <c r="A301" s="0" t="s">
        <v>4724</v>
      </c>
      <c r="B301" s="0" t="s">
        <v>251</v>
      </c>
      <c r="C301" s="14" t="n">
        <v>46012</v>
      </c>
      <c r="D301" s="0" t="n">
        <v>1244.94</v>
      </c>
      <c r="E301" s="14" t="n">
        <v>46042</v>
      </c>
    </row>
    <row r="302" customFormat="false" ht="15" hidden="false" customHeight="false" outlineLevel="0" collapsed="false">
      <c r="A302" s="0" t="s">
        <v>4725</v>
      </c>
      <c r="B302" s="0" t="s">
        <v>265</v>
      </c>
      <c r="C302" s="14" t="n">
        <v>45794</v>
      </c>
      <c r="D302" s="0" t="n">
        <v>216.93</v>
      </c>
      <c r="E302" s="14" t="n">
        <v>45854</v>
      </c>
    </row>
    <row r="303" customFormat="false" ht="15" hidden="false" customHeight="false" outlineLevel="0" collapsed="false">
      <c r="A303" s="0" t="s">
        <v>4726</v>
      </c>
      <c r="B303" s="0" t="s">
        <v>224</v>
      </c>
      <c r="C303" s="14" t="n">
        <v>45719</v>
      </c>
      <c r="D303" s="0" t="n">
        <v>547.29</v>
      </c>
      <c r="E303" s="14" t="n">
        <v>45749</v>
      </c>
    </row>
    <row r="304" customFormat="false" ht="15" hidden="false" customHeight="false" outlineLevel="0" collapsed="false">
      <c r="A304" s="0" t="s">
        <v>4727</v>
      </c>
      <c r="B304" s="0" t="s">
        <v>230</v>
      </c>
      <c r="C304" s="14" t="n">
        <v>46058</v>
      </c>
      <c r="D304" s="0" t="n">
        <v>3658.52</v>
      </c>
      <c r="E304" s="14" t="n">
        <v>46118</v>
      </c>
    </row>
    <row r="305" customFormat="false" ht="15" hidden="false" customHeight="false" outlineLevel="0" collapsed="false">
      <c r="A305" s="0" t="s">
        <v>4728</v>
      </c>
      <c r="B305" s="0" t="s">
        <v>230</v>
      </c>
      <c r="C305" s="14" t="n">
        <v>45929</v>
      </c>
      <c r="D305" s="0" t="n">
        <v>721.08</v>
      </c>
      <c r="E305" s="14" t="n">
        <v>45989</v>
      </c>
    </row>
    <row r="306" customFormat="false" ht="15" hidden="false" customHeight="false" outlineLevel="0" collapsed="false">
      <c r="A306" s="0" t="s">
        <v>4729</v>
      </c>
      <c r="B306" s="0" t="s">
        <v>236</v>
      </c>
      <c r="C306" s="14" t="n">
        <v>45868</v>
      </c>
      <c r="D306" s="0" t="n">
        <v>12262.46</v>
      </c>
      <c r="E306" s="14" t="n">
        <v>45928</v>
      </c>
    </row>
    <row r="307" customFormat="false" ht="15" hidden="false" customHeight="false" outlineLevel="0" collapsed="false">
      <c r="A307" s="0" t="s">
        <v>4730</v>
      </c>
      <c r="B307" s="0" t="s">
        <v>236</v>
      </c>
      <c r="C307" s="14" t="n">
        <v>45964</v>
      </c>
      <c r="D307" s="0" t="n">
        <v>8063.35</v>
      </c>
      <c r="E307" s="14" t="n">
        <v>46024</v>
      </c>
    </row>
    <row r="308" customFormat="false" ht="15" hidden="false" customHeight="false" outlineLevel="0" collapsed="false">
      <c r="A308" s="0" t="s">
        <v>4731</v>
      </c>
      <c r="B308" s="0" t="s">
        <v>236</v>
      </c>
      <c r="C308" s="14" t="n">
        <v>45800</v>
      </c>
      <c r="D308" s="0" t="n">
        <v>1103.36</v>
      </c>
      <c r="E308" s="14" t="n">
        <v>45860</v>
      </c>
    </row>
    <row r="309" customFormat="false" ht="15" hidden="false" customHeight="false" outlineLevel="0" collapsed="false">
      <c r="A309" s="0" t="s">
        <v>4732</v>
      </c>
      <c r="B309" s="0" t="s">
        <v>239</v>
      </c>
      <c r="C309" s="14" t="n">
        <v>45799</v>
      </c>
      <c r="D309" s="0" t="n">
        <v>8101.91</v>
      </c>
      <c r="E309" s="14" t="n">
        <v>45829</v>
      </c>
    </row>
    <row r="310" customFormat="false" ht="15" hidden="false" customHeight="false" outlineLevel="0" collapsed="false">
      <c r="A310" s="0" t="s">
        <v>4733</v>
      </c>
      <c r="B310" s="0" t="s">
        <v>239</v>
      </c>
      <c r="C310" s="14" t="n">
        <v>45901</v>
      </c>
      <c r="D310" s="0" t="n">
        <v>544.44</v>
      </c>
      <c r="E310" s="14" t="n">
        <v>45931</v>
      </c>
    </row>
    <row r="311" customFormat="false" ht="15" hidden="false" customHeight="false" outlineLevel="0" collapsed="false">
      <c r="A311" s="0" t="s">
        <v>4734</v>
      </c>
      <c r="B311" s="0" t="s">
        <v>259</v>
      </c>
      <c r="C311" s="14" t="n">
        <v>46201</v>
      </c>
      <c r="D311" s="0" t="n">
        <v>3180.96</v>
      </c>
      <c r="E311" s="14" t="n">
        <v>46261</v>
      </c>
    </row>
    <row r="312" customFormat="false" ht="15" hidden="false" customHeight="false" outlineLevel="0" collapsed="false">
      <c r="A312" s="0" t="s">
        <v>4735</v>
      </c>
      <c r="B312" s="0" t="s">
        <v>265</v>
      </c>
      <c r="C312" s="14" t="n">
        <v>45813</v>
      </c>
      <c r="D312" s="0" t="n">
        <v>1127.3</v>
      </c>
      <c r="E312" s="14" t="n">
        <v>45873</v>
      </c>
    </row>
    <row r="313" customFormat="false" ht="15" hidden="false" customHeight="false" outlineLevel="0" collapsed="false">
      <c r="A313" s="0" t="s">
        <v>4736</v>
      </c>
      <c r="B313" s="0" t="s">
        <v>245</v>
      </c>
      <c r="C313" s="14" t="n">
        <v>46157</v>
      </c>
      <c r="D313" s="0" t="n">
        <v>1175</v>
      </c>
      <c r="E313" s="14" t="n">
        <v>46172</v>
      </c>
    </row>
    <row r="314" customFormat="false" ht="15" hidden="false" customHeight="false" outlineLevel="0" collapsed="false">
      <c r="A314" s="0" t="s">
        <v>4737</v>
      </c>
      <c r="B314" s="0" t="s">
        <v>224</v>
      </c>
      <c r="C314" s="14" t="n">
        <v>45925</v>
      </c>
      <c r="D314" s="0" t="n">
        <v>3629</v>
      </c>
      <c r="E314" s="14" t="n">
        <v>45955</v>
      </c>
    </row>
    <row r="315" customFormat="false" ht="15" hidden="false" customHeight="false" outlineLevel="0" collapsed="false">
      <c r="A315" s="0" t="s">
        <v>4738</v>
      </c>
      <c r="B315" s="0" t="s">
        <v>257</v>
      </c>
      <c r="C315" s="14" t="n">
        <v>45724</v>
      </c>
      <c r="D315" s="0" t="n">
        <v>4613.92</v>
      </c>
      <c r="E315" s="14" t="n">
        <v>45784</v>
      </c>
    </row>
    <row r="316" customFormat="false" ht="15" hidden="false" customHeight="false" outlineLevel="0" collapsed="false">
      <c r="A316" s="0" t="s">
        <v>4739</v>
      </c>
      <c r="B316" s="0" t="s">
        <v>261</v>
      </c>
      <c r="C316" s="14" t="n">
        <v>46122</v>
      </c>
      <c r="D316" s="0" t="n">
        <v>4776.56</v>
      </c>
      <c r="E316" s="14" t="n">
        <v>46137</v>
      </c>
    </row>
    <row r="317" customFormat="false" ht="15" hidden="false" customHeight="false" outlineLevel="0" collapsed="false">
      <c r="A317" s="0" t="s">
        <v>4740</v>
      </c>
      <c r="B317" s="0" t="s">
        <v>220</v>
      </c>
      <c r="C317" s="14" t="n">
        <v>45904</v>
      </c>
      <c r="D317" s="0" t="n">
        <v>2886.24</v>
      </c>
      <c r="E317" s="14" t="n">
        <v>45919</v>
      </c>
    </row>
    <row r="318" customFormat="false" ht="15" hidden="false" customHeight="false" outlineLevel="0" collapsed="false">
      <c r="A318" s="0" t="s">
        <v>4741</v>
      </c>
      <c r="B318" s="0" t="s">
        <v>232</v>
      </c>
      <c r="C318" s="14" t="n">
        <v>46147</v>
      </c>
      <c r="D318" s="0" t="n">
        <v>12458.98</v>
      </c>
      <c r="E318" s="14" t="n">
        <v>46177</v>
      </c>
    </row>
    <row r="319" customFormat="false" ht="15" hidden="false" customHeight="false" outlineLevel="0" collapsed="false">
      <c r="A319" s="0" t="s">
        <v>4742</v>
      </c>
      <c r="B319" s="0" t="s">
        <v>249</v>
      </c>
      <c r="C319" s="14" t="n">
        <v>45900</v>
      </c>
      <c r="D319" s="0" t="n">
        <v>768.29</v>
      </c>
      <c r="E319" s="14" t="n">
        <v>45915</v>
      </c>
    </row>
    <row r="320" customFormat="false" ht="15" hidden="false" customHeight="false" outlineLevel="0" collapsed="false">
      <c r="A320" s="0" t="s">
        <v>4743</v>
      </c>
      <c r="B320" s="0" t="s">
        <v>239</v>
      </c>
      <c r="C320" s="14" t="n">
        <v>45705</v>
      </c>
      <c r="D320" s="0" t="n">
        <v>26144.93</v>
      </c>
      <c r="E320" s="14" t="n">
        <v>45735</v>
      </c>
    </row>
    <row r="321" customFormat="false" ht="15" hidden="false" customHeight="false" outlineLevel="0" collapsed="false">
      <c r="A321" s="0" t="s">
        <v>4744</v>
      </c>
      <c r="B321" s="0" t="s">
        <v>267</v>
      </c>
      <c r="C321" s="14" t="n">
        <v>46029</v>
      </c>
      <c r="D321" s="0" t="n">
        <v>3638.89</v>
      </c>
      <c r="E321" s="14" t="n">
        <v>46044</v>
      </c>
    </row>
    <row r="322" customFormat="false" ht="15" hidden="false" customHeight="false" outlineLevel="0" collapsed="false">
      <c r="A322" s="0" t="s">
        <v>4745</v>
      </c>
      <c r="B322" s="0" t="s">
        <v>247</v>
      </c>
      <c r="C322" s="14" t="n">
        <v>46118</v>
      </c>
      <c r="D322" s="0" t="n">
        <v>3830.77</v>
      </c>
      <c r="E322" s="14" t="n">
        <v>46133</v>
      </c>
    </row>
    <row r="323" customFormat="false" ht="15" hidden="false" customHeight="false" outlineLevel="0" collapsed="false">
      <c r="A323" s="0" t="s">
        <v>4746</v>
      </c>
      <c r="B323" s="0" t="s">
        <v>253</v>
      </c>
      <c r="C323" s="14" t="n">
        <v>45832</v>
      </c>
      <c r="D323" s="0" t="n">
        <v>1009.73</v>
      </c>
      <c r="E323" s="14" t="n">
        <v>45892</v>
      </c>
    </row>
    <row r="324" customFormat="false" ht="15" hidden="false" customHeight="false" outlineLevel="0" collapsed="false">
      <c r="A324" s="0" t="s">
        <v>4747</v>
      </c>
      <c r="B324" s="0" t="s">
        <v>230</v>
      </c>
      <c r="C324" s="14" t="n">
        <v>45847</v>
      </c>
      <c r="D324" s="0" t="n">
        <v>2672.66</v>
      </c>
      <c r="E324" s="14" t="n">
        <v>45907</v>
      </c>
    </row>
    <row r="325" customFormat="false" ht="15" hidden="false" customHeight="false" outlineLevel="0" collapsed="false">
      <c r="A325" s="0" t="s">
        <v>4748</v>
      </c>
      <c r="B325" s="0" t="s">
        <v>228</v>
      </c>
      <c r="C325" s="14" t="n">
        <v>45693</v>
      </c>
      <c r="D325" s="0" t="n">
        <v>1823.04</v>
      </c>
      <c r="E325" s="14" t="n">
        <v>45738</v>
      </c>
    </row>
    <row r="326" customFormat="false" ht="15" hidden="false" customHeight="false" outlineLevel="0" collapsed="false">
      <c r="A326" s="0" t="s">
        <v>4749</v>
      </c>
      <c r="B326" s="0" t="s">
        <v>226</v>
      </c>
      <c r="C326" s="14" t="n">
        <v>45953</v>
      </c>
      <c r="D326" s="0" t="n">
        <v>2034.77</v>
      </c>
      <c r="E326" s="14" t="n">
        <v>46013</v>
      </c>
    </row>
    <row r="327" customFormat="false" ht="15" hidden="false" customHeight="false" outlineLevel="0" collapsed="false">
      <c r="A327" s="0" t="s">
        <v>4750</v>
      </c>
      <c r="B327" s="0" t="s">
        <v>230</v>
      </c>
      <c r="C327" s="14" t="n">
        <v>46143</v>
      </c>
      <c r="D327" s="0" t="n">
        <v>458.78</v>
      </c>
      <c r="E327" s="14" t="n">
        <v>46203</v>
      </c>
    </row>
    <row r="328" customFormat="false" ht="15" hidden="false" customHeight="false" outlineLevel="0" collapsed="false">
      <c r="A328" s="0" t="s">
        <v>4751</v>
      </c>
      <c r="B328" s="0" t="s">
        <v>239</v>
      </c>
      <c r="C328" s="14" t="n">
        <v>46121</v>
      </c>
      <c r="D328" s="0" t="n">
        <v>10173.75</v>
      </c>
      <c r="E328" s="14" t="n">
        <v>46151</v>
      </c>
    </row>
    <row r="329" customFormat="false" ht="15" hidden="false" customHeight="false" outlineLevel="0" collapsed="false">
      <c r="A329" s="0" t="s">
        <v>4752</v>
      </c>
      <c r="B329" s="0" t="s">
        <v>267</v>
      </c>
      <c r="C329" s="14" t="n">
        <v>46045</v>
      </c>
      <c r="D329" s="0" t="n">
        <v>538.08</v>
      </c>
      <c r="E329" s="14" t="n">
        <v>46060</v>
      </c>
    </row>
    <row r="330" customFormat="false" ht="15" hidden="false" customHeight="false" outlineLevel="0" collapsed="false">
      <c r="A330" s="0" t="s">
        <v>4753</v>
      </c>
      <c r="B330" s="0" t="s">
        <v>230</v>
      </c>
      <c r="C330" s="14" t="n">
        <v>46163</v>
      </c>
      <c r="D330" s="0" t="n">
        <v>1623.58</v>
      </c>
      <c r="E330" s="14" t="n">
        <v>46223</v>
      </c>
    </row>
    <row r="331" customFormat="false" ht="15" hidden="false" customHeight="false" outlineLevel="0" collapsed="false">
      <c r="A331" s="0" t="s">
        <v>4754</v>
      </c>
      <c r="B331" s="0" t="s">
        <v>220</v>
      </c>
      <c r="C331" s="14" t="n">
        <v>46005</v>
      </c>
      <c r="D331" s="0" t="n">
        <v>5404.68</v>
      </c>
      <c r="E331" s="14" t="n">
        <v>46020</v>
      </c>
    </row>
    <row r="332" customFormat="false" ht="15" hidden="false" customHeight="false" outlineLevel="0" collapsed="false">
      <c r="A332" s="0" t="s">
        <v>4755</v>
      </c>
      <c r="B332" s="0" t="s">
        <v>239</v>
      </c>
      <c r="C332" s="14" t="n">
        <v>46090</v>
      </c>
      <c r="D332" s="0" t="n">
        <v>1687.83</v>
      </c>
      <c r="E332" s="14" t="n">
        <v>46120</v>
      </c>
    </row>
    <row r="333" customFormat="false" ht="15" hidden="false" customHeight="false" outlineLevel="0" collapsed="false">
      <c r="A333" s="0" t="s">
        <v>4756</v>
      </c>
      <c r="B333" s="0" t="s">
        <v>211</v>
      </c>
      <c r="C333" s="14" t="n">
        <v>45935</v>
      </c>
      <c r="D333" s="0" t="n">
        <v>4149.56</v>
      </c>
      <c r="E333" s="14" t="n">
        <v>45950</v>
      </c>
    </row>
    <row r="334" customFormat="false" ht="15" hidden="false" customHeight="false" outlineLevel="0" collapsed="false">
      <c r="A334" s="0" t="s">
        <v>4757</v>
      </c>
      <c r="B334" s="0" t="s">
        <v>268</v>
      </c>
      <c r="C334" s="14" t="n">
        <v>45724</v>
      </c>
      <c r="D334" s="0" t="n">
        <v>2864.37</v>
      </c>
      <c r="E334" s="14" t="n">
        <v>45784</v>
      </c>
    </row>
    <row r="335" customFormat="false" ht="15" hidden="false" customHeight="false" outlineLevel="0" collapsed="false">
      <c r="A335" s="0" t="s">
        <v>4758</v>
      </c>
      <c r="B335" s="0" t="s">
        <v>222</v>
      </c>
      <c r="C335" s="14" t="n">
        <v>45767</v>
      </c>
      <c r="D335" s="0" t="n">
        <v>2083.5</v>
      </c>
      <c r="E335" s="14" t="n">
        <v>45782</v>
      </c>
    </row>
    <row r="336" customFormat="false" ht="15" hidden="false" customHeight="false" outlineLevel="0" collapsed="false">
      <c r="A336" s="0" t="s">
        <v>4759</v>
      </c>
      <c r="B336" s="0" t="s">
        <v>208</v>
      </c>
      <c r="C336" s="14" t="n">
        <v>45733</v>
      </c>
      <c r="D336" s="0" t="n">
        <v>1137.04</v>
      </c>
      <c r="E336" s="14" t="n">
        <v>45778</v>
      </c>
    </row>
    <row r="337" customFormat="false" ht="15" hidden="false" customHeight="false" outlineLevel="0" collapsed="false">
      <c r="A337" s="0" t="s">
        <v>4760</v>
      </c>
      <c r="B337" s="0" t="s">
        <v>247</v>
      </c>
      <c r="C337" s="14" t="n">
        <v>46088</v>
      </c>
      <c r="D337" s="0" t="n">
        <v>912.05</v>
      </c>
      <c r="E337" s="14" t="n">
        <v>46103</v>
      </c>
    </row>
    <row r="338" customFormat="false" ht="15" hidden="false" customHeight="false" outlineLevel="0" collapsed="false">
      <c r="A338" s="0" t="s">
        <v>4761</v>
      </c>
      <c r="B338" s="0" t="s">
        <v>263</v>
      </c>
      <c r="C338" s="14" t="n">
        <v>45672</v>
      </c>
      <c r="D338" s="0" t="n">
        <v>8529.42</v>
      </c>
      <c r="E338" s="14" t="n">
        <v>45732</v>
      </c>
    </row>
    <row r="339" customFormat="false" ht="15" hidden="false" customHeight="false" outlineLevel="0" collapsed="false">
      <c r="A339" s="0" t="s">
        <v>4762</v>
      </c>
      <c r="B339" s="0" t="s">
        <v>259</v>
      </c>
      <c r="C339" s="14" t="n">
        <v>45959</v>
      </c>
      <c r="D339" s="0" t="n">
        <v>2378.01</v>
      </c>
      <c r="E339" s="14" t="n">
        <v>46019</v>
      </c>
    </row>
    <row r="340" customFormat="false" ht="15" hidden="false" customHeight="false" outlineLevel="0" collapsed="false">
      <c r="A340" s="0" t="s">
        <v>4763</v>
      </c>
      <c r="B340" s="0" t="s">
        <v>236</v>
      </c>
      <c r="C340" s="14" t="n">
        <v>45859</v>
      </c>
      <c r="D340" s="0" t="n">
        <v>6438.73</v>
      </c>
      <c r="E340" s="14" t="n">
        <v>45919</v>
      </c>
    </row>
    <row r="341" customFormat="false" ht="15" hidden="false" customHeight="false" outlineLevel="0" collapsed="false">
      <c r="A341" s="0" t="s">
        <v>4764</v>
      </c>
      <c r="B341" s="0" t="s">
        <v>214</v>
      </c>
      <c r="C341" s="14" t="n">
        <v>46095</v>
      </c>
      <c r="D341" s="0" t="n">
        <v>991.15</v>
      </c>
      <c r="E341" s="14" t="n">
        <v>46140</v>
      </c>
    </row>
    <row r="342" customFormat="false" ht="15" hidden="false" customHeight="false" outlineLevel="0" collapsed="false">
      <c r="A342" s="0" t="s">
        <v>4765</v>
      </c>
      <c r="B342" s="0" t="s">
        <v>245</v>
      </c>
      <c r="C342" s="14" t="n">
        <v>45958</v>
      </c>
      <c r="D342" s="0" t="n">
        <v>3180.99</v>
      </c>
      <c r="E342" s="14" t="n">
        <v>45973</v>
      </c>
    </row>
    <row r="343" customFormat="false" ht="15" hidden="false" customHeight="false" outlineLevel="0" collapsed="false">
      <c r="A343" s="0" t="s">
        <v>4766</v>
      </c>
      <c r="B343" s="0" t="s">
        <v>261</v>
      </c>
      <c r="C343" s="14" t="n">
        <v>45991</v>
      </c>
      <c r="D343" s="0" t="n">
        <v>2689.98</v>
      </c>
      <c r="E343" s="14" t="n">
        <v>46006</v>
      </c>
    </row>
    <row r="344" customFormat="false" ht="15" hidden="false" customHeight="false" outlineLevel="0" collapsed="false">
      <c r="A344" s="0" t="s">
        <v>4767</v>
      </c>
      <c r="B344" s="0" t="s">
        <v>220</v>
      </c>
      <c r="C344" s="14" t="n">
        <v>45704</v>
      </c>
      <c r="D344" s="0" t="n">
        <v>216.98</v>
      </c>
      <c r="E344" s="14" t="n">
        <v>45719</v>
      </c>
    </row>
    <row r="345" customFormat="false" ht="15" hidden="false" customHeight="false" outlineLevel="0" collapsed="false">
      <c r="A345" s="0" t="s">
        <v>4768</v>
      </c>
      <c r="B345" s="0" t="s">
        <v>234</v>
      </c>
      <c r="C345" s="14" t="n">
        <v>45826</v>
      </c>
      <c r="D345" s="0" t="n">
        <v>1453.65</v>
      </c>
      <c r="E345" s="14" t="n">
        <v>45871</v>
      </c>
    </row>
    <row r="346" customFormat="false" ht="15" hidden="false" customHeight="false" outlineLevel="0" collapsed="false">
      <c r="A346" s="0" t="s">
        <v>4769</v>
      </c>
      <c r="B346" s="0" t="s">
        <v>245</v>
      </c>
      <c r="C346" s="14" t="n">
        <v>46202</v>
      </c>
      <c r="D346" s="0" t="n">
        <v>1299.82</v>
      </c>
      <c r="E346" s="14" t="n">
        <v>46217</v>
      </c>
    </row>
    <row r="347" customFormat="false" ht="15" hidden="false" customHeight="false" outlineLevel="0" collapsed="false">
      <c r="A347" s="0" t="s">
        <v>4770</v>
      </c>
      <c r="B347" s="0" t="s">
        <v>259</v>
      </c>
      <c r="C347" s="14" t="n">
        <v>46049</v>
      </c>
      <c r="D347" s="0" t="n">
        <v>9614.09</v>
      </c>
      <c r="E347" s="14" t="n">
        <v>46109</v>
      </c>
    </row>
    <row r="348" customFormat="false" ht="15" hidden="false" customHeight="false" outlineLevel="0" collapsed="false">
      <c r="A348" s="0" t="s">
        <v>4771</v>
      </c>
      <c r="B348" s="0" t="s">
        <v>267</v>
      </c>
      <c r="C348" s="14" t="n">
        <v>45944</v>
      </c>
      <c r="D348" s="0" t="n">
        <v>1915.6</v>
      </c>
      <c r="E348" s="14" t="n">
        <v>45959</v>
      </c>
    </row>
    <row r="349" customFormat="false" ht="15" hidden="false" customHeight="false" outlineLevel="0" collapsed="false">
      <c r="A349" s="0" t="s">
        <v>4772</v>
      </c>
      <c r="B349" s="0" t="s">
        <v>208</v>
      </c>
      <c r="C349" s="14" t="n">
        <v>46077</v>
      </c>
      <c r="D349" s="0" t="n">
        <v>7128.51</v>
      </c>
      <c r="E349" s="14" t="n">
        <v>46122</v>
      </c>
    </row>
    <row r="350" customFormat="false" ht="15" hidden="false" customHeight="false" outlineLevel="0" collapsed="false">
      <c r="A350" s="0" t="s">
        <v>4773</v>
      </c>
      <c r="B350" s="0" t="s">
        <v>208</v>
      </c>
      <c r="C350" s="14" t="n">
        <v>46106</v>
      </c>
      <c r="D350" s="0" t="n">
        <v>1845.14</v>
      </c>
      <c r="E350" s="14" t="n">
        <v>46151</v>
      </c>
    </row>
    <row r="351" customFormat="false" ht="15" hidden="false" customHeight="false" outlineLevel="0" collapsed="false">
      <c r="A351" s="0" t="s">
        <v>4774</v>
      </c>
      <c r="B351" s="0" t="s">
        <v>217</v>
      </c>
      <c r="C351" s="14" t="n">
        <v>45698</v>
      </c>
      <c r="D351" s="0" t="n">
        <v>2037.36</v>
      </c>
      <c r="E351" s="14" t="n">
        <v>45728</v>
      </c>
    </row>
    <row r="352" customFormat="false" ht="15" hidden="false" customHeight="false" outlineLevel="0" collapsed="false">
      <c r="A352" s="0" t="s">
        <v>4775</v>
      </c>
      <c r="B352" s="0" t="s">
        <v>268</v>
      </c>
      <c r="C352" s="14" t="n">
        <v>46187</v>
      </c>
      <c r="D352" s="0" t="n">
        <v>2330.46</v>
      </c>
      <c r="E352" s="14" t="n">
        <v>46247</v>
      </c>
    </row>
    <row r="353" customFormat="false" ht="15" hidden="false" customHeight="false" outlineLevel="0" collapsed="false">
      <c r="A353" s="0" t="s">
        <v>4776</v>
      </c>
      <c r="B353" s="0" t="s">
        <v>249</v>
      </c>
      <c r="C353" s="14" t="n">
        <v>46008</v>
      </c>
      <c r="D353" s="0" t="n">
        <v>1697.2</v>
      </c>
      <c r="E353" s="14" t="n">
        <v>46023</v>
      </c>
    </row>
    <row r="354" customFormat="false" ht="15" hidden="false" customHeight="false" outlineLevel="0" collapsed="false">
      <c r="A354" s="0" t="s">
        <v>4777</v>
      </c>
      <c r="B354" s="0" t="s">
        <v>214</v>
      </c>
      <c r="C354" s="14" t="n">
        <v>45903</v>
      </c>
      <c r="D354" s="0" t="n">
        <v>2489.37</v>
      </c>
      <c r="E354" s="14" t="n">
        <v>45948</v>
      </c>
    </row>
    <row r="355" customFormat="false" ht="15" hidden="false" customHeight="false" outlineLevel="0" collapsed="false">
      <c r="A355" s="0" t="s">
        <v>4778</v>
      </c>
      <c r="B355" s="0" t="s">
        <v>228</v>
      </c>
      <c r="C355" s="14" t="n">
        <v>46028</v>
      </c>
      <c r="D355" s="0" t="n">
        <v>4439.5</v>
      </c>
      <c r="E355" s="14" t="n">
        <v>46073</v>
      </c>
    </row>
    <row r="356" customFormat="false" ht="15" hidden="false" customHeight="false" outlineLevel="0" collapsed="false">
      <c r="A356" s="0" t="s">
        <v>4779</v>
      </c>
      <c r="B356" s="0" t="s">
        <v>249</v>
      </c>
      <c r="C356" s="14" t="n">
        <v>45845</v>
      </c>
      <c r="D356" s="0" t="n">
        <v>1233.51</v>
      </c>
      <c r="E356" s="14" t="n">
        <v>45860</v>
      </c>
    </row>
    <row r="357" customFormat="false" ht="15" hidden="false" customHeight="false" outlineLevel="0" collapsed="false">
      <c r="A357" s="0" t="s">
        <v>4780</v>
      </c>
      <c r="B357" s="0" t="s">
        <v>270</v>
      </c>
      <c r="C357" s="14" t="n">
        <v>46136</v>
      </c>
      <c r="D357" s="0" t="n">
        <v>552.39</v>
      </c>
      <c r="E357" s="14" t="n">
        <v>46151</v>
      </c>
    </row>
    <row r="358" customFormat="false" ht="15" hidden="false" customHeight="false" outlineLevel="0" collapsed="false">
      <c r="A358" s="0" t="s">
        <v>4781</v>
      </c>
      <c r="B358" s="0" t="s">
        <v>222</v>
      </c>
      <c r="C358" s="14" t="n">
        <v>46083</v>
      </c>
      <c r="D358" s="0" t="n">
        <v>3307.35</v>
      </c>
      <c r="E358" s="14" t="n">
        <v>46098</v>
      </c>
    </row>
    <row r="359" customFormat="false" ht="15" hidden="false" customHeight="false" outlineLevel="0" collapsed="false">
      <c r="A359" s="0" t="s">
        <v>4782</v>
      </c>
      <c r="B359" s="0" t="s">
        <v>245</v>
      </c>
      <c r="C359" s="14" t="n">
        <v>46006</v>
      </c>
      <c r="D359" s="0" t="n">
        <v>3350.46</v>
      </c>
      <c r="E359" s="14" t="n">
        <v>46021</v>
      </c>
    </row>
    <row r="360" customFormat="false" ht="15" hidden="false" customHeight="false" outlineLevel="0" collapsed="false">
      <c r="A360" s="0" t="s">
        <v>4783</v>
      </c>
      <c r="B360" s="0" t="s">
        <v>249</v>
      </c>
      <c r="C360" s="14" t="n">
        <v>45757</v>
      </c>
      <c r="D360" s="0" t="n">
        <v>7273.52</v>
      </c>
      <c r="E360" s="14" t="n">
        <v>45772</v>
      </c>
    </row>
    <row r="361" customFormat="false" ht="15" hidden="false" customHeight="false" outlineLevel="0" collapsed="false">
      <c r="A361" s="0" t="s">
        <v>4784</v>
      </c>
      <c r="B361" s="0" t="s">
        <v>224</v>
      </c>
      <c r="C361" s="14" t="n">
        <v>46184</v>
      </c>
      <c r="D361" s="0" t="n">
        <v>263.38</v>
      </c>
      <c r="E361" s="14" t="n">
        <v>46214</v>
      </c>
    </row>
    <row r="362" customFormat="false" ht="15" hidden="false" customHeight="false" outlineLevel="0" collapsed="false">
      <c r="A362" s="0" t="s">
        <v>4785</v>
      </c>
      <c r="B362" s="0" t="s">
        <v>214</v>
      </c>
      <c r="C362" s="14" t="n">
        <v>45893</v>
      </c>
      <c r="D362" s="0" t="n">
        <v>1094.43</v>
      </c>
      <c r="E362" s="14" t="n">
        <v>45938</v>
      </c>
    </row>
    <row r="363" customFormat="false" ht="15" hidden="false" customHeight="false" outlineLevel="0" collapsed="false">
      <c r="A363" s="0" t="s">
        <v>4786</v>
      </c>
      <c r="B363" s="0" t="s">
        <v>261</v>
      </c>
      <c r="C363" s="14" t="n">
        <v>46154</v>
      </c>
      <c r="D363" s="0" t="n">
        <v>4195.73</v>
      </c>
      <c r="E363" s="14" t="n">
        <v>46169</v>
      </c>
    </row>
    <row r="364" customFormat="false" ht="15" hidden="false" customHeight="false" outlineLevel="0" collapsed="false">
      <c r="A364" s="0" t="s">
        <v>4787</v>
      </c>
      <c r="B364" s="0" t="s">
        <v>253</v>
      </c>
      <c r="C364" s="14" t="n">
        <v>45688</v>
      </c>
      <c r="D364" s="0" t="n">
        <v>2049.25</v>
      </c>
      <c r="E364" s="14" t="n">
        <v>45748</v>
      </c>
    </row>
    <row r="365" customFormat="false" ht="15" hidden="false" customHeight="false" outlineLevel="0" collapsed="false">
      <c r="A365" s="0" t="s">
        <v>4788</v>
      </c>
      <c r="B365" s="0" t="s">
        <v>226</v>
      </c>
      <c r="C365" s="14" t="n">
        <v>45725</v>
      </c>
      <c r="D365" s="0" t="n">
        <v>1063.51</v>
      </c>
      <c r="E365" s="14" t="n">
        <v>45785</v>
      </c>
    </row>
    <row r="366" customFormat="false" ht="15" hidden="false" customHeight="false" outlineLevel="0" collapsed="false">
      <c r="A366" s="0" t="s">
        <v>4789</v>
      </c>
      <c r="B366" s="0" t="s">
        <v>245</v>
      </c>
      <c r="C366" s="14" t="n">
        <v>45741</v>
      </c>
      <c r="D366" s="0" t="n">
        <v>477.15</v>
      </c>
      <c r="E366" s="14" t="n">
        <v>45756</v>
      </c>
    </row>
    <row r="367" customFormat="false" ht="15" hidden="false" customHeight="false" outlineLevel="0" collapsed="false">
      <c r="A367" s="0" t="s">
        <v>4790</v>
      </c>
      <c r="B367" s="0" t="s">
        <v>251</v>
      </c>
      <c r="C367" s="14" t="n">
        <v>45747</v>
      </c>
      <c r="D367" s="0" t="n">
        <v>4928.3</v>
      </c>
      <c r="E367" s="14" t="n">
        <v>45777</v>
      </c>
    </row>
    <row r="368" customFormat="false" ht="15" hidden="false" customHeight="false" outlineLevel="0" collapsed="false">
      <c r="A368" s="0" t="s">
        <v>4791</v>
      </c>
      <c r="B368" s="0" t="s">
        <v>226</v>
      </c>
      <c r="C368" s="14" t="n">
        <v>45833</v>
      </c>
      <c r="D368" s="0" t="n">
        <v>2514.47</v>
      </c>
      <c r="E368" s="14" t="n">
        <v>45893</v>
      </c>
    </row>
    <row r="369" customFormat="false" ht="15" hidden="false" customHeight="false" outlineLevel="0" collapsed="false">
      <c r="A369" s="0" t="s">
        <v>4792</v>
      </c>
      <c r="B369" s="0" t="s">
        <v>228</v>
      </c>
      <c r="C369" s="14" t="n">
        <v>46044</v>
      </c>
      <c r="D369" s="0" t="n">
        <v>6810.57</v>
      </c>
      <c r="E369" s="14" t="n">
        <v>46089</v>
      </c>
    </row>
    <row r="370" customFormat="false" ht="15" hidden="false" customHeight="false" outlineLevel="0" collapsed="false">
      <c r="A370" s="0" t="s">
        <v>4793</v>
      </c>
      <c r="B370" s="0" t="s">
        <v>251</v>
      </c>
      <c r="C370" s="14" t="n">
        <v>45846</v>
      </c>
      <c r="D370" s="0" t="n">
        <v>2609.91</v>
      </c>
      <c r="E370" s="14" t="n">
        <v>45876</v>
      </c>
    </row>
    <row r="371" customFormat="false" ht="15" hidden="false" customHeight="false" outlineLevel="0" collapsed="false">
      <c r="A371" s="0" t="s">
        <v>4794</v>
      </c>
      <c r="B371" s="0" t="s">
        <v>208</v>
      </c>
      <c r="C371" s="14" t="n">
        <v>46170</v>
      </c>
      <c r="D371" s="0" t="n">
        <v>2581.91</v>
      </c>
      <c r="E371" s="14" t="n">
        <v>46215</v>
      </c>
    </row>
    <row r="372" customFormat="false" ht="15" hidden="false" customHeight="false" outlineLevel="0" collapsed="false">
      <c r="A372" s="0" t="s">
        <v>4795</v>
      </c>
      <c r="B372" s="0" t="s">
        <v>230</v>
      </c>
      <c r="C372" s="14" t="n">
        <v>46145</v>
      </c>
      <c r="D372" s="0" t="n">
        <v>7158.33</v>
      </c>
      <c r="E372" s="14" t="n">
        <v>46205</v>
      </c>
    </row>
    <row r="373" customFormat="false" ht="15" hidden="false" customHeight="false" outlineLevel="0" collapsed="false">
      <c r="A373" s="0" t="s">
        <v>4796</v>
      </c>
      <c r="B373" s="0" t="s">
        <v>245</v>
      </c>
      <c r="C373" s="14" t="n">
        <v>46119</v>
      </c>
      <c r="D373" s="0" t="n">
        <v>3765.89</v>
      </c>
      <c r="E373" s="14" t="n">
        <v>46134</v>
      </c>
    </row>
    <row r="374" customFormat="false" ht="15" hidden="false" customHeight="false" outlineLevel="0" collapsed="false">
      <c r="A374" s="0" t="s">
        <v>4797</v>
      </c>
      <c r="B374" s="0" t="s">
        <v>234</v>
      </c>
      <c r="C374" s="14" t="n">
        <v>45794</v>
      </c>
      <c r="D374" s="0" t="n">
        <v>2035.16</v>
      </c>
      <c r="E374" s="14" t="n">
        <v>45839</v>
      </c>
    </row>
    <row r="375" customFormat="false" ht="15" hidden="false" customHeight="false" outlineLevel="0" collapsed="false">
      <c r="A375" s="0" t="s">
        <v>4798</v>
      </c>
      <c r="B375" s="0" t="s">
        <v>243</v>
      </c>
      <c r="C375" s="14" t="n">
        <v>46004</v>
      </c>
      <c r="D375" s="0" t="n">
        <v>609.74</v>
      </c>
      <c r="E375" s="14" t="n">
        <v>46034</v>
      </c>
    </row>
    <row r="376" customFormat="false" ht="15" hidden="false" customHeight="false" outlineLevel="0" collapsed="false">
      <c r="A376" s="0" t="s">
        <v>4799</v>
      </c>
      <c r="B376" s="0" t="s">
        <v>270</v>
      </c>
      <c r="C376" s="14" t="n">
        <v>45958</v>
      </c>
      <c r="D376" s="0" t="n">
        <v>3178.96</v>
      </c>
      <c r="E376" s="14" t="n">
        <v>45973</v>
      </c>
    </row>
    <row r="377" customFormat="false" ht="15" hidden="false" customHeight="false" outlineLevel="0" collapsed="false">
      <c r="A377" s="0" t="s">
        <v>4800</v>
      </c>
      <c r="B377" s="0" t="s">
        <v>255</v>
      </c>
      <c r="C377" s="14" t="n">
        <v>45726</v>
      </c>
      <c r="D377" s="0" t="n">
        <v>758.25</v>
      </c>
      <c r="E377" s="14" t="n">
        <v>45756</v>
      </c>
    </row>
    <row r="378" customFormat="false" ht="15" hidden="false" customHeight="false" outlineLevel="0" collapsed="false">
      <c r="A378" s="0" t="s">
        <v>4801</v>
      </c>
      <c r="B378" s="0" t="s">
        <v>245</v>
      </c>
      <c r="C378" s="14" t="n">
        <v>45823</v>
      </c>
      <c r="D378" s="0" t="n">
        <v>221.8</v>
      </c>
      <c r="E378" s="14" t="n">
        <v>45838</v>
      </c>
    </row>
    <row r="379" customFormat="false" ht="15" hidden="false" customHeight="false" outlineLevel="0" collapsed="false">
      <c r="A379" s="0" t="s">
        <v>4802</v>
      </c>
      <c r="B379" s="0" t="s">
        <v>268</v>
      </c>
      <c r="C379" s="14" t="n">
        <v>45948</v>
      </c>
      <c r="D379" s="0" t="n">
        <v>5256.82</v>
      </c>
      <c r="E379" s="14" t="n">
        <v>46008</v>
      </c>
    </row>
    <row r="380" customFormat="false" ht="15" hidden="false" customHeight="false" outlineLevel="0" collapsed="false">
      <c r="A380" s="0" t="s">
        <v>4803</v>
      </c>
      <c r="B380" s="0" t="s">
        <v>232</v>
      </c>
      <c r="C380" s="14" t="n">
        <v>45931</v>
      </c>
      <c r="D380" s="0" t="n">
        <v>1450.9</v>
      </c>
      <c r="E380" s="14" t="n">
        <v>45961</v>
      </c>
    </row>
    <row r="381" customFormat="false" ht="15" hidden="false" customHeight="false" outlineLevel="0" collapsed="false">
      <c r="A381" s="0" t="s">
        <v>4804</v>
      </c>
      <c r="B381" s="0" t="s">
        <v>234</v>
      </c>
      <c r="C381" s="14" t="n">
        <v>45749</v>
      </c>
      <c r="D381" s="0" t="n">
        <v>654.91</v>
      </c>
      <c r="E381" s="14" t="n">
        <v>45794</v>
      </c>
    </row>
    <row r="382" customFormat="false" ht="15" hidden="false" customHeight="false" outlineLevel="0" collapsed="false">
      <c r="A382" s="0" t="s">
        <v>4805</v>
      </c>
      <c r="B382" s="0" t="s">
        <v>247</v>
      </c>
      <c r="C382" s="14" t="n">
        <v>46171</v>
      </c>
      <c r="D382" s="0" t="n">
        <v>4069.65</v>
      </c>
      <c r="E382" s="14" t="n">
        <v>46186</v>
      </c>
    </row>
    <row r="383" customFormat="false" ht="15" hidden="false" customHeight="false" outlineLevel="0" collapsed="false">
      <c r="A383" s="0" t="s">
        <v>4806</v>
      </c>
      <c r="B383" s="0" t="s">
        <v>220</v>
      </c>
      <c r="C383" s="14" t="n">
        <v>45742</v>
      </c>
      <c r="D383" s="0" t="n">
        <v>4599.74</v>
      </c>
      <c r="E383" s="14" t="n">
        <v>45757</v>
      </c>
    </row>
    <row r="384" customFormat="false" ht="15" hidden="false" customHeight="false" outlineLevel="0" collapsed="false">
      <c r="A384" s="0" t="s">
        <v>4807</v>
      </c>
      <c r="B384" s="0" t="s">
        <v>226</v>
      </c>
      <c r="C384" s="14" t="n">
        <v>46017</v>
      </c>
      <c r="D384" s="0" t="n">
        <v>5029.08</v>
      </c>
      <c r="E384" s="14" t="n">
        <v>46077</v>
      </c>
    </row>
    <row r="385" customFormat="false" ht="15" hidden="false" customHeight="false" outlineLevel="0" collapsed="false">
      <c r="A385" s="0" t="s">
        <v>4808</v>
      </c>
      <c r="B385" s="0" t="s">
        <v>251</v>
      </c>
      <c r="C385" s="14" t="n">
        <v>46050</v>
      </c>
      <c r="D385" s="0" t="n">
        <v>898.57</v>
      </c>
      <c r="E385" s="14" t="n">
        <v>46080</v>
      </c>
    </row>
    <row r="386" customFormat="false" ht="15" hidden="false" customHeight="false" outlineLevel="0" collapsed="false">
      <c r="A386" s="0" t="s">
        <v>4809</v>
      </c>
      <c r="B386" s="0" t="s">
        <v>232</v>
      </c>
      <c r="C386" s="14" t="n">
        <v>45987</v>
      </c>
      <c r="D386" s="0" t="n">
        <v>4802.36</v>
      </c>
      <c r="E386" s="14" t="n">
        <v>46017</v>
      </c>
    </row>
    <row r="387" customFormat="false" ht="15" hidden="false" customHeight="false" outlineLevel="0" collapsed="false">
      <c r="A387" s="0" t="s">
        <v>4810</v>
      </c>
      <c r="B387" s="0" t="s">
        <v>220</v>
      </c>
      <c r="C387" s="14" t="n">
        <v>46117</v>
      </c>
      <c r="D387" s="0" t="n">
        <v>14391.87</v>
      </c>
      <c r="E387" s="14" t="n">
        <v>46132</v>
      </c>
    </row>
    <row r="388" customFormat="false" ht="15" hidden="false" customHeight="false" outlineLevel="0" collapsed="false">
      <c r="A388" s="0" t="s">
        <v>4811</v>
      </c>
      <c r="B388" s="0" t="s">
        <v>249</v>
      </c>
      <c r="C388" s="14" t="n">
        <v>45965</v>
      </c>
      <c r="D388" s="0" t="n">
        <v>1054.66</v>
      </c>
      <c r="E388" s="14" t="n">
        <v>45980</v>
      </c>
    </row>
    <row r="389" customFormat="false" ht="15" hidden="false" customHeight="false" outlineLevel="0" collapsed="false">
      <c r="A389" s="0" t="s">
        <v>4812</v>
      </c>
      <c r="B389" s="0" t="s">
        <v>270</v>
      </c>
      <c r="C389" s="14" t="n">
        <v>46107</v>
      </c>
      <c r="D389" s="0" t="n">
        <v>2334.44</v>
      </c>
      <c r="E389" s="14" t="n">
        <v>46122</v>
      </c>
    </row>
    <row r="390" customFormat="false" ht="15" hidden="false" customHeight="false" outlineLevel="0" collapsed="false">
      <c r="A390" s="0" t="s">
        <v>4813</v>
      </c>
      <c r="B390" s="0" t="s">
        <v>257</v>
      </c>
      <c r="C390" s="14" t="n">
        <v>45673</v>
      </c>
      <c r="D390" s="0" t="n">
        <v>1068.52</v>
      </c>
      <c r="E390" s="14" t="n">
        <v>45733</v>
      </c>
    </row>
    <row r="391" customFormat="false" ht="15" hidden="false" customHeight="false" outlineLevel="0" collapsed="false">
      <c r="A391" s="0" t="s">
        <v>4814</v>
      </c>
      <c r="B391" s="0" t="s">
        <v>228</v>
      </c>
      <c r="C391" s="14" t="n">
        <v>45682</v>
      </c>
      <c r="D391" s="0" t="n">
        <v>4621.31</v>
      </c>
      <c r="E391" s="14" t="n">
        <v>45727</v>
      </c>
    </row>
    <row r="392" customFormat="false" ht="15" hidden="false" customHeight="false" outlineLevel="0" collapsed="false">
      <c r="A392" s="0" t="s">
        <v>4815</v>
      </c>
      <c r="B392" s="0" t="s">
        <v>257</v>
      </c>
      <c r="C392" s="14" t="n">
        <v>46007</v>
      </c>
      <c r="D392" s="0" t="n">
        <v>18174.41</v>
      </c>
      <c r="E392" s="14" t="n">
        <v>46067</v>
      </c>
    </row>
    <row r="393" customFormat="false" ht="15" hidden="false" customHeight="false" outlineLevel="0" collapsed="false">
      <c r="A393" s="0" t="s">
        <v>4816</v>
      </c>
      <c r="B393" s="0" t="s">
        <v>268</v>
      </c>
      <c r="C393" s="14" t="n">
        <v>45972</v>
      </c>
      <c r="D393" s="0" t="n">
        <v>2812</v>
      </c>
      <c r="E393" s="14" t="n">
        <v>46032</v>
      </c>
    </row>
    <row r="394" customFormat="false" ht="15" hidden="false" customHeight="false" outlineLevel="0" collapsed="false">
      <c r="A394" s="0" t="s">
        <v>4817</v>
      </c>
      <c r="B394" s="0" t="s">
        <v>214</v>
      </c>
      <c r="C394" s="14" t="n">
        <v>46012</v>
      </c>
      <c r="D394" s="0" t="n">
        <v>905.72</v>
      </c>
      <c r="E394" s="14" t="n">
        <v>46057</v>
      </c>
    </row>
    <row r="395" customFormat="false" ht="15" hidden="false" customHeight="false" outlineLevel="0" collapsed="false">
      <c r="A395" s="0" t="s">
        <v>4818</v>
      </c>
      <c r="B395" s="0" t="s">
        <v>267</v>
      </c>
      <c r="C395" s="14" t="n">
        <v>46075</v>
      </c>
      <c r="D395" s="0" t="n">
        <v>1535.87</v>
      </c>
      <c r="E395" s="14" t="n">
        <v>46090</v>
      </c>
    </row>
    <row r="396" customFormat="false" ht="15" hidden="false" customHeight="false" outlineLevel="0" collapsed="false">
      <c r="A396" s="0" t="s">
        <v>4819</v>
      </c>
      <c r="B396" s="0" t="s">
        <v>253</v>
      </c>
      <c r="C396" s="14" t="n">
        <v>45885</v>
      </c>
      <c r="D396" s="0" t="n">
        <v>1196.89</v>
      </c>
      <c r="E396" s="14" t="n">
        <v>45945</v>
      </c>
    </row>
    <row r="397" customFormat="false" ht="15" hidden="false" customHeight="false" outlineLevel="0" collapsed="false">
      <c r="A397" s="0" t="s">
        <v>4820</v>
      </c>
      <c r="B397" s="0" t="s">
        <v>261</v>
      </c>
      <c r="C397" s="14" t="n">
        <v>46006</v>
      </c>
      <c r="D397" s="0" t="n">
        <v>946.3</v>
      </c>
      <c r="E397" s="14" t="n">
        <v>46021</v>
      </c>
    </row>
    <row r="398" customFormat="false" ht="15" hidden="false" customHeight="false" outlineLevel="0" collapsed="false">
      <c r="A398" s="0" t="s">
        <v>4821</v>
      </c>
      <c r="B398" s="0" t="s">
        <v>253</v>
      </c>
      <c r="C398" s="14" t="n">
        <v>45929</v>
      </c>
      <c r="D398" s="0" t="n">
        <v>732.62</v>
      </c>
      <c r="E398" s="14" t="n">
        <v>45989</v>
      </c>
    </row>
    <row r="399" customFormat="false" ht="15" hidden="false" customHeight="false" outlineLevel="0" collapsed="false">
      <c r="A399" s="0" t="s">
        <v>4822</v>
      </c>
      <c r="B399" s="0" t="s">
        <v>214</v>
      </c>
      <c r="C399" s="14" t="n">
        <v>45999</v>
      </c>
      <c r="D399" s="0" t="n">
        <v>4247.8</v>
      </c>
      <c r="E399" s="14" t="n">
        <v>46044</v>
      </c>
    </row>
    <row r="400" customFormat="false" ht="15" hidden="false" customHeight="false" outlineLevel="0" collapsed="false">
      <c r="A400" s="0" t="s">
        <v>4823</v>
      </c>
      <c r="B400" s="0" t="s">
        <v>228</v>
      </c>
      <c r="C400" s="14" t="n">
        <v>45815</v>
      </c>
      <c r="D400" s="0" t="n">
        <v>997.52</v>
      </c>
      <c r="E400" s="14" t="n">
        <v>45860</v>
      </c>
    </row>
    <row r="401" customFormat="false" ht="15" hidden="false" customHeight="false" outlineLevel="0" collapsed="false">
      <c r="A401" s="0" t="s">
        <v>4824</v>
      </c>
      <c r="B401" s="0" t="s">
        <v>230</v>
      </c>
      <c r="C401" s="14" t="n">
        <v>46179</v>
      </c>
      <c r="D401" s="0" t="n">
        <v>10413.39</v>
      </c>
      <c r="E401" s="14" t="n">
        <v>46239</v>
      </c>
    </row>
    <row r="402" customFormat="false" ht="15" hidden="false" customHeight="false" outlineLevel="0" collapsed="false">
      <c r="A402" s="0" t="s">
        <v>4825</v>
      </c>
      <c r="B402" s="0" t="s">
        <v>228</v>
      </c>
      <c r="C402" s="14" t="n">
        <v>45921</v>
      </c>
      <c r="D402" s="0" t="n">
        <v>2307.22</v>
      </c>
      <c r="E402" s="14" t="n">
        <v>45966</v>
      </c>
    </row>
    <row r="403" customFormat="false" ht="15" hidden="false" customHeight="false" outlineLevel="0" collapsed="false">
      <c r="A403" s="0" t="s">
        <v>4826</v>
      </c>
      <c r="B403" s="0" t="s">
        <v>259</v>
      </c>
      <c r="C403" s="14" t="n">
        <v>46096</v>
      </c>
      <c r="D403" s="0" t="n">
        <v>5069.23</v>
      </c>
      <c r="E403" s="14" t="n">
        <v>46156</v>
      </c>
    </row>
    <row r="404" customFormat="false" ht="15" hidden="false" customHeight="false" outlineLevel="0" collapsed="false">
      <c r="A404" s="0" t="s">
        <v>4827</v>
      </c>
      <c r="B404" s="0" t="s">
        <v>268</v>
      </c>
      <c r="C404" s="14" t="n">
        <v>46031</v>
      </c>
      <c r="D404" s="0" t="n">
        <v>1487.62</v>
      </c>
      <c r="E404" s="14" t="n">
        <v>46091</v>
      </c>
    </row>
    <row r="405" customFormat="false" ht="15" hidden="false" customHeight="false" outlineLevel="0" collapsed="false">
      <c r="A405" s="0" t="s">
        <v>4828</v>
      </c>
      <c r="B405" s="0" t="s">
        <v>267</v>
      </c>
      <c r="C405" s="14" t="n">
        <v>45820</v>
      </c>
      <c r="D405" s="0" t="n">
        <v>1687.78</v>
      </c>
      <c r="E405" s="14" t="n">
        <v>45835</v>
      </c>
    </row>
    <row r="406" customFormat="false" ht="15" hidden="false" customHeight="false" outlineLevel="0" collapsed="false">
      <c r="A406" s="0" t="s">
        <v>4829</v>
      </c>
      <c r="B406" s="0" t="s">
        <v>259</v>
      </c>
      <c r="C406" s="14" t="n">
        <v>45697</v>
      </c>
      <c r="D406" s="0" t="n">
        <v>4698.15</v>
      </c>
      <c r="E406" s="14" t="n">
        <v>45757</v>
      </c>
    </row>
    <row r="407" customFormat="false" ht="15" hidden="false" customHeight="false" outlineLevel="0" collapsed="false">
      <c r="A407" s="0" t="s">
        <v>4830</v>
      </c>
      <c r="B407" s="0" t="s">
        <v>222</v>
      </c>
      <c r="C407" s="14" t="n">
        <v>45690</v>
      </c>
      <c r="D407" s="0" t="n">
        <v>3813</v>
      </c>
      <c r="E407" s="14" t="n">
        <v>45705</v>
      </c>
    </row>
    <row r="408" customFormat="false" ht="15" hidden="false" customHeight="false" outlineLevel="0" collapsed="false">
      <c r="A408" s="0" t="s">
        <v>4831</v>
      </c>
      <c r="B408" s="0" t="s">
        <v>214</v>
      </c>
      <c r="C408" s="14" t="n">
        <v>45897</v>
      </c>
      <c r="D408" s="0" t="n">
        <v>218.48</v>
      </c>
      <c r="E408" s="14" t="n">
        <v>45942</v>
      </c>
    </row>
    <row r="409" customFormat="false" ht="15" hidden="false" customHeight="false" outlineLevel="0" collapsed="false">
      <c r="A409" s="0" t="s">
        <v>4832</v>
      </c>
      <c r="B409" s="0" t="s">
        <v>270</v>
      </c>
      <c r="C409" s="14" t="n">
        <v>45921</v>
      </c>
      <c r="D409" s="0" t="n">
        <v>3810.71</v>
      </c>
      <c r="E409" s="14" t="n">
        <v>45936</v>
      </c>
    </row>
    <row r="410" customFormat="false" ht="15" hidden="false" customHeight="false" outlineLevel="0" collapsed="false">
      <c r="A410" s="0" t="s">
        <v>4833</v>
      </c>
      <c r="B410" s="0" t="s">
        <v>228</v>
      </c>
      <c r="C410" s="14" t="n">
        <v>45769</v>
      </c>
      <c r="D410" s="0" t="n">
        <v>565.3</v>
      </c>
      <c r="E410" s="14" t="n">
        <v>45814</v>
      </c>
    </row>
    <row r="411" customFormat="false" ht="15" hidden="false" customHeight="false" outlineLevel="0" collapsed="false">
      <c r="A411" s="0" t="s">
        <v>4834</v>
      </c>
      <c r="B411" s="0" t="s">
        <v>232</v>
      </c>
      <c r="C411" s="14" t="n">
        <v>45988</v>
      </c>
      <c r="D411" s="0" t="n">
        <v>2273.13</v>
      </c>
      <c r="E411" s="14" t="n">
        <v>46018</v>
      </c>
    </row>
    <row r="412" customFormat="false" ht="15" hidden="false" customHeight="false" outlineLevel="0" collapsed="false">
      <c r="A412" s="0" t="s">
        <v>4835</v>
      </c>
      <c r="B412" s="0" t="s">
        <v>270</v>
      </c>
      <c r="C412" s="14" t="n">
        <v>45828</v>
      </c>
      <c r="D412" s="0" t="n">
        <v>4159.74</v>
      </c>
      <c r="E412" s="14" t="n">
        <v>45843</v>
      </c>
    </row>
    <row r="413" customFormat="false" ht="15" hidden="false" customHeight="false" outlineLevel="0" collapsed="false">
      <c r="A413" s="0" t="s">
        <v>4836</v>
      </c>
      <c r="B413" s="0" t="s">
        <v>245</v>
      </c>
      <c r="C413" s="14" t="n">
        <v>46049</v>
      </c>
      <c r="D413" s="0" t="n">
        <v>2037.81</v>
      </c>
      <c r="E413" s="14" t="n">
        <v>46064</v>
      </c>
    </row>
    <row r="414" customFormat="false" ht="15" hidden="false" customHeight="false" outlineLevel="0" collapsed="false">
      <c r="A414" s="0" t="s">
        <v>4837</v>
      </c>
      <c r="B414" s="0" t="s">
        <v>261</v>
      </c>
      <c r="C414" s="14" t="n">
        <v>46058</v>
      </c>
      <c r="D414" s="0" t="n">
        <v>3025</v>
      </c>
      <c r="E414" s="14" t="n">
        <v>46073</v>
      </c>
    </row>
    <row r="415" customFormat="false" ht="15" hidden="false" customHeight="false" outlineLevel="0" collapsed="false">
      <c r="A415" s="0" t="s">
        <v>4838</v>
      </c>
      <c r="B415" s="0" t="s">
        <v>228</v>
      </c>
      <c r="C415" s="14" t="n">
        <v>46127</v>
      </c>
      <c r="D415" s="0" t="n">
        <v>5874.07</v>
      </c>
      <c r="E415" s="14" t="n">
        <v>46172</v>
      </c>
    </row>
    <row r="416" customFormat="false" ht="15" hidden="false" customHeight="false" outlineLevel="0" collapsed="false">
      <c r="A416" s="0" t="s">
        <v>4839</v>
      </c>
      <c r="B416" s="0" t="s">
        <v>259</v>
      </c>
      <c r="C416" s="14" t="n">
        <v>46189</v>
      </c>
      <c r="D416" s="0" t="n">
        <v>348.56</v>
      </c>
      <c r="E416" s="14" t="n">
        <v>46249</v>
      </c>
    </row>
    <row r="417" customFormat="false" ht="15" hidden="false" customHeight="false" outlineLevel="0" collapsed="false">
      <c r="A417" s="0" t="s">
        <v>4840</v>
      </c>
      <c r="B417" s="0" t="s">
        <v>234</v>
      </c>
      <c r="C417" s="14" t="n">
        <v>45729</v>
      </c>
      <c r="D417" s="0" t="n">
        <v>2423.09</v>
      </c>
      <c r="E417" s="14" t="n">
        <v>45774</v>
      </c>
    </row>
    <row r="418" customFormat="false" ht="15" hidden="false" customHeight="false" outlineLevel="0" collapsed="false">
      <c r="A418" s="0" t="s">
        <v>4841</v>
      </c>
      <c r="B418" s="0" t="s">
        <v>253</v>
      </c>
      <c r="C418" s="14" t="n">
        <v>45859</v>
      </c>
      <c r="D418" s="0" t="n">
        <v>9976.58</v>
      </c>
      <c r="E418" s="14" t="n">
        <v>45919</v>
      </c>
    </row>
    <row r="419" customFormat="false" ht="15" hidden="false" customHeight="false" outlineLevel="0" collapsed="false">
      <c r="A419" s="0" t="s">
        <v>4842</v>
      </c>
      <c r="B419" s="0" t="s">
        <v>245</v>
      </c>
      <c r="C419" s="14" t="n">
        <v>45964</v>
      </c>
      <c r="D419" s="0" t="n">
        <v>14623.85</v>
      </c>
      <c r="E419" s="14" t="n">
        <v>45979</v>
      </c>
    </row>
    <row r="420" customFormat="false" ht="15" hidden="false" customHeight="false" outlineLevel="0" collapsed="false">
      <c r="A420" s="0" t="s">
        <v>4843</v>
      </c>
      <c r="B420" s="0" t="s">
        <v>265</v>
      </c>
      <c r="C420" s="14" t="n">
        <v>45831</v>
      </c>
      <c r="D420" s="0" t="n">
        <v>612.53</v>
      </c>
      <c r="E420" s="14" t="n">
        <v>45891</v>
      </c>
    </row>
    <row r="421" customFormat="false" ht="15" hidden="false" customHeight="false" outlineLevel="0" collapsed="false">
      <c r="A421" s="0" t="s">
        <v>4844</v>
      </c>
      <c r="B421" s="0" t="s">
        <v>259</v>
      </c>
      <c r="C421" s="14" t="n">
        <v>45912</v>
      </c>
      <c r="D421" s="0" t="n">
        <v>3336.09</v>
      </c>
      <c r="E421" s="14" t="n">
        <v>45972</v>
      </c>
    </row>
    <row r="422" customFormat="false" ht="15" hidden="false" customHeight="false" outlineLevel="0" collapsed="false">
      <c r="A422" s="0" t="s">
        <v>4845</v>
      </c>
      <c r="B422" s="0" t="s">
        <v>236</v>
      </c>
      <c r="C422" s="14" t="n">
        <v>45803</v>
      </c>
      <c r="D422" s="0" t="n">
        <v>5667.34</v>
      </c>
      <c r="E422" s="14" t="n">
        <v>45863</v>
      </c>
    </row>
    <row r="423" customFormat="false" ht="15" hidden="false" customHeight="false" outlineLevel="0" collapsed="false">
      <c r="A423" s="0" t="s">
        <v>4846</v>
      </c>
      <c r="B423" s="0" t="s">
        <v>257</v>
      </c>
      <c r="C423" s="14" t="n">
        <v>45793</v>
      </c>
      <c r="D423" s="0" t="n">
        <v>2238.81</v>
      </c>
      <c r="E423" s="14" t="n">
        <v>45853</v>
      </c>
    </row>
    <row r="424" customFormat="false" ht="15" hidden="false" customHeight="false" outlineLevel="0" collapsed="false">
      <c r="A424" s="0" t="s">
        <v>4847</v>
      </c>
      <c r="B424" s="0" t="s">
        <v>243</v>
      </c>
      <c r="C424" s="14" t="n">
        <v>45710</v>
      </c>
      <c r="D424" s="0" t="n">
        <v>2184.71</v>
      </c>
      <c r="E424" s="14" t="n">
        <v>45740</v>
      </c>
    </row>
    <row r="425" customFormat="false" ht="15" hidden="false" customHeight="false" outlineLevel="0" collapsed="false">
      <c r="A425" s="0" t="s">
        <v>4848</v>
      </c>
      <c r="B425" s="0" t="s">
        <v>249</v>
      </c>
      <c r="C425" s="14" t="n">
        <v>45816</v>
      </c>
      <c r="D425" s="0" t="n">
        <v>2617.73</v>
      </c>
      <c r="E425" s="14" t="n">
        <v>45831</v>
      </c>
    </row>
    <row r="426" customFormat="false" ht="15" hidden="false" customHeight="false" outlineLevel="0" collapsed="false">
      <c r="A426" s="0" t="s">
        <v>4849</v>
      </c>
      <c r="B426" s="0" t="s">
        <v>249</v>
      </c>
      <c r="C426" s="14" t="n">
        <v>45867</v>
      </c>
      <c r="D426" s="0" t="n">
        <v>6660.76</v>
      </c>
      <c r="E426" s="14" t="n">
        <v>45882</v>
      </c>
    </row>
    <row r="427" customFormat="false" ht="15" hidden="false" customHeight="false" outlineLevel="0" collapsed="false">
      <c r="A427" s="0" t="s">
        <v>4850</v>
      </c>
      <c r="B427" s="0" t="s">
        <v>241</v>
      </c>
      <c r="C427" s="14" t="n">
        <v>45993</v>
      </c>
      <c r="D427" s="0" t="n">
        <v>782.4</v>
      </c>
      <c r="E427" s="14" t="n">
        <v>46008</v>
      </c>
    </row>
    <row r="428" customFormat="false" ht="15" hidden="false" customHeight="false" outlineLevel="0" collapsed="false">
      <c r="A428" s="0" t="s">
        <v>4851</v>
      </c>
      <c r="B428" s="0" t="s">
        <v>247</v>
      </c>
      <c r="C428" s="14" t="n">
        <v>45793</v>
      </c>
      <c r="D428" s="0" t="n">
        <v>881.21</v>
      </c>
      <c r="E428" s="14" t="n">
        <v>45808</v>
      </c>
    </row>
    <row r="429" customFormat="false" ht="15" hidden="false" customHeight="false" outlineLevel="0" collapsed="false">
      <c r="A429" s="0" t="s">
        <v>4852</v>
      </c>
      <c r="B429" s="0" t="s">
        <v>243</v>
      </c>
      <c r="C429" s="14" t="n">
        <v>46129</v>
      </c>
      <c r="D429" s="0" t="n">
        <v>3647.52</v>
      </c>
      <c r="E429" s="14" t="n">
        <v>46159</v>
      </c>
    </row>
    <row r="430" customFormat="false" ht="15" hidden="false" customHeight="false" outlineLevel="0" collapsed="false">
      <c r="A430" s="0" t="s">
        <v>4853</v>
      </c>
      <c r="B430" s="0" t="s">
        <v>261</v>
      </c>
      <c r="C430" s="14" t="n">
        <v>45745</v>
      </c>
      <c r="D430" s="0" t="n">
        <v>3313.04</v>
      </c>
      <c r="E430" s="14" t="n">
        <v>45760</v>
      </c>
    </row>
    <row r="431" customFormat="false" ht="15" hidden="false" customHeight="false" outlineLevel="0" collapsed="false">
      <c r="A431" s="0" t="s">
        <v>4854</v>
      </c>
      <c r="B431" s="0" t="s">
        <v>265</v>
      </c>
      <c r="C431" s="14" t="n">
        <v>45836</v>
      </c>
      <c r="D431" s="0" t="n">
        <v>791.01</v>
      </c>
      <c r="E431" s="14" t="n">
        <v>45896</v>
      </c>
    </row>
    <row r="432" customFormat="false" ht="15" hidden="false" customHeight="false" outlineLevel="0" collapsed="false">
      <c r="A432" s="0" t="s">
        <v>4855</v>
      </c>
      <c r="B432" s="0" t="s">
        <v>232</v>
      </c>
      <c r="C432" s="14" t="n">
        <v>45972</v>
      </c>
      <c r="D432" s="0" t="n">
        <v>5446.66</v>
      </c>
      <c r="E432" s="14" t="n">
        <v>46002</v>
      </c>
    </row>
    <row r="433" customFormat="false" ht="15" hidden="false" customHeight="false" outlineLevel="0" collapsed="false">
      <c r="A433" s="0" t="s">
        <v>4856</v>
      </c>
      <c r="B433" s="0" t="s">
        <v>259</v>
      </c>
      <c r="C433" s="14" t="n">
        <v>45828</v>
      </c>
      <c r="D433" s="0" t="n">
        <v>2078.1</v>
      </c>
      <c r="E433" s="14" t="n">
        <v>45888</v>
      </c>
    </row>
    <row r="434" customFormat="false" ht="15" hidden="false" customHeight="false" outlineLevel="0" collapsed="false">
      <c r="A434" s="0" t="s">
        <v>4857</v>
      </c>
      <c r="B434" s="0" t="s">
        <v>245</v>
      </c>
      <c r="C434" s="14" t="n">
        <v>46073</v>
      </c>
      <c r="D434" s="0" t="n">
        <v>22154.21</v>
      </c>
      <c r="E434" s="14" t="n">
        <v>46088</v>
      </c>
    </row>
    <row r="435" customFormat="false" ht="15" hidden="false" customHeight="false" outlineLevel="0" collapsed="false">
      <c r="A435" s="0" t="s">
        <v>4858</v>
      </c>
      <c r="B435" s="0" t="s">
        <v>261</v>
      </c>
      <c r="C435" s="14" t="n">
        <v>45929</v>
      </c>
      <c r="D435" s="0" t="n">
        <v>4300.32</v>
      </c>
      <c r="E435" s="14" t="n">
        <v>45944</v>
      </c>
    </row>
    <row r="436" customFormat="false" ht="15" hidden="false" customHeight="false" outlineLevel="0" collapsed="false">
      <c r="A436" s="0" t="s">
        <v>4859</v>
      </c>
      <c r="B436" s="0" t="s">
        <v>249</v>
      </c>
      <c r="C436" s="14" t="n">
        <v>45938</v>
      </c>
      <c r="D436" s="0" t="n">
        <v>1034.15</v>
      </c>
      <c r="E436" s="14" t="n">
        <v>45953</v>
      </c>
    </row>
    <row r="437" customFormat="false" ht="15" hidden="false" customHeight="false" outlineLevel="0" collapsed="false">
      <c r="A437" s="0" t="s">
        <v>4860</v>
      </c>
      <c r="B437" s="0" t="s">
        <v>208</v>
      </c>
      <c r="C437" s="14" t="n">
        <v>45929</v>
      </c>
      <c r="D437" s="0" t="n">
        <v>13099.77</v>
      </c>
      <c r="E437" s="14" t="n">
        <v>45974</v>
      </c>
    </row>
    <row r="438" customFormat="false" ht="15" hidden="false" customHeight="false" outlineLevel="0" collapsed="false">
      <c r="A438" s="0" t="s">
        <v>4861</v>
      </c>
      <c r="B438" s="0" t="s">
        <v>270</v>
      </c>
      <c r="C438" s="14" t="n">
        <v>45826</v>
      </c>
      <c r="D438" s="0" t="n">
        <v>1458.86</v>
      </c>
      <c r="E438" s="14" t="n">
        <v>45841</v>
      </c>
    </row>
    <row r="439" customFormat="false" ht="15" hidden="false" customHeight="false" outlineLevel="0" collapsed="false">
      <c r="A439" s="0" t="s">
        <v>4862</v>
      </c>
      <c r="B439" s="0" t="s">
        <v>214</v>
      </c>
      <c r="C439" s="14" t="n">
        <v>45670</v>
      </c>
      <c r="D439" s="0" t="n">
        <v>972.77</v>
      </c>
      <c r="E439" s="14" t="n">
        <v>45715</v>
      </c>
    </row>
    <row r="440" customFormat="false" ht="15" hidden="false" customHeight="false" outlineLevel="0" collapsed="false">
      <c r="A440" s="0" t="s">
        <v>4863</v>
      </c>
      <c r="B440" s="0" t="s">
        <v>249</v>
      </c>
      <c r="C440" s="14" t="n">
        <v>46173</v>
      </c>
      <c r="D440" s="0" t="n">
        <v>15147.09</v>
      </c>
      <c r="E440" s="14" t="n">
        <v>46188</v>
      </c>
    </row>
    <row r="441" customFormat="false" ht="15" hidden="false" customHeight="false" outlineLevel="0" collapsed="false">
      <c r="A441" s="0" t="s">
        <v>4864</v>
      </c>
      <c r="B441" s="0" t="s">
        <v>267</v>
      </c>
      <c r="C441" s="14" t="n">
        <v>45933</v>
      </c>
      <c r="D441" s="0" t="n">
        <v>4774.51</v>
      </c>
      <c r="E441" s="14" t="n">
        <v>45948</v>
      </c>
    </row>
    <row r="442" customFormat="false" ht="15" hidden="false" customHeight="false" outlineLevel="0" collapsed="false">
      <c r="A442" s="0" t="s">
        <v>4865</v>
      </c>
      <c r="B442" s="0" t="s">
        <v>220</v>
      </c>
      <c r="C442" s="14" t="n">
        <v>46184</v>
      </c>
      <c r="D442" s="0" t="n">
        <v>1827.71</v>
      </c>
      <c r="E442" s="14" t="n">
        <v>46199</v>
      </c>
    </row>
    <row r="443" customFormat="false" ht="15" hidden="false" customHeight="false" outlineLevel="0" collapsed="false">
      <c r="A443" s="0" t="s">
        <v>4866</v>
      </c>
      <c r="B443" s="0" t="s">
        <v>251</v>
      </c>
      <c r="C443" s="14" t="n">
        <v>45775</v>
      </c>
      <c r="D443" s="0" t="n">
        <v>1419.36</v>
      </c>
      <c r="E443" s="14" t="n">
        <v>45805</v>
      </c>
    </row>
    <row r="444" customFormat="false" ht="15" hidden="false" customHeight="false" outlineLevel="0" collapsed="false">
      <c r="A444" s="0" t="s">
        <v>4867</v>
      </c>
      <c r="B444" s="0" t="s">
        <v>236</v>
      </c>
      <c r="C444" s="14" t="n">
        <v>45850</v>
      </c>
      <c r="D444" s="0" t="n">
        <v>3354.86</v>
      </c>
      <c r="E444" s="14" t="n">
        <v>45910</v>
      </c>
    </row>
    <row r="445" customFormat="false" ht="15" hidden="false" customHeight="false" outlineLevel="0" collapsed="false">
      <c r="A445" s="0" t="s">
        <v>4868</v>
      </c>
      <c r="B445" s="0" t="s">
        <v>255</v>
      </c>
      <c r="C445" s="14" t="n">
        <v>45685</v>
      </c>
      <c r="D445" s="0" t="n">
        <v>1948.8</v>
      </c>
      <c r="E445" s="14" t="n">
        <v>45715</v>
      </c>
    </row>
    <row r="446" customFormat="false" ht="15" hidden="false" customHeight="false" outlineLevel="0" collapsed="false">
      <c r="A446" s="0" t="s">
        <v>4869</v>
      </c>
      <c r="B446" s="0" t="s">
        <v>214</v>
      </c>
      <c r="C446" s="14" t="n">
        <v>45927</v>
      </c>
      <c r="D446" s="0" t="n">
        <v>5733.44</v>
      </c>
      <c r="E446" s="14" t="n">
        <v>45972</v>
      </c>
    </row>
    <row r="447" customFormat="false" ht="15" hidden="false" customHeight="false" outlineLevel="0" collapsed="false">
      <c r="A447" s="0" t="s">
        <v>4870</v>
      </c>
      <c r="B447" s="0" t="s">
        <v>251</v>
      </c>
      <c r="C447" s="14" t="n">
        <v>46138</v>
      </c>
      <c r="D447" s="0" t="n">
        <v>3227.35</v>
      </c>
      <c r="E447" s="14" t="n">
        <v>46168</v>
      </c>
    </row>
    <row r="448" customFormat="false" ht="15" hidden="false" customHeight="false" outlineLevel="0" collapsed="false">
      <c r="A448" s="0" t="s">
        <v>4871</v>
      </c>
      <c r="B448" s="0" t="s">
        <v>232</v>
      </c>
      <c r="C448" s="14" t="n">
        <v>46014</v>
      </c>
      <c r="D448" s="0" t="n">
        <v>1389.94</v>
      </c>
      <c r="E448" s="14" t="n">
        <v>46044</v>
      </c>
    </row>
    <row r="449" customFormat="false" ht="15" hidden="false" customHeight="false" outlineLevel="0" collapsed="false">
      <c r="A449" s="0" t="s">
        <v>4872</v>
      </c>
      <c r="B449" s="0" t="s">
        <v>208</v>
      </c>
      <c r="C449" s="14" t="n">
        <v>45914</v>
      </c>
      <c r="D449" s="0" t="n">
        <v>4424.18</v>
      </c>
      <c r="E449" s="14" t="n">
        <v>45959</v>
      </c>
    </row>
    <row r="450" customFormat="false" ht="15" hidden="false" customHeight="false" outlineLevel="0" collapsed="false">
      <c r="A450" s="0" t="s">
        <v>4873</v>
      </c>
      <c r="B450" s="0" t="s">
        <v>255</v>
      </c>
      <c r="C450" s="14" t="n">
        <v>45950</v>
      </c>
      <c r="D450" s="0" t="n">
        <v>5939.73</v>
      </c>
      <c r="E450" s="14" t="n">
        <v>45980</v>
      </c>
    </row>
    <row r="451" customFormat="false" ht="15" hidden="false" customHeight="false" outlineLevel="0" collapsed="false">
      <c r="A451" s="0" t="s">
        <v>4874</v>
      </c>
      <c r="B451" s="0" t="s">
        <v>232</v>
      </c>
      <c r="C451" s="14" t="n">
        <v>46119</v>
      </c>
      <c r="D451" s="0" t="n">
        <v>6534.13</v>
      </c>
      <c r="E451" s="14" t="n">
        <v>46149</v>
      </c>
    </row>
    <row r="452" customFormat="false" ht="15" hidden="false" customHeight="false" outlineLevel="0" collapsed="false">
      <c r="A452" s="0" t="s">
        <v>4875</v>
      </c>
      <c r="B452" s="0" t="s">
        <v>249</v>
      </c>
      <c r="C452" s="14" t="n">
        <v>45892</v>
      </c>
      <c r="D452" s="0" t="n">
        <v>905.65</v>
      </c>
      <c r="E452" s="14" t="n">
        <v>45907</v>
      </c>
    </row>
    <row r="453" customFormat="false" ht="15" hidden="false" customHeight="false" outlineLevel="0" collapsed="false">
      <c r="A453" s="0" t="s">
        <v>4876</v>
      </c>
      <c r="B453" s="0" t="s">
        <v>257</v>
      </c>
      <c r="C453" s="14" t="n">
        <v>46138</v>
      </c>
      <c r="D453" s="0" t="n">
        <v>3067.28</v>
      </c>
      <c r="E453" s="14" t="n">
        <v>46198</v>
      </c>
    </row>
    <row r="454" customFormat="false" ht="15" hidden="false" customHeight="false" outlineLevel="0" collapsed="false">
      <c r="A454" s="0" t="s">
        <v>4877</v>
      </c>
      <c r="B454" s="0" t="s">
        <v>211</v>
      </c>
      <c r="C454" s="14" t="n">
        <v>46054</v>
      </c>
      <c r="D454" s="0" t="n">
        <v>1584.49</v>
      </c>
      <c r="E454" s="14" t="n">
        <v>46069</v>
      </c>
    </row>
    <row r="455" customFormat="false" ht="15" hidden="false" customHeight="false" outlineLevel="0" collapsed="false">
      <c r="A455" s="0" t="s">
        <v>4878</v>
      </c>
      <c r="B455" s="0" t="s">
        <v>247</v>
      </c>
      <c r="C455" s="14" t="n">
        <v>46074</v>
      </c>
      <c r="D455" s="0" t="n">
        <v>3317.36</v>
      </c>
      <c r="E455" s="14" t="n">
        <v>46089</v>
      </c>
    </row>
    <row r="456" customFormat="false" ht="15" hidden="false" customHeight="false" outlineLevel="0" collapsed="false">
      <c r="A456" s="0" t="s">
        <v>4879</v>
      </c>
      <c r="B456" s="0" t="s">
        <v>251</v>
      </c>
      <c r="C456" s="14" t="n">
        <v>45857</v>
      </c>
      <c r="D456" s="0" t="n">
        <v>8677.01</v>
      </c>
      <c r="E456" s="14" t="n">
        <v>45887</v>
      </c>
    </row>
    <row r="457" customFormat="false" ht="15" hidden="false" customHeight="false" outlineLevel="0" collapsed="false">
      <c r="A457" s="0" t="s">
        <v>4880</v>
      </c>
      <c r="B457" s="0" t="s">
        <v>243</v>
      </c>
      <c r="C457" s="14" t="n">
        <v>45876</v>
      </c>
      <c r="D457" s="0" t="n">
        <v>325.4</v>
      </c>
      <c r="E457" s="14" t="n">
        <v>45906</v>
      </c>
    </row>
    <row r="458" customFormat="false" ht="15" hidden="false" customHeight="false" outlineLevel="0" collapsed="false">
      <c r="A458" s="0" t="s">
        <v>4881</v>
      </c>
      <c r="B458" s="0" t="s">
        <v>222</v>
      </c>
      <c r="C458" s="14" t="n">
        <v>45968</v>
      </c>
      <c r="D458" s="0" t="n">
        <v>558.97</v>
      </c>
      <c r="E458" s="14" t="n">
        <v>45983</v>
      </c>
    </row>
    <row r="459" customFormat="false" ht="15" hidden="false" customHeight="false" outlineLevel="0" collapsed="false">
      <c r="A459" s="0" t="s">
        <v>4882</v>
      </c>
      <c r="B459" s="0" t="s">
        <v>267</v>
      </c>
      <c r="C459" s="14" t="n">
        <v>45764</v>
      </c>
      <c r="D459" s="0" t="n">
        <v>5328.41</v>
      </c>
      <c r="E459" s="14" t="n">
        <v>45779</v>
      </c>
    </row>
    <row r="460" customFormat="false" ht="15" hidden="false" customHeight="false" outlineLevel="0" collapsed="false">
      <c r="A460" s="0" t="s">
        <v>4883</v>
      </c>
      <c r="B460" s="0" t="s">
        <v>230</v>
      </c>
      <c r="C460" s="14" t="n">
        <v>45959</v>
      </c>
      <c r="D460" s="0" t="n">
        <v>870.84</v>
      </c>
      <c r="E460" s="14" t="n">
        <v>46019</v>
      </c>
    </row>
    <row r="461" customFormat="false" ht="15" hidden="false" customHeight="false" outlineLevel="0" collapsed="false">
      <c r="A461" s="0" t="s">
        <v>4884</v>
      </c>
      <c r="B461" s="0" t="s">
        <v>239</v>
      </c>
      <c r="C461" s="14" t="n">
        <v>45698</v>
      </c>
      <c r="D461" s="0" t="n">
        <v>3688.77</v>
      </c>
      <c r="E461" s="14" t="n">
        <v>45728</v>
      </c>
    </row>
    <row r="462" customFormat="false" ht="15" hidden="false" customHeight="false" outlineLevel="0" collapsed="false">
      <c r="A462" s="0" t="s">
        <v>4885</v>
      </c>
      <c r="B462" s="0" t="s">
        <v>267</v>
      </c>
      <c r="C462" s="14" t="n">
        <v>45932</v>
      </c>
      <c r="D462" s="0" t="n">
        <v>16714.6</v>
      </c>
      <c r="E462" s="14" t="n">
        <v>45947</v>
      </c>
    </row>
    <row r="463" customFormat="false" ht="15" hidden="false" customHeight="false" outlineLevel="0" collapsed="false">
      <c r="A463" s="0" t="s">
        <v>4886</v>
      </c>
      <c r="B463" s="0" t="s">
        <v>253</v>
      </c>
      <c r="C463" s="14" t="n">
        <v>46074</v>
      </c>
      <c r="D463" s="0" t="n">
        <v>6079.39</v>
      </c>
      <c r="E463" s="14" t="n">
        <v>46134</v>
      </c>
    </row>
    <row r="464" customFormat="false" ht="15" hidden="false" customHeight="false" outlineLevel="0" collapsed="false">
      <c r="A464" s="0" t="s">
        <v>4887</v>
      </c>
      <c r="B464" s="0" t="s">
        <v>267</v>
      </c>
      <c r="C464" s="14" t="n">
        <v>45810</v>
      </c>
      <c r="D464" s="0" t="n">
        <v>2297.56</v>
      </c>
      <c r="E464" s="14" t="n">
        <v>45825</v>
      </c>
    </row>
    <row r="465" customFormat="false" ht="15" hidden="false" customHeight="false" outlineLevel="0" collapsed="false">
      <c r="A465" s="0" t="s">
        <v>4888</v>
      </c>
      <c r="B465" s="0" t="s">
        <v>251</v>
      </c>
      <c r="C465" s="14" t="n">
        <v>46197</v>
      </c>
      <c r="D465" s="0" t="n">
        <v>4197.23</v>
      </c>
      <c r="E465" s="14" t="n">
        <v>46227</v>
      </c>
    </row>
    <row r="466" customFormat="false" ht="15" hidden="false" customHeight="false" outlineLevel="0" collapsed="false">
      <c r="A466" s="0" t="s">
        <v>4889</v>
      </c>
      <c r="B466" s="0" t="s">
        <v>236</v>
      </c>
      <c r="C466" s="14" t="n">
        <v>46028</v>
      </c>
      <c r="D466" s="0" t="n">
        <v>17482.96</v>
      </c>
      <c r="E466" s="14" t="n">
        <v>46088</v>
      </c>
    </row>
    <row r="467" customFormat="false" ht="15" hidden="false" customHeight="false" outlineLevel="0" collapsed="false">
      <c r="A467" s="0" t="s">
        <v>4890</v>
      </c>
      <c r="B467" s="0" t="s">
        <v>247</v>
      </c>
      <c r="C467" s="14" t="n">
        <v>45722</v>
      </c>
      <c r="D467" s="0" t="n">
        <v>39817.42</v>
      </c>
      <c r="E467" s="14" t="n">
        <v>45737</v>
      </c>
    </row>
    <row r="468" customFormat="false" ht="15" hidden="false" customHeight="false" outlineLevel="0" collapsed="false">
      <c r="A468" s="0" t="s">
        <v>4891</v>
      </c>
      <c r="B468" s="0" t="s">
        <v>230</v>
      </c>
      <c r="C468" s="14" t="n">
        <v>46189</v>
      </c>
      <c r="D468" s="0" t="n">
        <v>7642.64</v>
      </c>
      <c r="E468" s="14" t="n">
        <v>46249</v>
      </c>
    </row>
    <row r="469" customFormat="false" ht="15" hidden="false" customHeight="false" outlineLevel="0" collapsed="false">
      <c r="A469" s="0" t="s">
        <v>4892</v>
      </c>
      <c r="B469" s="0" t="s">
        <v>268</v>
      </c>
      <c r="C469" s="14" t="n">
        <v>45872</v>
      </c>
      <c r="D469" s="0" t="n">
        <v>2491.07</v>
      </c>
      <c r="E469" s="14" t="n">
        <v>45932</v>
      </c>
    </row>
    <row r="470" customFormat="false" ht="15" hidden="false" customHeight="false" outlineLevel="0" collapsed="false">
      <c r="A470" s="0" t="s">
        <v>4893</v>
      </c>
      <c r="B470" s="0" t="s">
        <v>265</v>
      </c>
      <c r="C470" s="14" t="n">
        <v>46091</v>
      </c>
      <c r="D470" s="0" t="n">
        <v>3222.71</v>
      </c>
      <c r="E470" s="14" t="n">
        <v>46151</v>
      </c>
    </row>
    <row r="471" customFormat="false" ht="15" hidden="false" customHeight="false" outlineLevel="0" collapsed="false">
      <c r="A471" s="0" t="s">
        <v>4894</v>
      </c>
      <c r="B471" s="0" t="s">
        <v>234</v>
      </c>
      <c r="C471" s="14" t="n">
        <v>45842</v>
      </c>
      <c r="D471" s="0" t="n">
        <v>1588.52</v>
      </c>
      <c r="E471" s="14" t="n">
        <v>45887</v>
      </c>
    </row>
    <row r="472" customFormat="false" ht="15" hidden="false" customHeight="false" outlineLevel="0" collapsed="false">
      <c r="A472" s="0" t="s">
        <v>4895</v>
      </c>
      <c r="B472" s="0" t="s">
        <v>263</v>
      </c>
      <c r="C472" s="14" t="n">
        <v>46169</v>
      </c>
      <c r="D472" s="0" t="n">
        <v>643.3</v>
      </c>
      <c r="E472" s="14" t="n">
        <v>46229</v>
      </c>
    </row>
    <row r="473" customFormat="false" ht="15" hidden="false" customHeight="false" outlineLevel="0" collapsed="false">
      <c r="A473" s="0" t="s">
        <v>4896</v>
      </c>
      <c r="B473" s="0" t="s">
        <v>259</v>
      </c>
      <c r="C473" s="14" t="n">
        <v>46069</v>
      </c>
      <c r="D473" s="0" t="n">
        <v>3234.7</v>
      </c>
      <c r="E473" s="14" t="n">
        <v>46129</v>
      </c>
    </row>
    <row r="474" customFormat="false" ht="15" hidden="false" customHeight="false" outlineLevel="0" collapsed="false">
      <c r="A474" s="0" t="s">
        <v>4897</v>
      </c>
      <c r="B474" s="0" t="s">
        <v>236</v>
      </c>
      <c r="C474" s="14" t="n">
        <v>45766</v>
      </c>
      <c r="D474" s="0" t="n">
        <v>406.73</v>
      </c>
      <c r="E474" s="14" t="n">
        <v>45826</v>
      </c>
    </row>
    <row r="475" customFormat="false" ht="15" hidden="false" customHeight="false" outlineLevel="0" collapsed="false">
      <c r="A475" s="0" t="s">
        <v>4898</v>
      </c>
      <c r="B475" s="0" t="s">
        <v>255</v>
      </c>
      <c r="C475" s="14" t="n">
        <v>45935</v>
      </c>
      <c r="D475" s="0" t="n">
        <v>938.41</v>
      </c>
      <c r="E475" s="14" t="n">
        <v>45965</v>
      </c>
    </row>
    <row r="476" customFormat="false" ht="15" hidden="false" customHeight="false" outlineLevel="0" collapsed="false">
      <c r="A476" s="0" t="s">
        <v>4899</v>
      </c>
      <c r="B476" s="0" t="s">
        <v>226</v>
      </c>
      <c r="C476" s="14" t="n">
        <v>45930</v>
      </c>
      <c r="D476" s="0" t="n">
        <v>1285.74</v>
      </c>
      <c r="E476" s="14" t="n">
        <v>45990</v>
      </c>
    </row>
    <row r="477" customFormat="false" ht="15" hidden="false" customHeight="false" outlineLevel="0" collapsed="false">
      <c r="A477" s="0" t="s">
        <v>4900</v>
      </c>
      <c r="B477" s="0" t="s">
        <v>226</v>
      </c>
      <c r="C477" s="14" t="n">
        <v>45682</v>
      </c>
      <c r="D477" s="0" t="n">
        <v>2673.13</v>
      </c>
      <c r="E477" s="14" t="n">
        <v>45742</v>
      </c>
    </row>
    <row r="478" customFormat="false" ht="15" hidden="false" customHeight="false" outlineLevel="0" collapsed="false">
      <c r="A478" s="0" t="s">
        <v>4901</v>
      </c>
      <c r="B478" s="0" t="s">
        <v>257</v>
      </c>
      <c r="C478" s="14" t="n">
        <v>45732</v>
      </c>
      <c r="D478" s="0" t="n">
        <v>9465.69</v>
      </c>
      <c r="E478" s="14" t="n">
        <v>45792</v>
      </c>
    </row>
    <row r="479" customFormat="false" ht="15" hidden="false" customHeight="false" outlineLevel="0" collapsed="false">
      <c r="A479" s="0" t="s">
        <v>4902</v>
      </c>
      <c r="B479" s="0" t="s">
        <v>232</v>
      </c>
      <c r="C479" s="14" t="n">
        <v>45839</v>
      </c>
      <c r="D479" s="0" t="n">
        <v>2712.89</v>
      </c>
      <c r="E479" s="14" t="n">
        <v>45869</v>
      </c>
    </row>
    <row r="480" customFormat="false" ht="15" hidden="false" customHeight="false" outlineLevel="0" collapsed="false">
      <c r="A480" s="0" t="s">
        <v>4903</v>
      </c>
      <c r="B480" s="0" t="s">
        <v>239</v>
      </c>
      <c r="C480" s="14" t="n">
        <v>45916</v>
      </c>
      <c r="D480" s="0" t="n">
        <v>2354.48</v>
      </c>
      <c r="E480" s="14" t="n">
        <v>45946</v>
      </c>
    </row>
    <row r="481" customFormat="false" ht="15" hidden="false" customHeight="false" outlineLevel="0" collapsed="false">
      <c r="A481" s="0" t="s">
        <v>4904</v>
      </c>
      <c r="B481" s="0" t="s">
        <v>268</v>
      </c>
      <c r="C481" s="14" t="n">
        <v>45907</v>
      </c>
      <c r="D481" s="0" t="n">
        <v>2268.9</v>
      </c>
      <c r="E481" s="14" t="n">
        <v>45967</v>
      </c>
    </row>
    <row r="482" customFormat="false" ht="15" hidden="false" customHeight="false" outlineLevel="0" collapsed="false">
      <c r="A482" s="0" t="s">
        <v>4905</v>
      </c>
      <c r="B482" s="0" t="s">
        <v>261</v>
      </c>
      <c r="C482" s="14" t="n">
        <v>45988</v>
      </c>
      <c r="D482" s="0" t="n">
        <v>2491.22</v>
      </c>
      <c r="E482" s="14" t="n">
        <v>46003</v>
      </c>
    </row>
    <row r="483" customFormat="false" ht="15" hidden="false" customHeight="false" outlineLevel="0" collapsed="false">
      <c r="A483" s="0" t="s">
        <v>4906</v>
      </c>
      <c r="B483" s="0" t="s">
        <v>236</v>
      </c>
      <c r="C483" s="14" t="n">
        <v>45938</v>
      </c>
      <c r="D483" s="0" t="n">
        <v>2499.85</v>
      </c>
      <c r="E483" s="14" t="n">
        <v>45998</v>
      </c>
    </row>
    <row r="484" customFormat="false" ht="15" hidden="false" customHeight="false" outlineLevel="0" collapsed="false">
      <c r="A484" s="0" t="s">
        <v>4907</v>
      </c>
      <c r="B484" s="0" t="s">
        <v>230</v>
      </c>
      <c r="C484" s="14" t="n">
        <v>45836</v>
      </c>
      <c r="D484" s="0" t="n">
        <v>1468.71</v>
      </c>
      <c r="E484" s="14" t="n">
        <v>45896</v>
      </c>
    </row>
    <row r="485" customFormat="false" ht="15" hidden="false" customHeight="false" outlineLevel="0" collapsed="false">
      <c r="A485" s="0" t="s">
        <v>4908</v>
      </c>
      <c r="B485" s="0" t="s">
        <v>222</v>
      </c>
      <c r="C485" s="14" t="n">
        <v>45992</v>
      </c>
      <c r="D485" s="0" t="n">
        <v>1829.72</v>
      </c>
      <c r="E485" s="14" t="n">
        <v>46007</v>
      </c>
    </row>
    <row r="486" customFormat="false" ht="15" hidden="false" customHeight="false" outlineLevel="0" collapsed="false">
      <c r="A486" s="0" t="s">
        <v>4909</v>
      </c>
      <c r="B486" s="0" t="s">
        <v>217</v>
      </c>
      <c r="C486" s="14" t="n">
        <v>45746</v>
      </c>
      <c r="D486" s="0" t="n">
        <v>3756.07</v>
      </c>
      <c r="E486" s="14" t="n">
        <v>45776</v>
      </c>
    </row>
    <row r="487" customFormat="false" ht="15" hidden="false" customHeight="false" outlineLevel="0" collapsed="false">
      <c r="A487" s="0" t="s">
        <v>4910</v>
      </c>
      <c r="B487" s="0" t="s">
        <v>208</v>
      </c>
      <c r="C487" s="14" t="n">
        <v>46197</v>
      </c>
      <c r="D487" s="0" t="n">
        <v>5345.18</v>
      </c>
      <c r="E487" s="14" t="n">
        <v>46242</v>
      </c>
    </row>
    <row r="488" customFormat="false" ht="15" hidden="false" customHeight="false" outlineLevel="0" collapsed="false">
      <c r="A488" s="0" t="s">
        <v>4911</v>
      </c>
      <c r="B488" s="0" t="s">
        <v>267</v>
      </c>
      <c r="C488" s="14" t="n">
        <v>46060</v>
      </c>
      <c r="D488" s="0" t="n">
        <v>11259.88</v>
      </c>
      <c r="E488" s="14" t="n">
        <v>46075</v>
      </c>
    </row>
    <row r="489" customFormat="false" ht="15" hidden="false" customHeight="false" outlineLevel="0" collapsed="false">
      <c r="A489" s="0" t="s">
        <v>4912</v>
      </c>
      <c r="B489" s="0" t="s">
        <v>220</v>
      </c>
      <c r="C489" s="14" t="n">
        <v>45821</v>
      </c>
      <c r="D489" s="0" t="n">
        <v>2193.92</v>
      </c>
      <c r="E489" s="14" t="n">
        <v>45836</v>
      </c>
    </row>
    <row r="490" customFormat="false" ht="15" hidden="false" customHeight="false" outlineLevel="0" collapsed="false">
      <c r="A490" s="0" t="s">
        <v>4913</v>
      </c>
      <c r="B490" s="0" t="s">
        <v>239</v>
      </c>
      <c r="C490" s="14" t="n">
        <v>45841</v>
      </c>
      <c r="D490" s="0" t="n">
        <v>6920.26</v>
      </c>
      <c r="E490" s="14" t="n">
        <v>45871</v>
      </c>
    </row>
    <row r="491" customFormat="false" ht="15" hidden="false" customHeight="false" outlineLevel="0" collapsed="false">
      <c r="A491" s="0" t="s">
        <v>4914</v>
      </c>
      <c r="B491" s="0" t="s">
        <v>228</v>
      </c>
      <c r="C491" s="14" t="n">
        <v>46109</v>
      </c>
      <c r="D491" s="0" t="n">
        <v>3268.34</v>
      </c>
      <c r="E491" s="14" t="n">
        <v>46154</v>
      </c>
    </row>
    <row r="492" customFormat="false" ht="15" hidden="false" customHeight="false" outlineLevel="0" collapsed="false">
      <c r="A492" s="0" t="s">
        <v>4915</v>
      </c>
      <c r="B492" s="0" t="s">
        <v>249</v>
      </c>
      <c r="C492" s="14" t="n">
        <v>45948</v>
      </c>
      <c r="D492" s="0" t="n">
        <v>1088.77</v>
      </c>
      <c r="E492" s="14" t="n">
        <v>45963</v>
      </c>
    </row>
    <row r="493" customFormat="false" ht="15" hidden="false" customHeight="false" outlineLevel="0" collapsed="false">
      <c r="A493" s="0" t="s">
        <v>4916</v>
      </c>
      <c r="B493" s="0" t="s">
        <v>251</v>
      </c>
      <c r="C493" s="14" t="n">
        <v>46044</v>
      </c>
      <c r="D493" s="0" t="n">
        <v>3388.92</v>
      </c>
      <c r="E493" s="14" t="n">
        <v>46074</v>
      </c>
    </row>
    <row r="494" customFormat="false" ht="15" hidden="false" customHeight="false" outlineLevel="0" collapsed="false">
      <c r="A494" s="0" t="s">
        <v>4917</v>
      </c>
      <c r="B494" s="0" t="s">
        <v>245</v>
      </c>
      <c r="C494" s="14" t="n">
        <v>45821</v>
      </c>
      <c r="D494" s="0" t="n">
        <v>1296.95</v>
      </c>
      <c r="E494" s="14" t="n">
        <v>45836</v>
      </c>
    </row>
    <row r="495" customFormat="false" ht="15" hidden="false" customHeight="false" outlineLevel="0" collapsed="false">
      <c r="A495" s="0" t="s">
        <v>4918</v>
      </c>
      <c r="B495" s="0" t="s">
        <v>239</v>
      </c>
      <c r="C495" s="14" t="n">
        <v>46102</v>
      </c>
      <c r="D495" s="0" t="n">
        <v>973.23</v>
      </c>
      <c r="E495" s="14" t="n">
        <v>46132</v>
      </c>
    </row>
    <row r="496" customFormat="false" ht="15" hidden="false" customHeight="false" outlineLevel="0" collapsed="false">
      <c r="A496" s="0" t="s">
        <v>4919</v>
      </c>
      <c r="B496" s="0" t="s">
        <v>255</v>
      </c>
      <c r="C496" s="14" t="n">
        <v>45858</v>
      </c>
      <c r="D496" s="0" t="n">
        <v>3529.93</v>
      </c>
      <c r="E496" s="14" t="n">
        <v>45888</v>
      </c>
    </row>
    <row r="497" customFormat="false" ht="15" hidden="false" customHeight="false" outlineLevel="0" collapsed="false">
      <c r="A497" s="0" t="s">
        <v>4920</v>
      </c>
      <c r="B497" s="0" t="s">
        <v>239</v>
      </c>
      <c r="C497" s="14" t="n">
        <v>46025</v>
      </c>
      <c r="D497" s="0" t="n">
        <v>6608.86</v>
      </c>
      <c r="E497" s="14" t="n">
        <v>46055</v>
      </c>
    </row>
    <row r="498" customFormat="false" ht="15" hidden="false" customHeight="false" outlineLevel="0" collapsed="false">
      <c r="A498" s="0" t="s">
        <v>4921</v>
      </c>
      <c r="B498" s="0" t="s">
        <v>222</v>
      </c>
      <c r="C498" s="14" t="n">
        <v>46192</v>
      </c>
      <c r="D498" s="0" t="n">
        <v>1785.3</v>
      </c>
      <c r="E498" s="14" t="n">
        <v>46207</v>
      </c>
    </row>
    <row r="499" customFormat="false" ht="15" hidden="false" customHeight="false" outlineLevel="0" collapsed="false">
      <c r="A499" s="0" t="s">
        <v>4922</v>
      </c>
      <c r="B499" s="0" t="s">
        <v>257</v>
      </c>
      <c r="C499" s="14" t="n">
        <v>45976</v>
      </c>
      <c r="D499" s="0" t="n">
        <v>6888.72</v>
      </c>
      <c r="E499" s="14" t="n">
        <v>46036</v>
      </c>
    </row>
    <row r="500" customFormat="false" ht="15" hidden="false" customHeight="false" outlineLevel="0" collapsed="false">
      <c r="A500" s="0" t="s">
        <v>4923</v>
      </c>
      <c r="B500" s="0" t="s">
        <v>211</v>
      </c>
      <c r="C500" s="14" t="n">
        <v>46092</v>
      </c>
      <c r="D500" s="0" t="n">
        <v>1431.17</v>
      </c>
      <c r="E500" s="14" t="n">
        <v>46107</v>
      </c>
    </row>
    <row r="501" customFormat="false" ht="15" hidden="false" customHeight="false" outlineLevel="0" collapsed="false">
      <c r="A501" s="0" t="s">
        <v>4924</v>
      </c>
      <c r="B501" s="0" t="s">
        <v>243</v>
      </c>
      <c r="C501" s="14" t="n">
        <v>46053</v>
      </c>
      <c r="D501" s="0" t="n">
        <v>4410.67</v>
      </c>
      <c r="E501" s="14" t="n">
        <v>46083</v>
      </c>
    </row>
    <row r="502" customFormat="false" ht="15" hidden="false" customHeight="false" outlineLevel="0" collapsed="false">
      <c r="A502" s="0" t="s">
        <v>4925</v>
      </c>
      <c r="B502" s="0" t="s">
        <v>268</v>
      </c>
      <c r="C502" s="14" t="n">
        <v>46032</v>
      </c>
      <c r="D502" s="0" t="n">
        <v>7357.21</v>
      </c>
      <c r="E502" s="14" t="n">
        <v>46092</v>
      </c>
    </row>
    <row r="503" customFormat="false" ht="15" hidden="false" customHeight="false" outlineLevel="0" collapsed="false">
      <c r="A503" s="0" t="s">
        <v>4926</v>
      </c>
      <c r="B503" s="0" t="s">
        <v>257</v>
      </c>
      <c r="C503" s="14" t="n">
        <v>45672</v>
      </c>
      <c r="D503" s="0" t="n">
        <v>3743.89</v>
      </c>
      <c r="E503" s="14" t="n">
        <v>45732</v>
      </c>
    </row>
    <row r="504" customFormat="false" ht="15" hidden="false" customHeight="false" outlineLevel="0" collapsed="false">
      <c r="A504" s="0" t="s">
        <v>4927</v>
      </c>
      <c r="B504" s="0" t="s">
        <v>226</v>
      </c>
      <c r="C504" s="14" t="n">
        <v>45916</v>
      </c>
      <c r="D504" s="0" t="n">
        <v>2235.8</v>
      </c>
      <c r="E504" s="14" t="n">
        <v>45976</v>
      </c>
    </row>
    <row r="505" customFormat="false" ht="15" hidden="false" customHeight="false" outlineLevel="0" collapsed="false">
      <c r="A505" s="0" t="s">
        <v>4928</v>
      </c>
      <c r="B505" s="0" t="s">
        <v>245</v>
      </c>
      <c r="C505" s="14" t="n">
        <v>46185</v>
      </c>
      <c r="D505" s="0" t="n">
        <v>2407.89</v>
      </c>
      <c r="E505" s="14" t="n">
        <v>46200</v>
      </c>
    </row>
    <row r="506" customFormat="false" ht="15" hidden="false" customHeight="false" outlineLevel="0" collapsed="false">
      <c r="A506" s="0" t="s">
        <v>4929</v>
      </c>
      <c r="B506" s="0" t="s">
        <v>214</v>
      </c>
      <c r="C506" s="14" t="n">
        <v>46084</v>
      </c>
      <c r="D506" s="0" t="n">
        <v>2778.74</v>
      </c>
      <c r="E506" s="14" t="n">
        <v>46129</v>
      </c>
    </row>
    <row r="507" customFormat="false" ht="15" hidden="false" customHeight="false" outlineLevel="0" collapsed="false">
      <c r="A507" s="0" t="s">
        <v>4930</v>
      </c>
      <c r="B507" s="0" t="s">
        <v>228</v>
      </c>
      <c r="C507" s="14" t="n">
        <v>46081</v>
      </c>
      <c r="D507" s="0" t="n">
        <v>2994.41</v>
      </c>
      <c r="E507" s="14" t="n">
        <v>46126</v>
      </c>
    </row>
    <row r="508" customFormat="false" ht="15" hidden="false" customHeight="false" outlineLevel="0" collapsed="false">
      <c r="A508" s="0" t="s">
        <v>4931</v>
      </c>
      <c r="B508" s="0" t="s">
        <v>261</v>
      </c>
      <c r="C508" s="14" t="n">
        <v>45972</v>
      </c>
      <c r="D508" s="0" t="n">
        <v>15639.98</v>
      </c>
      <c r="E508" s="14" t="n">
        <v>45987</v>
      </c>
    </row>
    <row r="509" customFormat="false" ht="15" hidden="false" customHeight="false" outlineLevel="0" collapsed="false">
      <c r="A509" s="0" t="s">
        <v>4932</v>
      </c>
      <c r="B509" s="0" t="s">
        <v>214</v>
      </c>
      <c r="C509" s="14" t="n">
        <v>46051</v>
      </c>
      <c r="D509" s="0" t="n">
        <v>5411.11</v>
      </c>
      <c r="E509" s="14" t="n">
        <v>46096</v>
      </c>
    </row>
    <row r="510" customFormat="false" ht="15" hidden="false" customHeight="false" outlineLevel="0" collapsed="false">
      <c r="A510" s="0" t="s">
        <v>4933</v>
      </c>
      <c r="B510" s="0" t="s">
        <v>234</v>
      </c>
      <c r="C510" s="14" t="n">
        <v>45976</v>
      </c>
      <c r="D510" s="0" t="n">
        <v>14179.43</v>
      </c>
      <c r="E510" s="14" t="n">
        <v>46021</v>
      </c>
    </row>
    <row r="511" customFormat="false" ht="15" hidden="false" customHeight="false" outlineLevel="0" collapsed="false">
      <c r="A511" s="0" t="s">
        <v>4934</v>
      </c>
      <c r="B511" s="0" t="s">
        <v>228</v>
      </c>
      <c r="C511" s="14" t="n">
        <v>45750</v>
      </c>
      <c r="D511" s="0" t="n">
        <v>19992.01</v>
      </c>
      <c r="E511" s="14" t="n">
        <v>45795</v>
      </c>
    </row>
    <row r="512" customFormat="false" ht="15" hidden="false" customHeight="false" outlineLevel="0" collapsed="false">
      <c r="A512" s="0" t="s">
        <v>4935</v>
      </c>
      <c r="B512" s="0" t="s">
        <v>261</v>
      </c>
      <c r="C512" s="14" t="n">
        <v>46000</v>
      </c>
      <c r="D512" s="0" t="n">
        <v>413.39</v>
      </c>
      <c r="E512" s="14" t="n">
        <v>46015</v>
      </c>
    </row>
    <row r="513" customFormat="false" ht="15" hidden="false" customHeight="false" outlineLevel="0" collapsed="false">
      <c r="A513" s="0" t="s">
        <v>4936</v>
      </c>
      <c r="B513" s="0" t="s">
        <v>259</v>
      </c>
      <c r="C513" s="14" t="n">
        <v>45995</v>
      </c>
      <c r="D513" s="0" t="n">
        <v>2170.88</v>
      </c>
      <c r="E513" s="14" t="n">
        <v>46055</v>
      </c>
    </row>
    <row r="514" customFormat="false" ht="15" hidden="false" customHeight="false" outlineLevel="0" collapsed="false">
      <c r="A514" s="0" t="s">
        <v>4937</v>
      </c>
      <c r="B514" s="0" t="s">
        <v>263</v>
      </c>
      <c r="C514" s="14" t="n">
        <v>46116</v>
      </c>
      <c r="D514" s="0" t="n">
        <v>6596.62</v>
      </c>
      <c r="E514" s="14" t="n">
        <v>46176</v>
      </c>
    </row>
    <row r="515" customFormat="false" ht="15" hidden="false" customHeight="false" outlineLevel="0" collapsed="false">
      <c r="A515" s="0" t="s">
        <v>4938</v>
      </c>
      <c r="B515" s="0" t="s">
        <v>230</v>
      </c>
      <c r="C515" s="14" t="n">
        <v>45738</v>
      </c>
      <c r="D515" s="0" t="n">
        <v>739.89</v>
      </c>
      <c r="E515" s="14" t="n">
        <v>45798</v>
      </c>
    </row>
    <row r="516" customFormat="false" ht="15" hidden="false" customHeight="false" outlineLevel="0" collapsed="false">
      <c r="A516" s="0" t="s">
        <v>4939</v>
      </c>
      <c r="B516" s="0" t="s">
        <v>243</v>
      </c>
      <c r="C516" s="14" t="n">
        <v>46028</v>
      </c>
      <c r="D516" s="0" t="n">
        <v>2149.55</v>
      </c>
      <c r="E516" s="14" t="n">
        <v>46058</v>
      </c>
    </row>
    <row r="517" customFormat="false" ht="15" hidden="false" customHeight="false" outlineLevel="0" collapsed="false">
      <c r="A517" s="0" t="s">
        <v>4940</v>
      </c>
      <c r="B517" s="0" t="s">
        <v>265</v>
      </c>
      <c r="C517" s="14" t="n">
        <v>45675</v>
      </c>
      <c r="D517" s="0" t="n">
        <v>7147.79</v>
      </c>
      <c r="E517" s="14" t="n">
        <v>45735</v>
      </c>
    </row>
    <row r="518" customFormat="false" ht="15" hidden="false" customHeight="false" outlineLevel="0" collapsed="false">
      <c r="A518" s="0" t="s">
        <v>4941</v>
      </c>
      <c r="B518" s="0" t="s">
        <v>270</v>
      </c>
      <c r="C518" s="14" t="n">
        <v>46174</v>
      </c>
      <c r="D518" s="0" t="n">
        <v>12379.16</v>
      </c>
      <c r="E518" s="14" t="n">
        <v>46189</v>
      </c>
    </row>
    <row r="519" customFormat="false" ht="15" hidden="false" customHeight="false" outlineLevel="0" collapsed="false">
      <c r="A519" s="0" t="s">
        <v>4942</v>
      </c>
      <c r="B519" s="0" t="s">
        <v>239</v>
      </c>
      <c r="C519" s="14" t="n">
        <v>45717</v>
      </c>
      <c r="D519" s="0" t="n">
        <v>2026.69</v>
      </c>
      <c r="E519" s="14" t="n">
        <v>45747</v>
      </c>
    </row>
    <row r="520" customFormat="false" ht="15" hidden="false" customHeight="false" outlineLevel="0" collapsed="false">
      <c r="A520" s="0" t="s">
        <v>4943</v>
      </c>
      <c r="B520" s="0" t="s">
        <v>232</v>
      </c>
      <c r="C520" s="14" t="n">
        <v>45668</v>
      </c>
      <c r="D520" s="0" t="n">
        <v>4188.51</v>
      </c>
      <c r="E520" s="14" t="n">
        <v>45698</v>
      </c>
    </row>
    <row r="521" customFormat="false" ht="15" hidden="false" customHeight="false" outlineLevel="0" collapsed="false">
      <c r="A521" s="0" t="s">
        <v>4944</v>
      </c>
      <c r="B521" s="0" t="s">
        <v>245</v>
      </c>
      <c r="C521" s="14" t="n">
        <v>45828</v>
      </c>
      <c r="D521" s="0" t="n">
        <v>1240.25</v>
      </c>
      <c r="E521" s="14" t="n">
        <v>45843</v>
      </c>
    </row>
    <row r="522" customFormat="false" ht="15" hidden="false" customHeight="false" outlineLevel="0" collapsed="false">
      <c r="A522" s="0" t="s">
        <v>4945</v>
      </c>
      <c r="B522" s="0" t="s">
        <v>253</v>
      </c>
      <c r="C522" s="14" t="n">
        <v>45740</v>
      </c>
      <c r="D522" s="0" t="n">
        <v>4141.83</v>
      </c>
      <c r="E522" s="14" t="n">
        <v>45800</v>
      </c>
    </row>
    <row r="523" customFormat="false" ht="15" hidden="false" customHeight="false" outlineLevel="0" collapsed="false">
      <c r="A523" s="0" t="s">
        <v>4946</v>
      </c>
      <c r="B523" s="0" t="s">
        <v>230</v>
      </c>
      <c r="C523" s="14" t="n">
        <v>46034</v>
      </c>
      <c r="D523" s="0" t="n">
        <v>1132.9</v>
      </c>
      <c r="E523" s="14" t="n">
        <v>46094</v>
      </c>
    </row>
    <row r="524" customFormat="false" ht="15" hidden="false" customHeight="false" outlineLevel="0" collapsed="false">
      <c r="A524" s="0" t="s">
        <v>4947</v>
      </c>
      <c r="B524" s="0" t="s">
        <v>245</v>
      </c>
      <c r="C524" s="14" t="n">
        <v>45881</v>
      </c>
      <c r="D524" s="0" t="n">
        <v>3358.08</v>
      </c>
      <c r="E524" s="14" t="n">
        <v>45896</v>
      </c>
    </row>
    <row r="525" customFormat="false" ht="15" hidden="false" customHeight="false" outlineLevel="0" collapsed="false">
      <c r="A525" s="0" t="s">
        <v>4948</v>
      </c>
      <c r="B525" s="0" t="s">
        <v>253</v>
      </c>
      <c r="C525" s="14" t="n">
        <v>46080</v>
      </c>
      <c r="D525" s="0" t="n">
        <v>5526.91</v>
      </c>
      <c r="E525" s="14" t="n">
        <v>46140</v>
      </c>
    </row>
    <row r="526" customFormat="false" ht="15" hidden="false" customHeight="false" outlineLevel="0" collapsed="false">
      <c r="A526" s="0" t="s">
        <v>4949</v>
      </c>
      <c r="B526" s="0" t="s">
        <v>234</v>
      </c>
      <c r="C526" s="14" t="n">
        <v>46159</v>
      </c>
      <c r="D526" s="0" t="n">
        <v>3293.29</v>
      </c>
      <c r="E526" s="14" t="n">
        <v>46204</v>
      </c>
    </row>
    <row r="527" customFormat="false" ht="15" hidden="false" customHeight="false" outlineLevel="0" collapsed="false">
      <c r="A527" s="0" t="s">
        <v>4950</v>
      </c>
      <c r="B527" s="0" t="s">
        <v>230</v>
      </c>
      <c r="C527" s="14" t="n">
        <v>46133</v>
      </c>
      <c r="D527" s="0" t="n">
        <v>5673.44</v>
      </c>
      <c r="E527" s="14" t="n">
        <v>46193</v>
      </c>
    </row>
    <row r="528" customFormat="false" ht="15" hidden="false" customHeight="false" outlineLevel="0" collapsed="false">
      <c r="A528" s="0" t="s">
        <v>4951</v>
      </c>
      <c r="B528" s="0" t="s">
        <v>234</v>
      </c>
      <c r="C528" s="14" t="n">
        <v>46059</v>
      </c>
      <c r="D528" s="0" t="n">
        <v>2578.69</v>
      </c>
      <c r="E528" s="14" t="n">
        <v>46104</v>
      </c>
    </row>
    <row r="529" customFormat="false" ht="15" hidden="false" customHeight="false" outlineLevel="0" collapsed="false">
      <c r="A529" s="0" t="s">
        <v>4952</v>
      </c>
      <c r="B529" s="0" t="s">
        <v>239</v>
      </c>
      <c r="C529" s="14" t="n">
        <v>45691</v>
      </c>
      <c r="D529" s="0" t="n">
        <v>167.65</v>
      </c>
      <c r="E529" s="14" t="n">
        <v>45721</v>
      </c>
    </row>
    <row r="530" customFormat="false" ht="15" hidden="false" customHeight="false" outlineLevel="0" collapsed="false">
      <c r="A530" s="0" t="s">
        <v>4953</v>
      </c>
      <c r="B530" s="0" t="s">
        <v>270</v>
      </c>
      <c r="C530" s="14" t="n">
        <v>45733</v>
      </c>
      <c r="D530" s="0" t="n">
        <v>8207.3</v>
      </c>
      <c r="E530" s="14" t="n">
        <v>45748</v>
      </c>
    </row>
    <row r="531" customFormat="false" ht="15" hidden="false" customHeight="false" outlineLevel="0" collapsed="false">
      <c r="A531" s="0" t="s">
        <v>4954</v>
      </c>
      <c r="B531" s="0" t="s">
        <v>270</v>
      </c>
      <c r="C531" s="14" t="n">
        <v>45771</v>
      </c>
      <c r="D531" s="0" t="n">
        <v>10226.07</v>
      </c>
      <c r="E531" s="14" t="n">
        <v>45786</v>
      </c>
    </row>
    <row r="532" customFormat="false" ht="15" hidden="false" customHeight="false" outlineLevel="0" collapsed="false">
      <c r="A532" s="0" t="s">
        <v>4955</v>
      </c>
      <c r="B532" s="0" t="s">
        <v>220</v>
      </c>
      <c r="C532" s="14" t="n">
        <v>45835</v>
      </c>
      <c r="D532" s="0" t="n">
        <v>920.76</v>
      </c>
      <c r="E532" s="14" t="n">
        <v>45850</v>
      </c>
    </row>
    <row r="533" customFormat="false" ht="15" hidden="false" customHeight="false" outlineLevel="0" collapsed="false">
      <c r="A533" s="0" t="s">
        <v>4956</v>
      </c>
      <c r="B533" s="0" t="s">
        <v>232</v>
      </c>
      <c r="C533" s="14" t="n">
        <v>46018</v>
      </c>
      <c r="D533" s="0" t="n">
        <v>1774.7</v>
      </c>
      <c r="E533" s="14" t="n">
        <v>46048</v>
      </c>
    </row>
    <row r="534" customFormat="false" ht="15" hidden="false" customHeight="false" outlineLevel="0" collapsed="false">
      <c r="A534" s="0" t="s">
        <v>4957</v>
      </c>
      <c r="B534" s="0" t="s">
        <v>263</v>
      </c>
      <c r="C534" s="14" t="n">
        <v>45944</v>
      </c>
      <c r="D534" s="0" t="n">
        <v>8116.89</v>
      </c>
      <c r="E534" s="14" t="n">
        <v>46004</v>
      </c>
    </row>
    <row r="535" customFormat="false" ht="15" hidden="false" customHeight="false" outlineLevel="0" collapsed="false">
      <c r="A535" s="0" t="s">
        <v>4958</v>
      </c>
      <c r="B535" s="0" t="s">
        <v>253</v>
      </c>
      <c r="C535" s="14" t="n">
        <v>45828</v>
      </c>
      <c r="D535" s="0" t="n">
        <v>1559.65</v>
      </c>
      <c r="E535" s="14" t="n">
        <v>45888</v>
      </c>
    </row>
    <row r="536" customFormat="false" ht="15" hidden="false" customHeight="false" outlineLevel="0" collapsed="false">
      <c r="A536" s="0" t="s">
        <v>4959</v>
      </c>
      <c r="B536" s="0" t="s">
        <v>208</v>
      </c>
      <c r="C536" s="14" t="n">
        <v>45752</v>
      </c>
      <c r="D536" s="0" t="n">
        <v>9577.01</v>
      </c>
      <c r="E536" s="14" t="n">
        <v>45797</v>
      </c>
    </row>
    <row r="537" customFormat="false" ht="15" hidden="false" customHeight="false" outlineLevel="0" collapsed="false">
      <c r="A537" s="0" t="s">
        <v>4960</v>
      </c>
      <c r="B537" s="0" t="s">
        <v>268</v>
      </c>
      <c r="C537" s="14" t="n">
        <v>46155</v>
      </c>
      <c r="D537" s="0" t="n">
        <v>4737.55</v>
      </c>
      <c r="E537" s="14" t="n">
        <v>46215</v>
      </c>
    </row>
    <row r="538" customFormat="false" ht="15" hidden="false" customHeight="false" outlineLevel="0" collapsed="false">
      <c r="A538" s="0" t="s">
        <v>4961</v>
      </c>
      <c r="B538" s="0" t="s">
        <v>214</v>
      </c>
      <c r="C538" s="14" t="n">
        <v>45844</v>
      </c>
      <c r="D538" s="0" t="n">
        <v>706.76</v>
      </c>
      <c r="E538" s="14" t="n">
        <v>45889</v>
      </c>
    </row>
    <row r="539" customFormat="false" ht="15" hidden="false" customHeight="false" outlineLevel="0" collapsed="false">
      <c r="A539" s="0" t="s">
        <v>4962</v>
      </c>
      <c r="B539" s="0" t="s">
        <v>270</v>
      </c>
      <c r="C539" s="14" t="n">
        <v>45851</v>
      </c>
      <c r="D539" s="0" t="n">
        <v>4114.21</v>
      </c>
      <c r="E539" s="14" t="n">
        <v>45866</v>
      </c>
    </row>
    <row r="540" customFormat="false" ht="15" hidden="false" customHeight="false" outlineLevel="0" collapsed="false">
      <c r="A540" s="0" t="s">
        <v>4963</v>
      </c>
      <c r="B540" s="0" t="s">
        <v>211</v>
      </c>
      <c r="C540" s="14" t="n">
        <v>46078</v>
      </c>
      <c r="D540" s="0" t="n">
        <v>4838.65</v>
      </c>
      <c r="E540" s="14" t="n">
        <v>46093</v>
      </c>
    </row>
    <row r="541" customFormat="false" ht="15" hidden="false" customHeight="false" outlineLevel="0" collapsed="false">
      <c r="A541" s="0" t="s">
        <v>4964</v>
      </c>
      <c r="B541" s="0" t="s">
        <v>208</v>
      </c>
      <c r="C541" s="14" t="n">
        <v>46050</v>
      </c>
      <c r="D541" s="0" t="n">
        <v>6378.14</v>
      </c>
      <c r="E541" s="14" t="n">
        <v>46095</v>
      </c>
    </row>
    <row r="542" customFormat="false" ht="15" hidden="false" customHeight="false" outlineLevel="0" collapsed="false">
      <c r="A542" s="0" t="s">
        <v>4965</v>
      </c>
      <c r="B542" s="0" t="s">
        <v>265</v>
      </c>
      <c r="C542" s="14" t="n">
        <v>46008</v>
      </c>
      <c r="D542" s="0" t="n">
        <v>3755.82</v>
      </c>
      <c r="E542" s="14" t="n">
        <v>46068</v>
      </c>
    </row>
    <row r="543" customFormat="false" ht="15" hidden="false" customHeight="false" outlineLevel="0" collapsed="false">
      <c r="A543" s="0" t="s">
        <v>4966</v>
      </c>
      <c r="B543" s="0" t="s">
        <v>217</v>
      </c>
      <c r="C543" s="14" t="n">
        <v>46035</v>
      </c>
      <c r="D543" s="0" t="n">
        <v>1123.7</v>
      </c>
      <c r="E543" s="14" t="n">
        <v>46065</v>
      </c>
    </row>
    <row r="544" customFormat="false" ht="15" hidden="false" customHeight="false" outlineLevel="0" collapsed="false">
      <c r="A544" s="0" t="s">
        <v>4967</v>
      </c>
      <c r="B544" s="0" t="s">
        <v>211</v>
      </c>
      <c r="C544" s="14" t="n">
        <v>45990</v>
      </c>
      <c r="D544" s="0" t="n">
        <v>3764.46</v>
      </c>
      <c r="E544" s="14" t="n">
        <v>46005</v>
      </c>
    </row>
    <row r="545" customFormat="false" ht="15" hidden="false" customHeight="false" outlineLevel="0" collapsed="false">
      <c r="A545" s="0" t="s">
        <v>4968</v>
      </c>
      <c r="B545" s="0" t="s">
        <v>265</v>
      </c>
      <c r="C545" s="14" t="n">
        <v>45762</v>
      </c>
      <c r="D545" s="0" t="n">
        <v>2234.86</v>
      </c>
      <c r="E545" s="14" t="n">
        <v>45822</v>
      </c>
    </row>
    <row r="546" customFormat="false" ht="15" hidden="false" customHeight="false" outlineLevel="0" collapsed="false">
      <c r="A546" s="0" t="s">
        <v>4969</v>
      </c>
      <c r="B546" s="0" t="s">
        <v>268</v>
      </c>
      <c r="C546" s="14" t="n">
        <v>45792</v>
      </c>
      <c r="D546" s="0" t="n">
        <v>4226.05</v>
      </c>
      <c r="E546" s="14" t="n">
        <v>45852</v>
      </c>
    </row>
    <row r="547" customFormat="false" ht="15" hidden="false" customHeight="false" outlineLevel="0" collapsed="false">
      <c r="A547" s="0" t="s">
        <v>4970</v>
      </c>
      <c r="B547" s="0" t="s">
        <v>208</v>
      </c>
      <c r="C547" s="14" t="n">
        <v>45962</v>
      </c>
      <c r="D547" s="0" t="n">
        <v>4407.52</v>
      </c>
      <c r="E547" s="14" t="n">
        <v>46007</v>
      </c>
    </row>
    <row r="548" customFormat="false" ht="15" hidden="false" customHeight="false" outlineLevel="0" collapsed="false">
      <c r="A548" s="0" t="s">
        <v>4971</v>
      </c>
      <c r="B548" s="0" t="s">
        <v>241</v>
      </c>
      <c r="C548" s="14" t="n">
        <v>45780</v>
      </c>
      <c r="D548" s="0" t="n">
        <v>1869.4</v>
      </c>
      <c r="E548" s="14" t="n">
        <v>45795</v>
      </c>
    </row>
    <row r="549" customFormat="false" ht="15" hidden="false" customHeight="false" outlineLevel="0" collapsed="false">
      <c r="A549" s="0" t="s">
        <v>4972</v>
      </c>
      <c r="B549" s="0" t="s">
        <v>261</v>
      </c>
      <c r="C549" s="14" t="n">
        <v>46188</v>
      </c>
      <c r="D549" s="0" t="n">
        <v>1558.3</v>
      </c>
      <c r="E549" s="14" t="n">
        <v>46203</v>
      </c>
    </row>
    <row r="550" customFormat="false" ht="15" hidden="false" customHeight="false" outlineLevel="0" collapsed="false">
      <c r="A550" s="0" t="s">
        <v>4973</v>
      </c>
      <c r="B550" s="0" t="s">
        <v>222</v>
      </c>
      <c r="C550" s="14" t="n">
        <v>45820</v>
      </c>
      <c r="D550" s="0" t="n">
        <v>986.91</v>
      </c>
      <c r="E550" s="14" t="n">
        <v>45835</v>
      </c>
    </row>
    <row r="551" customFormat="false" ht="15" hidden="false" customHeight="false" outlineLevel="0" collapsed="false">
      <c r="A551" s="0" t="s">
        <v>4974</v>
      </c>
      <c r="B551" s="0" t="s">
        <v>265</v>
      </c>
      <c r="C551" s="14" t="n">
        <v>45815</v>
      </c>
      <c r="D551" s="0" t="n">
        <v>533.42</v>
      </c>
      <c r="E551" s="14" t="n">
        <v>45875</v>
      </c>
    </row>
    <row r="552" customFormat="false" ht="15" hidden="false" customHeight="false" outlineLevel="0" collapsed="false">
      <c r="A552" s="0" t="s">
        <v>4975</v>
      </c>
      <c r="B552" s="0" t="s">
        <v>267</v>
      </c>
      <c r="C552" s="14" t="n">
        <v>45770</v>
      </c>
      <c r="D552" s="0" t="n">
        <v>1235.59</v>
      </c>
      <c r="E552" s="14" t="n">
        <v>45785</v>
      </c>
    </row>
    <row r="553" customFormat="false" ht="15" hidden="false" customHeight="false" outlineLevel="0" collapsed="false">
      <c r="A553" s="0" t="s">
        <v>4976</v>
      </c>
      <c r="B553" s="0" t="s">
        <v>211</v>
      </c>
      <c r="C553" s="14" t="n">
        <v>46042</v>
      </c>
      <c r="D553" s="0" t="n">
        <v>3621.75</v>
      </c>
      <c r="E553" s="14" t="n">
        <v>46057</v>
      </c>
    </row>
    <row r="554" customFormat="false" ht="15" hidden="false" customHeight="false" outlineLevel="0" collapsed="false">
      <c r="A554" s="0" t="s">
        <v>4977</v>
      </c>
      <c r="B554" s="0" t="s">
        <v>230</v>
      </c>
      <c r="C554" s="14" t="n">
        <v>45830</v>
      </c>
      <c r="D554" s="0" t="n">
        <v>621.35</v>
      </c>
      <c r="E554" s="14" t="n">
        <v>45890</v>
      </c>
    </row>
    <row r="555" customFormat="false" ht="15" hidden="false" customHeight="false" outlineLevel="0" collapsed="false">
      <c r="A555" s="0" t="s">
        <v>4978</v>
      </c>
      <c r="B555" s="0" t="s">
        <v>239</v>
      </c>
      <c r="C555" s="14" t="n">
        <v>45848</v>
      </c>
      <c r="D555" s="0" t="n">
        <v>434.92</v>
      </c>
      <c r="E555" s="14" t="n">
        <v>45878</v>
      </c>
    </row>
    <row r="556" customFormat="false" ht="15" hidden="false" customHeight="false" outlineLevel="0" collapsed="false">
      <c r="A556" s="0" t="s">
        <v>4979</v>
      </c>
      <c r="B556" s="0" t="s">
        <v>247</v>
      </c>
      <c r="C556" s="14" t="n">
        <v>46166</v>
      </c>
      <c r="D556" s="0" t="n">
        <v>2192.72</v>
      </c>
      <c r="E556" s="14" t="n">
        <v>46181</v>
      </c>
    </row>
    <row r="557" customFormat="false" ht="15" hidden="false" customHeight="false" outlineLevel="0" collapsed="false">
      <c r="A557" s="0" t="s">
        <v>4980</v>
      </c>
      <c r="B557" s="0" t="s">
        <v>222</v>
      </c>
      <c r="C557" s="14" t="n">
        <v>46091</v>
      </c>
      <c r="D557" s="0" t="n">
        <v>4060.23</v>
      </c>
      <c r="E557" s="14" t="n">
        <v>46106</v>
      </c>
    </row>
    <row r="558" customFormat="false" ht="15" hidden="false" customHeight="false" outlineLevel="0" collapsed="false">
      <c r="A558" s="0" t="s">
        <v>4981</v>
      </c>
      <c r="B558" s="0" t="s">
        <v>222</v>
      </c>
      <c r="C558" s="14" t="n">
        <v>45807</v>
      </c>
      <c r="D558" s="0" t="n">
        <v>1038.25</v>
      </c>
      <c r="E558" s="14" t="n">
        <v>45822</v>
      </c>
    </row>
    <row r="559" customFormat="false" ht="15" hidden="false" customHeight="false" outlineLevel="0" collapsed="false">
      <c r="A559" s="0" t="s">
        <v>4982</v>
      </c>
      <c r="B559" s="0" t="s">
        <v>261</v>
      </c>
      <c r="C559" s="14" t="n">
        <v>45724</v>
      </c>
      <c r="D559" s="0" t="n">
        <v>769.32</v>
      </c>
      <c r="E559" s="14" t="n">
        <v>45739</v>
      </c>
    </row>
    <row r="560" customFormat="false" ht="15" hidden="false" customHeight="false" outlineLevel="0" collapsed="false">
      <c r="A560" s="0" t="s">
        <v>4983</v>
      </c>
      <c r="B560" s="0" t="s">
        <v>255</v>
      </c>
      <c r="C560" s="14" t="n">
        <v>46026</v>
      </c>
      <c r="D560" s="0" t="n">
        <v>1309.37</v>
      </c>
      <c r="E560" s="14" t="n">
        <v>46056</v>
      </c>
    </row>
    <row r="561" customFormat="false" ht="15" hidden="false" customHeight="false" outlineLevel="0" collapsed="false">
      <c r="A561" s="0" t="s">
        <v>4984</v>
      </c>
      <c r="B561" s="0" t="s">
        <v>261</v>
      </c>
      <c r="C561" s="14" t="n">
        <v>45864</v>
      </c>
      <c r="D561" s="0" t="n">
        <v>936.39</v>
      </c>
      <c r="E561" s="14" t="n">
        <v>45879</v>
      </c>
    </row>
    <row r="562" customFormat="false" ht="15" hidden="false" customHeight="false" outlineLevel="0" collapsed="false">
      <c r="A562" s="0" t="s">
        <v>4985</v>
      </c>
      <c r="B562" s="0" t="s">
        <v>257</v>
      </c>
      <c r="C562" s="14" t="n">
        <v>46192</v>
      </c>
      <c r="D562" s="0" t="n">
        <v>1399.11</v>
      </c>
      <c r="E562" s="14" t="n">
        <v>46252</v>
      </c>
    </row>
    <row r="563" customFormat="false" ht="15" hidden="false" customHeight="false" outlineLevel="0" collapsed="false">
      <c r="A563" s="0" t="s">
        <v>4986</v>
      </c>
      <c r="B563" s="0" t="s">
        <v>236</v>
      </c>
      <c r="C563" s="14" t="n">
        <v>46104</v>
      </c>
      <c r="D563" s="0" t="n">
        <v>685.41</v>
      </c>
      <c r="E563" s="14" t="n">
        <v>46164</v>
      </c>
    </row>
    <row r="564" customFormat="false" ht="15" hidden="false" customHeight="false" outlineLevel="0" collapsed="false">
      <c r="A564" s="0" t="s">
        <v>4987</v>
      </c>
      <c r="B564" s="0" t="s">
        <v>253</v>
      </c>
      <c r="C564" s="14" t="n">
        <v>46178</v>
      </c>
      <c r="D564" s="0" t="n">
        <v>2090.4</v>
      </c>
      <c r="E564" s="14" t="n">
        <v>46238</v>
      </c>
    </row>
    <row r="565" customFormat="false" ht="15" hidden="false" customHeight="false" outlineLevel="0" collapsed="false">
      <c r="A565" s="0" t="s">
        <v>4988</v>
      </c>
      <c r="B565" s="0" t="s">
        <v>211</v>
      </c>
      <c r="C565" s="14" t="n">
        <v>46096</v>
      </c>
      <c r="D565" s="0" t="n">
        <v>4359.06</v>
      </c>
      <c r="E565" s="14" t="n">
        <v>46111</v>
      </c>
    </row>
    <row r="566" customFormat="false" ht="15" hidden="false" customHeight="false" outlineLevel="0" collapsed="false">
      <c r="A566" s="0" t="s">
        <v>4989</v>
      </c>
      <c r="B566" s="0" t="s">
        <v>263</v>
      </c>
      <c r="C566" s="14" t="n">
        <v>45816</v>
      </c>
      <c r="D566" s="0" t="n">
        <v>19038.18</v>
      </c>
      <c r="E566" s="14" t="n">
        <v>45876</v>
      </c>
    </row>
    <row r="567" customFormat="false" ht="15" hidden="false" customHeight="false" outlineLevel="0" collapsed="false">
      <c r="A567" s="0" t="s">
        <v>4990</v>
      </c>
      <c r="B567" s="0" t="s">
        <v>265</v>
      </c>
      <c r="C567" s="14" t="n">
        <v>45814</v>
      </c>
      <c r="D567" s="0" t="n">
        <v>1340.55</v>
      </c>
      <c r="E567" s="14" t="n">
        <v>45874</v>
      </c>
    </row>
    <row r="568" customFormat="false" ht="15" hidden="false" customHeight="false" outlineLevel="0" collapsed="false">
      <c r="A568" s="0" t="s">
        <v>4991</v>
      </c>
      <c r="B568" s="0" t="s">
        <v>261</v>
      </c>
      <c r="C568" s="14" t="n">
        <v>46047</v>
      </c>
      <c r="D568" s="0" t="n">
        <v>2291.28</v>
      </c>
      <c r="E568" s="14" t="n">
        <v>46062</v>
      </c>
    </row>
    <row r="569" customFormat="false" ht="15" hidden="false" customHeight="false" outlineLevel="0" collapsed="false">
      <c r="A569" s="0" t="s">
        <v>4992</v>
      </c>
      <c r="B569" s="0" t="s">
        <v>236</v>
      </c>
      <c r="C569" s="14" t="n">
        <v>45846</v>
      </c>
      <c r="D569" s="0" t="n">
        <v>249.31</v>
      </c>
      <c r="E569" s="14" t="n">
        <v>45906</v>
      </c>
    </row>
    <row r="570" customFormat="false" ht="15" hidden="false" customHeight="false" outlineLevel="0" collapsed="false">
      <c r="A570" s="0" t="s">
        <v>4993</v>
      </c>
      <c r="B570" s="0" t="s">
        <v>265</v>
      </c>
      <c r="C570" s="14" t="n">
        <v>45899</v>
      </c>
      <c r="D570" s="0" t="n">
        <v>1973.38</v>
      </c>
      <c r="E570" s="14" t="n">
        <v>45959</v>
      </c>
    </row>
    <row r="571" customFormat="false" ht="15" hidden="false" customHeight="false" outlineLevel="0" collapsed="false">
      <c r="A571" s="0" t="s">
        <v>4994</v>
      </c>
      <c r="B571" s="0" t="s">
        <v>228</v>
      </c>
      <c r="C571" s="14" t="n">
        <v>45797</v>
      </c>
      <c r="D571" s="0" t="n">
        <v>1252.42</v>
      </c>
      <c r="E571" s="14" t="n">
        <v>45842</v>
      </c>
    </row>
    <row r="572" customFormat="false" ht="15" hidden="false" customHeight="false" outlineLevel="0" collapsed="false">
      <c r="A572" s="0" t="s">
        <v>4995</v>
      </c>
      <c r="B572" s="0" t="s">
        <v>267</v>
      </c>
      <c r="C572" s="14" t="n">
        <v>45919</v>
      </c>
      <c r="D572" s="0" t="n">
        <v>304.24</v>
      </c>
      <c r="E572" s="14" t="n">
        <v>45934</v>
      </c>
    </row>
    <row r="573" customFormat="false" ht="15" hidden="false" customHeight="false" outlineLevel="0" collapsed="false">
      <c r="A573" s="0" t="s">
        <v>4996</v>
      </c>
      <c r="B573" s="0" t="s">
        <v>265</v>
      </c>
      <c r="C573" s="14" t="n">
        <v>45768</v>
      </c>
      <c r="D573" s="0" t="n">
        <v>3223.74</v>
      </c>
      <c r="E573" s="14" t="n">
        <v>45828</v>
      </c>
    </row>
    <row r="574" customFormat="false" ht="15" hidden="false" customHeight="false" outlineLevel="0" collapsed="false">
      <c r="A574" s="0" t="s">
        <v>4997</v>
      </c>
      <c r="B574" s="0" t="s">
        <v>270</v>
      </c>
      <c r="C574" s="14" t="n">
        <v>45951</v>
      </c>
      <c r="D574" s="0" t="n">
        <v>3207.98</v>
      </c>
      <c r="E574" s="14" t="n">
        <v>45966</v>
      </c>
    </row>
    <row r="575" customFormat="false" ht="15" hidden="false" customHeight="false" outlineLevel="0" collapsed="false">
      <c r="A575" s="0" t="s">
        <v>4998</v>
      </c>
      <c r="B575" s="0" t="s">
        <v>224</v>
      </c>
      <c r="C575" s="14" t="n">
        <v>46166</v>
      </c>
      <c r="D575" s="0" t="n">
        <v>2634.36</v>
      </c>
      <c r="E575" s="14" t="n">
        <v>46196</v>
      </c>
    </row>
    <row r="576" customFormat="false" ht="15" hidden="false" customHeight="false" outlineLevel="0" collapsed="false">
      <c r="A576" s="0" t="s">
        <v>4999</v>
      </c>
      <c r="B576" s="0" t="s">
        <v>253</v>
      </c>
      <c r="C576" s="14" t="n">
        <v>46037</v>
      </c>
      <c r="D576" s="0" t="n">
        <v>433.9</v>
      </c>
      <c r="E576" s="14" t="n">
        <v>46097</v>
      </c>
    </row>
    <row r="577" customFormat="false" ht="15" hidden="false" customHeight="false" outlineLevel="0" collapsed="false">
      <c r="A577" s="0" t="s">
        <v>5000</v>
      </c>
      <c r="B577" s="0" t="s">
        <v>249</v>
      </c>
      <c r="C577" s="14" t="n">
        <v>45732</v>
      </c>
      <c r="D577" s="0" t="n">
        <v>7401.16</v>
      </c>
      <c r="E577" s="14" t="n">
        <v>45747</v>
      </c>
    </row>
    <row r="578" customFormat="false" ht="15" hidden="false" customHeight="false" outlineLevel="0" collapsed="false">
      <c r="A578" s="0" t="s">
        <v>5001</v>
      </c>
      <c r="B578" s="0" t="s">
        <v>249</v>
      </c>
      <c r="C578" s="14" t="n">
        <v>45993</v>
      </c>
      <c r="D578" s="0" t="n">
        <v>4832.02</v>
      </c>
      <c r="E578" s="14" t="n">
        <v>46008</v>
      </c>
    </row>
    <row r="579" customFormat="false" ht="15" hidden="false" customHeight="false" outlineLevel="0" collapsed="false">
      <c r="A579" s="0" t="s">
        <v>5002</v>
      </c>
      <c r="B579" s="0" t="s">
        <v>253</v>
      </c>
      <c r="C579" s="14" t="n">
        <v>45977</v>
      </c>
      <c r="D579" s="0" t="n">
        <v>2365.49</v>
      </c>
      <c r="E579" s="14" t="n">
        <v>46037</v>
      </c>
    </row>
    <row r="580" customFormat="false" ht="15" hidden="false" customHeight="false" outlineLevel="0" collapsed="false">
      <c r="A580" s="0" t="s">
        <v>5003</v>
      </c>
      <c r="B580" s="0" t="s">
        <v>224</v>
      </c>
      <c r="C580" s="14" t="n">
        <v>45790</v>
      </c>
      <c r="D580" s="0" t="n">
        <v>1800.86</v>
      </c>
      <c r="E580" s="14" t="n">
        <v>45820</v>
      </c>
    </row>
    <row r="581" customFormat="false" ht="15" hidden="false" customHeight="false" outlineLevel="0" collapsed="false">
      <c r="A581" s="0" t="s">
        <v>5004</v>
      </c>
      <c r="B581" s="0" t="s">
        <v>241</v>
      </c>
      <c r="C581" s="14" t="n">
        <v>46023</v>
      </c>
      <c r="D581" s="0" t="n">
        <v>20829.97</v>
      </c>
      <c r="E581" s="14" t="n">
        <v>46038</v>
      </c>
    </row>
    <row r="582" customFormat="false" ht="15" hidden="false" customHeight="false" outlineLevel="0" collapsed="false">
      <c r="A582" s="0" t="s">
        <v>5005</v>
      </c>
      <c r="B582" s="0" t="s">
        <v>239</v>
      </c>
      <c r="C582" s="14" t="n">
        <v>45947</v>
      </c>
      <c r="D582" s="0" t="n">
        <v>308.07</v>
      </c>
      <c r="E582" s="14" t="n">
        <v>45977</v>
      </c>
    </row>
    <row r="583" customFormat="false" ht="15" hidden="false" customHeight="false" outlineLevel="0" collapsed="false">
      <c r="A583" s="0" t="s">
        <v>5006</v>
      </c>
      <c r="B583" s="0" t="s">
        <v>243</v>
      </c>
      <c r="C583" s="14" t="n">
        <v>46005</v>
      </c>
      <c r="D583" s="0" t="n">
        <v>2509.92</v>
      </c>
      <c r="E583" s="14" t="n">
        <v>46035</v>
      </c>
    </row>
    <row r="584" customFormat="false" ht="15" hidden="false" customHeight="false" outlineLevel="0" collapsed="false">
      <c r="A584" s="0" t="s">
        <v>5007</v>
      </c>
      <c r="B584" s="0" t="s">
        <v>245</v>
      </c>
      <c r="C584" s="14" t="n">
        <v>45686</v>
      </c>
      <c r="D584" s="0" t="n">
        <v>13746.34</v>
      </c>
      <c r="E584" s="14" t="n">
        <v>45701</v>
      </c>
    </row>
    <row r="585" customFormat="false" ht="15" hidden="false" customHeight="false" outlineLevel="0" collapsed="false">
      <c r="A585" s="0" t="s">
        <v>5008</v>
      </c>
      <c r="B585" s="0" t="s">
        <v>239</v>
      </c>
      <c r="C585" s="14" t="n">
        <v>45883</v>
      </c>
      <c r="D585" s="0" t="n">
        <v>2328.05</v>
      </c>
      <c r="E585" s="14" t="n">
        <v>45913</v>
      </c>
    </row>
    <row r="586" customFormat="false" ht="15" hidden="false" customHeight="false" outlineLevel="0" collapsed="false">
      <c r="A586" s="0" t="s">
        <v>5009</v>
      </c>
      <c r="B586" s="0" t="s">
        <v>243</v>
      </c>
      <c r="C586" s="14" t="n">
        <v>46048</v>
      </c>
      <c r="D586" s="0" t="n">
        <v>700.59</v>
      </c>
      <c r="E586" s="14" t="n">
        <v>46078</v>
      </c>
    </row>
    <row r="587" customFormat="false" ht="15" hidden="false" customHeight="false" outlineLevel="0" collapsed="false">
      <c r="A587" s="0" t="s">
        <v>5010</v>
      </c>
      <c r="B587" s="0" t="s">
        <v>263</v>
      </c>
      <c r="C587" s="14" t="n">
        <v>45712</v>
      </c>
      <c r="D587" s="0" t="n">
        <v>1796.89</v>
      </c>
      <c r="E587" s="14" t="n">
        <v>45772</v>
      </c>
    </row>
    <row r="588" customFormat="false" ht="15" hidden="false" customHeight="false" outlineLevel="0" collapsed="false">
      <c r="A588" s="0" t="s">
        <v>5011</v>
      </c>
      <c r="B588" s="0" t="s">
        <v>228</v>
      </c>
      <c r="C588" s="14" t="n">
        <v>46078</v>
      </c>
      <c r="D588" s="0" t="n">
        <v>9197.58</v>
      </c>
      <c r="E588" s="14" t="n">
        <v>46123</v>
      </c>
    </row>
    <row r="589" customFormat="false" ht="15" hidden="false" customHeight="false" outlineLevel="0" collapsed="false">
      <c r="A589" s="0" t="s">
        <v>5012</v>
      </c>
      <c r="B589" s="0" t="s">
        <v>217</v>
      </c>
      <c r="C589" s="14" t="n">
        <v>45660</v>
      </c>
      <c r="D589" s="0" t="n">
        <v>4661.09</v>
      </c>
      <c r="E589" s="14" t="n">
        <v>45690</v>
      </c>
    </row>
    <row r="590" customFormat="false" ht="15" hidden="false" customHeight="false" outlineLevel="0" collapsed="false">
      <c r="A590" s="0" t="s">
        <v>5013</v>
      </c>
      <c r="B590" s="0" t="s">
        <v>228</v>
      </c>
      <c r="C590" s="14" t="n">
        <v>45957</v>
      </c>
      <c r="D590" s="0" t="n">
        <v>2712.95</v>
      </c>
      <c r="E590" s="14" t="n">
        <v>46002</v>
      </c>
    </row>
    <row r="591" customFormat="false" ht="15" hidden="false" customHeight="false" outlineLevel="0" collapsed="false">
      <c r="A591" s="0" t="s">
        <v>5014</v>
      </c>
      <c r="B591" s="0" t="s">
        <v>232</v>
      </c>
      <c r="C591" s="14" t="n">
        <v>46164</v>
      </c>
      <c r="D591" s="0" t="n">
        <v>11680.95</v>
      </c>
      <c r="E591" s="14" t="n">
        <v>46194</v>
      </c>
    </row>
    <row r="592" customFormat="false" ht="15" hidden="false" customHeight="false" outlineLevel="0" collapsed="false">
      <c r="A592" s="0" t="s">
        <v>5015</v>
      </c>
      <c r="B592" s="0" t="s">
        <v>268</v>
      </c>
      <c r="C592" s="14" t="n">
        <v>45879</v>
      </c>
      <c r="D592" s="0" t="n">
        <v>2499.07</v>
      </c>
      <c r="E592" s="14" t="n">
        <v>45939</v>
      </c>
    </row>
    <row r="593" customFormat="false" ht="15" hidden="false" customHeight="false" outlineLevel="0" collapsed="false">
      <c r="A593" s="0" t="s">
        <v>5016</v>
      </c>
      <c r="B593" s="0" t="s">
        <v>228</v>
      </c>
      <c r="C593" s="14" t="n">
        <v>46167</v>
      </c>
      <c r="D593" s="0" t="n">
        <v>2710.15</v>
      </c>
      <c r="E593" s="14" t="n">
        <v>46212</v>
      </c>
    </row>
    <row r="594" customFormat="false" ht="15" hidden="false" customHeight="false" outlineLevel="0" collapsed="false">
      <c r="A594" s="0" t="s">
        <v>5017</v>
      </c>
      <c r="B594" s="0" t="s">
        <v>224</v>
      </c>
      <c r="C594" s="14" t="n">
        <v>46136</v>
      </c>
      <c r="D594" s="0" t="n">
        <v>4942.64</v>
      </c>
      <c r="E594" s="14" t="n">
        <v>46166</v>
      </c>
    </row>
    <row r="595" customFormat="false" ht="15" hidden="false" customHeight="false" outlineLevel="0" collapsed="false">
      <c r="A595" s="0" t="s">
        <v>5018</v>
      </c>
      <c r="B595" s="0" t="s">
        <v>208</v>
      </c>
      <c r="C595" s="14" t="n">
        <v>45918</v>
      </c>
      <c r="D595" s="0" t="n">
        <v>2782.84</v>
      </c>
      <c r="E595" s="14" t="n">
        <v>45963</v>
      </c>
    </row>
    <row r="596" customFormat="false" ht="15" hidden="false" customHeight="false" outlineLevel="0" collapsed="false">
      <c r="A596" s="0" t="s">
        <v>5019</v>
      </c>
      <c r="B596" s="0" t="s">
        <v>245</v>
      </c>
      <c r="C596" s="14" t="n">
        <v>45766</v>
      </c>
      <c r="D596" s="0" t="n">
        <v>11817.42</v>
      </c>
      <c r="E596" s="14" t="n">
        <v>45781</v>
      </c>
    </row>
    <row r="597" customFormat="false" ht="15" hidden="false" customHeight="false" outlineLevel="0" collapsed="false">
      <c r="A597" s="0" t="s">
        <v>5020</v>
      </c>
      <c r="B597" s="0" t="s">
        <v>270</v>
      </c>
      <c r="C597" s="14" t="n">
        <v>46183</v>
      </c>
      <c r="D597" s="0" t="n">
        <v>703.13</v>
      </c>
      <c r="E597" s="14" t="n">
        <v>46198</v>
      </c>
    </row>
    <row r="598" customFormat="false" ht="15" hidden="false" customHeight="false" outlineLevel="0" collapsed="false">
      <c r="A598" s="0" t="s">
        <v>5021</v>
      </c>
      <c r="B598" s="0" t="s">
        <v>211</v>
      </c>
      <c r="C598" s="14" t="n">
        <v>45833</v>
      </c>
      <c r="D598" s="0" t="n">
        <v>1810.18</v>
      </c>
      <c r="E598" s="14" t="n">
        <v>45848</v>
      </c>
    </row>
    <row r="599" customFormat="false" ht="15" hidden="false" customHeight="false" outlineLevel="0" collapsed="false">
      <c r="A599" s="0" t="s">
        <v>5022</v>
      </c>
      <c r="B599" s="0" t="s">
        <v>259</v>
      </c>
      <c r="C599" s="14" t="n">
        <v>46010</v>
      </c>
      <c r="D599" s="0" t="n">
        <v>1573.73</v>
      </c>
      <c r="E599" s="14" t="n">
        <v>46070</v>
      </c>
    </row>
    <row r="600" customFormat="false" ht="15" hidden="false" customHeight="false" outlineLevel="0" collapsed="false">
      <c r="A600" s="0" t="s">
        <v>5023</v>
      </c>
      <c r="B600" s="0" t="s">
        <v>214</v>
      </c>
      <c r="C600" s="14" t="n">
        <v>46152</v>
      </c>
      <c r="D600" s="0" t="n">
        <v>1461.81</v>
      </c>
      <c r="E600" s="14" t="n">
        <v>46197</v>
      </c>
    </row>
    <row r="601" customFormat="false" ht="15" hidden="false" customHeight="false" outlineLevel="0" collapsed="false">
      <c r="A601" s="0" t="s">
        <v>5024</v>
      </c>
      <c r="B601" s="0" t="s">
        <v>253</v>
      </c>
      <c r="C601" s="14" t="n">
        <v>45706</v>
      </c>
      <c r="D601" s="0" t="n">
        <v>3855.14</v>
      </c>
      <c r="E601" s="14" t="n">
        <v>45766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7.75" hidden="false" customHeight="true" outlineLevel="0" collapsed="false">
      <c r="A1" s="7" t="s">
        <v>5025</v>
      </c>
      <c r="B1" s="7" t="s">
        <v>4423</v>
      </c>
      <c r="C1" s="7" t="s">
        <v>204</v>
      </c>
      <c r="D1" s="7" t="s">
        <v>1161</v>
      </c>
      <c r="E1" s="7" t="s">
        <v>5026</v>
      </c>
    </row>
    <row r="2" customFormat="false" ht="15" hidden="false" customHeight="false" outlineLevel="0" collapsed="false">
      <c r="A2" s="0" t="s">
        <v>5027</v>
      </c>
      <c r="B2" s="0" t="s">
        <v>4426</v>
      </c>
      <c r="C2" s="0" t="s">
        <v>239</v>
      </c>
      <c r="D2" s="14" t="n">
        <v>46095</v>
      </c>
      <c r="E2" s="0" t="n">
        <v>1523.91</v>
      </c>
    </row>
    <row r="3" customFormat="false" ht="15" hidden="false" customHeight="false" outlineLevel="0" collapsed="false">
      <c r="A3" s="0" t="s">
        <v>5028</v>
      </c>
      <c r="B3" s="0" t="s">
        <v>4427</v>
      </c>
      <c r="C3" s="0" t="s">
        <v>230</v>
      </c>
      <c r="D3" s="14" t="n">
        <v>46049</v>
      </c>
      <c r="E3" s="0" t="n">
        <v>715.25</v>
      </c>
    </row>
    <row r="4" customFormat="false" ht="15" hidden="false" customHeight="false" outlineLevel="0" collapsed="false">
      <c r="A4" s="0" t="s">
        <v>5029</v>
      </c>
      <c r="B4" s="0" t="s">
        <v>4428</v>
      </c>
      <c r="C4" s="0" t="s">
        <v>270</v>
      </c>
      <c r="D4" s="14" t="n">
        <v>45766</v>
      </c>
      <c r="E4" s="0" t="n">
        <v>3252.02</v>
      </c>
    </row>
    <row r="5" customFormat="false" ht="15" hidden="false" customHeight="false" outlineLevel="0" collapsed="false">
      <c r="A5" s="0" t="s">
        <v>5030</v>
      </c>
      <c r="B5" s="0" t="s">
        <v>4429</v>
      </c>
      <c r="C5" s="0" t="s">
        <v>239</v>
      </c>
      <c r="D5" s="14" t="n">
        <v>46115</v>
      </c>
      <c r="E5" s="0" t="n">
        <v>6622.57</v>
      </c>
    </row>
    <row r="6" customFormat="false" ht="15" hidden="false" customHeight="false" outlineLevel="0" collapsed="false">
      <c r="A6" s="0" t="s">
        <v>5031</v>
      </c>
      <c r="B6" s="0" t="s">
        <v>4430</v>
      </c>
      <c r="C6" s="0" t="s">
        <v>217</v>
      </c>
      <c r="D6" s="14" t="n">
        <v>45970</v>
      </c>
      <c r="E6" s="0" t="n">
        <v>2625.84</v>
      </c>
    </row>
    <row r="7" customFormat="false" ht="15" hidden="false" customHeight="false" outlineLevel="0" collapsed="false">
      <c r="A7" s="0" t="s">
        <v>5032</v>
      </c>
      <c r="B7" s="0" t="s">
        <v>4431</v>
      </c>
      <c r="C7" s="0" t="s">
        <v>265</v>
      </c>
      <c r="D7" s="14" t="n">
        <v>46106</v>
      </c>
      <c r="E7" s="0" t="n">
        <v>4091.62</v>
      </c>
    </row>
    <row r="8" customFormat="false" ht="15" hidden="false" customHeight="false" outlineLevel="0" collapsed="false">
      <c r="A8" s="0" t="s">
        <v>5033</v>
      </c>
      <c r="B8" s="0" t="s">
        <v>4432</v>
      </c>
      <c r="C8" s="0" t="s">
        <v>228</v>
      </c>
      <c r="D8" s="14" t="n">
        <v>46083</v>
      </c>
      <c r="E8" s="0" t="n">
        <v>673.49</v>
      </c>
    </row>
    <row r="9" customFormat="false" ht="15" hidden="false" customHeight="false" outlineLevel="0" collapsed="false">
      <c r="A9" s="0" t="s">
        <v>5034</v>
      </c>
      <c r="B9" s="0" t="s">
        <v>4433</v>
      </c>
      <c r="C9" s="0" t="s">
        <v>265</v>
      </c>
      <c r="D9" s="14" t="n">
        <v>45935</v>
      </c>
      <c r="E9" s="0" t="n">
        <v>2365.68</v>
      </c>
    </row>
    <row r="10" customFormat="false" ht="15" hidden="false" customHeight="false" outlineLevel="0" collapsed="false">
      <c r="A10" s="0" t="s">
        <v>5035</v>
      </c>
      <c r="B10" s="0" t="s">
        <v>4434</v>
      </c>
      <c r="C10" s="0" t="s">
        <v>226</v>
      </c>
      <c r="D10" s="14" t="n">
        <v>46185</v>
      </c>
      <c r="E10" s="0" t="n">
        <v>6127.03</v>
      </c>
    </row>
    <row r="11" customFormat="false" ht="15" hidden="false" customHeight="false" outlineLevel="0" collapsed="false">
      <c r="A11" s="0" t="s">
        <v>5036</v>
      </c>
      <c r="B11" s="0" t="s">
        <v>4435</v>
      </c>
      <c r="C11" s="0" t="s">
        <v>208</v>
      </c>
      <c r="D11" s="14" t="n">
        <v>45982</v>
      </c>
      <c r="E11" s="0" t="n">
        <v>3666.96</v>
      </c>
    </row>
    <row r="12" customFormat="false" ht="15" hidden="false" customHeight="false" outlineLevel="0" collapsed="false">
      <c r="A12" s="0" t="s">
        <v>5037</v>
      </c>
      <c r="B12" s="0" t="s">
        <v>4436</v>
      </c>
      <c r="C12" s="0" t="s">
        <v>243</v>
      </c>
      <c r="D12" s="14" t="n">
        <v>46034</v>
      </c>
      <c r="E12" s="0" t="n">
        <v>8288.62</v>
      </c>
    </row>
    <row r="13" customFormat="false" ht="15" hidden="false" customHeight="false" outlineLevel="0" collapsed="false">
      <c r="A13" s="0" t="s">
        <v>5038</v>
      </c>
      <c r="B13" s="0" t="s">
        <v>4437</v>
      </c>
      <c r="C13" s="0" t="s">
        <v>261</v>
      </c>
      <c r="D13" s="14" t="n">
        <v>45999</v>
      </c>
      <c r="E13" s="0" t="n">
        <v>1708.27</v>
      </c>
    </row>
    <row r="14" customFormat="false" ht="15" hidden="false" customHeight="false" outlineLevel="0" collapsed="false">
      <c r="A14" s="0" t="s">
        <v>5039</v>
      </c>
      <c r="B14" s="0" t="s">
        <v>4438</v>
      </c>
      <c r="C14" s="0" t="s">
        <v>243</v>
      </c>
      <c r="D14" s="14" t="n">
        <v>46130</v>
      </c>
      <c r="E14" s="0" t="n">
        <v>10942.48</v>
      </c>
    </row>
    <row r="15" customFormat="false" ht="15" hidden="false" customHeight="false" outlineLevel="0" collapsed="false">
      <c r="A15" s="0" t="s">
        <v>5040</v>
      </c>
      <c r="B15" s="0" t="s">
        <v>4439</v>
      </c>
      <c r="C15" s="0" t="s">
        <v>245</v>
      </c>
      <c r="D15" s="14" t="n">
        <v>46033</v>
      </c>
      <c r="E15" s="0" t="n">
        <v>1415.72</v>
      </c>
    </row>
    <row r="16" customFormat="false" ht="15" hidden="false" customHeight="false" outlineLevel="0" collapsed="false">
      <c r="A16" s="0" t="s">
        <v>5041</v>
      </c>
      <c r="B16" s="0" t="s">
        <v>4440</v>
      </c>
      <c r="C16" s="0" t="s">
        <v>243</v>
      </c>
      <c r="D16" s="14" t="n">
        <v>45741</v>
      </c>
      <c r="E16" s="0" t="n">
        <v>2952.16</v>
      </c>
    </row>
    <row r="17" customFormat="false" ht="15" hidden="false" customHeight="false" outlineLevel="0" collapsed="false">
      <c r="A17" s="0" t="s">
        <v>5042</v>
      </c>
      <c r="B17" s="0" t="s">
        <v>4441</v>
      </c>
      <c r="C17" s="0" t="s">
        <v>241</v>
      </c>
      <c r="D17" s="14" t="n">
        <v>45706</v>
      </c>
      <c r="E17" s="0" t="n">
        <v>3137.15</v>
      </c>
    </row>
    <row r="18" customFormat="false" ht="15" hidden="false" customHeight="false" outlineLevel="0" collapsed="false">
      <c r="A18" s="0" t="s">
        <v>5043</v>
      </c>
      <c r="B18" s="0" t="s">
        <v>4442</v>
      </c>
      <c r="C18" s="0" t="s">
        <v>208</v>
      </c>
      <c r="D18" s="14" t="n">
        <v>45921</v>
      </c>
      <c r="E18" s="0" t="n">
        <v>468.78</v>
      </c>
    </row>
    <row r="19" customFormat="false" ht="15" hidden="false" customHeight="false" outlineLevel="0" collapsed="false">
      <c r="A19" s="0" t="s">
        <v>5044</v>
      </c>
      <c r="B19" s="0" t="s">
        <v>4443</v>
      </c>
      <c r="C19" s="0" t="s">
        <v>234</v>
      </c>
      <c r="D19" s="14" t="n">
        <v>45832</v>
      </c>
      <c r="E19" s="0" t="n">
        <v>1542.98</v>
      </c>
    </row>
    <row r="20" customFormat="false" ht="15" hidden="false" customHeight="false" outlineLevel="0" collapsed="false">
      <c r="A20" s="0" t="s">
        <v>5045</v>
      </c>
      <c r="B20" s="0" t="s">
        <v>4444</v>
      </c>
      <c r="C20" s="0" t="s">
        <v>261</v>
      </c>
      <c r="D20" s="14" t="n">
        <v>45811</v>
      </c>
      <c r="E20" s="0" t="n">
        <v>4945.6</v>
      </c>
    </row>
    <row r="21" customFormat="false" ht="15" hidden="false" customHeight="false" outlineLevel="0" collapsed="false">
      <c r="A21" s="0" t="s">
        <v>5046</v>
      </c>
      <c r="B21" s="0" t="s">
        <v>4446</v>
      </c>
      <c r="C21" s="0" t="s">
        <v>228</v>
      </c>
      <c r="D21" s="14" t="n">
        <v>45943</v>
      </c>
      <c r="E21" s="0" t="n">
        <v>10752.52</v>
      </c>
    </row>
    <row r="22" customFormat="false" ht="15" hidden="false" customHeight="false" outlineLevel="0" collapsed="false">
      <c r="A22" s="0" t="s">
        <v>5047</v>
      </c>
      <c r="B22" s="0" t="s">
        <v>4447</v>
      </c>
      <c r="C22" s="0" t="s">
        <v>263</v>
      </c>
      <c r="D22" s="14" t="n">
        <v>45828</v>
      </c>
      <c r="E22" s="0" t="n">
        <v>738.73</v>
      </c>
    </row>
    <row r="23" customFormat="false" ht="15" hidden="false" customHeight="false" outlineLevel="0" collapsed="false">
      <c r="A23" s="0" t="s">
        <v>5048</v>
      </c>
      <c r="B23" s="0" t="s">
        <v>4448</v>
      </c>
      <c r="C23" s="0" t="s">
        <v>226</v>
      </c>
      <c r="D23" s="14" t="n">
        <v>45931</v>
      </c>
      <c r="E23" s="0" t="n">
        <v>2574.77</v>
      </c>
    </row>
    <row r="24" customFormat="false" ht="15" hidden="false" customHeight="false" outlineLevel="0" collapsed="false">
      <c r="A24" s="0" t="s">
        <v>5049</v>
      </c>
      <c r="B24" s="0" t="s">
        <v>4450</v>
      </c>
      <c r="C24" s="0" t="s">
        <v>234</v>
      </c>
      <c r="D24" s="14" t="n">
        <v>46112</v>
      </c>
      <c r="E24" s="0" t="n">
        <v>419.87</v>
      </c>
    </row>
    <row r="25" customFormat="false" ht="15" hidden="false" customHeight="false" outlineLevel="0" collapsed="false">
      <c r="A25" s="0" t="s">
        <v>5050</v>
      </c>
      <c r="B25" s="0" t="s">
        <v>4451</v>
      </c>
      <c r="C25" s="0" t="s">
        <v>259</v>
      </c>
      <c r="D25" s="14" t="n">
        <v>45708</v>
      </c>
      <c r="E25" s="0" t="n">
        <v>1097.71</v>
      </c>
    </row>
    <row r="26" customFormat="false" ht="15" hidden="false" customHeight="false" outlineLevel="0" collapsed="false">
      <c r="A26" s="0" t="s">
        <v>5051</v>
      </c>
      <c r="B26" s="0" t="s">
        <v>4452</v>
      </c>
      <c r="C26" s="0" t="s">
        <v>268</v>
      </c>
      <c r="D26" s="14" t="n">
        <v>46169</v>
      </c>
      <c r="E26" s="0" t="n">
        <v>3200.16</v>
      </c>
    </row>
    <row r="27" customFormat="false" ht="15" hidden="false" customHeight="false" outlineLevel="0" collapsed="false">
      <c r="A27" s="0" t="s">
        <v>5052</v>
      </c>
      <c r="B27" s="0" t="s">
        <v>4455</v>
      </c>
      <c r="C27" s="0" t="s">
        <v>267</v>
      </c>
      <c r="D27" s="14" t="n">
        <v>45951</v>
      </c>
      <c r="E27" s="0" t="n">
        <v>3581.88</v>
      </c>
    </row>
    <row r="28" customFormat="false" ht="15" hidden="false" customHeight="false" outlineLevel="0" collapsed="false">
      <c r="A28" s="0" t="s">
        <v>5053</v>
      </c>
      <c r="B28" s="0" t="s">
        <v>4456</v>
      </c>
      <c r="C28" s="0" t="s">
        <v>265</v>
      </c>
      <c r="D28" s="14" t="n">
        <v>45911</v>
      </c>
      <c r="E28" s="0" t="n">
        <v>2165.8</v>
      </c>
    </row>
    <row r="29" customFormat="false" ht="15" hidden="false" customHeight="false" outlineLevel="0" collapsed="false">
      <c r="A29" s="0" t="s">
        <v>5054</v>
      </c>
      <c r="B29" s="0" t="s">
        <v>4457</v>
      </c>
      <c r="C29" s="0" t="s">
        <v>247</v>
      </c>
      <c r="D29" s="14" t="n">
        <v>45977</v>
      </c>
      <c r="E29" s="0" t="n">
        <v>1078.27</v>
      </c>
    </row>
    <row r="30" customFormat="false" ht="15" hidden="false" customHeight="false" outlineLevel="0" collapsed="false">
      <c r="A30" s="0" t="s">
        <v>5055</v>
      </c>
      <c r="B30" s="0" t="s">
        <v>4458</v>
      </c>
      <c r="C30" s="0" t="s">
        <v>247</v>
      </c>
      <c r="D30" s="14" t="n">
        <v>46116</v>
      </c>
      <c r="E30" s="0" t="n">
        <v>4109.52</v>
      </c>
    </row>
    <row r="31" customFormat="false" ht="15" hidden="false" customHeight="false" outlineLevel="0" collapsed="false">
      <c r="A31" s="0" t="s">
        <v>5056</v>
      </c>
      <c r="B31" s="0" t="s">
        <v>4459</v>
      </c>
      <c r="C31" s="0" t="s">
        <v>253</v>
      </c>
      <c r="D31" s="14" t="n">
        <v>46173</v>
      </c>
      <c r="E31" s="0" t="n">
        <v>2519.07</v>
      </c>
    </row>
    <row r="32" customFormat="false" ht="15" hidden="false" customHeight="false" outlineLevel="0" collapsed="false">
      <c r="A32" s="0" t="s">
        <v>5057</v>
      </c>
      <c r="B32" s="0" t="s">
        <v>4460</v>
      </c>
      <c r="C32" s="0" t="s">
        <v>208</v>
      </c>
      <c r="D32" s="14" t="n">
        <v>45911</v>
      </c>
      <c r="E32" s="0" t="n">
        <v>5268.62</v>
      </c>
    </row>
    <row r="33" customFormat="false" ht="15" hidden="false" customHeight="false" outlineLevel="0" collapsed="false">
      <c r="A33" s="0" t="s">
        <v>5058</v>
      </c>
      <c r="B33" s="0" t="s">
        <v>4461</v>
      </c>
      <c r="C33" s="0" t="s">
        <v>265</v>
      </c>
      <c r="D33" s="14" t="n">
        <v>46117</v>
      </c>
      <c r="E33" s="0" t="n">
        <v>1149.12</v>
      </c>
    </row>
    <row r="34" customFormat="false" ht="15" hidden="false" customHeight="false" outlineLevel="0" collapsed="false">
      <c r="A34" s="0" t="s">
        <v>5059</v>
      </c>
      <c r="B34" s="0" t="s">
        <v>4462</v>
      </c>
      <c r="C34" s="0" t="s">
        <v>232</v>
      </c>
      <c r="D34" s="14" t="n">
        <v>46044</v>
      </c>
      <c r="E34" s="0" t="n">
        <v>183.38</v>
      </c>
    </row>
    <row r="35" customFormat="false" ht="15" hidden="false" customHeight="false" outlineLevel="0" collapsed="false">
      <c r="A35" s="0" t="s">
        <v>5060</v>
      </c>
      <c r="B35" s="0" t="s">
        <v>4463</v>
      </c>
      <c r="C35" s="0" t="s">
        <v>208</v>
      </c>
      <c r="D35" s="14" t="n">
        <v>45846</v>
      </c>
      <c r="E35" s="0" t="n">
        <v>5425.91</v>
      </c>
    </row>
    <row r="36" customFormat="false" ht="15" hidden="false" customHeight="false" outlineLevel="0" collapsed="false">
      <c r="A36" s="0" t="s">
        <v>5061</v>
      </c>
      <c r="B36" s="0" t="s">
        <v>4464</v>
      </c>
      <c r="C36" s="0" t="s">
        <v>245</v>
      </c>
      <c r="D36" s="14" t="n">
        <v>45932</v>
      </c>
      <c r="E36" s="0" t="n">
        <v>2859.95</v>
      </c>
    </row>
    <row r="37" customFormat="false" ht="15" hidden="false" customHeight="false" outlineLevel="0" collapsed="false">
      <c r="A37" s="0" t="s">
        <v>5062</v>
      </c>
      <c r="B37" s="0" t="s">
        <v>4465</v>
      </c>
      <c r="C37" s="0" t="s">
        <v>236</v>
      </c>
      <c r="D37" s="14" t="n">
        <v>45758</v>
      </c>
      <c r="E37" s="0" t="n">
        <v>8209.38</v>
      </c>
    </row>
    <row r="38" customFormat="false" ht="15" hidden="false" customHeight="false" outlineLevel="0" collapsed="false">
      <c r="A38" s="0" t="s">
        <v>5063</v>
      </c>
      <c r="B38" s="0" t="s">
        <v>4466</v>
      </c>
      <c r="C38" s="0" t="s">
        <v>230</v>
      </c>
      <c r="D38" s="14" t="n">
        <v>45712</v>
      </c>
      <c r="E38" s="0" t="n">
        <v>2699.15</v>
      </c>
    </row>
    <row r="39" customFormat="false" ht="15" hidden="false" customHeight="false" outlineLevel="0" collapsed="false">
      <c r="A39" s="0" t="s">
        <v>5064</v>
      </c>
      <c r="B39" s="0" t="s">
        <v>4468</v>
      </c>
      <c r="C39" s="0" t="s">
        <v>226</v>
      </c>
      <c r="D39" s="14" t="n">
        <v>46161</v>
      </c>
      <c r="E39" s="0" t="n">
        <v>1354.65</v>
      </c>
    </row>
    <row r="40" customFormat="false" ht="15" hidden="false" customHeight="false" outlineLevel="0" collapsed="false">
      <c r="A40" s="0" t="s">
        <v>5065</v>
      </c>
      <c r="B40" s="0" t="s">
        <v>4469</v>
      </c>
      <c r="C40" s="0" t="s">
        <v>241</v>
      </c>
      <c r="D40" s="14" t="n">
        <v>45850</v>
      </c>
      <c r="E40" s="0" t="n">
        <v>2443.44</v>
      </c>
    </row>
    <row r="41" customFormat="false" ht="15" hidden="false" customHeight="false" outlineLevel="0" collapsed="false">
      <c r="A41" s="0" t="s">
        <v>5066</v>
      </c>
      <c r="B41" s="0" t="s">
        <v>4470</v>
      </c>
      <c r="C41" s="0" t="s">
        <v>243</v>
      </c>
      <c r="D41" s="14" t="n">
        <v>46060</v>
      </c>
      <c r="E41" s="0" t="n">
        <v>4874.17</v>
      </c>
    </row>
    <row r="42" customFormat="false" ht="15" hidden="false" customHeight="false" outlineLevel="0" collapsed="false">
      <c r="A42" s="0" t="s">
        <v>5067</v>
      </c>
      <c r="B42" s="0" t="s">
        <v>4473</v>
      </c>
      <c r="C42" s="0" t="s">
        <v>232</v>
      </c>
      <c r="D42" s="14" t="n">
        <v>45826</v>
      </c>
      <c r="E42" s="0" t="n">
        <v>3700.7</v>
      </c>
    </row>
    <row r="43" customFormat="false" ht="15" hidden="false" customHeight="false" outlineLevel="0" collapsed="false">
      <c r="A43" s="0" t="s">
        <v>5068</v>
      </c>
      <c r="B43" s="0" t="s">
        <v>4474</v>
      </c>
      <c r="C43" s="0" t="s">
        <v>267</v>
      </c>
      <c r="D43" s="14" t="n">
        <v>45911</v>
      </c>
      <c r="E43" s="0" t="n">
        <v>1168.97</v>
      </c>
    </row>
    <row r="44" customFormat="false" ht="15" hidden="false" customHeight="false" outlineLevel="0" collapsed="false">
      <c r="A44" s="0" t="s">
        <v>5069</v>
      </c>
      <c r="B44" s="0" t="s">
        <v>4475</v>
      </c>
      <c r="C44" s="0" t="s">
        <v>228</v>
      </c>
      <c r="D44" s="14" t="n">
        <v>45924</v>
      </c>
      <c r="E44" s="0" t="n">
        <v>1984.44</v>
      </c>
    </row>
    <row r="45" customFormat="false" ht="15" hidden="false" customHeight="false" outlineLevel="0" collapsed="false">
      <c r="A45" s="0" t="s">
        <v>5070</v>
      </c>
      <c r="B45" s="0" t="s">
        <v>4476</v>
      </c>
      <c r="C45" s="0" t="s">
        <v>249</v>
      </c>
      <c r="D45" s="14" t="n">
        <v>45969</v>
      </c>
      <c r="E45" s="0" t="n">
        <v>918.62</v>
      </c>
    </row>
    <row r="46" customFormat="false" ht="15" hidden="false" customHeight="false" outlineLevel="0" collapsed="false">
      <c r="A46" s="0" t="s">
        <v>5071</v>
      </c>
      <c r="B46" s="0" t="s">
        <v>4477</v>
      </c>
      <c r="C46" s="0" t="s">
        <v>208</v>
      </c>
      <c r="D46" s="14" t="n">
        <v>45776</v>
      </c>
      <c r="E46" s="0" t="n">
        <v>1358.01</v>
      </c>
    </row>
    <row r="47" customFormat="false" ht="15" hidden="false" customHeight="false" outlineLevel="0" collapsed="false">
      <c r="A47" s="0" t="s">
        <v>5072</v>
      </c>
      <c r="B47" s="0" t="s">
        <v>4478</v>
      </c>
      <c r="C47" s="0" t="s">
        <v>220</v>
      </c>
      <c r="D47" s="14" t="n">
        <v>45865</v>
      </c>
      <c r="E47" s="0" t="n">
        <v>857.18</v>
      </c>
    </row>
    <row r="48" customFormat="false" ht="15" hidden="false" customHeight="false" outlineLevel="0" collapsed="false">
      <c r="A48" s="0" t="s">
        <v>5073</v>
      </c>
      <c r="B48" s="0" t="s">
        <v>4479</v>
      </c>
      <c r="C48" s="0" t="s">
        <v>232</v>
      </c>
      <c r="D48" s="14" t="n">
        <v>45848</v>
      </c>
      <c r="E48" s="0" t="n">
        <v>2386.51</v>
      </c>
    </row>
    <row r="49" customFormat="false" ht="15" hidden="false" customHeight="false" outlineLevel="0" collapsed="false">
      <c r="A49" s="0" t="s">
        <v>5074</v>
      </c>
      <c r="B49" s="0" t="s">
        <v>4480</v>
      </c>
      <c r="C49" s="0" t="s">
        <v>249</v>
      </c>
      <c r="D49" s="14" t="n">
        <v>45881</v>
      </c>
      <c r="E49" s="0" t="n">
        <v>1552.87</v>
      </c>
    </row>
    <row r="50" customFormat="false" ht="15" hidden="false" customHeight="false" outlineLevel="0" collapsed="false">
      <c r="A50" s="0" t="s">
        <v>5075</v>
      </c>
      <c r="B50" s="0" t="s">
        <v>4483</v>
      </c>
      <c r="C50" s="0" t="s">
        <v>253</v>
      </c>
      <c r="D50" s="14" t="n">
        <v>46119</v>
      </c>
      <c r="E50" s="0" t="n">
        <v>1143.06</v>
      </c>
    </row>
    <row r="51" customFormat="false" ht="15" hidden="false" customHeight="false" outlineLevel="0" collapsed="false">
      <c r="A51" s="0" t="s">
        <v>5076</v>
      </c>
      <c r="B51" s="0" t="s">
        <v>4484</v>
      </c>
      <c r="C51" s="0" t="s">
        <v>239</v>
      </c>
      <c r="D51" s="14" t="n">
        <v>46031</v>
      </c>
      <c r="E51" s="0" t="n">
        <v>139.79</v>
      </c>
    </row>
    <row r="52" customFormat="false" ht="15" hidden="false" customHeight="false" outlineLevel="0" collapsed="false">
      <c r="A52" s="0" t="s">
        <v>5077</v>
      </c>
      <c r="B52" s="0" t="s">
        <v>4485</v>
      </c>
      <c r="C52" s="0" t="s">
        <v>220</v>
      </c>
      <c r="D52" s="14" t="n">
        <v>45695</v>
      </c>
      <c r="E52" s="0" t="n">
        <v>1962</v>
      </c>
    </row>
    <row r="53" customFormat="false" ht="15" hidden="false" customHeight="false" outlineLevel="0" collapsed="false">
      <c r="A53" s="0" t="s">
        <v>5078</v>
      </c>
      <c r="B53" s="0" t="s">
        <v>4486</v>
      </c>
      <c r="C53" s="0" t="s">
        <v>268</v>
      </c>
      <c r="D53" s="14" t="n">
        <v>45747</v>
      </c>
      <c r="E53" s="0" t="n">
        <v>1022.35</v>
      </c>
    </row>
    <row r="54" customFormat="false" ht="15" hidden="false" customHeight="false" outlineLevel="0" collapsed="false">
      <c r="A54" s="0" t="s">
        <v>5079</v>
      </c>
      <c r="B54" s="0" t="s">
        <v>4487</v>
      </c>
      <c r="C54" s="0" t="s">
        <v>263</v>
      </c>
      <c r="D54" s="14" t="n">
        <v>46064</v>
      </c>
      <c r="E54" s="0" t="n">
        <v>1069.79</v>
      </c>
    </row>
    <row r="55" customFormat="false" ht="15" hidden="false" customHeight="false" outlineLevel="0" collapsed="false">
      <c r="A55" s="0" t="s">
        <v>5080</v>
      </c>
      <c r="B55" s="0" t="s">
        <v>4488</v>
      </c>
      <c r="C55" s="0" t="s">
        <v>236</v>
      </c>
      <c r="D55" s="14" t="n">
        <v>45835</v>
      </c>
      <c r="E55" s="0" t="n">
        <v>5778.66</v>
      </c>
    </row>
    <row r="56" customFormat="false" ht="15" hidden="false" customHeight="false" outlineLevel="0" collapsed="false">
      <c r="A56" s="0" t="s">
        <v>5081</v>
      </c>
      <c r="B56" s="0" t="s">
        <v>4489</v>
      </c>
      <c r="C56" s="0" t="s">
        <v>243</v>
      </c>
      <c r="D56" s="14" t="n">
        <v>46059</v>
      </c>
      <c r="E56" s="0" t="n">
        <v>2296.31</v>
      </c>
    </row>
    <row r="57" customFormat="false" ht="15" hidden="false" customHeight="false" outlineLevel="0" collapsed="false">
      <c r="A57" s="0" t="s">
        <v>5082</v>
      </c>
      <c r="B57" s="0" t="s">
        <v>4490</v>
      </c>
      <c r="C57" s="0" t="s">
        <v>228</v>
      </c>
      <c r="D57" s="14" t="n">
        <v>46038</v>
      </c>
      <c r="E57" s="0" t="n">
        <v>5980.79</v>
      </c>
    </row>
    <row r="58" customFormat="false" ht="15" hidden="false" customHeight="false" outlineLevel="0" collapsed="false">
      <c r="A58" s="0" t="s">
        <v>5083</v>
      </c>
      <c r="B58" s="0" t="s">
        <v>4491</v>
      </c>
      <c r="C58" s="0" t="s">
        <v>222</v>
      </c>
      <c r="D58" s="14" t="n">
        <v>46169</v>
      </c>
      <c r="E58" s="0" t="n">
        <v>2115.58</v>
      </c>
    </row>
    <row r="59" customFormat="false" ht="15" hidden="false" customHeight="false" outlineLevel="0" collapsed="false">
      <c r="A59" s="0" t="s">
        <v>5084</v>
      </c>
      <c r="B59" s="0" t="s">
        <v>4492</v>
      </c>
      <c r="C59" s="0" t="s">
        <v>234</v>
      </c>
      <c r="D59" s="14" t="n">
        <v>46148</v>
      </c>
      <c r="E59" s="0" t="n">
        <v>1470.85</v>
      </c>
    </row>
    <row r="60" customFormat="false" ht="15" hidden="false" customHeight="false" outlineLevel="0" collapsed="false">
      <c r="A60" s="0" t="s">
        <v>5085</v>
      </c>
      <c r="B60" s="0" t="s">
        <v>4493</v>
      </c>
      <c r="C60" s="0" t="s">
        <v>222</v>
      </c>
      <c r="D60" s="14" t="n">
        <v>45851</v>
      </c>
      <c r="E60" s="0" t="n">
        <v>1230.79</v>
      </c>
    </row>
    <row r="61" customFormat="false" ht="15" hidden="false" customHeight="false" outlineLevel="0" collapsed="false">
      <c r="A61" s="0" t="s">
        <v>5086</v>
      </c>
      <c r="B61" s="0" t="s">
        <v>4494</v>
      </c>
      <c r="C61" s="0" t="s">
        <v>243</v>
      </c>
      <c r="D61" s="14" t="n">
        <v>45996</v>
      </c>
      <c r="E61" s="0" t="n">
        <v>11396.88</v>
      </c>
    </row>
    <row r="62" customFormat="false" ht="15" hidden="false" customHeight="false" outlineLevel="0" collapsed="false">
      <c r="A62" s="0" t="s">
        <v>5087</v>
      </c>
      <c r="B62" s="0" t="s">
        <v>4495</v>
      </c>
      <c r="C62" s="0" t="s">
        <v>245</v>
      </c>
      <c r="D62" s="14" t="n">
        <v>45752</v>
      </c>
      <c r="E62" s="0" t="n">
        <v>2362.28</v>
      </c>
    </row>
    <row r="63" customFormat="false" ht="15" hidden="false" customHeight="false" outlineLevel="0" collapsed="false">
      <c r="A63" s="0" t="s">
        <v>5088</v>
      </c>
      <c r="B63" s="0" t="s">
        <v>4496</v>
      </c>
      <c r="C63" s="0" t="s">
        <v>270</v>
      </c>
      <c r="D63" s="14" t="n">
        <v>45849</v>
      </c>
      <c r="E63" s="0" t="n">
        <v>19405.86</v>
      </c>
    </row>
    <row r="64" customFormat="false" ht="15" hidden="false" customHeight="false" outlineLevel="0" collapsed="false">
      <c r="A64" s="0" t="s">
        <v>5089</v>
      </c>
      <c r="B64" s="0" t="s">
        <v>4498</v>
      </c>
      <c r="C64" s="0" t="s">
        <v>270</v>
      </c>
      <c r="D64" s="14" t="n">
        <v>46071</v>
      </c>
      <c r="E64" s="0" t="n">
        <v>422.1</v>
      </c>
    </row>
    <row r="65" customFormat="false" ht="15" hidden="false" customHeight="false" outlineLevel="0" collapsed="false">
      <c r="A65" s="0" t="s">
        <v>5090</v>
      </c>
      <c r="B65" s="0" t="s">
        <v>4499</v>
      </c>
      <c r="C65" s="0" t="s">
        <v>241</v>
      </c>
      <c r="D65" s="14" t="n">
        <v>45892</v>
      </c>
      <c r="E65" s="0" t="n">
        <v>3092.13</v>
      </c>
    </row>
    <row r="66" customFormat="false" ht="15" hidden="false" customHeight="false" outlineLevel="0" collapsed="false">
      <c r="A66" s="0" t="s">
        <v>5091</v>
      </c>
      <c r="B66" s="0" t="s">
        <v>4500</v>
      </c>
      <c r="C66" s="0" t="s">
        <v>255</v>
      </c>
      <c r="D66" s="14" t="n">
        <v>45985</v>
      </c>
      <c r="E66" s="0" t="n">
        <v>4650.25</v>
      </c>
    </row>
    <row r="67" customFormat="false" ht="15" hidden="false" customHeight="false" outlineLevel="0" collapsed="false">
      <c r="A67" s="0" t="s">
        <v>5092</v>
      </c>
      <c r="B67" s="0" t="s">
        <v>4502</v>
      </c>
      <c r="C67" s="0" t="s">
        <v>211</v>
      </c>
      <c r="D67" s="14" t="n">
        <v>45847</v>
      </c>
      <c r="E67" s="0" t="n">
        <v>2761.96</v>
      </c>
    </row>
    <row r="68" customFormat="false" ht="15" hidden="false" customHeight="false" outlineLevel="0" collapsed="false">
      <c r="A68" s="0" t="s">
        <v>5093</v>
      </c>
      <c r="B68" s="0" t="s">
        <v>4503</v>
      </c>
      <c r="C68" s="0" t="s">
        <v>236</v>
      </c>
      <c r="D68" s="14" t="n">
        <v>45900</v>
      </c>
      <c r="E68" s="0" t="n">
        <v>2517.6</v>
      </c>
    </row>
    <row r="69" customFormat="false" ht="15" hidden="false" customHeight="false" outlineLevel="0" collapsed="false">
      <c r="A69" s="0" t="s">
        <v>5094</v>
      </c>
      <c r="B69" s="0" t="s">
        <v>4504</v>
      </c>
      <c r="C69" s="0" t="s">
        <v>226</v>
      </c>
      <c r="D69" s="14" t="n">
        <v>46100</v>
      </c>
      <c r="E69" s="0" t="n">
        <v>2398.54</v>
      </c>
    </row>
    <row r="70" customFormat="false" ht="15" hidden="false" customHeight="false" outlineLevel="0" collapsed="false">
      <c r="A70" s="0" t="s">
        <v>5095</v>
      </c>
      <c r="B70" s="0" t="s">
        <v>4505</v>
      </c>
      <c r="C70" s="0" t="s">
        <v>259</v>
      </c>
      <c r="D70" s="14" t="n">
        <v>46127</v>
      </c>
      <c r="E70" s="0" t="n">
        <v>648.33</v>
      </c>
    </row>
    <row r="71" customFormat="false" ht="15" hidden="false" customHeight="false" outlineLevel="0" collapsed="false">
      <c r="A71" s="0" t="s">
        <v>5096</v>
      </c>
      <c r="B71" s="0" t="s">
        <v>4506</v>
      </c>
      <c r="C71" s="0" t="s">
        <v>224</v>
      </c>
      <c r="D71" s="14" t="n">
        <v>46044</v>
      </c>
      <c r="E71" s="0" t="n">
        <v>2710.4</v>
      </c>
    </row>
    <row r="72" customFormat="false" ht="15" hidden="false" customHeight="false" outlineLevel="0" collapsed="false">
      <c r="A72" s="0" t="s">
        <v>5097</v>
      </c>
      <c r="B72" s="0" t="s">
        <v>4507</v>
      </c>
      <c r="C72" s="0" t="s">
        <v>220</v>
      </c>
      <c r="D72" s="14" t="n">
        <v>46113</v>
      </c>
      <c r="E72" s="0" t="n">
        <v>3607.75</v>
      </c>
    </row>
    <row r="73" customFormat="false" ht="15" hidden="false" customHeight="false" outlineLevel="0" collapsed="false">
      <c r="A73" s="0" t="s">
        <v>5098</v>
      </c>
      <c r="B73" s="0" t="s">
        <v>4508</v>
      </c>
      <c r="C73" s="0" t="s">
        <v>245</v>
      </c>
      <c r="D73" s="14" t="n">
        <v>46095</v>
      </c>
      <c r="E73" s="0" t="n">
        <v>855.89</v>
      </c>
    </row>
    <row r="74" customFormat="false" ht="15" hidden="false" customHeight="false" outlineLevel="0" collapsed="false">
      <c r="A74" s="0" t="s">
        <v>5099</v>
      </c>
      <c r="B74" s="0" t="s">
        <v>4510</v>
      </c>
      <c r="C74" s="0" t="s">
        <v>253</v>
      </c>
      <c r="D74" s="14" t="n">
        <v>45950</v>
      </c>
      <c r="E74" s="0" t="n">
        <v>1236.06</v>
      </c>
    </row>
    <row r="75" customFormat="false" ht="15" hidden="false" customHeight="false" outlineLevel="0" collapsed="false">
      <c r="A75" s="0" t="s">
        <v>5100</v>
      </c>
      <c r="B75" s="0" t="s">
        <v>4512</v>
      </c>
      <c r="C75" s="0" t="s">
        <v>222</v>
      </c>
      <c r="D75" s="14" t="n">
        <v>45890</v>
      </c>
      <c r="E75" s="0" t="n">
        <v>7933.14</v>
      </c>
    </row>
    <row r="76" customFormat="false" ht="15" hidden="false" customHeight="false" outlineLevel="0" collapsed="false">
      <c r="A76" s="0" t="s">
        <v>5101</v>
      </c>
      <c r="B76" s="0" t="s">
        <v>4513</v>
      </c>
      <c r="C76" s="0" t="s">
        <v>253</v>
      </c>
      <c r="D76" s="14" t="n">
        <v>45885</v>
      </c>
      <c r="E76" s="0" t="n">
        <v>8308.55</v>
      </c>
    </row>
    <row r="77" customFormat="false" ht="15" hidden="false" customHeight="false" outlineLevel="0" collapsed="false">
      <c r="A77" s="0" t="s">
        <v>5102</v>
      </c>
      <c r="B77" s="0" t="s">
        <v>4514</v>
      </c>
      <c r="C77" s="0" t="s">
        <v>228</v>
      </c>
      <c r="D77" s="14" t="n">
        <v>45890</v>
      </c>
      <c r="E77" s="0" t="n">
        <v>7599.94</v>
      </c>
    </row>
    <row r="78" customFormat="false" ht="15" hidden="false" customHeight="false" outlineLevel="0" collapsed="false">
      <c r="A78" s="0" t="s">
        <v>5103</v>
      </c>
      <c r="B78" s="0" t="s">
        <v>4515</v>
      </c>
      <c r="C78" s="0" t="s">
        <v>263</v>
      </c>
      <c r="D78" s="14" t="n">
        <v>45757</v>
      </c>
      <c r="E78" s="0" t="n">
        <v>3436.09</v>
      </c>
    </row>
    <row r="79" customFormat="false" ht="15" hidden="false" customHeight="false" outlineLevel="0" collapsed="false">
      <c r="A79" s="0" t="s">
        <v>5104</v>
      </c>
      <c r="B79" s="0" t="s">
        <v>4516</v>
      </c>
      <c r="C79" s="0" t="s">
        <v>226</v>
      </c>
      <c r="D79" s="14" t="n">
        <v>45780</v>
      </c>
      <c r="E79" s="0" t="n">
        <v>4377.95</v>
      </c>
    </row>
    <row r="80" customFormat="false" ht="15" hidden="false" customHeight="false" outlineLevel="0" collapsed="false">
      <c r="A80" s="0" t="s">
        <v>5105</v>
      </c>
      <c r="B80" s="0" t="s">
        <v>4518</v>
      </c>
      <c r="C80" s="0" t="s">
        <v>222</v>
      </c>
      <c r="D80" s="14" t="n">
        <v>45951</v>
      </c>
      <c r="E80" s="0" t="n">
        <v>5089.83</v>
      </c>
    </row>
    <row r="81" customFormat="false" ht="15" hidden="false" customHeight="false" outlineLevel="0" collapsed="false">
      <c r="A81" s="0" t="s">
        <v>5106</v>
      </c>
      <c r="B81" s="0" t="s">
        <v>4521</v>
      </c>
      <c r="C81" s="0" t="s">
        <v>243</v>
      </c>
      <c r="D81" s="14" t="n">
        <v>45720</v>
      </c>
      <c r="E81" s="0" t="n">
        <v>1932.03</v>
      </c>
    </row>
    <row r="82" customFormat="false" ht="15" hidden="false" customHeight="false" outlineLevel="0" collapsed="false">
      <c r="A82" s="0" t="s">
        <v>5107</v>
      </c>
      <c r="B82" s="0" t="s">
        <v>4522</v>
      </c>
      <c r="C82" s="0" t="s">
        <v>255</v>
      </c>
      <c r="D82" s="14" t="n">
        <v>46128</v>
      </c>
      <c r="E82" s="0" t="n">
        <v>7159.38</v>
      </c>
    </row>
    <row r="83" customFormat="false" ht="15" hidden="false" customHeight="false" outlineLevel="0" collapsed="false">
      <c r="A83" s="0" t="s">
        <v>5108</v>
      </c>
      <c r="B83" s="0" t="s">
        <v>4523</v>
      </c>
      <c r="C83" s="0" t="s">
        <v>259</v>
      </c>
      <c r="D83" s="14" t="n">
        <v>45725</v>
      </c>
      <c r="E83" s="0" t="n">
        <v>904.34</v>
      </c>
    </row>
    <row r="84" customFormat="false" ht="15" hidden="false" customHeight="false" outlineLevel="0" collapsed="false">
      <c r="A84" s="0" t="s">
        <v>5109</v>
      </c>
      <c r="B84" s="0" t="s">
        <v>4524</v>
      </c>
      <c r="C84" s="0" t="s">
        <v>222</v>
      </c>
      <c r="D84" s="14" t="n">
        <v>46104</v>
      </c>
      <c r="E84" s="0" t="n">
        <v>825.54</v>
      </c>
    </row>
    <row r="85" customFormat="false" ht="15" hidden="false" customHeight="false" outlineLevel="0" collapsed="false">
      <c r="A85" s="0" t="s">
        <v>5110</v>
      </c>
      <c r="B85" s="0" t="s">
        <v>4525</v>
      </c>
      <c r="C85" s="0" t="s">
        <v>217</v>
      </c>
      <c r="D85" s="14" t="n">
        <v>46114</v>
      </c>
      <c r="E85" s="0" t="n">
        <v>1466.44</v>
      </c>
    </row>
    <row r="86" customFormat="false" ht="15" hidden="false" customHeight="false" outlineLevel="0" collapsed="false">
      <c r="A86" s="0" t="s">
        <v>5111</v>
      </c>
      <c r="B86" s="0" t="s">
        <v>4526</v>
      </c>
      <c r="C86" s="0" t="s">
        <v>267</v>
      </c>
      <c r="D86" s="14" t="n">
        <v>46156</v>
      </c>
      <c r="E86" s="0" t="n">
        <v>2761.43</v>
      </c>
    </row>
    <row r="87" customFormat="false" ht="15" hidden="false" customHeight="false" outlineLevel="0" collapsed="false">
      <c r="A87" s="0" t="s">
        <v>5112</v>
      </c>
      <c r="B87" s="0" t="s">
        <v>4529</v>
      </c>
      <c r="C87" s="0" t="s">
        <v>255</v>
      </c>
      <c r="D87" s="14" t="n">
        <v>46097</v>
      </c>
      <c r="E87" s="0" t="n">
        <v>1991.17</v>
      </c>
    </row>
    <row r="88" customFormat="false" ht="15" hidden="false" customHeight="false" outlineLevel="0" collapsed="false">
      <c r="A88" s="0" t="s">
        <v>5113</v>
      </c>
      <c r="B88" s="0" t="s">
        <v>4530</v>
      </c>
      <c r="C88" s="0" t="s">
        <v>259</v>
      </c>
      <c r="D88" s="14" t="n">
        <v>45754</v>
      </c>
      <c r="E88" s="0" t="n">
        <v>7900.96</v>
      </c>
    </row>
    <row r="89" customFormat="false" ht="15" hidden="false" customHeight="false" outlineLevel="0" collapsed="false">
      <c r="A89" s="0" t="s">
        <v>5114</v>
      </c>
      <c r="B89" s="0" t="s">
        <v>4531</v>
      </c>
      <c r="C89" s="0" t="s">
        <v>226</v>
      </c>
      <c r="D89" s="14" t="n">
        <v>45879</v>
      </c>
      <c r="E89" s="0" t="n">
        <v>2385.35</v>
      </c>
    </row>
    <row r="90" customFormat="false" ht="15" hidden="false" customHeight="false" outlineLevel="0" collapsed="false">
      <c r="A90" s="0" t="s">
        <v>5115</v>
      </c>
      <c r="B90" s="0" t="s">
        <v>4532</v>
      </c>
      <c r="C90" s="0" t="s">
        <v>245</v>
      </c>
      <c r="D90" s="14" t="n">
        <v>45773</v>
      </c>
      <c r="E90" s="0" t="n">
        <v>14838.59</v>
      </c>
    </row>
    <row r="91" customFormat="false" ht="15" hidden="false" customHeight="false" outlineLevel="0" collapsed="false">
      <c r="A91" s="0" t="s">
        <v>5116</v>
      </c>
      <c r="B91" s="0" t="s">
        <v>4533</v>
      </c>
      <c r="C91" s="0" t="s">
        <v>257</v>
      </c>
      <c r="D91" s="14" t="n">
        <v>46112</v>
      </c>
      <c r="E91" s="0" t="n">
        <v>615.89</v>
      </c>
    </row>
    <row r="92" customFormat="false" ht="15" hidden="false" customHeight="false" outlineLevel="0" collapsed="false">
      <c r="A92" s="0" t="s">
        <v>5117</v>
      </c>
      <c r="B92" s="0" t="s">
        <v>4534</v>
      </c>
      <c r="C92" s="0" t="s">
        <v>208</v>
      </c>
      <c r="D92" s="14" t="n">
        <v>46096</v>
      </c>
      <c r="E92" s="0" t="n">
        <v>614.16</v>
      </c>
    </row>
    <row r="93" customFormat="false" ht="15" hidden="false" customHeight="false" outlineLevel="0" collapsed="false">
      <c r="A93" s="0" t="s">
        <v>5118</v>
      </c>
      <c r="B93" s="0" t="s">
        <v>4535</v>
      </c>
      <c r="C93" s="0" t="s">
        <v>236</v>
      </c>
      <c r="D93" s="14" t="n">
        <v>46122</v>
      </c>
      <c r="E93" s="0" t="n">
        <v>3085.97</v>
      </c>
    </row>
    <row r="94" customFormat="false" ht="15" hidden="false" customHeight="false" outlineLevel="0" collapsed="false">
      <c r="A94" s="0" t="s">
        <v>5119</v>
      </c>
      <c r="B94" s="0" t="s">
        <v>4536</v>
      </c>
      <c r="C94" s="0" t="s">
        <v>234</v>
      </c>
      <c r="D94" s="14" t="n">
        <v>45771</v>
      </c>
      <c r="E94" s="0" t="n">
        <v>1494.36</v>
      </c>
    </row>
    <row r="95" customFormat="false" ht="15" hidden="false" customHeight="false" outlineLevel="0" collapsed="false">
      <c r="A95" s="0" t="s">
        <v>5120</v>
      </c>
      <c r="B95" s="0" t="s">
        <v>4537</v>
      </c>
      <c r="C95" s="0" t="s">
        <v>257</v>
      </c>
      <c r="D95" s="14" t="n">
        <v>45928</v>
      </c>
      <c r="E95" s="0" t="n">
        <v>3555.91</v>
      </c>
    </row>
    <row r="96" customFormat="false" ht="15" hidden="false" customHeight="false" outlineLevel="0" collapsed="false">
      <c r="A96" s="0" t="s">
        <v>5121</v>
      </c>
      <c r="B96" s="0" t="s">
        <v>4538</v>
      </c>
      <c r="C96" s="0" t="s">
        <v>211</v>
      </c>
      <c r="D96" s="14" t="n">
        <v>45882</v>
      </c>
      <c r="E96" s="0" t="n">
        <v>3592.42</v>
      </c>
    </row>
    <row r="97" customFormat="false" ht="15" hidden="false" customHeight="false" outlineLevel="0" collapsed="false">
      <c r="A97" s="0" t="s">
        <v>5122</v>
      </c>
      <c r="B97" s="0" t="s">
        <v>4539</v>
      </c>
      <c r="C97" s="0" t="s">
        <v>232</v>
      </c>
      <c r="D97" s="14" t="n">
        <v>46052</v>
      </c>
      <c r="E97" s="0" t="n">
        <v>389.2</v>
      </c>
    </row>
    <row r="98" customFormat="false" ht="15" hidden="false" customHeight="false" outlineLevel="0" collapsed="false">
      <c r="A98" s="0" t="s">
        <v>5123</v>
      </c>
      <c r="B98" s="0" t="s">
        <v>4540</v>
      </c>
      <c r="C98" s="0" t="s">
        <v>232</v>
      </c>
      <c r="D98" s="14" t="n">
        <v>45818</v>
      </c>
      <c r="E98" s="0" t="n">
        <v>394.94</v>
      </c>
    </row>
    <row r="99" customFormat="false" ht="15" hidden="false" customHeight="false" outlineLevel="0" collapsed="false">
      <c r="A99" s="0" t="s">
        <v>5124</v>
      </c>
      <c r="B99" s="0" t="s">
        <v>4541</v>
      </c>
      <c r="C99" s="0" t="s">
        <v>220</v>
      </c>
      <c r="D99" s="14" t="n">
        <v>45928</v>
      </c>
      <c r="E99" s="0" t="n">
        <v>3529.53</v>
      </c>
    </row>
    <row r="100" customFormat="false" ht="15" hidden="false" customHeight="false" outlineLevel="0" collapsed="false">
      <c r="A100" s="0" t="s">
        <v>5125</v>
      </c>
      <c r="B100" s="0" t="s">
        <v>4542</v>
      </c>
      <c r="C100" s="0" t="s">
        <v>257</v>
      </c>
      <c r="D100" s="14" t="n">
        <v>45835</v>
      </c>
      <c r="E100" s="0" t="n">
        <v>1344.49</v>
      </c>
    </row>
    <row r="101" customFormat="false" ht="15" hidden="false" customHeight="false" outlineLevel="0" collapsed="false">
      <c r="A101" s="0" t="s">
        <v>5126</v>
      </c>
      <c r="B101" s="0" t="s">
        <v>4543</v>
      </c>
      <c r="C101" s="0" t="s">
        <v>234</v>
      </c>
      <c r="D101" s="14" t="n">
        <v>46084</v>
      </c>
      <c r="E101" s="0" t="n">
        <v>7154.52</v>
      </c>
    </row>
    <row r="102" customFormat="false" ht="15" hidden="false" customHeight="false" outlineLevel="0" collapsed="false">
      <c r="A102" s="0" t="s">
        <v>5127</v>
      </c>
      <c r="B102" s="0" t="s">
        <v>4544</v>
      </c>
      <c r="C102" s="0" t="s">
        <v>261</v>
      </c>
      <c r="D102" s="14" t="n">
        <v>45908</v>
      </c>
      <c r="E102" s="0" t="n">
        <v>2756.04</v>
      </c>
    </row>
    <row r="103" customFormat="false" ht="15" hidden="false" customHeight="false" outlineLevel="0" collapsed="false">
      <c r="A103" s="0" t="s">
        <v>5128</v>
      </c>
      <c r="B103" s="0" t="s">
        <v>4546</v>
      </c>
      <c r="C103" s="0" t="s">
        <v>239</v>
      </c>
      <c r="D103" s="14" t="n">
        <v>45834</v>
      </c>
      <c r="E103" s="0" t="n">
        <v>14970.09</v>
      </c>
    </row>
    <row r="104" customFormat="false" ht="15" hidden="false" customHeight="false" outlineLevel="0" collapsed="false">
      <c r="A104" s="0" t="s">
        <v>5129</v>
      </c>
      <c r="B104" s="0" t="s">
        <v>4547</v>
      </c>
      <c r="C104" s="0" t="s">
        <v>220</v>
      </c>
      <c r="D104" s="14" t="n">
        <v>46110</v>
      </c>
      <c r="E104" s="0" t="n">
        <v>384.06</v>
      </c>
    </row>
    <row r="105" customFormat="false" ht="15" hidden="false" customHeight="false" outlineLevel="0" collapsed="false">
      <c r="A105" s="0" t="s">
        <v>5130</v>
      </c>
      <c r="B105" s="0" t="s">
        <v>4548</v>
      </c>
      <c r="C105" s="0" t="s">
        <v>259</v>
      </c>
      <c r="D105" s="14" t="n">
        <v>45947</v>
      </c>
      <c r="E105" s="0" t="n">
        <v>1780.11</v>
      </c>
    </row>
    <row r="106" customFormat="false" ht="15" hidden="false" customHeight="false" outlineLevel="0" collapsed="false">
      <c r="A106" s="0" t="s">
        <v>5131</v>
      </c>
      <c r="B106" s="0" t="s">
        <v>4549</v>
      </c>
      <c r="C106" s="0" t="s">
        <v>232</v>
      </c>
      <c r="D106" s="14" t="n">
        <v>46130</v>
      </c>
      <c r="E106" s="0" t="n">
        <v>1695.79</v>
      </c>
    </row>
    <row r="107" customFormat="false" ht="15" hidden="false" customHeight="false" outlineLevel="0" collapsed="false">
      <c r="A107" s="0" t="s">
        <v>5132</v>
      </c>
      <c r="B107" s="0" t="s">
        <v>4550</v>
      </c>
      <c r="C107" s="0" t="s">
        <v>268</v>
      </c>
      <c r="D107" s="14" t="n">
        <v>45860</v>
      </c>
      <c r="E107" s="0" t="n">
        <v>2702</v>
      </c>
    </row>
    <row r="108" customFormat="false" ht="15" hidden="false" customHeight="false" outlineLevel="0" collapsed="false">
      <c r="A108" s="0" t="s">
        <v>5133</v>
      </c>
      <c r="B108" s="0" t="s">
        <v>4551</v>
      </c>
      <c r="C108" s="0" t="s">
        <v>222</v>
      </c>
      <c r="D108" s="14" t="n">
        <v>46200</v>
      </c>
      <c r="E108" s="0" t="n">
        <v>6868.48</v>
      </c>
    </row>
    <row r="109" customFormat="false" ht="15" hidden="false" customHeight="false" outlineLevel="0" collapsed="false">
      <c r="A109" s="0" t="s">
        <v>5134</v>
      </c>
      <c r="B109" s="0" t="s">
        <v>4552</v>
      </c>
      <c r="C109" s="0" t="s">
        <v>232</v>
      </c>
      <c r="D109" s="14" t="n">
        <v>46199</v>
      </c>
      <c r="E109" s="0" t="n">
        <v>6006.81</v>
      </c>
    </row>
    <row r="110" customFormat="false" ht="15" hidden="false" customHeight="false" outlineLevel="0" collapsed="false">
      <c r="A110" s="0" t="s">
        <v>5135</v>
      </c>
      <c r="B110" s="0" t="s">
        <v>4553</v>
      </c>
      <c r="C110" s="0" t="s">
        <v>234</v>
      </c>
      <c r="D110" s="14" t="n">
        <v>45920</v>
      </c>
      <c r="E110" s="0" t="n">
        <v>1048.47</v>
      </c>
    </row>
    <row r="111" customFormat="false" ht="15" hidden="false" customHeight="false" outlineLevel="0" collapsed="false">
      <c r="A111" s="0" t="s">
        <v>5136</v>
      </c>
      <c r="B111" s="0" t="s">
        <v>4555</v>
      </c>
      <c r="C111" s="0" t="s">
        <v>245</v>
      </c>
      <c r="D111" s="14" t="n">
        <v>45885</v>
      </c>
      <c r="E111" s="0" t="n">
        <v>7020.69</v>
      </c>
    </row>
    <row r="112" customFormat="false" ht="15" hidden="false" customHeight="false" outlineLevel="0" collapsed="false">
      <c r="A112" s="0" t="s">
        <v>5137</v>
      </c>
      <c r="B112" s="0" t="s">
        <v>4556</v>
      </c>
      <c r="C112" s="0" t="s">
        <v>220</v>
      </c>
      <c r="D112" s="14" t="n">
        <v>45953</v>
      </c>
      <c r="E112" s="0" t="n">
        <v>1027.67</v>
      </c>
    </row>
    <row r="113" customFormat="false" ht="15" hidden="false" customHeight="false" outlineLevel="0" collapsed="false">
      <c r="A113" s="0" t="s">
        <v>5138</v>
      </c>
      <c r="B113" s="0" t="s">
        <v>4558</v>
      </c>
      <c r="C113" s="0" t="s">
        <v>263</v>
      </c>
      <c r="D113" s="14" t="n">
        <v>46109</v>
      </c>
      <c r="E113" s="0" t="n">
        <v>1215.61</v>
      </c>
    </row>
    <row r="114" customFormat="false" ht="15" hidden="false" customHeight="false" outlineLevel="0" collapsed="false">
      <c r="A114" s="0" t="s">
        <v>5139</v>
      </c>
      <c r="B114" s="0" t="s">
        <v>4559</v>
      </c>
      <c r="C114" s="0" t="s">
        <v>234</v>
      </c>
      <c r="D114" s="14" t="n">
        <v>46123</v>
      </c>
      <c r="E114" s="0" t="n">
        <v>6379.66</v>
      </c>
    </row>
    <row r="115" customFormat="false" ht="15" hidden="false" customHeight="false" outlineLevel="0" collapsed="false">
      <c r="A115" s="0" t="s">
        <v>5140</v>
      </c>
      <c r="B115" s="0" t="s">
        <v>4560</v>
      </c>
      <c r="C115" s="0" t="s">
        <v>257</v>
      </c>
      <c r="D115" s="14" t="n">
        <v>45740</v>
      </c>
      <c r="E115" s="0" t="n">
        <v>2883.05</v>
      </c>
    </row>
    <row r="116" customFormat="false" ht="15" hidden="false" customHeight="false" outlineLevel="0" collapsed="false">
      <c r="A116" s="0" t="s">
        <v>5141</v>
      </c>
      <c r="B116" s="0" t="s">
        <v>4561</v>
      </c>
      <c r="C116" s="0" t="s">
        <v>226</v>
      </c>
      <c r="D116" s="14" t="n">
        <v>45795</v>
      </c>
      <c r="E116" s="0" t="n">
        <v>880.8</v>
      </c>
    </row>
    <row r="117" customFormat="false" ht="15" hidden="false" customHeight="false" outlineLevel="0" collapsed="false">
      <c r="A117" s="0" t="s">
        <v>5142</v>
      </c>
      <c r="B117" s="0" t="s">
        <v>4562</v>
      </c>
      <c r="C117" s="0" t="s">
        <v>211</v>
      </c>
      <c r="D117" s="14" t="n">
        <v>46020</v>
      </c>
      <c r="E117" s="0" t="n">
        <v>2834.41</v>
      </c>
    </row>
    <row r="118" customFormat="false" ht="15" hidden="false" customHeight="false" outlineLevel="0" collapsed="false">
      <c r="A118" s="0" t="s">
        <v>5143</v>
      </c>
      <c r="B118" s="0" t="s">
        <v>4564</v>
      </c>
      <c r="C118" s="0" t="s">
        <v>253</v>
      </c>
      <c r="D118" s="14" t="n">
        <v>45983</v>
      </c>
      <c r="E118" s="0" t="n">
        <v>2962.83</v>
      </c>
    </row>
    <row r="119" customFormat="false" ht="15" hidden="false" customHeight="false" outlineLevel="0" collapsed="false">
      <c r="A119" s="0" t="s">
        <v>5144</v>
      </c>
      <c r="B119" s="0" t="s">
        <v>4565</v>
      </c>
      <c r="C119" s="0" t="s">
        <v>241</v>
      </c>
      <c r="D119" s="14" t="n">
        <v>45737</v>
      </c>
      <c r="E119" s="0" t="n">
        <v>1642.39</v>
      </c>
    </row>
    <row r="120" customFormat="false" ht="15" hidden="false" customHeight="false" outlineLevel="0" collapsed="false">
      <c r="A120" s="0" t="s">
        <v>5145</v>
      </c>
      <c r="B120" s="0" t="s">
        <v>4566</v>
      </c>
      <c r="C120" s="0" t="s">
        <v>255</v>
      </c>
      <c r="D120" s="14" t="n">
        <v>46121</v>
      </c>
      <c r="E120" s="0" t="n">
        <v>1076.31</v>
      </c>
    </row>
    <row r="121" customFormat="false" ht="15" hidden="false" customHeight="false" outlineLevel="0" collapsed="false">
      <c r="A121" s="0" t="s">
        <v>5146</v>
      </c>
      <c r="B121" s="0" t="s">
        <v>4567</v>
      </c>
      <c r="C121" s="0" t="s">
        <v>226</v>
      </c>
      <c r="D121" s="14" t="n">
        <v>46133</v>
      </c>
      <c r="E121" s="0" t="n">
        <v>764.94</v>
      </c>
    </row>
    <row r="122" customFormat="false" ht="15" hidden="false" customHeight="false" outlineLevel="0" collapsed="false">
      <c r="A122" s="0" t="s">
        <v>5147</v>
      </c>
      <c r="B122" s="0" t="s">
        <v>4568</v>
      </c>
      <c r="C122" s="0" t="s">
        <v>249</v>
      </c>
      <c r="D122" s="14" t="n">
        <v>45824</v>
      </c>
      <c r="E122" s="0" t="n">
        <v>9454.9</v>
      </c>
    </row>
    <row r="123" customFormat="false" ht="15" hidden="false" customHeight="false" outlineLevel="0" collapsed="false">
      <c r="A123" s="0" t="s">
        <v>5148</v>
      </c>
      <c r="B123" s="0" t="s">
        <v>4569</v>
      </c>
      <c r="C123" s="0" t="s">
        <v>224</v>
      </c>
      <c r="D123" s="14" t="n">
        <v>46076</v>
      </c>
      <c r="E123" s="0" t="n">
        <v>2303.51</v>
      </c>
    </row>
    <row r="124" customFormat="false" ht="15" hidden="false" customHeight="false" outlineLevel="0" collapsed="false">
      <c r="A124" s="0" t="s">
        <v>5149</v>
      </c>
      <c r="B124" s="0" t="s">
        <v>4571</v>
      </c>
      <c r="C124" s="0" t="s">
        <v>257</v>
      </c>
      <c r="D124" s="14" t="n">
        <v>46163</v>
      </c>
      <c r="E124" s="0" t="n">
        <v>4815.88</v>
      </c>
    </row>
    <row r="125" customFormat="false" ht="15" hidden="false" customHeight="false" outlineLevel="0" collapsed="false">
      <c r="A125" s="0" t="s">
        <v>5150</v>
      </c>
      <c r="B125" s="0" t="s">
        <v>4572</v>
      </c>
      <c r="C125" s="0" t="s">
        <v>236</v>
      </c>
      <c r="D125" s="14" t="n">
        <v>45757</v>
      </c>
      <c r="E125" s="0" t="n">
        <v>2199.11</v>
      </c>
    </row>
    <row r="126" customFormat="false" ht="15" hidden="false" customHeight="false" outlineLevel="0" collapsed="false">
      <c r="A126" s="0" t="s">
        <v>5151</v>
      </c>
      <c r="B126" s="0" t="s">
        <v>4573</v>
      </c>
      <c r="C126" s="0" t="s">
        <v>239</v>
      </c>
      <c r="D126" s="14" t="n">
        <v>45923</v>
      </c>
      <c r="E126" s="0" t="n">
        <v>691.61</v>
      </c>
    </row>
    <row r="127" customFormat="false" ht="15" hidden="false" customHeight="false" outlineLevel="0" collapsed="false">
      <c r="A127" s="0" t="s">
        <v>5152</v>
      </c>
      <c r="B127" s="0" t="s">
        <v>4574</v>
      </c>
      <c r="C127" s="0" t="s">
        <v>268</v>
      </c>
      <c r="D127" s="14" t="n">
        <v>46197</v>
      </c>
      <c r="E127" s="0" t="n">
        <v>3158.11</v>
      </c>
    </row>
    <row r="128" customFormat="false" ht="15" hidden="false" customHeight="false" outlineLevel="0" collapsed="false">
      <c r="A128" s="0" t="s">
        <v>5153</v>
      </c>
      <c r="B128" s="0" t="s">
        <v>4575</v>
      </c>
      <c r="C128" s="0" t="s">
        <v>270</v>
      </c>
      <c r="D128" s="14" t="n">
        <v>45806</v>
      </c>
      <c r="E128" s="0" t="n">
        <v>5637.18</v>
      </c>
    </row>
    <row r="129" customFormat="false" ht="15" hidden="false" customHeight="false" outlineLevel="0" collapsed="false">
      <c r="A129" s="0" t="s">
        <v>5154</v>
      </c>
      <c r="B129" s="0" t="s">
        <v>4576</v>
      </c>
      <c r="C129" s="0" t="s">
        <v>239</v>
      </c>
      <c r="D129" s="14" t="n">
        <v>45904</v>
      </c>
      <c r="E129" s="0" t="n">
        <v>12200.28</v>
      </c>
    </row>
    <row r="130" customFormat="false" ht="15" hidden="false" customHeight="false" outlineLevel="0" collapsed="false">
      <c r="A130" s="0" t="s">
        <v>5155</v>
      </c>
      <c r="B130" s="0" t="s">
        <v>4577</v>
      </c>
      <c r="C130" s="0" t="s">
        <v>239</v>
      </c>
      <c r="D130" s="14" t="n">
        <v>45873</v>
      </c>
      <c r="E130" s="0" t="n">
        <v>5646.73</v>
      </c>
    </row>
    <row r="131" customFormat="false" ht="15" hidden="false" customHeight="false" outlineLevel="0" collapsed="false">
      <c r="A131" s="0" t="s">
        <v>5156</v>
      </c>
      <c r="B131" s="0" t="s">
        <v>4578</v>
      </c>
      <c r="C131" s="0" t="s">
        <v>251</v>
      </c>
      <c r="D131" s="14" t="n">
        <v>45673</v>
      </c>
      <c r="E131" s="0" t="n">
        <v>549.85</v>
      </c>
    </row>
    <row r="132" customFormat="false" ht="15" hidden="false" customHeight="false" outlineLevel="0" collapsed="false">
      <c r="A132" s="0" t="s">
        <v>5157</v>
      </c>
      <c r="B132" s="0" t="s">
        <v>4580</v>
      </c>
      <c r="C132" s="0" t="s">
        <v>261</v>
      </c>
      <c r="D132" s="14" t="n">
        <v>45956</v>
      </c>
      <c r="E132" s="0" t="n">
        <v>292.38</v>
      </c>
    </row>
    <row r="133" customFormat="false" ht="15" hidden="false" customHeight="false" outlineLevel="0" collapsed="false">
      <c r="A133" s="0" t="s">
        <v>5158</v>
      </c>
      <c r="B133" s="0" t="s">
        <v>4581</v>
      </c>
      <c r="C133" s="0" t="s">
        <v>270</v>
      </c>
      <c r="D133" s="14" t="n">
        <v>45821</v>
      </c>
      <c r="E133" s="0" t="n">
        <v>2784.82</v>
      </c>
    </row>
    <row r="134" customFormat="false" ht="15" hidden="false" customHeight="false" outlineLevel="0" collapsed="false">
      <c r="A134" s="0" t="s">
        <v>5159</v>
      </c>
      <c r="B134" s="0" t="s">
        <v>4583</v>
      </c>
      <c r="C134" s="0" t="s">
        <v>245</v>
      </c>
      <c r="D134" s="14" t="n">
        <v>45872</v>
      </c>
      <c r="E134" s="0" t="n">
        <v>2740.17</v>
      </c>
    </row>
    <row r="135" customFormat="false" ht="15" hidden="false" customHeight="false" outlineLevel="0" collapsed="false">
      <c r="A135" s="0" t="s">
        <v>5160</v>
      </c>
      <c r="B135" s="0" t="s">
        <v>4584</v>
      </c>
      <c r="C135" s="0" t="s">
        <v>270</v>
      </c>
      <c r="D135" s="14" t="n">
        <v>45692</v>
      </c>
      <c r="E135" s="0" t="n">
        <v>1008.67</v>
      </c>
    </row>
    <row r="136" customFormat="false" ht="15" hidden="false" customHeight="false" outlineLevel="0" collapsed="false">
      <c r="A136" s="0" t="s">
        <v>5161</v>
      </c>
      <c r="B136" s="0" t="s">
        <v>4586</v>
      </c>
      <c r="C136" s="0" t="s">
        <v>236</v>
      </c>
      <c r="D136" s="14" t="n">
        <v>46122</v>
      </c>
      <c r="E136" s="0" t="n">
        <v>581.09</v>
      </c>
    </row>
    <row r="137" customFormat="false" ht="15" hidden="false" customHeight="false" outlineLevel="0" collapsed="false">
      <c r="A137" s="0" t="s">
        <v>5162</v>
      </c>
      <c r="B137" s="0" t="s">
        <v>4587</v>
      </c>
      <c r="C137" s="0" t="s">
        <v>245</v>
      </c>
      <c r="D137" s="14" t="n">
        <v>46016</v>
      </c>
      <c r="E137" s="0" t="n">
        <v>5364.47</v>
      </c>
    </row>
    <row r="138" customFormat="false" ht="15" hidden="false" customHeight="false" outlineLevel="0" collapsed="false">
      <c r="A138" s="0" t="s">
        <v>5163</v>
      </c>
      <c r="B138" s="0" t="s">
        <v>4588</v>
      </c>
      <c r="C138" s="0" t="s">
        <v>214</v>
      </c>
      <c r="D138" s="14" t="n">
        <v>46095</v>
      </c>
      <c r="E138" s="0" t="n">
        <v>2482.23</v>
      </c>
    </row>
    <row r="139" customFormat="false" ht="15" hidden="false" customHeight="false" outlineLevel="0" collapsed="false">
      <c r="A139" s="0" t="s">
        <v>5164</v>
      </c>
      <c r="B139" s="0" t="s">
        <v>4589</v>
      </c>
      <c r="C139" s="0" t="s">
        <v>208</v>
      </c>
      <c r="D139" s="14" t="n">
        <v>45755</v>
      </c>
      <c r="E139" s="0" t="n">
        <v>3834.26</v>
      </c>
    </row>
    <row r="140" customFormat="false" ht="15" hidden="false" customHeight="false" outlineLevel="0" collapsed="false">
      <c r="A140" s="0" t="s">
        <v>5165</v>
      </c>
      <c r="B140" s="0" t="s">
        <v>4590</v>
      </c>
      <c r="C140" s="0" t="s">
        <v>224</v>
      </c>
      <c r="D140" s="14" t="n">
        <v>45815</v>
      </c>
      <c r="E140" s="0" t="n">
        <v>1447.89</v>
      </c>
    </row>
    <row r="141" customFormat="false" ht="15" hidden="false" customHeight="false" outlineLevel="0" collapsed="false">
      <c r="A141" s="0" t="s">
        <v>5166</v>
      </c>
      <c r="B141" s="0" t="s">
        <v>4593</v>
      </c>
      <c r="C141" s="0" t="s">
        <v>261</v>
      </c>
      <c r="D141" s="14" t="n">
        <v>45738</v>
      </c>
      <c r="E141" s="0" t="n">
        <v>1545.94</v>
      </c>
    </row>
    <row r="142" customFormat="false" ht="15" hidden="false" customHeight="false" outlineLevel="0" collapsed="false">
      <c r="A142" s="0" t="s">
        <v>5167</v>
      </c>
      <c r="B142" s="0" t="s">
        <v>4594</v>
      </c>
      <c r="C142" s="0" t="s">
        <v>251</v>
      </c>
      <c r="D142" s="14" t="n">
        <v>46076</v>
      </c>
      <c r="E142" s="0" t="n">
        <v>216.72</v>
      </c>
    </row>
    <row r="143" customFormat="false" ht="15" hidden="false" customHeight="false" outlineLevel="0" collapsed="false">
      <c r="A143" s="0" t="s">
        <v>5168</v>
      </c>
      <c r="B143" s="0" t="s">
        <v>4595</v>
      </c>
      <c r="C143" s="0" t="s">
        <v>268</v>
      </c>
      <c r="D143" s="14" t="n">
        <v>45908</v>
      </c>
      <c r="E143" s="0" t="n">
        <v>9409.48</v>
      </c>
    </row>
    <row r="144" customFormat="false" ht="15" hidden="false" customHeight="false" outlineLevel="0" collapsed="false">
      <c r="A144" s="0" t="s">
        <v>5169</v>
      </c>
      <c r="B144" s="0" t="s">
        <v>4596</v>
      </c>
      <c r="C144" s="0" t="s">
        <v>214</v>
      </c>
      <c r="D144" s="14" t="n">
        <v>45699</v>
      </c>
      <c r="E144" s="0" t="n">
        <v>937.8</v>
      </c>
    </row>
    <row r="145" customFormat="false" ht="15" hidden="false" customHeight="false" outlineLevel="0" collapsed="false">
      <c r="A145" s="0" t="s">
        <v>5170</v>
      </c>
      <c r="B145" s="0" t="s">
        <v>4597</v>
      </c>
      <c r="C145" s="0" t="s">
        <v>247</v>
      </c>
      <c r="D145" s="14" t="n">
        <v>45720</v>
      </c>
      <c r="E145" s="0" t="n">
        <v>1637.03</v>
      </c>
    </row>
    <row r="146" customFormat="false" ht="15" hidden="false" customHeight="false" outlineLevel="0" collapsed="false">
      <c r="A146" s="0" t="s">
        <v>5171</v>
      </c>
      <c r="B146" s="0" t="s">
        <v>4598</v>
      </c>
      <c r="C146" s="0" t="s">
        <v>241</v>
      </c>
      <c r="D146" s="14" t="n">
        <v>45807</v>
      </c>
      <c r="E146" s="0" t="n">
        <v>2021.6</v>
      </c>
    </row>
    <row r="147" customFormat="false" ht="15" hidden="false" customHeight="false" outlineLevel="0" collapsed="false">
      <c r="A147" s="0" t="s">
        <v>5172</v>
      </c>
      <c r="B147" s="0" t="s">
        <v>4599</v>
      </c>
      <c r="C147" s="0" t="s">
        <v>257</v>
      </c>
      <c r="D147" s="14" t="n">
        <v>46138</v>
      </c>
      <c r="E147" s="0" t="n">
        <v>475.54</v>
      </c>
    </row>
    <row r="148" customFormat="false" ht="15" hidden="false" customHeight="false" outlineLevel="0" collapsed="false">
      <c r="A148" s="0" t="s">
        <v>5173</v>
      </c>
      <c r="B148" s="0" t="s">
        <v>4600</v>
      </c>
      <c r="C148" s="0" t="s">
        <v>253</v>
      </c>
      <c r="D148" s="14" t="n">
        <v>45963</v>
      </c>
      <c r="E148" s="0" t="n">
        <v>3003.96</v>
      </c>
    </row>
    <row r="149" customFormat="false" ht="15" hidden="false" customHeight="false" outlineLevel="0" collapsed="false">
      <c r="A149" s="0" t="s">
        <v>5174</v>
      </c>
      <c r="B149" s="0" t="s">
        <v>4602</v>
      </c>
      <c r="C149" s="0" t="s">
        <v>267</v>
      </c>
      <c r="D149" s="14" t="n">
        <v>45968</v>
      </c>
      <c r="E149" s="0" t="n">
        <v>2491.27</v>
      </c>
    </row>
    <row r="150" customFormat="false" ht="15" hidden="false" customHeight="false" outlineLevel="0" collapsed="false">
      <c r="A150" s="0" t="s">
        <v>5175</v>
      </c>
      <c r="B150" s="0" t="s">
        <v>4603</v>
      </c>
      <c r="C150" s="0" t="s">
        <v>243</v>
      </c>
      <c r="D150" s="14" t="n">
        <v>45753</v>
      </c>
      <c r="E150" s="0" t="n">
        <v>1121.02</v>
      </c>
    </row>
    <row r="151" customFormat="false" ht="15" hidden="false" customHeight="false" outlineLevel="0" collapsed="false">
      <c r="A151" s="0" t="s">
        <v>5176</v>
      </c>
      <c r="B151" s="0" t="s">
        <v>4604</v>
      </c>
      <c r="C151" s="0" t="s">
        <v>247</v>
      </c>
      <c r="D151" s="14" t="n">
        <v>45832</v>
      </c>
      <c r="E151" s="0" t="n">
        <v>781.09</v>
      </c>
    </row>
    <row r="152" customFormat="false" ht="15" hidden="false" customHeight="false" outlineLevel="0" collapsed="false">
      <c r="A152" s="0" t="s">
        <v>5177</v>
      </c>
      <c r="B152" s="0" t="s">
        <v>4605</v>
      </c>
      <c r="C152" s="0" t="s">
        <v>236</v>
      </c>
      <c r="D152" s="14" t="n">
        <v>45835</v>
      </c>
      <c r="E152" s="0" t="n">
        <v>30870.59</v>
      </c>
    </row>
    <row r="153" customFormat="false" ht="15" hidden="false" customHeight="false" outlineLevel="0" collapsed="false">
      <c r="A153" s="0" t="s">
        <v>5178</v>
      </c>
      <c r="B153" s="0" t="s">
        <v>4606</v>
      </c>
      <c r="C153" s="0" t="s">
        <v>243</v>
      </c>
      <c r="D153" s="14" t="n">
        <v>45686</v>
      </c>
      <c r="E153" s="0" t="n">
        <v>4442.76</v>
      </c>
    </row>
    <row r="154" customFormat="false" ht="15" hidden="false" customHeight="false" outlineLevel="0" collapsed="false">
      <c r="A154" s="0" t="s">
        <v>5179</v>
      </c>
      <c r="B154" s="0" t="s">
        <v>4609</v>
      </c>
      <c r="C154" s="0" t="s">
        <v>261</v>
      </c>
      <c r="D154" s="14" t="n">
        <v>45938</v>
      </c>
      <c r="E154" s="0" t="n">
        <v>1813.34</v>
      </c>
    </row>
    <row r="155" customFormat="false" ht="15" hidden="false" customHeight="false" outlineLevel="0" collapsed="false">
      <c r="A155" s="0" t="s">
        <v>5180</v>
      </c>
      <c r="B155" s="0" t="s">
        <v>4610</v>
      </c>
      <c r="C155" s="0" t="s">
        <v>245</v>
      </c>
      <c r="D155" s="14" t="n">
        <v>45755</v>
      </c>
      <c r="E155" s="0" t="n">
        <v>1671.7</v>
      </c>
    </row>
    <row r="156" customFormat="false" ht="15" hidden="false" customHeight="false" outlineLevel="0" collapsed="false">
      <c r="A156" s="0" t="s">
        <v>5181</v>
      </c>
      <c r="B156" s="0" t="s">
        <v>4611</v>
      </c>
      <c r="C156" s="0" t="s">
        <v>222</v>
      </c>
      <c r="D156" s="14" t="n">
        <v>46157</v>
      </c>
      <c r="E156" s="0" t="n">
        <v>1617.75</v>
      </c>
    </row>
    <row r="157" customFormat="false" ht="15" hidden="false" customHeight="false" outlineLevel="0" collapsed="false">
      <c r="A157" s="0" t="s">
        <v>5182</v>
      </c>
      <c r="B157" s="0" t="s">
        <v>4612</v>
      </c>
      <c r="C157" s="0" t="s">
        <v>270</v>
      </c>
      <c r="D157" s="14" t="n">
        <v>45998</v>
      </c>
      <c r="E157" s="0" t="n">
        <v>650.59</v>
      </c>
    </row>
    <row r="158" customFormat="false" ht="15" hidden="false" customHeight="false" outlineLevel="0" collapsed="false">
      <c r="A158" s="0" t="s">
        <v>5183</v>
      </c>
      <c r="B158" s="0" t="s">
        <v>4613</v>
      </c>
      <c r="C158" s="0" t="s">
        <v>270</v>
      </c>
      <c r="D158" s="14" t="n">
        <v>45683</v>
      </c>
      <c r="E158" s="0" t="n">
        <v>14441.58</v>
      </c>
    </row>
    <row r="159" customFormat="false" ht="15" hidden="false" customHeight="false" outlineLevel="0" collapsed="false">
      <c r="A159" s="0" t="s">
        <v>5184</v>
      </c>
      <c r="B159" s="0" t="s">
        <v>4614</v>
      </c>
      <c r="C159" s="0" t="s">
        <v>220</v>
      </c>
      <c r="D159" s="14" t="n">
        <v>45978</v>
      </c>
      <c r="E159" s="0" t="n">
        <v>8138.88</v>
      </c>
    </row>
    <row r="160" customFormat="false" ht="15" hidden="false" customHeight="false" outlineLevel="0" collapsed="false">
      <c r="A160" s="0" t="s">
        <v>5185</v>
      </c>
      <c r="B160" s="0" t="s">
        <v>4615</v>
      </c>
      <c r="C160" s="0" t="s">
        <v>267</v>
      </c>
      <c r="D160" s="14" t="n">
        <v>45814</v>
      </c>
      <c r="E160" s="0" t="n">
        <v>5632.06</v>
      </c>
    </row>
    <row r="161" customFormat="false" ht="15" hidden="false" customHeight="false" outlineLevel="0" collapsed="false">
      <c r="A161" s="0" t="s">
        <v>5186</v>
      </c>
      <c r="B161" s="0" t="s">
        <v>4616</v>
      </c>
      <c r="C161" s="0" t="s">
        <v>234</v>
      </c>
      <c r="D161" s="14" t="n">
        <v>45772</v>
      </c>
      <c r="E161" s="0" t="n">
        <v>2360.98</v>
      </c>
    </row>
    <row r="162" customFormat="false" ht="15" hidden="false" customHeight="false" outlineLevel="0" collapsed="false">
      <c r="A162" s="0" t="s">
        <v>5187</v>
      </c>
      <c r="B162" s="0" t="s">
        <v>4617</v>
      </c>
      <c r="C162" s="0" t="s">
        <v>217</v>
      </c>
      <c r="D162" s="14" t="n">
        <v>45892</v>
      </c>
      <c r="E162" s="0" t="n">
        <v>1675.46</v>
      </c>
    </row>
    <row r="163" customFormat="false" ht="15" hidden="false" customHeight="false" outlineLevel="0" collapsed="false">
      <c r="A163" s="0" t="s">
        <v>5188</v>
      </c>
      <c r="B163" s="0" t="s">
        <v>4618</v>
      </c>
      <c r="C163" s="0" t="s">
        <v>253</v>
      </c>
      <c r="D163" s="14" t="n">
        <v>46020</v>
      </c>
      <c r="E163" s="0" t="n">
        <v>4788.54</v>
      </c>
    </row>
    <row r="164" customFormat="false" ht="15" hidden="false" customHeight="false" outlineLevel="0" collapsed="false">
      <c r="A164" s="0" t="s">
        <v>5189</v>
      </c>
      <c r="B164" s="0" t="s">
        <v>4619</v>
      </c>
      <c r="C164" s="0" t="s">
        <v>265</v>
      </c>
      <c r="D164" s="14" t="n">
        <v>45810</v>
      </c>
      <c r="E164" s="0" t="n">
        <v>1283.11</v>
      </c>
    </row>
    <row r="165" customFormat="false" ht="15" hidden="false" customHeight="false" outlineLevel="0" collapsed="false">
      <c r="A165" s="0" t="s">
        <v>5190</v>
      </c>
      <c r="B165" s="0" t="s">
        <v>4620</v>
      </c>
      <c r="C165" s="0" t="s">
        <v>226</v>
      </c>
      <c r="D165" s="14" t="n">
        <v>45900</v>
      </c>
      <c r="E165" s="0" t="n">
        <v>5545.72</v>
      </c>
    </row>
    <row r="166" customFormat="false" ht="15" hidden="false" customHeight="false" outlineLevel="0" collapsed="false">
      <c r="A166" s="0" t="s">
        <v>5191</v>
      </c>
      <c r="B166" s="0" t="s">
        <v>4621</v>
      </c>
      <c r="C166" s="0" t="s">
        <v>259</v>
      </c>
      <c r="D166" s="14" t="n">
        <v>46035</v>
      </c>
      <c r="E166" s="0" t="n">
        <v>2989.16</v>
      </c>
    </row>
    <row r="167" customFormat="false" ht="15" hidden="false" customHeight="false" outlineLevel="0" collapsed="false">
      <c r="A167" s="0" t="s">
        <v>5192</v>
      </c>
      <c r="B167" s="0" t="s">
        <v>4622</v>
      </c>
      <c r="C167" s="0" t="s">
        <v>259</v>
      </c>
      <c r="D167" s="14" t="n">
        <v>45727</v>
      </c>
      <c r="E167" s="0" t="n">
        <v>3613.89</v>
      </c>
    </row>
    <row r="168" customFormat="false" ht="15" hidden="false" customHeight="false" outlineLevel="0" collapsed="false">
      <c r="A168" s="0" t="s">
        <v>5193</v>
      </c>
      <c r="B168" s="0" t="s">
        <v>4623</v>
      </c>
      <c r="C168" s="0" t="s">
        <v>222</v>
      </c>
      <c r="D168" s="14" t="n">
        <v>46200</v>
      </c>
      <c r="E168" s="0" t="n">
        <v>8770.73</v>
      </c>
    </row>
    <row r="169" customFormat="false" ht="15" hidden="false" customHeight="false" outlineLevel="0" collapsed="false">
      <c r="A169" s="0" t="s">
        <v>5194</v>
      </c>
      <c r="B169" s="0" t="s">
        <v>4625</v>
      </c>
      <c r="C169" s="0" t="s">
        <v>259</v>
      </c>
      <c r="D169" s="14" t="n">
        <v>45953</v>
      </c>
      <c r="E169" s="0" t="n">
        <v>1860.95</v>
      </c>
    </row>
    <row r="170" customFormat="false" ht="15" hidden="false" customHeight="false" outlineLevel="0" collapsed="false">
      <c r="A170" s="0" t="s">
        <v>5195</v>
      </c>
      <c r="B170" s="0" t="s">
        <v>4626</v>
      </c>
      <c r="C170" s="0" t="s">
        <v>234</v>
      </c>
      <c r="D170" s="14" t="n">
        <v>45935</v>
      </c>
      <c r="E170" s="0" t="n">
        <v>9808.37</v>
      </c>
    </row>
    <row r="171" customFormat="false" ht="15" hidden="false" customHeight="false" outlineLevel="0" collapsed="false">
      <c r="A171" s="0" t="s">
        <v>5196</v>
      </c>
      <c r="B171" s="0" t="s">
        <v>4628</v>
      </c>
      <c r="C171" s="0" t="s">
        <v>232</v>
      </c>
      <c r="D171" s="14" t="n">
        <v>45965</v>
      </c>
      <c r="E171" s="0" t="n">
        <v>1305.87</v>
      </c>
    </row>
    <row r="172" customFormat="false" ht="15" hidden="false" customHeight="false" outlineLevel="0" collapsed="false">
      <c r="A172" s="0" t="s">
        <v>5197</v>
      </c>
      <c r="B172" s="0" t="s">
        <v>4629</v>
      </c>
      <c r="C172" s="0" t="s">
        <v>208</v>
      </c>
      <c r="D172" s="14" t="n">
        <v>45905</v>
      </c>
      <c r="E172" s="0" t="n">
        <v>5919.46</v>
      </c>
    </row>
    <row r="173" customFormat="false" ht="15" hidden="false" customHeight="false" outlineLevel="0" collapsed="false">
      <c r="A173" s="0" t="s">
        <v>5198</v>
      </c>
      <c r="B173" s="0" t="s">
        <v>4630</v>
      </c>
      <c r="C173" s="0" t="s">
        <v>232</v>
      </c>
      <c r="D173" s="14" t="n">
        <v>45948</v>
      </c>
      <c r="E173" s="0" t="n">
        <v>318.17</v>
      </c>
    </row>
    <row r="174" customFormat="false" ht="15" hidden="false" customHeight="false" outlineLevel="0" collapsed="false">
      <c r="A174" s="0" t="s">
        <v>5199</v>
      </c>
      <c r="B174" s="0" t="s">
        <v>4631</v>
      </c>
      <c r="C174" s="0" t="s">
        <v>245</v>
      </c>
      <c r="D174" s="14" t="n">
        <v>46007</v>
      </c>
      <c r="E174" s="0" t="n">
        <v>4186.99</v>
      </c>
    </row>
    <row r="175" customFormat="false" ht="15" hidden="false" customHeight="false" outlineLevel="0" collapsed="false">
      <c r="A175" s="0" t="s">
        <v>5200</v>
      </c>
      <c r="B175" s="0" t="s">
        <v>4632</v>
      </c>
      <c r="C175" s="0" t="s">
        <v>259</v>
      </c>
      <c r="D175" s="14" t="n">
        <v>46193</v>
      </c>
      <c r="E175" s="0" t="n">
        <v>753.14</v>
      </c>
    </row>
    <row r="176" customFormat="false" ht="15" hidden="false" customHeight="false" outlineLevel="0" collapsed="false">
      <c r="A176" s="0" t="s">
        <v>5201</v>
      </c>
      <c r="B176" s="0" t="s">
        <v>4634</v>
      </c>
      <c r="C176" s="0" t="s">
        <v>249</v>
      </c>
      <c r="D176" s="14" t="n">
        <v>45685</v>
      </c>
      <c r="E176" s="0" t="n">
        <v>6725.63</v>
      </c>
    </row>
    <row r="177" customFormat="false" ht="15" hidden="false" customHeight="false" outlineLevel="0" collapsed="false">
      <c r="A177" s="0" t="s">
        <v>5202</v>
      </c>
      <c r="B177" s="0" t="s">
        <v>4635</v>
      </c>
      <c r="C177" s="0" t="s">
        <v>268</v>
      </c>
      <c r="D177" s="14" t="n">
        <v>46127</v>
      </c>
      <c r="E177" s="0" t="n">
        <v>576.63</v>
      </c>
    </row>
    <row r="178" customFormat="false" ht="15" hidden="false" customHeight="false" outlineLevel="0" collapsed="false">
      <c r="A178" s="0" t="s">
        <v>5203</v>
      </c>
      <c r="B178" s="0" t="s">
        <v>4636</v>
      </c>
      <c r="C178" s="0" t="s">
        <v>220</v>
      </c>
      <c r="D178" s="14" t="n">
        <v>45862</v>
      </c>
      <c r="E178" s="0" t="n">
        <v>410.31</v>
      </c>
    </row>
    <row r="179" customFormat="false" ht="15" hidden="false" customHeight="false" outlineLevel="0" collapsed="false">
      <c r="A179" s="0" t="s">
        <v>5204</v>
      </c>
      <c r="B179" s="0" t="s">
        <v>4637</v>
      </c>
      <c r="C179" s="0" t="s">
        <v>251</v>
      </c>
      <c r="D179" s="14" t="n">
        <v>46097</v>
      </c>
      <c r="E179" s="0" t="n">
        <v>671.13</v>
      </c>
    </row>
    <row r="180" customFormat="false" ht="15" hidden="false" customHeight="false" outlineLevel="0" collapsed="false">
      <c r="A180" s="0" t="s">
        <v>5205</v>
      </c>
      <c r="B180" s="0" t="s">
        <v>4638</v>
      </c>
      <c r="C180" s="0" t="s">
        <v>255</v>
      </c>
      <c r="D180" s="14" t="n">
        <v>46008</v>
      </c>
      <c r="E180" s="0" t="n">
        <v>882.81</v>
      </c>
    </row>
    <row r="181" customFormat="false" ht="15" hidden="false" customHeight="false" outlineLevel="0" collapsed="false">
      <c r="A181" s="0" t="s">
        <v>5206</v>
      </c>
      <c r="B181" s="0" t="s">
        <v>4639</v>
      </c>
      <c r="C181" s="0" t="s">
        <v>234</v>
      </c>
      <c r="D181" s="14" t="n">
        <v>46085</v>
      </c>
      <c r="E181" s="0" t="n">
        <v>6647.76</v>
      </c>
    </row>
    <row r="182" customFormat="false" ht="15" hidden="false" customHeight="false" outlineLevel="0" collapsed="false">
      <c r="A182" s="0" t="s">
        <v>5207</v>
      </c>
      <c r="B182" s="0" t="s">
        <v>4641</v>
      </c>
      <c r="C182" s="0" t="s">
        <v>211</v>
      </c>
      <c r="D182" s="14" t="n">
        <v>45869</v>
      </c>
      <c r="E182" s="0" t="n">
        <v>9820.08</v>
      </c>
    </row>
    <row r="183" customFormat="false" ht="15" hidden="false" customHeight="false" outlineLevel="0" collapsed="false">
      <c r="A183" s="0" t="s">
        <v>5208</v>
      </c>
      <c r="B183" s="0" t="s">
        <v>4642</v>
      </c>
      <c r="C183" s="0" t="s">
        <v>243</v>
      </c>
      <c r="D183" s="14" t="n">
        <v>45687</v>
      </c>
      <c r="E183" s="0" t="n">
        <v>397.84</v>
      </c>
    </row>
    <row r="184" customFormat="false" ht="15" hidden="false" customHeight="false" outlineLevel="0" collapsed="false">
      <c r="A184" s="0" t="s">
        <v>5209</v>
      </c>
      <c r="B184" s="0" t="s">
        <v>4644</v>
      </c>
      <c r="C184" s="0" t="s">
        <v>255</v>
      </c>
      <c r="D184" s="14" t="n">
        <v>46109</v>
      </c>
      <c r="E184" s="0" t="n">
        <v>5191.06</v>
      </c>
    </row>
    <row r="185" customFormat="false" ht="15" hidden="false" customHeight="false" outlineLevel="0" collapsed="false">
      <c r="A185" s="0" t="s">
        <v>5210</v>
      </c>
      <c r="B185" s="0" t="s">
        <v>4645</v>
      </c>
      <c r="C185" s="0" t="s">
        <v>268</v>
      </c>
      <c r="D185" s="14" t="n">
        <v>45763</v>
      </c>
      <c r="E185" s="0" t="n">
        <v>2721.67</v>
      </c>
    </row>
    <row r="186" customFormat="false" ht="15" hidden="false" customHeight="false" outlineLevel="0" collapsed="false">
      <c r="A186" s="0" t="s">
        <v>5211</v>
      </c>
      <c r="B186" s="0" t="s">
        <v>4647</v>
      </c>
      <c r="C186" s="0" t="s">
        <v>263</v>
      </c>
      <c r="D186" s="14" t="n">
        <v>45912</v>
      </c>
      <c r="E186" s="0" t="n">
        <v>1083.03</v>
      </c>
    </row>
    <row r="187" customFormat="false" ht="15" hidden="false" customHeight="false" outlineLevel="0" collapsed="false">
      <c r="A187" s="0" t="s">
        <v>5212</v>
      </c>
      <c r="B187" s="0" t="s">
        <v>4648</v>
      </c>
      <c r="C187" s="0" t="s">
        <v>211</v>
      </c>
      <c r="D187" s="14" t="n">
        <v>46074</v>
      </c>
      <c r="E187" s="0" t="n">
        <v>1538.1</v>
      </c>
    </row>
    <row r="188" customFormat="false" ht="15" hidden="false" customHeight="false" outlineLevel="0" collapsed="false">
      <c r="A188" s="0" t="s">
        <v>5213</v>
      </c>
      <c r="B188" s="0" t="s">
        <v>4649</v>
      </c>
      <c r="C188" s="0" t="s">
        <v>257</v>
      </c>
      <c r="D188" s="14" t="n">
        <v>46028</v>
      </c>
      <c r="E188" s="0" t="n">
        <v>8987.97</v>
      </c>
    </row>
    <row r="189" customFormat="false" ht="15" hidden="false" customHeight="false" outlineLevel="0" collapsed="false">
      <c r="A189" s="0" t="s">
        <v>5214</v>
      </c>
      <c r="B189" s="0" t="s">
        <v>4650</v>
      </c>
      <c r="C189" s="0" t="s">
        <v>267</v>
      </c>
      <c r="D189" s="14" t="n">
        <v>46113</v>
      </c>
      <c r="E189" s="0" t="n">
        <v>14949.45</v>
      </c>
    </row>
    <row r="190" customFormat="false" ht="15" hidden="false" customHeight="false" outlineLevel="0" collapsed="false">
      <c r="A190" s="0" t="s">
        <v>5215</v>
      </c>
      <c r="B190" s="0" t="s">
        <v>4651</v>
      </c>
      <c r="C190" s="0" t="s">
        <v>261</v>
      </c>
      <c r="D190" s="14" t="n">
        <v>45701</v>
      </c>
      <c r="E190" s="0" t="n">
        <v>2225.7</v>
      </c>
    </row>
    <row r="191" customFormat="false" ht="15" hidden="false" customHeight="false" outlineLevel="0" collapsed="false">
      <c r="A191" s="0" t="s">
        <v>5216</v>
      </c>
      <c r="B191" s="0" t="s">
        <v>4652</v>
      </c>
      <c r="C191" s="0" t="s">
        <v>232</v>
      </c>
      <c r="D191" s="14" t="n">
        <v>46120</v>
      </c>
      <c r="E191" s="0" t="n">
        <v>1125.91</v>
      </c>
    </row>
    <row r="192" customFormat="false" ht="15" hidden="false" customHeight="false" outlineLevel="0" collapsed="false">
      <c r="A192" s="0" t="s">
        <v>5217</v>
      </c>
      <c r="B192" s="0" t="s">
        <v>4653</v>
      </c>
      <c r="C192" s="0" t="s">
        <v>270</v>
      </c>
      <c r="D192" s="14" t="n">
        <v>45919</v>
      </c>
      <c r="E192" s="0" t="n">
        <v>3138.47</v>
      </c>
    </row>
    <row r="193" customFormat="false" ht="15" hidden="false" customHeight="false" outlineLevel="0" collapsed="false">
      <c r="A193" s="0" t="s">
        <v>5218</v>
      </c>
      <c r="B193" s="0" t="s">
        <v>4654</v>
      </c>
      <c r="C193" s="0" t="s">
        <v>268</v>
      </c>
      <c r="D193" s="14" t="n">
        <v>45846</v>
      </c>
      <c r="E193" s="0" t="n">
        <v>2102.51</v>
      </c>
    </row>
    <row r="194" customFormat="false" ht="15" hidden="false" customHeight="false" outlineLevel="0" collapsed="false">
      <c r="A194" s="0" t="s">
        <v>5219</v>
      </c>
      <c r="B194" s="0" t="s">
        <v>4655</v>
      </c>
      <c r="C194" s="0" t="s">
        <v>247</v>
      </c>
      <c r="D194" s="14" t="n">
        <v>45693</v>
      </c>
      <c r="E194" s="0" t="n">
        <v>3302.54</v>
      </c>
    </row>
    <row r="195" customFormat="false" ht="15" hidden="false" customHeight="false" outlineLevel="0" collapsed="false">
      <c r="A195" s="0" t="s">
        <v>5220</v>
      </c>
      <c r="B195" s="0" t="s">
        <v>4657</v>
      </c>
      <c r="C195" s="0" t="s">
        <v>226</v>
      </c>
      <c r="D195" s="14" t="n">
        <v>45707</v>
      </c>
      <c r="E195" s="0" t="n">
        <v>6811</v>
      </c>
    </row>
    <row r="196" customFormat="false" ht="15" hidden="false" customHeight="false" outlineLevel="0" collapsed="false">
      <c r="A196" s="0" t="s">
        <v>5221</v>
      </c>
      <c r="B196" s="0" t="s">
        <v>4658</v>
      </c>
      <c r="C196" s="0" t="s">
        <v>236</v>
      </c>
      <c r="D196" s="14" t="n">
        <v>46197</v>
      </c>
      <c r="E196" s="0" t="n">
        <v>367.75</v>
      </c>
    </row>
    <row r="197" customFormat="false" ht="15" hidden="false" customHeight="false" outlineLevel="0" collapsed="false">
      <c r="A197" s="0" t="s">
        <v>5222</v>
      </c>
      <c r="B197" s="0" t="s">
        <v>4659</v>
      </c>
      <c r="C197" s="0" t="s">
        <v>270</v>
      </c>
      <c r="D197" s="14" t="n">
        <v>45977</v>
      </c>
      <c r="E197" s="0" t="n">
        <v>429.55</v>
      </c>
    </row>
    <row r="198" customFormat="false" ht="15" hidden="false" customHeight="false" outlineLevel="0" collapsed="false">
      <c r="A198" s="0" t="s">
        <v>5223</v>
      </c>
      <c r="B198" s="0" t="s">
        <v>4661</v>
      </c>
      <c r="C198" s="0" t="s">
        <v>222</v>
      </c>
      <c r="D198" s="14" t="n">
        <v>45970</v>
      </c>
      <c r="E198" s="0" t="n">
        <v>1296.73</v>
      </c>
    </row>
    <row r="199" customFormat="false" ht="15" hidden="false" customHeight="false" outlineLevel="0" collapsed="false">
      <c r="A199" s="0" t="s">
        <v>5224</v>
      </c>
      <c r="B199" s="0" t="s">
        <v>4663</v>
      </c>
      <c r="C199" s="0" t="s">
        <v>259</v>
      </c>
      <c r="D199" s="14" t="n">
        <v>46100</v>
      </c>
      <c r="E199" s="0" t="n">
        <v>1329.65</v>
      </c>
    </row>
    <row r="200" customFormat="false" ht="15" hidden="false" customHeight="false" outlineLevel="0" collapsed="false">
      <c r="A200" s="0" t="s">
        <v>5225</v>
      </c>
      <c r="B200" s="0" t="s">
        <v>4664</v>
      </c>
      <c r="C200" s="0" t="s">
        <v>268</v>
      </c>
      <c r="D200" s="14" t="n">
        <v>45774</v>
      </c>
      <c r="E200" s="0" t="n">
        <v>1478.27</v>
      </c>
    </row>
    <row r="201" customFormat="false" ht="15" hidden="false" customHeight="false" outlineLevel="0" collapsed="false">
      <c r="A201" s="0" t="s">
        <v>5226</v>
      </c>
      <c r="B201" s="0" t="s">
        <v>4665</v>
      </c>
      <c r="C201" s="0" t="s">
        <v>211</v>
      </c>
      <c r="D201" s="14" t="n">
        <v>45853</v>
      </c>
      <c r="E201" s="0" t="n">
        <v>951.67</v>
      </c>
    </row>
    <row r="202" customFormat="false" ht="15" hidden="false" customHeight="false" outlineLevel="0" collapsed="false">
      <c r="A202" s="0" t="s">
        <v>5227</v>
      </c>
      <c r="B202" s="0" t="s">
        <v>4666</v>
      </c>
      <c r="C202" s="0" t="s">
        <v>228</v>
      </c>
      <c r="D202" s="14" t="n">
        <v>46119</v>
      </c>
      <c r="E202" s="0" t="n">
        <v>4785.44</v>
      </c>
    </row>
    <row r="203" customFormat="false" ht="15" hidden="false" customHeight="false" outlineLevel="0" collapsed="false">
      <c r="A203" s="0" t="s">
        <v>5228</v>
      </c>
      <c r="B203" s="0" t="s">
        <v>4667</v>
      </c>
      <c r="C203" s="0" t="s">
        <v>270</v>
      </c>
      <c r="D203" s="14" t="n">
        <v>46148</v>
      </c>
      <c r="E203" s="0" t="n">
        <v>4420.51</v>
      </c>
    </row>
    <row r="204" customFormat="false" ht="15" hidden="false" customHeight="false" outlineLevel="0" collapsed="false">
      <c r="A204" s="0" t="s">
        <v>5229</v>
      </c>
      <c r="B204" s="0" t="s">
        <v>4668</v>
      </c>
      <c r="C204" s="0" t="s">
        <v>224</v>
      </c>
      <c r="D204" s="14" t="n">
        <v>45839</v>
      </c>
      <c r="E204" s="0" t="n">
        <v>2086.28</v>
      </c>
    </row>
    <row r="205" customFormat="false" ht="15" hidden="false" customHeight="false" outlineLevel="0" collapsed="false">
      <c r="A205" s="0" t="s">
        <v>5230</v>
      </c>
      <c r="B205" s="0" t="s">
        <v>4669</v>
      </c>
      <c r="C205" s="0" t="s">
        <v>261</v>
      </c>
      <c r="D205" s="14" t="n">
        <v>45746</v>
      </c>
      <c r="E205" s="0" t="n">
        <v>21829.68</v>
      </c>
    </row>
    <row r="206" customFormat="false" ht="15" hidden="false" customHeight="false" outlineLevel="0" collapsed="false">
      <c r="A206" s="0" t="s">
        <v>5231</v>
      </c>
      <c r="B206" s="0" t="s">
        <v>4670</v>
      </c>
      <c r="C206" s="0" t="s">
        <v>228</v>
      </c>
      <c r="D206" s="14" t="n">
        <v>45883</v>
      </c>
      <c r="E206" s="0" t="n">
        <v>10564.24</v>
      </c>
    </row>
    <row r="207" customFormat="false" ht="15" hidden="false" customHeight="false" outlineLevel="0" collapsed="false">
      <c r="A207" s="0" t="s">
        <v>5232</v>
      </c>
      <c r="B207" s="0" t="s">
        <v>4671</v>
      </c>
      <c r="C207" s="0" t="s">
        <v>228</v>
      </c>
      <c r="D207" s="14" t="n">
        <v>46181</v>
      </c>
      <c r="E207" s="0" t="n">
        <v>1103.66</v>
      </c>
    </row>
    <row r="208" customFormat="false" ht="15" hidden="false" customHeight="false" outlineLevel="0" collapsed="false">
      <c r="A208" s="0" t="s">
        <v>5233</v>
      </c>
      <c r="B208" s="0" t="s">
        <v>4672</v>
      </c>
      <c r="C208" s="0" t="s">
        <v>249</v>
      </c>
      <c r="D208" s="14" t="n">
        <v>46073</v>
      </c>
      <c r="E208" s="0" t="n">
        <v>3351.82</v>
      </c>
    </row>
    <row r="209" customFormat="false" ht="15" hidden="false" customHeight="false" outlineLevel="0" collapsed="false">
      <c r="A209" s="0" t="s">
        <v>5234</v>
      </c>
      <c r="B209" s="0" t="s">
        <v>4673</v>
      </c>
      <c r="C209" s="0" t="s">
        <v>259</v>
      </c>
      <c r="D209" s="14" t="n">
        <v>46171</v>
      </c>
      <c r="E209" s="0" t="n">
        <v>693.6</v>
      </c>
    </row>
    <row r="210" customFormat="false" ht="15" hidden="false" customHeight="false" outlineLevel="0" collapsed="false">
      <c r="A210" s="0" t="s">
        <v>5235</v>
      </c>
      <c r="B210" s="0" t="s">
        <v>4674</v>
      </c>
      <c r="C210" s="0" t="s">
        <v>247</v>
      </c>
      <c r="D210" s="14" t="n">
        <v>45896</v>
      </c>
      <c r="E210" s="0" t="n">
        <v>3830.58</v>
      </c>
    </row>
    <row r="211" customFormat="false" ht="15" hidden="false" customHeight="false" outlineLevel="0" collapsed="false">
      <c r="A211" s="0" t="s">
        <v>5236</v>
      </c>
      <c r="B211" s="0" t="s">
        <v>4676</v>
      </c>
      <c r="C211" s="0" t="s">
        <v>226</v>
      </c>
      <c r="D211" s="14" t="n">
        <v>45929</v>
      </c>
      <c r="E211" s="0" t="n">
        <v>1015.03</v>
      </c>
    </row>
    <row r="212" customFormat="false" ht="15" hidden="false" customHeight="false" outlineLevel="0" collapsed="false">
      <c r="A212" s="0" t="s">
        <v>5237</v>
      </c>
      <c r="B212" s="0" t="s">
        <v>4677</v>
      </c>
      <c r="C212" s="0" t="s">
        <v>222</v>
      </c>
      <c r="D212" s="14" t="n">
        <v>45938</v>
      </c>
      <c r="E212" s="0" t="n">
        <v>1106.15</v>
      </c>
    </row>
    <row r="213" customFormat="false" ht="15" hidden="false" customHeight="false" outlineLevel="0" collapsed="false">
      <c r="A213" s="0" t="s">
        <v>5238</v>
      </c>
      <c r="B213" s="0" t="s">
        <v>4678</v>
      </c>
      <c r="C213" s="0" t="s">
        <v>265</v>
      </c>
      <c r="D213" s="14" t="n">
        <v>46186</v>
      </c>
      <c r="E213" s="0" t="n">
        <v>868.28</v>
      </c>
    </row>
    <row r="214" customFormat="false" ht="15" hidden="false" customHeight="false" outlineLevel="0" collapsed="false">
      <c r="A214" s="0" t="s">
        <v>5239</v>
      </c>
      <c r="B214" s="0" t="s">
        <v>4679</v>
      </c>
      <c r="C214" s="0" t="s">
        <v>234</v>
      </c>
      <c r="D214" s="14" t="n">
        <v>45977</v>
      </c>
      <c r="E214" s="0" t="n">
        <v>1314.94</v>
      </c>
    </row>
    <row r="215" customFormat="false" ht="15" hidden="false" customHeight="false" outlineLevel="0" collapsed="false">
      <c r="A215" s="0" t="s">
        <v>5240</v>
      </c>
      <c r="B215" s="0" t="s">
        <v>4680</v>
      </c>
      <c r="C215" s="0" t="s">
        <v>251</v>
      </c>
      <c r="D215" s="14" t="n">
        <v>46098</v>
      </c>
      <c r="E215" s="0" t="n">
        <v>1978.9</v>
      </c>
    </row>
    <row r="216" customFormat="false" ht="15" hidden="false" customHeight="false" outlineLevel="0" collapsed="false">
      <c r="A216" s="0" t="s">
        <v>5241</v>
      </c>
      <c r="B216" s="0" t="s">
        <v>4681</v>
      </c>
      <c r="C216" s="0" t="s">
        <v>214</v>
      </c>
      <c r="D216" s="14" t="n">
        <v>46064</v>
      </c>
      <c r="E216" s="0" t="n">
        <v>3886.61</v>
      </c>
    </row>
    <row r="217" customFormat="false" ht="15" hidden="false" customHeight="false" outlineLevel="0" collapsed="false">
      <c r="A217" s="0" t="s">
        <v>5242</v>
      </c>
      <c r="B217" s="0" t="s">
        <v>4682</v>
      </c>
      <c r="C217" s="0" t="s">
        <v>220</v>
      </c>
      <c r="D217" s="14" t="n">
        <v>45727</v>
      </c>
      <c r="E217" s="0" t="n">
        <v>1371.8</v>
      </c>
    </row>
    <row r="218" customFormat="false" ht="15" hidden="false" customHeight="false" outlineLevel="0" collapsed="false">
      <c r="A218" s="0" t="s">
        <v>5243</v>
      </c>
      <c r="B218" s="0" t="s">
        <v>4683</v>
      </c>
      <c r="C218" s="0" t="s">
        <v>257</v>
      </c>
      <c r="D218" s="14" t="n">
        <v>45987</v>
      </c>
      <c r="E218" s="0" t="n">
        <v>7064.1</v>
      </c>
    </row>
    <row r="219" customFormat="false" ht="15" hidden="false" customHeight="false" outlineLevel="0" collapsed="false">
      <c r="A219" s="0" t="s">
        <v>5244</v>
      </c>
      <c r="B219" s="0" t="s">
        <v>4684</v>
      </c>
      <c r="C219" s="0" t="s">
        <v>217</v>
      </c>
      <c r="D219" s="14" t="n">
        <v>46140</v>
      </c>
      <c r="E219" s="0" t="n">
        <v>631.11</v>
      </c>
    </row>
    <row r="220" customFormat="false" ht="15" hidden="false" customHeight="false" outlineLevel="0" collapsed="false">
      <c r="A220" s="0" t="s">
        <v>5245</v>
      </c>
      <c r="B220" s="0" t="s">
        <v>4685</v>
      </c>
      <c r="C220" s="0" t="s">
        <v>222</v>
      </c>
      <c r="D220" s="14" t="n">
        <v>45993</v>
      </c>
      <c r="E220" s="0" t="n">
        <v>2395.84</v>
      </c>
    </row>
    <row r="221" customFormat="false" ht="15" hidden="false" customHeight="false" outlineLevel="0" collapsed="false">
      <c r="A221" s="0" t="s">
        <v>5246</v>
      </c>
      <c r="B221" s="0" t="s">
        <v>4686</v>
      </c>
      <c r="C221" s="0" t="s">
        <v>270</v>
      </c>
      <c r="D221" s="14" t="n">
        <v>45842</v>
      </c>
      <c r="E221" s="0" t="n">
        <v>1066.33</v>
      </c>
    </row>
    <row r="222" customFormat="false" ht="15" hidden="false" customHeight="false" outlineLevel="0" collapsed="false">
      <c r="A222" s="0" t="s">
        <v>5247</v>
      </c>
      <c r="B222" s="0" t="s">
        <v>4687</v>
      </c>
      <c r="C222" s="0" t="s">
        <v>243</v>
      </c>
      <c r="D222" s="14" t="n">
        <v>45727</v>
      </c>
      <c r="E222" s="0" t="n">
        <v>4466.52</v>
      </c>
    </row>
    <row r="223" customFormat="false" ht="15" hidden="false" customHeight="false" outlineLevel="0" collapsed="false">
      <c r="A223" s="0" t="s">
        <v>5248</v>
      </c>
      <c r="B223" s="0" t="s">
        <v>4688</v>
      </c>
      <c r="C223" s="0" t="s">
        <v>232</v>
      </c>
      <c r="D223" s="14" t="n">
        <v>46032</v>
      </c>
      <c r="E223" s="0" t="n">
        <v>11407.94</v>
      </c>
    </row>
    <row r="224" customFormat="false" ht="15" hidden="false" customHeight="false" outlineLevel="0" collapsed="false">
      <c r="A224" s="0" t="s">
        <v>5249</v>
      </c>
      <c r="B224" s="0" t="s">
        <v>4689</v>
      </c>
      <c r="C224" s="0" t="s">
        <v>243</v>
      </c>
      <c r="D224" s="14" t="n">
        <v>45839</v>
      </c>
      <c r="E224" s="0" t="n">
        <v>480.9</v>
      </c>
    </row>
    <row r="225" customFormat="false" ht="15" hidden="false" customHeight="false" outlineLevel="0" collapsed="false">
      <c r="A225" s="0" t="s">
        <v>5250</v>
      </c>
      <c r="B225" s="0" t="s">
        <v>4690</v>
      </c>
      <c r="C225" s="0" t="s">
        <v>236</v>
      </c>
      <c r="D225" s="14" t="n">
        <v>46019</v>
      </c>
      <c r="E225" s="0" t="n">
        <v>1105.87</v>
      </c>
    </row>
    <row r="226" customFormat="false" ht="15" hidden="false" customHeight="false" outlineLevel="0" collapsed="false">
      <c r="A226" s="0" t="s">
        <v>5251</v>
      </c>
      <c r="B226" s="0" t="s">
        <v>4691</v>
      </c>
      <c r="C226" s="0" t="s">
        <v>259</v>
      </c>
      <c r="D226" s="14" t="n">
        <v>45891</v>
      </c>
      <c r="E226" s="0" t="n">
        <v>5771.14</v>
      </c>
    </row>
    <row r="227" customFormat="false" ht="15" hidden="false" customHeight="false" outlineLevel="0" collapsed="false">
      <c r="A227" s="0" t="s">
        <v>5252</v>
      </c>
      <c r="B227" s="0" t="s">
        <v>4692</v>
      </c>
      <c r="C227" s="0" t="s">
        <v>226</v>
      </c>
      <c r="D227" s="14" t="n">
        <v>46041</v>
      </c>
      <c r="E227" s="0" t="n">
        <v>5158.41</v>
      </c>
    </row>
    <row r="228" customFormat="false" ht="15" hidden="false" customHeight="false" outlineLevel="0" collapsed="false">
      <c r="A228" s="0" t="s">
        <v>5253</v>
      </c>
      <c r="B228" s="0" t="s">
        <v>4693</v>
      </c>
      <c r="C228" s="0" t="s">
        <v>214</v>
      </c>
      <c r="D228" s="14" t="n">
        <v>45885</v>
      </c>
      <c r="E228" s="0" t="n">
        <v>4193.94</v>
      </c>
    </row>
    <row r="229" customFormat="false" ht="15" hidden="false" customHeight="false" outlineLevel="0" collapsed="false">
      <c r="A229" s="0" t="s">
        <v>5254</v>
      </c>
      <c r="B229" s="0" t="s">
        <v>4694</v>
      </c>
      <c r="C229" s="0" t="s">
        <v>211</v>
      </c>
      <c r="D229" s="14" t="n">
        <v>45717</v>
      </c>
      <c r="E229" s="0" t="n">
        <v>6400.75</v>
      </c>
    </row>
    <row r="230" customFormat="false" ht="15" hidden="false" customHeight="false" outlineLevel="0" collapsed="false">
      <c r="A230" s="0" t="s">
        <v>5255</v>
      </c>
      <c r="B230" s="0" t="s">
        <v>4695</v>
      </c>
      <c r="C230" s="0" t="s">
        <v>217</v>
      </c>
      <c r="D230" s="14" t="n">
        <v>46156</v>
      </c>
      <c r="E230" s="0" t="n">
        <v>261.15</v>
      </c>
    </row>
    <row r="231" customFormat="false" ht="15" hidden="false" customHeight="false" outlineLevel="0" collapsed="false">
      <c r="A231" s="0" t="s">
        <v>5256</v>
      </c>
      <c r="B231" s="0" t="s">
        <v>4696</v>
      </c>
      <c r="C231" s="0" t="s">
        <v>270</v>
      </c>
      <c r="D231" s="14" t="n">
        <v>45887</v>
      </c>
      <c r="E231" s="0" t="n">
        <v>589.73</v>
      </c>
    </row>
    <row r="232" customFormat="false" ht="15" hidden="false" customHeight="false" outlineLevel="0" collapsed="false">
      <c r="A232" s="0" t="s">
        <v>5257</v>
      </c>
      <c r="B232" s="0" t="s">
        <v>4699</v>
      </c>
      <c r="C232" s="0" t="s">
        <v>263</v>
      </c>
      <c r="D232" s="14" t="n">
        <v>46193</v>
      </c>
      <c r="E232" s="0" t="n">
        <v>1071.06</v>
      </c>
    </row>
    <row r="233" customFormat="false" ht="15" hidden="false" customHeight="false" outlineLevel="0" collapsed="false">
      <c r="A233" s="0" t="s">
        <v>5258</v>
      </c>
      <c r="B233" s="0" t="s">
        <v>4700</v>
      </c>
      <c r="C233" s="0" t="s">
        <v>239</v>
      </c>
      <c r="D233" s="14" t="n">
        <v>46175</v>
      </c>
      <c r="E233" s="0" t="n">
        <v>10242.53</v>
      </c>
    </row>
    <row r="234" customFormat="false" ht="15" hidden="false" customHeight="false" outlineLevel="0" collapsed="false">
      <c r="A234" s="0" t="s">
        <v>5259</v>
      </c>
      <c r="B234" s="0" t="s">
        <v>4701</v>
      </c>
      <c r="C234" s="0" t="s">
        <v>224</v>
      </c>
      <c r="D234" s="14" t="n">
        <v>45700</v>
      </c>
      <c r="E234" s="0" t="n">
        <v>3658.12</v>
      </c>
    </row>
    <row r="235" customFormat="false" ht="15" hidden="false" customHeight="false" outlineLevel="0" collapsed="false">
      <c r="A235" s="0" t="s">
        <v>5260</v>
      </c>
      <c r="B235" s="0" t="s">
        <v>4702</v>
      </c>
      <c r="C235" s="0" t="s">
        <v>228</v>
      </c>
      <c r="D235" s="14" t="n">
        <v>46028</v>
      </c>
      <c r="E235" s="0" t="n">
        <v>2604.05</v>
      </c>
    </row>
    <row r="236" customFormat="false" ht="15" hidden="false" customHeight="false" outlineLevel="0" collapsed="false">
      <c r="A236" s="0" t="s">
        <v>5261</v>
      </c>
      <c r="B236" s="0" t="s">
        <v>4704</v>
      </c>
      <c r="C236" s="0" t="s">
        <v>267</v>
      </c>
      <c r="D236" s="14" t="n">
        <v>46116</v>
      </c>
      <c r="E236" s="0" t="n">
        <v>7427.02</v>
      </c>
    </row>
    <row r="237" customFormat="false" ht="15" hidden="false" customHeight="false" outlineLevel="0" collapsed="false">
      <c r="A237" s="0" t="s">
        <v>5262</v>
      </c>
      <c r="B237" s="0" t="s">
        <v>4705</v>
      </c>
      <c r="C237" s="0" t="s">
        <v>230</v>
      </c>
      <c r="D237" s="14" t="n">
        <v>46063</v>
      </c>
      <c r="E237" s="0" t="n">
        <v>1206.18</v>
      </c>
    </row>
    <row r="238" customFormat="false" ht="15" hidden="false" customHeight="false" outlineLevel="0" collapsed="false">
      <c r="A238" s="0" t="s">
        <v>5263</v>
      </c>
      <c r="B238" s="0" t="s">
        <v>4707</v>
      </c>
      <c r="C238" s="0" t="s">
        <v>208</v>
      </c>
      <c r="D238" s="14" t="n">
        <v>45765</v>
      </c>
      <c r="E238" s="0" t="n">
        <v>7132.42</v>
      </c>
    </row>
    <row r="239" customFormat="false" ht="15" hidden="false" customHeight="false" outlineLevel="0" collapsed="false">
      <c r="A239" s="0" t="s">
        <v>5264</v>
      </c>
      <c r="B239" s="0" t="s">
        <v>4708</v>
      </c>
      <c r="C239" s="0" t="s">
        <v>230</v>
      </c>
      <c r="D239" s="14" t="n">
        <v>45990</v>
      </c>
      <c r="E239" s="0" t="n">
        <v>18569.06</v>
      </c>
    </row>
    <row r="240" customFormat="false" ht="15" hidden="false" customHeight="false" outlineLevel="0" collapsed="false">
      <c r="A240" s="0" t="s">
        <v>5265</v>
      </c>
      <c r="B240" s="0" t="s">
        <v>4709</v>
      </c>
      <c r="C240" s="0" t="s">
        <v>234</v>
      </c>
      <c r="D240" s="14" t="n">
        <v>46105</v>
      </c>
      <c r="E240" s="0" t="n">
        <v>2350.26</v>
      </c>
    </row>
    <row r="241" customFormat="false" ht="15" hidden="false" customHeight="false" outlineLevel="0" collapsed="false">
      <c r="A241" s="0" t="s">
        <v>5266</v>
      </c>
      <c r="B241" s="0" t="s">
        <v>4711</v>
      </c>
      <c r="C241" s="0" t="s">
        <v>265</v>
      </c>
      <c r="D241" s="14" t="n">
        <v>45716</v>
      </c>
      <c r="E241" s="0" t="n">
        <v>8795.14</v>
      </c>
    </row>
    <row r="242" customFormat="false" ht="15" hidden="false" customHeight="false" outlineLevel="0" collapsed="false">
      <c r="A242" s="0" t="s">
        <v>5267</v>
      </c>
      <c r="B242" s="0" t="s">
        <v>4712</v>
      </c>
      <c r="C242" s="0" t="s">
        <v>214</v>
      </c>
      <c r="D242" s="14" t="n">
        <v>46100</v>
      </c>
      <c r="E242" s="0" t="n">
        <v>1067.02</v>
      </c>
    </row>
    <row r="243" customFormat="false" ht="15" hidden="false" customHeight="false" outlineLevel="0" collapsed="false">
      <c r="A243" s="0" t="s">
        <v>5268</v>
      </c>
      <c r="B243" s="0" t="s">
        <v>4713</v>
      </c>
      <c r="C243" s="0" t="s">
        <v>268</v>
      </c>
      <c r="D243" s="14" t="n">
        <v>45862</v>
      </c>
      <c r="E243" s="0" t="n">
        <v>606.08</v>
      </c>
    </row>
    <row r="244" customFormat="false" ht="15" hidden="false" customHeight="false" outlineLevel="0" collapsed="false">
      <c r="A244" s="0" t="s">
        <v>5269</v>
      </c>
      <c r="B244" s="0" t="s">
        <v>4714</v>
      </c>
      <c r="C244" s="0" t="s">
        <v>232</v>
      </c>
      <c r="D244" s="14" t="n">
        <v>45894</v>
      </c>
      <c r="E244" s="0" t="n">
        <v>1284.72</v>
      </c>
    </row>
    <row r="245" customFormat="false" ht="15" hidden="false" customHeight="false" outlineLevel="0" collapsed="false">
      <c r="A245" s="0" t="s">
        <v>5270</v>
      </c>
      <c r="B245" s="0" t="s">
        <v>4715</v>
      </c>
      <c r="C245" s="0" t="s">
        <v>265</v>
      </c>
      <c r="D245" s="14" t="n">
        <v>46001</v>
      </c>
      <c r="E245" s="0" t="n">
        <v>568.24</v>
      </c>
    </row>
    <row r="246" customFormat="false" ht="15" hidden="false" customHeight="false" outlineLevel="0" collapsed="false">
      <c r="A246" s="0" t="s">
        <v>5271</v>
      </c>
      <c r="B246" s="0" t="s">
        <v>4717</v>
      </c>
      <c r="C246" s="0" t="s">
        <v>263</v>
      </c>
      <c r="D246" s="14" t="n">
        <v>46061</v>
      </c>
      <c r="E246" s="0" t="n">
        <v>4574.28</v>
      </c>
    </row>
    <row r="247" customFormat="false" ht="15" hidden="false" customHeight="false" outlineLevel="0" collapsed="false">
      <c r="A247" s="0" t="s">
        <v>5272</v>
      </c>
      <c r="B247" s="0" t="s">
        <v>4718</v>
      </c>
      <c r="C247" s="0" t="s">
        <v>243</v>
      </c>
      <c r="D247" s="14" t="n">
        <v>46199</v>
      </c>
      <c r="E247" s="0" t="n">
        <v>3028.37</v>
      </c>
    </row>
    <row r="248" customFormat="false" ht="15" hidden="false" customHeight="false" outlineLevel="0" collapsed="false">
      <c r="A248" s="0" t="s">
        <v>5273</v>
      </c>
      <c r="B248" s="0" t="s">
        <v>4719</v>
      </c>
      <c r="C248" s="0" t="s">
        <v>217</v>
      </c>
      <c r="D248" s="14" t="n">
        <v>45876</v>
      </c>
      <c r="E248" s="0" t="n">
        <v>1302.49</v>
      </c>
    </row>
    <row r="249" customFormat="false" ht="15" hidden="false" customHeight="false" outlineLevel="0" collapsed="false">
      <c r="A249" s="0" t="s">
        <v>5274</v>
      </c>
      <c r="B249" s="0" t="s">
        <v>4721</v>
      </c>
      <c r="C249" s="0" t="s">
        <v>253</v>
      </c>
      <c r="D249" s="14" t="n">
        <v>45983</v>
      </c>
      <c r="E249" s="0" t="n">
        <v>135.24</v>
      </c>
    </row>
    <row r="250" customFormat="false" ht="15" hidden="false" customHeight="false" outlineLevel="0" collapsed="false">
      <c r="A250" s="0" t="s">
        <v>5275</v>
      </c>
      <c r="B250" s="0" t="s">
        <v>4722</v>
      </c>
      <c r="C250" s="0" t="s">
        <v>208</v>
      </c>
      <c r="D250" s="14" t="n">
        <v>45981</v>
      </c>
      <c r="E250" s="0" t="n">
        <v>1211</v>
      </c>
    </row>
    <row r="251" customFormat="false" ht="15" hidden="false" customHeight="false" outlineLevel="0" collapsed="false">
      <c r="A251" s="0" t="s">
        <v>5276</v>
      </c>
      <c r="B251" s="0" t="s">
        <v>4723</v>
      </c>
      <c r="C251" s="0" t="s">
        <v>208</v>
      </c>
      <c r="D251" s="14" t="n">
        <v>45878</v>
      </c>
      <c r="E251" s="0" t="n">
        <v>977.25</v>
      </c>
    </row>
    <row r="252" customFormat="false" ht="15" hidden="false" customHeight="false" outlineLevel="0" collapsed="false">
      <c r="A252" s="0" t="s">
        <v>5277</v>
      </c>
      <c r="B252" s="0" t="s">
        <v>4724</v>
      </c>
      <c r="C252" s="0" t="s">
        <v>251</v>
      </c>
      <c r="D252" s="14" t="n">
        <v>46013</v>
      </c>
      <c r="E252" s="0" t="n">
        <v>1244.94</v>
      </c>
    </row>
    <row r="253" customFormat="false" ht="15" hidden="false" customHeight="false" outlineLevel="0" collapsed="false">
      <c r="A253" s="0" t="s">
        <v>5278</v>
      </c>
      <c r="B253" s="0" t="s">
        <v>4725</v>
      </c>
      <c r="C253" s="0" t="s">
        <v>265</v>
      </c>
      <c r="D253" s="14" t="n">
        <v>45801</v>
      </c>
      <c r="E253" s="0" t="n">
        <v>216.93</v>
      </c>
    </row>
    <row r="254" customFormat="false" ht="15" hidden="false" customHeight="false" outlineLevel="0" collapsed="false">
      <c r="A254" s="0" t="s">
        <v>5279</v>
      </c>
      <c r="B254" s="0" t="s">
        <v>4726</v>
      </c>
      <c r="C254" s="0" t="s">
        <v>224</v>
      </c>
      <c r="D254" s="14" t="n">
        <v>45720</v>
      </c>
      <c r="E254" s="0" t="n">
        <v>547.29</v>
      </c>
    </row>
    <row r="255" customFormat="false" ht="15" hidden="false" customHeight="false" outlineLevel="0" collapsed="false">
      <c r="A255" s="0" t="s">
        <v>5280</v>
      </c>
      <c r="B255" s="0" t="s">
        <v>4727</v>
      </c>
      <c r="C255" s="0" t="s">
        <v>230</v>
      </c>
      <c r="D255" s="14" t="n">
        <v>46074</v>
      </c>
      <c r="E255" s="0" t="n">
        <v>3658.52</v>
      </c>
    </row>
    <row r="256" customFormat="false" ht="15" hidden="false" customHeight="false" outlineLevel="0" collapsed="false">
      <c r="A256" s="0" t="s">
        <v>5281</v>
      </c>
      <c r="B256" s="0" t="s">
        <v>4728</v>
      </c>
      <c r="C256" s="0" t="s">
        <v>230</v>
      </c>
      <c r="D256" s="14" t="n">
        <v>45963</v>
      </c>
      <c r="E256" s="0" t="n">
        <v>721.08</v>
      </c>
    </row>
    <row r="257" customFormat="false" ht="15" hidden="false" customHeight="false" outlineLevel="0" collapsed="false">
      <c r="A257" s="0" t="s">
        <v>5282</v>
      </c>
      <c r="B257" s="0" t="s">
        <v>4729</v>
      </c>
      <c r="C257" s="0" t="s">
        <v>236</v>
      </c>
      <c r="D257" s="14" t="n">
        <v>45873</v>
      </c>
      <c r="E257" s="0" t="n">
        <v>12262.46</v>
      </c>
    </row>
    <row r="258" customFormat="false" ht="15" hidden="false" customHeight="false" outlineLevel="0" collapsed="false">
      <c r="A258" s="0" t="s">
        <v>5283</v>
      </c>
      <c r="B258" s="0" t="s">
        <v>4730</v>
      </c>
      <c r="C258" s="0" t="s">
        <v>236</v>
      </c>
      <c r="D258" s="14" t="n">
        <v>45999</v>
      </c>
      <c r="E258" s="0" t="n">
        <v>8063.35</v>
      </c>
    </row>
    <row r="259" customFormat="false" ht="15" hidden="false" customHeight="false" outlineLevel="0" collapsed="false">
      <c r="A259" s="0" t="s">
        <v>5284</v>
      </c>
      <c r="B259" s="0" t="s">
        <v>4731</v>
      </c>
      <c r="C259" s="0" t="s">
        <v>236</v>
      </c>
      <c r="D259" s="14" t="n">
        <v>45809</v>
      </c>
      <c r="E259" s="0" t="n">
        <v>1103.36</v>
      </c>
    </row>
    <row r="260" customFormat="false" ht="15" hidden="false" customHeight="false" outlineLevel="0" collapsed="false">
      <c r="A260" s="0" t="s">
        <v>5285</v>
      </c>
      <c r="B260" s="0" t="s">
        <v>4732</v>
      </c>
      <c r="C260" s="0" t="s">
        <v>239</v>
      </c>
      <c r="D260" s="14" t="n">
        <v>45800</v>
      </c>
      <c r="E260" s="0" t="n">
        <v>8101.91</v>
      </c>
    </row>
    <row r="261" customFormat="false" ht="15" hidden="false" customHeight="false" outlineLevel="0" collapsed="false">
      <c r="A261" s="0" t="s">
        <v>5286</v>
      </c>
      <c r="B261" s="0" t="s">
        <v>4735</v>
      </c>
      <c r="C261" s="0" t="s">
        <v>265</v>
      </c>
      <c r="D261" s="14" t="n">
        <v>45827</v>
      </c>
      <c r="E261" s="0" t="n">
        <v>1127.3</v>
      </c>
    </row>
    <row r="262" customFormat="false" ht="15" hidden="false" customHeight="false" outlineLevel="0" collapsed="false">
      <c r="A262" s="0" t="s">
        <v>5287</v>
      </c>
      <c r="B262" s="0" t="s">
        <v>4736</v>
      </c>
      <c r="C262" s="0" t="s">
        <v>245</v>
      </c>
      <c r="D262" s="14" t="n">
        <v>46177</v>
      </c>
      <c r="E262" s="0" t="n">
        <v>1175</v>
      </c>
    </row>
    <row r="263" customFormat="false" ht="15" hidden="false" customHeight="false" outlineLevel="0" collapsed="false">
      <c r="A263" s="0" t="s">
        <v>5288</v>
      </c>
      <c r="B263" s="0" t="s">
        <v>4738</v>
      </c>
      <c r="C263" s="0" t="s">
        <v>257</v>
      </c>
      <c r="D263" s="14" t="n">
        <v>45760</v>
      </c>
      <c r="E263" s="0" t="n">
        <v>4613.92</v>
      </c>
    </row>
    <row r="264" customFormat="false" ht="15" hidden="false" customHeight="false" outlineLevel="0" collapsed="false">
      <c r="A264" s="0" t="s">
        <v>5289</v>
      </c>
      <c r="B264" s="0" t="s">
        <v>4739</v>
      </c>
      <c r="C264" s="0" t="s">
        <v>261</v>
      </c>
      <c r="D264" s="14" t="n">
        <v>46123</v>
      </c>
      <c r="E264" s="0" t="n">
        <v>4776.56</v>
      </c>
    </row>
    <row r="265" customFormat="false" ht="15" hidden="false" customHeight="false" outlineLevel="0" collapsed="false">
      <c r="A265" s="0" t="s">
        <v>5290</v>
      </c>
      <c r="B265" s="0" t="s">
        <v>4740</v>
      </c>
      <c r="C265" s="0" t="s">
        <v>220</v>
      </c>
      <c r="D265" s="14" t="n">
        <v>45905</v>
      </c>
      <c r="E265" s="0" t="n">
        <v>2886.24</v>
      </c>
    </row>
    <row r="266" customFormat="false" ht="15" hidden="false" customHeight="false" outlineLevel="0" collapsed="false">
      <c r="A266" s="0" t="s">
        <v>5291</v>
      </c>
      <c r="B266" s="0" t="s">
        <v>4741</v>
      </c>
      <c r="C266" s="0" t="s">
        <v>232</v>
      </c>
      <c r="D266" s="14" t="n">
        <v>46169</v>
      </c>
      <c r="E266" s="0" t="n">
        <v>4848.57</v>
      </c>
    </row>
    <row r="267" customFormat="false" ht="15" hidden="false" customHeight="false" outlineLevel="0" collapsed="false">
      <c r="A267" s="0" t="s">
        <v>5292</v>
      </c>
      <c r="B267" s="0" t="s">
        <v>4742</v>
      </c>
      <c r="C267" s="0" t="s">
        <v>249</v>
      </c>
      <c r="D267" s="14" t="n">
        <v>45903</v>
      </c>
      <c r="E267" s="0" t="n">
        <v>768.29</v>
      </c>
    </row>
    <row r="268" customFormat="false" ht="15" hidden="false" customHeight="false" outlineLevel="0" collapsed="false">
      <c r="A268" s="0" t="s">
        <v>5293</v>
      </c>
      <c r="B268" s="0" t="s">
        <v>4743</v>
      </c>
      <c r="C268" s="0" t="s">
        <v>239</v>
      </c>
      <c r="D268" s="14" t="n">
        <v>45747</v>
      </c>
      <c r="E268" s="0" t="n">
        <v>16273</v>
      </c>
    </row>
    <row r="269" customFormat="false" ht="15" hidden="false" customHeight="false" outlineLevel="0" collapsed="false">
      <c r="A269" s="0" t="s">
        <v>5294</v>
      </c>
      <c r="B269" s="0" t="s">
        <v>4744</v>
      </c>
      <c r="C269" s="0" t="s">
        <v>267</v>
      </c>
      <c r="D269" s="14" t="n">
        <v>46060</v>
      </c>
      <c r="E269" s="0" t="n">
        <v>3638.89</v>
      </c>
    </row>
    <row r="270" customFormat="false" ht="15" hidden="false" customHeight="false" outlineLevel="0" collapsed="false">
      <c r="A270" s="0" t="s">
        <v>5295</v>
      </c>
      <c r="B270" s="0" t="s">
        <v>4745</v>
      </c>
      <c r="C270" s="0" t="s">
        <v>247</v>
      </c>
      <c r="D270" s="14" t="n">
        <v>46160</v>
      </c>
      <c r="E270" s="0" t="n">
        <v>2307.61</v>
      </c>
    </row>
    <row r="271" customFormat="false" ht="15" hidden="false" customHeight="false" outlineLevel="0" collapsed="false">
      <c r="A271" s="0" t="s">
        <v>5296</v>
      </c>
      <c r="B271" s="0" t="s">
        <v>4747</v>
      </c>
      <c r="C271" s="0" t="s">
        <v>230</v>
      </c>
      <c r="D271" s="14" t="n">
        <v>45891</v>
      </c>
      <c r="E271" s="0" t="n">
        <v>1695.13</v>
      </c>
    </row>
    <row r="272" customFormat="false" ht="15" hidden="false" customHeight="false" outlineLevel="0" collapsed="false">
      <c r="A272" s="0" t="s">
        <v>5297</v>
      </c>
      <c r="B272" s="0" t="s">
        <v>4748</v>
      </c>
      <c r="C272" s="0" t="s">
        <v>228</v>
      </c>
      <c r="D272" s="14" t="n">
        <v>45698</v>
      </c>
      <c r="E272" s="0" t="n">
        <v>1823.04</v>
      </c>
    </row>
    <row r="273" customFormat="false" ht="15" hidden="false" customHeight="false" outlineLevel="0" collapsed="false">
      <c r="A273" s="0" t="s">
        <v>5298</v>
      </c>
      <c r="B273" s="0" t="s">
        <v>4749</v>
      </c>
      <c r="C273" s="0" t="s">
        <v>226</v>
      </c>
      <c r="D273" s="14" t="n">
        <v>45962</v>
      </c>
      <c r="E273" s="0" t="n">
        <v>2034.77</v>
      </c>
    </row>
    <row r="274" customFormat="false" ht="15" hidden="false" customHeight="false" outlineLevel="0" collapsed="false">
      <c r="A274" s="0" t="s">
        <v>5299</v>
      </c>
      <c r="B274" s="0" t="s">
        <v>4751</v>
      </c>
      <c r="C274" s="0" t="s">
        <v>239</v>
      </c>
      <c r="D274" s="14" t="n">
        <v>46155</v>
      </c>
      <c r="E274" s="0" t="n">
        <v>10173.75</v>
      </c>
    </row>
    <row r="275" customFormat="false" ht="15" hidden="false" customHeight="false" outlineLevel="0" collapsed="false">
      <c r="A275" s="0" t="s">
        <v>5300</v>
      </c>
      <c r="B275" s="0" t="s">
        <v>4752</v>
      </c>
      <c r="C275" s="0" t="s">
        <v>267</v>
      </c>
      <c r="D275" s="14" t="n">
        <v>46050</v>
      </c>
      <c r="E275" s="0" t="n">
        <v>538.08</v>
      </c>
    </row>
    <row r="276" customFormat="false" ht="15" hidden="false" customHeight="false" outlineLevel="0" collapsed="false">
      <c r="A276" s="0" t="s">
        <v>5301</v>
      </c>
      <c r="B276" s="0" t="s">
        <v>4753</v>
      </c>
      <c r="C276" s="0" t="s">
        <v>230</v>
      </c>
      <c r="D276" s="14" t="n">
        <v>46164</v>
      </c>
      <c r="E276" s="0" t="n">
        <v>1623.58</v>
      </c>
    </row>
    <row r="277" customFormat="false" ht="15" hidden="false" customHeight="false" outlineLevel="0" collapsed="false">
      <c r="A277" s="0" t="s">
        <v>5302</v>
      </c>
      <c r="B277" s="0" t="s">
        <v>4754</v>
      </c>
      <c r="C277" s="0" t="s">
        <v>220</v>
      </c>
      <c r="D277" s="14" t="n">
        <v>46006</v>
      </c>
      <c r="E277" s="0" t="n">
        <v>5404.68</v>
      </c>
    </row>
    <row r="278" customFormat="false" ht="15" hidden="false" customHeight="false" outlineLevel="0" collapsed="false">
      <c r="A278" s="0" t="s">
        <v>5303</v>
      </c>
      <c r="B278" s="0" t="s">
        <v>4755</v>
      </c>
      <c r="C278" s="0" t="s">
        <v>239</v>
      </c>
      <c r="D278" s="14" t="n">
        <v>46113</v>
      </c>
      <c r="E278" s="0" t="n">
        <v>1687.83</v>
      </c>
    </row>
    <row r="279" customFormat="false" ht="15" hidden="false" customHeight="false" outlineLevel="0" collapsed="false">
      <c r="A279" s="0" t="s">
        <v>5304</v>
      </c>
      <c r="B279" s="0" t="s">
        <v>4756</v>
      </c>
      <c r="C279" s="0" t="s">
        <v>211</v>
      </c>
      <c r="D279" s="14" t="n">
        <v>45960</v>
      </c>
      <c r="E279" s="0" t="n">
        <v>4149.56</v>
      </c>
    </row>
    <row r="280" customFormat="false" ht="15" hidden="false" customHeight="false" outlineLevel="0" collapsed="false">
      <c r="A280" s="0" t="s">
        <v>5305</v>
      </c>
      <c r="B280" s="0" t="s">
        <v>4757</v>
      </c>
      <c r="C280" s="0" t="s">
        <v>268</v>
      </c>
      <c r="D280" s="14" t="n">
        <v>45751</v>
      </c>
      <c r="E280" s="0" t="n">
        <v>2864.37</v>
      </c>
    </row>
    <row r="281" customFormat="false" ht="15" hidden="false" customHeight="false" outlineLevel="0" collapsed="false">
      <c r="A281" s="0" t="s">
        <v>5306</v>
      </c>
      <c r="B281" s="0" t="s">
        <v>4758</v>
      </c>
      <c r="C281" s="0" t="s">
        <v>222</v>
      </c>
      <c r="D281" s="14" t="n">
        <v>45787</v>
      </c>
      <c r="E281" s="0" t="n">
        <v>1208.58</v>
      </c>
    </row>
    <row r="282" customFormat="false" ht="15" hidden="false" customHeight="false" outlineLevel="0" collapsed="false">
      <c r="A282" s="0" t="s">
        <v>5307</v>
      </c>
      <c r="B282" s="0" t="s">
        <v>4759</v>
      </c>
      <c r="C282" s="0" t="s">
        <v>208</v>
      </c>
      <c r="D282" s="14" t="n">
        <v>45752</v>
      </c>
      <c r="E282" s="0" t="n">
        <v>1137.04</v>
      </c>
    </row>
    <row r="283" customFormat="false" ht="15" hidden="false" customHeight="false" outlineLevel="0" collapsed="false">
      <c r="A283" s="0" t="s">
        <v>5308</v>
      </c>
      <c r="B283" s="0" t="s">
        <v>4760</v>
      </c>
      <c r="C283" s="0" t="s">
        <v>247</v>
      </c>
      <c r="D283" s="14" t="n">
        <v>46115</v>
      </c>
      <c r="E283" s="0" t="n">
        <v>415.79</v>
      </c>
    </row>
    <row r="284" customFormat="false" ht="15" hidden="false" customHeight="false" outlineLevel="0" collapsed="false">
      <c r="A284" s="0" t="s">
        <v>5309</v>
      </c>
      <c r="B284" s="0" t="s">
        <v>4761</v>
      </c>
      <c r="C284" s="0" t="s">
        <v>263</v>
      </c>
      <c r="D284" s="14" t="n">
        <v>45700</v>
      </c>
      <c r="E284" s="0" t="n">
        <v>8529.42</v>
      </c>
    </row>
    <row r="285" customFormat="false" ht="15" hidden="false" customHeight="false" outlineLevel="0" collapsed="false">
      <c r="A285" s="0" t="s">
        <v>5310</v>
      </c>
      <c r="B285" s="0" t="s">
        <v>4762</v>
      </c>
      <c r="C285" s="0" t="s">
        <v>259</v>
      </c>
      <c r="D285" s="14" t="n">
        <v>45992</v>
      </c>
      <c r="E285" s="0" t="n">
        <v>2378.01</v>
      </c>
    </row>
    <row r="286" customFormat="false" ht="15" hidden="false" customHeight="false" outlineLevel="0" collapsed="false">
      <c r="A286" s="0" t="s">
        <v>5311</v>
      </c>
      <c r="B286" s="0" t="s">
        <v>4763</v>
      </c>
      <c r="C286" s="0" t="s">
        <v>236</v>
      </c>
      <c r="D286" s="14" t="n">
        <v>45874</v>
      </c>
      <c r="E286" s="0" t="n">
        <v>4975.5</v>
      </c>
    </row>
    <row r="287" customFormat="false" ht="15" hidden="false" customHeight="false" outlineLevel="0" collapsed="false">
      <c r="A287" s="0" t="s">
        <v>5312</v>
      </c>
      <c r="B287" s="0" t="s">
        <v>4764</v>
      </c>
      <c r="C287" s="0" t="s">
        <v>214</v>
      </c>
      <c r="D287" s="14" t="n">
        <v>46109</v>
      </c>
      <c r="E287" s="0" t="n">
        <v>713.57</v>
      </c>
    </row>
    <row r="288" customFormat="false" ht="15" hidden="false" customHeight="false" outlineLevel="0" collapsed="false">
      <c r="A288" s="0" t="s">
        <v>5313</v>
      </c>
      <c r="B288" s="0" t="s">
        <v>4765</v>
      </c>
      <c r="C288" s="0" t="s">
        <v>245</v>
      </c>
      <c r="D288" s="14" t="n">
        <v>45984</v>
      </c>
      <c r="E288" s="0" t="n">
        <v>3180.99</v>
      </c>
    </row>
    <row r="289" customFormat="false" ht="15" hidden="false" customHeight="false" outlineLevel="0" collapsed="false">
      <c r="A289" s="0" t="s">
        <v>5314</v>
      </c>
      <c r="B289" s="0" t="s">
        <v>4766</v>
      </c>
      <c r="C289" s="0" t="s">
        <v>261</v>
      </c>
      <c r="D289" s="14" t="n">
        <v>46002</v>
      </c>
      <c r="E289" s="0" t="n">
        <v>2689.98</v>
      </c>
    </row>
    <row r="290" customFormat="false" ht="15" hidden="false" customHeight="false" outlineLevel="0" collapsed="false">
      <c r="A290" s="0" t="s">
        <v>5315</v>
      </c>
      <c r="B290" s="0" t="s">
        <v>4767</v>
      </c>
      <c r="C290" s="0" t="s">
        <v>220</v>
      </c>
      <c r="D290" s="14" t="n">
        <v>45734</v>
      </c>
      <c r="E290" s="0" t="n">
        <v>216.98</v>
      </c>
    </row>
    <row r="291" customFormat="false" ht="15" hidden="false" customHeight="false" outlineLevel="0" collapsed="false">
      <c r="A291" s="0" t="s">
        <v>5316</v>
      </c>
      <c r="B291" s="0" t="s">
        <v>4770</v>
      </c>
      <c r="C291" s="0" t="s">
        <v>259</v>
      </c>
      <c r="D291" s="14" t="n">
        <v>46067</v>
      </c>
      <c r="E291" s="0" t="n">
        <v>9614.09</v>
      </c>
    </row>
    <row r="292" customFormat="false" ht="15" hidden="false" customHeight="false" outlineLevel="0" collapsed="false">
      <c r="A292" s="0" t="s">
        <v>5317</v>
      </c>
      <c r="B292" s="0" t="s">
        <v>4772</v>
      </c>
      <c r="C292" s="0" t="s">
        <v>208</v>
      </c>
      <c r="D292" s="14" t="n">
        <v>46104</v>
      </c>
      <c r="E292" s="0" t="n">
        <v>4735.08</v>
      </c>
    </row>
    <row r="293" customFormat="false" ht="15" hidden="false" customHeight="false" outlineLevel="0" collapsed="false">
      <c r="A293" s="0" t="s">
        <v>5318</v>
      </c>
      <c r="B293" s="0" t="s">
        <v>4773</v>
      </c>
      <c r="C293" s="0" t="s">
        <v>208</v>
      </c>
      <c r="D293" s="14" t="n">
        <v>46136</v>
      </c>
      <c r="E293" s="0" t="n">
        <v>1845.14</v>
      </c>
    </row>
    <row r="294" customFormat="false" ht="15" hidden="false" customHeight="false" outlineLevel="0" collapsed="false">
      <c r="A294" s="0" t="s">
        <v>5319</v>
      </c>
      <c r="B294" s="0" t="s">
        <v>4776</v>
      </c>
      <c r="C294" s="0" t="s">
        <v>249</v>
      </c>
      <c r="D294" s="14" t="n">
        <v>46026</v>
      </c>
      <c r="E294" s="0" t="n">
        <v>1697.2</v>
      </c>
    </row>
    <row r="295" customFormat="false" ht="15" hidden="false" customHeight="false" outlineLevel="0" collapsed="false">
      <c r="A295" s="0" t="s">
        <v>5320</v>
      </c>
      <c r="B295" s="0" t="s">
        <v>4777</v>
      </c>
      <c r="C295" s="0" t="s">
        <v>214</v>
      </c>
      <c r="D295" s="14" t="n">
        <v>45904</v>
      </c>
      <c r="E295" s="0" t="n">
        <v>2489.37</v>
      </c>
    </row>
    <row r="296" customFormat="false" ht="15" hidden="false" customHeight="false" outlineLevel="0" collapsed="false">
      <c r="A296" s="0" t="s">
        <v>5321</v>
      </c>
      <c r="B296" s="0" t="s">
        <v>4778</v>
      </c>
      <c r="C296" s="0" t="s">
        <v>228</v>
      </c>
      <c r="D296" s="14" t="n">
        <v>46046</v>
      </c>
      <c r="E296" s="0" t="n">
        <v>4439.5</v>
      </c>
    </row>
    <row r="297" customFormat="false" ht="15" hidden="false" customHeight="false" outlineLevel="0" collapsed="false">
      <c r="A297" s="0" t="s">
        <v>5322</v>
      </c>
      <c r="B297" s="0" t="s">
        <v>4779</v>
      </c>
      <c r="C297" s="0" t="s">
        <v>249</v>
      </c>
      <c r="D297" s="14" t="n">
        <v>45846</v>
      </c>
      <c r="E297" s="0" t="n">
        <v>1233.51</v>
      </c>
    </row>
    <row r="298" customFormat="false" ht="15" hidden="false" customHeight="false" outlineLevel="0" collapsed="false">
      <c r="A298" s="0" t="s">
        <v>5323</v>
      </c>
      <c r="B298" s="0" t="s">
        <v>4780</v>
      </c>
      <c r="C298" s="0" t="s">
        <v>270</v>
      </c>
      <c r="D298" s="14" t="n">
        <v>46152</v>
      </c>
      <c r="E298" s="0" t="n">
        <v>552.39</v>
      </c>
    </row>
    <row r="299" customFormat="false" ht="15" hidden="false" customHeight="false" outlineLevel="0" collapsed="false">
      <c r="A299" s="0" t="s">
        <v>5324</v>
      </c>
      <c r="B299" s="0" t="s">
        <v>4781</v>
      </c>
      <c r="C299" s="0" t="s">
        <v>222</v>
      </c>
      <c r="D299" s="14" t="n">
        <v>46101</v>
      </c>
      <c r="E299" s="0" t="n">
        <v>3307.35</v>
      </c>
    </row>
    <row r="300" customFormat="false" ht="15" hidden="false" customHeight="false" outlineLevel="0" collapsed="false">
      <c r="A300" s="0" t="s">
        <v>5325</v>
      </c>
      <c r="B300" s="0" t="s">
        <v>4783</v>
      </c>
      <c r="C300" s="0" t="s">
        <v>249</v>
      </c>
      <c r="D300" s="14" t="n">
        <v>45758</v>
      </c>
      <c r="E300" s="0" t="n">
        <v>7273.52</v>
      </c>
    </row>
    <row r="301" customFormat="false" ht="15" hidden="false" customHeight="false" outlineLevel="0" collapsed="false">
      <c r="A301" s="0" t="s">
        <v>5326</v>
      </c>
      <c r="B301" s="0" t="s">
        <v>4784</v>
      </c>
      <c r="C301" s="0" t="s">
        <v>224</v>
      </c>
      <c r="D301" s="14" t="n">
        <v>46185</v>
      </c>
      <c r="E301" s="0" t="n">
        <v>263.38</v>
      </c>
    </row>
    <row r="302" customFormat="false" ht="15" hidden="false" customHeight="false" outlineLevel="0" collapsed="false">
      <c r="A302" s="0" t="s">
        <v>5327</v>
      </c>
      <c r="B302" s="0" t="s">
        <v>4785</v>
      </c>
      <c r="C302" s="0" t="s">
        <v>214</v>
      </c>
      <c r="D302" s="14" t="n">
        <v>45929</v>
      </c>
      <c r="E302" s="0" t="n">
        <v>1094.43</v>
      </c>
    </row>
    <row r="303" customFormat="false" ht="15" hidden="false" customHeight="false" outlineLevel="0" collapsed="false">
      <c r="A303" s="0" t="s">
        <v>5328</v>
      </c>
      <c r="B303" s="0" t="s">
        <v>4786</v>
      </c>
      <c r="C303" s="0" t="s">
        <v>261</v>
      </c>
      <c r="D303" s="14" t="n">
        <v>46155</v>
      </c>
      <c r="E303" s="0" t="n">
        <v>4195.73</v>
      </c>
    </row>
    <row r="304" customFormat="false" ht="15" hidden="false" customHeight="false" outlineLevel="0" collapsed="false">
      <c r="A304" s="0" t="s">
        <v>5329</v>
      </c>
      <c r="B304" s="0" t="s">
        <v>4788</v>
      </c>
      <c r="C304" s="0" t="s">
        <v>226</v>
      </c>
      <c r="D304" s="14" t="n">
        <v>45747</v>
      </c>
      <c r="E304" s="0" t="n">
        <v>651.54</v>
      </c>
    </row>
    <row r="305" customFormat="false" ht="15" hidden="false" customHeight="false" outlineLevel="0" collapsed="false">
      <c r="A305" s="0" t="s">
        <v>5330</v>
      </c>
      <c r="B305" s="0" t="s">
        <v>4790</v>
      </c>
      <c r="C305" s="0" t="s">
        <v>251</v>
      </c>
      <c r="D305" s="14" t="n">
        <v>45782</v>
      </c>
      <c r="E305" s="0" t="n">
        <v>3935.82</v>
      </c>
    </row>
    <row r="306" customFormat="false" ht="15" hidden="false" customHeight="false" outlineLevel="0" collapsed="false">
      <c r="A306" s="0" t="s">
        <v>5331</v>
      </c>
      <c r="B306" s="0" t="s">
        <v>4791</v>
      </c>
      <c r="C306" s="0" t="s">
        <v>226</v>
      </c>
      <c r="D306" s="14" t="n">
        <v>45859</v>
      </c>
      <c r="E306" s="0" t="n">
        <v>2514.47</v>
      </c>
    </row>
    <row r="307" customFormat="false" ht="15" hidden="false" customHeight="false" outlineLevel="0" collapsed="false">
      <c r="A307" s="0" t="s">
        <v>5332</v>
      </c>
      <c r="B307" s="0" t="s">
        <v>4792</v>
      </c>
      <c r="C307" s="0" t="s">
        <v>228</v>
      </c>
      <c r="D307" s="14" t="n">
        <v>46080</v>
      </c>
      <c r="E307" s="0" t="n">
        <v>6810.57</v>
      </c>
    </row>
    <row r="308" customFormat="false" ht="15" hidden="false" customHeight="false" outlineLevel="0" collapsed="false">
      <c r="A308" s="0" t="s">
        <v>5333</v>
      </c>
      <c r="B308" s="0" t="s">
        <v>4793</v>
      </c>
      <c r="C308" s="0" t="s">
        <v>251</v>
      </c>
      <c r="D308" s="14" t="n">
        <v>45857</v>
      </c>
      <c r="E308" s="0" t="n">
        <v>832.81</v>
      </c>
    </row>
    <row r="309" customFormat="false" ht="15" hidden="false" customHeight="false" outlineLevel="0" collapsed="false">
      <c r="A309" s="0" t="s">
        <v>5334</v>
      </c>
      <c r="B309" s="0" t="s">
        <v>4795</v>
      </c>
      <c r="C309" s="0" t="s">
        <v>230</v>
      </c>
      <c r="D309" s="14" t="n">
        <v>46151</v>
      </c>
      <c r="E309" s="0" t="n">
        <v>7158.33</v>
      </c>
    </row>
    <row r="310" customFormat="false" ht="15" hidden="false" customHeight="false" outlineLevel="0" collapsed="false">
      <c r="A310" s="0" t="s">
        <v>5335</v>
      </c>
      <c r="B310" s="0" t="s">
        <v>4797</v>
      </c>
      <c r="C310" s="0" t="s">
        <v>234</v>
      </c>
      <c r="D310" s="14" t="n">
        <v>45815</v>
      </c>
      <c r="E310" s="0" t="n">
        <v>2035.16</v>
      </c>
    </row>
    <row r="311" customFormat="false" ht="15" hidden="false" customHeight="false" outlineLevel="0" collapsed="false">
      <c r="A311" s="0" t="s">
        <v>5336</v>
      </c>
      <c r="B311" s="0" t="s">
        <v>4798</v>
      </c>
      <c r="C311" s="0" t="s">
        <v>243</v>
      </c>
      <c r="D311" s="14" t="n">
        <v>46016</v>
      </c>
      <c r="E311" s="0" t="n">
        <v>200.01</v>
      </c>
    </row>
    <row r="312" customFormat="false" ht="15" hidden="false" customHeight="false" outlineLevel="0" collapsed="false">
      <c r="A312" s="0" t="s">
        <v>5337</v>
      </c>
      <c r="B312" s="0" t="s">
        <v>4799</v>
      </c>
      <c r="C312" s="0" t="s">
        <v>270</v>
      </c>
      <c r="D312" s="14" t="n">
        <v>45959</v>
      </c>
      <c r="E312" s="0" t="n">
        <v>3178.96</v>
      </c>
    </row>
    <row r="313" customFormat="false" ht="15" hidden="false" customHeight="false" outlineLevel="0" collapsed="false">
      <c r="A313" s="0" t="s">
        <v>5338</v>
      </c>
      <c r="B313" s="0" t="s">
        <v>4800</v>
      </c>
      <c r="C313" s="0" t="s">
        <v>255</v>
      </c>
      <c r="D313" s="14" t="n">
        <v>45755</v>
      </c>
      <c r="E313" s="0" t="n">
        <v>758.25</v>
      </c>
    </row>
    <row r="314" customFormat="false" ht="15" hidden="false" customHeight="false" outlineLevel="0" collapsed="false">
      <c r="A314" s="0" t="s">
        <v>5339</v>
      </c>
      <c r="B314" s="0" t="s">
        <v>4801</v>
      </c>
      <c r="C314" s="0" t="s">
        <v>245</v>
      </c>
      <c r="D314" s="14" t="n">
        <v>45830</v>
      </c>
      <c r="E314" s="0" t="n">
        <v>221.8</v>
      </c>
    </row>
    <row r="315" customFormat="false" ht="15" hidden="false" customHeight="false" outlineLevel="0" collapsed="false">
      <c r="A315" s="0" t="s">
        <v>5340</v>
      </c>
      <c r="B315" s="0" t="s">
        <v>4802</v>
      </c>
      <c r="C315" s="0" t="s">
        <v>268</v>
      </c>
      <c r="D315" s="14" t="n">
        <v>45949</v>
      </c>
      <c r="E315" s="0" t="n">
        <v>5256.82</v>
      </c>
    </row>
    <row r="316" customFormat="false" ht="15" hidden="false" customHeight="false" outlineLevel="0" collapsed="false">
      <c r="A316" s="0" t="s">
        <v>5341</v>
      </c>
      <c r="B316" s="0" t="s">
        <v>4803</v>
      </c>
      <c r="C316" s="0" t="s">
        <v>232</v>
      </c>
      <c r="D316" s="14" t="n">
        <v>45969</v>
      </c>
      <c r="E316" s="0" t="n">
        <v>1450.9</v>
      </c>
    </row>
    <row r="317" customFormat="false" ht="15" hidden="false" customHeight="false" outlineLevel="0" collapsed="false">
      <c r="A317" s="0" t="s">
        <v>5342</v>
      </c>
      <c r="B317" s="0" t="s">
        <v>4804</v>
      </c>
      <c r="C317" s="0" t="s">
        <v>234</v>
      </c>
      <c r="D317" s="14" t="n">
        <v>45774</v>
      </c>
      <c r="E317" s="0" t="n">
        <v>490.44</v>
      </c>
    </row>
    <row r="318" customFormat="false" ht="15" hidden="false" customHeight="false" outlineLevel="0" collapsed="false">
      <c r="A318" s="0" t="s">
        <v>5343</v>
      </c>
      <c r="B318" s="0" t="s">
        <v>4805</v>
      </c>
      <c r="C318" s="0" t="s">
        <v>247</v>
      </c>
      <c r="D318" s="14" t="n">
        <v>46203</v>
      </c>
      <c r="E318" s="0" t="n">
        <v>4069.65</v>
      </c>
    </row>
    <row r="319" customFormat="false" ht="15" hidden="false" customHeight="false" outlineLevel="0" collapsed="false">
      <c r="A319" s="0" t="s">
        <v>5344</v>
      </c>
      <c r="B319" s="0" t="s">
        <v>4806</v>
      </c>
      <c r="C319" s="0" t="s">
        <v>220</v>
      </c>
      <c r="D319" s="14" t="n">
        <v>45770</v>
      </c>
      <c r="E319" s="0" t="n">
        <v>2567.44</v>
      </c>
    </row>
    <row r="320" customFormat="false" ht="15" hidden="false" customHeight="false" outlineLevel="0" collapsed="false">
      <c r="A320" s="0" t="s">
        <v>5345</v>
      </c>
      <c r="B320" s="0" t="s">
        <v>4808</v>
      </c>
      <c r="C320" s="0" t="s">
        <v>251</v>
      </c>
      <c r="D320" s="14" t="n">
        <v>46087</v>
      </c>
      <c r="E320" s="0" t="n">
        <v>898.57</v>
      </c>
    </row>
    <row r="321" customFormat="false" ht="15" hidden="false" customHeight="false" outlineLevel="0" collapsed="false">
      <c r="A321" s="0" t="s">
        <v>5346</v>
      </c>
      <c r="B321" s="0" t="s">
        <v>4809</v>
      </c>
      <c r="C321" s="0" t="s">
        <v>232</v>
      </c>
      <c r="D321" s="14" t="n">
        <v>45988</v>
      </c>
      <c r="E321" s="0" t="n">
        <v>4802.36</v>
      </c>
    </row>
    <row r="322" customFormat="false" ht="15" hidden="false" customHeight="false" outlineLevel="0" collapsed="false">
      <c r="A322" s="0" t="s">
        <v>5347</v>
      </c>
      <c r="B322" s="0" t="s">
        <v>4810</v>
      </c>
      <c r="C322" s="0" t="s">
        <v>220</v>
      </c>
      <c r="D322" s="14" t="n">
        <v>46144</v>
      </c>
      <c r="E322" s="0" t="n">
        <v>14391.87</v>
      </c>
    </row>
    <row r="323" customFormat="false" ht="15" hidden="false" customHeight="false" outlineLevel="0" collapsed="false">
      <c r="A323" s="0" t="s">
        <v>5348</v>
      </c>
      <c r="B323" s="0" t="s">
        <v>4811</v>
      </c>
      <c r="C323" s="0" t="s">
        <v>249</v>
      </c>
      <c r="D323" s="14" t="n">
        <v>45977</v>
      </c>
      <c r="E323" s="0" t="n">
        <v>1054.66</v>
      </c>
    </row>
    <row r="324" customFormat="false" ht="15" hidden="false" customHeight="false" outlineLevel="0" collapsed="false">
      <c r="A324" s="0" t="s">
        <v>5349</v>
      </c>
      <c r="B324" s="0" t="s">
        <v>4812</v>
      </c>
      <c r="C324" s="0" t="s">
        <v>270</v>
      </c>
      <c r="D324" s="14" t="n">
        <v>46130</v>
      </c>
      <c r="E324" s="0" t="n">
        <v>2334.44</v>
      </c>
    </row>
    <row r="325" customFormat="false" ht="15" hidden="false" customHeight="false" outlineLevel="0" collapsed="false">
      <c r="A325" s="0" t="s">
        <v>5350</v>
      </c>
      <c r="B325" s="0" t="s">
        <v>4813</v>
      </c>
      <c r="C325" s="0" t="s">
        <v>257</v>
      </c>
      <c r="D325" s="14" t="n">
        <v>45706</v>
      </c>
      <c r="E325" s="0" t="n">
        <v>1068.52</v>
      </c>
    </row>
    <row r="326" customFormat="false" ht="15" hidden="false" customHeight="false" outlineLevel="0" collapsed="false">
      <c r="A326" s="0" t="s">
        <v>5351</v>
      </c>
      <c r="B326" s="0" t="s">
        <v>4814</v>
      </c>
      <c r="C326" s="0" t="s">
        <v>228</v>
      </c>
      <c r="D326" s="14" t="n">
        <v>45709</v>
      </c>
      <c r="E326" s="0" t="n">
        <v>4621.31</v>
      </c>
    </row>
    <row r="327" customFormat="false" ht="15" hidden="false" customHeight="false" outlineLevel="0" collapsed="false">
      <c r="A327" s="0" t="s">
        <v>5352</v>
      </c>
      <c r="B327" s="0" t="s">
        <v>4815</v>
      </c>
      <c r="C327" s="0" t="s">
        <v>257</v>
      </c>
      <c r="D327" s="14" t="n">
        <v>46042</v>
      </c>
      <c r="E327" s="0" t="n">
        <v>18174.41</v>
      </c>
    </row>
    <row r="328" customFormat="false" ht="15" hidden="false" customHeight="false" outlineLevel="0" collapsed="false">
      <c r="A328" s="0" t="s">
        <v>5353</v>
      </c>
      <c r="B328" s="0" t="s">
        <v>4816</v>
      </c>
      <c r="C328" s="0" t="s">
        <v>268</v>
      </c>
      <c r="D328" s="14" t="n">
        <v>45977</v>
      </c>
      <c r="E328" s="0" t="n">
        <v>1281.1</v>
      </c>
    </row>
    <row r="329" customFormat="false" ht="15" hidden="false" customHeight="false" outlineLevel="0" collapsed="false">
      <c r="A329" s="0" t="s">
        <v>5354</v>
      </c>
      <c r="B329" s="0" t="s">
        <v>4817</v>
      </c>
      <c r="C329" s="0" t="s">
        <v>214</v>
      </c>
      <c r="D329" s="14" t="n">
        <v>46014</v>
      </c>
      <c r="E329" s="0" t="n">
        <v>905.72</v>
      </c>
    </row>
    <row r="330" customFormat="false" ht="15" hidden="false" customHeight="false" outlineLevel="0" collapsed="false">
      <c r="A330" s="0" t="s">
        <v>5355</v>
      </c>
      <c r="B330" s="0" t="s">
        <v>4818</v>
      </c>
      <c r="C330" s="0" t="s">
        <v>267</v>
      </c>
      <c r="D330" s="14" t="n">
        <v>46106</v>
      </c>
      <c r="E330" s="0" t="n">
        <v>1535.87</v>
      </c>
    </row>
    <row r="331" customFormat="false" ht="15" hidden="false" customHeight="false" outlineLevel="0" collapsed="false">
      <c r="A331" s="0" t="s">
        <v>5356</v>
      </c>
      <c r="B331" s="0" t="s">
        <v>4819</v>
      </c>
      <c r="C331" s="0" t="s">
        <v>253</v>
      </c>
      <c r="D331" s="14" t="n">
        <v>45895</v>
      </c>
      <c r="E331" s="0" t="n">
        <v>697.9</v>
      </c>
    </row>
    <row r="332" customFormat="false" ht="15" hidden="false" customHeight="false" outlineLevel="0" collapsed="false">
      <c r="A332" s="0" t="s">
        <v>5357</v>
      </c>
      <c r="B332" s="0" t="s">
        <v>4820</v>
      </c>
      <c r="C332" s="0" t="s">
        <v>261</v>
      </c>
      <c r="D332" s="14" t="n">
        <v>46008</v>
      </c>
      <c r="E332" s="0" t="n">
        <v>946.3</v>
      </c>
    </row>
    <row r="333" customFormat="false" ht="15" hidden="false" customHeight="false" outlineLevel="0" collapsed="false">
      <c r="A333" s="0" t="s">
        <v>5358</v>
      </c>
      <c r="B333" s="0" t="s">
        <v>4822</v>
      </c>
      <c r="C333" s="0" t="s">
        <v>214</v>
      </c>
      <c r="D333" s="14" t="n">
        <v>46000</v>
      </c>
      <c r="E333" s="0" t="n">
        <v>4247.8</v>
      </c>
    </row>
    <row r="334" customFormat="false" ht="15" hidden="false" customHeight="false" outlineLevel="0" collapsed="false">
      <c r="A334" s="0" t="s">
        <v>5359</v>
      </c>
      <c r="B334" s="0" t="s">
        <v>4823</v>
      </c>
      <c r="C334" s="0" t="s">
        <v>228</v>
      </c>
      <c r="D334" s="14" t="n">
        <v>45847</v>
      </c>
      <c r="E334" s="0" t="n">
        <v>997.52</v>
      </c>
    </row>
    <row r="335" customFormat="false" ht="15" hidden="false" customHeight="false" outlineLevel="0" collapsed="false">
      <c r="A335" s="0" t="s">
        <v>5360</v>
      </c>
      <c r="B335" s="0" t="s">
        <v>4824</v>
      </c>
      <c r="C335" s="0" t="s">
        <v>230</v>
      </c>
      <c r="D335" s="14" t="n">
        <v>46180</v>
      </c>
      <c r="E335" s="0" t="n">
        <v>10413.39</v>
      </c>
    </row>
    <row r="336" customFormat="false" ht="15" hidden="false" customHeight="false" outlineLevel="0" collapsed="false">
      <c r="A336" s="0" t="s">
        <v>5361</v>
      </c>
      <c r="B336" s="0" t="s">
        <v>4825</v>
      </c>
      <c r="C336" s="0" t="s">
        <v>228</v>
      </c>
      <c r="D336" s="14" t="n">
        <v>45926</v>
      </c>
      <c r="E336" s="0" t="n">
        <v>943.11</v>
      </c>
    </row>
    <row r="337" customFormat="false" ht="15" hidden="false" customHeight="false" outlineLevel="0" collapsed="false">
      <c r="A337" s="0" t="s">
        <v>5362</v>
      </c>
      <c r="B337" s="0" t="s">
        <v>4826</v>
      </c>
      <c r="C337" s="0" t="s">
        <v>259</v>
      </c>
      <c r="D337" s="14" t="n">
        <v>46097</v>
      </c>
      <c r="E337" s="0" t="n">
        <v>5069.23</v>
      </c>
    </row>
    <row r="338" customFormat="false" ht="15" hidden="false" customHeight="false" outlineLevel="0" collapsed="false">
      <c r="A338" s="0" t="s">
        <v>5363</v>
      </c>
      <c r="B338" s="0" t="s">
        <v>4829</v>
      </c>
      <c r="C338" s="0" t="s">
        <v>259</v>
      </c>
      <c r="D338" s="14" t="n">
        <v>45735</v>
      </c>
      <c r="E338" s="0" t="n">
        <v>4698.15</v>
      </c>
    </row>
    <row r="339" customFormat="false" ht="15" hidden="false" customHeight="false" outlineLevel="0" collapsed="false">
      <c r="A339" s="0" t="s">
        <v>5364</v>
      </c>
      <c r="B339" s="0" t="s">
        <v>4830</v>
      </c>
      <c r="C339" s="0" t="s">
        <v>222</v>
      </c>
      <c r="D339" s="14" t="n">
        <v>45697</v>
      </c>
      <c r="E339" s="0" t="n">
        <v>3813</v>
      </c>
    </row>
    <row r="340" customFormat="false" ht="15" hidden="false" customHeight="false" outlineLevel="0" collapsed="false">
      <c r="A340" s="0" t="s">
        <v>5365</v>
      </c>
      <c r="B340" s="0" t="s">
        <v>4831</v>
      </c>
      <c r="C340" s="0" t="s">
        <v>214</v>
      </c>
      <c r="D340" s="14" t="n">
        <v>45910</v>
      </c>
      <c r="E340" s="0" t="n">
        <v>99.46</v>
      </c>
    </row>
    <row r="341" customFormat="false" ht="15" hidden="false" customHeight="false" outlineLevel="0" collapsed="false">
      <c r="A341" s="0" t="s">
        <v>5366</v>
      </c>
      <c r="B341" s="0" t="s">
        <v>4832</v>
      </c>
      <c r="C341" s="0" t="s">
        <v>270</v>
      </c>
      <c r="D341" s="14" t="n">
        <v>45934</v>
      </c>
      <c r="E341" s="0" t="n">
        <v>3810.71</v>
      </c>
    </row>
    <row r="342" customFormat="false" ht="15" hidden="false" customHeight="false" outlineLevel="0" collapsed="false">
      <c r="A342" s="0" t="s">
        <v>5367</v>
      </c>
      <c r="B342" s="0" t="s">
        <v>4833</v>
      </c>
      <c r="C342" s="0" t="s">
        <v>228</v>
      </c>
      <c r="D342" s="14" t="n">
        <v>45772</v>
      </c>
      <c r="E342" s="0" t="n">
        <v>565.3</v>
      </c>
    </row>
    <row r="343" customFormat="false" ht="15" hidden="false" customHeight="false" outlineLevel="0" collapsed="false">
      <c r="A343" s="0" t="s">
        <v>5368</v>
      </c>
      <c r="B343" s="0" t="s">
        <v>4834</v>
      </c>
      <c r="C343" s="0" t="s">
        <v>232</v>
      </c>
      <c r="D343" s="14" t="n">
        <v>46009</v>
      </c>
      <c r="E343" s="0" t="n">
        <v>2273.13</v>
      </c>
    </row>
    <row r="344" customFormat="false" ht="15" hidden="false" customHeight="false" outlineLevel="0" collapsed="false">
      <c r="A344" s="0" t="s">
        <v>5369</v>
      </c>
      <c r="B344" s="0" t="s">
        <v>4835</v>
      </c>
      <c r="C344" s="0" t="s">
        <v>270</v>
      </c>
      <c r="D344" s="14" t="n">
        <v>45835</v>
      </c>
      <c r="E344" s="0" t="n">
        <v>4159.74</v>
      </c>
    </row>
    <row r="345" customFormat="false" ht="15" hidden="false" customHeight="false" outlineLevel="0" collapsed="false">
      <c r="A345" s="0" t="s">
        <v>5370</v>
      </c>
      <c r="B345" s="0" t="s">
        <v>4836</v>
      </c>
      <c r="C345" s="0" t="s">
        <v>245</v>
      </c>
      <c r="D345" s="14" t="n">
        <v>46056</v>
      </c>
      <c r="E345" s="0" t="n">
        <v>2037.81</v>
      </c>
    </row>
    <row r="346" customFormat="false" ht="15" hidden="false" customHeight="false" outlineLevel="0" collapsed="false">
      <c r="A346" s="0" t="s">
        <v>5371</v>
      </c>
      <c r="B346" s="0" t="s">
        <v>4837</v>
      </c>
      <c r="C346" s="0" t="s">
        <v>261</v>
      </c>
      <c r="D346" s="14" t="n">
        <v>46071</v>
      </c>
      <c r="E346" s="0" t="n">
        <v>3025</v>
      </c>
    </row>
    <row r="347" customFormat="false" ht="15" hidden="false" customHeight="false" outlineLevel="0" collapsed="false">
      <c r="A347" s="0" t="s">
        <v>5372</v>
      </c>
      <c r="B347" s="0" t="s">
        <v>4838</v>
      </c>
      <c r="C347" s="0" t="s">
        <v>228</v>
      </c>
      <c r="D347" s="14" t="n">
        <v>46150</v>
      </c>
      <c r="E347" s="0" t="n">
        <v>5874.07</v>
      </c>
    </row>
    <row r="348" customFormat="false" ht="15" hidden="false" customHeight="false" outlineLevel="0" collapsed="false">
      <c r="A348" s="0" t="s">
        <v>5373</v>
      </c>
      <c r="B348" s="0" t="s">
        <v>4840</v>
      </c>
      <c r="C348" s="0" t="s">
        <v>234</v>
      </c>
      <c r="D348" s="14" t="n">
        <v>45747</v>
      </c>
      <c r="E348" s="0" t="n">
        <v>2423.09</v>
      </c>
    </row>
    <row r="349" customFormat="false" ht="15" hidden="false" customHeight="false" outlineLevel="0" collapsed="false">
      <c r="A349" s="0" t="s">
        <v>5374</v>
      </c>
      <c r="B349" s="0" t="s">
        <v>4841</v>
      </c>
      <c r="C349" s="0" t="s">
        <v>253</v>
      </c>
      <c r="D349" s="14" t="n">
        <v>45895</v>
      </c>
      <c r="E349" s="0" t="n">
        <v>9976.58</v>
      </c>
    </row>
    <row r="350" customFormat="false" ht="15" hidden="false" customHeight="false" outlineLevel="0" collapsed="false">
      <c r="A350" s="0" t="s">
        <v>5375</v>
      </c>
      <c r="B350" s="0" t="s">
        <v>4842</v>
      </c>
      <c r="C350" s="0" t="s">
        <v>245</v>
      </c>
      <c r="D350" s="14" t="n">
        <v>45999</v>
      </c>
      <c r="E350" s="0" t="n">
        <v>14623.85</v>
      </c>
    </row>
    <row r="351" customFormat="false" ht="15" hidden="false" customHeight="false" outlineLevel="0" collapsed="false">
      <c r="A351" s="0" t="s">
        <v>5376</v>
      </c>
      <c r="B351" s="0" t="s">
        <v>4843</v>
      </c>
      <c r="C351" s="0" t="s">
        <v>265</v>
      </c>
      <c r="D351" s="14" t="n">
        <v>45836</v>
      </c>
      <c r="E351" s="0" t="n">
        <v>612.53</v>
      </c>
    </row>
    <row r="352" customFormat="false" ht="15" hidden="false" customHeight="false" outlineLevel="0" collapsed="false">
      <c r="A352" s="0" t="s">
        <v>5377</v>
      </c>
      <c r="B352" s="0" t="s">
        <v>4844</v>
      </c>
      <c r="C352" s="0" t="s">
        <v>259</v>
      </c>
      <c r="D352" s="14" t="n">
        <v>45944</v>
      </c>
      <c r="E352" s="0" t="n">
        <v>3336.09</v>
      </c>
    </row>
    <row r="353" customFormat="false" ht="15" hidden="false" customHeight="false" outlineLevel="0" collapsed="false">
      <c r="A353" s="0" t="s">
        <v>5378</v>
      </c>
      <c r="B353" s="0" t="s">
        <v>4845</v>
      </c>
      <c r="C353" s="0" t="s">
        <v>236</v>
      </c>
      <c r="D353" s="14" t="n">
        <v>45832</v>
      </c>
      <c r="E353" s="0" t="n">
        <v>5667.34</v>
      </c>
    </row>
    <row r="354" customFormat="false" ht="15" hidden="false" customHeight="false" outlineLevel="0" collapsed="false">
      <c r="A354" s="0" t="s">
        <v>5379</v>
      </c>
      <c r="B354" s="0" t="s">
        <v>4846</v>
      </c>
      <c r="C354" s="0" t="s">
        <v>257</v>
      </c>
      <c r="D354" s="14" t="n">
        <v>45832</v>
      </c>
      <c r="E354" s="0" t="n">
        <v>2238.81</v>
      </c>
    </row>
    <row r="355" customFormat="false" ht="15" hidden="false" customHeight="false" outlineLevel="0" collapsed="false">
      <c r="A355" s="0" t="s">
        <v>5380</v>
      </c>
      <c r="B355" s="0" t="s">
        <v>4847</v>
      </c>
      <c r="C355" s="0" t="s">
        <v>243</v>
      </c>
      <c r="D355" s="14" t="n">
        <v>45746</v>
      </c>
      <c r="E355" s="0" t="n">
        <v>2184.71</v>
      </c>
    </row>
    <row r="356" customFormat="false" ht="15" hidden="false" customHeight="false" outlineLevel="0" collapsed="false">
      <c r="A356" s="0" t="s">
        <v>5381</v>
      </c>
      <c r="B356" s="0" t="s">
        <v>4848</v>
      </c>
      <c r="C356" s="0" t="s">
        <v>249</v>
      </c>
      <c r="D356" s="14" t="n">
        <v>45839</v>
      </c>
      <c r="E356" s="0" t="n">
        <v>1056.84</v>
      </c>
    </row>
    <row r="357" customFormat="false" ht="15" hidden="false" customHeight="false" outlineLevel="0" collapsed="false">
      <c r="A357" s="0" t="s">
        <v>5382</v>
      </c>
      <c r="B357" s="0" t="s">
        <v>4849</v>
      </c>
      <c r="C357" s="0" t="s">
        <v>249</v>
      </c>
      <c r="D357" s="14" t="n">
        <v>45894</v>
      </c>
      <c r="E357" s="0" t="n">
        <v>6660.76</v>
      </c>
    </row>
    <row r="358" customFormat="false" ht="15" hidden="false" customHeight="false" outlineLevel="0" collapsed="false">
      <c r="A358" s="0" t="s">
        <v>5383</v>
      </c>
      <c r="B358" s="0" t="s">
        <v>4850</v>
      </c>
      <c r="C358" s="0" t="s">
        <v>241</v>
      </c>
      <c r="D358" s="14" t="n">
        <v>46005</v>
      </c>
      <c r="E358" s="0" t="n">
        <v>782.4</v>
      </c>
    </row>
    <row r="359" customFormat="false" ht="15" hidden="false" customHeight="false" outlineLevel="0" collapsed="false">
      <c r="A359" s="0" t="s">
        <v>5384</v>
      </c>
      <c r="B359" s="0" t="s">
        <v>4851</v>
      </c>
      <c r="C359" s="0" t="s">
        <v>247</v>
      </c>
      <c r="D359" s="14" t="n">
        <v>45801</v>
      </c>
      <c r="E359" s="0" t="n">
        <v>881.21</v>
      </c>
    </row>
    <row r="360" customFormat="false" ht="15" hidden="false" customHeight="false" outlineLevel="0" collapsed="false">
      <c r="A360" s="0" t="s">
        <v>5385</v>
      </c>
      <c r="B360" s="0" t="s">
        <v>4852</v>
      </c>
      <c r="C360" s="0" t="s">
        <v>243</v>
      </c>
      <c r="D360" s="14" t="n">
        <v>46153</v>
      </c>
      <c r="E360" s="0" t="n">
        <v>3647.52</v>
      </c>
    </row>
    <row r="361" customFormat="false" ht="15" hidden="false" customHeight="false" outlineLevel="0" collapsed="false">
      <c r="A361" s="0" t="s">
        <v>5386</v>
      </c>
      <c r="B361" s="0" t="s">
        <v>4853</v>
      </c>
      <c r="C361" s="0" t="s">
        <v>261</v>
      </c>
      <c r="D361" s="14" t="n">
        <v>45747</v>
      </c>
      <c r="E361" s="0" t="n">
        <v>3313.04</v>
      </c>
    </row>
    <row r="362" customFormat="false" ht="15" hidden="false" customHeight="false" outlineLevel="0" collapsed="false">
      <c r="A362" s="0" t="s">
        <v>5387</v>
      </c>
      <c r="B362" s="0" t="s">
        <v>4854</v>
      </c>
      <c r="C362" s="0" t="s">
        <v>265</v>
      </c>
      <c r="D362" s="14" t="n">
        <v>45871</v>
      </c>
      <c r="E362" s="0" t="n">
        <v>791.01</v>
      </c>
    </row>
    <row r="363" customFormat="false" ht="15" hidden="false" customHeight="false" outlineLevel="0" collapsed="false">
      <c r="A363" s="0" t="s">
        <v>5388</v>
      </c>
      <c r="B363" s="0" t="s">
        <v>4855</v>
      </c>
      <c r="C363" s="0" t="s">
        <v>232</v>
      </c>
      <c r="D363" s="14" t="n">
        <v>45975</v>
      </c>
      <c r="E363" s="0" t="n">
        <v>5446.66</v>
      </c>
    </row>
    <row r="364" customFormat="false" ht="15" hidden="false" customHeight="false" outlineLevel="0" collapsed="false">
      <c r="A364" s="0" t="s">
        <v>5389</v>
      </c>
      <c r="B364" s="0" t="s">
        <v>4856</v>
      </c>
      <c r="C364" s="0" t="s">
        <v>259</v>
      </c>
      <c r="D364" s="14" t="n">
        <v>45843</v>
      </c>
      <c r="E364" s="0" t="n">
        <v>2078.1</v>
      </c>
    </row>
    <row r="365" customFormat="false" ht="15" hidden="false" customHeight="false" outlineLevel="0" collapsed="false">
      <c r="A365" s="0" t="s">
        <v>5390</v>
      </c>
      <c r="B365" s="0" t="s">
        <v>4857</v>
      </c>
      <c r="C365" s="0" t="s">
        <v>245</v>
      </c>
      <c r="D365" s="14" t="n">
        <v>46092</v>
      </c>
      <c r="E365" s="0" t="n">
        <v>22154.21</v>
      </c>
    </row>
    <row r="366" customFormat="false" ht="15" hidden="false" customHeight="false" outlineLevel="0" collapsed="false">
      <c r="A366" s="0" t="s">
        <v>5391</v>
      </c>
      <c r="B366" s="0" t="s">
        <v>4858</v>
      </c>
      <c r="C366" s="0" t="s">
        <v>261</v>
      </c>
      <c r="D366" s="14" t="n">
        <v>45930</v>
      </c>
      <c r="E366" s="0" t="n">
        <v>4300.32</v>
      </c>
    </row>
    <row r="367" customFormat="false" ht="15" hidden="false" customHeight="false" outlineLevel="0" collapsed="false">
      <c r="A367" s="0" t="s">
        <v>5392</v>
      </c>
      <c r="B367" s="0" t="s">
        <v>4859</v>
      </c>
      <c r="C367" s="0" t="s">
        <v>249</v>
      </c>
      <c r="D367" s="14" t="n">
        <v>45939</v>
      </c>
      <c r="E367" s="0" t="n">
        <v>1034.15</v>
      </c>
    </row>
    <row r="368" customFormat="false" ht="15" hidden="false" customHeight="false" outlineLevel="0" collapsed="false">
      <c r="A368" s="0" t="s">
        <v>5393</v>
      </c>
      <c r="B368" s="0" t="s">
        <v>4860</v>
      </c>
      <c r="C368" s="0" t="s">
        <v>208</v>
      </c>
      <c r="D368" s="14" t="n">
        <v>45930</v>
      </c>
      <c r="E368" s="0" t="n">
        <v>13099.77</v>
      </c>
    </row>
    <row r="369" customFormat="false" ht="15" hidden="false" customHeight="false" outlineLevel="0" collapsed="false">
      <c r="A369" s="0" t="s">
        <v>5394</v>
      </c>
      <c r="B369" s="0" t="s">
        <v>4861</v>
      </c>
      <c r="C369" s="0" t="s">
        <v>270</v>
      </c>
      <c r="D369" s="14" t="n">
        <v>45851</v>
      </c>
      <c r="E369" s="0" t="n">
        <v>1458.86</v>
      </c>
    </row>
    <row r="370" customFormat="false" ht="15" hidden="false" customHeight="false" outlineLevel="0" collapsed="false">
      <c r="A370" s="0" t="s">
        <v>5395</v>
      </c>
      <c r="B370" s="0" t="s">
        <v>4862</v>
      </c>
      <c r="C370" s="0" t="s">
        <v>214</v>
      </c>
      <c r="D370" s="14" t="n">
        <v>45706</v>
      </c>
      <c r="E370" s="0" t="n">
        <v>972.77</v>
      </c>
    </row>
    <row r="371" customFormat="false" ht="15" hidden="false" customHeight="false" outlineLevel="0" collapsed="false">
      <c r="A371" s="0" t="s">
        <v>5396</v>
      </c>
      <c r="B371" s="0" t="s">
        <v>4864</v>
      </c>
      <c r="C371" s="0" t="s">
        <v>267</v>
      </c>
      <c r="D371" s="14" t="n">
        <v>45950</v>
      </c>
      <c r="E371" s="0" t="n">
        <v>4774.51</v>
      </c>
    </row>
    <row r="372" customFormat="false" ht="15" hidden="false" customHeight="false" outlineLevel="0" collapsed="false">
      <c r="A372" s="0" t="s">
        <v>5397</v>
      </c>
      <c r="B372" s="0" t="s">
        <v>4866</v>
      </c>
      <c r="C372" s="0" t="s">
        <v>251</v>
      </c>
      <c r="D372" s="14" t="n">
        <v>45776</v>
      </c>
      <c r="E372" s="0" t="n">
        <v>1419.36</v>
      </c>
    </row>
    <row r="373" customFormat="false" ht="15" hidden="false" customHeight="false" outlineLevel="0" collapsed="false">
      <c r="A373" s="0" t="s">
        <v>5398</v>
      </c>
      <c r="B373" s="0" t="s">
        <v>4867</v>
      </c>
      <c r="C373" s="0" t="s">
        <v>236</v>
      </c>
      <c r="D373" s="14" t="n">
        <v>45884</v>
      </c>
      <c r="E373" s="0" t="n">
        <v>3354.86</v>
      </c>
    </row>
    <row r="374" customFormat="false" ht="15" hidden="false" customHeight="false" outlineLevel="0" collapsed="false">
      <c r="A374" s="0" t="s">
        <v>5399</v>
      </c>
      <c r="B374" s="0" t="s">
        <v>4868</v>
      </c>
      <c r="C374" s="0" t="s">
        <v>255</v>
      </c>
      <c r="D374" s="14" t="n">
        <v>45716</v>
      </c>
      <c r="E374" s="0" t="n">
        <v>1948.8</v>
      </c>
    </row>
    <row r="375" customFormat="false" ht="15" hidden="false" customHeight="false" outlineLevel="0" collapsed="false">
      <c r="A375" s="0" t="s">
        <v>5400</v>
      </c>
      <c r="B375" s="0" t="s">
        <v>4869</v>
      </c>
      <c r="C375" s="0" t="s">
        <v>214</v>
      </c>
      <c r="D375" s="14" t="n">
        <v>45947</v>
      </c>
      <c r="E375" s="0" t="n">
        <v>5733.44</v>
      </c>
    </row>
    <row r="376" customFormat="false" ht="15" hidden="false" customHeight="false" outlineLevel="0" collapsed="false">
      <c r="A376" s="0" t="s">
        <v>5401</v>
      </c>
      <c r="B376" s="0" t="s">
        <v>4870</v>
      </c>
      <c r="C376" s="0" t="s">
        <v>251</v>
      </c>
      <c r="D376" s="14" t="n">
        <v>46148</v>
      </c>
      <c r="E376" s="0" t="n">
        <v>3227.35</v>
      </c>
    </row>
    <row r="377" customFormat="false" ht="15" hidden="false" customHeight="false" outlineLevel="0" collapsed="false">
      <c r="A377" s="0" t="s">
        <v>5402</v>
      </c>
      <c r="B377" s="0" t="s">
        <v>4871</v>
      </c>
      <c r="C377" s="0" t="s">
        <v>232</v>
      </c>
      <c r="D377" s="14" t="n">
        <v>46032</v>
      </c>
      <c r="E377" s="0" t="n">
        <v>1389.94</v>
      </c>
    </row>
    <row r="378" customFormat="false" ht="15" hidden="false" customHeight="false" outlineLevel="0" collapsed="false">
      <c r="A378" s="0" t="s">
        <v>5403</v>
      </c>
      <c r="B378" s="0" t="s">
        <v>4872</v>
      </c>
      <c r="C378" s="0" t="s">
        <v>208</v>
      </c>
      <c r="D378" s="14" t="n">
        <v>45939</v>
      </c>
      <c r="E378" s="0" t="n">
        <v>4424.18</v>
      </c>
    </row>
    <row r="379" customFormat="false" ht="15" hidden="false" customHeight="false" outlineLevel="0" collapsed="false">
      <c r="A379" s="0" t="s">
        <v>5404</v>
      </c>
      <c r="B379" s="0" t="s">
        <v>4873</v>
      </c>
      <c r="C379" s="0" t="s">
        <v>255</v>
      </c>
      <c r="D379" s="14" t="n">
        <v>45964</v>
      </c>
      <c r="E379" s="0" t="n">
        <v>5939.73</v>
      </c>
    </row>
    <row r="380" customFormat="false" ht="15" hidden="false" customHeight="false" outlineLevel="0" collapsed="false">
      <c r="A380" s="0" t="s">
        <v>5405</v>
      </c>
      <c r="B380" s="0" t="s">
        <v>4874</v>
      </c>
      <c r="C380" s="0" t="s">
        <v>232</v>
      </c>
      <c r="D380" s="14" t="n">
        <v>46128</v>
      </c>
      <c r="E380" s="0" t="n">
        <v>6534.13</v>
      </c>
    </row>
    <row r="381" customFormat="false" ht="15" hidden="false" customHeight="false" outlineLevel="0" collapsed="false">
      <c r="A381" s="0" t="s">
        <v>5406</v>
      </c>
      <c r="B381" s="0" t="s">
        <v>4875</v>
      </c>
      <c r="C381" s="0" t="s">
        <v>249</v>
      </c>
      <c r="D381" s="14" t="n">
        <v>45929</v>
      </c>
      <c r="E381" s="0" t="n">
        <v>320.53</v>
      </c>
    </row>
    <row r="382" customFormat="false" ht="15" hidden="false" customHeight="false" outlineLevel="0" collapsed="false">
      <c r="A382" s="0" t="s">
        <v>5407</v>
      </c>
      <c r="B382" s="0" t="s">
        <v>4876</v>
      </c>
      <c r="C382" s="0" t="s">
        <v>257</v>
      </c>
      <c r="D382" s="14" t="n">
        <v>46150</v>
      </c>
      <c r="E382" s="0" t="n">
        <v>3067.28</v>
      </c>
    </row>
    <row r="383" customFormat="false" ht="15" hidden="false" customHeight="false" outlineLevel="0" collapsed="false">
      <c r="A383" s="0" t="s">
        <v>5408</v>
      </c>
      <c r="B383" s="0" t="s">
        <v>4878</v>
      </c>
      <c r="C383" s="0" t="s">
        <v>247</v>
      </c>
      <c r="D383" s="14" t="n">
        <v>46075</v>
      </c>
      <c r="E383" s="0" t="n">
        <v>3317.36</v>
      </c>
    </row>
    <row r="384" customFormat="false" ht="15" hidden="false" customHeight="false" outlineLevel="0" collapsed="false">
      <c r="A384" s="0" t="s">
        <v>5409</v>
      </c>
      <c r="B384" s="0" t="s">
        <v>4879</v>
      </c>
      <c r="C384" s="0" t="s">
        <v>251</v>
      </c>
      <c r="D384" s="14" t="n">
        <v>45862</v>
      </c>
      <c r="E384" s="0" t="n">
        <v>8677.01</v>
      </c>
    </row>
    <row r="385" customFormat="false" ht="15" hidden="false" customHeight="false" outlineLevel="0" collapsed="false">
      <c r="A385" s="0" t="s">
        <v>5410</v>
      </c>
      <c r="B385" s="0" t="s">
        <v>4884</v>
      </c>
      <c r="C385" s="0" t="s">
        <v>239</v>
      </c>
      <c r="D385" s="14" t="n">
        <v>45729</v>
      </c>
      <c r="E385" s="0" t="n">
        <v>3688.77</v>
      </c>
    </row>
    <row r="386" customFormat="false" ht="15" hidden="false" customHeight="false" outlineLevel="0" collapsed="false">
      <c r="A386" s="0" t="s">
        <v>5411</v>
      </c>
      <c r="B386" s="0" t="s">
        <v>4885</v>
      </c>
      <c r="C386" s="0" t="s">
        <v>267</v>
      </c>
      <c r="D386" s="14" t="n">
        <v>45945</v>
      </c>
      <c r="E386" s="0" t="n">
        <v>10558.67</v>
      </c>
    </row>
    <row r="387" customFormat="false" ht="15" hidden="false" customHeight="false" outlineLevel="0" collapsed="false">
      <c r="A387" s="0" t="s">
        <v>5412</v>
      </c>
      <c r="B387" s="0" t="s">
        <v>4886</v>
      </c>
      <c r="C387" s="0" t="s">
        <v>253</v>
      </c>
      <c r="D387" s="14" t="n">
        <v>46082</v>
      </c>
      <c r="E387" s="0" t="n">
        <v>4773.31</v>
      </c>
    </row>
    <row r="388" customFormat="false" ht="15" hidden="false" customHeight="false" outlineLevel="0" collapsed="false">
      <c r="A388" s="0" t="s">
        <v>5413</v>
      </c>
      <c r="B388" s="0" t="s">
        <v>4887</v>
      </c>
      <c r="C388" s="0" t="s">
        <v>267</v>
      </c>
      <c r="D388" s="14" t="n">
        <v>45814</v>
      </c>
      <c r="E388" s="0" t="n">
        <v>2297.56</v>
      </c>
    </row>
    <row r="389" customFormat="false" ht="15" hidden="false" customHeight="false" outlineLevel="0" collapsed="false">
      <c r="A389" s="0" t="s">
        <v>5414</v>
      </c>
      <c r="B389" s="0" t="s">
        <v>4889</v>
      </c>
      <c r="C389" s="0" t="s">
        <v>236</v>
      </c>
      <c r="D389" s="14" t="n">
        <v>46052</v>
      </c>
      <c r="E389" s="0" t="n">
        <v>17482.96</v>
      </c>
    </row>
    <row r="390" customFormat="false" ht="15" hidden="false" customHeight="false" outlineLevel="0" collapsed="false">
      <c r="A390" s="0" t="s">
        <v>5415</v>
      </c>
      <c r="B390" s="0" t="s">
        <v>4890</v>
      </c>
      <c r="C390" s="0" t="s">
        <v>247</v>
      </c>
      <c r="D390" s="14" t="n">
        <v>45726</v>
      </c>
      <c r="E390" s="0" t="n">
        <v>39817.42</v>
      </c>
    </row>
    <row r="391" customFormat="false" ht="15" hidden="false" customHeight="false" outlineLevel="0" collapsed="false">
      <c r="A391" s="0" t="s">
        <v>5416</v>
      </c>
      <c r="B391" s="0" t="s">
        <v>4891</v>
      </c>
      <c r="C391" s="0" t="s">
        <v>230</v>
      </c>
      <c r="D391" s="14" t="n">
        <v>46195</v>
      </c>
      <c r="E391" s="0" t="n">
        <v>7642.64</v>
      </c>
    </row>
    <row r="392" customFormat="false" ht="15" hidden="false" customHeight="false" outlineLevel="0" collapsed="false">
      <c r="A392" s="0" t="s">
        <v>5417</v>
      </c>
      <c r="B392" s="0" t="s">
        <v>4892</v>
      </c>
      <c r="C392" s="0" t="s">
        <v>268</v>
      </c>
      <c r="D392" s="14" t="n">
        <v>45873</v>
      </c>
      <c r="E392" s="0" t="n">
        <v>2491.07</v>
      </c>
    </row>
    <row r="393" customFormat="false" ht="15" hidden="false" customHeight="false" outlineLevel="0" collapsed="false">
      <c r="A393" s="0" t="s">
        <v>5418</v>
      </c>
      <c r="B393" s="0" t="s">
        <v>4893</v>
      </c>
      <c r="C393" s="0" t="s">
        <v>265</v>
      </c>
      <c r="D393" s="14" t="n">
        <v>46099</v>
      </c>
      <c r="E393" s="0" t="n">
        <v>3222.71</v>
      </c>
    </row>
    <row r="394" customFormat="false" ht="15" hidden="false" customHeight="false" outlineLevel="0" collapsed="false">
      <c r="A394" s="0" t="s">
        <v>5419</v>
      </c>
      <c r="B394" s="0" t="s">
        <v>4894</v>
      </c>
      <c r="C394" s="0" t="s">
        <v>234</v>
      </c>
      <c r="D394" s="14" t="n">
        <v>45852</v>
      </c>
      <c r="E394" s="0" t="n">
        <v>1588.52</v>
      </c>
    </row>
    <row r="395" customFormat="false" ht="15" hidden="false" customHeight="false" outlineLevel="0" collapsed="false">
      <c r="A395" s="0" t="s">
        <v>5420</v>
      </c>
      <c r="B395" s="0" t="s">
        <v>4895</v>
      </c>
      <c r="C395" s="0" t="s">
        <v>263</v>
      </c>
      <c r="D395" s="14" t="n">
        <v>46199</v>
      </c>
      <c r="E395" s="0" t="n">
        <v>643.3</v>
      </c>
    </row>
    <row r="396" customFormat="false" ht="15" hidden="false" customHeight="false" outlineLevel="0" collapsed="false">
      <c r="A396" s="0" t="s">
        <v>5421</v>
      </c>
      <c r="B396" s="0" t="s">
        <v>4896</v>
      </c>
      <c r="C396" s="0" t="s">
        <v>259</v>
      </c>
      <c r="D396" s="14" t="n">
        <v>46097</v>
      </c>
      <c r="E396" s="0" t="n">
        <v>978.41</v>
      </c>
    </row>
    <row r="397" customFormat="false" ht="15" hidden="false" customHeight="false" outlineLevel="0" collapsed="false">
      <c r="A397" s="0" t="s">
        <v>5422</v>
      </c>
      <c r="B397" s="0" t="s">
        <v>4897</v>
      </c>
      <c r="C397" s="0" t="s">
        <v>236</v>
      </c>
      <c r="D397" s="14" t="n">
        <v>45767</v>
      </c>
      <c r="E397" s="0" t="n">
        <v>406.73</v>
      </c>
    </row>
    <row r="398" customFormat="false" ht="15" hidden="false" customHeight="false" outlineLevel="0" collapsed="false">
      <c r="A398" s="0" t="s">
        <v>5423</v>
      </c>
      <c r="B398" s="0" t="s">
        <v>4898</v>
      </c>
      <c r="C398" s="0" t="s">
        <v>255</v>
      </c>
      <c r="D398" s="14" t="n">
        <v>45973</v>
      </c>
      <c r="E398" s="0" t="n">
        <v>938.41</v>
      </c>
    </row>
    <row r="399" customFormat="false" ht="15" hidden="false" customHeight="false" outlineLevel="0" collapsed="false">
      <c r="A399" s="0" t="s">
        <v>5424</v>
      </c>
      <c r="B399" s="0" t="s">
        <v>4899</v>
      </c>
      <c r="C399" s="0" t="s">
        <v>226</v>
      </c>
      <c r="D399" s="14" t="n">
        <v>45938</v>
      </c>
      <c r="E399" s="0" t="n">
        <v>1285.74</v>
      </c>
    </row>
    <row r="400" customFormat="false" ht="15" hidden="false" customHeight="false" outlineLevel="0" collapsed="false">
      <c r="A400" s="0" t="s">
        <v>5425</v>
      </c>
      <c r="B400" s="0" t="s">
        <v>4901</v>
      </c>
      <c r="C400" s="0" t="s">
        <v>257</v>
      </c>
      <c r="D400" s="14" t="n">
        <v>45756</v>
      </c>
      <c r="E400" s="0" t="n">
        <v>9465.69</v>
      </c>
    </row>
    <row r="401" customFormat="false" ht="15" hidden="false" customHeight="false" outlineLevel="0" collapsed="false">
      <c r="A401" s="0" t="s">
        <v>5426</v>
      </c>
      <c r="B401" s="0" t="s">
        <v>4902</v>
      </c>
      <c r="C401" s="0" t="s">
        <v>232</v>
      </c>
      <c r="D401" s="14" t="n">
        <v>45850</v>
      </c>
      <c r="E401" s="0" t="n">
        <v>1339.59</v>
      </c>
    </row>
    <row r="402" customFormat="false" ht="15" hidden="false" customHeight="false" outlineLevel="0" collapsed="false">
      <c r="A402" s="0" t="s">
        <v>5427</v>
      </c>
      <c r="B402" s="0" t="s">
        <v>4903</v>
      </c>
      <c r="C402" s="0" t="s">
        <v>239</v>
      </c>
      <c r="D402" s="14" t="n">
        <v>45919</v>
      </c>
      <c r="E402" s="0" t="n">
        <v>2354.48</v>
      </c>
    </row>
    <row r="403" customFormat="false" ht="15" hidden="false" customHeight="false" outlineLevel="0" collapsed="false">
      <c r="A403" s="0" t="s">
        <v>5428</v>
      </c>
      <c r="B403" s="0" t="s">
        <v>4904</v>
      </c>
      <c r="C403" s="0" t="s">
        <v>268</v>
      </c>
      <c r="D403" s="14" t="n">
        <v>45922</v>
      </c>
      <c r="E403" s="0" t="n">
        <v>2268.9</v>
      </c>
    </row>
    <row r="404" customFormat="false" ht="15" hidden="false" customHeight="false" outlineLevel="0" collapsed="false">
      <c r="A404" s="0" t="s">
        <v>5429</v>
      </c>
      <c r="B404" s="0" t="s">
        <v>4906</v>
      </c>
      <c r="C404" s="0" t="s">
        <v>236</v>
      </c>
      <c r="D404" s="14" t="n">
        <v>45970</v>
      </c>
      <c r="E404" s="0" t="n">
        <v>1496.08</v>
      </c>
    </row>
    <row r="405" customFormat="false" ht="15" hidden="false" customHeight="false" outlineLevel="0" collapsed="false">
      <c r="A405" s="0" t="s">
        <v>5430</v>
      </c>
      <c r="B405" s="0" t="s">
        <v>4907</v>
      </c>
      <c r="C405" s="0" t="s">
        <v>230</v>
      </c>
      <c r="D405" s="14" t="n">
        <v>45853</v>
      </c>
      <c r="E405" s="0" t="n">
        <v>1468.71</v>
      </c>
    </row>
    <row r="406" customFormat="false" ht="15" hidden="false" customHeight="false" outlineLevel="0" collapsed="false">
      <c r="A406" s="0" t="s">
        <v>5431</v>
      </c>
      <c r="B406" s="0" t="s">
        <v>4908</v>
      </c>
      <c r="C406" s="0" t="s">
        <v>222</v>
      </c>
      <c r="D406" s="14" t="n">
        <v>46024</v>
      </c>
      <c r="E406" s="0" t="n">
        <v>1829.72</v>
      </c>
    </row>
    <row r="407" customFormat="false" ht="15" hidden="false" customHeight="false" outlineLevel="0" collapsed="false">
      <c r="A407" s="0" t="s">
        <v>5432</v>
      </c>
      <c r="B407" s="0" t="s">
        <v>4909</v>
      </c>
      <c r="C407" s="0" t="s">
        <v>217</v>
      </c>
      <c r="D407" s="14" t="n">
        <v>45779</v>
      </c>
      <c r="E407" s="0" t="n">
        <v>3756.07</v>
      </c>
    </row>
    <row r="408" customFormat="false" ht="15" hidden="false" customHeight="false" outlineLevel="0" collapsed="false">
      <c r="A408" s="0" t="s">
        <v>5433</v>
      </c>
      <c r="B408" s="0" t="s">
        <v>4911</v>
      </c>
      <c r="C408" s="0" t="s">
        <v>267</v>
      </c>
      <c r="D408" s="14" t="n">
        <v>46076</v>
      </c>
      <c r="E408" s="0" t="n">
        <v>11259.88</v>
      </c>
    </row>
    <row r="409" customFormat="false" ht="15" hidden="false" customHeight="false" outlineLevel="0" collapsed="false">
      <c r="A409" s="0" t="s">
        <v>5434</v>
      </c>
      <c r="B409" s="0" t="s">
        <v>4912</v>
      </c>
      <c r="C409" s="0" t="s">
        <v>220</v>
      </c>
      <c r="D409" s="14" t="n">
        <v>45822</v>
      </c>
      <c r="E409" s="0" t="n">
        <v>2193.92</v>
      </c>
    </row>
    <row r="410" customFormat="false" ht="15" hidden="false" customHeight="false" outlineLevel="0" collapsed="false">
      <c r="A410" s="0" t="s">
        <v>5435</v>
      </c>
      <c r="B410" s="0" t="s">
        <v>4913</v>
      </c>
      <c r="C410" s="0" t="s">
        <v>239</v>
      </c>
      <c r="D410" s="14" t="n">
        <v>45861</v>
      </c>
      <c r="E410" s="0" t="n">
        <v>6920.26</v>
      </c>
    </row>
    <row r="411" customFormat="false" ht="15" hidden="false" customHeight="false" outlineLevel="0" collapsed="false">
      <c r="A411" s="0" t="s">
        <v>5436</v>
      </c>
      <c r="B411" s="0" t="s">
        <v>4915</v>
      </c>
      <c r="C411" s="0" t="s">
        <v>249</v>
      </c>
      <c r="D411" s="14" t="n">
        <v>45951</v>
      </c>
      <c r="E411" s="0" t="n">
        <v>1088.77</v>
      </c>
    </row>
    <row r="412" customFormat="false" ht="15" hidden="false" customHeight="false" outlineLevel="0" collapsed="false">
      <c r="A412" s="0" t="s">
        <v>5437</v>
      </c>
      <c r="B412" s="0" t="s">
        <v>4916</v>
      </c>
      <c r="C412" s="0" t="s">
        <v>251</v>
      </c>
      <c r="D412" s="14" t="n">
        <v>46045</v>
      </c>
      <c r="E412" s="0" t="n">
        <v>3388.92</v>
      </c>
    </row>
    <row r="413" customFormat="false" ht="15" hidden="false" customHeight="false" outlineLevel="0" collapsed="false">
      <c r="A413" s="0" t="s">
        <v>5438</v>
      </c>
      <c r="B413" s="0" t="s">
        <v>4917</v>
      </c>
      <c r="C413" s="0" t="s">
        <v>245</v>
      </c>
      <c r="D413" s="14" t="n">
        <v>45843</v>
      </c>
      <c r="E413" s="0" t="n">
        <v>1296.95</v>
      </c>
    </row>
    <row r="414" customFormat="false" ht="15" hidden="false" customHeight="false" outlineLevel="0" collapsed="false">
      <c r="A414" s="0" t="s">
        <v>5439</v>
      </c>
      <c r="B414" s="0" t="s">
        <v>4918</v>
      </c>
      <c r="C414" s="0" t="s">
        <v>239</v>
      </c>
      <c r="D414" s="14" t="n">
        <v>46121</v>
      </c>
      <c r="E414" s="0" t="n">
        <v>973.23</v>
      </c>
    </row>
    <row r="415" customFormat="false" ht="15" hidden="false" customHeight="false" outlineLevel="0" collapsed="false">
      <c r="A415" s="0" t="s">
        <v>5440</v>
      </c>
      <c r="B415" s="0" t="s">
        <v>4919</v>
      </c>
      <c r="C415" s="0" t="s">
        <v>255</v>
      </c>
      <c r="D415" s="14" t="n">
        <v>45880</v>
      </c>
      <c r="E415" s="0" t="n">
        <v>3529.93</v>
      </c>
    </row>
    <row r="416" customFormat="false" ht="15" hidden="false" customHeight="false" outlineLevel="0" collapsed="false">
      <c r="A416" s="0" t="s">
        <v>5441</v>
      </c>
      <c r="B416" s="0" t="s">
        <v>4920</v>
      </c>
      <c r="C416" s="0" t="s">
        <v>239</v>
      </c>
      <c r="D416" s="14" t="n">
        <v>46039</v>
      </c>
      <c r="E416" s="0" t="n">
        <v>6608.86</v>
      </c>
    </row>
    <row r="417" customFormat="false" ht="15" hidden="false" customHeight="false" outlineLevel="0" collapsed="false">
      <c r="A417" s="0" t="s">
        <v>5442</v>
      </c>
      <c r="B417" s="0" t="s">
        <v>4922</v>
      </c>
      <c r="C417" s="0" t="s">
        <v>257</v>
      </c>
      <c r="D417" s="14" t="n">
        <v>45997</v>
      </c>
      <c r="E417" s="0" t="n">
        <v>6888.72</v>
      </c>
    </row>
    <row r="418" customFormat="false" ht="15" hidden="false" customHeight="false" outlineLevel="0" collapsed="false">
      <c r="A418" s="0" t="s">
        <v>5443</v>
      </c>
      <c r="B418" s="0" t="s">
        <v>4923</v>
      </c>
      <c r="C418" s="0" t="s">
        <v>211</v>
      </c>
      <c r="D418" s="14" t="n">
        <v>46112</v>
      </c>
      <c r="E418" s="0" t="n">
        <v>1431.17</v>
      </c>
    </row>
    <row r="419" customFormat="false" ht="15" hidden="false" customHeight="false" outlineLevel="0" collapsed="false">
      <c r="A419" s="0" t="s">
        <v>5444</v>
      </c>
      <c r="B419" s="0" t="s">
        <v>4924</v>
      </c>
      <c r="C419" s="0" t="s">
        <v>243</v>
      </c>
      <c r="D419" s="14" t="n">
        <v>46054</v>
      </c>
      <c r="E419" s="0" t="n">
        <v>4410.67</v>
      </c>
    </row>
    <row r="420" customFormat="false" ht="15" hidden="false" customHeight="false" outlineLevel="0" collapsed="false">
      <c r="A420" s="0" t="s">
        <v>5445</v>
      </c>
      <c r="B420" s="0" t="s">
        <v>4925</v>
      </c>
      <c r="C420" s="0" t="s">
        <v>268</v>
      </c>
      <c r="D420" s="14" t="n">
        <v>46033</v>
      </c>
      <c r="E420" s="0" t="n">
        <v>7357.21</v>
      </c>
    </row>
    <row r="421" customFormat="false" ht="15" hidden="false" customHeight="false" outlineLevel="0" collapsed="false">
      <c r="A421" s="0" t="s">
        <v>5446</v>
      </c>
      <c r="B421" s="0" t="s">
        <v>4926</v>
      </c>
      <c r="C421" s="0" t="s">
        <v>257</v>
      </c>
      <c r="D421" s="14" t="n">
        <v>45673</v>
      </c>
      <c r="E421" s="0" t="n">
        <v>3743.89</v>
      </c>
    </row>
    <row r="422" customFormat="false" ht="15" hidden="false" customHeight="false" outlineLevel="0" collapsed="false">
      <c r="A422" s="0" t="s">
        <v>5447</v>
      </c>
      <c r="B422" s="0" t="s">
        <v>4927</v>
      </c>
      <c r="C422" s="0" t="s">
        <v>226</v>
      </c>
      <c r="D422" s="14" t="n">
        <v>45936</v>
      </c>
      <c r="E422" s="0" t="n">
        <v>2235.8</v>
      </c>
    </row>
    <row r="423" customFormat="false" ht="15" hidden="false" customHeight="false" outlineLevel="0" collapsed="false">
      <c r="A423" s="0" t="s">
        <v>5448</v>
      </c>
      <c r="B423" s="0" t="s">
        <v>4928</v>
      </c>
      <c r="C423" s="0" t="s">
        <v>245</v>
      </c>
      <c r="D423" s="14" t="n">
        <v>46190</v>
      </c>
      <c r="E423" s="0" t="n">
        <v>916.06</v>
      </c>
    </row>
    <row r="424" customFormat="false" ht="15" hidden="false" customHeight="false" outlineLevel="0" collapsed="false">
      <c r="A424" s="0" t="s">
        <v>5449</v>
      </c>
      <c r="B424" s="0" t="s">
        <v>4929</v>
      </c>
      <c r="C424" s="0" t="s">
        <v>214</v>
      </c>
      <c r="D424" s="14" t="n">
        <v>46111</v>
      </c>
      <c r="E424" s="0" t="n">
        <v>2778.74</v>
      </c>
    </row>
    <row r="425" customFormat="false" ht="15" hidden="false" customHeight="false" outlineLevel="0" collapsed="false">
      <c r="A425" s="0" t="s">
        <v>5450</v>
      </c>
      <c r="B425" s="0" t="s">
        <v>4930</v>
      </c>
      <c r="C425" s="0" t="s">
        <v>228</v>
      </c>
      <c r="D425" s="14" t="n">
        <v>46105</v>
      </c>
      <c r="E425" s="0" t="n">
        <v>2994.41</v>
      </c>
    </row>
    <row r="426" customFormat="false" ht="15" hidden="false" customHeight="false" outlineLevel="0" collapsed="false">
      <c r="A426" s="0" t="s">
        <v>5451</v>
      </c>
      <c r="B426" s="0" t="s">
        <v>4931</v>
      </c>
      <c r="C426" s="0" t="s">
        <v>261</v>
      </c>
      <c r="D426" s="14" t="n">
        <v>46008</v>
      </c>
      <c r="E426" s="0" t="n">
        <v>15639.98</v>
      </c>
    </row>
    <row r="427" customFormat="false" ht="15" hidden="false" customHeight="false" outlineLevel="0" collapsed="false">
      <c r="A427" s="0" t="s">
        <v>5452</v>
      </c>
      <c r="B427" s="0" t="s">
        <v>4933</v>
      </c>
      <c r="C427" s="0" t="s">
        <v>234</v>
      </c>
      <c r="D427" s="14" t="n">
        <v>45977</v>
      </c>
      <c r="E427" s="0" t="n">
        <v>14179.43</v>
      </c>
    </row>
    <row r="428" customFormat="false" ht="15" hidden="false" customHeight="false" outlineLevel="0" collapsed="false">
      <c r="A428" s="0" t="s">
        <v>5453</v>
      </c>
      <c r="B428" s="0" t="s">
        <v>4934</v>
      </c>
      <c r="C428" s="0" t="s">
        <v>228</v>
      </c>
      <c r="D428" s="14" t="n">
        <v>45761</v>
      </c>
      <c r="E428" s="0" t="n">
        <v>19992.01</v>
      </c>
    </row>
    <row r="429" customFormat="false" ht="15" hidden="false" customHeight="false" outlineLevel="0" collapsed="false">
      <c r="A429" s="0" t="s">
        <v>5454</v>
      </c>
      <c r="B429" s="0" t="s">
        <v>4935</v>
      </c>
      <c r="C429" s="0" t="s">
        <v>261</v>
      </c>
      <c r="D429" s="14" t="n">
        <v>46012</v>
      </c>
      <c r="E429" s="0" t="n">
        <v>248.79</v>
      </c>
    </row>
    <row r="430" customFormat="false" ht="15" hidden="false" customHeight="false" outlineLevel="0" collapsed="false">
      <c r="A430" s="0" t="s">
        <v>5455</v>
      </c>
      <c r="B430" s="0" t="s">
        <v>4936</v>
      </c>
      <c r="C430" s="0" t="s">
        <v>259</v>
      </c>
      <c r="D430" s="14" t="n">
        <v>46028</v>
      </c>
      <c r="E430" s="0" t="n">
        <v>1196.22</v>
      </c>
    </row>
    <row r="431" customFormat="false" ht="15" hidden="false" customHeight="false" outlineLevel="0" collapsed="false">
      <c r="A431" s="0" t="s">
        <v>5456</v>
      </c>
      <c r="B431" s="0" t="s">
        <v>4937</v>
      </c>
      <c r="C431" s="0" t="s">
        <v>263</v>
      </c>
      <c r="D431" s="14" t="n">
        <v>46142</v>
      </c>
      <c r="E431" s="0" t="n">
        <v>4763.32</v>
      </c>
    </row>
    <row r="432" customFormat="false" ht="15" hidden="false" customHeight="false" outlineLevel="0" collapsed="false">
      <c r="A432" s="0" t="s">
        <v>5457</v>
      </c>
      <c r="B432" s="0" t="s">
        <v>4939</v>
      </c>
      <c r="C432" s="0" t="s">
        <v>243</v>
      </c>
      <c r="D432" s="14" t="n">
        <v>46034</v>
      </c>
      <c r="E432" s="0" t="n">
        <v>2149.55</v>
      </c>
    </row>
    <row r="433" customFormat="false" ht="15" hidden="false" customHeight="false" outlineLevel="0" collapsed="false">
      <c r="A433" s="0" t="s">
        <v>5458</v>
      </c>
      <c r="B433" s="0" t="s">
        <v>4941</v>
      </c>
      <c r="C433" s="0" t="s">
        <v>270</v>
      </c>
      <c r="D433" s="14" t="n">
        <v>46193</v>
      </c>
      <c r="E433" s="0" t="n">
        <v>12379.16</v>
      </c>
    </row>
    <row r="434" customFormat="false" ht="15" hidden="false" customHeight="false" outlineLevel="0" collapsed="false">
      <c r="A434" s="0" t="s">
        <v>5459</v>
      </c>
      <c r="B434" s="0" t="s">
        <v>4943</v>
      </c>
      <c r="C434" s="0" t="s">
        <v>232</v>
      </c>
      <c r="D434" s="14" t="n">
        <v>45669</v>
      </c>
      <c r="E434" s="0" t="n">
        <v>4188.51</v>
      </c>
    </row>
    <row r="435" customFormat="false" ht="15" hidden="false" customHeight="false" outlineLevel="0" collapsed="false">
      <c r="A435" s="0" t="s">
        <v>5460</v>
      </c>
      <c r="B435" s="0" t="s">
        <v>4944</v>
      </c>
      <c r="C435" s="0" t="s">
        <v>245</v>
      </c>
      <c r="D435" s="14" t="n">
        <v>45868</v>
      </c>
      <c r="E435" s="0" t="n">
        <v>1240.25</v>
      </c>
    </row>
    <row r="436" customFormat="false" ht="15" hidden="false" customHeight="false" outlineLevel="0" collapsed="false">
      <c r="A436" s="0" t="s">
        <v>5461</v>
      </c>
      <c r="B436" s="0" t="s">
        <v>4945</v>
      </c>
      <c r="C436" s="0" t="s">
        <v>253</v>
      </c>
      <c r="D436" s="14" t="n">
        <v>45747</v>
      </c>
      <c r="E436" s="0" t="n">
        <v>4141.83</v>
      </c>
    </row>
    <row r="437" customFormat="false" ht="15" hidden="false" customHeight="false" outlineLevel="0" collapsed="false">
      <c r="A437" s="0" t="s">
        <v>5462</v>
      </c>
      <c r="B437" s="0" t="s">
        <v>4946</v>
      </c>
      <c r="C437" s="0" t="s">
        <v>230</v>
      </c>
      <c r="D437" s="14" t="n">
        <v>46068</v>
      </c>
      <c r="E437" s="0" t="n">
        <v>1132.9</v>
      </c>
    </row>
    <row r="438" customFormat="false" ht="15" hidden="false" customHeight="false" outlineLevel="0" collapsed="false">
      <c r="A438" s="0" t="s">
        <v>5463</v>
      </c>
      <c r="B438" s="0" t="s">
        <v>4947</v>
      </c>
      <c r="C438" s="0" t="s">
        <v>245</v>
      </c>
      <c r="D438" s="14" t="n">
        <v>45915</v>
      </c>
      <c r="E438" s="0" t="n">
        <v>1737.62</v>
      </c>
    </row>
    <row r="439" customFormat="false" ht="15" hidden="false" customHeight="false" outlineLevel="0" collapsed="false">
      <c r="A439" s="0" t="s">
        <v>5464</v>
      </c>
      <c r="B439" s="0" t="s">
        <v>4948</v>
      </c>
      <c r="C439" s="0" t="s">
        <v>253</v>
      </c>
      <c r="D439" s="14" t="n">
        <v>46081</v>
      </c>
      <c r="E439" s="0" t="n">
        <v>5526.91</v>
      </c>
    </row>
    <row r="440" customFormat="false" ht="15" hidden="false" customHeight="false" outlineLevel="0" collapsed="false">
      <c r="A440" s="0" t="s">
        <v>5465</v>
      </c>
      <c r="B440" s="0" t="s">
        <v>4949</v>
      </c>
      <c r="C440" s="0" t="s">
        <v>234</v>
      </c>
      <c r="D440" s="14" t="n">
        <v>46185</v>
      </c>
      <c r="E440" s="0" t="n">
        <v>3293.29</v>
      </c>
    </row>
    <row r="441" customFormat="false" ht="15" hidden="false" customHeight="false" outlineLevel="0" collapsed="false">
      <c r="A441" s="0" t="s">
        <v>5466</v>
      </c>
      <c r="B441" s="0" t="s">
        <v>4950</v>
      </c>
      <c r="C441" s="0" t="s">
        <v>230</v>
      </c>
      <c r="D441" s="14" t="n">
        <v>46134</v>
      </c>
      <c r="E441" s="0" t="n">
        <v>5673.44</v>
      </c>
    </row>
    <row r="442" customFormat="false" ht="15" hidden="false" customHeight="false" outlineLevel="0" collapsed="false">
      <c r="A442" s="0" t="s">
        <v>5467</v>
      </c>
      <c r="B442" s="0" t="s">
        <v>4952</v>
      </c>
      <c r="C442" s="0" t="s">
        <v>239</v>
      </c>
      <c r="D442" s="14" t="n">
        <v>45702</v>
      </c>
      <c r="E442" s="0" t="n">
        <v>167.65</v>
      </c>
    </row>
    <row r="443" customFormat="false" ht="15" hidden="false" customHeight="false" outlineLevel="0" collapsed="false">
      <c r="A443" s="0" t="s">
        <v>5468</v>
      </c>
      <c r="B443" s="0" t="s">
        <v>4953</v>
      </c>
      <c r="C443" s="0" t="s">
        <v>270</v>
      </c>
      <c r="D443" s="14" t="n">
        <v>45771</v>
      </c>
      <c r="E443" s="0" t="n">
        <v>8207.3</v>
      </c>
    </row>
    <row r="444" customFormat="false" ht="15" hidden="false" customHeight="false" outlineLevel="0" collapsed="false">
      <c r="A444" s="0" t="s">
        <v>5469</v>
      </c>
      <c r="B444" s="0" t="s">
        <v>4954</v>
      </c>
      <c r="C444" s="0" t="s">
        <v>270</v>
      </c>
      <c r="D444" s="14" t="n">
        <v>45772</v>
      </c>
      <c r="E444" s="0" t="n">
        <v>10226.07</v>
      </c>
    </row>
    <row r="445" customFormat="false" ht="15" hidden="false" customHeight="false" outlineLevel="0" collapsed="false">
      <c r="A445" s="0" t="s">
        <v>5470</v>
      </c>
      <c r="B445" s="0" t="s">
        <v>4955</v>
      </c>
      <c r="C445" s="0" t="s">
        <v>220</v>
      </c>
      <c r="D445" s="14" t="n">
        <v>45841</v>
      </c>
      <c r="E445" s="0" t="n">
        <v>920.76</v>
      </c>
    </row>
    <row r="446" customFormat="false" ht="15" hidden="false" customHeight="false" outlineLevel="0" collapsed="false">
      <c r="A446" s="0" t="s">
        <v>5471</v>
      </c>
      <c r="B446" s="0" t="s">
        <v>4956</v>
      </c>
      <c r="C446" s="0" t="s">
        <v>232</v>
      </c>
      <c r="D446" s="14" t="n">
        <v>46039</v>
      </c>
      <c r="E446" s="0" t="n">
        <v>1774.7</v>
      </c>
    </row>
    <row r="447" customFormat="false" ht="15" hidden="false" customHeight="false" outlineLevel="0" collapsed="false">
      <c r="A447" s="0" t="s">
        <v>5472</v>
      </c>
      <c r="B447" s="0" t="s">
        <v>4957</v>
      </c>
      <c r="C447" s="0" t="s">
        <v>263</v>
      </c>
      <c r="D447" s="14" t="n">
        <v>45959</v>
      </c>
      <c r="E447" s="0" t="n">
        <v>8116.89</v>
      </c>
    </row>
    <row r="448" customFormat="false" ht="15" hidden="false" customHeight="false" outlineLevel="0" collapsed="false">
      <c r="A448" s="0" t="s">
        <v>5473</v>
      </c>
      <c r="B448" s="0" t="s">
        <v>4958</v>
      </c>
      <c r="C448" s="0" t="s">
        <v>253</v>
      </c>
      <c r="D448" s="14" t="n">
        <v>45829</v>
      </c>
      <c r="E448" s="0" t="n">
        <v>1559.65</v>
      </c>
    </row>
    <row r="449" customFormat="false" ht="15" hidden="false" customHeight="false" outlineLevel="0" collapsed="false">
      <c r="A449" s="0" t="s">
        <v>5474</v>
      </c>
      <c r="B449" s="0" t="s">
        <v>4959</v>
      </c>
      <c r="C449" s="0" t="s">
        <v>208</v>
      </c>
      <c r="D449" s="14" t="n">
        <v>45769</v>
      </c>
      <c r="E449" s="0" t="n">
        <v>9577.01</v>
      </c>
    </row>
    <row r="450" customFormat="false" ht="15" hidden="false" customHeight="false" outlineLevel="0" collapsed="false">
      <c r="A450" s="0" t="s">
        <v>5475</v>
      </c>
      <c r="B450" s="0" t="s">
        <v>4960</v>
      </c>
      <c r="C450" s="0" t="s">
        <v>268</v>
      </c>
      <c r="D450" s="14" t="n">
        <v>46194</v>
      </c>
      <c r="E450" s="0" t="n">
        <v>3171.03</v>
      </c>
    </row>
    <row r="451" customFormat="false" ht="15" hidden="false" customHeight="false" outlineLevel="0" collapsed="false">
      <c r="A451" s="0" t="s">
        <v>5476</v>
      </c>
      <c r="B451" s="0" t="s">
        <v>4961</v>
      </c>
      <c r="C451" s="0" t="s">
        <v>214</v>
      </c>
      <c r="D451" s="14" t="n">
        <v>45845</v>
      </c>
      <c r="E451" s="0" t="n">
        <v>706.76</v>
      </c>
    </row>
    <row r="452" customFormat="false" ht="15" hidden="false" customHeight="false" outlineLevel="0" collapsed="false">
      <c r="A452" s="0" t="s">
        <v>5477</v>
      </c>
      <c r="B452" s="0" t="s">
        <v>4962</v>
      </c>
      <c r="C452" s="0" t="s">
        <v>270</v>
      </c>
      <c r="D452" s="14" t="n">
        <v>45854</v>
      </c>
      <c r="E452" s="0" t="n">
        <v>4114.21</v>
      </c>
    </row>
    <row r="453" customFormat="false" ht="15" hidden="false" customHeight="false" outlineLevel="0" collapsed="false">
      <c r="A453" s="0" t="s">
        <v>5478</v>
      </c>
      <c r="B453" s="0" t="s">
        <v>4963</v>
      </c>
      <c r="C453" s="0" t="s">
        <v>211</v>
      </c>
      <c r="D453" s="14" t="n">
        <v>46123</v>
      </c>
      <c r="E453" s="0" t="n">
        <v>2645.41</v>
      </c>
    </row>
    <row r="454" customFormat="false" ht="15" hidden="false" customHeight="false" outlineLevel="0" collapsed="false">
      <c r="A454" s="0" t="s">
        <v>5479</v>
      </c>
      <c r="B454" s="0" t="s">
        <v>4965</v>
      </c>
      <c r="C454" s="0" t="s">
        <v>265</v>
      </c>
      <c r="D454" s="14" t="n">
        <v>46032</v>
      </c>
      <c r="E454" s="0" t="n">
        <v>3755.82</v>
      </c>
    </row>
    <row r="455" customFormat="false" ht="15" hidden="false" customHeight="false" outlineLevel="0" collapsed="false">
      <c r="A455" s="0" t="s">
        <v>5480</v>
      </c>
      <c r="B455" s="0" t="s">
        <v>4966</v>
      </c>
      <c r="C455" s="0" t="s">
        <v>217</v>
      </c>
      <c r="D455" s="14" t="n">
        <v>46045</v>
      </c>
      <c r="E455" s="0" t="n">
        <v>1123.7</v>
      </c>
    </row>
    <row r="456" customFormat="false" ht="15" hidden="false" customHeight="false" outlineLevel="0" collapsed="false">
      <c r="A456" s="0" t="s">
        <v>5481</v>
      </c>
      <c r="B456" s="0" t="s">
        <v>4970</v>
      </c>
      <c r="C456" s="0" t="s">
        <v>208</v>
      </c>
      <c r="D456" s="14" t="n">
        <v>46003</v>
      </c>
      <c r="E456" s="0" t="n">
        <v>2332.5</v>
      </c>
    </row>
    <row r="457" customFormat="false" ht="15" hidden="false" customHeight="false" outlineLevel="0" collapsed="false">
      <c r="A457" s="0" t="s">
        <v>5482</v>
      </c>
      <c r="B457" s="0" t="s">
        <v>4971</v>
      </c>
      <c r="C457" s="0" t="s">
        <v>241</v>
      </c>
      <c r="D457" s="14" t="n">
        <v>45798</v>
      </c>
      <c r="E457" s="0" t="n">
        <v>1869.4</v>
      </c>
    </row>
    <row r="458" customFormat="false" ht="15" hidden="false" customHeight="false" outlineLevel="0" collapsed="false">
      <c r="A458" s="0" t="s">
        <v>5483</v>
      </c>
      <c r="B458" s="0" t="s">
        <v>4974</v>
      </c>
      <c r="C458" s="0" t="s">
        <v>265</v>
      </c>
      <c r="D458" s="14" t="n">
        <v>45816</v>
      </c>
      <c r="E458" s="0" t="n">
        <v>533.42</v>
      </c>
    </row>
    <row r="459" customFormat="false" ht="15" hidden="false" customHeight="false" outlineLevel="0" collapsed="false">
      <c r="A459" s="0" t="s">
        <v>5484</v>
      </c>
      <c r="B459" s="0" t="s">
        <v>4975</v>
      </c>
      <c r="C459" s="0" t="s">
        <v>267</v>
      </c>
      <c r="D459" s="14" t="n">
        <v>45771</v>
      </c>
      <c r="E459" s="0" t="n">
        <v>1235.59</v>
      </c>
    </row>
    <row r="460" customFormat="false" ht="15" hidden="false" customHeight="false" outlineLevel="0" collapsed="false">
      <c r="A460" s="0" t="s">
        <v>5485</v>
      </c>
      <c r="B460" s="0" t="s">
        <v>4976</v>
      </c>
      <c r="C460" s="0" t="s">
        <v>211</v>
      </c>
      <c r="D460" s="14" t="n">
        <v>46077</v>
      </c>
      <c r="E460" s="0" t="n">
        <v>3621.75</v>
      </c>
    </row>
    <row r="461" customFormat="false" ht="15" hidden="false" customHeight="false" outlineLevel="0" collapsed="false">
      <c r="A461" s="0" t="s">
        <v>5486</v>
      </c>
      <c r="B461" s="0" t="s">
        <v>4977</v>
      </c>
      <c r="C461" s="0" t="s">
        <v>230</v>
      </c>
      <c r="D461" s="14" t="n">
        <v>45862</v>
      </c>
      <c r="E461" s="0" t="n">
        <v>310.9</v>
      </c>
    </row>
    <row r="462" customFormat="false" ht="15" hidden="false" customHeight="false" outlineLevel="0" collapsed="false">
      <c r="A462" s="0" t="s">
        <v>5487</v>
      </c>
      <c r="B462" s="0" t="s">
        <v>4978</v>
      </c>
      <c r="C462" s="0" t="s">
        <v>239</v>
      </c>
      <c r="D462" s="14" t="n">
        <v>45859</v>
      </c>
      <c r="E462" s="0" t="n">
        <v>434.92</v>
      </c>
    </row>
    <row r="463" customFormat="false" ht="15" hidden="false" customHeight="false" outlineLevel="0" collapsed="false">
      <c r="A463" s="0" t="s">
        <v>5488</v>
      </c>
      <c r="B463" s="0" t="s">
        <v>4979</v>
      </c>
      <c r="C463" s="0" t="s">
        <v>247</v>
      </c>
      <c r="D463" s="14" t="n">
        <v>46176</v>
      </c>
      <c r="E463" s="0" t="n">
        <v>1575.31</v>
      </c>
    </row>
    <row r="464" customFormat="false" ht="15" hidden="false" customHeight="false" outlineLevel="0" collapsed="false">
      <c r="A464" s="0" t="s">
        <v>5489</v>
      </c>
      <c r="B464" s="0" t="s">
        <v>4980</v>
      </c>
      <c r="C464" s="0" t="s">
        <v>222</v>
      </c>
      <c r="D464" s="14" t="n">
        <v>46093</v>
      </c>
      <c r="E464" s="0" t="n">
        <v>4060.23</v>
      </c>
    </row>
    <row r="465" customFormat="false" ht="15" hidden="false" customHeight="false" outlineLevel="0" collapsed="false">
      <c r="A465" s="0" t="s">
        <v>5490</v>
      </c>
      <c r="B465" s="0" t="s">
        <v>4981</v>
      </c>
      <c r="C465" s="0" t="s">
        <v>222</v>
      </c>
      <c r="D465" s="14" t="n">
        <v>45848</v>
      </c>
      <c r="E465" s="0" t="n">
        <v>446.95</v>
      </c>
    </row>
    <row r="466" customFormat="false" ht="15" hidden="false" customHeight="false" outlineLevel="0" collapsed="false">
      <c r="A466" s="0" t="s">
        <v>5491</v>
      </c>
      <c r="B466" s="0" t="s">
        <v>4982</v>
      </c>
      <c r="C466" s="0" t="s">
        <v>261</v>
      </c>
      <c r="D466" s="14" t="n">
        <v>45751</v>
      </c>
      <c r="E466" s="0" t="n">
        <v>769.32</v>
      </c>
    </row>
    <row r="467" customFormat="false" ht="15" hidden="false" customHeight="false" outlineLevel="0" collapsed="false">
      <c r="A467" s="0" t="s">
        <v>5492</v>
      </c>
      <c r="B467" s="0" t="s">
        <v>4983</v>
      </c>
      <c r="C467" s="0" t="s">
        <v>255</v>
      </c>
      <c r="D467" s="14" t="n">
        <v>46036</v>
      </c>
      <c r="E467" s="0" t="n">
        <v>1309.37</v>
      </c>
    </row>
    <row r="468" customFormat="false" ht="15" hidden="false" customHeight="false" outlineLevel="0" collapsed="false">
      <c r="A468" s="0" t="s">
        <v>5493</v>
      </c>
      <c r="B468" s="0" t="s">
        <v>4984</v>
      </c>
      <c r="C468" s="0" t="s">
        <v>261</v>
      </c>
      <c r="D468" s="14" t="n">
        <v>45865</v>
      </c>
      <c r="E468" s="0" t="n">
        <v>936.39</v>
      </c>
    </row>
    <row r="469" customFormat="false" ht="15" hidden="false" customHeight="false" outlineLevel="0" collapsed="false">
      <c r="A469" s="0" t="s">
        <v>5494</v>
      </c>
      <c r="B469" s="0" t="s">
        <v>4986</v>
      </c>
      <c r="C469" s="0" t="s">
        <v>236</v>
      </c>
      <c r="D469" s="14" t="n">
        <v>46126</v>
      </c>
      <c r="E469" s="0" t="n">
        <v>685.41</v>
      </c>
    </row>
    <row r="470" customFormat="false" ht="15" hidden="false" customHeight="false" outlineLevel="0" collapsed="false">
      <c r="A470" s="0" t="s">
        <v>5495</v>
      </c>
      <c r="B470" s="0" t="s">
        <v>4988</v>
      </c>
      <c r="C470" s="0" t="s">
        <v>211</v>
      </c>
      <c r="D470" s="14" t="n">
        <v>46118</v>
      </c>
      <c r="E470" s="0" t="n">
        <v>2400.89</v>
      </c>
    </row>
    <row r="471" customFormat="false" ht="15" hidden="false" customHeight="false" outlineLevel="0" collapsed="false">
      <c r="A471" s="0" t="s">
        <v>5496</v>
      </c>
      <c r="B471" s="0" t="s">
        <v>4989</v>
      </c>
      <c r="C471" s="0" t="s">
        <v>263</v>
      </c>
      <c r="D471" s="14" t="n">
        <v>45836</v>
      </c>
      <c r="E471" s="0" t="n">
        <v>19038.18</v>
      </c>
    </row>
    <row r="472" customFormat="false" ht="15" hidden="false" customHeight="false" outlineLevel="0" collapsed="false">
      <c r="A472" s="0" t="s">
        <v>5497</v>
      </c>
      <c r="B472" s="0" t="s">
        <v>4991</v>
      </c>
      <c r="C472" s="0" t="s">
        <v>261</v>
      </c>
      <c r="D472" s="14" t="n">
        <v>46059</v>
      </c>
      <c r="E472" s="0" t="n">
        <v>2291.28</v>
      </c>
    </row>
    <row r="473" customFormat="false" ht="15" hidden="false" customHeight="false" outlineLevel="0" collapsed="false">
      <c r="A473" s="0" t="s">
        <v>5498</v>
      </c>
      <c r="B473" s="0" t="s">
        <v>4992</v>
      </c>
      <c r="C473" s="0" t="s">
        <v>236</v>
      </c>
      <c r="D473" s="14" t="n">
        <v>45854</v>
      </c>
      <c r="E473" s="0" t="n">
        <v>249.31</v>
      </c>
    </row>
    <row r="474" customFormat="false" ht="15" hidden="false" customHeight="false" outlineLevel="0" collapsed="false">
      <c r="A474" s="0" t="s">
        <v>5499</v>
      </c>
      <c r="B474" s="0" t="s">
        <v>4993</v>
      </c>
      <c r="C474" s="0" t="s">
        <v>265</v>
      </c>
      <c r="D474" s="14" t="n">
        <v>45920</v>
      </c>
      <c r="E474" s="0" t="n">
        <v>1973.38</v>
      </c>
    </row>
    <row r="475" customFormat="false" ht="15" hidden="false" customHeight="false" outlineLevel="0" collapsed="false">
      <c r="A475" s="0" t="s">
        <v>5500</v>
      </c>
      <c r="B475" s="0" t="s">
        <v>4994</v>
      </c>
      <c r="C475" s="0" t="s">
        <v>228</v>
      </c>
      <c r="D475" s="14" t="n">
        <v>45809</v>
      </c>
      <c r="E475" s="0" t="n">
        <v>1252.42</v>
      </c>
    </row>
    <row r="476" customFormat="false" ht="15" hidden="false" customHeight="false" outlineLevel="0" collapsed="false">
      <c r="A476" s="0" t="s">
        <v>5501</v>
      </c>
      <c r="B476" s="0" t="s">
        <v>4995</v>
      </c>
      <c r="C476" s="0" t="s">
        <v>267</v>
      </c>
      <c r="D476" s="14" t="n">
        <v>45952</v>
      </c>
      <c r="E476" s="0" t="n">
        <v>304.24</v>
      </c>
    </row>
    <row r="477" customFormat="false" ht="15" hidden="false" customHeight="false" outlineLevel="0" collapsed="false">
      <c r="A477" s="0" t="s">
        <v>5502</v>
      </c>
      <c r="B477" s="0" t="s">
        <v>4996</v>
      </c>
      <c r="C477" s="0" t="s">
        <v>265</v>
      </c>
      <c r="D477" s="14" t="n">
        <v>45813</v>
      </c>
      <c r="E477" s="0" t="n">
        <v>1479.95</v>
      </c>
    </row>
    <row r="478" customFormat="false" ht="15" hidden="false" customHeight="false" outlineLevel="0" collapsed="false">
      <c r="A478" s="0" t="s">
        <v>5503</v>
      </c>
      <c r="B478" s="0" t="s">
        <v>4997</v>
      </c>
      <c r="C478" s="0" t="s">
        <v>270</v>
      </c>
      <c r="D478" s="14" t="n">
        <v>45952</v>
      </c>
      <c r="E478" s="0" t="n">
        <v>3207.98</v>
      </c>
    </row>
    <row r="479" customFormat="false" ht="15" hidden="false" customHeight="false" outlineLevel="0" collapsed="false">
      <c r="A479" s="0" t="s">
        <v>5504</v>
      </c>
      <c r="B479" s="0" t="s">
        <v>4998</v>
      </c>
      <c r="C479" s="0" t="s">
        <v>224</v>
      </c>
      <c r="D479" s="14" t="n">
        <v>46185</v>
      </c>
      <c r="E479" s="0" t="n">
        <v>874.24</v>
      </c>
    </row>
    <row r="480" customFormat="false" ht="15" hidden="false" customHeight="false" outlineLevel="0" collapsed="false">
      <c r="A480" s="0" t="s">
        <v>5505</v>
      </c>
      <c r="B480" s="0" t="s">
        <v>4999</v>
      </c>
      <c r="C480" s="0" t="s">
        <v>253</v>
      </c>
      <c r="D480" s="14" t="n">
        <v>46077</v>
      </c>
      <c r="E480" s="0" t="n">
        <v>433.9</v>
      </c>
    </row>
    <row r="481" customFormat="false" ht="15" hidden="false" customHeight="false" outlineLevel="0" collapsed="false">
      <c r="A481" s="0" t="s">
        <v>5506</v>
      </c>
      <c r="B481" s="0" t="s">
        <v>5000</v>
      </c>
      <c r="C481" s="0" t="s">
        <v>249</v>
      </c>
      <c r="D481" s="14" t="n">
        <v>45756</v>
      </c>
      <c r="E481" s="0" t="n">
        <v>7401.16</v>
      </c>
    </row>
    <row r="482" customFormat="false" ht="15" hidden="false" customHeight="false" outlineLevel="0" collapsed="false">
      <c r="A482" s="0" t="s">
        <v>5507</v>
      </c>
      <c r="B482" s="0" t="s">
        <v>5001</v>
      </c>
      <c r="C482" s="0" t="s">
        <v>249</v>
      </c>
      <c r="D482" s="14" t="n">
        <v>46028</v>
      </c>
      <c r="E482" s="0" t="n">
        <v>4832.02</v>
      </c>
    </row>
    <row r="483" customFormat="false" ht="15" hidden="false" customHeight="false" outlineLevel="0" collapsed="false">
      <c r="A483" s="0" t="s">
        <v>5508</v>
      </c>
      <c r="B483" s="0" t="s">
        <v>5002</v>
      </c>
      <c r="C483" s="0" t="s">
        <v>253</v>
      </c>
      <c r="D483" s="14" t="n">
        <v>46006</v>
      </c>
      <c r="E483" s="0" t="n">
        <v>2365.49</v>
      </c>
    </row>
    <row r="484" customFormat="false" ht="15" hidden="false" customHeight="false" outlineLevel="0" collapsed="false">
      <c r="A484" s="0" t="s">
        <v>5509</v>
      </c>
      <c r="B484" s="0" t="s">
        <v>5003</v>
      </c>
      <c r="C484" s="0" t="s">
        <v>224</v>
      </c>
      <c r="D484" s="14" t="n">
        <v>45820</v>
      </c>
      <c r="E484" s="0" t="n">
        <v>1800.86</v>
      </c>
    </row>
    <row r="485" customFormat="false" ht="15" hidden="false" customHeight="false" outlineLevel="0" collapsed="false">
      <c r="A485" s="0" t="s">
        <v>5510</v>
      </c>
      <c r="B485" s="0" t="s">
        <v>5004</v>
      </c>
      <c r="C485" s="0" t="s">
        <v>241</v>
      </c>
      <c r="D485" s="14" t="n">
        <v>46039</v>
      </c>
      <c r="E485" s="0" t="n">
        <v>20829.97</v>
      </c>
    </row>
    <row r="486" customFormat="false" ht="15" hidden="false" customHeight="false" outlineLevel="0" collapsed="false">
      <c r="A486" s="0" t="s">
        <v>5511</v>
      </c>
      <c r="B486" s="0" t="s">
        <v>5005</v>
      </c>
      <c r="C486" s="0" t="s">
        <v>239</v>
      </c>
      <c r="D486" s="14" t="n">
        <v>45970</v>
      </c>
      <c r="E486" s="0" t="n">
        <v>308.07</v>
      </c>
    </row>
    <row r="487" customFormat="false" ht="15" hidden="false" customHeight="false" outlineLevel="0" collapsed="false">
      <c r="A487" s="0" t="s">
        <v>5512</v>
      </c>
      <c r="B487" s="0" t="s">
        <v>5006</v>
      </c>
      <c r="C487" s="0" t="s">
        <v>243</v>
      </c>
      <c r="D487" s="14" t="n">
        <v>46031</v>
      </c>
      <c r="E487" s="0" t="n">
        <v>2509.92</v>
      </c>
    </row>
    <row r="488" customFormat="false" ht="15" hidden="false" customHeight="false" outlineLevel="0" collapsed="false">
      <c r="A488" s="0" t="s">
        <v>5513</v>
      </c>
      <c r="B488" s="0" t="s">
        <v>5007</v>
      </c>
      <c r="C488" s="0" t="s">
        <v>245</v>
      </c>
      <c r="D488" s="14" t="n">
        <v>45725</v>
      </c>
      <c r="E488" s="0" t="n">
        <v>13746.34</v>
      </c>
    </row>
    <row r="489" customFormat="false" ht="15" hidden="false" customHeight="false" outlineLevel="0" collapsed="false">
      <c r="A489" s="0" t="s">
        <v>5514</v>
      </c>
      <c r="B489" s="0" t="s">
        <v>5008</v>
      </c>
      <c r="C489" s="0" t="s">
        <v>239</v>
      </c>
      <c r="D489" s="14" t="n">
        <v>45902</v>
      </c>
      <c r="E489" s="0" t="n">
        <v>2328.05</v>
      </c>
    </row>
    <row r="490" customFormat="false" ht="15" hidden="false" customHeight="false" outlineLevel="0" collapsed="false">
      <c r="A490" s="0" t="s">
        <v>5515</v>
      </c>
      <c r="B490" s="0" t="s">
        <v>5009</v>
      </c>
      <c r="C490" s="0" t="s">
        <v>243</v>
      </c>
      <c r="D490" s="14" t="n">
        <v>46049</v>
      </c>
      <c r="E490" s="0" t="n">
        <v>700.59</v>
      </c>
    </row>
    <row r="491" customFormat="false" ht="15" hidden="false" customHeight="false" outlineLevel="0" collapsed="false">
      <c r="A491" s="0" t="s">
        <v>5516</v>
      </c>
      <c r="B491" s="0" t="s">
        <v>5010</v>
      </c>
      <c r="C491" s="0" t="s">
        <v>263</v>
      </c>
      <c r="D491" s="14" t="n">
        <v>45743</v>
      </c>
      <c r="E491" s="0" t="n">
        <v>1796.89</v>
      </c>
    </row>
    <row r="492" customFormat="false" ht="15" hidden="false" customHeight="false" outlineLevel="0" collapsed="false">
      <c r="A492" s="0" t="s">
        <v>5517</v>
      </c>
      <c r="B492" s="0" t="s">
        <v>5012</v>
      </c>
      <c r="C492" s="0" t="s">
        <v>217</v>
      </c>
      <c r="D492" s="14" t="n">
        <v>45690</v>
      </c>
      <c r="E492" s="0" t="n">
        <v>4661.09</v>
      </c>
    </row>
    <row r="493" customFormat="false" ht="15" hidden="false" customHeight="false" outlineLevel="0" collapsed="false">
      <c r="A493" s="0" t="s">
        <v>5518</v>
      </c>
      <c r="B493" s="0" t="s">
        <v>5014</v>
      </c>
      <c r="C493" s="0" t="s">
        <v>232</v>
      </c>
      <c r="D493" s="14" t="n">
        <v>46192</v>
      </c>
      <c r="E493" s="0" t="n">
        <v>11680.95</v>
      </c>
    </row>
    <row r="494" customFormat="false" ht="15" hidden="false" customHeight="false" outlineLevel="0" collapsed="false">
      <c r="A494" s="0" t="s">
        <v>5519</v>
      </c>
      <c r="B494" s="0" t="s">
        <v>5015</v>
      </c>
      <c r="C494" s="0" t="s">
        <v>268</v>
      </c>
      <c r="D494" s="14" t="n">
        <v>45892</v>
      </c>
      <c r="E494" s="0" t="n">
        <v>2499.07</v>
      </c>
    </row>
    <row r="495" customFormat="false" ht="15" hidden="false" customHeight="false" outlineLevel="0" collapsed="false">
      <c r="A495" s="0" t="s">
        <v>5520</v>
      </c>
      <c r="B495" s="0" t="s">
        <v>5016</v>
      </c>
      <c r="C495" s="0" t="s">
        <v>228</v>
      </c>
      <c r="D495" s="14" t="n">
        <v>46200</v>
      </c>
      <c r="E495" s="0" t="n">
        <v>1727.04</v>
      </c>
    </row>
    <row r="496" customFormat="false" ht="15" hidden="false" customHeight="false" outlineLevel="0" collapsed="false">
      <c r="A496" s="0" t="s">
        <v>5521</v>
      </c>
      <c r="B496" s="0" t="s">
        <v>5017</v>
      </c>
      <c r="C496" s="0" t="s">
        <v>224</v>
      </c>
      <c r="D496" s="14" t="n">
        <v>46170</v>
      </c>
      <c r="E496" s="0" t="n">
        <v>4942.64</v>
      </c>
    </row>
    <row r="497" customFormat="false" ht="15" hidden="false" customHeight="false" outlineLevel="0" collapsed="false">
      <c r="A497" s="0" t="s">
        <v>5522</v>
      </c>
      <c r="B497" s="0" t="s">
        <v>5018</v>
      </c>
      <c r="C497" s="0" t="s">
        <v>208</v>
      </c>
      <c r="D497" s="14" t="n">
        <v>45952</v>
      </c>
      <c r="E497" s="0" t="n">
        <v>2782.84</v>
      </c>
    </row>
    <row r="498" customFormat="false" ht="15" hidden="false" customHeight="false" outlineLevel="0" collapsed="false">
      <c r="A498" s="0" t="s">
        <v>5523</v>
      </c>
      <c r="B498" s="0" t="s">
        <v>5019</v>
      </c>
      <c r="C498" s="0" t="s">
        <v>245</v>
      </c>
      <c r="D498" s="14" t="n">
        <v>45788</v>
      </c>
      <c r="E498" s="0" t="n">
        <v>11817.42</v>
      </c>
    </row>
    <row r="499" customFormat="false" ht="15" hidden="false" customHeight="false" outlineLevel="0" collapsed="false">
      <c r="A499" s="0" t="s">
        <v>5524</v>
      </c>
      <c r="B499" s="0" t="s">
        <v>5020</v>
      </c>
      <c r="C499" s="0" t="s">
        <v>270</v>
      </c>
      <c r="D499" s="14" t="n">
        <v>46184</v>
      </c>
      <c r="E499" s="0" t="n">
        <v>703.13</v>
      </c>
    </row>
    <row r="500" customFormat="false" ht="15" hidden="false" customHeight="false" outlineLevel="0" collapsed="false">
      <c r="A500" s="0" t="s">
        <v>5525</v>
      </c>
      <c r="B500" s="0" t="s">
        <v>5021</v>
      </c>
      <c r="C500" s="0" t="s">
        <v>211</v>
      </c>
      <c r="D500" s="14" t="n">
        <v>45856</v>
      </c>
      <c r="E500" s="0" t="n">
        <v>1046.68</v>
      </c>
    </row>
    <row r="501" customFormat="false" ht="15" hidden="false" customHeight="false" outlineLevel="0" collapsed="false">
      <c r="A501" s="0" t="s">
        <v>5526</v>
      </c>
      <c r="B501" s="0" t="s">
        <v>5022</v>
      </c>
      <c r="C501" s="0" t="s">
        <v>259</v>
      </c>
      <c r="D501" s="14" t="n">
        <v>46020</v>
      </c>
      <c r="E501" s="0" t="n">
        <v>1573.73</v>
      </c>
    </row>
    <row r="502" customFormat="false" ht="15" hidden="false" customHeight="false" outlineLevel="0" collapsed="false">
      <c r="A502" s="0" t="s">
        <v>5527</v>
      </c>
      <c r="B502" s="0" t="s">
        <v>5023</v>
      </c>
      <c r="C502" s="0" t="s">
        <v>214</v>
      </c>
      <c r="D502" s="14" t="n">
        <v>46181</v>
      </c>
      <c r="E502" s="0" t="n">
        <v>1461.81</v>
      </c>
    </row>
    <row r="503" customFormat="false" ht="15" hidden="false" customHeight="false" outlineLevel="0" collapsed="false">
      <c r="A503" s="0" t="s">
        <v>5528</v>
      </c>
      <c r="B503" s="0" t="s">
        <v>5024</v>
      </c>
      <c r="C503" s="0" t="s">
        <v>253</v>
      </c>
      <c r="D503" s="14" t="n">
        <v>45739</v>
      </c>
      <c r="E503" s="0" t="n">
        <v>3855.14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8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5529</v>
      </c>
    </row>
    <row r="2" customFormat="false" ht="15" hidden="false" customHeight="false" outlineLevel="0" collapsed="false">
      <c r="A2" s="2" t="s">
        <v>5530</v>
      </c>
    </row>
    <row r="4" customFormat="false" ht="27.75" hidden="false" customHeight="true" outlineLevel="0" collapsed="false">
      <c r="A4" s="7" t="s">
        <v>272</v>
      </c>
      <c r="B4" s="7" t="s">
        <v>63</v>
      </c>
      <c r="C4" s="7" t="s">
        <v>64</v>
      </c>
      <c r="D4" s="7" t="s">
        <v>273</v>
      </c>
      <c r="E4" s="7" t="s">
        <v>274</v>
      </c>
      <c r="F4" s="7" t="s">
        <v>5531</v>
      </c>
      <c r="G4" s="7" t="s">
        <v>1955</v>
      </c>
      <c r="H4" s="7" t="s">
        <v>5532</v>
      </c>
      <c r="I4" s="7" t="s">
        <v>5533</v>
      </c>
      <c r="J4" s="7" t="s">
        <v>5534</v>
      </c>
      <c r="K4" s="7" t="s">
        <v>5535</v>
      </c>
      <c r="L4" s="7" t="s">
        <v>5536</v>
      </c>
    </row>
    <row r="5" customFormat="false" ht="15" hidden="false" customHeight="false" outlineLevel="0" collapsed="false">
      <c r="A5" s="16" t="str">
        <f aca="false">Purchase_Orders!A2</f>
        <v>PO10001</v>
      </c>
      <c r="B5" s="16" t="str">
        <f aca="false">Purchase_Orders!B2</f>
        <v>V1020</v>
      </c>
      <c r="C5" s="16" t="str">
        <f aca="false">IFERROR(INDEX(Vendor_Master!$B$2:$B$41,MATCH(B5,Vendor_Master!$A$2:$A$41,0)),"Unknown Vendor")</f>
        <v>Lewis-Porter</v>
      </c>
      <c r="D5" s="17" t="n">
        <f aca="false">Purchase_Orders!C2</f>
        <v>46091</v>
      </c>
      <c r="E5" s="18" t="n">
        <f aca="false">Purchase_Orders!D2</f>
        <v>1309.32</v>
      </c>
      <c r="F5" s="18" t="n">
        <f aca="false">SUMIFS(Goods_Receipt_Notes!$D$2:$D$791,Goods_Receipt_Notes!$B$2:$B$791,A5)</f>
        <v>1309.32</v>
      </c>
      <c r="G5" s="18" t="n">
        <f aca="false">SUMIFS(Vendor_Invoices_AP!$E$2:$E$882,Vendor_Invoices_AP!$B$2:$B$882,A5)</f>
        <v>1417.41</v>
      </c>
      <c r="H5" s="16" t="str">
        <f aca="false">IF(F5=0,"Not Received","Received")</f>
        <v>Received</v>
      </c>
      <c r="I5" s="16" t="str">
        <f aca="false">IF(G5=0,"Not Invoiced","Invoiced")</f>
        <v>Invoiced</v>
      </c>
      <c r="J5" s="18" t="n">
        <f aca="false">E5-F5</f>
        <v>0</v>
      </c>
      <c r="K5" s="18" t="n">
        <f aca="false">E5-G5</f>
        <v>-108.09</v>
      </c>
      <c r="L5" s="16" t="str">
        <f aca="false">IF(OR(AND(I5="Invoiced",H5="Not Received"),AND(F5&gt;0,ABS(J5)&gt;Assumptions!$B$6),AND(G5&gt;0,ABS(K5)&gt;Assumptions!$B$6)),"EXCEPTION","OK")</f>
        <v>EXCEPTION</v>
      </c>
    </row>
    <row r="6" customFormat="false" ht="15" hidden="false" customHeight="false" outlineLevel="0" collapsed="false">
      <c r="A6" s="16" t="str">
        <f aca="false">Purchase_Orders!A3</f>
        <v>PO10002</v>
      </c>
      <c r="B6" s="16" t="str">
        <f aca="false">Purchase_Orders!B3</f>
        <v>V1034</v>
      </c>
      <c r="C6" s="16" t="str">
        <f aca="false">IFERROR(INDEX(Vendor_Master!$B$2:$B$41,MATCH(B6,Vendor_Master!$A$2:$A$41,0)),"Unknown Vendor")</f>
        <v>Koch-Decker</v>
      </c>
      <c r="D6" s="17" t="n">
        <f aca="false">Purchase_Orders!C3</f>
        <v>45782</v>
      </c>
      <c r="E6" s="18" t="n">
        <f aca="false">Purchase_Orders!D3</f>
        <v>1749.66</v>
      </c>
      <c r="F6" s="18" t="n">
        <f aca="false">SUMIFS(Goods_Receipt_Notes!$D$2:$D$791,Goods_Receipt_Notes!$B$2:$B$791,A6)</f>
        <v>1749.66</v>
      </c>
      <c r="G6" s="18" t="n">
        <f aca="false">SUMIFS(Vendor_Invoices_AP!$E$2:$E$882,Vendor_Invoices_AP!$B$2:$B$882,A6)</f>
        <v>1749.66</v>
      </c>
      <c r="H6" s="16" t="str">
        <f aca="false">IF(F6=0,"Not Received","Received")</f>
        <v>Received</v>
      </c>
      <c r="I6" s="16" t="str">
        <f aca="false">IF(G6=0,"Not Invoiced","Invoiced")</f>
        <v>Invoiced</v>
      </c>
      <c r="J6" s="18" t="n">
        <f aca="false">E6-F6</f>
        <v>0</v>
      </c>
      <c r="K6" s="18" t="n">
        <f aca="false">E6-G6</f>
        <v>0</v>
      </c>
      <c r="L6" s="16" t="str">
        <f aca="false">IF(OR(AND(I6="Invoiced",H6="Not Received"),AND(F6&gt;0,ABS(J6)&gt;Assumptions!$B$6),AND(G6&gt;0,ABS(K6)&gt;Assumptions!$B$6)),"EXCEPTION","OK")</f>
        <v>OK</v>
      </c>
    </row>
    <row r="7" customFormat="false" ht="15" hidden="false" customHeight="false" outlineLevel="0" collapsed="false">
      <c r="A7" s="16" t="str">
        <f aca="false">Purchase_Orders!A4</f>
        <v>PO10003</v>
      </c>
      <c r="B7" s="16" t="str">
        <f aca="false">Purchase_Orders!B4</f>
        <v>V1014</v>
      </c>
      <c r="C7" s="16" t="str">
        <f aca="false">IFERROR(INDEX(Vendor_Master!$B$2:$B$41,MATCH(B7,Vendor_Master!$A$2:$A$41,0)),"Unknown Vendor")</f>
        <v>Flowers, Martin and Kelly</v>
      </c>
      <c r="D7" s="17" t="n">
        <f aca="false">Purchase_Orders!C4</f>
        <v>45670</v>
      </c>
      <c r="E7" s="18" t="n">
        <f aca="false">Purchase_Orders!D4</f>
        <v>2691.35</v>
      </c>
      <c r="F7" s="18" t="n">
        <f aca="false">SUMIFS(Goods_Receipt_Notes!$D$2:$D$791,Goods_Receipt_Notes!$B$2:$B$791,A7)</f>
        <v>1676.95</v>
      </c>
      <c r="G7" s="18" t="n">
        <f aca="false">SUMIFS(Vendor_Invoices_AP!$E$2:$E$882,Vendor_Invoices_AP!$B$2:$B$882,A7)</f>
        <v>2691.35</v>
      </c>
      <c r="H7" s="16" t="str">
        <f aca="false">IF(F7=0,"Not Received","Received")</f>
        <v>Received</v>
      </c>
      <c r="I7" s="16" t="str">
        <f aca="false">IF(G7=0,"Not Invoiced","Invoiced")</f>
        <v>Invoiced</v>
      </c>
      <c r="J7" s="18" t="n">
        <f aca="false">E7-F7</f>
        <v>1014.4</v>
      </c>
      <c r="K7" s="18" t="n">
        <f aca="false">E7-G7</f>
        <v>0</v>
      </c>
      <c r="L7" s="16" t="str">
        <f aca="false">IF(OR(AND(I7="Invoiced",H7="Not Received"),AND(F7&gt;0,ABS(J7)&gt;Assumptions!$B$6),AND(G7&gt;0,ABS(K7)&gt;Assumptions!$B$6)),"EXCEPTION","OK")</f>
        <v>EXCEPTION</v>
      </c>
    </row>
    <row r="8" customFormat="false" ht="15" hidden="false" customHeight="false" outlineLevel="0" collapsed="false">
      <c r="A8" s="16" t="str">
        <f aca="false">Purchase_Orders!A5</f>
        <v>PO10004</v>
      </c>
      <c r="B8" s="16" t="str">
        <f aca="false">Purchase_Orders!B5</f>
        <v>V1040</v>
      </c>
      <c r="C8" s="16" t="str">
        <f aca="false">IFERROR(INDEX(Vendor_Master!$B$2:$B$41,MATCH(B8,Vendor_Master!$A$2:$A$41,0)),"Unknown Vendor")</f>
        <v>Santos, Kim and Holmes</v>
      </c>
      <c r="D8" s="17" t="n">
        <f aca="false">Purchase_Orders!C5</f>
        <v>45763</v>
      </c>
      <c r="E8" s="18" t="n">
        <f aca="false">Purchase_Orders!D5</f>
        <v>889.24</v>
      </c>
      <c r="F8" s="18" t="n">
        <f aca="false">SUMIFS(Goods_Receipt_Notes!$D$2:$D$791,Goods_Receipt_Notes!$B$2:$B$791,A8)</f>
        <v>889.24</v>
      </c>
      <c r="G8" s="18" t="n">
        <f aca="false">SUMIFS(Vendor_Invoices_AP!$E$2:$E$882,Vendor_Invoices_AP!$B$2:$B$882,A8)</f>
        <v>889.24</v>
      </c>
      <c r="H8" s="16" t="str">
        <f aca="false">IF(F8=0,"Not Received","Received")</f>
        <v>Received</v>
      </c>
      <c r="I8" s="16" t="str">
        <f aca="false">IF(G8=0,"Not Invoiced","Invoiced")</f>
        <v>Invoiced</v>
      </c>
      <c r="J8" s="18" t="n">
        <f aca="false">E8-F8</f>
        <v>0</v>
      </c>
      <c r="K8" s="18" t="n">
        <f aca="false">E8-G8</f>
        <v>0</v>
      </c>
      <c r="L8" s="16" t="str">
        <f aca="false">IF(OR(AND(I8="Invoiced",H8="Not Received"),AND(F8&gt;0,ABS(J8)&gt;Assumptions!$B$6),AND(G8&gt;0,ABS(K8)&gt;Assumptions!$B$6)),"EXCEPTION","OK")</f>
        <v>OK</v>
      </c>
    </row>
    <row r="9" customFormat="false" ht="15" hidden="false" customHeight="false" outlineLevel="0" collapsed="false">
      <c r="A9" s="16" t="str">
        <f aca="false">Purchase_Orders!A6</f>
        <v>PO10005</v>
      </c>
      <c r="B9" s="16" t="str">
        <f aca="false">Purchase_Orders!B6</f>
        <v>V1022</v>
      </c>
      <c r="C9" s="16" t="str">
        <f aca="false">IFERROR(INDEX(Vendor_Master!$B$2:$B$41,MATCH(B9,Vendor_Master!$A$2:$A$41,0)),"Unknown Vendor")</f>
        <v>Burgess-Patterson</v>
      </c>
      <c r="D9" s="17" t="n">
        <f aca="false">Purchase_Orders!C6</f>
        <v>45836</v>
      </c>
      <c r="E9" s="18" t="n">
        <f aca="false">Purchase_Orders!D6</f>
        <v>3058.04</v>
      </c>
      <c r="F9" s="18" t="n">
        <f aca="false">SUMIFS(Goods_Receipt_Notes!$D$2:$D$791,Goods_Receipt_Notes!$B$2:$B$791,A9)</f>
        <v>3058.04</v>
      </c>
      <c r="G9" s="18" t="n">
        <f aca="false">SUMIFS(Vendor_Invoices_AP!$E$2:$E$882,Vendor_Invoices_AP!$B$2:$B$882,A9)</f>
        <v>3058.04</v>
      </c>
      <c r="H9" s="16" t="str">
        <f aca="false">IF(F9=0,"Not Received","Received")</f>
        <v>Received</v>
      </c>
      <c r="I9" s="16" t="str">
        <f aca="false">IF(G9=0,"Not Invoiced","Invoiced")</f>
        <v>Invoiced</v>
      </c>
      <c r="J9" s="18" t="n">
        <f aca="false">E9-F9</f>
        <v>0</v>
      </c>
      <c r="K9" s="18" t="n">
        <f aca="false">E9-G9</f>
        <v>0</v>
      </c>
      <c r="L9" s="16" t="str">
        <f aca="false">IF(OR(AND(I9="Invoiced",H9="Not Received"),AND(F9&gt;0,ABS(J9)&gt;Assumptions!$B$6),AND(G9&gt;0,ABS(K9)&gt;Assumptions!$B$6)),"EXCEPTION","OK")</f>
        <v>OK</v>
      </c>
    </row>
    <row r="10" customFormat="false" ht="15" hidden="false" customHeight="false" outlineLevel="0" collapsed="false">
      <c r="A10" s="16" t="str">
        <f aca="false">Purchase_Orders!A7</f>
        <v>PO10006</v>
      </c>
      <c r="B10" s="16" t="str">
        <f aca="false">Purchase_Orders!B7</f>
        <v>V1040</v>
      </c>
      <c r="C10" s="16" t="str">
        <f aca="false">IFERROR(INDEX(Vendor_Master!$B$2:$B$41,MATCH(B10,Vendor_Master!$A$2:$A$41,0)),"Unknown Vendor")</f>
        <v>Santos, Kim and Holmes</v>
      </c>
      <c r="D10" s="17" t="n">
        <f aca="false">Purchase_Orders!C7</f>
        <v>46129</v>
      </c>
      <c r="E10" s="18" t="n">
        <f aca="false">Purchase_Orders!D7</f>
        <v>1359.77</v>
      </c>
      <c r="F10" s="18" t="n">
        <f aca="false">SUMIFS(Goods_Receipt_Notes!$D$2:$D$791,Goods_Receipt_Notes!$B$2:$B$791,A10)</f>
        <v>1359.77</v>
      </c>
      <c r="G10" s="18" t="n">
        <f aca="false">SUMIFS(Vendor_Invoices_AP!$E$2:$E$882,Vendor_Invoices_AP!$B$2:$B$882,A10)</f>
        <v>1359.77</v>
      </c>
      <c r="H10" s="16" t="str">
        <f aca="false">IF(F10=0,"Not Received","Received")</f>
        <v>Received</v>
      </c>
      <c r="I10" s="16" t="str">
        <f aca="false">IF(G10=0,"Not Invoiced","Invoiced")</f>
        <v>Invoiced</v>
      </c>
      <c r="J10" s="18" t="n">
        <f aca="false">E10-F10</f>
        <v>0</v>
      </c>
      <c r="K10" s="18" t="n">
        <f aca="false">E10-G10</f>
        <v>0</v>
      </c>
      <c r="L10" s="16" t="str">
        <f aca="false">IF(OR(AND(I10="Invoiced",H10="Not Received"),AND(F10&gt;0,ABS(J10)&gt;Assumptions!$B$6),AND(G10&gt;0,ABS(K10)&gt;Assumptions!$B$6)),"EXCEPTION","OK")</f>
        <v>OK</v>
      </c>
    </row>
    <row r="11" customFormat="false" ht="15" hidden="false" customHeight="false" outlineLevel="0" collapsed="false">
      <c r="A11" s="16" t="str">
        <f aca="false">Purchase_Orders!A8</f>
        <v>PO10007</v>
      </c>
      <c r="B11" s="16" t="str">
        <f aca="false">Purchase_Orders!B8</f>
        <v>V1040</v>
      </c>
      <c r="C11" s="16" t="str">
        <f aca="false">IFERROR(INDEX(Vendor_Master!$B$2:$B$41,MATCH(B11,Vendor_Master!$A$2:$A$41,0)),"Unknown Vendor")</f>
        <v>Santos, Kim and Holmes</v>
      </c>
      <c r="D11" s="17" t="n">
        <f aca="false">Purchase_Orders!C8</f>
        <v>46184</v>
      </c>
      <c r="E11" s="18" t="n">
        <f aca="false">Purchase_Orders!D8</f>
        <v>3708.39</v>
      </c>
      <c r="F11" s="18" t="n">
        <f aca="false">SUMIFS(Goods_Receipt_Notes!$D$2:$D$791,Goods_Receipt_Notes!$B$2:$B$791,A11)</f>
        <v>3708.39</v>
      </c>
      <c r="G11" s="18" t="n">
        <f aca="false">SUMIFS(Vendor_Invoices_AP!$E$2:$E$882,Vendor_Invoices_AP!$B$2:$B$882,A11)</f>
        <v>3708.39</v>
      </c>
      <c r="H11" s="16" t="str">
        <f aca="false">IF(F11=0,"Not Received","Received")</f>
        <v>Received</v>
      </c>
      <c r="I11" s="16" t="str">
        <f aca="false">IF(G11=0,"Not Invoiced","Invoiced")</f>
        <v>Invoiced</v>
      </c>
      <c r="J11" s="18" t="n">
        <f aca="false">E11-F11</f>
        <v>0</v>
      </c>
      <c r="K11" s="18" t="n">
        <f aca="false">E11-G11</f>
        <v>0</v>
      </c>
      <c r="L11" s="16" t="str">
        <f aca="false">IF(OR(AND(I11="Invoiced",H11="Not Received"),AND(F11&gt;0,ABS(J11)&gt;Assumptions!$B$6),AND(G11&gt;0,ABS(K11)&gt;Assumptions!$B$6)),"EXCEPTION","OK")</f>
        <v>OK</v>
      </c>
    </row>
    <row r="12" customFormat="false" ht="15" hidden="false" customHeight="false" outlineLevel="0" collapsed="false">
      <c r="A12" s="16" t="str">
        <f aca="false">Purchase_Orders!A9</f>
        <v>PO10008</v>
      </c>
      <c r="B12" s="16" t="str">
        <f aca="false">Purchase_Orders!B9</f>
        <v>V1015</v>
      </c>
      <c r="C12" s="16" t="str">
        <f aca="false">IFERROR(INDEX(Vendor_Master!$B$2:$B$41,MATCH(B12,Vendor_Master!$A$2:$A$41,0)),"Unknown Vendor")</f>
        <v>Zuniga, Wong and Lynch</v>
      </c>
      <c r="D12" s="17" t="n">
        <f aca="false">Purchase_Orders!C9</f>
        <v>45810</v>
      </c>
      <c r="E12" s="18" t="n">
        <f aca="false">Purchase_Orders!D9</f>
        <v>6081.19</v>
      </c>
      <c r="F12" s="18" t="n">
        <f aca="false">SUMIFS(Goods_Receipt_Notes!$D$2:$D$791,Goods_Receipt_Notes!$B$2:$B$791,A12)</f>
        <v>0</v>
      </c>
      <c r="G12" s="18" t="n">
        <f aca="false">SUMIFS(Vendor_Invoices_AP!$E$2:$E$882,Vendor_Invoices_AP!$B$2:$B$882,A12)</f>
        <v>6081.19</v>
      </c>
      <c r="H12" s="16" t="str">
        <f aca="false">IF(F12=0,"Not Received","Received")</f>
        <v>Not Received</v>
      </c>
      <c r="I12" s="16" t="str">
        <f aca="false">IF(G12=0,"Not Invoiced","Invoiced")</f>
        <v>Invoiced</v>
      </c>
      <c r="J12" s="18" t="n">
        <f aca="false">E12-F12</f>
        <v>6081.19</v>
      </c>
      <c r="K12" s="18" t="n">
        <f aca="false">E12-G12</f>
        <v>0</v>
      </c>
      <c r="L12" s="16" t="str">
        <f aca="false">IF(OR(AND(I12="Invoiced",H12="Not Received"),AND(F12&gt;0,ABS(J12)&gt;Assumptions!$B$6),AND(G12&gt;0,ABS(K12)&gt;Assumptions!$B$6)),"EXCEPTION","OK")</f>
        <v>EXCEPTION</v>
      </c>
    </row>
    <row r="13" customFormat="false" ht="15" hidden="false" customHeight="false" outlineLevel="0" collapsed="false">
      <c r="A13" s="16" t="str">
        <f aca="false">Purchase_Orders!A10</f>
        <v>PO10009</v>
      </c>
      <c r="B13" s="16" t="str">
        <f aca="false">Purchase_Orders!B10</f>
        <v>V1018</v>
      </c>
      <c r="C13" s="16" t="str">
        <f aca="false">IFERROR(INDEX(Vendor_Master!$B$2:$B$41,MATCH(B13,Vendor_Master!$A$2:$A$41,0)),"Unknown Vendor")</f>
        <v>Underwood LLC</v>
      </c>
      <c r="D13" s="17" t="n">
        <f aca="false">Purchase_Orders!C10</f>
        <v>46007</v>
      </c>
      <c r="E13" s="18" t="n">
        <f aca="false">Purchase_Orders!D10</f>
        <v>6038.81</v>
      </c>
      <c r="F13" s="18" t="n">
        <f aca="false">SUMIFS(Goods_Receipt_Notes!$D$2:$D$791,Goods_Receipt_Notes!$B$2:$B$791,A13)</f>
        <v>6038.81</v>
      </c>
      <c r="G13" s="18" t="n">
        <f aca="false">SUMIFS(Vendor_Invoices_AP!$E$2:$E$882,Vendor_Invoices_AP!$B$2:$B$882,A13)</f>
        <v>6038.81</v>
      </c>
      <c r="H13" s="16" t="str">
        <f aca="false">IF(F13=0,"Not Received","Received")</f>
        <v>Received</v>
      </c>
      <c r="I13" s="16" t="str">
        <f aca="false">IF(G13=0,"Not Invoiced","Invoiced")</f>
        <v>Invoiced</v>
      </c>
      <c r="J13" s="18" t="n">
        <f aca="false">E13-F13</f>
        <v>0</v>
      </c>
      <c r="K13" s="18" t="n">
        <f aca="false">E13-G13</f>
        <v>0</v>
      </c>
      <c r="L13" s="16" t="str">
        <f aca="false">IF(OR(AND(I13="Invoiced",H13="Not Received"),AND(F13&gt;0,ABS(J13)&gt;Assumptions!$B$6),AND(G13&gt;0,ABS(K13)&gt;Assumptions!$B$6)),"EXCEPTION","OK")</f>
        <v>OK</v>
      </c>
    </row>
    <row r="14" customFormat="false" ht="15" hidden="false" customHeight="false" outlineLevel="0" collapsed="false">
      <c r="A14" s="16" t="str">
        <f aca="false">Purchase_Orders!A11</f>
        <v>PO10010</v>
      </c>
      <c r="B14" s="16" t="str">
        <f aca="false">Purchase_Orders!B11</f>
        <v>V1005</v>
      </c>
      <c r="C14" s="16" t="str">
        <f aca="false">IFERROR(INDEX(Vendor_Master!$B$2:$B$41,MATCH(B14,Vendor_Master!$A$2:$A$41,0)),"Unknown Vendor")</f>
        <v>Cole LLC</v>
      </c>
      <c r="D14" s="17" t="n">
        <f aca="false">Purchase_Orders!C11</f>
        <v>45875</v>
      </c>
      <c r="E14" s="18" t="n">
        <f aca="false">Purchase_Orders!D11</f>
        <v>1250.19</v>
      </c>
      <c r="F14" s="18" t="n">
        <f aca="false">SUMIFS(Goods_Receipt_Notes!$D$2:$D$791,Goods_Receipt_Notes!$B$2:$B$791,A14)</f>
        <v>721.2</v>
      </c>
      <c r="G14" s="18" t="n">
        <f aca="false">SUMIFS(Vendor_Invoices_AP!$E$2:$E$882,Vendor_Invoices_AP!$B$2:$B$882,A14)</f>
        <v>1466.07</v>
      </c>
      <c r="H14" s="16" t="str">
        <f aca="false">IF(F14=0,"Not Received","Received")</f>
        <v>Received</v>
      </c>
      <c r="I14" s="16" t="str">
        <f aca="false">IF(G14=0,"Not Invoiced","Invoiced")</f>
        <v>Invoiced</v>
      </c>
      <c r="J14" s="18" t="n">
        <f aca="false">E14-F14</f>
        <v>528.99</v>
      </c>
      <c r="K14" s="18" t="n">
        <f aca="false">E14-G14</f>
        <v>-215.88</v>
      </c>
      <c r="L14" s="16" t="str">
        <f aca="false">IF(OR(AND(I14="Invoiced",H14="Not Received"),AND(F14&gt;0,ABS(J14)&gt;Assumptions!$B$6),AND(G14&gt;0,ABS(K14)&gt;Assumptions!$B$6)),"EXCEPTION","OK")</f>
        <v>EXCEPTION</v>
      </c>
    </row>
    <row r="15" customFormat="false" ht="15" hidden="false" customHeight="false" outlineLevel="0" collapsed="false">
      <c r="A15" s="16" t="str">
        <f aca="false">Purchase_Orders!A12</f>
        <v>PO10011</v>
      </c>
      <c r="B15" s="16" t="str">
        <f aca="false">Purchase_Orders!B12</f>
        <v>V1024</v>
      </c>
      <c r="C15" s="16" t="str">
        <f aca="false">IFERROR(INDEX(Vendor_Master!$B$2:$B$41,MATCH(B15,Vendor_Master!$A$2:$A$41,0)),"Unknown Vendor")</f>
        <v>Campos Inc</v>
      </c>
      <c r="D15" s="17" t="n">
        <f aca="false">Purchase_Orders!C12</f>
        <v>46192</v>
      </c>
      <c r="E15" s="18" t="n">
        <f aca="false">Purchase_Orders!D12</f>
        <v>760.24</v>
      </c>
      <c r="F15" s="18" t="n">
        <f aca="false">SUMIFS(Goods_Receipt_Notes!$D$2:$D$791,Goods_Receipt_Notes!$B$2:$B$791,A15)</f>
        <v>760.24</v>
      </c>
      <c r="G15" s="18" t="n">
        <f aca="false">SUMIFS(Vendor_Invoices_AP!$E$2:$E$882,Vendor_Invoices_AP!$B$2:$B$882,A15)</f>
        <v>760.24</v>
      </c>
      <c r="H15" s="16" t="str">
        <f aca="false">IF(F15=0,"Not Received","Received")</f>
        <v>Received</v>
      </c>
      <c r="I15" s="16" t="str">
        <f aca="false">IF(G15=0,"Not Invoiced","Invoiced")</f>
        <v>Invoiced</v>
      </c>
      <c r="J15" s="18" t="n">
        <f aca="false">E15-F15</f>
        <v>0</v>
      </c>
      <c r="K15" s="18" t="n">
        <f aca="false">E15-G15</f>
        <v>0</v>
      </c>
      <c r="L15" s="16" t="str">
        <f aca="false">IF(OR(AND(I15="Invoiced",H15="Not Received"),AND(F15&gt;0,ABS(J15)&gt;Assumptions!$B$6),AND(G15&gt;0,ABS(K15)&gt;Assumptions!$B$6)),"EXCEPTION","OK")</f>
        <v>OK</v>
      </c>
    </row>
    <row r="16" customFormat="false" ht="15" hidden="false" customHeight="false" outlineLevel="0" collapsed="false">
      <c r="A16" s="16" t="str">
        <f aca="false">Purchase_Orders!A13</f>
        <v>PO10012</v>
      </c>
      <c r="B16" s="16" t="str">
        <f aca="false">Purchase_Orders!B13</f>
        <v>V1035</v>
      </c>
      <c r="C16" s="16" t="str">
        <f aca="false">IFERROR(INDEX(Vendor_Master!$B$2:$B$41,MATCH(B16,Vendor_Master!$A$2:$A$41,0)),"Unknown Vendor")</f>
        <v>Allen PLC</v>
      </c>
      <c r="D16" s="17" t="n">
        <f aca="false">Purchase_Orders!C13</f>
        <v>45950</v>
      </c>
      <c r="E16" s="18" t="n">
        <f aca="false">Purchase_Orders!D13</f>
        <v>15002.72</v>
      </c>
      <c r="F16" s="18" t="n">
        <f aca="false">SUMIFS(Goods_Receipt_Notes!$D$2:$D$791,Goods_Receipt_Notes!$B$2:$B$791,A16)</f>
        <v>15002.72</v>
      </c>
      <c r="G16" s="18" t="n">
        <f aca="false">SUMIFS(Vendor_Invoices_AP!$E$2:$E$882,Vendor_Invoices_AP!$B$2:$B$882,A16)</f>
        <v>15002.72</v>
      </c>
      <c r="H16" s="16" t="str">
        <f aca="false">IF(F16=0,"Not Received","Received")</f>
        <v>Received</v>
      </c>
      <c r="I16" s="16" t="str">
        <f aca="false">IF(G16=0,"Not Invoiced","Invoiced")</f>
        <v>Invoiced</v>
      </c>
      <c r="J16" s="18" t="n">
        <f aca="false">E16-F16</f>
        <v>0</v>
      </c>
      <c r="K16" s="18" t="n">
        <f aca="false">E16-G16</f>
        <v>0</v>
      </c>
      <c r="L16" s="16" t="str">
        <f aca="false">IF(OR(AND(I16="Invoiced",H16="Not Received"),AND(F16&gt;0,ABS(J16)&gt;Assumptions!$B$6),AND(G16&gt;0,ABS(K16)&gt;Assumptions!$B$6)),"EXCEPTION","OK")</f>
        <v>OK</v>
      </c>
    </row>
    <row r="17" customFormat="false" ht="15" hidden="false" customHeight="false" outlineLevel="0" collapsed="false">
      <c r="A17" s="16" t="str">
        <f aca="false">Purchase_Orders!A14</f>
        <v>PO10013</v>
      </c>
      <c r="B17" s="16" t="str">
        <f aca="false">Purchase_Orders!B14</f>
        <v>V1016</v>
      </c>
      <c r="C17" s="16" t="str">
        <f aca="false">IFERROR(INDEX(Vendor_Master!$B$2:$B$41,MATCH(B17,Vendor_Master!$A$2:$A$41,0)),"Unknown Vendor")</f>
        <v>Sanchez, Ford and Nelson</v>
      </c>
      <c r="D17" s="17" t="n">
        <f aca="false">Purchase_Orders!C14</f>
        <v>46169</v>
      </c>
      <c r="E17" s="18" t="n">
        <f aca="false">Purchase_Orders!D14</f>
        <v>911.91</v>
      </c>
      <c r="F17" s="18" t="n">
        <f aca="false">SUMIFS(Goods_Receipt_Notes!$D$2:$D$791,Goods_Receipt_Notes!$B$2:$B$791,A17)</f>
        <v>911.91</v>
      </c>
      <c r="G17" s="18" t="n">
        <f aca="false">SUMIFS(Vendor_Invoices_AP!$E$2:$E$882,Vendor_Invoices_AP!$B$2:$B$882,A17)</f>
        <v>911.91</v>
      </c>
      <c r="H17" s="16" t="str">
        <f aca="false">IF(F17=0,"Not Received","Received")</f>
        <v>Received</v>
      </c>
      <c r="I17" s="16" t="str">
        <f aca="false">IF(G17=0,"Not Invoiced","Invoiced")</f>
        <v>Invoiced</v>
      </c>
      <c r="J17" s="18" t="n">
        <f aca="false">E17-F17</f>
        <v>0</v>
      </c>
      <c r="K17" s="18" t="n">
        <f aca="false">E17-G17</f>
        <v>0</v>
      </c>
      <c r="L17" s="16" t="str">
        <f aca="false">IF(OR(AND(I17="Invoiced",H17="Not Received"),AND(F17&gt;0,ABS(J17)&gt;Assumptions!$B$6),AND(G17&gt;0,ABS(K17)&gt;Assumptions!$B$6)),"EXCEPTION","OK")</f>
        <v>OK</v>
      </c>
    </row>
    <row r="18" customFormat="false" ht="15" hidden="false" customHeight="false" outlineLevel="0" collapsed="false">
      <c r="A18" s="16" t="str">
        <f aca="false">Purchase_Orders!A15</f>
        <v>PO10014</v>
      </c>
      <c r="B18" s="16" t="str">
        <f aca="false">Purchase_Orders!B15</f>
        <v>V1002</v>
      </c>
      <c r="C18" s="16" t="str">
        <f aca="false">IFERROR(INDEX(Vendor_Master!$B$2:$B$41,MATCH(B18,Vendor_Master!$A$2:$A$41,0)),"Unknown Vendor")</f>
        <v>Garcia, Yang and Gardner</v>
      </c>
      <c r="D18" s="17" t="n">
        <f aca="false">Purchase_Orders!C15</f>
        <v>45720</v>
      </c>
      <c r="E18" s="18" t="n">
        <f aca="false">Purchase_Orders!D15</f>
        <v>1222.88</v>
      </c>
      <c r="F18" s="18" t="n">
        <f aca="false">SUMIFS(Goods_Receipt_Notes!$D$2:$D$791,Goods_Receipt_Notes!$B$2:$B$791,A18)</f>
        <v>1222.88</v>
      </c>
      <c r="G18" s="18" t="n">
        <f aca="false">SUMIFS(Vendor_Invoices_AP!$E$2:$E$882,Vendor_Invoices_AP!$B$2:$B$882,A18)</f>
        <v>1222.88</v>
      </c>
      <c r="H18" s="16" t="str">
        <f aca="false">IF(F18=0,"Not Received","Received")</f>
        <v>Received</v>
      </c>
      <c r="I18" s="16" t="str">
        <f aca="false">IF(G18=0,"Not Invoiced","Invoiced")</f>
        <v>Invoiced</v>
      </c>
      <c r="J18" s="18" t="n">
        <f aca="false">E18-F18</f>
        <v>0</v>
      </c>
      <c r="K18" s="18" t="n">
        <f aca="false">E18-G18</f>
        <v>0</v>
      </c>
      <c r="L18" s="16" t="str">
        <f aca="false">IF(OR(AND(I18="Invoiced",H18="Not Received"),AND(F18&gt;0,ABS(J18)&gt;Assumptions!$B$6),AND(G18&gt;0,ABS(K18)&gt;Assumptions!$B$6)),"EXCEPTION","OK")</f>
        <v>OK</v>
      </c>
    </row>
    <row r="19" customFormat="false" ht="15" hidden="false" customHeight="false" outlineLevel="0" collapsed="false">
      <c r="A19" s="16" t="str">
        <f aca="false">Purchase_Orders!A16</f>
        <v>PO10015</v>
      </c>
      <c r="B19" s="16" t="str">
        <f aca="false">Purchase_Orders!B16</f>
        <v>V1017</v>
      </c>
      <c r="C19" s="16" t="str">
        <f aca="false">IFERROR(INDEX(Vendor_Master!$B$2:$B$41,MATCH(B19,Vendor_Master!$A$2:$A$41,0)),"Unknown Vendor")</f>
        <v>Hawkins, Cohen and Cameron</v>
      </c>
      <c r="D19" s="17" t="n">
        <f aca="false">Purchase_Orders!C16</f>
        <v>46186</v>
      </c>
      <c r="E19" s="18" t="n">
        <f aca="false">Purchase_Orders!D16</f>
        <v>3344.32</v>
      </c>
      <c r="F19" s="18" t="n">
        <f aca="false">SUMIFS(Goods_Receipt_Notes!$D$2:$D$791,Goods_Receipt_Notes!$B$2:$B$791,A19)</f>
        <v>3344.32</v>
      </c>
      <c r="G19" s="18" t="n">
        <f aca="false">SUMIFS(Vendor_Invoices_AP!$E$2:$E$882,Vendor_Invoices_AP!$B$2:$B$882,A19)</f>
        <v>3344.32</v>
      </c>
      <c r="H19" s="16" t="str">
        <f aca="false">IF(F19=0,"Not Received","Received")</f>
        <v>Received</v>
      </c>
      <c r="I19" s="16" t="str">
        <f aca="false">IF(G19=0,"Not Invoiced","Invoiced")</f>
        <v>Invoiced</v>
      </c>
      <c r="J19" s="18" t="n">
        <f aca="false">E19-F19</f>
        <v>0</v>
      </c>
      <c r="K19" s="18" t="n">
        <f aca="false">E19-G19</f>
        <v>0</v>
      </c>
      <c r="L19" s="16" t="str">
        <f aca="false">IF(OR(AND(I19="Invoiced",H19="Not Received"),AND(F19&gt;0,ABS(J19)&gt;Assumptions!$B$6),AND(G19&gt;0,ABS(K19)&gt;Assumptions!$B$6)),"EXCEPTION","OK")</f>
        <v>OK</v>
      </c>
    </row>
    <row r="20" customFormat="false" ht="15" hidden="false" customHeight="false" outlineLevel="0" collapsed="false">
      <c r="A20" s="16" t="str">
        <f aca="false">Purchase_Orders!A17</f>
        <v>PO10016</v>
      </c>
      <c r="B20" s="16" t="str">
        <f aca="false">Purchase_Orders!B17</f>
        <v>V1026</v>
      </c>
      <c r="C20" s="16" t="str">
        <f aca="false">IFERROR(INDEX(Vendor_Master!$B$2:$B$41,MATCH(B20,Vendor_Master!$A$2:$A$41,0)),"Unknown Vendor")</f>
        <v>James-Ferrell</v>
      </c>
      <c r="D20" s="17" t="n">
        <f aca="false">Purchase_Orders!C17</f>
        <v>45755</v>
      </c>
      <c r="E20" s="18" t="n">
        <f aca="false">Purchase_Orders!D17</f>
        <v>4721.09</v>
      </c>
      <c r="F20" s="18" t="n">
        <f aca="false">SUMIFS(Goods_Receipt_Notes!$D$2:$D$791,Goods_Receipt_Notes!$B$2:$B$791,A20)</f>
        <v>4721.09</v>
      </c>
      <c r="G20" s="18" t="n">
        <f aca="false">SUMIFS(Vendor_Invoices_AP!$E$2:$E$882,Vendor_Invoices_AP!$B$2:$B$882,A20)</f>
        <v>4721.09</v>
      </c>
      <c r="H20" s="16" t="str">
        <f aca="false">IF(F20=0,"Not Received","Received")</f>
        <v>Received</v>
      </c>
      <c r="I20" s="16" t="str">
        <f aca="false">IF(G20=0,"Not Invoiced","Invoiced")</f>
        <v>Invoiced</v>
      </c>
      <c r="J20" s="18" t="n">
        <f aca="false">E20-F20</f>
        <v>0</v>
      </c>
      <c r="K20" s="18" t="n">
        <f aca="false">E20-G20</f>
        <v>0</v>
      </c>
      <c r="L20" s="16" t="str">
        <f aca="false">IF(OR(AND(I20="Invoiced",H20="Not Received"),AND(F20&gt;0,ABS(J20)&gt;Assumptions!$B$6),AND(G20&gt;0,ABS(K20)&gt;Assumptions!$B$6)),"EXCEPTION","OK")</f>
        <v>OK</v>
      </c>
    </row>
    <row r="21" customFormat="false" ht="15" hidden="false" customHeight="false" outlineLevel="0" collapsed="false">
      <c r="A21" s="16" t="str">
        <f aca="false">Purchase_Orders!A18</f>
        <v>PO10017</v>
      </c>
      <c r="B21" s="16" t="str">
        <f aca="false">Purchase_Orders!B18</f>
        <v>V1024</v>
      </c>
      <c r="C21" s="16" t="str">
        <f aca="false">IFERROR(INDEX(Vendor_Master!$B$2:$B$41,MATCH(B21,Vendor_Master!$A$2:$A$41,0)),"Unknown Vendor")</f>
        <v>Campos Inc</v>
      </c>
      <c r="D21" s="17" t="n">
        <f aca="false">Purchase_Orders!C18</f>
        <v>46182</v>
      </c>
      <c r="E21" s="18" t="n">
        <f aca="false">Purchase_Orders!D18</f>
        <v>5629.98</v>
      </c>
      <c r="F21" s="18" t="n">
        <f aca="false">SUMIFS(Goods_Receipt_Notes!$D$2:$D$791,Goods_Receipt_Notes!$B$2:$B$791,A21)</f>
        <v>5629.98</v>
      </c>
      <c r="G21" s="18" t="n">
        <f aca="false">SUMIFS(Vendor_Invoices_AP!$E$2:$E$882,Vendor_Invoices_AP!$B$2:$B$882,A21)</f>
        <v>5629.98</v>
      </c>
      <c r="H21" s="16" t="str">
        <f aca="false">IF(F21=0,"Not Received","Received")</f>
        <v>Received</v>
      </c>
      <c r="I21" s="16" t="str">
        <f aca="false">IF(G21=0,"Not Invoiced","Invoiced")</f>
        <v>Invoiced</v>
      </c>
      <c r="J21" s="18" t="n">
        <f aca="false">E21-F21</f>
        <v>0</v>
      </c>
      <c r="K21" s="18" t="n">
        <f aca="false">E21-G21</f>
        <v>0</v>
      </c>
      <c r="L21" s="16" t="str">
        <f aca="false">IF(OR(AND(I21="Invoiced",H21="Not Received"),AND(F21&gt;0,ABS(J21)&gt;Assumptions!$B$6),AND(G21&gt;0,ABS(K21)&gt;Assumptions!$B$6)),"EXCEPTION","OK")</f>
        <v>OK</v>
      </c>
    </row>
    <row r="22" customFormat="false" ht="15" hidden="false" customHeight="false" outlineLevel="0" collapsed="false">
      <c r="A22" s="16" t="str">
        <f aca="false">Purchase_Orders!A19</f>
        <v>PO10018</v>
      </c>
      <c r="B22" s="16" t="str">
        <f aca="false">Purchase_Orders!B19</f>
        <v>V1004</v>
      </c>
      <c r="C22" s="16" t="str">
        <f aca="false">IFERROR(INDEX(Vendor_Master!$B$2:$B$41,MATCH(B22,Vendor_Master!$A$2:$A$41,0)),"Unknown Vendor")</f>
        <v>Johnson, Gonzalez and Santos</v>
      </c>
      <c r="D22" s="17" t="n">
        <f aca="false">Purchase_Orders!C19</f>
        <v>45802</v>
      </c>
      <c r="E22" s="18" t="n">
        <f aca="false">Purchase_Orders!D19</f>
        <v>246.87</v>
      </c>
      <c r="F22" s="18" t="n">
        <f aca="false">SUMIFS(Goods_Receipt_Notes!$D$2:$D$791,Goods_Receipt_Notes!$B$2:$B$791,A22)</f>
        <v>246.87</v>
      </c>
      <c r="G22" s="18" t="n">
        <f aca="false">SUMIFS(Vendor_Invoices_AP!$E$2:$E$882,Vendor_Invoices_AP!$B$2:$B$882,A22)</f>
        <v>302.18</v>
      </c>
      <c r="H22" s="16" t="str">
        <f aca="false">IF(F22=0,"Not Received","Received")</f>
        <v>Received</v>
      </c>
      <c r="I22" s="16" t="str">
        <f aca="false">IF(G22=0,"Not Invoiced","Invoiced")</f>
        <v>Invoiced</v>
      </c>
      <c r="J22" s="18" t="n">
        <f aca="false">E22-F22</f>
        <v>0</v>
      </c>
      <c r="K22" s="18" t="n">
        <f aca="false">E22-G22</f>
        <v>-55.31</v>
      </c>
      <c r="L22" s="16" t="str">
        <f aca="false">IF(OR(AND(I22="Invoiced",H22="Not Received"),AND(F22&gt;0,ABS(J22)&gt;Assumptions!$B$6),AND(G22&gt;0,ABS(K22)&gt;Assumptions!$B$6)),"EXCEPTION","OK")</f>
        <v>EXCEPTION</v>
      </c>
    </row>
    <row r="23" customFormat="false" ht="15" hidden="false" customHeight="false" outlineLevel="0" collapsed="false">
      <c r="A23" s="16" t="str">
        <f aca="false">Purchase_Orders!A20</f>
        <v>PO10019</v>
      </c>
      <c r="B23" s="16" t="str">
        <f aca="false">Purchase_Orders!B20</f>
        <v>V1024</v>
      </c>
      <c r="C23" s="16" t="str">
        <f aca="false">IFERROR(INDEX(Vendor_Master!$B$2:$B$41,MATCH(B23,Vendor_Master!$A$2:$A$41,0)),"Unknown Vendor")</f>
        <v>Campos Inc</v>
      </c>
      <c r="D23" s="17" t="n">
        <f aca="false">Purchase_Orders!C20</f>
        <v>45717</v>
      </c>
      <c r="E23" s="18" t="n">
        <f aca="false">Purchase_Orders!D20</f>
        <v>2051.54</v>
      </c>
      <c r="F23" s="18" t="n">
        <f aca="false">SUMIFS(Goods_Receipt_Notes!$D$2:$D$791,Goods_Receipt_Notes!$B$2:$B$791,A23)</f>
        <v>2051.54</v>
      </c>
      <c r="G23" s="18" t="n">
        <f aca="false">SUMIFS(Vendor_Invoices_AP!$E$2:$E$882,Vendor_Invoices_AP!$B$2:$B$882,A23)</f>
        <v>2051.54</v>
      </c>
      <c r="H23" s="16" t="str">
        <f aca="false">IF(F23=0,"Not Received","Received")</f>
        <v>Received</v>
      </c>
      <c r="I23" s="16" t="str">
        <f aca="false">IF(G23=0,"Not Invoiced","Invoiced")</f>
        <v>Invoiced</v>
      </c>
      <c r="J23" s="18" t="n">
        <f aca="false">E23-F23</f>
        <v>0</v>
      </c>
      <c r="K23" s="18" t="n">
        <f aca="false">E23-G23</f>
        <v>0</v>
      </c>
      <c r="L23" s="16" t="str">
        <f aca="false">IF(OR(AND(I23="Invoiced",H23="Not Received"),AND(F23&gt;0,ABS(J23)&gt;Assumptions!$B$6),AND(G23&gt;0,ABS(K23)&gt;Assumptions!$B$6)),"EXCEPTION","OK")</f>
        <v>OK</v>
      </c>
    </row>
    <row r="24" customFormat="false" ht="15" hidden="false" customHeight="false" outlineLevel="0" collapsed="false">
      <c r="A24" s="16" t="str">
        <f aca="false">Purchase_Orders!A21</f>
        <v>PO10020</v>
      </c>
      <c r="B24" s="16" t="str">
        <f aca="false">Purchase_Orders!B21</f>
        <v>V1028</v>
      </c>
      <c r="C24" s="16" t="str">
        <f aca="false">IFERROR(INDEX(Vendor_Master!$B$2:$B$41,MATCH(B24,Vendor_Master!$A$2:$A$41,0)),"Unknown Vendor")</f>
        <v>Potter, Mack and Peterson</v>
      </c>
      <c r="D24" s="17" t="n">
        <f aca="false">Purchase_Orders!C21</f>
        <v>45894</v>
      </c>
      <c r="E24" s="18" t="n">
        <f aca="false">Purchase_Orders!D21</f>
        <v>9960.57</v>
      </c>
      <c r="F24" s="18" t="n">
        <f aca="false">SUMIFS(Goods_Receipt_Notes!$D$2:$D$791,Goods_Receipt_Notes!$B$2:$B$791,A24)</f>
        <v>9960.57</v>
      </c>
      <c r="G24" s="18" t="n">
        <f aca="false">SUMIFS(Vendor_Invoices_AP!$E$2:$E$882,Vendor_Invoices_AP!$B$2:$B$882,A24)</f>
        <v>9960.57</v>
      </c>
      <c r="H24" s="16" t="str">
        <f aca="false">IF(F24=0,"Not Received","Received")</f>
        <v>Received</v>
      </c>
      <c r="I24" s="16" t="str">
        <f aca="false">IF(G24=0,"Not Invoiced","Invoiced")</f>
        <v>Invoiced</v>
      </c>
      <c r="J24" s="18" t="n">
        <f aca="false">E24-F24</f>
        <v>0</v>
      </c>
      <c r="K24" s="18" t="n">
        <f aca="false">E24-G24</f>
        <v>0</v>
      </c>
      <c r="L24" s="16" t="str">
        <f aca="false">IF(OR(AND(I24="Invoiced",H24="Not Received"),AND(F24&gt;0,ABS(J24)&gt;Assumptions!$B$6),AND(G24&gt;0,ABS(K24)&gt;Assumptions!$B$6)),"EXCEPTION","OK")</f>
        <v>OK</v>
      </c>
    </row>
    <row r="25" customFormat="false" ht="15" hidden="false" customHeight="false" outlineLevel="0" collapsed="false">
      <c r="A25" s="16" t="str">
        <f aca="false">Purchase_Orders!A22</f>
        <v>PO10021</v>
      </c>
      <c r="B25" s="16" t="str">
        <f aca="false">Purchase_Orders!B22</f>
        <v>V1018</v>
      </c>
      <c r="C25" s="16" t="str">
        <f aca="false">IFERROR(INDEX(Vendor_Master!$B$2:$B$41,MATCH(B25,Vendor_Master!$A$2:$A$41,0)),"Unknown Vendor")</f>
        <v>Underwood LLC</v>
      </c>
      <c r="D25" s="17" t="n">
        <f aca="false">Purchase_Orders!C22</f>
        <v>46055</v>
      </c>
      <c r="E25" s="18" t="n">
        <f aca="false">Purchase_Orders!D22</f>
        <v>15696.57</v>
      </c>
      <c r="F25" s="18" t="n">
        <f aca="false">SUMIFS(Goods_Receipt_Notes!$D$2:$D$791,Goods_Receipt_Notes!$B$2:$B$791,A25)</f>
        <v>15696.57</v>
      </c>
      <c r="G25" s="18" t="n">
        <f aca="false">SUMIFS(Vendor_Invoices_AP!$E$2:$E$882,Vendor_Invoices_AP!$B$2:$B$882,A25)</f>
        <v>15696.57</v>
      </c>
      <c r="H25" s="16" t="str">
        <f aca="false">IF(F25=0,"Not Received","Received")</f>
        <v>Received</v>
      </c>
      <c r="I25" s="16" t="str">
        <f aca="false">IF(G25=0,"Not Invoiced","Invoiced")</f>
        <v>Invoiced</v>
      </c>
      <c r="J25" s="18" t="n">
        <f aca="false">E25-F25</f>
        <v>0</v>
      </c>
      <c r="K25" s="18" t="n">
        <f aca="false">E25-G25</f>
        <v>0</v>
      </c>
      <c r="L25" s="16" t="str">
        <f aca="false">IF(OR(AND(I25="Invoiced",H25="Not Received"),AND(F25&gt;0,ABS(J25)&gt;Assumptions!$B$6),AND(G25&gt;0,ABS(K25)&gt;Assumptions!$B$6)),"EXCEPTION","OK")</f>
        <v>OK</v>
      </c>
    </row>
    <row r="26" customFormat="false" ht="15" hidden="false" customHeight="false" outlineLevel="0" collapsed="false">
      <c r="A26" s="16" t="str">
        <f aca="false">Purchase_Orders!A23</f>
        <v>PO10022</v>
      </c>
      <c r="B26" s="16" t="str">
        <f aca="false">Purchase_Orders!B23</f>
        <v>V1016</v>
      </c>
      <c r="C26" s="16" t="str">
        <f aca="false">IFERROR(INDEX(Vendor_Master!$B$2:$B$41,MATCH(B26,Vendor_Master!$A$2:$A$41,0)),"Unknown Vendor")</f>
        <v>Sanchez, Ford and Nelson</v>
      </c>
      <c r="D26" s="17" t="n">
        <f aca="false">Purchase_Orders!C23</f>
        <v>45828</v>
      </c>
      <c r="E26" s="18" t="n">
        <f aca="false">Purchase_Orders!D23</f>
        <v>1879.55</v>
      </c>
      <c r="F26" s="18" t="n">
        <f aca="false">SUMIFS(Goods_Receipt_Notes!$D$2:$D$791,Goods_Receipt_Notes!$B$2:$B$791,A26)</f>
        <v>1879.55</v>
      </c>
      <c r="G26" s="18" t="n">
        <f aca="false">SUMIFS(Vendor_Invoices_AP!$E$2:$E$882,Vendor_Invoices_AP!$B$2:$B$882,A26)</f>
        <v>1879.55</v>
      </c>
      <c r="H26" s="16" t="str">
        <f aca="false">IF(F26=0,"Not Received","Received")</f>
        <v>Received</v>
      </c>
      <c r="I26" s="16" t="str">
        <f aca="false">IF(G26=0,"Not Invoiced","Invoiced")</f>
        <v>Invoiced</v>
      </c>
      <c r="J26" s="18" t="n">
        <f aca="false">E26-F26</f>
        <v>0</v>
      </c>
      <c r="K26" s="18" t="n">
        <f aca="false">E26-G26</f>
        <v>0</v>
      </c>
      <c r="L26" s="16" t="str">
        <f aca="false">IF(OR(AND(I26="Invoiced",H26="Not Received"),AND(F26&gt;0,ABS(J26)&gt;Assumptions!$B$6),AND(G26&gt;0,ABS(K26)&gt;Assumptions!$B$6)),"EXCEPTION","OK")</f>
        <v>OK</v>
      </c>
    </row>
    <row r="27" customFormat="false" ht="15" hidden="false" customHeight="false" outlineLevel="0" collapsed="false">
      <c r="A27" s="16" t="str">
        <f aca="false">Purchase_Orders!A24</f>
        <v>PO10023</v>
      </c>
      <c r="B27" s="16" t="str">
        <f aca="false">Purchase_Orders!B24</f>
        <v>V1027</v>
      </c>
      <c r="C27" s="16" t="str">
        <f aca="false">IFERROR(INDEX(Vendor_Master!$B$2:$B$41,MATCH(B27,Vendor_Master!$A$2:$A$41,0)),"Unknown Vendor")</f>
        <v>Valencia, Smith and Le</v>
      </c>
      <c r="D27" s="17" t="n">
        <f aca="false">Purchase_Orders!C24</f>
        <v>45988</v>
      </c>
      <c r="E27" s="18" t="n">
        <f aca="false">Purchase_Orders!D24</f>
        <v>883.86</v>
      </c>
      <c r="F27" s="18" t="n">
        <f aca="false">SUMIFS(Goods_Receipt_Notes!$D$2:$D$791,Goods_Receipt_Notes!$B$2:$B$791,A27)</f>
        <v>883.86</v>
      </c>
      <c r="G27" s="18" t="n">
        <f aca="false">SUMIFS(Vendor_Invoices_AP!$E$2:$E$882,Vendor_Invoices_AP!$B$2:$B$882,A27)</f>
        <v>883.86</v>
      </c>
      <c r="H27" s="16" t="str">
        <f aca="false">IF(F27=0,"Not Received","Received")</f>
        <v>Received</v>
      </c>
      <c r="I27" s="16" t="str">
        <f aca="false">IF(G27=0,"Not Invoiced","Invoiced")</f>
        <v>Invoiced</v>
      </c>
      <c r="J27" s="18" t="n">
        <f aca="false">E27-F27</f>
        <v>0</v>
      </c>
      <c r="K27" s="18" t="n">
        <f aca="false">E27-G27</f>
        <v>0</v>
      </c>
      <c r="L27" s="16" t="str">
        <f aca="false">IF(OR(AND(I27="Invoiced",H27="Not Received"),AND(F27&gt;0,ABS(J27)&gt;Assumptions!$B$6),AND(G27&gt;0,ABS(K27)&gt;Assumptions!$B$6)),"EXCEPTION","OK")</f>
        <v>OK</v>
      </c>
    </row>
    <row r="28" customFormat="false" ht="15" hidden="false" customHeight="false" outlineLevel="0" collapsed="false">
      <c r="A28" s="16" t="str">
        <f aca="false">Purchase_Orders!A25</f>
        <v>PO10024</v>
      </c>
      <c r="B28" s="16" t="str">
        <f aca="false">Purchase_Orders!B25</f>
        <v>V1007</v>
      </c>
      <c r="C28" s="16" t="str">
        <f aca="false">IFERROR(INDEX(Vendor_Master!$B$2:$B$41,MATCH(B28,Vendor_Master!$A$2:$A$41,0)),"Unknown Vendor")</f>
        <v>Ramirez-Lewis</v>
      </c>
      <c r="D28" s="17" t="n">
        <f aca="false">Purchase_Orders!C25</f>
        <v>45936</v>
      </c>
      <c r="E28" s="18" t="n">
        <f aca="false">Purchase_Orders!D25</f>
        <v>1058.03</v>
      </c>
      <c r="F28" s="18" t="n">
        <f aca="false">SUMIFS(Goods_Receipt_Notes!$D$2:$D$791,Goods_Receipt_Notes!$B$2:$B$791,A28)</f>
        <v>1058.03</v>
      </c>
      <c r="G28" s="18" t="n">
        <f aca="false">SUMIFS(Vendor_Invoices_AP!$E$2:$E$882,Vendor_Invoices_AP!$B$2:$B$882,A28)</f>
        <v>1058.03</v>
      </c>
      <c r="H28" s="16" t="str">
        <f aca="false">IF(F28=0,"Not Received","Received")</f>
        <v>Received</v>
      </c>
      <c r="I28" s="16" t="str">
        <f aca="false">IF(G28=0,"Not Invoiced","Invoiced")</f>
        <v>Invoiced</v>
      </c>
      <c r="J28" s="18" t="n">
        <f aca="false">E28-F28</f>
        <v>0</v>
      </c>
      <c r="K28" s="18" t="n">
        <f aca="false">E28-G28</f>
        <v>0</v>
      </c>
      <c r="L28" s="16" t="str">
        <f aca="false">IF(OR(AND(I28="Invoiced",H28="Not Received"),AND(F28&gt;0,ABS(J28)&gt;Assumptions!$B$6),AND(G28&gt;0,ABS(K28)&gt;Assumptions!$B$6)),"EXCEPTION","OK")</f>
        <v>OK</v>
      </c>
    </row>
    <row r="29" customFormat="false" ht="15" hidden="false" customHeight="false" outlineLevel="0" collapsed="false">
      <c r="A29" s="16" t="str">
        <f aca="false">Purchase_Orders!A26</f>
        <v>PO10025</v>
      </c>
      <c r="B29" s="16" t="str">
        <f aca="false">Purchase_Orders!B26</f>
        <v>V1039</v>
      </c>
      <c r="C29" s="16" t="str">
        <f aca="false">IFERROR(INDEX(Vendor_Master!$B$2:$B$41,MATCH(B29,Vendor_Master!$A$2:$A$41,0)),"Unknown Vendor")</f>
        <v>Campos, Vaughn and Marquez</v>
      </c>
      <c r="D29" s="17" t="n">
        <f aca="false">Purchase_Orders!C26</f>
        <v>45867</v>
      </c>
      <c r="E29" s="18" t="n">
        <f aca="false">Purchase_Orders!D26</f>
        <v>2179.18</v>
      </c>
      <c r="F29" s="18" t="n">
        <f aca="false">SUMIFS(Goods_Receipt_Notes!$D$2:$D$791,Goods_Receipt_Notes!$B$2:$B$791,A29)</f>
        <v>2179.18</v>
      </c>
      <c r="G29" s="18" t="n">
        <f aca="false">SUMIFS(Vendor_Invoices_AP!$E$2:$E$882,Vendor_Invoices_AP!$B$2:$B$882,A29)</f>
        <v>2265.24</v>
      </c>
      <c r="H29" s="16" t="str">
        <f aca="false">IF(F29=0,"Not Received","Received")</f>
        <v>Received</v>
      </c>
      <c r="I29" s="16" t="str">
        <f aca="false">IF(G29=0,"Not Invoiced","Invoiced")</f>
        <v>Invoiced</v>
      </c>
      <c r="J29" s="18" t="n">
        <f aca="false">E29-F29</f>
        <v>0</v>
      </c>
      <c r="K29" s="18" t="n">
        <f aca="false">E29-G29</f>
        <v>-86.06</v>
      </c>
      <c r="L29" s="16" t="str">
        <f aca="false">IF(OR(AND(I29="Invoiced",H29="Not Received"),AND(F29&gt;0,ABS(J29)&gt;Assumptions!$B$6),AND(G29&gt;0,ABS(K29)&gt;Assumptions!$B$6)),"EXCEPTION","OK")</f>
        <v>EXCEPTION</v>
      </c>
    </row>
    <row r="30" customFormat="false" ht="15" hidden="false" customHeight="false" outlineLevel="0" collapsed="false">
      <c r="A30" s="16" t="str">
        <f aca="false">Purchase_Orders!A27</f>
        <v>PO10026</v>
      </c>
      <c r="B30" s="16" t="str">
        <f aca="false">Purchase_Orders!B27</f>
        <v>V1027</v>
      </c>
      <c r="C30" s="16" t="str">
        <f aca="false">IFERROR(INDEX(Vendor_Master!$B$2:$B$41,MATCH(B30,Vendor_Master!$A$2:$A$41,0)),"Unknown Vendor")</f>
        <v>Valencia, Smith and Le</v>
      </c>
      <c r="D30" s="17" t="n">
        <f aca="false">Purchase_Orders!C27</f>
        <v>45972</v>
      </c>
      <c r="E30" s="18" t="n">
        <f aca="false">Purchase_Orders!D27</f>
        <v>1994.87</v>
      </c>
      <c r="F30" s="18" t="n">
        <f aca="false">SUMIFS(Goods_Receipt_Notes!$D$2:$D$791,Goods_Receipt_Notes!$B$2:$B$791,A30)</f>
        <v>1994.87</v>
      </c>
      <c r="G30" s="18" t="n">
        <f aca="false">SUMIFS(Vendor_Invoices_AP!$E$2:$E$882,Vendor_Invoices_AP!$B$2:$B$882,A30)</f>
        <v>1994.87</v>
      </c>
      <c r="H30" s="16" t="str">
        <f aca="false">IF(F30=0,"Not Received","Received")</f>
        <v>Received</v>
      </c>
      <c r="I30" s="16" t="str">
        <f aca="false">IF(G30=0,"Not Invoiced","Invoiced")</f>
        <v>Invoiced</v>
      </c>
      <c r="J30" s="18" t="n">
        <f aca="false">E30-F30</f>
        <v>0</v>
      </c>
      <c r="K30" s="18" t="n">
        <f aca="false">E30-G30</f>
        <v>0</v>
      </c>
      <c r="L30" s="16" t="str">
        <f aca="false">IF(OR(AND(I30="Invoiced",H30="Not Received"),AND(F30&gt;0,ABS(J30)&gt;Assumptions!$B$6),AND(G30&gt;0,ABS(K30)&gt;Assumptions!$B$6)),"EXCEPTION","OK")</f>
        <v>OK</v>
      </c>
    </row>
    <row r="31" customFormat="false" ht="15" hidden="false" customHeight="false" outlineLevel="0" collapsed="false">
      <c r="A31" s="16" t="str">
        <f aca="false">Purchase_Orders!A28</f>
        <v>PO10027</v>
      </c>
      <c r="B31" s="16" t="str">
        <f aca="false">Purchase_Orders!B28</f>
        <v>V1017</v>
      </c>
      <c r="C31" s="16" t="str">
        <f aca="false">IFERROR(INDEX(Vendor_Master!$B$2:$B$41,MATCH(B31,Vendor_Master!$A$2:$A$41,0)),"Unknown Vendor")</f>
        <v>Hawkins, Cohen and Cameron</v>
      </c>
      <c r="D31" s="17" t="n">
        <f aca="false">Purchase_Orders!C28</f>
        <v>45796</v>
      </c>
      <c r="E31" s="18" t="n">
        <f aca="false">Purchase_Orders!D28</f>
        <v>1863.09</v>
      </c>
      <c r="F31" s="18" t="n">
        <f aca="false">SUMIFS(Goods_Receipt_Notes!$D$2:$D$791,Goods_Receipt_Notes!$B$2:$B$791,A31)</f>
        <v>0</v>
      </c>
      <c r="G31" s="18" t="n">
        <f aca="false">SUMIFS(Vendor_Invoices_AP!$E$2:$E$882,Vendor_Invoices_AP!$B$2:$B$882,A31)</f>
        <v>1863.09</v>
      </c>
      <c r="H31" s="16" t="str">
        <f aca="false">IF(F31=0,"Not Received","Received")</f>
        <v>Not Received</v>
      </c>
      <c r="I31" s="16" t="str">
        <f aca="false">IF(G31=0,"Not Invoiced","Invoiced")</f>
        <v>Invoiced</v>
      </c>
      <c r="J31" s="18" t="n">
        <f aca="false">E31-F31</f>
        <v>1863.09</v>
      </c>
      <c r="K31" s="18" t="n">
        <f aca="false">E31-G31</f>
        <v>0</v>
      </c>
      <c r="L31" s="16" t="str">
        <f aca="false">IF(OR(AND(I31="Invoiced",H31="Not Received"),AND(F31&gt;0,ABS(J31)&gt;Assumptions!$B$6),AND(G31&gt;0,ABS(K31)&gt;Assumptions!$B$6)),"EXCEPTION","OK")</f>
        <v>EXCEPTION</v>
      </c>
    </row>
    <row r="32" customFormat="false" ht="15" hidden="false" customHeight="false" outlineLevel="0" collapsed="false">
      <c r="A32" s="16" t="str">
        <f aca="false">Purchase_Orders!A29</f>
        <v>PO10028</v>
      </c>
      <c r="B32" s="16" t="str">
        <f aca="false">Purchase_Orders!B29</f>
        <v>V1009</v>
      </c>
      <c r="C32" s="16" t="str">
        <f aca="false">IFERROR(INDEX(Vendor_Master!$B$2:$B$41,MATCH(B32,Vendor_Master!$A$2:$A$41,0)),"Unknown Vendor")</f>
        <v>Munoz-Roman</v>
      </c>
      <c r="D32" s="17" t="n">
        <f aca="false">Purchase_Orders!C29</f>
        <v>46044</v>
      </c>
      <c r="E32" s="18" t="n">
        <f aca="false">Purchase_Orders!D29</f>
        <v>1558.36</v>
      </c>
      <c r="F32" s="18" t="n">
        <f aca="false">SUMIFS(Goods_Receipt_Notes!$D$2:$D$791,Goods_Receipt_Notes!$B$2:$B$791,A32)</f>
        <v>1558.36</v>
      </c>
      <c r="G32" s="18" t="n">
        <f aca="false">SUMIFS(Vendor_Invoices_AP!$E$2:$E$882,Vendor_Invoices_AP!$B$2:$B$882,A32)</f>
        <v>1558.36</v>
      </c>
      <c r="H32" s="16" t="str">
        <f aca="false">IF(F32=0,"Not Received","Received")</f>
        <v>Received</v>
      </c>
      <c r="I32" s="16" t="str">
        <f aca="false">IF(G32=0,"Not Invoiced","Invoiced")</f>
        <v>Invoiced</v>
      </c>
      <c r="J32" s="18" t="n">
        <f aca="false">E32-F32</f>
        <v>0</v>
      </c>
      <c r="K32" s="18" t="n">
        <f aca="false">E32-G32</f>
        <v>0</v>
      </c>
      <c r="L32" s="16" t="str">
        <f aca="false">IF(OR(AND(I32="Invoiced",H32="Not Received"),AND(F32&gt;0,ABS(J32)&gt;Assumptions!$B$6),AND(G32&gt;0,ABS(K32)&gt;Assumptions!$B$6)),"EXCEPTION","OK")</f>
        <v>OK</v>
      </c>
    </row>
    <row r="33" customFormat="false" ht="15" hidden="false" customHeight="false" outlineLevel="0" collapsed="false">
      <c r="A33" s="16" t="str">
        <f aca="false">Purchase_Orders!A30</f>
        <v>PO10029</v>
      </c>
      <c r="B33" s="16" t="str">
        <f aca="false">Purchase_Orders!B30</f>
        <v>V1013</v>
      </c>
      <c r="C33" s="16" t="str">
        <f aca="false">IFERROR(INDEX(Vendor_Master!$B$2:$B$41,MATCH(B33,Vendor_Master!$A$2:$A$41,0)),"Unknown Vendor")</f>
        <v>Delacruz Group</v>
      </c>
      <c r="D33" s="17" t="n">
        <f aca="false">Purchase_Orders!C30</f>
        <v>45658</v>
      </c>
      <c r="E33" s="18" t="n">
        <f aca="false">Purchase_Orders!D30</f>
        <v>1249.67</v>
      </c>
      <c r="F33" s="18" t="n">
        <f aca="false">SUMIFS(Goods_Receipt_Notes!$D$2:$D$791,Goods_Receipt_Notes!$B$2:$B$791,A33)</f>
        <v>1249.67</v>
      </c>
      <c r="G33" s="18" t="n">
        <f aca="false">SUMIFS(Vendor_Invoices_AP!$E$2:$E$882,Vendor_Invoices_AP!$B$2:$B$882,A33)</f>
        <v>1249.67</v>
      </c>
      <c r="H33" s="16" t="str">
        <f aca="false">IF(F33=0,"Not Received","Received")</f>
        <v>Received</v>
      </c>
      <c r="I33" s="16" t="str">
        <f aca="false">IF(G33=0,"Not Invoiced","Invoiced")</f>
        <v>Invoiced</v>
      </c>
      <c r="J33" s="18" t="n">
        <f aca="false">E33-F33</f>
        <v>0</v>
      </c>
      <c r="K33" s="18" t="n">
        <f aca="false">E33-G33</f>
        <v>0</v>
      </c>
      <c r="L33" s="16" t="str">
        <f aca="false">IF(OR(AND(I33="Invoiced",H33="Not Received"),AND(F33&gt;0,ABS(J33)&gt;Assumptions!$B$6),AND(G33&gt;0,ABS(K33)&gt;Assumptions!$B$6)),"EXCEPTION","OK")</f>
        <v>OK</v>
      </c>
    </row>
    <row r="34" customFormat="false" ht="15" hidden="false" customHeight="false" outlineLevel="0" collapsed="false">
      <c r="A34" s="16" t="str">
        <f aca="false">Purchase_Orders!A31</f>
        <v>PO10030</v>
      </c>
      <c r="B34" s="16" t="str">
        <f aca="false">Purchase_Orders!B31</f>
        <v>V1037</v>
      </c>
      <c r="C34" s="16" t="str">
        <f aca="false">IFERROR(INDEX(Vendor_Master!$B$2:$B$41,MATCH(B34,Vendor_Master!$A$2:$A$41,0)),"Unknown Vendor")</f>
        <v>Cannon, Anderson and Alvarez</v>
      </c>
      <c r="D34" s="17" t="n">
        <f aca="false">Purchase_Orders!C31</f>
        <v>46162</v>
      </c>
      <c r="E34" s="18" t="n">
        <f aca="false">Purchase_Orders!D31</f>
        <v>11338.1</v>
      </c>
      <c r="F34" s="18" t="n">
        <f aca="false">SUMIFS(Goods_Receipt_Notes!$D$2:$D$791,Goods_Receipt_Notes!$B$2:$B$791,A34)</f>
        <v>11338.1</v>
      </c>
      <c r="G34" s="18" t="n">
        <f aca="false">SUMIFS(Vendor_Invoices_AP!$E$2:$E$882,Vendor_Invoices_AP!$B$2:$B$882,A34)</f>
        <v>11338.1</v>
      </c>
      <c r="H34" s="16" t="str">
        <f aca="false">IF(F34=0,"Not Received","Received")</f>
        <v>Received</v>
      </c>
      <c r="I34" s="16" t="str">
        <f aca="false">IF(G34=0,"Not Invoiced","Invoiced")</f>
        <v>Invoiced</v>
      </c>
      <c r="J34" s="18" t="n">
        <f aca="false">E34-F34</f>
        <v>0</v>
      </c>
      <c r="K34" s="18" t="n">
        <f aca="false">E34-G34</f>
        <v>0</v>
      </c>
      <c r="L34" s="16" t="str">
        <f aca="false">IF(OR(AND(I34="Invoiced",H34="Not Received"),AND(F34&gt;0,ABS(J34)&gt;Assumptions!$B$6),AND(G34&gt;0,ABS(K34)&gt;Assumptions!$B$6)),"EXCEPTION","OK")</f>
        <v>OK</v>
      </c>
    </row>
    <row r="35" customFormat="false" ht="15" hidden="false" customHeight="false" outlineLevel="0" collapsed="false">
      <c r="A35" s="16" t="str">
        <f aca="false">Purchase_Orders!A32</f>
        <v>PO10031</v>
      </c>
      <c r="B35" s="16" t="str">
        <f aca="false">Purchase_Orders!B32</f>
        <v>V1016</v>
      </c>
      <c r="C35" s="16" t="str">
        <f aca="false">IFERROR(INDEX(Vendor_Master!$B$2:$B$41,MATCH(B35,Vendor_Master!$A$2:$A$41,0)),"Unknown Vendor")</f>
        <v>Sanchez, Ford and Nelson</v>
      </c>
      <c r="D35" s="17" t="n">
        <f aca="false">Purchase_Orders!C32</f>
        <v>45951</v>
      </c>
      <c r="E35" s="18" t="n">
        <f aca="false">Purchase_Orders!D32</f>
        <v>877.47</v>
      </c>
      <c r="F35" s="18" t="n">
        <f aca="false">SUMIFS(Goods_Receipt_Notes!$D$2:$D$791,Goods_Receipt_Notes!$B$2:$B$791,A35)</f>
        <v>877.47</v>
      </c>
      <c r="G35" s="18" t="n">
        <f aca="false">SUMIFS(Vendor_Invoices_AP!$E$2:$E$882,Vendor_Invoices_AP!$B$2:$B$882,A35)</f>
        <v>877.47</v>
      </c>
      <c r="H35" s="16" t="str">
        <f aca="false">IF(F35=0,"Not Received","Received")</f>
        <v>Received</v>
      </c>
      <c r="I35" s="16" t="str">
        <f aca="false">IF(G35=0,"Not Invoiced","Invoiced")</f>
        <v>Invoiced</v>
      </c>
      <c r="J35" s="18" t="n">
        <f aca="false">E35-F35</f>
        <v>0</v>
      </c>
      <c r="K35" s="18" t="n">
        <f aca="false">E35-G35</f>
        <v>0</v>
      </c>
      <c r="L35" s="16" t="str">
        <f aca="false">IF(OR(AND(I35="Invoiced",H35="Not Received"),AND(F35&gt;0,ABS(J35)&gt;Assumptions!$B$6),AND(G35&gt;0,ABS(K35)&gt;Assumptions!$B$6)),"EXCEPTION","OK")</f>
        <v>OK</v>
      </c>
    </row>
    <row r="36" customFormat="false" ht="15" hidden="false" customHeight="false" outlineLevel="0" collapsed="false">
      <c r="A36" s="16" t="str">
        <f aca="false">Purchase_Orders!A33</f>
        <v>PO10032</v>
      </c>
      <c r="B36" s="16" t="str">
        <f aca="false">Purchase_Orders!B33</f>
        <v>V1017</v>
      </c>
      <c r="C36" s="16" t="str">
        <f aca="false">IFERROR(INDEX(Vendor_Master!$B$2:$B$41,MATCH(B36,Vendor_Master!$A$2:$A$41,0)),"Unknown Vendor")</f>
        <v>Hawkins, Cohen and Cameron</v>
      </c>
      <c r="D36" s="17" t="n">
        <f aca="false">Purchase_Orders!C33</f>
        <v>46050</v>
      </c>
      <c r="E36" s="18" t="n">
        <f aca="false">Purchase_Orders!D33</f>
        <v>644.78</v>
      </c>
      <c r="F36" s="18" t="n">
        <f aca="false">SUMIFS(Goods_Receipt_Notes!$D$2:$D$791,Goods_Receipt_Notes!$B$2:$B$791,A36)</f>
        <v>644.78</v>
      </c>
      <c r="G36" s="18" t="n">
        <f aca="false">SUMIFS(Vendor_Invoices_AP!$E$2:$E$882,Vendor_Invoices_AP!$B$2:$B$882,A36)</f>
        <v>644.78</v>
      </c>
      <c r="H36" s="16" t="str">
        <f aca="false">IF(F36=0,"Not Received","Received")</f>
        <v>Received</v>
      </c>
      <c r="I36" s="16" t="str">
        <f aca="false">IF(G36=0,"Not Invoiced","Invoiced")</f>
        <v>Invoiced</v>
      </c>
      <c r="J36" s="18" t="n">
        <f aca="false">E36-F36</f>
        <v>0</v>
      </c>
      <c r="K36" s="18" t="n">
        <f aca="false">E36-G36</f>
        <v>0</v>
      </c>
      <c r="L36" s="16" t="str">
        <f aca="false">IF(OR(AND(I36="Invoiced",H36="Not Received"),AND(F36&gt;0,ABS(J36)&gt;Assumptions!$B$6),AND(G36&gt;0,ABS(K36)&gt;Assumptions!$B$6)),"EXCEPTION","OK")</f>
        <v>OK</v>
      </c>
    </row>
    <row r="37" customFormat="false" ht="15" hidden="false" customHeight="false" outlineLevel="0" collapsed="false">
      <c r="A37" s="16" t="str">
        <f aca="false">Purchase_Orders!A34</f>
        <v>PO10033</v>
      </c>
      <c r="B37" s="16" t="str">
        <f aca="false">Purchase_Orders!B34</f>
        <v>V1040</v>
      </c>
      <c r="C37" s="16" t="str">
        <f aca="false">IFERROR(INDEX(Vendor_Master!$B$2:$B$41,MATCH(B37,Vendor_Master!$A$2:$A$41,0)),"Unknown Vendor")</f>
        <v>Santos, Kim and Holmes</v>
      </c>
      <c r="D37" s="17" t="n">
        <f aca="false">Purchase_Orders!C34</f>
        <v>46062</v>
      </c>
      <c r="E37" s="18" t="n">
        <f aca="false">Purchase_Orders!D34</f>
        <v>10749.2</v>
      </c>
      <c r="F37" s="18" t="n">
        <f aca="false">SUMIFS(Goods_Receipt_Notes!$D$2:$D$791,Goods_Receipt_Notes!$B$2:$B$791,A37)</f>
        <v>10749.2</v>
      </c>
      <c r="G37" s="18" t="n">
        <f aca="false">SUMIFS(Vendor_Invoices_AP!$E$2:$E$882,Vendor_Invoices_AP!$B$2:$B$882,A37)</f>
        <v>10749.2</v>
      </c>
      <c r="H37" s="16" t="str">
        <f aca="false">IF(F37=0,"Not Received","Received")</f>
        <v>Received</v>
      </c>
      <c r="I37" s="16" t="str">
        <f aca="false">IF(G37=0,"Not Invoiced","Invoiced")</f>
        <v>Invoiced</v>
      </c>
      <c r="J37" s="18" t="n">
        <f aca="false">E37-F37</f>
        <v>0</v>
      </c>
      <c r="K37" s="18" t="n">
        <f aca="false">E37-G37</f>
        <v>0</v>
      </c>
      <c r="L37" s="16" t="str">
        <f aca="false">IF(OR(AND(I37="Invoiced",H37="Not Received"),AND(F37&gt;0,ABS(J37)&gt;Assumptions!$B$6),AND(G37&gt;0,ABS(K37)&gt;Assumptions!$B$6)),"EXCEPTION","OK")</f>
        <v>OK</v>
      </c>
    </row>
    <row r="38" customFormat="false" ht="15" hidden="false" customHeight="false" outlineLevel="0" collapsed="false">
      <c r="A38" s="16" t="str">
        <f aca="false">Purchase_Orders!A35</f>
        <v>PO10034</v>
      </c>
      <c r="B38" s="16" t="str">
        <f aca="false">Purchase_Orders!B35</f>
        <v>V1018</v>
      </c>
      <c r="C38" s="16" t="str">
        <f aca="false">IFERROR(INDEX(Vendor_Master!$B$2:$B$41,MATCH(B38,Vendor_Master!$A$2:$A$41,0)),"Unknown Vendor")</f>
        <v>Underwood LLC</v>
      </c>
      <c r="D38" s="17" t="n">
        <f aca="false">Purchase_Orders!C35</f>
        <v>46023</v>
      </c>
      <c r="E38" s="18" t="n">
        <f aca="false">Purchase_Orders!D35</f>
        <v>10173.53</v>
      </c>
      <c r="F38" s="18" t="n">
        <f aca="false">SUMIFS(Goods_Receipt_Notes!$D$2:$D$791,Goods_Receipt_Notes!$B$2:$B$791,A38)</f>
        <v>10173.53</v>
      </c>
      <c r="G38" s="18" t="n">
        <f aca="false">SUMIFS(Vendor_Invoices_AP!$E$2:$E$882,Vendor_Invoices_AP!$B$2:$B$882,A38)</f>
        <v>10173.53</v>
      </c>
      <c r="H38" s="16" t="str">
        <f aca="false">IF(F38=0,"Not Received","Received")</f>
        <v>Received</v>
      </c>
      <c r="I38" s="16" t="str">
        <f aca="false">IF(G38=0,"Not Invoiced","Invoiced")</f>
        <v>Invoiced</v>
      </c>
      <c r="J38" s="18" t="n">
        <f aca="false">E38-F38</f>
        <v>0</v>
      </c>
      <c r="K38" s="18" t="n">
        <f aca="false">E38-G38</f>
        <v>0</v>
      </c>
      <c r="L38" s="16" t="str">
        <f aca="false">IF(OR(AND(I38="Invoiced",H38="Not Received"),AND(F38&gt;0,ABS(J38)&gt;Assumptions!$B$6),AND(G38&gt;0,ABS(K38)&gt;Assumptions!$B$6)),"EXCEPTION","OK")</f>
        <v>OK</v>
      </c>
    </row>
    <row r="39" customFormat="false" ht="15" hidden="false" customHeight="false" outlineLevel="0" collapsed="false">
      <c r="A39" s="16" t="str">
        <f aca="false">Purchase_Orders!A36</f>
        <v>PO10035</v>
      </c>
      <c r="B39" s="16" t="str">
        <f aca="false">Purchase_Orders!B36</f>
        <v>V1023</v>
      </c>
      <c r="C39" s="16" t="str">
        <f aca="false">IFERROR(INDEX(Vendor_Master!$B$2:$B$41,MATCH(B39,Vendor_Master!$A$2:$A$41,0)),"Unknown Vendor")</f>
        <v>Robinson-Bright</v>
      </c>
      <c r="D39" s="17" t="n">
        <f aca="false">Purchase_Orders!C36</f>
        <v>45856</v>
      </c>
      <c r="E39" s="18" t="n">
        <f aca="false">Purchase_Orders!D36</f>
        <v>7427.81</v>
      </c>
      <c r="F39" s="18" t="n">
        <f aca="false">SUMIFS(Goods_Receipt_Notes!$D$2:$D$791,Goods_Receipt_Notes!$B$2:$B$791,A39)</f>
        <v>7427.81</v>
      </c>
      <c r="G39" s="18" t="n">
        <f aca="false">SUMIFS(Vendor_Invoices_AP!$E$2:$E$882,Vendor_Invoices_AP!$B$2:$B$882,A39)</f>
        <v>7427.81</v>
      </c>
      <c r="H39" s="16" t="str">
        <f aca="false">IF(F39=0,"Not Received","Received")</f>
        <v>Received</v>
      </c>
      <c r="I39" s="16" t="str">
        <f aca="false">IF(G39=0,"Not Invoiced","Invoiced")</f>
        <v>Invoiced</v>
      </c>
      <c r="J39" s="18" t="n">
        <f aca="false">E39-F39</f>
        <v>0</v>
      </c>
      <c r="K39" s="18" t="n">
        <f aca="false">E39-G39</f>
        <v>0</v>
      </c>
      <c r="L39" s="16" t="str">
        <f aca="false">IF(OR(AND(I39="Invoiced",H39="Not Received"),AND(F39&gt;0,ABS(J39)&gt;Assumptions!$B$6),AND(G39&gt;0,ABS(K39)&gt;Assumptions!$B$6)),"EXCEPTION","OK")</f>
        <v>OK</v>
      </c>
    </row>
    <row r="40" customFormat="false" ht="15" hidden="false" customHeight="false" outlineLevel="0" collapsed="false">
      <c r="A40" s="16" t="str">
        <f aca="false">Purchase_Orders!A37</f>
        <v>PO10036</v>
      </c>
      <c r="B40" s="16" t="str">
        <f aca="false">Purchase_Orders!B37</f>
        <v>V1024</v>
      </c>
      <c r="C40" s="16" t="str">
        <f aca="false">IFERROR(INDEX(Vendor_Master!$B$2:$B$41,MATCH(B40,Vendor_Master!$A$2:$A$41,0)),"Unknown Vendor")</f>
        <v>Campos Inc</v>
      </c>
      <c r="D40" s="17" t="n">
        <f aca="false">Purchase_Orders!C37</f>
        <v>45696</v>
      </c>
      <c r="E40" s="18" t="n">
        <f aca="false">Purchase_Orders!D37</f>
        <v>3858.14</v>
      </c>
      <c r="F40" s="18" t="n">
        <f aca="false">SUMIFS(Goods_Receipt_Notes!$D$2:$D$791,Goods_Receipt_Notes!$B$2:$B$791,A40)</f>
        <v>3858.14</v>
      </c>
      <c r="G40" s="18" t="n">
        <f aca="false">SUMIFS(Vendor_Invoices_AP!$E$2:$E$882,Vendor_Invoices_AP!$B$2:$B$882,A40)</f>
        <v>3858.14</v>
      </c>
      <c r="H40" s="16" t="str">
        <f aca="false">IF(F40=0,"Not Received","Received")</f>
        <v>Received</v>
      </c>
      <c r="I40" s="16" t="str">
        <f aca="false">IF(G40=0,"Not Invoiced","Invoiced")</f>
        <v>Invoiced</v>
      </c>
      <c r="J40" s="18" t="n">
        <f aca="false">E40-F40</f>
        <v>0</v>
      </c>
      <c r="K40" s="18" t="n">
        <f aca="false">E40-G40</f>
        <v>0</v>
      </c>
      <c r="L40" s="16" t="str">
        <f aca="false">IF(OR(AND(I40="Invoiced",H40="Not Received"),AND(F40&gt;0,ABS(J40)&gt;Assumptions!$B$6),AND(G40&gt;0,ABS(K40)&gt;Assumptions!$B$6)),"EXCEPTION","OK")</f>
        <v>OK</v>
      </c>
    </row>
    <row r="41" customFormat="false" ht="15" hidden="false" customHeight="false" outlineLevel="0" collapsed="false">
      <c r="A41" s="16" t="str">
        <f aca="false">Purchase_Orders!A38</f>
        <v>PO10037</v>
      </c>
      <c r="B41" s="16" t="str">
        <f aca="false">Purchase_Orders!B38</f>
        <v>V1008</v>
      </c>
      <c r="C41" s="16" t="str">
        <f aca="false">IFERROR(INDEX(Vendor_Master!$B$2:$B$41,MATCH(B41,Vendor_Master!$A$2:$A$41,0)),"Unknown Vendor")</f>
        <v>Davis Inc</v>
      </c>
      <c r="D41" s="17" t="n">
        <f aca="false">Purchase_Orders!C38</f>
        <v>46020</v>
      </c>
      <c r="E41" s="18" t="n">
        <f aca="false">Purchase_Orders!D38</f>
        <v>1031.9</v>
      </c>
      <c r="F41" s="18" t="n">
        <f aca="false">SUMIFS(Goods_Receipt_Notes!$D$2:$D$791,Goods_Receipt_Notes!$B$2:$B$791,A41)</f>
        <v>1031.9</v>
      </c>
      <c r="G41" s="18" t="n">
        <f aca="false">SUMIFS(Vendor_Invoices_AP!$E$2:$E$882,Vendor_Invoices_AP!$B$2:$B$882,A41)</f>
        <v>1031.9</v>
      </c>
      <c r="H41" s="16" t="str">
        <f aca="false">IF(F41=0,"Not Received","Received")</f>
        <v>Received</v>
      </c>
      <c r="I41" s="16" t="str">
        <f aca="false">IF(G41=0,"Not Invoiced","Invoiced")</f>
        <v>Invoiced</v>
      </c>
      <c r="J41" s="18" t="n">
        <f aca="false">E41-F41</f>
        <v>0</v>
      </c>
      <c r="K41" s="18" t="n">
        <f aca="false">E41-G41</f>
        <v>0</v>
      </c>
      <c r="L41" s="16" t="str">
        <f aca="false">IF(OR(AND(I41="Invoiced",H41="Not Received"),AND(F41&gt;0,ABS(J41)&gt;Assumptions!$B$6),AND(G41&gt;0,ABS(K41)&gt;Assumptions!$B$6)),"EXCEPTION","OK")</f>
        <v>OK</v>
      </c>
    </row>
    <row r="42" customFormat="false" ht="15" hidden="false" customHeight="false" outlineLevel="0" collapsed="false">
      <c r="A42" s="16" t="str">
        <f aca="false">Purchase_Orders!A39</f>
        <v>PO10038</v>
      </c>
      <c r="B42" s="16" t="str">
        <f aca="false">Purchase_Orders!B39</f>
        <v>V1023</v>
      </c>
      <c r="C42" s="16" t="str">
        <f aca="false">IFERROR(INDEX(Vendor_Master!$B$2:$B$41,MATCH(B42,Vendor_Master!$A$2:$A$41,0)),"Unknown Vendor")</f>
        <v>Robinson-Bright</v>
      </c>
      <c r="D42" s="17" t="n">
        <f aca="false">Purchase_Orders!C39</f>
        <v>45837</v>
      </c>
      <c r="E42" s="18" t="n">
        <f aca="false">Purchase_Orders!D39</f>
        <v>117.56</v>
      </c>
      <c r="F42" s="18" t="n">
        <f aca="false">SUMIFS(Goods_Receipt_Notes!$D$2:$D$791,Goods_Receipt_Notes!$B$2:$B$791,A42)</f>
        <v>0</v>
      </c>
      <c r="G42" s="18" t="n">
        <f aca="false">SUMIFS(Vendor_Invoices_AP!$E$2:$E$882,Vendor_Invoices_AP!$B$2:$B$882,A42)</f>
        <v>117.56</v>
      </c>
      <c r="H42" s="16" t="str">
        <f aca="false">IF(F42=0,"Not Received","Received")</f>
        <v>Not Received</v>
      </c>
      <c r="I42" s="16" t="str">
        <f aca="false">IF(G42=0,"Not Invoiced","Invoiced")</f>
        <v>Invoiced</v>
      </c>
      <c r="J42" s="18" t="n">
        <f aca="false">E42-F42</f>
        <v>117.56</v>
      </c>
      <c r="K42" s="18" t="n">
        <f aca="false">E42-G42</f>
        <v>0</v>
      </c>
      <c r="L42" s="16" t="str">
        <f aca="false">IF(OR(AND(I42="Invoiced",H42="Not Received"),AND(F42&gt;0,ABS(J42)&gt;Assumptions!$B$6),AND(G42&gt;0,ABS(K42)&gt;Assumptions!$B$6)),"EXCEPTION","OK")</f>
        <v>EXCEPTION</v>
      </c>
    </row>
    <row r="43" customFormat="false" ht="15" hidden="false" customHeight="false" outlineLevel="0" collapsed="false">
      <c r="A43" s="16" t="str">
        <f aca="false">Purchase_Orders!A40</f>
        <v>PO10039</v>
      </c>
      <c r="B43" s="16" t="str">
        <f aca="false">Purchase_Orders!B40</f>
        <v>V1012</v>
      </c>
      <c r="C43" s="16" t="str">
        <f aca="false">IFERROR(INDEX(Vendor_Master!$B$2:$B$41,MATCH(B43,Vendor_Master!$A$2:$A$41,0)),"Unknown Vendor")</f>
        <v>Stanley LLC</v>
      </c>
      <c r="D43" s="17" t="n">
        <f aca="false">Purchase_Orders!C40</f>
        <v>45829</v>
      </c>
      <c r="E43" s="18" t="n">
        <f aca="false">Purchase_Orders!D40</f>
        <v>21146.76</v>
      </c>
      <c r="F43" s="18" t="n">
        <f aca="false">SUMIFS(Goods_Receipt_Notes!$D$2:$D$791,Goods_Receipt_Notes!$B$2:$B$791,A43)</f>
        <v>21146.76</v>
      </c>
      <c r="G43" s="18" t="n">
        <f aca="false">SUMIFS(Vendor_Invoices_AP!$E$2:$E$882,Vendor_Invoices_AP!$B$2:$B$882,A43)</f>
        <v>21146.76</v>
      </c>
      <c r="H43" s="16" t="str">
        <f aca="false">IF(F43=0,"Not Received","Received")</f>
        <v>Received</v>
      </c>
      <c r="I43" s="16" t="str">
        <f aca="false">IF(G43=0,"Not Invoiced","Invoiced")</f>
        <v>Invoiced</v>
      </c>
      <c r="J43" s="18" t="n">
        <f aca="false">E43-F43</f>
        <v>0</v>
      </c>
      <c r="K43" s="18" t="n">
        <f aca="false">E43-G43</f>
        <v>0</v>
      </c>
      <c r="L43" s="16" t="str">
        <f aca="false">IF(OR(AND(I43="Invoiced",H43="Not Received"),AND(F43&gt;0,ABS(J43)&gt;Assumptions!$B$6),AND(G43&gt;0,ABS(K43)&gt;Assumptions!$B$6)),"EXCEPTION","OK")</f>
        <v>OK</v>
      </c>
    </row>
    <row r="44" customFormat="false" ht="15" hidden="false" customHeight="false" outlineLevel="0" collapsed="false">
      <c r="A44" s="16" t="str">
        <f aca="false">Purchase_Orders!A41</f>
        <v>PO10040</v>
      </c>
      <c r="B44" s="16" t="str">
        <f aca="false">Purchase_Orders!B41</f>
        <v>V1038</v>
      </c>
      <c r="C44" s="16" t="str">
        <f aca="false">IFERROR(INDEX(Vendor_Master!$B$2:$B$41,MATCH(B44,Vendor_Master!$A$2:$A$41,0)),"Unknown Vendor")</f>
        <v>Rose-Obrien</v>
      </c>
      <c r="D44" s="17" t="n">
        <f aca="false">Purchase_Orders!C41</f>
        <v>46120</v>
      </c>
      <c r="E44" s="18" t="n">
        <f aca="false">Purchase_Orders!D41</f>
        <v>869.11</v>
      </c>
      <c r="F44" s="18" t="n">
        <f aca="false">SUMIFS(Goods_Receipt_Notes!$D$2:$D$791,Goods_Receipt_Notes!$B$2:$B$791,A44)</f>
        <v>869.11</v>
      </c>
      <c r="G44" s="18" t="n">
        <f aca="false">SUMIFS(Vendor_Invoices_AP!$E$2:$E$882,Vendor_Invoices_AP!$B$2:$B$882,A44)</f>
        <v>869.11</v>
      </c>
      <c r="H44" s="16" t="str">
        <f aca="false">IF(F44=0,"Not Received","Received")</f>
        <v>Received</v>
      </c>
      <c r="I44" s="16" t="str">
        <f aca="false">IF(G44=0,"Not Invoiced","Invoiced")</f>
        <v>Invoiced</v>
      </c>
      <c r="J44" s="18" t="n">
        <f aca="false">E44-F44</f>
        <v>0</v>
      </c>
      <c r="K44" s="18" t="n">
        <f aca="false">E44-G44</f>
        <v>0</v>
      </c>
      <c r="L44" s="16" t="str">
        <f aca="false">IF(OR(AND(I44="Invoiced",H44="Not Received"),AND(F44&gt;0,ABS(J44)&gt;Assumptions!$B$6),AND(G44&gt;0,ABS(K44)&gt;Assumptions!$B$6)),"EXCEPTION","OK")</f>
        <v>OK</v>
      </c>
    </row>
    <row r="45" customFormat="false" ht="15" hidden="false" customHeight="false" outlineLevel="0" collapsed="false">
      <c r="A45" s="16" t="str">
        <f aca="false">Purchase_Orders!A42</f>
        <v>PO10041</v>
      </c>
      <c r="B45" s="16" t="str">
        <f aca="false">Purchase_Orders!B42</f>
        <v>V1015</v>
      </c>
      <c r="C45" s="16" t="str">
        <f aca="false">IFERROR(INDEX(Vendor_Master!$B$2:$B$41,MATCH(B45,Vendor_Master!$A$2:$A$41,0)),"Unknown Vendor")</f>
        <v>Zuniga, Wong and Lynch</v>
      </c>
      <c r="D45" s="17" t="n">
        <f aca="false">Purchase_Orders!C42</f>
        <v>46050</v>
      </c>
      <c r="E45" s="18" t="n">
        <f aca="false">Purchase_Orders!D42</f>
        <v>1410.52</v>
      </c>
      <c r="F45" s="18" t="n">
        <f aca="false">SUMIFS(Goods_Receipt_Notes!$D$2:$D$791,Goods_Receipt_Notes!$B$2:$B$791,A45)</f>
        <v>1410.52</v>
      </c>
      <c r="G45" s="18" t="n">
        <f aca="false">SUMIFS(Vendor_Invoices_AP!$E$2:$E$882,Vendor_Invoices_AP!$B$2:$B$882,A45)</f>
        <v>1696.08</v>
      </c>
      <c r="H45" s="16" t="str">
        <f aca="false">IF(F45=0,"Not Received","Received")</f>
        <v>Received</v>
      </c>
      <c r="I45" s="16" t="str">
        <f aca="false">IF(G45=0,"Not Invoiced","Invoiced")</f>
        <v>Invoiced</v>
      </c>
      <c r="J45" s="18" t="n">
        <f aca="false">E45-F45</f>
        <v>0</v>
      </c>
      <c r="K45" s="18" t="n">
        <f aca="false">E45-G45</f>
        <v>-285.56</v>
      </c>
      <c r="L45" s="16" t="str">
        <f aca="false">IF(OR(AND(I45="Invoiced",H45="Not Received"),AND(F45&gt;0,ABS(J45)&gt;Assumptions!$B$6),AND(G45&gt;0,ABS(K45)&gt;Assumptions!$B$6)),"EXCEPTION","OK")</f>
        <v>EXCEPTION</v>
      </c>
    </row>
    <row r="46" customFormat="false" ht="15" hidden="false" customHeight="false" outlineLevel="0" collapsed="false">
      <c r="A46" s="16" t="str">
        <f aca="false">Purchase_Orders!A43</f>
        <v>PO10042</v>
      </c>
      <c r="B46" s="16" t="str">
        <f aca="false">Purchase_Orders!B43</f>
        <v>V1011</v>
      </c>
      <c r="C46" s="16" t="str">
        <f aca="false">IFERROR(INDEX(Vendor_Master!$B$2:$B$41,MATCH(B46,Vendor_Master!$A$2:$A$41,0)),"Unknown Vendor")</f>
        <v>Montgomery, Hensley and Ray</v>
      </c>
      <c r="D46" s="17" t="n">
        <f aca="false">Purchase_Orders!C43</f>
        <v>45821</v>
      </c>
      <c r="E46" s="18" t="n">
        <f aca="false">Purchase_Orders!D43</f>
        <v>1814.85</v>
      </c>
      <c r="F46" s="18" t="n">
        <f aca="false">SUMIFS(Goods_Receipt_Notes!$D$2:$D$791,Goods_Receipt_Notes!$B$2:$B$791,A46)</f>
        <v>1814.85</v>
      </c>
      <c r="G46" s="18" t="n">
        <f aca="false">SUMIFS(Vendor_Invoices_AP!$E$2:$E$882,Vendor_Invoices_AP!$B$2:$B$882,A46)</f>
        <v>1814.85</v>
      </c>
      <c r="H46" s="16" t="str">
        <f aca="false">IF(F46=0,"Not Received","Received")</f>
        <v>Received</v>
      </c>
      <c r="I46" s="16" t="str">
        <f aca="false">IF(G46=0,"Not Invoiced","Invoiced")</f>
        <v>Invoiced</v>
      </c>
      <c r="J46" s="18" t="n">
        <f aca="false">E46-F46</f>
        <v>0</v>
      </c>
      <c r="K46" s="18" t="n">
        <f aca="false">E46-G46</f>
        <v>0</v>
      </c>
      <c r="L46" s="16" t="str">
        <f aca="false">IF(OR(AND(I46="Invoiced",H46="Not Received"),AND(F46&gt;0,ABS(J46)&gt;Assumptions!$B$6),AND(G46&gt;0,ABS(K46)&gt;Assumptions!$B$6)),"EXCEPTION","OK")</f>
        <v>OK</v>
      </c>
    </row>
    <row r="47" customFormat="false" ht="15" hidden="false" customHeight="false" outlineLevel="0" collapsed="false">
      <c r="A47" s="16" t="str">
        <f aca="false">Purchase_Orders!A44</f>
        <v>PO10043</v>
      </c>
      <c r="B47" s="16" t="str">
        <f aca="false">Purchase_Orders!B44</f>
        <v>V1008</v>
      </c>
      <c r="C47" s="16" t="str">
        <f aca="false">IFERROR(INDEX(Vendor_Master!$B$2:$B$41,MATCH(B47,Vendor_Master!$A$2:$A$41,0)),"Unknown Vendor")</f>
        <v>Davis Inc</v>
      </c>
      <c r="D47" s="17" t="n">
        <f aca="false">Purchase_Orders!C44</f>
        <v>45826</v>
      </c>
      <c r="E47" s="18" t="n">
        <f aca="false">Purchase_Orders!D44</f>
        <v>1238.85</v>
      </c>
      <c r="F47" s="18" t="n">
        <f aca="false">SUMIFS(Goods_Receipt_Notes!$D$2:$D$791,Goods_Receipt_Notes!$B$2:$B$791,A47)</f>
        <v>1238.85</v>
      </c>
      <c r="G47" s="18" t="n">
        <f aca="false">SUMIFS(Vendor_Invoices_AP!$E$2:$E$882,Vendor_Invoices_AP!$B$2:$B$882,A47)</f>
        <v>1238.85</v>
      </c>
      <c r="H47" s="16" t="str">
        <f aca="false">IF(F47=0,"Not Received","Received")</f>
        <v>Received</v>
      </c>
      <c r="I47" s="16" t="str">
        <f aca="false">IF(G47=0,"Not Invoiced","Invoiced")</f>
        <v>Invoiced</v>
      </c>
      <c r="J47" s="18" t="n">
        <f aca="false">E47-F47</f>
        <v>0</v>
      </c>
      <c r="K47" s="18" t="n">
        <f aca="false">E47-G47</f>
        <v>0</v>
      </c>
      <c r="L47" s="16" t="str">
        <f aca="false">IF(OR(AND(I47="Invoiced",H47="Not Received"),AND(F47&gt;0,ABS(J47)&gt;Assumptions!$B$6),AND(G47&gt;0,ABS(K47)&gt;Assumptions!$B$6)),"EXCEPTION","OK")</f>
        <v>OK</v>
      </c>
    </row>
    <row r="48" customFormat="false" ht="15" hidden="false" customHeight="false" outlineLevel="0" collapsed="false">
      <c r="A48" s="16" t="str">
        <f aca="false">Purchase_Orders!A45</f>
        <v>PO10044</v>
      </c>
      <c r="B48" s="16" t="str">
        <f aca="false">Purchase_Orders!B45</f>
        <v>V1011</v>
      </c>
      <c r="C48" s="16" t="str">
        <f aca="false">IFERROR(INDEX(Vendor_Master!$B$2:$B$41,MATCH(B48,Vendor_Master!$A$2:$A$41,0)),"Unknown Vendor")</f>
        <v>Montgomery, Hensley and Ray</v>
      </c>
      <c r="D48" s="17" t="n">
        <f aca="false">Purchase_Orders!C45</f>
        <v>45880</v>
      </c>
      <c r="E48" s="18" t="n">
        <f aca="false">Purchase_Orders!D45</f>
        <v>9938.09</v>
      </c>
      <c r="F48" s="18" t="n">
        <f aca="false">SUMIFS(Goods_Receipt_Notes!$D$2:$D$791,Goods_Receipt_Notes!$B$2:$B$791,A48)</f>
        <v>0</v>
      </c>
      <c r="G48" s="18" t="n">
        <f aca="false">SUMIFS(Vendor_Invoices_AP!$E$2:$E$882,Vendor_Invoices_AP!$B$2:$B$882,A48)</f>
        <v>19876.18</v>
      </c>
      <c r="H48" s="16" t="str">
        <f aca="false">IF(F48=0,"Not Received","Received")</f>
        <v>Not Received</v>
      </c>
      <c r="I48" s="16" t="str">
        <f aca="false">IF(G48=0,"Not Invoiced","Invoiced")</f>
        <v>Invoiced</v>
      </c>
      <c r="J48" s="18" t="n">
        <f aca="false">E48-F48</f>
        <v>9938.09</v>
      </c>
      <c r="K48" s="18" t="n">
        <f aca="false">E48-G48</f>
        <v>-9938.09</v>
      </c>
      <c r="L48" s="16" t="str">
        <f aca="false">IF(OR(AND(I48="Invoiced",H48="Not Received"),AND(F48&gt;0,ABS(J48)&gt;Assumptions!$B$6),AND(G48&gt;0,ABS(K48)&gt;Assumptions!$B$6)),"EXCEPTION","OK")</f>
        <v>EXCEPTION</v>
      </c>
    </row>
    <row r="49" customFormat="false" ht="15" hidden="false" customHeight="false" outlineLevel="0" collapsed="false">
      <c r="A49" s="16" t="str">
        <f aca="false">Purchase_Orders!A46</f>
        <v>PO10045</v>
      </c>
      <c r="B49" s="16" t="str">
        <f aca="false">Purchase_Orders!B46</f>
        <v>V1016</v>
      </c>
      <c r="C49" s="16" t="str">
        <f aca="false">IFERROR(INDEX(Vendor_Master!$B$2:$B$41,MATCH(B49,Vendor_Master!$A$2:$A$41,0)),"Unknown Vendor")</f>
        <v>Sanchez, Ford and Nelson</v>
      </c>
      <c r="D49" s="17" t="n">
        <f aca="false">Purchase_Orders!C46</f>
        <v>45877</v>
      </c>
      <c r="E49" s="18" t="n">
        <f aca="false">Purchase_Orders!D46</f>
        <v>1076.83</v>
      </c>
      <c r="F49" s="18" t="n">
        <f aca="false">SUMIFS(Goods_Receipt_Notes!$D$2:$D$791,Goods_Receipt_Notes!$B$2:$B$791,A49)</f>
        <v>1076.83</v>
      </c>
      <c r="G49" s="18" t="n">
        <f aca="false">SUMIFS(Vendor_Invoices_AP!$E$2:$E$882,Vendor_Invoices_AP!$B$2:$B$882,A49)</f>
        <v>1076.83</v>
      </c>
      <c r="H49" s="16" t="str">
        <f aca="false">IF(F49=0,"Not Received","Received")</f>
        <v>Received</v>
      </c>
      <c r="I49" s="16" t="str">
        <f aca="false">IF(G49=0,"Not Invoiced","Invoiced")</f>
        <v>Invoiced</v>
      </c>
      <c r="J49" s="18" t="n">
        <f aca="false">E49-F49</f>
        <v>0</v>
      </c>
      <c r="K49" s="18" t="n">
        <f aca="false">E49-G49</f>
        <v>0</v>
      </c>
      <c r="L49" s="16" t="str">
        <f aca="false">IF(OR(AND(I49="Invoiced",H49="Not Received"),AND(F49&gt;0,ABS(J49)&gt;Assumptions!$B$6),AND(G49&gt;0,ABS(K49)&gt;Assumptions!$B$6)),"EXCEPTION","OK")</f>
        <v>OK</v>
      </c>
    </row>
    <row r="50" customFormat="false" ht="15" hidden="false" customHeight="false" outlineLevel="0" collapsed="false">
      <c r="A50" s="16" t="str">
        <f aca="false">Purchase_Orders!A47</f>
        <v>PO10046</v>
      </c>
      <c r="B50" s="16" t="str">
        <f aca="false">Purchase_Orders!B47</f>
        <v>V1001</v>
      </c>
      <c r="C50" s="16" t="str">
        <f aca="false">IFERROR(INDEX(Vendor_Master!$B$2:$B$41,MATCH(B50,Vendor_Master!$A$2:$A$41,0)),"Unknown Vendor")</f>
        <v>Figueroa and Sons</v>
      </c>
      <c r="D50" s="17" t="n">
        <f aca="false">Purchase_Orders!C47</f>
        <v>45819</v>
      </c>
      <c r="E50" s="18" t="n">
        <f aca="false">Purchase_Orders!D47</f>
        <v>5899.58</v>
      </c>
      <c r="F50" s="18" t="n">
        <f aca="false">SUMIFS(Goods_Receipt_Notes!$D$2:$D$791,Goods_Receipt_Notes!$B$2:$B$791,A50)</f>
        <v>5899.58</v>
      </c>
      <c r="G50" s="18" t="n">
        <f aca="false">SUMIFS(Vendor_Invoices_AP!$E$2:$E$882,Vendor_Invoices_AP!$B$2:$B$882,A50)</f>
        <v>5899.58</v>
      </c>
      <c r="H50" s="16" t="str">
        <f aca="false">IF(F50=0,"Not Received","Received")</f>
        <v>Received</v>
      </c>
      <c r="I50" s="16" t="str">
        <f aca="false">IF(G50=0,"Not Invoiced","Invoiced")</f>
        <v>Invoiced</v>
      </c>
      <c r="J50" s="18" t="n">
        <f aca="false">E50-F50</f>
        <v>0</v>
      </c>
      <c r="K50" s="18" t="n">
        <f aca="false">E50-G50</f>
        <v>0</v>
      </c>
      <c r="L50" s="16" t="str">
        <f aca="false">IF(OR(AND(I50="Invoiced",H50="Not Received"),AND(F50&gt;0,ABS(J50)&gt;Assumptions!$B$6),AND(G50&gt;0,ABS(K50)&gt;Assumptions!$B$6)),"EXCEPTION","OK")</f>
        <v>OK</v>
      </c>
    </row>
    <row r="51" customFormat="false" ht="15" hidden="false" customHeight="false" outlineLevel="0" collapsed="false">
      <c r="A51" s="16" t="str">
        <f aca="false">Purchase_Orders!A48</f>
        <v>PO10047</v>
      </c>
      <c r="B51" s="16" t="str">
        <f aca="false">Purchase_Orders!B48</f>
        <v>V1020</v>
      </c>
      <c r="C51" s="16" t="str">
        <f aca="false">IFERROR(INDEX(Vendor_Master!$B$2:$B$41,MATCH(B51,Vendor_Master!$A$2:$A$41,0)),"Unknown Vendor")</f>
        <v>Lewis-Porter</v>
      </c>
      <c r="D51" s="17" t="n">
        <f aca="false">Purchase_Orders!C48</f>
        <v>45727</v>
      </c>
      <c r="E51" s="18" t="n">
        <f aca="false">Purchase_Orders!D48</f>
        <v>31348.72</v>
      </c>
      <c r="F51" s="18" t="n">
        <f aca="false">SUMIFS(Goods_Receipt_Notes!$D$2:$D$791,Goods_Receipt_Notes!$B$2:$B$791,A51)</f>
        <v>31348.72</v>
      </c>
      <c r="G51" s="18" t="n">
        <f aca="false">SUMIFS(Vendor_Invoices_AP!$E$2:$E$882,Vendor_Invoices_AP!$B$2:$B$882,A51)</f>
        <v>31348.72</v>
      </c>
      <c r="H51" s="16" t="str">
        <f aca="false">IF(F51=0,"Not Received","Received")</f>
        <v>Received</v>
      </c>
      <c r="I51" s="16" t="str">
        <f aca="false">IF(G51=0,"Not Invoiced","Invoiced")</f>
        <v>Invoiced</v>
      </c>
      <c r="J51" s="18" t="n">
        <f aca="false">E51-F51</f>
        <v>0</v>
      </c>
      <c r="K51" s="18" t="n">
        <f aca="false">E51-G51</f>
        <v>0</v>
      </c>
      <c r="L51" s="16" t="str">
        <f aca="false">IF(OR(AND(I51="Invoiced",H51="Not Received"),AND(F51&gt;0,ABS(J51)&gt;Assumptions!$B$6),AND(G51&gt;0,ABS(K51)&gt;Assumptions!$B$6)),"EXCEPTION","OK")</f>
        <v>OK</v>
      </c>
    </row>
    <row r="52" customFormat="false" ht="15" hidden="false" customHeight="false" outlineLevel="0" collapsed="false">
      <c r="A52" s="16" t="str">
        <f aca="false">Purchase_Orders!A49</f>
        <v>PO10048</v>
      </c>
      <c r="B52" s="16" t="str">
        <f aca="false">Purchase_Orders!B49</f>
        <v>V1022</v>
      </c>
      <c r="C52" s="16" t="str">
        <f aca="false">IFERROR(INDEX(Vendor_Master!$B$2:$B$41,MATCH(B52,Vendor_Master!$A$2:$A$41,0)),"Unknown Vendor")</f>
        <v>Burgess-Patterson</v>
      </c>
      <c r="D52" s="17" t="n">
        <f aca="false">Purchase_Orders!C49</f>
        <v>45887</v>
      </c>
      <c r="E52" s="18" t="n">
        <f aca="false">Purchase_Orders!D49</f>
        <v>2845.35</v>
      </c>
      <c r="F52" s="18" t="n">
        <f aca="false">SUMIFS(Goods_Receipt_Notes!$D$2:$D$791,Goods_Receipt_Notes!$B$2:$B$791,A52)</f>
        <v>2845.35</v>
      </c>
      <c r="G52" s="18" t="n">
        <f aca="false">SUMIFS(Vendor_Invoices_AP!$E$2:$E$882,Vendor_Invoices_AP!$B$2:$B$882,A52)</f>
        <v>2845.35</v>
      </c>
      <c r="H52" s="16" t="str">
        <f aca="false">IF(F52=0,"Not Received","Received")</f>
        <v>Received</v>
      </c>
      <c r="I52" s="16" t="str">
        <f aca="false">IF(G52=0,"Not Invoiced","Invoiced")</f>
        <v>Invoiced</v>
      </c>
      <c r="J52" s="18" t="n">
        <f aca="false">E52-F52</f>
        <v>0</v>
      </c>
      <c r="K52" s="18" t="n">
        <f aca="false">E52-G52</f>
        <v>0</v>
      </c>
      <c r="L52" s="16" t="str">
        <f aca="false">IF(OR(AND(I52="Invoiced",H52="Not Received"),AND(F52&gt;0,ABS(J52)&gt;Assumptions!$B$6),AND(G52&gt;0,ABS(K52)&gt;Assumptions!$B$6)),"EXCEPTION","OK")</f>
        <v>OK</v>
      </c>
    </row>
    <row r="53" customFormat="false" ht="15" hidden="false" customHeight="false" outlineLevel="0" collapsed="false">
      <c r="A53" s="16" t="str">
        <f aca="false">Purchase_Orders!A50</f>
        <v>PO10049</v>
      </c>
      <c r="B53" s="16" t="str">
        <f aca="false">Purchase_Orders!B50</f>
        <v>V1039</v>
      </c>
      <c r="C53" s="16" t="str">
        <f aca="false">IFERROR(INDEX(Vendor_Master!$B$2:$B$41,MATCH(B53,Vendor_Master!$A$2:$A$41,0)),"Unknown Vendor")</f>
        <v>Campos, Vaughn and Marquez</v>
      </c>
      <c r="D53" s="17" t="n">
        <f aca="false">Purchase_Orders!C50</f>
        <v>46170</v>
      </c>
      <c r="E53" s="18" t="n">
        <f aca="false">Purchase_Orders!D50</f>
        <v>10325.83</v>
      </c>
      <c r="F53" s="18" t="n">
        <f aca="false">SUMIFS(Goods_Receipt_Notes!$D$2:$D$791,Goods_Receipt_Notes!$B$2:$B$791,A53)</f>
        <v>10325.83</v>
      </c>
      <c r="G53" s="18" t="n">
        <f aca="false">SUMIFS(Vendor_Invoices_AP!$E$2:$E$882,Vendor_Invoices_AP!$B$2:$B$882,A53)</f>
        <v>10325.83</v>
      </c>
      <c r="H53" s="16" t="str">
        <f aca="false">IF(F53=0,"Not Received","Received")</f>
        <v>Received</v>
      </c>
      <c r="I53" s="16" t="str">
        <f aca="false">IF(G53=0,"Not Invoiced","Invoiced")</f>
        <v>Invoiced</v>
      </c>
      <c r="J53" s="18" t="n">
        <f aca="false">E53-F53</f>
        <v>0</v>
      </c>
      <c r="K53" s="18" t="n">
        <f aca="false">E53-G53</f>
        <v>0</v>
      </c>
      <c r="L53" s="16" t="str">
        <f aca="false">IF(OR(AND(I53="Invoiced",H53="Not Received"),AND(F53&gt;0,ABS(J53)&gt;Assumptions!$B$6),AND(G53&gt;0,ABS(K53)&gt;Assumptions!$B$6)),"EXCEPTION","OK")</f>
        <v>OK</v>
      </c>
    </row>
    <row r="54" customFormat="false" ht="15" hidden="false" customHeight="false" outlineLevel="0" collapsed="false">
      <c r="A54" s="16" t="str">
        <f aca="false">Purchase_Orders!A51</f>
        <v>PO10050</v>
      </c>
      <c r="B54" s="16" t="str">
        <f aca="false">Purchase_Orders!B51</f>
        <v>V1025</v>
      </c>
      <c r="C54" s="16" t="str">
        <f aca="false">IFERROR(INDEX(Vendor_Master!$B$2:$B$41,MATCH(B54,Vendor_Master!$A$2:$A$41,0)),"Unknown Vendor")</f>
        <v>Conner Group</v>
      </c>
      <c r="D54" s="17" t="n">
        <f aca="false">Purchase_Orders!C51</f>
        <v>46027</v>
      </c>
      <c r="E54" s="18" t="n">
        <f aca="false">Purchase_Orders!D51</f>
        <v>22892.64</v>
      </c>
      <c r="F54" s="18" t="n">
        <f aca="false">SUMIFS(Goods_Receipt_Notes!$D$2:$D$791,Goods_Receipt_Notes!$B$2:$B$791,A54)</f>
        <v>22892.64</v>
      </c>
      <c r="G54" s="18" t="n">
        <f aca="false">SUMIFS(Vendor_Invoices_AP!$E$2:$E$882,Vendor_Invoices_AP!$B$2:$B$882,A54)</f>
        <v>22892.64</v>
      </c>
      <c r="H54" s="16" t="str">
        <f aca="false">IF(F54=0,"Not Received","Received")</f>
        <v>Received</v>
      </c>
      <c r="I54" s="16" t="str">
        <f aca="false">IF(G54=0,"Not Invoiced","Invoiced")</f>
        <v>Invoiced</v>
      </c>
      <c r="J54" s="18" t="n">
        <f aca="false">E54-F54</f>
        <v>0</v>
      </c>
      <c r="K54" s="18" t="n">
        <f aca="false">E54-G54</f>
        <v>0</v>
      </c>
      <c r="L54" s="16" t="str">
        <f aca="false">IF(OR(AND(I54="Invoiced",H54="Not Received"),AND(F54&gt;0,ABS(J54)&gt;Assumptions!$B$6),AND(G54&gt;0,ABS(K54)&gt;Assumptions!$B$6)),"EXCEPTION","OK")</f>
        <v>OK</v>
      </c>
    </row>
    <row r="55" customFormat="false" ht="15" hidden="false" customHeight="false" outlineLevel="0" collapsed="false">
      <c r="A55" s="16" t="str">
        <f aca="false">Purchase_Orders!A52</f>
        <v>PO10051</v>
      </c>
      <c r="B55" s="16" t="str">
        <f aca="false">Purchase_Orders!B52</f>
        <v>V1006</v>
      </c>
      <c r="C55" s="16" t="str">
        <f aca="false">IFERROR(INDEX(Vendor_Master!$B$2:$B$41,MATCH(B55,Vendor_Master!$A$2:$A$41,0)),"Unknown Vendor")</f>
        <v>Blake and Sons</v>
      </c>
      <c r="D55" s="17" t="n">
        <f aca="false">Purchase_Orders!C52</f>
        <v>46150</v>
      </c>
      <c r="E55" s="18" t="n">
        <f aca="false">Purchase_Orders!D52</f>
        <v>306.49</v>
      </c>
      <c r="F55" s="18" t="n">
        <f aca="false">SUMIFS(Goods_Receipt_Notes!$D$2:$D$791,Goods_Receipt_Notes!$B$2:$B$791,A55)</f>
        <v>306.49</v>
      </c>
      <c r="G55" s="18" t="n">
        <f aca="false">SUMIFS(Vendor_Invoices_AP!$E$2:$E$882,Vendor_Invoices_AP!$B$2:$B$882,A55)</f>
        <v>306.49</v>
      </c>
      <c r="H55" s="16" t="str">
        <f aca="false">IF(F55=0,"Not Received","Received")</f>
        <v>Received</v>
      </c>
      <c r="I55" s="16" t="str">
        <f aca="false">IF(G55=0,"Not Invoiced","Invoiced")</f>
        <v>Invoiced</v>
      </c>
      <c r="J55" s="18" t="n">
        <f aca="false">E55-F55</f>
        <v>0</v>
      </c>
      <c r="K55" s="18" t="n">
        <f aca="false">E55-G55</f>
        <v>0</v>
      </c>
      <c r="L55" s="16" t="str">
        <f aca="false">IF(OR(AND(I55="Invoiced",H55="Not Received"),AND(F55&gt;0,ABS(J55)&gt;Assumptions!$B$6),AND(G55&gt;0,ABS(K55)&gt;Assumptions!$B$6)),"EXCEPTION","OK")</f>
        <v>OK</v>
      </c>
    </row>
    <row r="56" customFormat="false" ht="15" hidden="false" customHeight="false" outlineLevel="0" collapsed="false">
      <c r="A56" s="16" t="str">
        <f aca="false">Purchase_Orders!A53</f>
        <v>PO10052</v>
      </c>
      <c r="B56" s="16" t="str">
        <f aca="false">Purchase_Orders!B53</f>
        <v>V1024</v>
      </c>
      <c r="C56" s="16" t="str">
        <f aca="false">IFERROR(INDEX(Vendor_Master!$B$2:$B$41,MATCH(B56,Vendor_Master!$A$2:$A$41,0)),"Unknown Vendor")</f>
        <v>Campos Inc</v>
      </c>
      <c r="D56" s="17" t="n">
        <f aca="false">Purchase_Orders!C53</f>
        <v>45993</v>
      </c>
      <c r="E56" s="18" t="n">
        <f aca="false">Purchase_Orders!D53</f>
        <v>5034.71</v>
      </c>
      <c r="F56" s="18" t="n">
        <f aca="false">SUMIFS(Goods_Receipt_Notes!$D$2:$D$791,Goods_Receipt_Notes!$B$2:$B$791,A56)</f>
        <v>5034.71</v>
      </c>
      <c r="G56" s="18" t="n">
        <f aca="false">SUMIFS(Vendor_Invoices_AP!$E$2:$E$882,Vendor_Invoices_AP!$B$2:$B$882,A56)</f>
        <v>10069.42</v>
      </c>
      <c r="H56" s="16" t="str">
        <f aca="false">IF(F56=0,"Not Received","Received")</f>
        <v>Received</v>
      </c>
      <c r="I56" s="16" t="str">
        <f aca="false">IF(G56=0,"Not Invoiced","Invoiced")</f>
        <v>Invoiced</v>
      </c>
      <c r="J56" s="18" t="n">
        <f aca="false">E56-F56</f>
        <v>0</v>
      </c>
      <c r="K56" s="18" t="n">
        <f aca="false">E56-G56</f>
        <v>-5034.71</v>
      </c>
      <c r="L56" s="16" t="str">
        <f aca="false">IF(OR(AND(I56="Invoiced",H56="Not Received"),AND(F56&gt;0,ABS(J56)&gt;Assumptions!$B$6),AND(G56&gt;0,ABS(K56)&gt;Assumptions!$B$6)),"EXCEPTION","OK")</f>
        <v>EXCEPTION</v>
      </c>
    </row>
    <row r="57" customFormat="false" ht="15" hidden="false" customHeight="false" outlineLevel="0" collapsed="false">
      <c r="A57" s="16" t="str">
        <f aca="false">Purchase_Orders!A54</f>
        <v>PO10053</v>
      </c>
      <c r="B57" s="16" t="str">
        <f aca="false">Purchase_Orders!B54</f>
        <v>V1029</v>
      </c>
      <c r="C57" s="16" t="str">
        <f aca="false">IFERROR(INDEX(Vendor_Master!$B$2:$B$41,MATCH(B57,Vendor_Master!$A$2:$A$41,0)),"Unknown Vendor")</f>
        <v>Chavez Ltd</v>
      </c>
      <c r="D57" s="17" t="n">
        <f aca="false">Purchase_Orders!C54</f>
        <v>45822</v>
      </c>
      <c r="E57" s="18" t="n">
        <f aca="false">Purchase_Orders!D54</f>
        <v>1369.29</v>
      </c>
      <c r="F57" s="18" t="n">
        <f aca="false">SUMIFS(Goods_Receipt_Notes!$D$2:$D$791,Goods_Receipt_Notes!$B$2:$B$791,A57)</f>
        <v>1369.29</v>
      </c>
      <c r="G57" s="18" t="n">
        <f aca="false">SUMIFS(Vendor_Invoices_AP!$E$2:$E$882,Vendor_Invoices_AP!$B$2:$B$882,A57)</f>
        <v>1369.29</v>
      </c>
      <c r="H57" s="16" t="str">
        <f aca="false">IF(F57=0,"Not Received","Received")</f>
        <v>Received</v>
      </c>
      <c r="I57" s="16" t="str">
        <f aca="false">IF(G57=0,"Not Invoiced","Invoiced")</f>
        <v>Invoiced</v>
      </c>
      <c r="J57" s="18" t="n">
        <f aca="false">E57-F57</f>
        <v>0</v>
      </c>
      <c r="K57" s="18" t="n">
        <f aca="false">E57-G57</f>
        <v>0</v>
      </c>
      <c r="L57" s="16" t="str">
        <f aca="false">IF(OR(AND(I57="Invoiced",H57="Not Received"),AND(F57&gt;0,ABS(J57)&gt;Assumptions!$B$6),AND(G57&gt;0,ABS(K57)&gt;Assumptions!$B$6)),"EXCEPTION","OK")</f>
        <v>OK</v>
      </c>
    </row>
    <row r="58" customFormat="false" ht="15" hidden="false" customHeight="false" outlineLevel="0" collapsed="false">
      <c r="A58" s="16" t="str">
        <f aca="false">Purchase_Orders!A55</f>
        <v>PO10054</v>
      </c>
      <c r="B58" s="16" t="str">
        <f aca="false">Purchase_Orders!B55</f>
        <v>V1025</v>
      </c>
      <c r="C58" s="16" t="str">
        <f aca="false">IFERROR(INDEX(Vendor_Master!$B$2:$B$41,MATCH(B58,Vendor_Master!$A$2:$A$41,0)),"Unknown Vendor")</f>
        <v>Conner Group</v>
      </c>
      <c r="D58" s="17" t="n">
        <f aca="false">Purchase_Orders!C55</f>
        <v>45956</v>
      </c>
      <c r="E58" s="18" t="n">
        <f aca="false">Purchase_Orders!D55</f>
        <v>2783.02</v>
      </c>
      <c r="F58" s="18" t="n">
        <f aca="false">SUMIFS(Goods_Receipt_Notes!$D$2:$D$791,Goods_Receipt_Notes!$B$2:$B$791,A58)</f>
        <v>2783.02</v>
      </c>
      <c r="G58" s="18" t="n">
        <f aca="false">SUMIFS(Vendor_Invoices_AP!$E$2:$E$882,Vendor_Invoices_AP!$B$2:$B$882,A58)</f>
        <v>2783.02</v>
      </c>
      <c r="H58" s="16" t="str">
        <f aca="false">IF(F58=0,"Not Received","Received")</f>
        <v>Received</v>
      </c>
      <c r="I58" s="16" t="str">
        <f aca="false">IF(G58=0,"Not Invoiced","Invoiced")</f>
        <v>Invoiced</v>
      </c>
      <c r="J58" s="18" t="n">
        <f aca="false">E58-F58</f>
        <v>0</v>
      </c>
      <c r="K58" s="18" t="n">
        <f aca="false">E58-G58</f>
        <v>0</v>
      </c>
      <c r="L58" s="16" t="str">
        <f aca="false">IF(OR(AND(I58="Invoiced",H58="Not Received"),AND(F58&gt;0,ABS(J58)&gt;Assumptions!$B$6),AND(G58&gt;0,ABS(K58)&gt;Assumptions!$B$6)),"EXCEPTION","OK")</f>
        <v>OK</v>
      </c>
    </row>
    <row r="59" customFormat="false" ht="15" hidden="false" customHeight="false" outlineLevel="0" collapsed="false">
      <c r="A59" s="16" t="str">
        <f aca="false">Purchase_Orders!A56</f>
        <v>PO10055</v>
      </c>
      <c r="B59" s="16" t="str">
        <f aca="false">Purchase_Orders!B56</f>
        <v>V1031</v>
      </c>
      <c r="C59" s="16" t="str">
        <f aca="false">IFERROR(INDEX(Vendor_Master!$B$2:$B$41,MATCH(B59,Vendor_Master!$A$2:$A$41,0)),"Unknown Vendor")</f>
        <v>Harrell LLC</v>
      </c>
      <c r="D59" s="17" t="n">
        <f aca="false">Purchase_Orders!C56</f>
        <v>45658</v>
      </c>
      <c r="E59" s="18" t="n">
        <f aca="false">Purchase_Orders!D56</f>
        <v>1474.66</v>
      </c>
      <c r="F59" s="18" t="n">
        <f aca="false">SUMIFS(Goods_Receipt_Notes!$D$2:$D$791,Goods_Receipt_Notes!$B$2:$B$791,A59)</f>
        <v>1474.66</v>
      </c>
      <c r="G59" s="18" t="n">
        <f aca="false">SUMIFS(Vendor_Invoices_AP!$E$2:$E$882,Vendor_Invoices_AP!$B$2:$B$882,A59)</f>
        <v>1474.66</v>
      </c>
      <c r="H59" s="16" t="str">
        <f aca="false">IF(F59=0,"Not Received","Received")</f>
        <v>Received</v>
      </c>
      <c r="I59" s="16" t="str">
        <f aca="false">IF(G59=0,"Not Invoiced","Invoiced")</f>
        <v>Invoiced</v>
      </c>
      <c r="J59" s="18" t="n">
        <f aca="false">E59-F59</f>
        <v>0</v>
      </c>
      <c r="K59" s="18" t="n">
        <f aca="false">E59-G59</f>
        <v>0</v>
      </c>
      <c r="L59" s="16" t="str">
        <f aca="false">IF(OR(AND(I59="Invoiced",H59="Not Received"),AND(F59&gt;0,ABS(J59)&gt;Assumptions!$B$6),AND(G59&gt;0,ABS(K59)&gt;Assumptions!$B$6)),"EXCEPTION","OK")</f>
        <v>OK</v>
      </c>
    </row>
    <row r="60" customFormat="false" ht="15" hidden="false" customHeight="false" outlineLevel="0" collapsed="false">
      <c r="A60" s="16" t="str">
        <f aca="false">Purchase_Orders!A57</f>
        <v>PO10056</v>
      </c>
      <c r="B60" s="16" t="str">
        <f aca="false">Purchase_Orders!B57</f>
        <v>V1031</v>
      </c>
      <c r="C60" s="16" t="str">
        <f aca="false">IFERROR(INDEX(Vendor_Master!$B$2:$B$41,MATCH(B60,Vendor_Master!$A$2:$A$41,0)),"Unknown Vendor")</f>
        <v>Harrell LLC</v>
      </c>
      <c r="D60" s="17" t="n">
        <f aca="false">Purchase_Orders!C57</f>
        <v>45814</v>
      </c>
      <c r="E60" s="18" t="n">
        <f aca="false">Purchase_Orders!D57</f>
        <v>1567.44</v>
      </c>
      <c r="F60" s="18" t="n">
        <f aca="false">SUMIFS(Goods_Receipt_Notes!$D$2:$D$791,Goods_Receipt_Notes!$B$2:$B$791,A60)</f>
        <v>1567.44</v>
      </c>
      <c r="G60" s="18" t="n">
        <f aca="false">SUMIFS(Vendor_Invoices_AP!$E$2:$E$882,Vendor_Invoices_AP!$B$2:$B$882,A60)</f>
        <v>1567.44</v>
      </c>
      <c r="H60" s="16" t="str">
        <f aca="false">IF(F60=0,"Not Received","Received")</f>
        <v>Received</v>
      </c>
      <c r="I60" s="16" t="str">
        <f aca="false">IF(G60=0,"Not Invoiced","Invoiced")</f>
        <v>Invoiced</v>
      </c>
      <c r="J60" s="18" t="n">
        <f aca="false">E60-F60</f>
        <v>0</v>
      </c>
      <c r="K60" s="18" t="n">
        <f aca="false">E60-G60</f>
        <v>0</v>
      </c>
      <c r="L60" s="16" t="str">
        <f aca="false">IF(OR(AND(I60="Invoiced",H60="Not Received"),AND(F60&gt;0,ABS(J60)&gt;Assumptions!$B$6),AND(G60&gt;0,ABS(K60)&gt;Assumptions!$B$6)),"EXCEPTION","OK")</f>
        <v>OK</v>
      </c>
    </row>
    <row r="61" customFormat="false" ht="15" hidden="false" customHeight="false" outlineLevel="0" collapsed="false">
      <c r="A61" s="16" t="str">
        <f aca="false">Purchase_Orders!A58</f>
        <v>PO10057</v>
      </c>
      <c r="B61" s="16" t="str">
        <f aca="false">Purchase_Orders!B58</f>
        <v>V1029</v>
      </c>
      <c r="C61" s="16" t="str">
        <f aca="false">IFERROR(INDEX(Vendor_Master!$B$2:$B$41,MATCH(B61,Vendor_Master!$A$2:$A$41,0)),"Unknown Vendor")</f>
        <v>Chavez Ltd</v>
      </c>
      <c r="D61" s="17" t="n">
        <f aca="false">Purchase_Orders!C58</f>
        <v>45892</v>
      </c>
      <c r="E61" s="18" t="n">
        <f aca="false">Purchase_Orders!D58</f>
        <v>7649.01</v>
      </c>
      <c r="F61" s="18" t="n">
        <f aca="false">SUMIFS(Goods_Receipt_Notes!$D$2:$D$791,Goods_Receipt_Notes!$B$2:$B$791,A61)</f>
        <v>7649.01</v>
      </c>
      <c r="G61" s="18" t="n">
        <f aca="false">SUMIFS(Vendor_Invoices_AP!$E$2:$E$882,Vendor_Invoices_AP!$B$2:$B$882,A61)</f>
        <v>7649.01</v>
      </c>
      <c r="H61" s="16" t="str">
        <f aca="false">IF(F61=0,"Not Received","Received")</f>
        <v>Received</v>
      </c>
      <c r="I61" s="16" t="str">
        <f aca="false">IF(G61=0,"Not Invoiced","Invoiced")</f>
        <v>Invoiced</v>
      </c>
      <c r="J61" s="18" t="n">
        <f aca="false">E61-F61</f>
        <v>0</v>
      </c>
      <c r="K61" s="18" t="n">
        <f aca="false">E61-G61</f>
        <v>0</v>
      </c>
      <c r="L61" s="16" t="str">
        <f aca="false">IF(OR(AND(I61="Invoiced",H61="Not Received"),AND(F61&gt;0,ABS(J61)&gt;Assumptions!$B$6),AND(G61&gt;0,ABS(K61)&gt;Assumptions!$B$6)),"EXCEPTION","OK")</f>
        <v>OK</v>
      </c>
    </row>
    <row r="62" customFormat="false" ht="15" hidden="false" customHeight="false" outlineLevel="0" collapsed="false">
      <c r="A62" s="16" t="str">
        <f aca="false">Purchase_Orders!A59</f>
        <v>PO10058</v>
      </c>
      <c r="B62" s="16" t="str">
        <f aca="false">Purchase_Orders!B59</f>
        <v>V1009</v>
      </c>
      <c r="C62" s="16" t="str">
        <f aca="false">IFERROR(INDEX(Vendor_Master!$B$2:$B$41,MATCH(B62,Vendor_Master!$A$2:$A$41,0)),"Unknown Vendor")</f>
        <v>Munoz-Roman</v>
      </c>
      <c r="D62" s="17" t="n">
        <f aca="false">Purchase_Orders!C59</f>
        <v>45974</v>
      </c>
      <c r="E62" s="18" t="n">
        <f aca="false">Purchase_Orders!D59</f>
        <v>3881</v>
      </c>
      <c r="F62" s="18" t="n">
        <f aca="false">SUMIFS(Goods_Receipt_Notes!$D$2:$D$791,Goods_Receipt_Notes!$B$2:$B$791,A62)</f>
        <v>3881</v>
      </c>
      <c r="G62" s="18" t="n">
        <f aca="false">SUMIFS(Vendor_Invoices_AP!$E$2:$E$882,Vendor_Invoices_AP!$B$2:$B$882,A62)</f>
        <v>3881</v>
      </c>
      <c r="H62" s="16" t="str">
        <f aca="false">IF(F62=0,"Not Received","Received")</f>
        <v>Received</v>
      </c>
      <c r="I62" s="16" t="str">
        <f aca="false">IF(G62=0,"Not Invoiced","Invoiced")</f>
        <v>Invoiced</v>
      </c>
      <c r="J62" s="18" t="n">
        <f aca="false">E62-F62</f>
        <v>0</v>
      </c>
      <c r="K62" s="18" t="n">
        <f aca="false">E62-G62</f>
        <v>0</v>
      </c>
      <c r="L62" s="16" t="str">
        <f aca="false">IF(OR(AND(I62="Invoiced",H62="Not Received"),AND(F62&gt;0,ABS(J62)&gt;Assumptions!$B$6),AND(G62&gt;0,ABS(K62)&gt;Assumptions!$B$6)),"EXCEPTION","OK")</f>
        <v>OK</v>
      </c>
    </row>
    <row r="63" customFormat="false" ht="15" hidden="false" customHeight="false" outlineLevel="0" collapsed="false">
      <c r="A63" s="16" t="str">
        <f aca="false">Purchase_Orders!A60</f>
        <v>PO10059</v>
      </c>
      <c r="B63" s="16" t="str">
        <f aca="false">Purchase_Orders!B60</f>
        <v>V1019</v>
      </c>
      <c r="C63" s="16" t="str">
        <f aca="false">IFERROR(INDEX(Vendor_Master!$B$2:$B$41,MATCH(B63,Vendor_Master!$A$2:$A$41,0)),"Unknown Vendor")</f>
        <v>Clark PLC</v>
      </c>
      <c r="D63" s="17" t="n">
        <f aca="false">Purchase_Orders!C60</f>
        <v>46014</v>
      </c>
      <c r="E63" s="18" t="n">
        <f aca="false">Purchase_Orders!D60</f>
        <v>3262.21</v>
      </c>
      <c r="F63" s="18" t="n">
        <f aca="false">SUMIFS(Goods_Receipt_Notes!$D$2:$D$791,Goods_Receipt_Notes!$B$2:$B$791,A63)</f>
        <v>3262.21</v>
      </c>
      <c r="G63" s="18" t="n">
        <f aca="false">SUMIFS(Vendor_Invoices_AP!$E$2:$E$882,Vendor_Invoices_AP!$B$2:$B$882,A63)</f>
        <v>3262.21</v>
      </c>
      <c r="H63" s="16" t="str">
        <f aca="false">IF(F63=0,"Not Received","Received")</f>
        <v>Received</v>
      </c>
      <c r="I63" s="16" t="str">
        <f aca="false">IF(G63=0,"Not Invoiced","Invoiced")</f>
        <v>Invoiced</v>
      </c>
      <c r="J63" s="18" t="n">
        <f aca="false">E63-F63</f>
        <v>0</v>
      </c>
      <c r="K63" s="18" t="n">
        <f aca="false">E63-G63</f>
        <v>0</v>
      </c>
      <c r="L63" s="16" t="str">
        <f aca="false">IF(OR(AND(I63="Invoiced",H63="Not Received"),AND(F63&gt;0,ABS(J63)&gt;Assumptions!$B$6),AND(G63&gt;0,ABS(K63)&gt;Assumptions!$B$6)),"EXCEPTION","OK")</f>
        <v>OK</v>
      </c>
    </row>
    <row r="64" customFormat="false" ht="15" hidden="false" customHeight="false" outlineLevel="0" collapsed="false">
      <c r="A64" s="16" t="str">
        <f aca="false">Purchase_Orders!A61</f>
        <v>PO10060</v>
      </c>
      <c r="B64" s="16" t="str">
        <f aca="false">Purchase_Orders!B61</f>
        <v>V1023</v>
      </c>
      <c r="C64" s="16" t="str">
        <f aca="false">IFERROR(INDEX(Vendor_Master!$B$2:$B$41,MATCH(B64,Vendor_Master!$A$2:$A$41,0)),"Unknown Vendor")</f>
        <v>Robinson-Bright</v>
      </c>
      <c r="D64" s="17" t="n">
        <f aca="false">Purchase_Orders!C61</f>
        <v>45911</v>
      </c>
      <c r="E64" s="18" t="n">
        <f aca="false">Purchase_Orders!D61</f>
        <v>672.96</v>
      </c>
      <c r="F64" s="18" t="n">
        <f aca="false">SUMIFS(Goods_Receipt_Notes!$D$2:$D$791,Goods_Receipt_Notes!$B$2:$B$791,A64)</f>
        <v>672.96</v>
      </c>
      <c r="G64" s="18" t="n">
        <f aca="false">SUMIFS(Vendor_Invoices_AP!$E$2:$E$882,Vendor_Invoices_AP!$B$2:$B$882,A64)</f>
        <v>672.96</v>
      </c>
      <c r="H64" s="16" t="str">
        <f aca="false">IF(F64=0,"Not Received","Received")</f>
        <v>Received</v>
      </c>
      <c r="I64" s="16" t="str">
        <f aca="false">IF(G64=0,"Not Invoiced","Invoiced")</f>
        <v>Invoiced</v>
      </c>
      <c r="J64" s="18" t="n">
        <f aca="false">E64-F64</f>
        <v>0</v>
      </c>
      <c r="K64" s="18" t="n">
        <f aca="false">E64-G64</f>
        <v>0</v>
      </c>
      <c r="L64" s="16" t="str">
        <f aca="false">IF(OR(AND(I64="Invoiced",H64="Not Received"),AND(F64&gt;0,ABS(J64)&gt;Assumptions!$B$6),AND(G64&gt;0,ABS(K64)&gt;Assumptions!$B$6)),"EXCEPTION","OK")</f>
        <v>OK</v>
      </c>
    </row>
    <row r="65" customFormat="false" ht="15" hidden="false" customHeight="false" outlineLevel="0" collapsed="false">
      <c r="A65" s="16" t="str">
        <f aca="false">Purchase_Orders!A62</f>
        <v>PO10061</v>
      </c>
      <c r="B65" s="16" t="str">
        <f aca="false">Purchase_Orders!B62</f>
        <v>V1013</v>
      </c>
      <c r="C65" s="16" t="str">
        <f aca="false">IFERROR(INDEX(Vendor_Master!$B$2:$B$41,MATCH(B65,Vendor_Master!$A$2:$A$41,0)),"Unknown Vendor")</f>
        <v>Delacruz Group</v>
      </c>
      <c r="D65" s="17" t="n">
        <f aca="false">Purchase_Orders!C62</f>
        <v>45898</v>
      </c>
      <c r="E65" s="18" t="n">
        <f aca="false">Purchase_Orders!D62</f>
        <v>5144.03</v>
      </c>
      <c r="F65" s="18" t="n">
        <f aca="false">SUMIFS(Goods_Receipt_Notes!$D$2:$D$791,Goods_Receipt_Notes!$B$2:$B$791,A65)</f>
        <v>5144.03</v>
      </c>
      <c r="G65" s="18" t="n">
        <f aca="false">SUMIFS(Vendor_Invoices_AP!$E$2:$E$882,Vendor_Invoices_AP!$B$2:$B$882,A65)</f>
        <v>5144.03</v>
      </c>
      <c r="H65" s="16" t="str">
        <f aca="false">IF(F65=0,"Not Received","Received")</f>
        <v>Received</v>
      </c>
      <c r="I65" s="16" t="str">
        <f aca="false">IF(G65=0,"Not Invoiced","Invoiced")</f>
        <v>Invoiced</v>
      </c>
      <c r="J65" s="18" t="n">
        <f aca="false">E65-F65</f>
        <v>0</v>
      </c>
      <c r="K65" s="18" t="n">
        <f aca="false">E65-G65</f>
        <v>0</v>
      </c>
      <c r="L65" s="16" t="str">
        <f aca="false">IF(OR(AND(I65="Invoiced",H65="Not Received"),AND(F65&gt;0,ABS(J65)&gt;Assumptions!$B$6),AND(G65&gt;0,ABS(K65)&gt;Assumptions!$B$6)),"EXCEPTION","OK")</f>
        <v>OK</v>
      </c>
    </row>
    <row r="66" customFormat="false" ht="15" hidden="false" customHeight="false" outlineLevel="0" collapsed="false">
      <c r="A66" s="16" t="str">
        <f aca="false">Purchase_Orders!A63</f>
        <v>PO10062</v>
      </c>
      <c r="B66" s="16" t="str">
        <f aca="false">Purchase_Orders!B63</f>
        <v>V1036</v>
      </c>
      <c r="C66" s="16" t="str">
        <f aca="false">IFERROR(INDEX(Vendor_Master!$B$2:$B$41,MATCH(B66,Vendor_Master!$A$2:$A$41,0)),"Unknown Vendor")</f>
        <v>Dennis Inc</v>
      </c>
      <c r="D66" s="17" t="n">
        <f aca="false">Purchase_Orders!C63</f>
        <v>45774</v>
      </c>
      <c r="E66" s="18" t="n">
        <f aca="false">Purchase_Orders!D63</f>
        <v>2886.68</v>
      </c>
      <c r="F66" s="18" t="n">
        <f aca="false">SUMIFS(Goods_Receipt_Notes!$D$2:$D$791,Goods_Receipt_Notes!$B$2:$B$791,A66)</f>
        <v>2886.68</v>
      </c>
      <c r="G66" s="18" t="n">
        <f aca="false">SUMIFS(Vendor_Invoices_AP!$E$2:$E$882,Vendor_Invoices_AP!$B$2:$B$882,A66)</f>
        <v>2886.68</v>
      </c>
      <c r="H66" s="16" t="str">
        <f aca="false">IF(F66=0,"Not Received","Received")</f>
        <v>Received</v>
      </c>
      <c r="I66" s="16" t="str">
        <f aca="false">IF(G66=0,"Not Invoiced","Invoiced")</f>
        <v>Invoiced</v>
      </c>
      <c r="J66" s="18" t="n">
        <f aca="false">E66-F66</f>
        <v>0</v>
      </c>
      <c r="K66" s="18" t="n">
        <f aca="false">E66-G66</f>
        <v>0</v>
      </c>
      <c r="L66" s="16" t="str">
        <f aca="false">IF(OR(AND(I66="Invoiced",H66="Not Received"),AND(F66&gt;0,ABS(J66)&gt;Assumptions!$B$6),AND(G66&gt;0,ABS(K66)&gt;Assumptions!$B$6)),"EXCEPTION","OK")</f>
        <v>OK</v>
      </c>
    </row>
    <row r="67" customFormat="false" ht="15" hidden="false" customHeight="false" outlineLevel="0" collapsed="false">
      <c r="A67" s="16" t="str">
        <f aca="false">Purchase_Orders!A64</f>
        <v>PO10063</v>
      </c>
      <c r="B67" s="16" t="str">
        <f aca="false">Purchase_Orders!B64</f>
        <v>V1038</v>
      </c>
      <c r="C67" s="16" t="str">
        <f aca="false">IFERROR(INDEX(Vendor_Master!$B$2:$B$41,MATCH(B67,Vendor_Master!$A$2:$A$41,0)),"Unknown Vendor")</f>
        <v>Rose-Obrien</v>
      </c>
      <c r="D67" s="17" t="n">
        <f aca="false">Purchase_Orders!C64</f>
        <v>45915</v>
      </c>
      <c r="E67" s="18" t="n">
        <f aca="false">Purchase_Orders!D64</f>
        <v>5496.95</v>
      </c>
      <c r="F67" s="18" t="n">
        <f aca="false">SUMIFS(Goods_Receipt_Notes!$D$2:$D$791,Goods_Receipt_Notes!$B$2:$B$791,A67)</f>
        <v>5496.95</v>
      </c>
      <c r="G67" s="18" t="n">
        <f aca="false">SUMIFS(Vendor_Invoices_AP!$E$2:$E$882,Vendor_Invoices_AP!$B$2:$B$882,A67)</f>
        <v>5496.95</v>
      </c>
      <c r="H67" s="16" t="str">
        <f aca="false">IF(F67=0,"Not Received","Received")</f>
        <v>Received</v>
      </c>
      <c r="I67" s="16" t="str">
        <f aca="false">IF(G67=0,"Not Invoiced","Invoiced")</f>
        <v>Invoiced</v>
      </c>
      <c r="J67" s="18" t="n">
        <f aca="false">E67-F67</f>
        <v>0</v>
      </c>
      <c r="K67" s="18" t="n">
        <f aca="false">E67-G67</f>
        <v>0</v>
      </c>
      <c r="L67" s="16" t="str">
        <f aca="false">IF(OR(AND(I67="Invoiced",H67="Not Received"),AND(F67&gt;0,ABS(J67)&gt;Assumptions!$B$6),AND(G67&gt;0,ABS(K67)&gt;Assumptions!$B$6)),"EXCEPTION","OK")</f>
        <v>OK</v>
      </c>
    </row>
    <row r="68" customFormat="false" ht="15" hidden="false" customHeight="false" outlineLevel="0" collapsed="false">
      <c r="A68" s="16" t="str">
        <f aca="false">Purchase_Orders!A65</f>
        <v>PO10064</v>
      </c>
      <c r="B68" s="16" t="str">
        <f aca="false">Purchase_Orders!B65</f>
        <v>V1031</v>
      </c>
      <c r="C68" s="16" t="str">
        <f aca="false">IFERROR(INDEX(Vendor_Master!$B$2:$B$41,MATCH(B68,Vendor_Master!$A$2:$A$41,0)),"Unknown Vendor")</f>
        <v>Harrell LLC</v>
      </c>
      <c r="D68" s="17" t="n">
        <f aca="false">Purchase_Orders!C65</f>
        <v>46149</v>
      </c>
      <c r="E68" s="18" t="n">
        <f aca="false">Purchase_Orders!D65</f>
        <v>1566.24</v>
      </c>
      <c r="F68" s="18" t="n">
        <f aca="false">SUMIFS(Goods_Receipt_Notes!$D$2:$D$791,Goods_Receipt_Notes!$B$2:$B$791,A68)</f>
        <v>1566.24</v>
      </c>
      <c r="G68" s="18" t="n">
        <f aca="false">SUMIFS(Vendor_Invoices_AP!$E$2:$E$882,Vendor_Invoices_AP!$B$2:$B$882,A68)</f>
        <v>1566.24</v>
      </c>
      <c r="H68" s="16" t="str">
        <f aca="false">IF(F68=0,"Not Received","Received")</f>
        <v>Received</v>
      </c>
      <c r="I68" s="16" t="str">
        <f aca="false">IF(G68=0,"Not Invoiced","Invoiced")</f>
        <v>Invoiced</v>
      </c>
      <c r="J68" s="18" t="n">
        <f aca="false">E68-F68</f>
        <v>0</v>
      </c>
      <c r="K68" s="18" t="n">
        <f aca="false">E68-G68</f>
        <v>0</v>
      </c>
      <c r="L68" s="16" t="str">
        <f aca="false">IF(OR(AND(I68="Invoiced",H68="Not Received"),AND(F68&gt;0,ABS(J68)&gt;Assumptions!$B$6),AND(G68&gt;0,ABS(K68)&gt;Assumptions!$B$6)),"EXCEPTION","OK")</f>
        <v>OK</v>
      </c>
    </row>
    <row r="69" customFormat="false" ht="15" hidden="false" customHeight="false" outlineLevel="0" collapsed="false">
      <c r="A69" s="16" t="str">
        <f aca="false">Purchase_Orders!A66</f>
        <v>PO10065</v>
      </c>
      <c r="B69" s="16" t="str">
        <f aca="false">Purchase_Orders!B66</f>
        <v>V1027</v>
      </c>
      <c r="C69" s="16" t="str">
        <f aca="false">IFERROR(INDEX(Vendor_Master!$B$2:$B$41,MATCH(B69,Vendor_Master!$A$2:$A$41,0)),"Unknown Vendor")</f>
        <v>Valencia, Smith and Le</v>
      </c>
      <c r="D69" s="17" t="n">
        <f aca="false">Purchase_Orders!C66</f>
        <v>46091</v>
      </c>
      <c r="E69" s="18" t="n">
        <f aca="false">Purchase_Orders!D66</f>
        <v>17358.33</v>
      </c>
      <c r="F69" s="18" t="n">
        <f aca="false">SUMIFS(Goods_Receipt_Notes!$D$2:$D$791,Goods_Receipt_Notes!$B$2:$B$791,A69)</f>
        <v>17358.33</v>
      </c>
      <c r="G69" s="18" t="n">
        <f aca="false">SUMIFS(Vendor_Invoices_AP!$E$2:$E$882,Vendor_Invoices_AP!$B$2:$B$882,A69)</f>
        <v>17358.33</v>
      </c>
      <c r="H69" s="16" t="str">
        <f aca="false">IF(F69=0,"Not Received","Received")</f>
        <v>Received</v>
      </c>
      <c r="I69" s="16" t="str">
        <f aca="false">IF(G69=0,"Not Invoiced","Invoiced")</f>
        <v>Invoiced</v>
      </c>
      <c r="J69" s="18" t="n">
        <f aca="false">E69-F69</f>
        <v>0</v>
      </c>
      <c r="K69" s="18" t="n">
        <f aca="false">E69-G69</f>
        <v>0</v>
      </c>
      <c r="L69" s="16" t="str">
        <f aca="false">IF(OR(AND(I69="Invoiced",H69="Not Received"),AND(F69&gt;0,ABS(J69)&gt;Assumptions!$B$6),AND(G69&gt;0,ABS(K69)&gt;Assumptions!$B$6)),"EXCEPTION","OK")</f>
        <v>OK</v>
      </c>
    </row>
    <row r="70" customFormat="false" ht="15" hidden="false" customHeight="false" outlineLevel="0" collapsed="false">
      <c r="A70" s="16" t="str">
        <f aca="false">Purchase_Orders!A67</f>
        <v>PO10066</v>
      </c>
      <c r="B70" s="16" t="str">
        <f aca="false">Purchase_Orders!B67</f>
        <v>V1010</v>
      </c>
      <c r="C70" s="16" t="str">
        <f aca="false">IFERROR(INDEX(Vendor_Master!$B$2:$B$41,MATCH(B70,Vendor_Master!$A$2:$A$41,0)),"Unknown Vendor")</f>
        <v>Martinez, Nielsen and Miller</v>
      </c>
      <c r="D70" s="17" t="n">
        <f aca="false">Purchase_Orders!C67</f>
        <v>45750</v>
      </c>
      <c r="E70" s="18" t="n">
        <f aca="false">Purchase_Orders!D67</f>
        <v>537.25</v>
      </c>
      <c r="F70" s="18" t="n">
        <f aca="false">SUMIFS(Goods_Receipt_Notes!$D$2:$D$791,Goods_Receipt_Notes!$B$2:$B$791,A70)</f>
        <v>420.01</v>
      </c>
      <c r="G70" s="18" t="n">
        <f aca="false">SUMIFS(Vendor_Invoices_AP!$E$2:$E$882,Vendor_Invoices_AP!$B$2:$B$882,A70)</f>
        <v>537.25</v>
      </c>
      <c r="H70" s="16" t="str">
        <f aca="false">IF(F70=0,"Not Received","Received")</f>
        <v>Received</v>
      </c>
      <c r="I70" s="16" t="str">
        <f aca="false">IF(G70=0,"Not Invoiced","Invoiced")</f>
        <v>Invoiced</v>
      </c>
      <c r="J70" s="18" t="n">
        <f aca="false">E70-F70</f>
        <v>117.24</v>
      </c>
      <c r="K70" s="18" t="n">
        <f aca="false">E70-G70</f>
        <v>0</v>
      </c>
      <c r="L70" s="16" t="str">
        <f aca="false">IF(OR(AND(I70="Invoiced",H70="Not Received"),AND(F70&gt;0,ABS(J70)&gt;Assumptions!$B$6),AND(G70&gt;0,ABS(K70)&gt;Assumptions!$B$6)),"EXCEPTION","OK")</f>
        <v>EXCEPTION</v>
      </c>
    </row>
    <row r="71" customFormat="false" ht="15" hidden="false" customHeight="false" outlineLevel="0" collapsed="false">
      <c r="A71" s="16" t="str">
        <f aca="false">Purchase_Orders!A68</f>
        <v>PO10067</v>
      </c>
      <c r="B71" s="16" t="str">
        <f aca="false">Purchase_Orders!B68</f>
        <v>V1014</v>
      </c>
      <c r="C71" s="16" t="str">
        <f aca="false">IFERROR(INDEX(Vendor_Master!$B$2:$B$41,MATCH(B71,Vendor_Master!$A$2:$A$41,0)),"Unknown Vendor")</f>
        <v>Flowers, Martin and Kelly</v>
      </c>
      <c r="D71" s="17" t="n">
        <f aca="false">Purchase_Orders!C68</f>
        <v>45704</v>
      </c>
      <c r="E71" s="18" t="n">
        <f aca="false">Purchase_Orders!D68</f>
        <v>3847.67</v>
      </c>
      <c r="F71" s="18" t="n">
        <f aca="false">SUMIFS(Goods_Receipt_Notes!$D$2:$D$791,Goods_Receipt_Notes!$B$2:$B$791,A71)</f>
        <v>3847.67</v>
      </c>
      <c r="G71" s="18" t="n">
        <f aca="false">SUMIFS(Vendor_Invoices_AP!$E$2:$E$882,Vendor_Invoices_AP!$B$2:$B$882,A71)</f>
        <v>4040.21</v>
      </c>
      <c r="H71" s="16" t="str">
        <f aca="false">IF(F71=0,"Not Received","Received")</f>
        <v>Received</v>
      </c>
      <c r="I71" s="16" t="str">
        <f aca="false">IF(G71=0,"Not Invoiced","Invoiced")</f>
        <v>Invoiced</v>
      </c>
      <c r="J71" s="18" t="n">
        <f aca="false">E71-F71</f>
        <v>0</v>
      </c>
      <c r="K71" s="18" t="n">
        <f aca="false">E71-G71</f>
        <v>-192.54</v>
      </c>
      <c r="L71" s="16" t="str">
        <f aca="false">IF(OR(AND(I71="Invoiced",H71="Not Received"),AND(F71&gt;0,ABS(J71)&gt;Assumptions!$B$6),AND(G71&gt;0,ABS(K71)&gt;Assumptions!$B$6)),"EXCEPTION","OK")</f>
        <v>EXCEPTION</v>
      </c>
    </row>
    <row r="72" customFormat="false" ht="15" hidden="false" customHeight="false" outlineLevel="0" collapsed="false">
      <c r="A72" s="16" t="str">
        <f aca="false">Purchase_Orders!A69</f>
        <v>PO10068</v>
      </c>
      <c r="B72" s="16" t="str">
        <f aca="false">Purchase_Orders!B69</f>
        <v>V1002</v>
      </c>
      <c r="C72" s="16" t="str">
        <f aca="false">IFERROR(INDEX(Vendor_Master!$B$2:$B$41,MATCH(B72,Vendor_Master!$A$2:$A$41,0)),"Unknown Vendor")</f>
        <v>Garcia, Yang and Gardner</v>
      </c>
      <c r="D72" s="17" t="n">
        <f aca="false">Purchase_Orders!C69</f>
        <v>45938</v>
      </c>
      <c r="E72" s="18" t="n">
        <f aca="false">Purchase_Orders!D69</f>
        <v>158.45</v>
      </c>
      <c r="F72" s="18" t="n">
        <f aca="false">SUMIFS(Goods_Receipt_Notes!$D$2:$D$791,Goods_Receipt_Notes!$B$2:$B$791,A72)</f>
        <v>158.45</v>
      </c>
      <c r="G72" s="18" t="n">
        <f aca="false">SUMIFS(Vendor_Invoices_AP!$E$2:$E$882,Vendor_Invoices_AP!$B$2:$B$882,A72)</f>
        <v>158.45</v>
      </c>
      <c r="H72" s="16" t="str">
        <f aca="false">IF(F72=0,"Not Received","Received")</f>
        <v>Received</v>
      </c>
      <c r="I72" s="16" t="str">
        <f aca="false">IF(G72=0,"Not Invoiced","Invoiced")</f>
        <v>Invoiced</v>
      </c>
      <c r="J72" s="18" t="n">
        <f aca="false">E72-F72</f>
        <v>0</v>
      </c>
      <c r="K72" s="18" t="n">
        <f aca="false">E72-G72</f>
        <v>0</v>
      </c>
      <c r="L72" s="16" t="str">
        <f aca="false">IF(OR(AND(I72="Invoiced",H72="Not Received"),AND(F72&gt;0,ABS(J72)&gt;Assumptions!$B$6),AND(G72&gt;0,ABS(K72)&gt;Assumptions!$B$6)),"EXCEPTION","OK")</f>
        <v>OK</v>
      </c>
    </row>
    <row r="73" customFormat="false" ht="15" hidden="false" customHeight="false" outlineLevel="0" collapsed="false">
      <c r="A73" s="16" t="str">
        <f aca="false">Purchase_Orders!A70</f>
        <v>PO10069</v>
      </c>
      <c r="B73" s="16" t="str">
        <f aca="false">Purchase_Orders!B70</f>
        <v>V1010</v>
      </c>
      <c r="C73" s="16" t="str">
        <f aca="false">IFERROR(INDEX(Vendor_Master!$B$2:$B$41,MATCH(B73,Vendor_Master!$A$2:$A$41,0)),"Unknown Vendor")</f>
        <v>Martinez, Nielsen and Miller</v>
      </c>
      <c r="D73" s="17" t="n">
        <f aca="false">Purchase_Orders!C70</f>
        <v>46002</v>
      </c>
      <c r="E73" s="18" t="n">
        <f aca="false">Purchase_Orders!D70</f>
        <v>2227.94</v>
      </c>
      <c r="F73" s="18" t="n">
        <f aca="false">SUMIFS(Goods_Receipt_Notes!$D$2:$D$791,Goods_Receipt_Notes!$B$2:$B$791,A73)</f>
        <v>2227.94</v>
      </c>
      <c r="G73" s="18" t="n">
        <f aca="false">SUMIFS(Vendor_Invoices_AP!$E$2:$E$882,Vendor_Invoices_AP!$B$2:$B$882,A73)</f>
        <v>2227.94</v>
      </c>
      <c r="H73" s="16" t="str">
        <f aca="false">IF(F73=0,"Not Received","Received")</f>
        <v>Received</v>
      </c>
      <c r="I73" s="16" t="str">
        <f aca="false">IF(G73=0,"Not Invoiced","Invoiced")</f>
        <v>Invoiced</v>
      </c>
      <c r="J73" s="18" t="n">
        <f aca="false">E73-F73</f>
        <v>0</v>
      </c>
      <c r="K73" s="18" t="n">
        <f aca="false">E73-G73</f>
        <v>0</v>
      </c>
      <c r="L73" s="16" t="str">
        <f aca="false">IF(OR(AND(I73="Invoiced",H73="Not Received"),AND(F73&gt;0,ABS(J73)&gt;Assumptions!$B$6),AND(G73&gt;0,ABS(K73)&gt;Assumptions!$B$6)),"EXCEPTION","OK")</f>
        <v>OK</v>
      </c>
    </row>
    <row r="74" customFormat="false" ht="15" hidden="false" customHeight="false" outlineLevel="0" collapsed="false">
      <c r="A74" s="16" t="str">
        <f aca="false">Purchase_Orders!A71</f>
        <v>PO10070</v>
      </c>
      <c r="B74" s="16" t="str">
        <f aca="false">Purchase_Orders!B71</f>
        <v>V1008</v>
      </c>
      <c r="C74" s="16" t="str">
        <f aca="false">IFERROR(INDEX(Vendor_Master!$B$2:$B$41,MATCH(B74,Vendor_Master!$A$2:$A$41,0)),"Unknown Vendor")</f>
        <v>Davis Inc</v>
      </c>
      <c r="D74" s="17" t="n">
        <f aca="false">Purchase_Orders!C71</f>
        <v>45840</v>
      </c>
      <c r="E74" s="18" t="n">
        <f aca="false">Purchase_Orders!D71</f>
        <v>3409.89</v>
      </c>
      <c r="F74" s="18" t="n">
        <f aca="false">SUMIFS(Goods_Receipt_Notes!$D$2:$D$791,Goods_Receipt_Notes!$B$2:$B$791,A74)</f>
        <v>3409.89</v>
      </c>
      <c r="G74" s="18" t="n">
        <f aca="false">SUMIFS(Vendor_Invoices_AP!$E$2:$E$882,Vendor_Invoices_AP!$B$2:$B$882,A74)</f>
        <v>3409.89</v>
      </c>
      <c r="H74" s="16" t="str">
        <f aca="false">IF(F74=0,"Not Received","Received")</f>
        <v>Received</v>
      </c>
      <c r="I74" s="16" t="str">
        <f aca="false">IF(G74=0,"Not Invoiced","Invoiced")</f>
        <v>Invoiced</v>
      </c>
      <c r="J74" s="18" t="n">
        <f aca="false">E74-F74</f>
        <v>0</v>
      </c>
      <c r="K74" s="18" t="n">
        <f aca="false">E74-G74</f>
        <v>0</v>
      </c>
      <c r="L74" s="16" t="str">
        <f aca="false">IF(OR(AND(I74="Invoiced",H74="Not Received"),AND(F74&gt;0,ABS(J74)&gt;Assumptions!$B$6),AND(G74&gt;0,ABS(K74)&gt;Assumptions!$B$6)),"EXCEPTION","OK")</f>
        <v>OK</v>
      </c>
    </row>
    <row r="75" customFormat="false" ht="15" hidden="false" customHeight="false" outlineLevel="0" collapsed="false">
      <c r="A75" s="16" t="str">
        <f aca="false">Purchase_Orders!A72</f>
        <v>PO10071</v>
      </c>
      <c r="B75" s="16" t="str">
        <f aca="false">Purchase_Orders!B72</f>
        <v>V1011</v>
      </c>
      <c r="C75" s="16" t="str">
        <f aca="false">IFERROR(INDEX(Vendor_Master!$B$2:$B$41,MATCH(B75,Vendor_Master!$A$2:$A$41,0)),"Unknown Vendor")</f>
        <v>Montgomery, Hensley and Ray</v>
      </c>
      <c r="D75" s="17" t="n">
        <f aca="false">Purchase_Orders!C72</f>
        <v>46104</v>
      </c>
      <c r="E75" s="18" t="n">
        <f aca="false">Purchase_Orders!D72</f>
        <v>426.18</v>
      </c>
      <c r="F75" s="18" t="n">
        <f aca="false">SUMIFS(Goods_Receipt_Notes!$D$2:$D$791,Goods_Receipt_Notes!$B$2:$B$791,A75)</f>
        <v>426.18</v>
      </c>
      <c r="G75" s="18" t="n">
        <f aca="false">SUMIFS(Vendor_Invoices_AP!$E$2:$E$882,Vendor_Invoices_AP!$B$2:$B$882,A75)</f>
        <v>426.18</v>
      </c>
      <c r="H75" s="16" t="str">
        <f aca="false">IF(F75=0,"Not Received","Received")</f>
        <v>Received</v>
      </c>
      <c r="I75" s="16" t="str">
        <f aca="false">IF(G75=0,"Not Invoiced","Invoiced")</f>
        <v>Invoiced</v>
      </c>
      <c r="J75" s="18" t="n">
        <f aca="false">E75-F75</f>
        <v>0</v>
      </c>
      <c r="K75" s="18" t="n">
        <f aca="false">E75-G75</f>
        <v>0</v>
      </c>
      <c r="L75" s="16" t="str">
        <f aca="false">IF(OR(AND(I75="Invoiced",H75="Not Received"),AND(F75&gt;0,ABS(J75)&gt;Assumptions!$B$6),AND(G75&gt;0,ABS(K75)&gt;Assumptions!$B$6)),"EXCEPTION","OK")</f>
        <v>OK</v>
      </c>
    </row>
    <row r="76" customFormat="false" ht="15" hidden="false" customHeight="false" outlineLevel="0" collapsed="false">
      <c r="A76" s="16" t="str">
        <f aca="false">Purchase_Orders!A73</f>
        <v>PO10072</v>
      </c>
      <c r="B76" s="16" t="str">
        <f aca="false">Purchase_Orders!B73</f>
        <v>V1038</v>
      </c>
      <c r="C76" s="16" t="str">
        <f aca="false">IFERROR(INDEX(Vendor_Master!$B$2:$B$41,MATCH(B76,Vendor_Master!$A$2:$A$41,0)),"Unknown Vendor")</f>
        <v>Rose-Obrien</v>
      </c>
      <c r="D76" s="17" t="n">
        <f aca="false">Purchase_Orders!C73</f>
        <v>46067</v>
      </c>
      <c r="E76" s="18" t="n">
        <f aca="false">Purchase_Orders!D73</f>
        <v>541.95</v>
      </c>
      <c r="F76" s="18" t="n">
        <f aca="false">SUMIFS(Goods_Receipt_Notes!$D$2:$D$791,Goods_Receipt_Notes!$B$2:$B$791,A76)</f>
        <v>0</v>
      </c>
      <c r="G76" s="18" t="n">
        <f aca="false">SUMIFS(Vendor_Invoices_AP!$E$2:$E$882,Vendor_Invoices_AP!$B$2:$B$882,A76)</f>
        <v>650.45</v>
      </c>
      <c r="H76" s="16" t="str">
        <f aca="false">IF(F76=0,"Not Received","Received")</f>
        <v>Not Received</v>
      </c>
      <c r="I76" s="16" t="str">
        <f aca="false">IF(G76=0,"Not Invoiced","Invoiced")</f>
        <v>Invoiced</v>
      </c>
      <c r="J76" s="18" t="n">
        <f aca="false">E76-F76</f>
        <v>541.95</v>
      </c>
      <c r="K76" s="18" t="n">
        <f aca="false">E76-G76</f>
        <v>-108.5</v>
      </c>
      <c r="L76" s="16" t="str">
        <f aca="false">IF(OR(AND(I76="Invoiced",H76="Not Received"),AND(F76&gt;0,ABS(J76)&gt;Assumptions!$B$6),AND(G76&gt;0,ABS(K76)&gt;Assumptions!$B$6)),"EXCEPTION","OK")</f>
        <v>EXCEPTION</v>
      </c>
    </row>
    <row r="77" customFormat="false" ht="15" hidden="false" customHeight="false" outlineLevel="0" collapsed="false">
      <c r="A77" s="16" t="str">
        <f aca="false">Purchase_Orders!A74</f>
        <v>PO10073</v>
      </c>
      <c r="B77" s="16" t="str">
        <f aca="false">Purchase_Orders!B74</f>
        <v>V1009</v>
      </c>
      <c r="C77" s="16" t="str">
        <f aca="false">IFERROR(INDEX(Vendor_Master!$B$2:$B$41,MATCH(B77,Vendor_Master!$A$2:$A$41,0)),"Unknown Vendor")</f>
        <v>Munoz-Roman</v>
      </c>
      <c r="D77" s="17" t="n">
        <f aca="false">Purchase_Orders!C74</f>
        <v>46024</v>
      </c>
      <c r="E77" s="18" t="n">
        <f aca="false">Purchase_Orders!D74</f>
        <v>173.05</v>
      </c>
      <c r="F77" s="18" t="n">
        <f aca="false">SUMIFS(Goods_Receipt_Notes!$D$2:$D$791,Goods_Receipt_Notes!$B$2:$B$791,A77)</f>
        <v>0</v>
      </c>
      <c r="G77" s="18" t="n">
        <f aca="false">SUMIFS(Vendor_Invoices_AP!$E$2:$E$882,Vendor_Invoices_AP!$B$2:$B$882,A77)</f>
        <v>173.05</v>
      </c>
      <c r="H77" s="16" t="str">
        <f aca="false">IF(F77=0,"Not Received","Received")</f>
        <v>Not Received</v>
      </c>
      <c r="I77" s="16" t="str">
        <f aca="false">IF(G77=0,"Not Invoiced","Invoiced")</f>
        <v>Invoiced</v>
      </c>
      <c r="J77" s="18" t="n">
        <f aca="false">E77-F77</f>
        <v>173.05</v>
      </c>
      <c r="K77" s="18" t="n">
        <f aca="false">E77-G77</f>
        <v>0</v>
      </c>
      <c r="L77" s="16" t="str">
        <f aca="false">IF(OR(AND(I77="Invoiced",H77="Not Received"),AND(F77&gt;0,ABS(J77)&gt;Assumptions!$B$6),AND(G77&gt;0,ABS(K77)&gt;Assumptions!$B$6)),"EXCEPTION","OK")</f>
        <v>EXCEPTION</v>
      </c>
    </row>
    <row r="78" customFormat="false" ht="15" hidden="false" customHeight="false" outlineLevel="0" collapsed="false">
      <c r="A78" s="16" t="str">
        <f aca="false">Purchase_Orders!A75</f>
        <v>PO10074</v>
      </c>
      <c r="B78" s="16" t="str">
        <f aca="false">Purchase_Orders!B75</f>
        <v>V1029</v>
      </c>
      <c r="C78" s="16" t="str">
        <f aca="false">IFERROR(INDEX(Vendor_Master!$B$2:$B$41,MATCH(B78,Vendor_Master!$A$2:$A$41,0)),"Unknown Vendor")</f>
        <v>Chavez Ltd</v>
      </c>
      <c r="D78" s="17" t="n">
        <f aca="false">Purchase_Orders!C75</f>
        <v>45780</v>
      </c>
      <c r="E78" s="18" t="n">
        <f aca="false">Purchase_Orders!D75</f>
        <v>1736.82</v>
      </c>
      <c r="F78" s="18" t="n">
        <f aca="false">SUMIFS(Goods_Receipt_Notes!$D$2:$D$791,Goods_Receipt_Notes!$B$2:$B$791,A78)</f>
        <v>1736.82</v>
      </c>
      <c r="G78" s="18" t="n">
        <f aca="false">SUMIFS(Vendor_Invoices_AP!$E$2:$E$882,Vendor_Invoices_AP!$B$2:$B$882,A78)</f>
        <v>1736.82</v>
      </c>
      <c r="H78" s="16" t="str">
        <f aca="false">IF(F78=0,"Not Received","Received")</f>
        <v>Received</v>
      </c>
      <c r="I78" s="16" t="str">
        <f aca="false">IF(G78=0,"Not Invoiced","Invoiced")</f>
        <v>Invoiced</v>
      </c>
      <c r="J78" s="18" t="n">
        <f aca="false">E78-F78</f>
        <v>0</v>
      </c>
      <c r="K78" s="18" t="n">
        <f aca="false">E78-G78</f>
        <v>0</v>
      </c>
      <c r="L78" s="16" t="str">
        <f aca="false">IF(OR(AND(I78="Invoiced",H78="Not Received"),AND(F78&gt;0,ABS(J78)&gt;Assumptions!$B$6),AND(G78&gt;0,ABS(K78)&gt;Assumptions!$B$6)),"EXCEPTION","OK")</f>
        <v>OK</v>
      </c>
    </row>
    <row r="79" customFormat="false" ht="15" hidden="false" customHeight="false" outlineLevel="0" collapsed="false">
      <c r="A79" s="16" t="str">
        <f aca="false">Purchase_Orders!A76</f>
        <v>PO10075</v>
      </c>
      <c r="B79" s="16" t="str">
        <f aca="false">Purchase_Orders!B76</f>
        <v>V1017</v>
      </c>
      <c r="C79" s="16" t="str">
        <f aca="false">IFERROR(INDEX(Vendor_Master!$B$2:$B$41,MATCH(B79,Vendor_Master!$A$2:$A$41,0)),"Unknown Vendor")</f>
        <v>Hawkins, Cohen and Cameron</v>
      </c>
      <c r="D79" s="17" t="n">
        <f aca="false">Purchase_Orders!C76</f>
        <v>45766</v>
      </c>
      <c r="E79" s="18" t="n">
        <f aca="false">Purchase_Orders!D76</f>
        <v>2776.3</v>
      </c>
      <c r="F79" s="18" t="n">
        <f aca="false">SUMIFS(Goods_Receipt_Notes!$D$2:$D$791,Goods_Receipt_Notes!$B$2:$B$791,A79)</f>
        <v>2776.3</v>
      </c>
      <c r="G79" s="18" t="n">
        <f aca="false">SUMIFS(Vendor_Invoices_AP!$E$2:$E$882,Vendor_Invoices_AP!$B$2:$B$882,A79)</f>
        <v>3225.76</v>
      </c>
      <c r="H79" s="16" t="str">
        <f aca="false">IF(F79=0,"Not Received","Received")</f>
        <v>Received</v>
      </c>
      <c r="I79" s="16" t="str">
        <f aca="false">IF(G79=0,"Not Invoiced","Invoiced")</f>
        <v>Invoiced</v>
      </c>
      <c r="J79" s="18" t="n">
        <f aca="false">E79-F79</f>
        <v>0</v>
      </c>
      <c r="K79" s="18" t="n">
        <f aca="false">E79-G79</f>
        <v>-449.46</v>
      </c>
      <c r="L79" s="16" t="str">
        <f aca="false">IF(OR(AND(I79="Invoiced",H79="Not Received"),AND(F79&gt;0,ABS(J79)&gt;Assumptions!$B$6),AND(G79&gt;0,ABS(K79)&gt;Assumptions!$B$6)),"EXCEPTION","OK")</f>
        <v>EXCEPTION</v>
      </c>
    </row>
    <row r="80" customFormat="false" ht="15" hidden="false" customHeight="false" outlineLevel="0" collapsed="false">
      <c r="A80" s="16" t="str">
        <f aca="false">Purchase_Orders!A77</f>
        <v>PO10076</v>
      </c>
      <c r="B80" s="16" t="str">
        <f aca="false">Purchase_Orders!B77</f>
        <v>V1014</v>
      </c>
      <c r="C80" s="16" t="str">
        <f aca="false">IFERROR(INDEX(Vendor_Master!$B$2:$B$41,MATCH(B80,Vendor_Master!$A$2:$A$41,0)),"Unknown Vendor")</f>
        <v>Flowers, Martin and Kelly</v>
      </c>
      <c r="D80" s="17" t="n">
        <f aca="false">Purchase_Orders!C77</f>
        <v>45671</v>
      </c>
      <c r="E80" s="18" t="n">
        <f aca="false">Purchase_Orders!D77</f>
        <v>773.09</v>
      </c>
      <c r="F80" s="18" t="n">
        <f aca="false">SUMIFS(Goods_Receipt_Notes!$D$2:$D$791,Goods_Receipt_Notes!$B$2:$B$791,A80)</f>
        <v>773.09</v>
      </c>
      <c r="G80" s="18" t="n">
        <f aca="false">SUMIFS(Vendor_Invoices_AP!$E$2:$E$882,Vendor_Invoices_AP!$B$2:$B$882,A80)</f>
        <v>773.09</v>
      </c>
      <c r="H80" s="16" t="str">
        <f aca="false">IF(F80=0,"Not Received","Received")</f>
        <v>Received</v>
      </c>
      <c r="I80" s="16" t="str">
        <f aca="false">IF(G80=0,"Not Invoiced","Invoiced")</f>
        <v>Invoiced</v>
      </c>
      <c r="J80" s="18" t="n">
        <f aca="false">E80-F80</f>
        <v>0</v>
      </c>
      <c r="K80" s="18" t="n">
        <f aca="false">E80-G80</f>
        <v>0</v>
      </c>
      <c r="L80" s="16" t="str">
        <f aca="false">IF(OR(AND(I80="Invoiced",H80="Not Received"),AND(F80&gt;0,ABS(J80)&gt;Assumptions!$B$6),AND(G80&gt;0,ABS(K80)&gt;Assumptions!$B$6)),"EXCEPTION","OK")</f>
        <v>OK</v>
      </c>
    </row>
    <row r="81" customFormat="false" ht="15" hidden="false" customHeight="false" outlineLevel="0" collapsed="false">
      <c r="A81" s="16" t="str">
        <f aca="false">Purchase_Orders!A78</f>
        <v>PO10077</v>
      </c>
      <c r="B81" s="16" t="str">
        <f aca="false">Purchase_Orders!B78</f>
        <v>V1024</v>
      </c>
      <c r="C81" s="16" t="str">
        <f aca="false">IFERROR(INDEX(Vendor_Master!$B$2:$B$41,MATCH(B81,Vendor_Master!$A$2:$A$41,0)),"Unknown Vendor")</f>
        <v>Campos Inc</v>
      </c>
      <c r="D81" s="17" t="n">
        <f aca="false">Purchase_Orders!C78</f>
        <v>45791</v>
      </c>
      <c r="E81" s="18" t="n">
        <f aca="false">Purchase_Orders!D78</f>
        <v>3182.11</v>
      </c>
      <c r="F81" s="18" t="n">
        <f aca="false">SUMIFS(Goods_Receipt_Notes!$D$2:$D$791,Goods_Receipt_Notes!$B$2:$B$791,A81)</f>
        <v>3182.11</v>
      </c>
      <c r="G81" s="18" t="n">
        <f aca="false">SUMIFS(Vendor_Invoices_AP!$E$2:$E$882,Vendor_Invoices_AP!$B$2:$B$882,A81)</f>
        <v>3182.11</v>
      </c>
      <c r="H81" s="16" t="str">
        <f aca="false">IF(F81=0,"Not Received","Received")</f>
        <v>Received</v>
      </c>
      <c r="I81" s="16" t="str">
        <f aca="false">IF(G81=0,"Not Invoiced","Invoiced")</f>
        <v>Invoiced</v>
      </c>
      <c r="J81" s="18" t="n">
        <f aca="false">E81-F81</f>
        <v>0</v>
      </c>
      <c r="K81" s="18" t="n">
        <f aca="false">E81-G81</f>
        <v>0</v>
      </c>
      <c r="L81" s="16" t="str">
        <f aca="false">IF(OR(AND(I81="Invoiced",H81="Not Received"),AND(F81&gt;0,ABS(J81)&gt;Assumptions!$B$6),AND(G81&gt;0,ABS(K81)&gt;Assumptions!$B$6)),"EXCEPTION","OK")</f>
        <v>OK</v>
      </c>
    </row>
    <row r="82" customFormat="false" ht="15" hidden="false" customHeight="false" outlineLevel="0" collapsed="false">
      <c r="A82" s="16" t="str">
        <f aca="false">Purchase_Orders!A79</f>
        <v>PO10078</v>
      </c>
      <c r="B82" s="16" t="str">
        <f aca="false">Purchase_Orders!B79</f>
        <v>V1021</v>
      </c>
      <c r="C82" s="16" t="str">
        <f aca="false">IFERROR(INDEX(Vendor_Master!$B$2:$B$41,MATCH(B82,Vendor_Master!$A$2:$A$41,0)),"Unknown Vendor")</f>
        <v>Ellis, Baker and Wright</v>
      </c>
      <c r="D82" s="17" t="n">
        <f aca="false">Purchase_Orders!C79</f>
        <v>45916</v>
      </c>
      <c r="E82" s="18" t="n">
        <f aca="false">Purchase_Orders!D79</f>
        <v>2202.92</v>
      </c>
      <c r="F82" s="18" t="n">
        <f aca="false">SUMIFS(Goods_Receipt_Notes!$D$2:$D$791,Goods_Receipt_Notes!$B$2:$B$791,A82)</f>
        <v>2202.92</v>
      </c>
      <c r="G82" s="18" t="n">
        <f aca="false">SUMIFS(Vendor_Invoices_AP!$E$2:$E$882,Vendor_Invoices_AP!$B$2:$B$882,A82)</f>
        <v>4405.84</v>
      </c>
      <c r="H82" s="16" t="str">
        <f aca="false">IF(F82=0,"Not Received","Received")</f>
        <v>Received</v>
      </c>
      <c r="I82" s="16" t="str">
        <f aca="false">IF(G82=0,"Not Invoiced","Invoiced")</f>
        <v>Invoiced</v>
      </c>
      <c r="J82" s="18" t="n">
        <f aca="false">E82-F82</f>
        <v>0</v>
      </c>
      <c r="K82" s="18" t="n">
        <f aca="false">E82-G82</f>
        <v>-2202.92</v>
      </c>
      <c r="L82" s="16" t="str">
        <f aca="false">IF(OR(AND(I82="Invoiced",H82="Not Received"),AND(F82&gt;0,ABS(J82)&gt;Assumptions!$B$6),AND(G82&gt;0,ABS(K82)&gt;Assumptions!$B$6)),"EXCEPTION","OK")</f>
        <v>EXCEPTION</v>
      </c>
    </row>
    <row r="83" customFormat="false" ht="15" hidden="false" customHeight="false" outlineLevel="0" collapsed="false">
      <c r="A83" s="16" t="str">
        <f aca="false">Purchase_Orders!A80</f>
        <v>PO10079</v>
      </c>
      <c r="B83" s="16" t="str">
        <f aca="false">Purchase_Orders!B80</f>
        <v>V1012</v>
      </c>
      <c r="C83" s="16" t="str">
        <f aca="false">IFERROR(INDEX(Vendor_Master!$B$2:$B$41,MATCH(B83,Vendor_Master!$A$2:$A$41,0)),"Unknown Vendor")</f>
        <v>Stanley LLC</v>
      </c>
      <c r="D83" s="17" t="n">
        <f aca="false">Purchase_Orders!C80</f>
        <v>46121</v>
      </c>
      <c r="E83" s="18" t="n">
        <f aca="false">Purchase_Orders!D80</f>
        <v>13999.16</v>
      </c>
      <c r="F83" s="18" t="n">
        <f aca="false">SUMIFS(Goods_Receipt_Notes!$D$2:$D$791,Goods_Receipt_Notes!$B$2:$B$791,A83)</f>
        <v>13999.16</v>
      </c>
      <c r="G83" s="18" t="n">
        <f aca="false">SUMIFS(Vendor_Invoices_AP!$E$2:$E$882,Vendor_Invoices_AP!$B$2:$B$882,A83)</f>
        <v>13999.16</v>
      </c>
      <c r="H83" s="16" t="str">
        <f aca="false">IF(F83=0,"Not Received","Received")</f>
        <v>Received</v>
      </c>
      <c r="I83" s="16" t="str">
        <f aca="false">IF(G83=0,"Not Invoiced","Invoiced")</f>
        <v>Invoiced</v>
      </c>
      <c r="J83" s="18" t="n">
        <f aca="false">E83-F83</f>
        <v>0</v>
      </c>
      <c r="K83" s="18" t="n">
        <f aca="false">E83-G83</f>
        <v>0</v>
      </c>
      <c r="L83" s="16" t="str">
        <f aca="false">IF(OR(AND(I83="Invoiced",H83="Not Received"),AND(F83&gt;0,ABS(J83)&gt;Assumptions!$B$6),AND(G83&gt;0,ABS(K83)&gt;Assumptions!$B$6)),"EXCEPTION","OK")</f>
        <v>OK</v>
      </c>
    </row>
    <row r="84" customFormat="false" ht="15" hidden="false" customHeight="false" outlineLevel="0" collapsed="false">
      <c r="A84" s="16" t="str">
        <f aca="false">Purchase_Orders!A81</f>
        <v>PO10080</v>
      </c>
      <c r="B84" s="16" t="str">
        <f aca="false">Purchase_Orders!B81</f>
        <v>V1016</v>
      </c>
      <c r="C84" s="16" t="str">
        <f aca="false">IFERROR(INDEX(Vendor_Master!$B$2:$B$41,MATCH(B84,Vendor_Master!$A$2:$A$41,0)),"Unknown Vendor")</f>
        <v>Sanchez, Ford and Nelson</v>
      </c>
      <c r="D84" s="17" t="n">
        <f aca="false">Purchase_Orders!C81</f>
        <v>45697</v>
      </c>
      <c r="E84" s="18" t="n">
        <f aca="false">Purchase_Orders!D81</f>
        <v>4652.88</v>
      </c>
      <c r="F84" s="18" t="n">
        <f aca="false">SUMIFS(Goods_Receipt_Notes!$D$2:$D$791,Goods_Receipt_Notes!$B$2:$B$791,A84)</f>
        <v>4652.88</v>
      </c>
      <c r="G84" s="18" t="n">
        <f aca="false">SUMIFS(Vendor_Invoices_AP!$E$2:$E$882,Vendor_Invoices_AP!$B$2:$B$882,A84)</f>
        <v>4652.88</v>
      </c>
      <c r="H84" s="16" t="str">
        <f aca="false">IF(F84=0,"Not Received","Received")</f>
        <v>Received</v>
      </c>
      <c r="I84" s="16" t="str">
        <f aca="false">IF(G84=0,"Not Invoiced","Invoiced")</f>
        <v>Invoiced</v>
      </c>
      <c r="J84" s="18" t="n">
        <f aca="false">E84-F84</f>
        <v>0</v>
      </c>
      <c r="K84" s="18" t="n">
        <f aca="false">E84-G84</f>
        <v>0</v>
      </c>
      <c r="L84" s="16" t="str">
        <f aca="false">IF(OR(AND(I84="Invoiced",H84="Not Received"),AND(F84&gt;0,ABS(J84)&gt;Assumptions!$B$6),AND(G84&gt;0,ABS(K84)&gt;Assumptions!$B$6)),"EXCEPTION","OK")</f>
        <v>OK</v>
      </c>
    </row>
    <row r="85" customFormat="false" ht="15" hidden="false" customHeight="false" outlineLevel="0" collapsed="false">
      <c r="A85" s="16" t="str">
        <f aca="false">Purchase_Orders!A82</f>
        <v>PO10081</v>
      </c>
      <c r="B85" s="16" t="str">
        <f aca="false">Purchase_Orders!B82</f>
        <v>V1005</v>
      </c>
      <c r="C85" s="16" t="str">
        <f aca="false">IFERROR(INDEX(Vendor_Master!$B$2:$B$41,MATCH(B85,Vendor_Master!$A$2:$A$41,0)),"Unknown Vendor")</f>
        <v>Cole LLC</v>
      </c>
      <c r="D85" s="17" t="n">
        <f aca="false">Purchase_Orders!C82</f>
        <v>45883</v>
      </c>
      <c r="E85" s="18" t="n">
        <f aca="false">Purchase_Orders!D82</f>
        <v>131.26</v>
      </c>
      <c r="F85" s="18" t="n">
        <f aca="false">SUMIFS(Goods_Receipt_Notes!$D$2:$D$791,Goods_Receipt_Notes!$B$2:$B$791,A85)</f>
        <v>131.26</v>
      </c>
      <c r="G85" s="18" t="n">
        <f aca="false">SUMIFS(Vendor_Invoices_AP!$E$2:$E$882,Vendor_Invoices_AP!$B$2:$B$882,A85)</f>
        <v>131.26</v>
      </c>
      <c r="H85" s="16" t="str">
        <f aca="false">IF(F85=0,"Not Received","Received")</f>
        <v>Received</v>
      </c>
      <c r="I85" s="16" t="str">
        <f aca="false">IF(G85=0,"Not Invoiced","Invoiced")</f>
        <v>Invoiced</v>
      </c>
      <c r="J85" s="18" t="n">
        <f aca="false">E85-F85</f>
        <v>0</v>
      </c>
      <c r="K85" s="18" t="n">
        <f aca="false">E85-G85</f>
        <v>0</v>
      </c>
      <c r="L85" s="16" t="str">
        <f aca="false">IF(OR(AND(I85="Invoiced",H85="Not Received"),AND(F85&gt;0,ABS(J85)&gt;Assumptions!$B$6),AND(G85&gt;0,ABS(K85)&gt;Assumptions!$B$6)),"EXCEPTION","OK")</f>
        <v>OK</v>
      </c>
    </row>
    <row r="86" customFormat="false" ht="15" hidden="false" customHeight="false" outlineLevel="0" collapsed="false">
      <c r="A86" s="16" t="str">
        <f aca="false">Purchase_Orders!A83</f>
        <v>PO10082</v>
      </c>
      <c r="B86" s="16" t="str">
        <f aca="false">Purchase_Orders!B83</f>
        <v>V1002</v>
      </c>
      <c r="C86" s="16" t="str">
        <f aca="false">IFERROR(INDEX(Vendor_Master!$B$2:$B$41,MATCH(B86,Vendor_Master!$A$2:$A$41,0)),"Unknown Vendor")</f>
        <v>Garcia, Yang and Gardner</v>
      </c>
      <c r="D86" s="17" t="n">
        <f aca="false">Purchase_Orders!C83</f>
        <v>46001</v>
      </c>
      <c r="E86" s="18" t="n">
        <f aca="false">Purchase_Orders!D83</f>
        <v>370.46</v>
      </c>
      <c r="F86" s="18" t="n">
        <f aca="false">SUMIFS(Goods_Receipt_Notes!$D$2:$D$791,Goods_Receipt_Notes!$B$2:$B$791,A86)</f>
        <v>370.46</v>
      </c>
      <c r="G86" s="18" t="n">
        <f aca="false">SUMIFS(Vendor_Invoices_AP!$E$2:$E$882,Vendor_Invoices_AP!$B$2:$B$882,A86)</f>
        <v>370.46</v>
      </c>
      <c r="H86" s="16" t="str">
        <f aca="false">IF(F86=0,"Not Received","Received")</f>
        <v>Received</v>
      </c>
      <c r="I86" s="16" t="str">
        <f aca="false">IF(G86=0,"Not Invoiced","Invoiced")</f>
        <v>Invoiced</v>
      </c>
      <c r="J86" s="18" t="n">
        <f aca="false">E86-F86</f>
        <v>0</v>
      </c>
      <c r="K86" s="18" t="n">
        <f aca="false">E86-G86</f>
        <v>0</v>
      </c>
      <c r="L86" s="16" t="str">
        <f aca="false">IF(OR(AND(I86="Invoiced",H86="Not Received"),AND(F86&gt;0,ABS(J86)&gt;Assumptions!$B$6),AND(G86&gt;0,ABS(K86)&gt;Assumptions!$B$6)),"EXCEPTION","OK")</f>
        <v>OK</v>
      </c>
    </row>
    <row r="87" customFormat="false" ht="15" hidden="false" customHeight="false" outlineLevel="0" collapsed="false">
      <c r="A87" s="16" t="str">
        <f aca="false">Purchase_Orders!A84</f>
        <v>PO10083</v>
      </c>
      <c r="B87" s="16" t="str">
        <f aca="false">Purchase_Orders!B84</f>
        <v>V1032</v>
      </c>
      <c r="C87" s="16" t="str">
        <f aca="false">IFERROR(INDEX(Vendor_Master!$B$2:$B$41,MATCH(B87,Vendor_Master!$A$2:$A$41,0)),"Unknown Vendor")</f>
        <v>Lynch, Hernandez and Farmer</v>
      </c>
      <c r="D87" s="17" t="n">
        <f aca="false">Purchase_Orders!C84</f>
        <v>45763</v>
      </c>
      <c r="E87" s="18" t="n">
        <f aca="false">Purchase_Orders!D84</f>
        <v>2277.66</v>
      </c>
      <c r="F87" s="18" t="n">
        <f aca="false">SUMIFS(Goods_Receipt_Notes!$D$2:$D$791,Goods_Receipt_Notes!$B$2:$B$791,A87)</f>
        <v>2277.66</v>
      </c>
      <c r="G87" s="18" t="n">
        <f aca="false">SUMIFS(Vendor_Invoices_AP!$E$2:$E$882,Vendor_Invoices_AP!$B$2:$B$882,A87)</f>
        <v>2277.66</v>
      </c>
      <c r="H87" s="16" t="str">
        <f aca="false">IF(F87=0,"Not Received","Received")</f>
        <v>Received</v>
      </c>
      <c r="I87" s="16" t="str">
        <f aca="false">IF(G87=0,"Not Invoiced","Invoiced")</f>
        <v>Invoiced</v>
      </c>
      <c r="J87" s="18" t="n">
        <f aca="false">E87-F87</f>
        <v>0</v>
      </c>
      <c r="K87" s="18" t="n">
        <f aca="false">E87-G87</f>
        <v>0</v>
      </c>
      <c r="L87" s="16" t="str">
        <f aca="false">IF(OR(AND(I87="Invoiced",H87="Not Received"),AND(F87&gt;0,ABS(J87)&gt;Assumptions!$B$6),AND(G87&gt;0,ABS(K87)&gt;Assumptions!$B$6)),"EXCEPTION","OK")</f>
        <v>OK</v>
      </c>
    </row>
    <row r="88" customFormat="false" ht="15" hidden="false" customHeight="false" outlineLevel="0" collapsed="false">
      <c r="A88" s="16" t="str">
        <f aca="false">Purchase_Orders!A85</f>
        <v>PO10084</v>
      </c>
      <c r="B88" s="16" t="str">
        <f aca="false">Purchase_Orders!B85</f>
        <v>V1014</v>
      </c>
      <c r="C88" s="16" t="str">
        <f aca="false">IFERROR(INDEX(Vendor_Master!$B$2:$B$41,MATCH(B88,Vendor_Master!$A$2:$A$41,0)),"Unknown Vendor")</f>
        <v>Flowers, Martin and Kelly</v>
      </c>
      <c r="D88" s="17" t="n">
        <f aca="false">Purchase_Orders!C85</f>
        <v>46037</v>
      </c>
      <c r="E88" s="18" t="n">
        <f aca="false">Purchase_Orders!D85</f>
        <v>11559.96</v>
      </c>
      <c r="F88" s="18" t="n">
        <f aca="false">SUMIFS(Goods_Receipt_Notes!$D$2:$D$791,Goods_Receipt_Notes!$B$2:$B$791,A88)</f>
        <v>6242.97</v>
      </c>
      <c r="G88" s="18" t="n">
        <f aca="false">SUMIFS(Vendor_Invoices_AP!$E$2:$E$882,Vendor_Invoices_AP!$B$2:$B$882,A88)</f>
        <v>11559.96</v>
      </c>
      <c r="H88" s="16" t="str">
        <f aca="false">IF(F88=0,"Not Received","Received")</f>
        <v>Received</v>
      </c>
      <c r="I88" s="16" t="str">
        <f aca="false">IF(G88=0,"Not Invoiced","Invoiced")</f>
        <v>Invoiced</v>
      </c>
      <c r="J88" s="18" t="n">
        <f aca="false">E88-F88</f>
        <v>5316.99</v>
      </c>
      <c r="K88" s="18" t="n">
        <f aca="false">E88-G88</f>
        <v>0</v>
      </c>
      <c r="L88" s="16" t="str">
        <f aca="false">IF(OR(AND(I88="Invoiced",H88="Not Received"),AND(F88&gt;0,ABS(J88)&gt;Assumptions!$B$6),AND(G88&gt;0,ABS(K88)&gt;Assumptions!$B$6)),"EXCEPTION","OK")</f>
        <v>EXCEPTION</v>
      </c>
    </row>
    <row r="89" customFormat="false" ht="15" hidden="false" customHeight="false" outlineLevel="0" collapsed="false">
      <c r="A89" s="16" t="str">
        <f aca="false">Purchase_Orders!A86</f>
        <v>PO10085</v>
      </c>
      <c r="B89" s="16" t="str">
        <f aca="false">Purchase_Orders!B86</f>
        <v>V1035</v>
      </c>
      <c r="C89" s="16" t="str">
        <f aca="false">IFERROR(INDEX(Vendor_Master!$B$2:$B$41,MATCH(B89,Vendor_Master!$A$2:$A$41,0)),"Unknown Vendor")</f>
        <v>Allen PLC</v>
      </c>
      <c r="D89" s="17" t="n">
        <f aca="false">Purchase_Orders!C86</f>
        <v>45927</v>
      </c>
      <c r="E89" s="18" t="n">
        <f aca="false">Purchase_Orders!D86</f>
        <v>1118.76</v>
      </c>
      <c r="F89" s="18" t="n">
        <f aca="false">SUMIFS(Goods_Receipt_Notes!$D$2:$D$791,Goods_Receipt_Notes!$B$2:$B$791,A89)</f>
        <v>1118.76</v>
      </c>
      <c r="G89" s="18" t="n">
        <f aca="false">SUMIFS(Vendor_Invoices_AP!$E$2:$E$882,Vendor_Invoices_AP!$B$2:$B$882,A89)</f>
        <v>1118.76</v>
      </c>
      <c r="H89" s="16" t="str">
        <f aca="false">IF(F89=0,"Not Received","Received")</f>
        <v>Received</v>
      </c>
      <c r="I89" s="16" t="str">
        <f aca="false">IF(G89=0,"Not Invoiced","Invoiced")</f>
        <v>Invoiced</v>
      </c>
      <c r="J89" s="18" t="n">
        <f aca="false">E89-F89</f>
        <v>0</v>
      </c>
      <c r="K89" s="18" t="n">
        <f aca="false">E89-G89</f>
        <v>0</v>
      </c>
      <c r="L89" s="16" t="str">
        <f aca="false">IF(OR(AND(I89="Invoiced",H89="Not Received"),AND(F89&gt;0,ABS(J89)&gt;Assumptions!$B$6),AND(G89&gt;0,ABS(K89)&gt;Assumptions!$B$6)),"EXCEPTION","OK")</f>
        <v>OK</v>
      </c>
    </row>
    <row r="90" customFormat="false" ht="15" hidden="false" customHeight="false" outlineLevel="0" collapsed="false">
      <c r="A90" s="16" t="str">
        <f aca="false">Purchase_Orders!A87</f>
        <v>PO10086</v>
      </c>
      <c r="B90" s="16" t="str">
        <f aca="false">Purchase_Orders!B87</f>
        <v>V1021</v>
      </c>
      <c r="C90" s="16" t="str">
        <f aca="false">IFERROR(INDEX(Vendor_Master!$B$2:$B$41,MATCH(B90,Vendor_Master!$A$2:$A$41,0)),"Unknown Vendor")</f>
        <v>Ellis, Baker and Wright</v>
      </c>
      <c r="D90" s="17" t="n">
        <f aca="false">Purchase_Orders!C87</f>
        <v>45790</v>
      </c>
      <c r="E90" s="18" t="n">
        <f aca="false">Purchase_Orders!D87</f>
        <v>1602.67</v>
      </c>
      <c r="F90" s="18" t="n">
        <f aca="false">SUMIFS(Goods_Receipt_Notes!$D$2:$D$791,Goods_Receipt_Notes!$B$2:$B$791,A90)</f>
        <v>1602.67</v>
      </c>
      <c r="G90" s="18" t="n">
        <f aca="false">SUMIFS(Vendor_Invoices_AP!$E$2:$E$882,Vendor_Invoices_AP!$B$2:$B$882,A90)</f>
        <v>1602.67</v>
      </c>
      <c r="H90" s="16" t="str">
        <f aca="false">IF(F90=0,"Not Received","Received")</f>
        <v>Received</v>
      </c>
      <c r="I90" s="16" t="str">
        <f aca="false">IF(G90=0,"Not Invoiced","Invoiced")</f>
        <v>Invoiced</v>
      </c>
      <c r="J90" s="18" t="n">
        <f aca="false">E90-F90</f>
        <v>0</v>
      </c>
      <c r="K90" s="18" t="n">
        <f aca="false">E90-G90</f>
        <v>0</v>
      </c>
      <c r="L90" s="16" t="str">
        <f aca="false">IF(OR(AND(I90="Invoiced",H90="Not Received"),AND(F90&gt;0,ABS(J90)&gt;Assumptions!$B$6),AND(G90&gt;0,ABS(K90)&gt;Assumptions!$B$6)),"EXCEPTION","OK")</f>
        <v>OK</v>
      </c>
    </row>
    <row r="91" customFormat="false" ht="15" hidden="false" customHeight="false" outlineLevel="0" collapsed="false">
      <c r="A91" s="16" t="str">
        <f aca="false">Purchase_Orders!A88</f>
        <v>PO10087</v>
      </c>
      <c r="B91" s="16" t="str">
        <f aca="false">Purchase_Orders!B88</f>
        <v>V1009</v>
      </c>
      <c r="C91" s="16" t="str">
        <f aca="false">IFERROR(INDEX(Vendor_Master!$B$2:$B$41,MATCH(B91,Vendor_Master!$A$2:$A$41,0)),"Unknown Vendor")</f>
        <v>Munoz-Roman</v>
      </c>
      <c r="D91" s="17" t="n">
        <f aca="false">Purchase_Orders!C88</f>
        <v>46015</v>
      </c>
      <c r="E91" s="18" t="n">
        <f aca="false">Purchase_Orders!D88</f>
        <v>2430.96</v>
      </c>
      <c r="F91" s="18" t="n">
        <f aca="false">SUMIFS(Goods_Receipt_Notes!$D$2:$D$791,Goods_Receipt_Notes!$B$2:$B$791,A91)</f>
        <v>0</v>
      </c>
      <c r="G91" s="18" t="n">
        <f aca="false">SUMIFS(Vendor_Invoices_AP!$E$2:$E$882,Vendor_Invoices_AP!$B$2:$B$882,A91)</f>
        <v>2430.96</v>
      </c>
      <c r="H91" s="16" t="str">
        <f aca="false">IF(F91=0,"Not Received","Received")</f>
        <v>Not Received</v>
      </c>
      <c r="I91" s="16" t="str">
        <f aca="false">IF(G91=0,"Not Invoiced","Invoiced")</f>
        <v>Invoiced</v>
      </c>
      <c r="J91" s="18" t="n">
        <f aca="false">E91-F91</f>
        <v>2430.96</v>
      </c>
      <c r="K91" s="18" t="n">
        <f aca="false">E91-G91</f>
        <v>0</v>
      </c>
      <c r="L91" s="16" t="str">
        <f aca="false">IF(OR(AND(I91="Invoiced",H91="Not Received"),AND(F91&gt;0,ABS(J91)&gt;Assumptions!$B$6),AND(G91&gt;0,ABS(K91)&gt;Assumptions!$B$6)),"EXCEPTION","OK")</f>
        <v>EXCEPTION</v>
      </c>
    </row>
    <row r="92" customFormat="false" ht="15" hidden="false" customHeight="false" outlineLevel="0" collapsed="false">
      <c r="A92" s="16" t="str">
        <f aca="false">Purchase_Orders!A89</f>
        <v>PO10088</v>
      </c>
      <c r="B92" s="16" t="str">
        <f aca="false">Purchase_Orders!B89</f>
        <v>V1002</v>
      </c>
      <c r="C92" s="16" t="str">
        <f aca="false">IFERROR(INDEX(Vendor_Master!$B$2:$B$41,MATCH(B92,Vendor_Master!$A$2:$A$41,0)),"Unknown Vendor")</f>
        <v>Garcia, Yang and Gardner</v>
      </c>
      <c r="D92" s="17" t="n">
        <f aca="false">Purchase_Orders!C89</f>
        <v>45661</v>
      </c>
      <c r="E92" s="18" t="n">
        <f aca="false">Purchase_Orders!D89</f>
        <v>1239.53</v>
      </c>
      <c r="F92" s="18" t="n">
        <f aca="false">SUMIFS(Goods_Receipt_Notes!$D$2:$D$791,Goods_Receipt_Notes!$B$2:$B$791,A92)</f>
        <v>1239.53</v>
      </c>
      <c r="G92" s="18" t="n">
        <f aca="false">SUMIFS(Vendor_Invoices_AP!$E$2:$E$882,Vendor_Invoices_AP!$B$2:$B$882,A92)</f>
        <v>1239.53</v>
      </c>
      <c r="H92" s="16" t="str">
        <f aca="false">IF(F92=0,"Not Received","Received")</f>
        <v>Received</v>
      </c>
      <c r="I92" s="16" t="str">
        <f aca="false">IF(G92=0,"Not Invoiced","Invoiced")</f>
        <v>Invoiced</v>
      </c>
      <c r="J92" s="18" t="n">
        <f aca="false">E92-F92</f>
        <v>0</v>
      </c>
      <c r="K92" s="18" t="n">
        <f aca="false">E92-G92</f>
        <v>0</v>
      </c>
      <c r="L92" s="16" t="str">
        <f aca="false">IF(OR(AND(I92="Invoiced",H92="Not Received"),AND(F92&gt;0,ABS(J92)&gt;Assumptions!$B$6),AND(G92&gt;0,ABS(K92)&gt;Assumptions!$B$6)),"EXCEPTION","OK")</f>
        <v>OK</v>
      </c>
    </row>
    <row r="93" customFormat="false" ht="15" hidden="false" customHeight="false" outlineLevel="0" collapsed="false">
      <c r="A93" s="16" t="str">
        <f aca="false">Purchase_Orders!A90</f>
        <v>PO10089</v>
      </c>
      <c r="B93" s="16" t="str">
        <f aca="false">Purchase_Orders!B90</f>
        <v>V1030</v>
      </c>
      <c r="C93" s="16" t="str">
        <f aca="false">IFERROR(INDEX(Vendor_Master!$B$2:$B$41,MATCH(B93,Vendor_Master!$A$2:$A$41,0)),"Unknown Vendor")</f>
        <v>Stanton-Gill</v>
      </c>
      <c r="D93" s="17" t="n">
        <f aca="false">Purchase_Orders!C90</f>
        <v>46067</v>
      </c>
      <c r="E93" s="18" t="n">
        <f aca="false">Purchase_Orders!D90</f>
        <v>6686.22</v>
      </c>
      <c r="F93" s="18" t="n">
        <f aca="false">SUMIFS(Goods_Receipt_Notes!$D$2:$D$791,Goods_Receipt_Notes!$B$2:$B$791,A93)</f>
        <v>6686.22</v>
      </c>
      <c r="G93" s="18" t="n">
        <f aca="false">SUMIFS(Vendor_Invoices_AP!$E$2:$E$882,Vendor_Invoices_AP!$B$2:$B$882,A93)</f>
        <v>6686.22</v>
      </c>
      <c r="H93" s="16" t="str">
        <f aca="false">IF(F93=0,"Not Received","Received")</f>
        <v>Received</v>
      </c>
      <c r="I93" s="16" t="str">
        <f aca="false">IF(G93=0,"Not Invoiced","Invoiced")</f>
        <v>Invoiced</v>
      </c>
      <c r="J93" s="18" t="n">
        <f aca="false">E93-F93</f>
        <v>0</v>
      </c>
      <c r="K93" s="18" t="n">
        <f aca="false">E93-G93</f>
        <v>0</v>
      </c>
      <c r="L93" s="16" t="str">
        <f aca="false">IF(OR(AND(I93="Invoiced",H93="Not Received"),AND(F93&gt;0,ABS(J93)&gt;Assumptions!$B$6),AND(G93&gt;0,ABS(K93)&gt;Assumptions!$B$6)),"EXCEPTION","OK")</f>
        <v>OK</v>
      </c>
    </row>
    <row r="94" customFormat="false" ht="15" hidden="false" customHeight="false" outlineLevel="0" collapsed="false">
      <c r="A94" s="16" t="str">
        <f aca="false">Purchase_Orders!A91</f>
        <v>PO10090</v>
      </c>
      <c r="B94" s="16" t="str">
        <f aca="false">Purchase_Orders!B91</f>
        <v>V1015</v>
      </c>
      <c r="C94" s="16" t="str">
        <f aca="false">IFERROR(INDEX(Vendor_Master!$B$2:$B$41,MATCH(B94,Vendor_Master!$A$2:$A$41,0)),"Unknown Vendor")</f>
        <v>Zuniga, Wong and Lynch</v>
      </c>
      <c r="D94" s="17" t="n">
        <f aca="false">Purchase_Orders!C91</f>
        <v>46077</v>
      </c>
      <c r="E94" s="18" t="n">
        <f aca="false">Purchase_Orders!D91</f>
        <v>3940.78</v>
      </c>
      <c r="F94" s="18" t="n">
        <f aca="false">SUMIFS(Goods_Receipt_Notes!$D$2:$D$791,Goods_Receipt_Notes!$B$2:$B$791,A94)</f>
        <v>3940.78</v>
      </c>
      <c r="G94" s="18" t="n">
        <f aca="false">SUMIFS(Vendor_Invoices_AP!$E$2:$E$882,Vendor_Invoices_AP!$B$2:$B$882,A94)</f>
        <v>3940.78</v>
      </c>
      <c r="H94" s="16" t="str">
        <f aca="false">IF(F94=0,"Not Received","Received")</f>
        <v>Received</v>
      </c>
      <c r="I94" s="16" t="str">
        <f aca="false">IF(G94=0,"Not Invoiced","Invoiced")</f>
        <v>Invoiced</v>
      </c>
      <c r="J94" s="18" t="n">
        <f aca="false">E94-F94</f>
        <v>0</v>
      </c>
      <c r="K94" s="18" t="n">
        <f aca="false">E94-G94</f>
        <v>0</v>
      </c>
      <c r="L94" s="16" t="str">
        <f aca="false">IF(OR(AND(I94="Invoiced",H94="Not Received"),AND(F94&gt;0,ABS(J94)&gt;Assumptions!$B$6),AND(G94&gt;0,ABS(K94)&gt;Assumptions!$B$6)),"EXCEPTION","OK")</f>
        <v>OK</v>
      </c>
    </row>
    <row r="95" customFormat="false" ht="15" hidden="false" customHeight="false" outlineLevel="0" collapsed="false">
      <c r="A95" s="16" t="str">
        <f aca="false">Purchase_Orders!A92</f>
        <v>PO10091</v>
      </c>
      <c r="B95" s="16" t="str">
        <f aca="false">Purchase_Orders!B92</f>
        <v>V1036</v>
      </c>
      <c r="C95" s="16" t="str">
        <f aca="false">IFERROR(INDEX(Vendor_Master!$B$2:$B$41,MATCH(B95,Vendor_Master!$A$2:$A$41,0)),"Unknown Vendor")</f>
        <v>Dennis Inc</v>
      </c>
      <c r="D95" s="17" t="n">
        <f aca="false">Purchase_Orders!C92</f>
        <v>45716</v>
      </c>
      <c r="E95" s="18" t="n">
        <f aca="false">Purchase_Orders!D92</f>
        <v>625.95</v>
      </c>
      <c r="F95" s="18" t="n">
        <f aca="false">SUMIFS(Goods_Receipt_Notes!$D$2:$D$791,Goods_Receipt_Notes!$B$2:$B$791,A95)</f>
        <v>625.95</v>
      </c>
      <c r="G95" s="18" t="n">
        <f aca="false">SUMIFS(Vendor_Invoices_AP!$E$2:$E$882,Vendor_Invoices_AP!$B$2:$B$882,A95)</f>
        <v>625.95</v>
      </c>
      <c r="H95" s="16" t="str">
        <f aca="false">IF(F95=0,"Not Received","Received")</f>
        <v>Received</v>
      </c>
      <c r="I95" s="16" t="str">
        <f aca="false">IF(G95=0,"Not Invoiced","Invoiced")</f>
        <v>Invoiced</v>
      </c>
      <c r="J95" s="18" t="n">
        <f aca="false">E95-F95</f>
        <v>0</v>
      </c>
      <c r="K95" s="18" t="n">
        <f aca="false">E95-G95</f>
        <v>0</v>
      </c>
      <c r="L95" s="16" t="str">
        <f aca="false">IF(OR(AND(I95="Invoiced",H95="Not Received"),AND(F95&gt;0,ABS(J95)&gt;Assumptions!$B$6),AND(G95&gt;0,ABS(K95)&gt;Assumptions!$B$6)),"EXCEPTION","OK")</f>
        <v>OK</v>
      </c>
    </row>
    <row r="96" customFormat="false" ht="15" hidden="false" customHeight="false" outlineLevel="0" collapsed="false">
      <c r="A96" s="16" t="str">
        <f aca="false">Purchase_Orders!A93</f>
        <v>PO10092</v>
      </c>
      <c r="B96" s="16" t="str">
        <f aca="false">Purchase_Orders!B93</f>
        <v>V1010</v>
      </c>
      <c r="C96" s="16" t="str">
        <f aca="false">IFERROR(INDEX(Vendor_Master!$B$2:$B$41,MATCH(B96,Vendor_Master!$A$2:$A$41,0)),"Unknown Vendor")</f>
        <v>Martinez, Nielsen and Miller</v>
      </c>
      <c r="D96" s="17" t="n">
        <f aca="false">Purchase_Orders!C93</f>
        <v>45889</v>
      </c>
      <c r="E96" s="18" t="n">
        <f aca="false">Purchase_Orders!D93</f>
        <v>5061.76</v>
      </c>
      <c r="F96" s="18" t="n">
        <f aca="false">SUMIFS(Goods_Receipt_Notes!$D$2:$D$791,Goods_Receipt_Notes!$B$2:$B$791,A96)</f>
        <v>5061.76</v>
      </c>
      <c r="G96" s="18" t="n">
        <f aca="false">SUMIFS(Vendor_Invoices_AP!$E$2:$E$882,Vendor_Invoices_AP!$B$2:$B$882,A96)</f>
        <v>5061.76</v>
      </c>
      <c r="H96" s="16" t="str">
        <f aca="false">IF(F96=0,"Not Received","Received")</f>
        <v>Received</v>
      </c>
      <c r="I96" s="16" t="str">
        <f aca="false">IF(G96=0,"Not Invoiced","Invoiced")</f>
        <v>Invoiced</v>
      </c>
      <c r="J96" s="18" t="n">
        <f aca="false">E96-F96</f>
        <v>0</v>
      </c>
      <c r="K96" s="18" t="n">
        <f aca="false">E96-G96</f>
        <v>0</v>
      </c>
      <c r="L96" s="16" t="str">
        <f aca="false">IF(OR(AND(I96="Invoiced",H96="Not Received"),AND(F96&gt;0,ABS(J96)&gt;Assumptions!$B$6),AND(G96&gt;0,ABS(K96)&gt;Assumptions!$B$6)),"EXCEPTION","OK")</f>
        <v>OK</v>
      </c>
    </row>
    <row r="97" customFormat="false" ht="15" hidden="false" customHeight="false" outlineLevel="0" collapsed="false">
      <c r="A97" s="16" t="str">
        <f aca="false">Purchase_Orders!A94</f>
        <v>PO10093</v>
      </c>
      <c r="B97" s="16" t="str">
        <f aca="false">Purchase_Orders!B94</f>
        <v>V1026</v>
      </c>
      <c r="C97" s="16" t="str">
        <f aca="false">IFERROR(INDEX(Vendor_Master!$B$2:$B$41,MATCH(B97,Vendor_Master!$A$2:$A$41,0)),"Unknown Vendor")</f>
        <v>James-Ferrell</v>
      </c>
      <c r="D97" s="17" t="n">
        <f aca="false">Purchase_Orders!C94</f>
        <v>45753</v>
      </c>
      <c r="E97" s="18" t="n">
        <f aca="false">Purchase_Orders!D94</f>
        <v>2302.86</v>
      </c>
      <c r="F97" s="18" t="n">
        <f aca="false">SUMIFS(Goods_Receipt_Notes!$D$2:$D$791,Goods_Receipt_Notes!$B$2:$B$791,A97)</f>
        <v>1218.24</v>
      </c>
      <c r="G97" s="18" t="n">
        <f aca="false">SUMIFS(Vendor_Invoices_AP!$E$2:$E$882,Vendor_Invoices_AP!$B$2:$B$882,A97)</f>
        <v>2302.86</v>
      </c>
      <c r="H97" s="16" t="str">
        <f aca="false">IF(F97=0,"Not Received","Received")</f>
        <v>Received</v>
      </c>
      <c r="I97" s="16" t="str">
        <f aca="false">IF(G97=0,"Not Invoiced","Invoiced")</f>
        <v>Invoiced</v>
      </c>
      <c r="J97" s="18" t="n">
        <f aca="false">E97-F97</f>
        <v>1084.62</v>
      </c>
      <c r="K97" s="18" t="n">
        <f aca="false">E97-G97</f>
        <v>0</v>
      </c>
      <c r="L97" s="16" t="str">
        <f aca="false">IF(OR(AND(I97="Invoiced",H97="Not Received"),AND(F97&gt;0,ABS(J97)&gt;Assumptions!$B$6),AND(G97&gt;0,ABS(K97)&gt;Assumptions!$B$6)),"EXCEPTION","OK")</f>
        <v>EXCEPTION</v>
      </c>
    </row>
    <row r="98" customFormat="false" ht="15" hidden="false" customHeight="false" outlineLevel="0" collapsed="false">
      <c r="A98" s="16" t="str">
        <f aca="false">Purchase_Orders!A95</f>
        <v>PO10094</v>
      </c>
      <c r="B98" s="16" t="str">
        <f aca="false">Purchase_Orders!B95</f>
        <v>V1026</v>
      </c>
      <c r="C98" s="16" t="str">
        <f aca="false">IFERROR(INDEX(Vendor_Master!$B$2:$B$41,MATCH(B98,Vendor_Master!$A$2:$A$41,0)),"Unknown Vendor")</f>
        <v>James-Ferrell</v>
      </c>
      <c r="D98" s="17" t="n">
        <f aca="false">Purchase_Orders!C95</f>
        <v>46180</v>
      </c>
      <c r="E98" s="18" t="n">
        <f aca="false">Purchase_Orders!D95</f>
        <v>420.44</v>
      </c>
      <c r="F98" s="18" t="n">
        <f aca="false">SUMIFS(Goods_Receipt_Notes!$D$2:$D$791,Goods_Receipt_Notes!$B$2:$B$791,A98)</f>
        <v>420.44</v>
      </c>
      <c r="G98" s="18" t="n">
        <f aca="false">SUMIFS(Vendor_Invoices_AP!$E$2:$E$882,Vendor_Invoices_AP!$B$2:$B$882,A98)</f>
        <v>420.44</v>
      </c>
      <c r="H98" s="16" t="str">
        <f aca="false">IF(F98=0,"Not Received","Received")</f>
        <v>Received</v>
      </c>
      <c r="I98" s="16" t="str">
        <f aca="false">IF(G98=0,"Not Invoiced","Invoiced")</f>
        <v>Invoiced</v>
      </c>
      <c r="J98" s="18" t="n">
        <f aca="false">E98-F98</f>
        <v>0</v>
      </c>
      <c r="K98" s="18" t="n">
        <f aca="false">E98-G98</f>
        <v>0</v>
      </c>
      <c r="L98" s="16" t="str">
        <f aca="false">IF(OR(AND(I98="Invoiced",H98="Not Received"),AND(F98&gt;0,ABS(J98)&gt;Assumptions!$B$6),AND(G98&gt;0,ABS(K98)&gt;Assumptions!$B$6)),"EXCEPTION","OK")</f>
        <v>OK</v>
      </c>
    </row>
    <row r="99" customFormat="false" ht="15" hidden="false" customHeight="false" outlineLevel="0" collapsed="false">
      <c r="A99" s="16" t="str">
        <f aca="false">Purchase_Orders!A96</f>
        <v>PO10095</v>
      </c>
      <c r="B99" s="16" t="str">
        <f aca="false">Purchase_Orders!B96</f>
        <v>V1026</v>
      </c>
      <c r="C99" s="16" t="str">
        <f aca="false">IFERROR(INDEX(Vendor_Master!$B$2:$B$41,MATCH(B99,Vendor_Master!$A$2:$A$41,0)),"Unknown Vendor")</f>
        <v>James-Ferrell</v>
      </c>
      <c r="D99" s="17" t="n">
        <f aca="false">Purchase_Orders!C96</f>
        <v>45940</v>
      </c>
      <c r="E99" s="18" t="n">
        <f aca="false">Purchase_Orders!D96</f>
        <v>226.65</v>
      </c>
      <c r="F99" s="18" t="n">
        <f aca="false">SUMIFS(Goods_Receipt_Notes!$D$2:$D$791,Goods_Receipt_Notes!$B$2:$B$791,A99)</f>
        <v>226.65</v>
      </c>
      <c r="G99" s="18" t="n">
        <f aca="false">SUMIFS(Vendor_Invoices_AP!$E$2:$E$882,Vendor_Invoices_AP!$B$2:$B$882,A99)</f>
        <v>226.65</v>
      </c>
      <c r="H99" s="16" t="str">
        <f aca="false">IF(F99=0,"Not Received","Received")</f>
        <v>Received</v>
      </c>
      <c r="I99" s="16" t="str">
        <f aca="false">IF(G99=0,"Not Invoiced","Invoiced")</f>
        <v>Invoiced</v>
      </c>
      <c r="J99" s="18" t="n">
        <f aca="false">E99-F99</f>
        <v>0</v>
      </c>
      <c r="K99" s="18" t="n">
        <f aca="false">E99-G99</f>
        <v>0</v>
      </c>
      <c r="L99" s="16" t="str">
        <f aca="false">IF(OR(AND(I99="Invoiced",H99="Not Received"),AND(F99&gt;0,ABS(J99)&gt;Assumptions!$B$6),AND(G99&gt;0,ABS(K99)&gt;Assumptions!$B$6)),"EXCEPTION","OK")</f>
        <v>OK</v>
      </c>
    </row>
    <row r="100" customFormat="false" ht="15" hidden="false" customHeight="false" outlineLevel="0" collapsed="false">
      <c r="A100" s="16" t="str">
        <f aca="false">Purchase_Orders!A97</f>
        <v>PO10096</v>
      </c>
      <c r="B100" s="16" t="str">
        <f aca="false">Purchase_Orders!B97</f>
        <v>V1006</v>
      </c>
      <c r="C100" s="16" t="str">
        <f aca="false">IFERROR(INDEX(Vendor_Master!$B$2:$B$41,MATCH(B100,Vendor_Master!$A$2:$A$41,0)),"Unknown Vendor")</f>
        <v>Blake and Sons</v>
      </c>
      <c r="D100" s="17" t="n">
        <f aca="false">Purchase_Orders!C97</f>
        <v>45685</v>
      </c>
      <c r="E100" s="18" t="n">
        <f aca="false">Purchase_Orders!D97</f>
        <v>814.32</v>
      </c>
      <c r="F100" s="18" t="n">
        <f aca="false">SUMIFS(Goods_Receipt_Notes!$D$2:$D$791,Goods_Receipt_Notes!$B$2:$B$791,A100)</f>
        <v>814.32</v>
      </c>
      <c r="G100" s="18" t="n">
        <f aca="false">SUMIFS(Vendor_Invoices_AP!$E$2:$E$882,Vendor_Invoices_AP!$B$2:$B$882,A100)</f>
        <v>814.32</v>
      </c>
      <c r="H100" s="16" t="str">
        <f aca="false">IF(F100=0,"Not Received","Received")</f>
        <v>Received</v>
      </c>
      <c r="I100" s="16" t="str">
        <f aca="false">IF(G100=0,"Not Invoiced","Invoiced")</f>
        <v>Invoiced</v>
      </c>
      <c r="J100" s="18" t="n">
        <f aca="false">E100-F100</f>
        <v>0</v>
      </c>
      <c r="K100" s="18" t="n">
        <f aca="false">E100-G100</f>
        <v>0</v>
      </c>
      <c r="L100" s="16" t="str">
        <f aca="false">IF(OR(AND(I100="Invoiced",H100="Not Received"),AND(F100&gt;0,ABS(J100)&gt;Assumptions!$B$6),AND(G100&gt;0,ABS(K100)&gt;Assumptions!$B$6)),"EXCEPTION","OK")</f>
        <v>OK</v>
      </c>
    </row>
    <row r="101" customFormat="false" ht="15" hidden="false" customHeight="false" outlineLevel="0" collapsed="false">
      <c r="A101" s="16" t="str">
        <f aca="false">Purchase_Orders!A98</f>
        <v>PO10097</v>
      </c>
      <c r="B101" s="16" t="str">
        <f aca="false">Purchase_Orders!B98</f>
        <v>V1031</v>
      </c>
      <c r="C101" s="16" t="str">
        <f aca="false">IFERROR(INDEX(Vendor_Master!$B$2:$B$41,MATCH(B101,Vendor_Master!$A$2:$A$41,0)),"Unknown Vendor")</f>
        <v>Harrell LLC</v>
      </c>
      <c r="D101" s="17" t="n">
        <f aca="false">Purchase_Orders!C98</f>
        <v>45793</v>
      </c>
      <c r="E101" s="18" t="n">
        <f aca="false">Purchase_Orders!D98</f>
        <v>1618.39</v>
      </c>
      <c r="F101" s="18" t="n">
        <f aca="false">SUMIFS(Goods_Receipt_Notes!$D$2:$D$791,Goods_Receipt_Notes!$B$2:$B$791,A101)</f>
        <v>1618.39</v>
      </c>
      <c r="G101" s="18" t="n">
        <f aca="false">SUMIFS(Vendor_Invoices_AP!$E$2:$E$882,Vendor_Invoices_AP!$B$2:$B$882,A101)</f>
        <v>1618.39</v>
      </c>
      <c r="H101" s="16" t="str">
        <f aca="false">IF(F101=0,"Not Received","Received")</f>
        <v>Received</v>
      </c>
      <c r="I101" s="16" t="str">
        <f aca="false">IF(G101=0,"Not Invoiced","Invoiced")</f>
        <v>Invoiced</v>
      </c>
      <c r="J101" s="18" t="n">
        <f aca="false">E101-F101</f>
        <v>0</v>
      </c>
      <c r="K101" s="18" t="n">
        <f aca="false">E101-G101</f>
        <v>0</v>
      </c>
      <c r="L101" s="16" t="str">
        <f aca="false">IF(OR(AND(I101="Invoiced",H101="Not Received"),AND(F101&gt;0,ABS(J101)&gt;Assumptions!$B$6),AND(G101&gt;0,ABS(K101)&gt;Assumptions!$B$6)),"EXCEPTION","OK")</f>
        <v>OK</v>
      </c>
    </row>
    <row r="102" customFormat="false" ht="15" hidden="false" customHeight="false" outlineLevel="0" collapsed="false">
      <c r="A102" s="16" t="str">
        <f aca="false">Purchase_Orders!A99</f>
        <v>PO10098</v>
      </c>
      <c r="B102" s="16" t="str">
        <f aca="false">Purchase_Orders!B99</f>
        <v>V1029</v>
      </c>
      <c r="C102" s="16" t="str">
        <f aca="false">IFERROR(INDEX(Vendor_Master!$B$2:$B$41,MATCH(B102,Vendor_Master!$A$2:$A$41,0)),"Unknown Vendor")</f>
        <v>Chavez Ltd</v>
      </c>
      <c r="D102" s="17" t="n">
        <f aca="false">Purchase_Orders!C99</f>
        <v>46120</v>
      </c>
      <c r="E102" s="18" t="n">
        <f aca="false">Purchase_Orders!D99</f>
        <v>994</v>
      </c>
      <c r="F102" s="18" t="n">
        <f aca="false">SUMIFS(Goods_Receipt_Notes!$D$2:$D$791,Goods_Receipt_Notes!$B$2:$B$791,A102)</f>
        <v>994</v>
      </c>
      <c r="G102" s="18" t="n">
        <f aca="false">SUMIFS(Vendor_Invoices_AP!$E$2:$E$882,Vendor_Invoices_AP!$B$2:$B$882,A102)</f>
        <v>994</v>
      </c>
      <c r="H102" s="16" t="str">
        <f aca="false">IF(F102=0,"Not Received","Received")</f>
        <v>Received</v>
      </c>
      <c r="I102" s="16" t="str">
        <f aca="false">IF(G102=0,"Not Invoiced","Invoiced")</f>
        <v>Invoiced</v>
      </c>
      <c r="J102" s="18" t="n">
        <f aca="false">E102-F102</f>
        <v>0</v>
      </c>
      <c r="K102" s="18" t="n">
        <f aca="false">E102-G102</f>
        <v>0</v>
      </c>
      <c r="L102" s="16" t="str">
        <f aca="false">IF(OR(AND(I102="Invoiced",H102="Not Received"),AND(F102&gt;0,ABS(J102)&gt;Assumptions!$B$6),AND(G102&gt;0,ABS(K102)&gt;Assumptions!$B$6)),"EXCEPTION","OK")</f>
        <v>OK</v>
      </c>
    </row>
    <row r="103" customFormat="false" ht="15" hidden="false" customHeight="false" outlineLevel="0" collapsed="false">
      <c r="A103" s="16" t="str">
        <f aca="false">Purchase_Orders!A100</f>
        <v>PO10099</v>
      </c>
      <c r="B103" s="16" t="str">
        <f aca="false">Purchase_Orders!B100</f>
        <v>V1009</v>
      </c>
      <c r="C103" s="16" t="str">
        <f aca="false">IFERROR(INDEX(Vendor_Master!$B$2:$B$41,MATCH(B103,Vendor_Master!$A$2:$A$41,0)),"Unknown Vendor")</f>
        <v>Munoz-Roman</v>
      </c>
      <c r="D103" s="17" t="n">
        <f aca="false">Purchase_Orders!C100</f>
        <v>45906</v>
      </c>
      <c r="E103" s="18" t="n">
        <f aca="false">Purchase_Orders!D100</f>
        <v>456.94</v>
      </c>
      <c r="F103" s="18" t="n">
        <f aca="false">SUMIFS(Goods_Receipt_Notes!$D$2:$D$791,Goods_Receipt_Notes!$B$2:$B$791,A103)</f>
        <v>456.94</v>
      </c>
      <c r="G103" s="18" t="n">
        <f aca="false">SUMIFS(Vendor_Invoices_AP!$E$2:$E$882,Vendor_Invoices_AP!$B$2:$B$882,A103)</f>
        <v>456.94</v>
      </c>
      <c r="H103" s="16" t="str">
        <f aca="false">IF(F103=0,"Not Received","Received")</f>
        <v>Received</v>
      </c>
      <c r="I103" s="16" t="str">
        <f aca="false">IF(G103=0,"Not Invoiced","Invoiced")</f>
        <v>Invoiced</v>
      </c>
      <c r="J103" s="18" t="n">
        <f aca="false">E103-F103</f>
        <v>0</v>
      </c>
      <c r="K103" s="18" t="n">
        <f aca="false">E103-G103</f>
        <v>0</v>
      </c>
      <c r="L103" s="16" t="str">
        <f aca="false">IF(OR(AND(I103="Invoiced",H103="Not Received"),AND(F103&gt;0,ABS(J103)&gt;Assumptions!$B$6),AND(G103&gt;0,ABS(K103)&gt;Assumptions!$B$6)),"EXCEPTION","OK")</f>
        <v>OK</v>
      </c>
    </row>
    <row r="104" customFormat="false" ht="15" hidden="false" customHeight="false" outlineLevel="0" collapsed="false">
      <c r="A104" s="16" t="str">
        <f aca="false">Purchase_Orders!A101</f>
        <v>PO10100</v>
      </c>
      <c r="B104" s="16" t="str">
        <f aca="false">Purchase_Orders!B101</f>
        <v>V1006</v>
      </c>
      <c r="C104" s="16" t="str">
        <f aca="false">IFERROR(INDEX(Vendor_Master!$B$2:$B$41,MATCH(B104,Vendor_Master!$A$2:$A$41,0)),"Unknown Vendor")</f>
        <v>Blake and Sons</v>
      </c>
      <c r="D104" s="17" t="n">
        <f aca="false">Purchase_Orders!C101</f>
        <v>46094</v>
      </c>
      <c r="E104" s="18" t="n">
        <f aca="false">Purchase_Orders!D101</f>
        <v>3515.6</v>
      </c>
      <c r="F104" s="18" t="n">
        <f aca="false">SUMIFS(Goods_Receipt_Notes!$D$2:$D$791,Goods_Receipt_Notes!$B$2:$B$791,A104)</f>
        <v>3515.6</v>
      </c>
      <c r="G104" s="18" t="n">
        <f aca="false">SUMIFS(Vendor_Invoices_AP!$E$2:$E$882,Vendor_Invoices_AP!$B$2:$B$882,A104)</f>
        <v>3515.6</v>
      </c>
      <c r="H104" s="16" t="str">
        <f aca="false">IF(F104=0,"Not Received","Received")</f>
        <v>Received</v>
      </c>
      <c r="I104" s="16" t="str">
        <f aca="false">IF(G104=0,"Not Invoiced","Invoiced")</f>
        <v>Invoiced</v>
      </c>
      <c r="J104" s="18" t="n">
        <f aca="false">E104-F104</f>
        <v>0</v>
      </c>
      <c r="K104" s="18" t="n">
        <f aca="false">E104-G104</f>
        <v>0</v>
      </c>
      <c r="L104" s="16" t="str">
        <f aca="false">IF(OR(AND(I104="Invoiced",H104="Not Received"),AND(F104&gt;0,ABS(J104)&gt;Assumptions!$B$6),AND(G104&gt;0,ABS(K104)&gt;Assumptions!$B$6)),"EXCEPTION","OK")</f>
        <v>OK</v>
      </c>
    </row>
    <row r="105" customFormat="false" ht="15" hidden="false" customHeight="false" outlineLevel="0" collapsed="false">
      <c r="A105" s="16" t="str">
        <f aca="false">Purchase_Orders!A102</f>
        <v>PO10101</v>
      </c>
      <c r="B105" s="16" t="str">
        <f aca="false">Purchase_Orders!B102</f>
        <v>V1018</v>
      </c>
      <c r="C105" s="16" t="str">
        <f aca="false">IFERROR(INDEX(Vendor_Master!$B$2:$B$41,MATCH(B105,Vendor_Master!$A$2:$A$41,0)),"Unknown Vendor")</f>
        <v>Underwood LLC</v>
      </c>
      <c r="D105" s="17" t="n">
        <f aca="false">Purchase_Orders!C102</f>
        <v>46021</v>
      </c>
      <c r="E105" s="18" t="n">
        <f aca="false">Purchase_Orders!D102</f>
        <v>702.04</v>
      </c>
      <c r="F105" s="18" t="n">
        <f aca="false">SUMIFS(Goods_Receipt_Notes!$D$2:$D$791,Goods_Receipt_Notes!$B$2:$B$791,A105)</f>
        <v>702.04</v>
      </c>
      <c r="G105" s="18" t="n">
        <f aca="false">SUMIFS(Vendor_Invoices_AP!$E$2:$E$882,Vendor_Invoices_AP!$B$2:$B$882,A105)</f>
        <v>702.04</v>
      </c>
      <c r="H105" s="16" t="str">
        <f aca="false">IF(F105=0,"Not Received","Received")</f>
        <v>Received</v>
      </c>
      <c r="I105" s="16" t="str">
        <f aca="false">IF(G105=0,"Not Invoiced","Invoiced")</f>
        <v>Invoiced</v>
      </c>
      <c r="J105" s="18" t="n">
        <f aca="false">E105-F105</f>
        <v>0</v>
      </c>
      <c r="K105" s="18" t="n">
        <f aca="false">E105-G105</f>
        <v>0</v>
      </c>
      <c r="L105" s="16" t="str">
        <f aca="false">IF(OR(AND(I105="Invoiced",H105="Not Received"),AND(F105&gt;0,ABS(J105)&gt;Assumptions!$B$6),AND(G105&gt;0,ABS(K105)&gt;Assumptions!$B$6)),"EXCEPTION","OK")</f>
        <v>OK</v>
      </c>
    </row>
    <row r="106" customFormat="false" ht="15" hidden="false" customHeight="false" outlineLevel="0" collapsed="false">
      <c r="A106" s="16" t="str">
        <f aca="false">Purchase_Orders!A103</f>
        <v>PO10102</v>
      </c>
      <c r="B106" s="16" t="str">
        <f aca="false">Purchase_Orders!B103</f>
        <v>V1023</v>
      </c>
      <c r="C106" s="16" t="str">
        <f aca="false">IFERROR(INDEX(Vendor_Master!$B$2:$B$41,MATCH(B106,Vendor_Master!$A$2:$A$41,0)),"Unknown Vendor")</f>
        <v>Robinson-Bright</v>
      </c>
      <c r="D106" s="17" t="n">
        <f aca="false">Purchase_Orders!C103</f>
        <v>46196</v>
      </c>
      <c r="E106" s="18" t="n">
        <f aca="false">Purchase_Orders!D103</f>
        <v>582.3</v>
      </c>
      <c r="F106" s="18" t="n">
        <f aca="false">SUMIFS(Goods_Receipt_Notes!$D$2:$D$791,Goods_Receipt_Notes!$B$2:$B$791,A106)</f>
        <v>582.3</v>
      </c>
      <c r="G106" s="18" t="n">
        <f aca="false">SUMIFS(Vendor_Invoices_AP!$E$2:$E$882,Vendor_Invoices_AP!$B$2:$B$882,A106)</f>
        <v>582.3</v>
      </c>
      <c r="H106" s="16" t="str">
        <f aca="false">IF(F106=0,"Not Received","Received")</f>
        <v>Received</v>
      </c>
      <c r="I106" s="16" t="str">
        <f aca="false">IF(G106=0,"Not Invoiced","Invoiced")</f>
        <v>Invoiced</v>
      </c>
      <c r="J106" s="18" t="n">
        <f aca="false">E106-F106</f>
        <v>0</v>
      </c>
      <c r="K106" s="18" t="n">
        <f aca="false">E106-G106</f>
        <v>0</v>
      </c>
      <c r="L106" s="16" t="str">
        <f aca="false">IF(OR(AND(I106="Invoiced",H106="Not Received"),AND(F106&gt;0,ABS(J106)&gt;Assumptions!$B$6),AND(G106&gt;0,ABS(K106)&gt;Assumptions!$B$6)),"EXCEPTION","OK")</f>
        <v>OK</v>
      </c>
    </row>
    <row r="107" customFormat="false" ht="15" hidden="false" customHeight="false" outlineLevel="0" collapsed="false">
      <c r="A107" s="16" t="str">
        <f aca="false">Purchase_Orders!A104</f>
        <v>PO10103</v>
      </c>
      <c r="B107" s="16" t="str">
        <f aca="false">Purchase_Orders!B104</f>
        <v>V1006</v>
      </c>
      <c r="C107" s="16" t="str">
        <f aca="false">IFERROR(INDEX(Vendor_Master!$B$2:$B$41,MATCH(B107,Vendor_Master!$A$2:$A$41,0)),"Unknown Vendor")</f>
        <v>Blake and Sons</v>
      </c>
      <c r="D107" s="17" t="n">
        <f aca="false">Purchase_Orders!C104</f>
        <v>45982</v>
      </c>
      <c r="E107" s="18" t="n">
        <f aca="false">Purchase_Orders!D104</f>
        <v>2184.66</v>
      </c>
      <c r="F107" s="18" t="n">
        <f aca="false">SUMIFS(Goods_Receipt_Notes!$D$2:$D$791,Goods_Receipt_Notes!$B$2:$B$791,A107)</f>
        <v>2184.66</v>
      </c>
      <c r="G107" s="18" t="n">
        <f aca="false">SUMIFS(Vendor_Invoices_AP!$E$2:$E$882,Vendor_Invoices_AP!$B$2:$B$882,A107)</f>
        <v>2184.66</v>
      </c>
      <c r="H107" s="16" t="str">
        <f aca="false">IF(F107=0,"Not Received","Received")</f>
        <v>Received</v>
      </c>
      <c r="I107" s="16" t="str">
        <f aca="false">IF(G107=0,"Not Invoiced","Invoiced")</f>
        <v>Invoiced</v>
      </c>
      <c r="J107" s="18" t="n">
        <f aca="false">E107-F107</f>
        <v>0</v>
      </c>
      <c r="K107" s="18" t="n">
        <f aca="false">E107-G107</f>
        <v>0</v>
      </c>
      <c r="L107" s="16" t="str">
        <f aca="false">IF(OR(AND(I107="Invoiced",H107="Not Received"),AND(F107&gt;0,ABS(J107)&gt;Assumptions!$B$6),AND(G107&gt;0,ABS(K107)&gt;Assumptions!$B$6)),"EXCEPTION","OK")</f>
        <v>OK</v>
      </c>
    </row>
    <row r="108" customFormat="false" ht="15" hidden="false" customHeight="false" outlineLevel="0" collapsed="false">
      <c r="A108" s="16" t="str">
        <f aca="false">Purchase_Orders!A105</f>
        <v>PO10104</v>
      </c>
      <c r="B108" s="16" t="str">
        <f aca="false">Purchase_Orders!B105</f>
        <v>V1005</v>
      </c>
      <c r="C108" s="16" t="str">
        <f aca="false">IFERROR(INDEX(Vendor_Master!$B$2:$B$41,MATCH(B108,Vendor_Master!$A$2:$A$41,0)),"Unknown Vendor")</f>
        <v>Cole LLC</v>
      </c>
      <c r="D108" s="17" t="n">
        <f aca="false">Purchase_Orders!C105</f>
        <v>46175</v>
      </c>
      <c r="E108" s="18" t="n">
        <f aca="false">Purchase_Orders!D105</f>
        <v>563.83</v>
      </c>
      <c r="F108" s="18" t="n">
        <f aca="false">SUMIFS(Goods_Receipt_Notes!$D$2:$D$791,Goods_Receipt_Notes!$B$2:$B$791,A108)</f>
        <v>563.83</v>
      </c>
      <c r="G108" s="18" t="n">
        <f aca="false">SUMIFS(Vendor_Invoices_AP!$E$2:$E$882,Vendor_Invoices_AP!$B$2:$B$882,A108)</f>
        <v>563.83</v>
      </c>
      <c r="H108" s="16" t="str">
        <f aca="false">IF(F108=0,"Not Received","Received")</f>
        <v>Received</v>
      </c>
      <c r="I108" s="16" t="str">
        <f aca="false">IF(G108=0,"Not Invoiced","Invoiced")</f>
        <v>Invoiced</v>
      </c>
      <c r="J108" s="18" t="n">
        <f aca="false">E108-F108</f>
        <v>0</v>
      </c>
      <c r="K108" s="18" t="n">
        <f aca="false">E108-G108</f>
        <v>0</v>
      </c>
      <c r="L108" s="16" t="str">
        <f aca="false">IF(OR(AND(I108="Invoiced",H108="Not Received"),AND(F108&gt;0,ABS(J108)&gt;Assumptions!$B$6),AND(G108&gt;0,ABS(K108)&gt;Assumptions!$B$6)),"EXCEPTION","OK")</f>
        <v>OK</v>
      </c>
    </row>
    <row r="109" customFormat="false" ht="15" hidden="false" customHeight="false" outlineLevel="0" collapsed="false">
      <c r="A109" s="16" t="str">
        <f aca="false">Purchase_Orders!A106</f>
        <v>PO10105</v>
      </c>
      <c r="B109" s="16" t="str">
        <f aca="false">Purchase_Orders!B106</f>
        <v>V1023</v>
      </c>
      <c r="C109" s="16" t="str">
        <f aca="false">IFERROR(INDEX(Vendor_Master!$B$2:$B$41,MATCH(B109,Vendor_Master!$A$2:$A$41,0)),"Unknown Vendor")</f>
        <v>Robinson-Bright</v>
      </c>
      <c r="D109" s="17" t="n">
        <f aca="false">Purchase_Orders!C106</f>
        <v>46143</v>
      </c>
      <c r="E109" s="18" t="n">
        <f aca="false">Purchase_Orders!D106</f>
        <v>3835.01</v>
      </c>
      <c r="F109" s="18" t="n">
        <f aca="false">SUMIFS(Goods_Receipt_Notes!$D$2:$D$791,Goods_Receipt_Notes!$B$2:$B$791,A109)</f>
        <v>3835.01</v>
      </c>
      <c r="G109" s="18" t="n">
        <f aca="false">SUMIFS(Vendor_Invoices_AP!$E$2:$E$882,Vendor_Invoices_AP!$B$2:$B$882,A109)</f>
        <v>3835.01</v>
      </c>
      <c r="H109" s="16" t="str">
        <f aca="false">IF(F109=0,"Not Received","Received")</f>
        <v>Received</v>
      </c>
      <c r="I109" s="16" t="str">
        <f aca="false">IF(G109=0,"Not Invoiced","Invoiced")</f>
        <v>Invoiced</v>
      </c>
      <c r="J109" s="18" t="n">
        <f aca="false">E109-F109</f>
        <v>0</v>
      </c>
      <c r="K109" s="18" t="n">
        <f aca="false">E109-G109</f>
        <v>0</v>
      </c>
      <c r="L109" s="16" t="str">
        <f aca="false">IF(OR(AND(I109="Invoiced",H109="Not Received"),AND(F109&gt;0,ABS(J109)&gt;Assumptions!$B$6),AND(G109&gt;0,ABS(K109)&gt;Assumptions!$B$6)),"EXCEPTION","OK")</f>
        <v>OK</v>
      </c>
    </row>
    <row r="110" customFormat="false" ht="15" hidden="false" customHeight="false" outlineLevel="0" collapsed="false">
      <c r="A110" s="16" t="str">
        <f aca="false">Purchase_Orders!A107</f>
        <v>PO10106</v>
      </c>
      <c r="B110" s="16" t="str">
        <f aca="false">Purchase_Orders!B107</f>
        <v>V1035</v>
      </c>
      <c r="C110" s="16" t="str">
        <f aca="false">IFERROR(INDEX(Vendor_Master!$B$2:$B$41,MATCH(B110,Vendor_Master!$A$2:$A$41,0)),"Unknown Vendor")</f>
        <v>Allen PLC</v>
      </c>
      <c r="D110" s="17" t="n">
        <f aca="false">Purchase_Orders!C107</f>
        <v>45991</v>
      </c>
      <c r="E110" s="18" t="n">
        <f aca="false">Purchase_Orders!D107</f>
        <v>402.4</v>
      </c>
      <c r="F110" s="18" t="n">
        <f aca="false">SUMIFS(Goods_Receipt_Notes!$D$2:$D$791,Goods_Receipt_Notes!$B$2:$B$791,A110)</f>
        <v>402.4</v>
      </c>
      <c r="G110" s="18" t="n">
        <f aca="false">SUMIFS(Vendor_Invoices_AP!$E$2:$E$882,Vendor_Invoices_AP!$B$2:$B$882,A110)</f>
        <v>402.4</v>
      </c>
      <c r="H110" s="16" t="str">
        <f aca="false">IF(F110=0,"Not Received","Received")</f>
        <v>Received</v>
      </c>
      <c r="I110" s="16" t="str">
        <f aca="false">IF(G110=0,"Not Invoiced","Invoiced")</f>
        <v>Invoiced</v>
      </c>
      <c r="J110" s="18" t="n">
        <f aca="false">E110-F110</f>
        <v>0</v>
      </c>
      <c r="K110" s="18" t="n">
        <f aca="false">E110-G110</f>
        <v>0</v>
      </c>
      <c r="L110" s="16" t="str">
        <f aca="false">IF(OR(AND(I110="Invoiced",H110="Not Received"),AND(F110&gt;0,ABS(J110)&gt;Assumptions!$B$6),AND(G110&gt;0,ABS(K110)&gt;Assumptions!$B$6)),"EXCEPTION","OK")</f>
        <v>OK</v>
      </c>
    </row>
    <row r="111" customFormat="false" ht="15" hidden="false" customHeight="false" outlineLevel="0" collapsed="false">
      <c r="A111" s="16" t="str">
        <f aca="false">Purchase_Orders!A108</f>
        <v>PO10107</v>
      </c>
      <c r="B111" s="16" t="str">
        <f aca="false">Purchase_Orders!B108</f>
        <v>V1004</v>
      </c>
      <c r="C111" s="16" t="str">
        <f aca="false">IFERROR(INDEX(Vendor_Master!$B$2:$B$41,MATCH(B111,Vendor_Master!$A$2:$A$41,0)),"Unknown Vendor")</f>
        <v>Johnson, Gonzalez and Santos</v>
      </c>
      <c r="D111" s="17" t="n">
        <f aca="false">Purchase_Orders!C108</f>
        <v>46050</v>
      </c>
      <c r="E111" s="18" t="n">
        <f aca="false">Purchase_Orders!D108</f>
        <v>1590.35</v>
      </c>
      <c r="F111" s="18" t="n">
        <f aca="false">SUMIFS(Goods_Receipt_Notes!$D$2:$D$791,Goods_Receipt_Notes!$B$2:$B$791,A111)</f>
        <v>1590.35</v>
      </c>
      <c r="G111" s="18" t="n">
        <f aca="false">SUMIFS(Vendor_Invoices_AP!$E$2:$E$882,Vendor_Invoices_AP!$B$2:$B$882,A111)</f>
        <v>3180.7</v>
      </c>
      <c r="H111" s="16" t="str">
        <f aca="false">IF(F111=0,"Not Received","Received")</f>
        <v>Received</v>
      </c>
      <c r="I111" s="16" t="str">
        <f aca="false">IF(G111=0,"Not Invoiced","Invoiced")</f>
        <v>Invoiced</v>
      </c>
      <c r="J111" s="18" t="n">
        <f aca="false">E111-F111</f>
        <v>0</v>
      </c>
      <c r="K111" s="18" t="n">
        <f aca="false">E111-G111</f>
        <v>-1590.35</v>
      </c>
      <c r="L111" s="16" t="str">
        <f aca="false">IF(OR(AND(I111="Invoiced",H111="Not Received"),AND(F111&gt;0,ABS(J111)&gt;Assumptions!$B$6),AND(G111&gt;0,ABS(K111)&gt;Assumptions!$B$6)),"EXCEPTION","OK")</f>
        <v>EXCEPTION</v>
      </c>
    </row>
    <row r="112" customFormat="false" ht="15" hidden="false" customHeight="false" outlineLevel="0" collapsed="false">
      <c r="A112" s="16" t="str">
        <f aca="false">Purchase_Orders!A109</f>
        <v>PO10108</v>
      </c>
      <c r="B112" s="16" t="str">
        <f aca="false">Purchase_Orders!B109</f>
        <v>V1012</v>
      </c>
      <c r="C112" s="16" t="str">
        <f aca="false">IFERROR(INDEX(Vendor_Master!$B$2:$B$41,MATCH(B112,Vendor_Master!$A$2:$A$41,0)),"Unknown Vendor")</f>
        <v>Stanley LLC</v>
      </c>
      <c r="D112" s="17" t="n">
        <f aca="false">Purchase_Orders!C109</f>
        <v>45933</v>
      </c>
      <c r="E112" s="18" t="n">
        <f aca="false">Purchase_Orders!D109</f>
        <v>816.15</v>
      </c>
      <c r="F112" s="18" t="n">
        <f aca="false">SUMIFS(Goods_Receipt_Notes!$D$2:$D$791,Goods_Receipt_Notes!$B$2:$B$791,A112)</f>
        <v>816.15</v>
      </c>
      <c r="G112" s="18" t="n">
        <f aca="false">SUMIFS(Vendor_Invoices_AP!$E$2:$E$882,Vendor_Invoices_AP!$B$2:$B$882,A112)</f>
        <v>816.15</v>
      </c>
      <c r="H112" s="16" t="str">
        <f aca="false">IF(F112=0,"Not Received","Received")</f>
        <v>Received</v>
      </c>
      <c r="I112" s="16" t="str">
        <f aca="false">IF(G112=0,"Not Invoiced","Invoiced")</f>
        <v>Invoiced</v>
      </c>
      <c r="J112" s="18" t="n">
        <f aca="false">E112-F112</f>
        <v>0</v>
      </c>
      <c r="K112" s="18" t="n">
        <f aca="false">E112-G112</f>
        <v>0</v>
      </c>
      <c r="L112" s="16" t="str">
        <f aca="false">IF(OR(AND(I112="Invoiced",H112="Not Received"),AND(F112&gt;0,ABS(J112)&gt;Assumptions!$B$6),AND(G112&gt;0,ABS(K112)&gt;Assumptions!$B$6)),"EXCEPTION","OK")</f>
        <v>OK</v>
      </c>
    </row>
    <row r="113" customFormat="false" ht="15" hidden="false" customHeight="false" outlineLevel="0" collapsed="false">
      <c r="A113" s="16" t="str">
        <f aca="false">Purchase_Orders!A110</f>
        <v>PO10109</v>
      </c>
      <c r="B113" s="16" t="str">
        <f aca="false">Purchase_Orders!B110</f>
        <v>V1012</v>
      </c>
      <c r="C113" s="16" t="str">
        <f aca="false">IFERROR(INDEX(Vendor_Master!$B$2:$B$41,MATCH(B113,Vendor_Master!$A$2:$A$41,0)),"Unknown Vendor")</f>
        <v>Stanley LLC</v>
      </c>
      <c r="D113" s="17" t="n">
        <f aca="false">Purchase_Orders!C110</f>
        <v>46110</v>
      </c>
      <c r="E113" s="18" t="n">
        <f aca="false">Purchase_Orders!D110</f>
        <v>5798.93</v>
      </c>
      <c r="F113" s="18" t="n">
        <f aca="false">SUMIFS(Goods_Receipt_Notes!$D$2:$D$791,Goods_Receipt_Notes!$B$2:$B$791,A113)</f>
        <v>3503.5</v>
      </c>
      <c r="G113" s="18" t="n">
        <f aca="false">SUMIFS(Vendor_Invoices_AP!$E$2:$E$882,Vendor_Invoices_AP!$B$2:$B$882,A113)</f>
        <v>5798.93</v>
      </c>
      <c r="H113" s="16" t="str">
        <f aca="false">IF(F113=0,"Not Received","Received")</f>
        <v>Received</v>
      </c>
      <c r="I113" s="16" t="str">
        <f aca="false">IF(G113=0,"Not Invoiced","Invoiced")</f>
        <v>Invoiced</v>
      </c>
      <c r="J113" s="18" t="n">
        <f aca="false">E113-F113</f>
        <v>2295.43</v>
      </c>
      <c r="K113" s="18" t="n">
        <f aca="false">E113-G113</f>
        <v>0</v>
      </c>
      <c r="L113" s="16" t="str">
        <f aca="false">IF(OR(AND(I113="Invoiced",H113="Not Received"),AND(F113&gt;0,ABS(J113)&gt;Assumptions!$B$6),AND(G113&gt;0,ABS(K113)&gt;Assumptions!$B$6)),"EXCEPTION","OK")</f>
        <v>EXCEPTION</v>
      </c>
    </row>
    <row r="114" customFormat="false" ht="15" hidden="false" customHeight="false" outlineLevel="0" collapsed="false">
      <c r="A114" s="16" t="str">
        <f aca="false">Purchase_Orders!A111</f>
        <v>PO10110</v>
      </c>
      <c r="B114" s="16" t="str">
        <f aca="false">Purchase_Orders!B111</f>
        <v>V1028</v>
      </c>
      <c r="C114" s="16" t="str">
        <f aca="false">IFERROR(INDEX(Vendor_Master!$B$2:$B$41,MATCH(B114,Vendor_Master!$A$2:$A$41,0)),"Unknown Vendor")</f>
        <v>Potter, Mack and Peterson</v>
      </c>
      <c r="D114" s="17" t="n">
        <f aca="false">Purchase_Orders!C111</f>
        <v>45956</v>
      </c>
      <c r="E114" s="18" t="n">
        <f aca="false">Purchase_Orders!D111</f>
        <v>3177.07</v>
      </c>
      <c r="F114" s="18" t="n">
        <f aca="false">SUMIFS(Goods_Receipt_Notes!$D$2:$D$791,Goods_Receipt_Notes!$B$2:$B$791,A114)</f>
        <v>3177.07</v>
      </c>
      <c r="G114" s="18" t="n">
        <f aca="false">SUMIFS(Vendor_Invoices_AP!$E$2:$E$882,Vendor_Invoices_AP!$B$2:$B$882,A114)</f>
        <v>3177.07</v>
      </c>
      <c r="H114" s="16" t="str">
        <f aca="false">IF(F114=0,"Not Received","Received")</f>
        <v>Received</v>
      </c>
      <c r="I114" s="16" t="str">
        <f aca="false">IF(G114=0,"Not Invoiced","Invoiced")</f>
        <v>Invoiced</v>
      </c>
      <c r="J114" s="18" t="n">
        <f aca="false">E114-F114</f>
        <v>0</v>
      </c>
      <c r="K114" s="18" t="n">
        <f aca="false">E114-G114</f>
        <v>0</v>
      </c>
      <c r="L114" s="16" t="str">
        <f aca="false">IF(OR(AND(I114="Invoiced",H114="Not Received"),AND(F114&gt;0,ABS(J114)&gt;Assumptions!$B$6),AND(G114&gt;0,ABS(K114)&gt;Assumptions!$B$6)),"EXCEPTION","OK")</f>
        <v>OK</v>
      </c>
    </row>
    <row r="115" customFormat="false" ht="15" hidden="false" customHeight="false" outlineLevel="0" collapsed="false">
      <c r="A115" s="16" t="str">
        <f aca="false">Purchase_Orders!A112</f>
        <v>PO10111</v>
      </c>
      <c r="B115" s="16" t="str">
        <f aca="false">Purchase_Orders!B112</f>
        <v>V1017</v>
      </c>
      <c r="C115" s="16" t="str">
        <f aca="false">IFERROR(INDEX(Vendor_Master!$B$2:$B$41,MATCH(B115,Vendor_Master!$A$2:$A$41,0)),"Unknown Vendor")</f>
        <v>Hawkins, Cohen and Cameron</v>
      </c>
      <c r="D115" s="17" t="n">
        <f aca="false">Purchase_Orders!C112</f>
        <v>46146</v>
      </c>
      <c r="E115" s="18" t="n">
        <f aca="false">Purchase_Orders!D112</f>
        <v>2099.16</v>
      </c>
      <c r="F115" s="18" t="n">
        <f aca="false">SUMIFS(Goods_Receipt_Notes!$D$2:$D$791,Goods_Receipt_Notes!$B$2:$B$791,A115)</f>
        <v>2099.16</v>
      </c>
      <c r="G115" s="18" t="n">
        <f aca="false">SUMIFS(Vendor_Invoices_AP!$E$2:$E$882,Vendor_Invoices_AP!$B$2:$B$882,A115)</f>
        <v>2099.16</v>
      </c>
      <c r="H115" s="16" t="str">
        <f aca="false">IF(F115=0,"Not Received","Received")</f>
        <v>Received</v>
      </c>
      <c r="I115" s="16" t="str">
        <f aca="false">IF(G115=0,"Not Invoiced","Invoiced")</f>
        <v>Invoiced</v>
      </c>
      <c r="J115" s="18" t="n">
        <f aca="false">E115-F115</f>
        <v>0</v>
      </c>
      <c r="K115" s="18" t="n">
        <f aca="false">E115-G115</f>
        <v>0</v>
      </c>
      <c r="L115" s="16" t="str">
        <f aca="false">IF(OR(AND(I115="Invoiced",H115="Not Received"),AND(F115&gt;0,ABS(J115)&gt;Assumptions!$B$6),AND(G115&gt;0,ABS(K115)&gt;Assumptions!$B$6)),"EXCEPTION","OK")</f>
        <v>OK</v>
      </c>
    </row>
    <row r="116" customFormat="false" ht="15" hidden="false" customHeight="false" outlineLevel="0" collapsed="false">
      <c r="A116" s="16" t="str">
        <f aca="false">Purchase_Orders!A113</f>
        <v>PO10112</v>
      </c>
      <c r="B116" s="16" t="str">
        <f aca="false">Purchase_Orders!B113</f>
        <v>V1015</v>
      </c>
      <c r="C116" s="16" t="str">
        <f aca="false">IFERROR(INDEX(Vendor_Master!$B$2:$B$41,MATCH(B116,Vendor_Master!$A$2:$A$41,0)),"Unknown Vendor")</f>
        <v>Zuniga, Wong and Lynch</v>
      </c>
      <c r="D116" s="17" t="n">
        <f aca="false">Purchase_Orders!C113</f>
        <v>46063</v>
      </c>
      <c r="E116" s="18" t="n">
        <f aca="false">Purchase_Orders!D113</f>
        <v>2167.65</v>
      </c>
      <c r="F116" s="18" t="n">
        <f aca="false">SUMIFS(Goods_Receipt_Notes!$D$2:$D$791,Goods_Receipt_Notes!$B$2:$B$791,A116)</f>
        <v>2167.65</v>
      </c>
      <c r="G116" s="18" t="n">
        <f aca="false">SUMIFS(Vendor_Invoices_AP!$E$2:$E$882,Vendor_Invoices_AP!$B$2:$B$882,A116)</f>
        <v>2167.65</v>
      </c>
      <c r="H116" s="16" t="str">
        <f aca="false">IF(F116=0,"Not Received","Received")</f>
        <v>Received</v>
      </c>
      <c r="I116" s="16" t="str">
        <f aca="false">IF(G116=0,"Not Invoiced","Invoiced")</f>
        <v>Invoiced</v>
      </c>
      <c r="J116" s="18" t="n">
        <f aca="false">E116-F116</f>
        <v>0</v>
      </c>
      <c r="K116" s="18" t="n">
        <f aca="false">E116-G116</f>
        <v>0</v>
      </c>
      <c r="L116" s="16" t="str">
        <f aca="false">IF(OR(AND(I116="Invoiced",H116="Not Received"),AND(F116&gt;0,ABS(J116)&gt;Assumptions!$B$6),AND(G116&gt;0,ABS(K116)&gt;Assumptions!$B$6)),"EXCEPTION","OK")</f>
        <v>OK</v>
      </c>
    </row>
    <row r="117" customFormat="false" ht="15" hidden="false" customHeight="false" outlineLevel="0" collapsed="false">
      <c r="A117" s="16" t="str">
        <f aca="false">Purchase_Orders!A114</f>
        <v>PO10113</v>
      </c>
      <c r="B117" s="16" t="str">
        <f aca="false">Purchase_Orders!B114</f>
        <v>V1018</v>
      </c>
      <c r="C117" s="16" t="str">
        <f aca="false">IFERROR(INDEX(Vendor_Master!$B$2:$B$41,MATCH(B117,Vendor_Master!$A$2:$A$41,0)),"Unknown Vendor")</f>
        <v>Underwood LLC</v>
      </c>
      <c r="D117" s="17" t="n">
        <f aca="false">Purchase_Orders!C114</f>
        <v>45916</v>
      </c>
      <c r="E117" s="18" t="n">
        <f aca="false">Purchase_Orders!D114</f>
        <v>865.82</v>
      </c>
      <c r="F117" s="18" t="n">
        <f aca="false">SUMIFS(Goods_Receipt_Notes!$D$2:$D$791,Goods_Receipt_Notes!$B$2:$B$791,A117)</f>
        <v>865.82</v>
      </c>
      <c r="G117" s="18" t="n">
        <f aca="false">SUMIFS(Vendor_Invoices_AP!$E$2:$E$882,Vendor_Invoices_AP!$B$2:$B$882,A117)</f>
        <v>865.82</v>
      </c>
      <c r="H117" s="16" t="str">
        <f aca="false">IF(F117=0,"Not Received","Received")</f>
        <v>Received</v>
      </c>
      <c r="I117" s="16" t="str">
        <f aca="false">IF(G117=0,"Not Invoiced","Invoiced")</f>
        <v>Invoiced</v>
      </c>
      <c r="J117" s="18" t="n">
        <f aca="false">E117-F117</f>
        <v>0</v>
      </c>
      <c r="K117" s="18" t="n">
        <f aca="false">E117-G117</f>
        <v>0</v>
      </c>
      <c r="L117" s="16" t="str">
        <f aca="false">IF(OR(AND(I117="Invoiced",H117="Not Received"),AND(F117&gt;0,ABS(J117)&gt;Assumptions!$B$6),AND(G117&gt;0,ABS(K117)&gt;Assumptions!$B$6)),"EXCEPTION","OK")</f>
        <v>OK</v>
      </c>
    </row>
    <row r="118" customFormat="false" ht="15" hidden="false" customHeight="false" outlineLevel="0" collapsed="false">
      <c r="A118" s="16" t="str">
        <f aca="false">Purchase_Orders!A115</f>
        <v>PO10114</v>
      </c>
      <c r="B118" s="16" t="str">
        <f aca="false">Purchase_Orders!B115</f>
        <v>V1006</v>
      </c>
      <c r="C118" s="16" t="str">
        <f aca="false">IFERROR(INDEX(Vendor_Master!$B$2:$B$41,MATCH(B118,Vendor_Master!$A$2:$A$41,0)),"Unknown Vendor")</f>
        <v>Blake and Sons</v>
      </c>
      <c r="D118" s="17" t="n">
        <f aca="false">Purchase_Orders!C115</f>
        <v>45799</v>
      </c>
      <c r="E118" s="18" t="n">
        <f aca="false">Purchase_Orders!D115</f>
        <v>588.49</v>
      </c>
      <c r="F118" s="18" t="n">
        <f aca="false">SUMIFS(Goods_Receipt_Notes!$D$2:$D$791,Goods_Receipt_Notes!$B$2:$B$791,A118)</f>
        <v>588.49</v>
      </c>
      <c r="G118" s="18" t="n">
        <f aca="false">SUMIFS(Vendor_Invoices_AP!$E$2:$E$882,Vendor_Invoices_AP!$B$2:$B$882,A118)</f>
        <v>588.49</v>
      </c>
      <c r="H118" s="16" t="str">
        <f aca="false">IF(F118=0,"Not Received","Received")</f>
        <v>Received</v>
      </c>
      <c r="I118" s="16" t="str">
        <f aca="false">IF(G118=0,"Not Invoiced","Invoiced")</f>
        <v>Invoiced</v>
      </c>
      <c r="J118" s="18" t="n">
        <f aca="false">E118-F118</f>
        <v>0</v>
      </c>
      <c r="K118" s="18" t="n">
        <f aca="false">E118-G118</f>
        <v>0</v>
      </c>
      <c r="L118" s="16" t="str">
        <f aca="false">IF(OR(AND(I118="Invoiced",H118="Not Received"),AND(F118&gt;0,ABS(J118)&gt;Assumptions!$B$6),AND(G118&gt;0,ABS(K118)&gt;Assumptions!$B$6)),"EXCEPTION","OK")</f>
        <v>OK</v>
      </c>
    </row>
    <row r="119" customFormat="false" ht="15" hidden="false" customHeight="false" outlineLevel="0" collapsed="false">
      <c r="A119" s="16" t="str">
        <f aca="false">Purchase_Orders!A116</f>
        <v>PO10115</v>
      </c>
      <c r="B119" s="16" t="str">
        <f aca="false">Purchase_Orders!B116</f>
        <v>V1038</v>
      </c>
      <c r="C119" s="16" t="str">
        <f aca="false">IFERROR(INDEX(Vendor_Master!$B$2:$B$41,MATCH(B119,Vendor_Master!$A$2:$A$41,0)),"Unknown Vendor")</f>
        <v>Rose-Obrien</v>
      </c>
      <c r="D119" s="17" t="n">
        <f aca="false">Purchase_Orders!C116</f>
        <v>45792</v>
      </c>
      <c r="E119" s="18" t="n">
        <f aca="false">Purchase_Orders!D116</f>
        <v>1755.83</v>
      </c>
      <c r="F119" s="18" t="n">
        <f aca="false">SUMIFS(Goods_Receipt_Notes!$D$2:$D$791,Goods_Receipt_Notes!$B$2:$B$791,A119)</f>
        <v>1755.83</v>
      </c>
      <c r="G119" s="18" t="n">
        <f aca="false">SUMIFS(Vendor_Invoices_AP!$E$2:$E$882,Vendor_Invoices_AP!$B$2:$B$882,A119)</f>
        <v>1755.83</v>
      </c>
      <c r="H119" s="16" t="str">
        <f aca="false">IF(F119=0,"Not Received","Received")</f>
        <v>Received</v>
      </c>
      <c r="I119" s="16" t="str">
        <f aca="false">IF(G119=0,"Not Invoiced","Invoiced")</f>
        <v>Invoiced</v>
      </c>
      <c r="J119" s="18" t="n">
        <f aca="false">E119-F119</f>
        <v>0</v>
      </c>
      <c r="K119" s="18" t="n">
        <f aca="false">E119-G119</f>
        <v>0</v>
      </c>
      <c r="L119" s="16" t="str">
        <f aca="false">IF(OR(AND(I119="Invoiced",H119="Not Received"),AND(F119&gt;0,ABS(J119)&gt;Assumptions!$B$6),AND(G119&gt;0,ABS(K119)&gt;Assumptions!$B$6)),"EXCEPTION","OK")</f>
        <v>OK</v>
      </c>
    </row>
    <row r="120" customFormat="false" ht="15" hidden="false" customHeight="false" outlineLevel="0" collapsed="false">
      <c r="A120" s="16" t="str">
        <f aca="false">Purchase_Orders!A117</f>
        <v>PO10116</v>
      </c>
      <c r="B120" s="16" t="str">
        <f aca="false">Purchase_Orders!B117</f>
        <v>V1026</v>
      </c>
      <c r="C120" s="16" t="str">
        <f aca="false">IFERROR(INDEX(Vendor_Master!$B$2:$B$41,MATCH(B120,Vendor_Master!$A$2:$A$41,0)),"Unknown Vendor")</f>
        <v>James-Ferrell</v>
      </c>
      <c r="D120" s="17" t="n">
        <f aca="false">Purchase_Orders!C117</f>
        <v>46005</v>
      </c>
      <c r="E120" s="18" t="n">
        <f aca="false">Purchase_Orders!D117</f>
        <v>946.66</v>
      </c>
      <c r="F120" s="18" t="n">
        <f aca="false">SUMIFS(Goods_Receipt_Notes!$D$2:$D$791,Goods_Receipt_Notes!$B$2:$B$791,A120)</f>
        <v>946.66</v>
      </c>
      <c r="G120" s="18" t="n">
        <f aca="false">SUMIFS(Vendor_Invoices_AP!$E$2:$E$882,Vendor_Invoices_AP!$B$2:$B$882,A120)</f>
        <v>946.66</v>
      </c>
      <c r="H120" s="16" t="str">
        <f aca="false">IF(F120=0,"Not Received","Received")</f>
        <v>Received</v>
      </c>
      <c r="I120" s="16" t="str">
        <f aca="false">IF(G120=0,"Not Invoiced","Invoiced")</f>
        <v>Invoiced</v>
      </c>
      <c r="J120" s="18" t="n">
        <f aca="false">E120-F120</f>
        <v>0</v>
      </c>
      <c r="K120" s="18" t="n">
        <f aca="false">E120-G120</f>
        <v>0</v>
      </c>
      <c r="L120" s="16" t="str">
        <f aca="false">IF(OR(AND(I120="Invoiced",H120="Not Received"),AND(F120&gt;0,ABS(J120)&gt;Assumptions!$B$6),AND(G120&gt;0,ABS(K120)&gt;Assumptions!$B$6)),"EXCEPTION","OK")</f>
        <v>OK</v>
      </c>
    </row>
    <row r="121" customFormat="false" ht="15" hidden="false" customHeight="false" outlineLevel="0" collapsed="false">
      <c r="A121" s="16" t="str">
        <f aca="false">Purchase_Orders!A118</f>
        <v>PO10117</v>
      </c>
      <c r="B121" s="16" t="str">
        <f aca="false">Purchase_Orders!B118</f>
        <v>V1027</v>
      </c>
      <c r="C121" s="16" t="str">
        <f aca="false">IFERROR(INDEX(Vendor_Master!$B$2:$B$41,MATCH(B121,Vendor_Master!$A$2:$A$41,0)),"Unknown Vendor")</f>
        <v>Valencia, Smith and Le</v>
      </c>
      <c r="D121" s="17" t="n">
        <f aca="false">Purchase_Orders!C118</f>
        <v>46075</v>
      </c>
      <c r="E121" s="18" t="n">
        <f aca="false">Purchase_Orders!D118</f>
        <v>17767.35</v>
      </c>
      <c r="F121" s="18" t="n">
        <f aca="false">SUMIFS(Goods_Receipt_Notes!$D$2:$D$791,Goods_Receipt_Notes!$B$2:$B$791,A121)</f>
        <v>17767.35</v>
      </c>
      <c r="G121" s="18" t="n">
        <f aca="false">SUMIFS(Vendor_Invoices_AP!$E$2:$E$882,Vendor_Invoices_AP!$B$2:$B$882,A121)</f>
        <v>17767.35</v>
      </c>
      <c r="H121" s="16" t="str">
        <f aca="false">IF(F121=0,"Not Received","Received")</f>
        <v>Received</v>
      </c>
      <c r="I121" s="16" t="str">
        <f aca="false">IF(G121=0,"Not Invoiced","Invoiced")</f>
        <v>Invoiced</v>
      </c>
      <c r="J121" s="18" t="n">
        <f aca="false">E121-F121</f>
        <v>0</v>
      </c>
      <c r="K121" s="18" t="n">
        <f aca="false">E121-G121</f>
        <v>0</v>
      </c>
      <c r="L121" s="16" t="str">
        <f aca="false">IF(OR(AND(I121="Invoiced",H121="Not Received"),AND(F121&gt;0,ABS(J121)&gt;Assumptions!$B$6),AND(G121&gt;0,ABS(K121)&gt;Assumptions!$B$6)),"EXCEPTION","OK")</f>
        <v>OK</v>
      </c>
    </row>
    <row r="122" customFormat="false" ht="15" hidden="false" customHeight="false" outlineLevel="0" collapsed="false">
      <c r="A122" s="16" t="str">
        <f aca="false">Purchase_Orders!A119</f>
        <v>PO10118</v>
      </c>
      <c r="B122" s="16" t="str">
        <f aca="false">Purchase_Orders!B119</f>
        <v>V1002</v>
      </c>
      <c r="C122" s="16" t="str">
        <f aca="false">IFERROR(INDEX(Vendor_Master!$B$2:$B$41,MATCH(B122,Vendor_Master!$A$2:$A$41,0)),"Unknown Vendor")</f>
        <v>Garcia, Yang and Gardner</v>
      </c>
      <c r="D122" s="17" t="n">
        <f aca="false">Purchase_Orders!C119</f>
        <v>45942</v>
      </c>
      <c r="E122" s="18" t="n">
        <f aca="false">Purchase_Orders!D119</f>
        <v>8633.55</v>
      </c>
      <c r="F122" s="18" t="n">
        <f aca="false">SUMIFS(Goods_Receipt_Notes!$D$2:$D$791,Goods_Receipt_Notes!$B$2:$B$791,A122)</f>
        <v>8633.55</v>
      </c>
      <c r="G122" s="18" t="n">
        <f aca="false">SUMIFS(Vendor_Invoices_AP!$E$2:$E$882,Vendor_Invoices_AP!$B$2:$B$882,A122)</f>
        <v>8633.55</v>
      </c>
      <c r="H122" s="16" t="str">
        <f aca="false">IF(F122=0,"Not Received","Received")</f>
        <v>Received</v>
      </c>
      <c r="I122" s="16" t="str">
        <f aca="false">IF(G122=0,"Not Invoiced","Invoiced")</f>
        <v>Invoiced</v>
      </c>
      <c r="J122" s="18" t="n">
        <f aca="false">E122-F122</f>
        <v>0</v>
      </c>
      <c r="K122" s="18" t="n">
        <f aca="false">E122-G122</f>
        <v>0</v>
      </c>
      <c r="L122" s="16" t="str">
        <f aca="false">IF(OR(AND(I122="Invoiced",H122="Not Received"),AND(F122&gt;0,ABS(J122)&gt;Assumptions!$B$6),AND(G122&gt;0,ABS(K122)&gt;Assumptions!$B$6)),"EXCEPTION","OK")</f>
        <v>OK</v>
      </c>
    </row>
    <row r="123" customFormat="false" ht="15" hidden="false" customHeight="false" outlineLevel="0" collapsed="false">
      <c r="A123" s="16" t="str">
        <f aca="false">Purchase_Orders!A120</f>
        <v>PO10119</v>
      </c>
      <c r="B123" s="16" t="str">
        <f aca="false">Purchase_Orders!B120</f>
        <v>V1038</v>
      </c>
      <c r="C123" s="16" t="str">
        <f aca="false">IFERROR(INDEX(Vendor_Master!$B$2:$B$41,MATCH(B123,Vendor_Master!$A$2:$A$41,0)),"Unknown Vendor")</f>
        <v>Rose-Obrien</v>
      </c>
      <c r="D123" s="17" t="n">
        <f aca="false">Purchase_Orders!C120</f>
        <v>45999</v>
      </c>
      <c r="E123" s="18" t="n">
        <f aca="false">Purchase_Orders!D120</f>
        <v>1731.53</v>
      </c>
      <c r="F123" s="18" t="n">
        <f aca="false">SUMIFS(Goods_Receipt_Notes!$D$2:$D$791,Goods_Receipt_Notes!$B$2:$B$791,A123)</f>
        <v>1731.53</v>
      </c>
      <c r="G123" s="18" t="n">
        <f aca="false">SUMIFS(Vendor_Invoices_AP!$E$2:$E$882,Vendor_Invoices_AP!$B$2:$B$882,A123)</f>
        <v>1731.53</v>
      </c>
      <c r="H123" s="16" t="str">
        <f aca="false">IF(F123=0,"Not Received","Received")</f>
        <v>Received</v>
      </c>
      <c r="I123" s="16" t="str">
        <f aca="false">IF(G123=0,"Not Invoiced","Invoiced")</f>
        <v>Invoiced</v>
      </c>
      <c r="J123" s="18" t="n">
        <f aca="false">E123-F123</f>
        <v>0</v>
      </c>
      <c r="K123" s="18" t="n">
        <f aca="false">E123-G123</f>
        <v>0</v>
      </c>
      <c r="L123" s="16" t="str">
        <f aca="false">IF(OR(AND(I123="Invoiced",H123="Not Received"),AND(F123&gt;0,ABS(J123)&gt;Assumptions!$B$6),AND(G123&gt;0,ABS(K123)&gt;Assumptions!$B$6)),"EXCEPTION","OK")</f>
        <v>OK</v>
      </c>
    </row>
    <row r="124" customFormat="false" ht="15" hidden="false" customHeight="false" outlineLevel="0" collapsed="false">
      <c r="A124" s="16" t="str">
        <f aca="false">Purchase_Orders!A121</f>
        <v>PO10120</v>
      </c>
      <c r="B124" s="16" t="str">
        <f aca="false">Purchase_Orders!B121</f>
        <v>V1025</v>
      </c>
      <c r="C124" s="16" t="str">
        <f aca="false">IFERROR(INDEX(Vendor_Master!$B$2:$B$41,MATCH(B124,Vendor_Master!$A$2:$A$41,0)),"Unknown Vendor")</f>
        <v>Conner Group</v>
      </c>
      <c r="D124" s="17" t="n">
        <f aca="false">Purchase_Orders!C121</f>
        <v>45807</v>
      </c>
      <c r="E124" s="18" t="n">
        <f aca="false">Purchase_Orders!D121</f>
        <v>1559.4</v>
      </c>
      <c r="F124" s="18" t="n">
        <f aca="false">SUMIFS(Goods_Receipt_Notes!$D$2:$D$791,Goods_Receipt_Notes!$B$2:$B$791,A124)</f>
        <v>1559.4</v>
      </c>
      <c r="G124" s="18" t="n">
        <f aca="false">SUMIFS(Vendor_Invoices_AP!$E$2:$E$882,Vendor_Invoices_AP!$B$2:$B$882,A124)</f>
        <v>1559.4</v>
      </c>
      <c r="H124" s="16" t="str">
        <f aca="false">IF(F124=0,"Not Received","Received")</f>
        <v>Received</v>
      </c>
      <c r="I124" s="16" t="str">
        <f aca="false">IF(G124=0,"Not Invoiced","Invoiced")</f>
        <v>Invoiced</v>
      </c>
      <c r="J124" s="18" t="n">
        <f aca="false">E124-F124</f>
        <v>0</v>
      </c>
      <c r="K124" s="18" t="n">
        <f aca="false">E124-G124</f>
        <v>0</v>
      </c>
      <c r="L124" s="16" t="str">
        <f aca="false">IF(OR(AND(I124="Invoiced",H124="Not Received"),AND(F124&gt;0,ABS(J124)&gt;Assumptions!$B$6),AND(G124&gt;0,ABS(K124)&gt;Assumptions!$B$6)),"EXCEPTION","OK")</f>
        <v>OK</v>
      </c>
    </row>
    <row r="125" customFormat="false" ht="15" hidden="false" customHeight="false" outlineLevel="0" collapsed="false">
      <c r="A125" s="16" t="str">
        <f aca="false">Purchase_Orders!A122</f>
        <v>PO10121</v>
      </c>
      <c r="B125" s="16" t="str">
        <f aca="false">Purchase_Orders!B122</f>
        <v>V1019</v>
      </c>
      <c r="C125" s="16" t="str">
        <f aca="false">IFERROR(INDEX(Vendor_Master!$B$2:$B$41,MATCH(B125,Vendor_Master!$A$2:$A$41,0)),"Unknown Vendor")</f>
        <v>Clark PLC</v>
      </c>
      <c r="D125" s="17" t="n">
        <f aca="false">Purchase_Orders!C122</f>
        <v>45700</v>
      </c>
      <c r="E125" s="18" t="n">
        <f aca="false">Purchase_Orders!D122</f>
        <v>1484.65</v>
      </c>
      <c r="F125" s="18" t="n">
        <f aca="false">SUMIFS(Goods_Receipt_Notes!$D$2:$D$791,Goods_Receipt_Notes!$B$2:$B$791,A125)</f>
        <v>1484.65</v>
      </c>
      <c r="G125" s="18" t="n">
        <f aca="false">SUMIFS(Vendor_Invoices_AP!$E$2:$E$882,Vendor_Invoices_AP!$B$2:$B$882,A125)</f>
        <v>1484.65</v>
      </c>
      <c r="H125" s="16" t="str">
        <f aca="false">IF(F125=0,"Not Received","Received")</f>
        <v>Received</v>
      </c>
      <c r="I125" s="16" t="str">
        <f aca="false">IF(G125=0,"Not Invoiced","Invoiced")</f>
        <v>Invoiced</v>
      </c>
      <c r="J125" s="18" t="n">
        <f aca="false">E125-F125</f>
        <v>0</v>
      </c>
      <c r="K125" s="18" t="n">
        <f aca="false">E125-G125</f>
        <v>0</v>
      </c>
      <c r="L125" s="16" t="str">
        <f aca="false">IF(OR(AND(I125="Invoiced",H125="Not Received"),AND(F125&gt;0,ABS(J125)&gt;Assumptions!$B$6),AND(G125&gt;0,ABS(K125)&gt;Assumptions!$B$6)),"EXCEPTION","OK")</f>
        <v>OK</v>
      </c>
    </row>
    <row r="126" customFormat="false" ht="15" hidden="false" customHeight="false" outlineLevel="0" collapsed="false">
      <c r="A126" s="16" t="str">
        <f aca="false">Purchase_Orders!A123</f>
        <v>PO10122</v>
      </c>
      <c r="B126" s="16" t="str">
        <f aca="false">Purchase_Orders!B123</f>
        <v>V1014</v>
      </c>
      <c r="C126" s="16" t="str">
        <f aca="false">IFERROR(INDEX(Vendor_Master!$B$2:$B$41,MATCH(B126,Vendor_Master!$A$2:$A$41,0)),"Unknown Vendor")</f>
        <v>Flowers, Martin and Kelly</v>
      </c>
      <c r="D126" s="17" t="n">
        <f aca="false">Purchase_Orders!C123</f>
        <v>45813</v>
      </c>
      <c r="E126" s="18" t="n">
        <f aca="false">Purchase_Orders!D123</f>
        <v>448.18</v>
      </c>
      <c r="F126" s="18" t="n">
        <f aca="false">SUMIFS(Goods_Receipt_Notes!$D$2:$D$791,Goods_Receipt_Notes!$B$2:$B$791,A126)</f>
        <v>448.18</v>
      </c>
      <c r="G126" s="18" t="n">
        <f aca="false">SUMIFS(Vendor_Invoices_AP!$E$2:$E$882,Vendor_Invoices_AP!$B$2:$B$882,A126)</f>
        <v>448.18</v>
      </c>
      <c r="H126" s="16" t="str">
        <f aca="false">IF(F126=0,"Not Received","Received")</f>
        <v>Received</v>
      </c>
      <c r="I126" s="16" t="str">
        <f aca="false">IF(G126=0,"Not Invoiced","Invoiced")</f>
        <v>Invoiced</v>
      </c>
      <c r="J126" s="18" t="n">
        <f aca="false">E126-F126</f>
        <v>0</v>
      </c>
      <c r="K126" s="18" t="n">
        <f aca="false">E126-G126</f>
        <v>0</v>
      </c>
      <c r="L126" s="16" t="str">
        <f aca="false">IF(OR(AND(I126="Invoiced",H126="Not Received"),AND(F126&gt;0,ABS(J126)&gt;Assumptions!$B$6),AND(G126&gt;0,ABS(K126)&gt;Assumptions!$B$6)),"EXCEPTION","OK")</f>
        <v>OK</v>
      </c>
    </row>
    <row r="127" customFormat="false" ht="15" hidden="false" customHeight="false" outlineLevel="0" collapsed="false">
      <c r="A127" s="16" t="str">
        <f aca="false">Purchase_Orders!A124</f>
        <v>PO10123</v>
      </c>
      <c r="B127" s="16" t="str">
        <f aca="false">Purchase_Orders!B124</f>
        <v>V1028</v>
      </c>
      <c r="C127" s="16" t="str">
        <f aca="false">IFERROR(INDEX(Vendor_Master!$B$2:$B$41,MATCH(B127,Vendor_Master!$A$2:$A$41,0)),"Unknown Vendor")</f>
        <v>Potter, Mack and Peterson</v>
      </c>
      <c r="D127" s="17" t="n">
        <f aca="false">Purchase_Orders!C124</f>
        <v>45806</v>
      </c>
      <c r="E127" s="18" t="n">
        <f aca="false">Purchase_Orders!D124</f>
        <v>381.28</v>
      </c>
      <c r="F127" s="18" t="n">
        <f aca="false">SUMIFS(Goods_Receipt_Notes!$D$2:$D$791,Goods_Receipt_Notes!$B$2:$B$791,A127)</f>
        <v>381.28</v>
      </c>
      <c r="G127" s="18" t="n">
        <f aca="false">SUMIFS(Vendor_Invoices_AP!$E$2:$E$882,Vendor_Invoices_AP!$B$2:$B$882,A127)</f>
        <v>381.28</v>
      </c>
      <c r="H127" s="16" t="str">
        <f aca="false">IF(F127=0,"Not Received","Received")</f>
        <v>Received</v>
      </c>
      <c r="I127" s="16" t="str">
        <f aca="false">IF(G127=0,"Not Invoiced","Invoiced")</f>
        <v>Invoiced</v>
      </c>
      <c r="J127" s="18" t="n">
        <f aca="false">E127-F127</f>
        <v>0</v>
      </c>
      <c r="K127" s="18" t="n">
        <f aca="false">E127-G127</f>
        <v>0</v>
      </c>
      <c r="L127" s="16" t="str">
        <f aca="false">IF(OR(AND(I127="Invoiced",H127="Not Received"),AND(F127&gt;0,ABS(J127)&gt;Assumptions!$B$6),AND(G127&gt;0,ABS(K127)&gt;Assumptions!$B$6)),"EXCEPTION","OK")</f>
        <v>OK</v>
      </c>
    </row>
    <row r="128" customFormat="false" ht="15" hidden="false" customHeight="false" outlineLevel="0" collapsed="false">
      <c r="A128" s="16" t="str">
        <f aca="false">Purchase_Orders!A125</f>
        <v>PO10124</v>
      </c>
      <c r="B128" s="16" t="str">
        <f aca="false">Purchase_Orders!B125</f>
        <v>V1017</v>
      </c>
      <c r="C128" s="16" t="str">
        <f aca="false">IFERROR(INDEX(Vendor_Master!$B$2:$B$41,MATCH(B128,Vendor_Master!$A$2:$A$41,0)),"Unknown Vendor")</f>
        <v>Hawkins, Cohen and Cameron</v>
      </c>
      <c r="D128" s="17" t="n">
        <f aca="false">Purchase_Orders!C125</f>
        <v>45832</v>
      </c>
      <c r="E128" s="18" t="n">
        <f aca="false">Purchase_Orders!D125</f>
        <v>432.73</v>
      </c>
      <c r="F128" s="18" t="n">
        <f aca="false">SUMIFS(Goods_Receipt_Notes!$D$2:$D$791,Goods_Receipt_Notes!$B$2:$B$791,A128)</f>
        <v>432.73</v>
      </c>
      <c r="G128" s="18" t="n">
        <f aca="false">SUMIFS(Vendor_Invoices_AP!$E$2:$E$882,Vendor_Invoices_AP!$B$2:$B$882,A128)</f>
        <v>432.73</v>
      </c>
      <c r="H128" s="16" t="str">
        <f aca="false">IF(F128=0,"Not Received","Received")</f>
        <v>Received</v>
      </c>
      <c r="I128" s="16" t="str">
        <f aca="false">IF(G128=0,"Not Invoiced","Invoiced")</f>
        <v>Invoiced</v>
      </c>
      <c r="J128" s="18" t="n">
        <f aca="false">E128-F128</f>
        <v>0</v>
      </c>
      <c r="K128" s="18" t="n">
        <f aca="false">E128-G128</f>
        <v>0</v>
      </c>
      <c r="L128" s="16" t="str">
        <f aca="false">IF(OR(AND(I128="Invoiced",H128="Not Received"),AND(F128&gt;0,ABS(J128)&gt;Assumptions!$B$6),AND(G128&gt;0,ABS(K128)&gt;Assumptions!$B$6)),"EXCEPTION","OK")</f>
        <v>OK</v>
      </c>
    </row>
    <row r="129" customFormat="false" ht="15" hidden="false" customHeight="false" outlineLevel="0" collapsed="false">
      <c r="A129" s="16" t="str">
        <f aca="false">Purchase_Orders!A126</f>
        <v>PO10125</v>
      </c>
      <c r="B129" s="16" t="str">
        <f aca="false">Purchase_Orders!B126</f>
        <v>V1032</v>
      </c>
      <c r="C129" s="16" t="str">
        <f aca="false">IFERROR(INDEX(Vendor_Master!$B$2:$B$41,MATCH(B129,Vendor_Master!$A$2:$A$41,0)),"Unknown Vendor")</f>
        <v>Lynch, Hernandez and Farmer</v>
      </c>
      <c r="D129" s="17" t="n">
        <f aca="false">Purchase_Orders!C126</f>
        <v>45952</v>
      </c>
      <c r="E129" s="18" t="n">
        <f aca="false">Purchase_Orders!D126</f>
        <v>2005.68</v>
      </c>
      <c r="F129" s="18" t="n">
        <f aca="false">SUMIFS(Goods_Receipt_Notes!$D$2:$D$791,Goods_Receipt_Notes!$B$2:$B$791,A129)</f>
        <v>2005.68</v>
      </c>
      <c r="G129" s="18" t="n">
        <f aca="false">SUMIFS(Vendor_Invoices_AP!$E$2:$E$882,Vendor_Invoices_AP!$B$2:$B$882,A129)</f>
        <v>2005.68</v>
      </c>
      <c r="H129" s="16" t="str">
        <f aca="false">IF(F129=0,"Not Received","Received")</f>
        <v>Received</v>
      </c>
      <c r="I129" s="16" t="str">
        <f aca="false">IF(G129=0,"Not Invoiced","Invoiced")</f>
        <v>Invoiced</v>
      </c>
      <c r="J129" s="18" t="n">
        <f aca="false">E129-F129</f>
        <v>0</v>
      </c>
      <c r="K129" s="18" t="n">
        <f aca="false">E129-G129</f>
        <v>0</v>
      </c>
      <c r="L129" s="16" t="str">
        <f aca="false">IF(OR(AND(I129="Invoiced",H129="Not Received"),AND(F129&gt;0,ABS(J129)&gt;Assumptions!$B$6),AND(G129&gt;0,ABS(K129)&gt;Assumptions!$B$6)),"EXCEPTION","OK")</f>
        <v>OK</v>
      </c>
    </row>
    <row r="130" customFormat="false" ht="15" hidden="false" customHeight="false" outlineLevel="0" collapsed="false">
      <c r="A130" s="16" t="str">
        <f aca="false">Purchase_Orders!A127</f>
        <v>PO10126</v>
      </c>
      <c r="B130" s="16" t="str">
        <f aca="false">Purchase_Orders!B127</f>
        <v>V1009</v>
      </c>
      <c r="C130" s="16" t="str">
        <f aca="false">IFERROR(INDEX(Vendor_Master!$B$2:$B$41,MATCH(B130,Vendor_Master!$A$2:$A$41,0)),"Unknown Vendor")</f>
        <v>Munoz-Roman</v>
      </c>
      <c r="D130" s="17" t="n">
        <f aca="false">Purchase_Orders!C127</f>
        <v>45733</v>
      </c>
      <c r="E130" s="18" t="n">
        <f aca="false">Purchase_Orders!D127</f>
        <v>12091.17</v>
      </c>
      <c r="F130" s="18" t="n">
        <f aca="false">SUMIFS(Goods_Receipt_Notes!$D$2:$D$791,Goods_Receipt_Notes!$B$2:$B$791,A130)</f>
        <v>12091.17</v>
      </c>
      <c r="G130" s="18" t="n">
        <f aca="false">SUMIFS(Vendor_Invoices_AP!$E$2:$E$882,Vendor_Invoices_AP!$B$2:$B$882,A130)</f>
        <v>12091.17</v>
      </c>
      <c r="H130" s="16" t="str">
        <f aca="false">IF(F130=0,"Not Received","Received")</f>
        <v>Received</v>
      </c>
      <c r="I130" s="16" t="str">
        <f aca="false">IF(G130=0,"Not Invoiced","Invoiced")</f>
        <v>Invoiced</v>
      </c>
      <c r="J130" s="18" t="n">
        <f aca="false">E130-F130</f>
        <v>0</v>
      </c>
      <c r="K130" s="18" t="n">
        <f aca="false">E130-G130</f>
        <v>0</v>
      </c>
      <c r="L130" s="16" t="str">
        <f aca="false">IF(OR(AND(I130="Invoiced",H130="Not Received"),AND(F130&gt;0,ABS(J130)&gt;Assumptions!$B$6),AND(G130&gt;0,ABS(K130)&gt;Assumptions!$B$6)),"EXCEPTION","OK")</f>
        <v>OK</v>
      </c>
    </row>
    <row r="131" customFormat="false" ht="15" hidden="false" customHeight="false" outlineLevel="0" collapsed="false">
      <c r="A131" s="16" t="str">
        <f aca="false">Purchase_Orders!A128</f>
        <v>PO10127</v>
      </c>
      <c r="B131" s="16" t="str">
        <f aca="false">Purchase_Orders!B128</f>
        <v>V1003</v>
      </c>
      <c r="C131" s="16" t="str">
        <f aca="false">IFERROR(INDEX(Vendor_Master!$B$2:$B$41,MATCH(B131,Vendor_Master!$A$2:$A$41,0)),"Unknown Vendor")</f>
        <v>Johnson and Sons</v>
      </c>
      <c r="D131" s="17" t="n">
        <f aca="false">Purchase_Orders!C128</f>
        <v>45784</v>
      </c>
      <c r="E131" s="18" t="n">
        <f aca="false">Purchase_Orders!D128</f>
        <v>1425.03</v>
      </c>
      <c r="F131" s="18" t="n">
        <f aca="false">SUMIFS(Goods_Receipt_Notes!$D$2:$D$791,Goods_Receipt_Notes!$B$2:$B$791,A131)</f>
        <v>1425.03</v>
      </c>
      <c r="G131" s="18" t="n">
        <f aca="false">SUMIFS(Vendor_Invoices_AP!$E$2:$E$882,Vendor_Invoices_AP!$B$2:$B$882,A131)</f>
        <v>1425.03</v>
      </c>
      <c r="H131" s="16" t="str">
        <f aca="false">IF(F131=0,"Not Received","Received")</f>
        <v>Received</v>
      </c>
      <c r="I131" s="16" t="str">
        <f aca="false">IF(G131=0,"Not Invoiced","Invoiced")</f>
        <v>Invoiced</v>
      </c>
      <c r="J131" s="18" t="n">
        <f aca="false">E131-F131</f>
        <v>0</v>
      </c>
      <c r="K131" s="18" t="n">
        <f aca="false">E131-G131</f>
        <v>0</v>
      </c>
      <c r="L131" s="16" t="str">
        <f aca="false">IF(OR(AND(I131="Invoiced",H131="Not Received"),AND(F131&gt;0,ABS(J131)&gt;Assumptions!$B$6),AND(G131&gt;0,ABS(K131)&gt;Assumptions!$B$6)),"EXCEPTION","OK")</f>
        <v>OK</v>
      </c>
    </row>
    <row r="132" customFormat="false" ht="15" hidden="false" customHeight="false" outlineLevel="0" collapsed="false">
      <c r="A132" s="16" t="str">
        <f aca="false">Purchase_Orders!A129</f>
        <v>PO10128</v>
      </c>
      <c r="B132" s="16" t="str">
        <f aca="false">Purchase_Orders!B129</f>
        <v>V1005</v>
      </c>
      <c r="C132" s="16" t="str">
        <f aca="false">IFERROR(INDEX(Vendor_Master!$B$2:$B$41,MATCH(B132,Vendor_Master!$A$2:$A$41,0)),"Unknown Vendor")</f>
        <v>Cole LLC</v>
      </c>
      <c r="D132" s="17" t="n">
        <f aca="false">Purchase_Orders!C129</f>
        <v>46036</v>
      </c>
      <c r="E132" s="18" t="n">
        <f aca="false">Purchase_Orders!D129</f>
        <v>13874.68</v>
      </c>
      <c r="F132" s="18" t="n">
        <f aca="false">SUMIFS(Goods_Receipt_Notes!$D$2:$D$791,Goods_Receipt_Notes!$B$2:$B$791,A132)</f>
        <v>13874.68</v>
      </c>
      <c r="G132" s="18" t="n">
        <f aca="false">SUMIFS(Vendor_Invoices_AP!$E$2:$E$882,Vendor_Invoices_AP!$B$2:$B$882,A132)</f>
        <v>13874.68</v>
      </c>
      <c r="H132" s="16" t="str">
        <f aca="false">IF(F132=0,"Not Received","Received")</f>
        <v>Received</v>
      </c>
      <c r="I132" s="16" t="str">
        <f aca="false">IF(G132=0,"Not Invoiced","Invoiced")</f>
        <v>Invoiced</v>
      </c>
      <c r="J132" s="18" t="n">
        <f aca="false">E132-F132</f>
        <v>0</v>
      </c>
      <c r="K132" s="18" t="n">
        <f aca="false">E132-G132</f>
        <v>0</v>
      </c>
      <c r="L132" s="16" t="str">
        <f aca="false">IF(OR(AND(I132="Invoiced",H132="Not Received"),AND(F132&gt;0,ABS(J132)&gt;Assumptions!$B$6),AND(G132&gt;0,ABS(K132)&gt;Assumptions!$B$6)),"EXCEPTION","OK")</f>
        <v>OK</v>
      </c>
    </row>
    <row r="133" customFormat="false" ht="15" hidden="false" customHeight="false" outlineLevel="0" collapsed="false">
      <c r="A133" s="16" t="str">
        <f aca="false">Purchase_Orders!A130</f>
        <v>PO10129</v>
      </c>
      <c r="B133" s="16" t="str">
        <f aca="false">Purchase_Orders!B130</f>
        <v>V1025</v>
      </c>
      <c r="C133" s="16" t="str">
        <f aca="false">IFERROR(INDEX(Vendor_Master!$B$2:$B$41,MATCH(B133,Vendor_Master!$A$2:$A$41,0)),"Unknown Vendor")</f>
        <v>Conner Group</v>
      </c>
      <c r="D133" s="17" t="n">
        <f aca="false">Purchase_Orders!C130</f>
        <v>46042</v>
      </c>
      <c r="E133" s="18" t="n">
        <f aca="false">Purchase_Orders!D130</f>
        <v>2603.15</v>
      </c>
      <c r="F133" s="18" t="n">
        <f aca="false">SUMIFS(Goods_Receipt_Notes!$D$2:$D$791,Goods_Receipt_Notes!$B$2:$B$791,A133)</f>
        <v>2603.15</v>
      </c>
      <c r="G133" s="18" t="n">
        <f aca="false">SUMIFS(Vendor_Invoices_AP!$E$2:$E$882,Vendor_Invoices_AP!$B$2:$B$882,A133)</f>
        <v>2603.15</v>
      </c>
      <c r="H133" s="16" t="str">
        <f aca="false">IF(F133=0,"Not Received","Received")</f>
        <v>Received</v>
      </c>
      <c r="I133" s="16" t="str">
        <f aca="false">IF(G133=0,"Not Invoiced","Invoiced")</f>
        <v>Invoiced</v>
      </c>
      <c r="J133" s="18" t="n">
        <f aca="false">E133-F133</f>
        <v>0</v>
      </c>
      <c r="K133" s="18" t="n">
        <f aca="false">E133-G133</f>
        <v>0</v>
      </c>
      <c r="L133" s="16" t="str">
        <f aca="false">IF(OR(AND(I133="Invoiced",H133="Not Received"),AND(F133&gt;0,ABS(J133)&gt;Assumptions!$B$6),AND(G133&gt;0,ABS(K133)&gt;Assumptions!$B$6)),"EXCEPTION","OK")</f>
        <v>OK</v>
      </c>
    </row>
    <row r="134" customFormat="false" ht="15" hidden="false" customHeight="false" outlineLevel="0" collapsed="false">
      <c r="A134" s="16" t="str">
        <f aca="false">Purchase_Orders!A131</f>
        <v>PO10130</v>
      </c>
      <c r="B134" s="16" t="str">
        <f aca="false">Purchase_Orders!B131</f>
        <v>V1037</v>
      </c>
      <c r="C134" s="16" t="str">
        <f aca="false">IFERROR(INDEX(Vendor_Master!$B$2:$B$41,MATCH(B134,Vendor_Master!$A$2:$A$41,0)),"Unknown Vendor")</f>
        <v>Cannon, Anderson and Alvarez</v>
      </c>
      <c r="D134" s="17" t="n">
        <f aca="false">Purchase_Orders!C131</f>
        <v>45693</v>
      </c>
      <c r="E134" s="18" t="n">
        <f aca="false">Purchase_Orders!D131</f>
        <v>3251.07</v>
      </c>
      <c r="F134" s="18" t="n">
        <f aca="false">SUMIFS(Goods_Receipt_Notes!$D$2:$D$791,Goods_Receipt_Notes!$B$2:$B$791,A134)</f>
        <v>0</v>
      </c>
      <c r="G134" s="18" t="n">
        <f aca="false">SUMIFS(Vendor_Invoices_AP!$E$2:$E$882,Vendor_Invoices_AP!$B$2:$B$882,A134)</f>
        <v>3419.39</v>
      </c>
      <c r="H134" s="16" t="str">
        <f aca="false">IF(F134=0,"Not Received","Received")</f>
        <v>Not Received</v>
      </c>
      <c r="I134" s="16" t="str">
        <f aca="false">IF(G134=0,"Not Invoiced","Invoiced")</f>
        <v>Invoiced</v>
      </c>
      <c r="J134" s="18" t="n">
        <f aca="false">E134-F134</f>
        <v>3251.07</v>
      </c>
      <c r="K134" s="18" t="n">
        <f aca="false">E134-G134</f>
        <v>-168.32</v>
      </c>
      <c r="L134" s="16" t="str">
        <f aca="false">IF(OR(AND(I134="Invoiced",H134="Not Received"),AND(F134&gt;0,ABS(J134)&gt;Assumptions!$B$6),AND(G134&gt;0,ABS(K134)&gt;Assumptions!$B$6)),"EXCEPTION","OK")</f>
        <v>EXCEPTION</v>
      </c>
    </row>
    <row r="135" customFormat="false" ht="15" hidden="false" customHeight="false" outlineLevel="0" collapsed="false">
      <c r="A135" s="16" t="str">
        <f aca="false">Purchase_Orders!A132</f>
        <v>PO10131</v>
      </c>
      <c r="B135" s="16" t="str">
        <f aca="false">Purchase_Orders!B132</f>
        <v>V1007</v>
      </c>
      <c r="C135" s="16" t="str">
        <f aca="false">IFERROR(INDEX(Vendor_Master!$B$2:$B$41,MATCH(B135,Vendor_Master!$A$2:$A$41,0)),"Unknown Vendor")</f>
        <v>Ramirez-Lewis</v>
      </c>
      <c r="D135" s="17" t="n">
        <f aca="false">Purchase_Orders!C132</f>
        <v>45880</v>
      </c>
      <c r="E135" s="18" t="n">
        <f aca="false">Purchase_Orders!D132</f>
        <v>4244.35</v>
      </c>
      <c r="F135" s="18" t="n">
        <f aca="false">SUMIFS(Goods_Receipt_Notes!$D$2:$D$791,Goods_Receipt_Notes!$B$2:$B$791,A135)</f>
        <v>4244.35</v>
      </c>
      <c r="G135" s="18" t="n">
        <f aca="false">SUMIFS(Vendor_Invoices_AP!$E$2:$E$882,Vendor_Invoices_AP!$B$2:$B$882,A135)</f>
        <v>4244.35</v>
      </c>
      <c r="H135" s="16" t="str">
        <f aca="false">IF(F135=0,"Not Received","Received")</f>
        <v>Received</v>
      </c>
      <c r="I135" s="16" t="str">
        <f aca="false">IF(G135=0,"Not Invoiced","Invoiced")</f>
        <v>Invoiced</v>
      </c>
      <c r="J135" s="18" t="n">
        <f aca="false">E135-F135</f>
        <v>0</v>
      </c>
      <c r="K135" s="18" t="n">
        <f aca="false">E135-G135</f>
        <v>0</v>
      </c>
      <c r="L135" s="16" t="str">
        <f aca="false">IF(OR(AND(I135="Invoiced",H135="Not Received"),AND(F135&gt;0,ABS(J135)&gt;Assumptions!$B$6),AND(G135&gt;0,ABS(K135)&gt;Assumptions!$B$6)),"EXCEPTION","OK")</f>
        <v>OK</v>
      </c>
    </row>
    <row r="136" customFormat="false" ht="15" hidden="false" customHeight="false" outlineLevel="0" collapsed="false">
      <c r="A136" s="16" t="str">
        <f aca="false">Purchase_Orders!A133</f>
        <v>PO10132</v>
      </c>
      <c r="B136" s="16" t="str">
        <f aca="false">Purchase_Orders!B133</f>
        <v>V1015</v>
      </c>
      <c r="C136" s="16" t="str">
        <f aca="false">IFERROR(INDEX(Vendor_Master!$B$2:$B$41,MATCH(B136,Vendor_Master!$A$2:$A$41,0)),"Unknown Vendor")</f>
        <v>Zuniga, Wong and Lynch</v>
      </c>
      <c r="D136" s="17" t="n">
        <f aca="false">Purchase_Orders!C133</f>
        <v>45953</v>
      </c>
      <c r="E136" s="18" t="n">
        <f aca="false">Purchase_Orders!D133</f>
        <v>8178.53</v>
      </c>
      <c r="F136" s="18" t="n">
        <f aca="false">SUMIFS(Goods_Receipt_Notes!$D$2:$D$791,Goods_Receipt_Notes!$B$2:$B$791,A136)</f>
        <v>8178.53</v>
      </c>
      <c r="G136" s="18" t="n">
        <f aca="false">SUMIFS(Vendor_Invoices_AP!$E$2:$E$882,Vendor_Invoices_AP!$B$2:$B$882,A136)</f>
        <v>8178.53</v>
      </c>
      <c r="H136" s="16" t="str">
        <f aca="false">IF(F136=0,"Not Received","Received")</f>
        <v>Received</v>
      </c>
      <c r="I136" s="16" t="str">
        <f aca="false">IF(G136=0,"Not Invoiced","Invoiced")</f>
        <v>Invoiced</v>
      </c>
      <c r="J136" s="18" t="n">
        <f aca="false">E136-F136</f>
        <v>0</v>
      </c>
      <c r="K136" s="18" t="n">
        <f aca="false">E136-G136</f>
        <v>0</v>
      </c>
      <c r="L136" s="16" t="str">
        <f aca="false">IF(OR(AND(I136="Invoiced",H136="Not Received"),AND(F136&gt;0,ABS(J136)&gt;Assumptions!$B$6),AND(G136&gt;0,ABS(K136)&gt;Assumptions!$B$6)),"EXCEPTION","OK")</f>
        <v>OK</v>
      </c>
    </row>
    <row r="137" customFormat="false" ht="15" hidden="false" customHeight="false" outlineLevel="0" collapsed="false">
      <c r="A137" s="16" t="str">
        <f aca="false">Purchase_Orders!A134</f>
        <v>PO10133</v>
      </c>
      <c r="B137" s="16" t="str">
        <f aca="false">Purchase_Orders!B134</f>
        <v>V1007</v>
      </c>
      <c r="C137" s="16" t="str">
        <f aca="false">IFERROR(INDEX(Vendor_Master!$B$2:$B$41,MATCH(B137,Vendor_Master!$A$2:$A$41,0)),"Unknown Vendor")</f>
        <v>Ramirez-Lewis</v>
      </c>
      <c r="D137" s="17" t="n">
        <f aca="false">Purchase_Orders!C134</f>
        <v>45884</v>
      </c>
      <c r="E137" s="18" t="n">
        <f aca="false">Purchase_Orders!D134</f>
        <v>1297.3</v>
      </c>
      <c r="F137" s="18" t="n">
        <f aca="false">SUMIFS(Goods_Receipt_Notes!$D$2:$D$791,Goods_Receipt_Notes!$B$2:$B$791,A137)</f>
        <v>1297.3</v>
      </c>
      <c r="G137" s="18" t="n">
        <f aca="false">SUMIFS(Vendor_Invoices_AP!$E$2:$E$882,Vendor_Invoices_AP!$B$2:$B$882,A137)</f>
        <v>1297.3</v>
      </c>
      <c r="H137" s="16" t="str">
        <f aca="false">IF(F137=0,"Not Received","Received")</f>
        <v>Received</v>
      </c>
      <c r="I137" s="16" t="str">
        <f aca="false">IF(G137=0,"Not Invoiced","Invoiced")</f>
        <v>Invoiced</v>
      </c>
      <c r="J137" s="18" t="n">
        <f aca="false">E137-F137</f>
        <v>0</v>
      </c>
      <c r="K137" s="18" t="n">
        <f aca="false">E137-G137</f>
        <v>0</v>
      </c>
      <c r="L137" s="16" t="str">
        <f aca="false">IF(OR(AND(I137="Invoiced",H137="Not Received"),AND(F137&gt;0,ABS(J137)&gt;Assumptions!$B$6),AND(G137&gt;0,ABS(K137)&gt;Assumptions!$B$6)),"EXCEPTION","OK")</f>
        <v>OK</v>
      </c>
    </row>
    <row r="138" customFormat="false" ht="15" hidden="false" customHeight="false" outlineLevel="0" collapsed="false">
      <c r="A138" s="16" t="str">
        <f aca="false">Purchase_Orders!A135</f>
        <v>PO10134</v>
      </c>
      <c r="B138" s="16" t="str">
        <f aca="false">Purchase_Orders!B135</f>
        <v>V1009</v>
      </c>
      <c r="C138" s="16" t="str">
        <f aca="false">IFERROR(INDEX(Vendor_Master!$B$2:$B$41,MATCH(B138,Vendor_Master!$A$2:$A$41,0)),"Unknown Vendor")</f>
        <v>Munoz-Roman</v>
      </c>
      <c r="D138" s="17" t="n">
        <f aca="false">Purchase_Orders!C135</f>
        <v>45770</v>
      </c>
      <c r="E138" s="18" t="n">
        <f aca="false">Purchase_Orders!D135</f>
        <v>1349.8</v>
      </c>
      <c r="F138" s="18" t="n">
        <f aca="false">SUMIFS(Goods_Receipt_Notes!$D$2:$D$791,Goods_Receipt_Notes!$B$2:$B$791,A138)</f>
        <v>1349.8</v>
      </c>
      <c r="G138" s="18" t="n">
        <f aca="false">SUMIFS(Vendor_Invoices_AP!$E$2:$E$882,Vendor_Invoices_AP!$B$2:$B$882,A138)</f>
        <v>1349.8</v>
      </c>
      <c r="H138" s="16" t="str">
        <f aca="false">IF(F138=0,"Not Received","Received")</f>
        <v>Received</v>
      </c>
      <c r="I138" s="16" t="str">
        <f aca="false">IF(G138=0,"Not Invoiced","Invoiced")</f>
        <v>Invoiced</v>
      </c>
      <c r="J138" s="18" t="n">
        <f aca="false">E138-F138</f>
        <v>0</v>
      </c>
      <c r="K138" s="18" t="n">
        <f aca="false">E138-G138</f>
        <v>0</v>
      </c>
      <c r="L138" s="16" t="str">
        <f aca="false">IF(OR(AND(I138="Invoiced",H138="Not Received"),AND(F138&gt;0,ABS(J138)&gt;Assumptions!$B$6),AND(G138&gt;0,ABS(K138)&gt;Assumptions!$B$6)),"EXCEPTION","OK")</f>
        <v>OK</v>
      </c>
    </row>
    <row r="139" customFormat="false" ht="15" hidden="false" customHeight="false" outlineLevel="0" collapsed="false">
      <c r="A139" s="16" t="str">
        <f aca="false">Purchase_Orders!A136</f>
        <v>PO10135</v>
      </c>
      <c r="B139" s="16" t="str">
        <f aca="false">Purchase_Orders!B136</f>
        <v>V1022</v>
      </c>
      <c r="C139" s="16" t="str">
        <f aca="false">IFERROR(INDEX(Vendor_Master!$B$2:$B$41,MATCH(B139,Vendor_Master!$A$2:$A$41,0)),"Unknown Vendor")</f>
        <v>Burgess-Patterson</v>
      </c>
      <c r="D139" s="17" t="n">
        <f aca="false">Purchase_Orders!C136</f>
        <v>45886</v>
      </c>
      <c r="E139" s="18" t="n">
        <f aca="false">Purchase_Orders!D136</f>
        <v>9053.44</v>
      </c>
      <c r="F139" s="18" t="n">
        <f aca="false">SUMIFS(Goods_Receipt_Notes!$D$2:$D$791,Goods_Receipt_Notes!$B$2:$B$791,A139)</f>
        <v>9053.44</v>
      </c>
      <c r="G139" s="18" t="n">
        <f aca="false">SUMIFS(Vendor_Invoices_AP!$E$2:$E$882,Vendor_Invoices_AP!$B$2:$B$882,A139)</f>
        <v>9053.44</v>
      </c>
      <c r="H139" s="16" t="str">
        <f aca="false">IF(F139=0,"Not Received","Received")</f>
        <v>Received</v>
      </c>
      <c r="I139" s="16" t="str">
        <f aca="false">IF(G139=0,"Not Invoiced","Invoiced")</f>
        <v>Invoiced</v>
      </c>
      <c r="J139" s="18" t="n">
        <f aca="false">E139-F139</f>
        <v>0</v>
      </c>
      <c r="K139" s="18" t="n">
        <f aca="false">E139-G139</f>
        <v>0</v>
      </c>
      <c r="L139" s="16" t="str">
        <f aca="false">IF(OR(AND(I139="Invoiced",H139="Not Received"),AND(F139&gt;0,ABS(J139)&gt;Assumptions!$B$6),AND(G139&gt;0,ABS(K139)&gt;Assumptions!$B$6)),"EXCEPTION","OK")</f>
        <v>OK</v>
      </c>
    </row>
    <row r="140" customFormat="false" ht="15" hidden="false" customHeight="false" outlineLevel="0" collapsed="false">
      <c r="A140" s="16" t="str">
        <f aca="false">Purchase_Orders!A137</f>
        <v>PO10136</v>
      </c>
      <c r="B140" s="16" t="str">
        <f aca="false">Purchase_Orders!B137</f>
        <v>V1022</v>
      </c>
      <c r="C140" s="16" t="str">
        <f aca="false">IFERROR(INDEX(Vendor_Master!$B$2:$B$41,MATCH(B140,Vendor_Master!$A$2:$A$41,0)),"Unknown Vendor")</f>
        <v>Burgess-Patterson</v>
      </c>
      <c r="D140" s="17" t="n">
        <f aca="false">Purchase_Orders!C137</f>
        <v>46151</v>
      </c>
      <c r="E140" s="18" t="n">
        <f aca="false">Purchase_Orders!D137</f>
        <v>974.82</v>
      </c>
      <c r="F140" s="18" t="n">
        <f aca="false">SUMIFS(Goods_Receipt_Notes!$D$2:$D$791,Goods_Receipt_Notes!$B$2:$B$791,A140)</f>
        <v>974.82</v>
      </c>
      <c r="G140" s="18" t="n">
        <f aca="false">SUMIFS(Vendor_Invoices_AP!$E$2:$E$882,Vendor_Invoices_AP!$B$2:$B$882,A140)</f>
        <v>974.82</v>
      </c>
      <c r="H140" s="16" t="str">
        <f aca="false">IF(F140=0,"Not Received","Received")</f>
        <v>Received</v>
      </c>
      <c r="I140" s="16" t="str">
        <f aca="false">IF(G140=0,"Not Invoiced","Invoiced")</f>
        <v>Invoiced</v>
      </c>
      <c r="J140" s="18" t="n">
        <f aca="false">E140-F140</f>
        <v>0</v>
      </c>
      <c r="K140" s="18" t="n">
        <f aca="false">E140-G140</f>
        <v>0</v>
      </c>
      <c r="L140" s="16" t="str">
        <f aca="false">IF(OR(AND(I140="Invoiced",H140="Not Received"),AND(F140&gt;0,ABS(J140)&gt;Assumptions!$B$6),AND(G140&gt;0,ABS(K140)&gt;Assumptions!$B$6)),"EXCEPTION","OK")</f>
        <v>OK</v>
      </c>
    </row>
    <row r="141" customFormat="false" ht="15" hidden="false" customHeight="false" outlineLevel="0" collapsed="false">
      <c r="A141" s="16" t="str">
        <f aca="false">Purchase_Orders!A138</f>
        <v>PO10137</v>
      </c>
      <c r="B141" s="16" t="str">
        <f aca="false">Purchase_Orders!B138</f>
        <v>V1034</v>
      </c>
      <c r="C141" s="16" t="str">
        <f aca="false">IFERROR(INDEX(Vendor_Master!$B$2:$B$41,MATCH(B141,Vendor_Master!$A$2:$A$41,0)),"Unknown Vendor")</f>
        <v>Koch-Decker</v>
      </c>
      <c r="D141" s="17" t="n">
        <f aca="false">Purchase_Orders!C138</f>
        <v>45976</v>
      </c>
      <c r="E141" s="18" t="n">
        <f aca="false">Purchase_Orders!D138</f>
        <v>5730.61</v>
      </c>
      <c r="F141" s="18" t="n">
        <f aca="false">SUMIFS(Goods_Receipt_Notes!$D$2:$D$791,Goods_Receipt_Notes!$B$2:$B$791,A141)</f>
        <v>5730.61</v>
      </c>
      <c r="G141" s="18" t="n">
        <f aca="false">SUMIFS(Vendor_Invoices_AP!$E$2:$E$882,Vendor_Invoices_AP!$B$2:$B$882,A141)</f>
        <v>5730.61</v>
      </c>
      <c r="H141" s="16" t="str">
        <f aca="false">IF(F141=0,"Not Received","Received")</f>
        <v>Received</v>
      </c>
      <c r="I141" s="16" t="str">
        <f aca="false">IF(G141=0,"Not Invoiced","Invoiced")</f>
        <v>Invoiced</v>
      </c>
      <c r="J141" s="18" t="n">
        <f aca="false">E141-F141</f>
        <v>0</v>
      </c>
      <c r="K141" s="18" t="n">
        <f aca="false">E141-G141</f>
        <v>0</v>
      </c>
      <c r="L141" s="16" t="str">
        <f aca="false">IF(OR(AND(I141="Invoiced",H141="Not Received"),AND(F141&gt;0,ABS(J141)&gt;Assumptions!$B$6),AND(G141&gt;0,ABS(K141)&gt;Assumptions!$B$6)),"EXCEPTION","OK")</f>
        <v>OK</v>
      </c>
    </row>
    <row r="142" customFormat="false" ht="15" hidden="false" customHeight="false" outlineLevel="0" collapsed="false">
      <c r="A142" s="16" t="str">
        <f aca="false">Purchase_Orders!A139</f>
        <v>PO10138</v>
      </c>
      <c r="B142" s="16" t="str">
        <f aca="false">Purchase_Orders!B139</f>
        <v>V1040</v>
      </c>
      <c r="C142" s="16" t="str">
        <f aca="false">IFERROR(INDEX(Vendor_Master!$B$2:$B$41,MATCH(B142,Vendor_Master!$A$2:$A$41,0)),"Unknown Vendor")</f>
        <v>Santos, Kim and Holmes</v>
      </c>
      <c r="D142" s="17" t="n">
        <f aca="false">Purchase_Orders!C139</f>
        <v>46037</v>
      </c>
      <c r="E142" s="18" t="n">
        <f aca="false">Purchase_Orders!D139</f>
        <v>11169.56</v>
      </c>
      <c r="F142" s="18" t="n">
        <f aca="false">SUMIFS(Goods_Receipt_Notes!$D$2:$D$791,Goods_Receipt_Notes!$B$2:$B$791,A142)</f>
        <v>11169.56</v>
      </c>
      <c r="G142" s="18" t="n">
        <f aca="false">SUMIFS(Vendor_Invoices_AP!$E$2:$E$882,Vendor_Invoices_AP!$B$2:$B$882,A142)</f>
        <v>11169.56</v>
      </c>
      <c r="H142" s="16" t="str">
        <f aca="false">IF(F142=0,"Not Received","Received")</f>
        <v>Received</v>
      </c>
      <c r="I142" s="16" t="str">
        <f aca="false">IF(G142=0,"Not Invoiced","Invoiced")</f>
        <v>Invoiced</v>
      </c>
      <c r="J142" s="18" t="n">
        <f aca="false">E142-F142</f>
        <v>0</v>
      </c>
      <c r="K142" s="18" t="n">
        <f aca="false">E142-G142</f>
        <v>0</v>
      </c>
      <c r="L142" s="16" t="str">
        <f aca="false">IF(OR(AND(I142="Invoiced",H142="Not Received"),AND(F142&gt;0,ABS(J142)&gt;Assumptions!$B$6),AND(G142&gt;0,ABS(K142)&gt;Assumptions!$B$6)),"EXCEPTION","OK")</f>
        <v>OK</v>
      </c>
    </row>
    <row r="143" customFormat="false" ht="15" hidden="false" customHeight="false" outlineLevel="0" collapsed="false">
      <c r="A143" s="16" t="str">
        <f aca="false">Purchase_Orders!A140</f>
        <v>PO10139</v>
      </c>
      <c r="B143" s="16" t="str">
        <f aca="false">Purchase_Orders!B140</f>
        <v>V1032</v>
      </c>
      <c r="C143" s="16" t="str">
        <f aca="false">IFERROR(INDEX(Vendor_Master!$B$2:$B$41,MATCH(B143,Vendor_Master!$A$2:$A$41,0)),"Unknown Vendor")</f>
        <v>Lynch, Hernandez and Farmer</v>
      </c>
      <c r="D143" s="17" t="n">
        <f aca="false">Purchase_Orders!C140</f>
        <v>46124</v>
      </c>
      <c r="E143" s="18" t="n">
        <f aca="false">Purchase_Orders!D140</f>
        <v>573.05</v>
      </c>
      <c r="F143" s="18" t="n">
        <f aca="false">SUMIFS(Goods_Receipt_Notes!$D$2:$D$791,Goods_Receipt_Notes!$B$2:$B$791,A143)</f>
        <v>573.05</v>
      </c>
      <c r="G143" s="18" t="n">
        <f aca="false">SUMIFS(Vendor_Invoices_AP!$E$2:$E$882,Vendor_Invoices_AP!$B$2:$B$882,A143)</f>
        <v>573.05</v>
      </c>
      <c r="H143" s="16" t="str">
        <f aca="false">IF(F143=0,"Not Received","Received")</f>
        <v>Received</v>
      </c>
      <c r="I143" s="16" t="str">
        <f aca="false">IF(G143=0,"Not Invoiced","Invoiced")</f>
        <v>Invoiced</v>
      </c>
      <c r="J143" s="18" t="n">
        <f aca="false">E143-F143</f>
        <v>0</v>
      </c>
      <c r="K143" s="18" t="n">
        <f aca="false">E143-G143</f>
        <v>0</v>
      </c>
      <c r="L143" s="16" t="str">
        <f aca="false">IF(OR(AND(I143="Invoiced",H143="Not Received"),AND(F143&gt;0,ABS(J143)&gt;Assumptions!$B$6),AND(G143&gt;0,ABS(K143)&gt;Assumptions!$B$6)),"EXCEPTION","OK")</f>
        <v>OK</v>
      </c>
    </row>
    <row r="144" customFormat="false" ht="15" hidden="false" customHeight="false" outlineLevel="0" collapsed="false">
      <c r="A144" s="16" t="str">
        <f aca="false">Purchase_Orders!A141</f>
        <v>PO10140</v>
      </c>
      <c r="B144" s="16" t="str">
        <f aca="false">Purchase_Orders!B141</f>
        <v>V1021</v>
      </c>
      <c r="C144" s="16" t="str">
        <f aca="false">IFERROR(INDEX(Vendor_Master!$B$2:$B$41,MATCH(B144,Vendor_Master!$A$2:$A$41,0)),"Unknown Vendor")</f>
        <v>Ellis, Baker and Wright</v>
      </c>
      <c r="D144" s="17" t="n">
        <f aca="false">Purchase_Orders!C141</f>
        <v>46075</v>
      </c>
      <c r="E144" s="18" t="n">
        <f aca="false">Purchase_Orders!D141</f>
        <v>267.6</v>
      </c>
      <c r="F144" s="18" t="n">
        <f aca="false">SUMIFS(Goods_Receipt_Notes!$D$2:$D$791,Goods_Receipt_Notes!$B$2:$B$791,A144)</f>
        <v>267.6</v>
      </c>
      <c r="G144" s="18" t="n">
        <f aca="false">SUMIFS(Vendor_Invoices_AP!$E$2:$E$882,Vendor_Invoices_AP!$B$2:$B$882,A144)</f>
        <v>267.6</v>
      </c>
      <c r="H144" s="16" t="str">
        <f aca="false">IF(F144=0,"Not Received","Received")</f>
        <v>Received</v>
      </c>
      <c r="I144" s="16" t="str">
        <f aca="false">IF(G144=0,"Not Invoiced","Invoiced")</f>
        <v>Invoiced</v>
      </c>
      <c r="J144" s="18" t="n">
        <f aca="false">E144-F144</f>
        <v>0</v>
      </c>
      <c r="K144" s="18" t="n">
        <f aca="false">E144-G144</f>
        <v>0</v>
      </c>
      <c r="L144" s="16" t="str">
        <f aca="false">IF(OR(AND(I144="Invoiced",H144="Not Received"),AND(F144&gt;0,ABS(J144)&gt;Assumptions!$B$6),AND(G144&gt;0,ABS(K144)&gt;Assumptions!$B$6)),"EXCEPTION","OK")</f>
        <v>OK</v>
      </c>
    </row>
    <row r="145" customFormat="false" ht="15" hidden="false" customHeight="false" outlineLevel="0" collapsed="false">
      <c r="A145" s="16" t="str">
        <f aca="false">Purchase_Orders!A142</f>
        <v>PO10141</v>
      </c>
      <c r="B145" s="16" t="str">
        <f aca="false">Purchase_Orders!B142</f>
        <v>V1036</v>
      </c>
      <c r="C145" s="16" t="str">
        <f aca="false">IFERROR(INDEX(Vendor_Master!$B$2:$B$41,MATCH(B145,Vendor_Master!$A$2:$A$41,0)),"Unknown Vendor")</f>
        <v>Dennis Inc</v>
      </c>
      <c r="D145" s="17" t="n">
        <f aca="false">Purchase_Orders!C142</f>
        <v>45865</v>
      </c>
      <c r="E145" s="18" t="n">
        <f aca="false">Purchase_Orders!D142</f>
        <v>634.26</v>
      </c>
      <c r="F145" s="18" t="n">
        <f aca="false">SUMIFS(Goods_Receipt_Notes!$D$2:$D$791,Goods_Receipt_Notes!$B$2:$B$791,A145)</f>
        <v>634.26</v>
      </c>
      <c r="G145" s="18" t="n">
        <f aca="false">SUMIFS(Vendor_Invoices_AP!$E$2:$E$882,Vendor_Invoices_AP!$B$2:$B$882,A145)</f>
        <v>634.26</v>
      </c>
      <c r="H145" s="16" t="str">
        <f aca="false">IF(F145=0,"Not Received","Received")</f>
        <v>Received</v>
      </c>
      <c r="I145" s="16" t="str">
        <f aca="false">IF(G145=0,"Not Invoiced","Invoiced")</f>
        <v>Invoiced</v>
      </c>
      <c r="J145" s="18" t="n">
        <f aca="false">E145-F145</f>
        <v>0</v>
      </c>
      <c r="K145" s="18" t="n">
        <f aca="false">E145-G145</f>
        <v>0</v>
      </c>
      <c r="L145" s="16" t="str">
        <f aca="false">IF(OR(AND(I145="Invoiced",H145="Not Received"),AND(F145&gt;0,ABS(J145)&gt;Assumptions!$B$6),AND(G145&gt;0,ABS(K145)&gt;Assumptions!$B$6)),"EXCEPTION","OK")</f>
        <v>OK</v>
      </c>
    </row>
    <row r="146" customFormat="false" ht="15" hidden="false" customHeight="false" outlineLevel="0" collapsed="false">
      <c r="A146" s="16" t="str">
        <f aca="false">Purchase_Orders!A143</f>
        <v>PO10142</v>
      </c>
      <c r="B146" s="16" t="str">
        <f aca="false">Purchase_Orders!B143</f>
        <v>V1029</v>
      </c>
      <c r="C146" s="16" t="str">
        <f aca="false">IFERROR(INDEX(Vendor_Master!$B$2:$B$41,MATCH(B146,Vendor_Master!$A$2:$A$41,0)),"Unknown Vendor")</f>
        <v>Chavez Ltd</v>
      </c>
      <c r="D146" s="17" t="n">
        <f aca="false">Purchase_Orders!C143</f>
        <v>45661</v>
      </c>
      <c r="E146" s="18" t="n">
        <f aca="false">Purchase_Orders!D143</f>
        <v>858.6</v>
      </c>
      <c r="F146" s="18" t="n">
        <f aca="false">SUMIFS(Goods_Receipt_Notes!$D$2:$D$791,Goods_Receipt_Notes!$B$2:$B$791,A146)</f>
        <v>0</v>
      </c>
      <c r="G146" s="18" t="n">
        <f aca="false">SUMIFS(Vendor_Invoices_AP!$E$2:$E$882,Vendor_Invoices_AP!$B$2:$B$882,A146)</f>
        <v>858.6</v>
      </c>
      <c r="H146" s="16" t="str">
        <f aca="false">IF(F146=0,"Not Received","Received")</f>
        <v>Not Received</v>
      </c>
      <c r="I146" s="16" t="str">
        <f aca="false">IF(G146=0,"Not Invoiced","Invoiced")</f>
        <v>Invoiced</v>
      </c>
      <c r="J146" s="18" t="n">
        <f aca="false">E146-F146</f>
        <v>858.6</v>
      </c>
      <c r="K146" s="18" t="n">
        <f aca="false">E146-G146</f>
        <v>0</v>
      </c>
      <c r="L146" s="16" t="str">
        <f aca="false">IF(OR(AND(I146="Invoiced",H146="Not Received"),AND(F146&gt;0,ABS(J146)&gt;Assumptions!$B$6),AND(G146&gt;0,ABS(K146)&gt;Assumptions!$B$6)),"EXCEPTION","OK")</f>
        <v>EXCEPTION</v>
      </c>
    </row>
    <row r="147" customFormat="false" ht="15" hidden="false" customHeight="false" outlineLevel="0" collapsed="false">
      <c r="A147" s="16" t="str">
        <f aca="false">Purchase_Orders!A144</f>
        <v>PO10143</v>
      </c>
      <c r="B147" s="16" t="str">
        <f aca="false">Purchase_Orders!B144</f>
        <v>V1023</v>
      </c>
      <c r="C147" s="16" t="str">
        <f aca="false">IFERROR(INDEX(Vendor_Master!$B$2:$B$41,MATCH(B147,Vendor_Master!$A$2:$A$41,0)),"Unknown Vendor")</f>
        <v>Robinson-Bright</v>
      </c>
      <c r="D147" s="17" t="n">
        <f aca="false">Purchase_Orders!C144</f>
        <v>45849</v>
      </c>
      <c r="E147" s="18" t="n">
        <f aca="false">Purchase_Orders!D144</f>
        <v>1495.05</v>
      </c>
      <c r="F147" s="18" t="n">
        <f aca="false">SUMIFS(Goods_Receipt_Notes!$D$2:$D$791,Goods_Receipt_Notes!$B$2:$B$791,A147)</f>
        <v>1495.05</v>
      </c>
      <c r="G147" s="18" t="n">
        <f aca="false">SUMIFS(Vendor_Invoices_AP!$E$2:$E$882,Vendor_Invoices_AP!$B$2:$B$882,A147)</f>
        <v>1495.05</v>
      </c>
      <c r="H147" s="16" t="str">
        <f aca="false">IF(F147=0,"Not Received","Received")</f>
        <v>Received</v>
      </c>
      <c r="I147" s="16" t="str">
        <f aca="false">IF(G147=0,"Not Invoiced","Invoiced")</f>
        <v>Invoiced</v>
      </c>
      <c r="J147" s="18" t="n">
        <f aca="false">E147-F147</f>
        <v>0</v>
      </c>
      <c r="K147" s="18" t="n">
        <f aca="false">E147-G147</f>
        <v>0</v>
      </c>
      <c r="L147" s="16" t="str">
        <f aca="false">IF(OR(AND(I147="Invoiced",H147="Not Received"),AND(F147&gt;0,ABS(J147)&gt;Assumptions!$B$6),AND(G147&gt;0,ABS(K147)&gt;Assumptions!$B$6)),"EXCEPTION","OK")</f>
        <v>OK</v>
      </c>
    </row>
    <row r="148" customFormat="false" ht="15" hidden="false" customHeight="false" outlineLevel="0" collapsed="false">
      <c r="A148" s="16" t="str">
        <f aca="false">Purchase_Orders!A145</f>
        <v>PO10144</v>
      </c>
      <c r="B148" s="16" t="str">
        <f aca="false">Purchase_Orders!B145</f>
        <v>V1037</v>
      </c>
      <c r="C148" s="16" t="str">
        <f aca="false">IFERROR(INDEX(Vendor_Master!$B$2:$B$41,MATCH(B148,Vendor_Master!$A$2:$A$41,0)),"Unknown Vendor")</f>
        <v>Cannon, Anderson and Alvarez</v>
      </c>
      <c r="D148" s="17" t="n">
        <f aca="false">Purchase_Orders!C145</f>
        <v>46068</v>
      </c>
      <c r="E148" s="18" t="n">
        <f aca="false">Purchase_Orders!D145</f>
        <v>4226.43</v>
      </c>
      <c r="F148" s="18" t="n">
        <f aca="false">SUMIFS(Goods_Receipt_Notes!$D$2:$D$791,Goods_Receipt_Notes!$B$2:$B$791,A148)</f>
        <v>4226.43</v>
      </c>
      <c r="G148" s="18" t="n">
        <f aca="false">SUMIFS(Vendor_Invoices_AP!$E$2:$E$882,Vendor_Invoices_AP!$B$2:$B$882,A148)</f>
        <v>4226.43</v>
      </c>
      <c r="H148" s="16" t="str">
        <f aca="false">IF(F148=0,"Not Received","Received")</f>
        <v>Received</v>
      </c>
      <c r="I148" s="16" t="str">
        <f aca="false">IF(G148=0,"Not Invoiced","Invoiced")</f>
        <v>Invoiced</v>
      </c>
      <c r="J148" s="18" t="n">
        <f aca="false">E148-F148</f>
        <v>0</v>
      </c>
      <c r="K148" s="18" t="n">
        <f aca="false">E148-G148</f>
        <v>0</v>
      </c>
      <c r="L148" s="16" t="str">
        <f aca="false">IF(OR(AND(I148="Invoiced",H148="Not Received"),AND(F148&gt;0,ABS(J148)&gt;Assumptions!$B$6),AND(G148&gt;0,ABS(K148)&gt;Assumptions!$B$6)),"EXCEPTION","OK")</f>
        <v>OK</v>
      </c>
    </row>
    <row r="149" customFormat="false" ht="15" hidden="false" customHeight="false" outlineLevel="0" collapsed="false">
      <c r="A149" s="16" t="str">
        <f aca="false">Purchase_Orders!A146</f>
        <v>PO10145</v>
      </c>
      <c r="B149" s="16" t="str">
        <f aca="false">Purchase_Orders!B146</f>
        <v>V1029</v>
      </c>
      <c r="C149" s="16" t="str">
        <f aca="false">IFERROR(INDEX(Vendor_Master!$B$2:$B$41,MATCH(B149,Vendor_Master!$A$2:$A$41,0)),"Unknown Vendor")</f>
        <v>Chavez Ltd</v>
      </c>
      <c r="D149" s="17" t="n">
        <f aca="false">Purchase_Orders!C146</f>
        <v>46123</v>
      </c>
      <c r="E149" s="18" t="n">
        <f aca="false">Purchase_Orders!D146</f>
        <v>203.15</v>
      </c>
      <c r="F149" s="18" t="n">
        <f aca="false">SUMIFS(Goods_Receipt_Notes!$D$2:$D$791,Goods_Receipt_Notes!$B$2:$B$791,A149)</f>
        <v>0</v>
      </c>
      <c r="G149" s="18" t="n">
        <f aca="false">SUMIFS(Vendor_Invoices_AP!$E$2:$E$882,Vendor_Invoices_AP!$B$2:$B$882,A149)</f>
        <v>203.15</v>
      </c>
      <c r="H149" s="16" t="str">
        <f aca="false">IF(F149=0,"Not Received","Received")</f>
        <v>Not Received</v>
      </c>
      <c r="I149" s="16" t="str">
        <f aca="false">IF(G149=0,"Not Invoiced","Invoiced")</f>
        <v>Invoiced</v>
      </c>
      <c r="J149" s="18" t="n">
        <f aca="false">E149-F149</f>
        <v>203.15</v>
      </c>
      <c r="K149" s="18" t="n">
        <f aca="false">E149-G149</f>
        <v>0</v>
      </c>
      <c r="L149" s="16" t="str">
        <f aca="false">IF(OR(AND(I149="Invoiced",H149="Not Received"),AND(F149&gt;0,ABS(J149)&gt;Assumptions!$B$6),AND(G149&gt;0,ABS(K149)&gt;Assumptions!$B$6)),"EXCEPTION","OK")</f>
        <v>EXCEPTION</v>
      </c>
    </row>
    <row r="150" customFormat="false" ht="15" hidden="false" customHeight="false" outlineLevel="0" collapsed="false">
      <c r="A150" s="16" t="str">
        <f aca="false">Purchase_Orders!A147</f>
        <v>PO10146</v>
      </c>
      <c r="B150" s="16" t="str">
        <f aca="false">Purchase_Orders!B147</f>
        <v>V1001</v>
      </c>
      <c r="C150" s="16" t="str">
        <f aca="false">IFERROR(INDEX(Vendor_Master!$B$2:$B$41,MATCH(B150,Vendor_Master!$A$2:$A$41,0)),"Unknown Vendor")</f>
        <v>Figueroa and Sons</v>
      </c>
      <c r="D150" s="17" t="n">
        <f aca="false">Purchase_Orders!C147</f>
        <v>46177</v>
      </c>
      <c r="E150" s="18" t="n">
        <f aca="false">Purchase_Orders!D147</f>
        <v>1362.11</v>
      </c>
      <c r="F150" s="18" t="n">
        <f aca="false">SUMIFS(Goods_Receipt_Notes!$D$2:$D$791,Goods_Receipt_Notes!$B$2:$B$791,A150)</f>
        <v>1362.11</v>
      </c>
      <c r="G150" s="18" t="n">
        <f aca="false">SUMIFS(Vendor_Invoices_AP!$E$2:$E$882,Vendor_Invoices_AP!$B$2:$B$882,A150)</f>
        <v>1362.11</v>
      </c>
      <c r="H150" s="16" t="str">
        <f aca="false">IF(F150=0,"Not Received","Received")</f>
        <v>Received</v>
      </c>
      <c r="I150" s="16" t="str">
        <f aca="false">IF(G150=0,"Not Invoiced","Invoiced")</f>
        <v>Invoiced</v>
      </c>
      <c r="J150" s="18" t="n">
        <f aca="false">E150-F150</f>
        <v>0</v>
      </c>
      <c r="K150" s="18" t="n">
        <f aca="false">E150-G150</f>
        <v>0</v>
      </c>
      <c r="L150" s="16" t="str">
        <f aca="false">IF(OR(AND(I150="Invoiced",H150="Not Received"),AND(F150&gt;0,ABS(J150)&gt;Assumptions!$B$6),AND(G150&gt;0,ABS(K150)&gt;Assumptions!$B$6)),"EXCEPTION","OK")</f>
        <v>OK</v>
      </c>
    </row>
    <row r="151" customFormat="false" ht="15" hidden="false" customHeight="false" outlineLevel="0" collapsed="false">
      <c r="A151" s="16" t="str">
        <f aca="false">Purchase_Orders!A148</f>
        <v>PO10147</v>
      </c>
      <c r="B151" s="16" t="str">
        <f aca="false">Purchase_Orders!B148</f>
        <v>V1036</v>
      </c>
      <c r="C151" s="16" t="str">
        <f aca="false">IFERROR(INDEX(Vendor_Master!$B$2:$B$41,MATCH(B151,Vendor_Master!$A$2:$A$41,0)),"Unknown Vendor")</f>
        <v>Dennis Inc</v>
      </c>
      <c r="D151" s="17" t="n">
        <f aca="false">Purchase_Orders!C148</f>
        <v>45886</v>
      </c>
      <c r="E151" s="18" t="n">
        <f aca="false">Purchase_Orders!D148</f>
        <v>3143.41</v>
      </c>
      <c r="F151" s="18" t="n">
        <f aca="false">SUMIFS(Goods_Receipt_Notes!$D$2:$D$791,Goods_Receipt_Notes!$B$2:$B$791,A151)</f>
        <v>3143.41</v>
      </c>
      <c r="G151" s="18" t="n">
        <f aca="false">SUMIFS(Vendor_Invoices_AP!$E$2:$E$882,Vendor_Invoices_AP!$B$2:$B$882,A151)</f>
        <v>3143.41</v>
      </c>
      <c r="H151" s="16" t="str">
        <f aca="false">IF(F151=0,"Not Received","Received")</f>
        <v>Received</v>
      </c>
      <c r="I151" s="16" t="str">
        <f aca="false">IF(G151=0,"Not Invoiced","Invoiced")</f>
        <v>Invoiced</v>
      </c>
      <c r="J151" s="18" t="n">
        <f aca="false">E151-F151</f>
        <v>0</v>
      </c>
      <c r="K151" s="18" t="n">
        <f aca="false">E151-G151</f>
        <v>0</v>
      </c>
      <c r="L151" s="16" t="str">
        <f aca="false">IF(OR(AND(I151="Invoiced",H151="Not Received"),AND(F151&gt;0,ABS(J151)&gt;Assumptions!$B$6),AND(G151&gt;0,ABS(K151)&gt;Assumptions!$B$6)),"EXCEPTION","OK")</f>
        <v>OK</v>
      </c>
    </row>
    <row r="152" customFormat="false" ht="15" hidden="false" customHeight="false" outlineLevel="0" collapsed="false">
      <c r="A152" s="16" t="str">
        <f aca="false">Purchase_Orders!A149</f>
        <v>PO10148</v>
      </c>
      <c r="B152" s="16" t="str">
        <f aca="false">Purchase_Orders!B149</f>
        <v>V1005</v>
      </c>
      <c r="C152" s="16" t="str">
        <f aca="false">IFERROR(INDEX(Vendor_Master!$B$2:$B$41,MATCH(B152,Vendor_Master!$A$2:$A$41,0)),"Unknown Vendor")</f>
        <v>Cole LLC</v>
      </c>
      <c r="D152" s="17" t="n">
        <f aca="false">Purchase_Orders!C149</f>
        <v>46065</v>
      </c>
      <c r="E152" s="18" t="n">
        <f aca="false">Purchase_Orders!D149</f>
        <v>13042.87</v>
      </c>
      <c r="F152" s="18" t="n">
        <f aca="false">SUMIFS(Goods_Receipt_Notes!$D$2:$D$791,Goods_Receipt_Notes!$B$2:$B$791,A152)</f>
        <v>13042.87</v>
      </c>
      <c r="G152" s="18" t="n">
        <f aca="false">SUMIFS(Vendor_Invoices_AP!$E$2:$E$882,Vendor_Invoices_AP!$B$2:$B$882,A152)</f>
        <v>13042.87</v>
      </c>
      <c r="H152" s="16" t="str">
        <f aca="false">IF(F152=0,"Not Received","Received")</f>
        <v>Received</v>
      </c>
      <c r="I152" s="16" t="str">
        <f aca="false">IF(G152=0,"Not Invoiced","Invoiced")</f>
        <v>Invoiced</v>
      </c>
      <c r="J152" s="18" t="n">
        <f aca="false">E152-F152</f>
        <v>0</v>
      </c>
      <c r="K152" s="18" t="n">
        <f aca="false">E152-G152</f>
        <v>0</v>
      </c>
      <c r="L152" s="16" t="str">
        <f aca="false">IF(OR(AND(I152="Invoiced",H152="Not Received"),AND(F152&gt;0,ABS(J152)&gt;Assumptions!$B$6),AND(G152&gt;0,ABS(K152)&gt;Assumptions!$B$6)),"EXCEPTION","OK")</f>
        <v>OK</v>
      </c>
    </row>
    <row r="153" customFormat="false" ht="15" hidden="false" customHeight="false" outlineLevel="0" collapsed="false">
      <c r="A153" s="16" t="str">
        <f aca="false">Purchase_Orders!A150</f>
        <v>PO10149</v>
      </c>
      <c r="B153" s="16" t="str">
        <f aca="false">Purchase_Orders!B150</f>
        <v>V1039</v>
      </c>
      <c r="C153" s="16" t="str">
        <f aca="false">IFERROR(INDEX(Vendor_Master!$B$2:$B$41,MATCH(B153,Vendor_Master!$A$2:$A$41,0)),"Unknown Vendor")</f>
        <v>Campos, Vaughn and Marquez</v>
      </c>
      <c r="D153" s="17" t="n">
        <f aca="false">Purchase_Orders!C150</f>
        <v>45955</v>
      </c>
      <c r="E153" s="18" t="n">
        <f aca="false">Purchase_Orders!D150</f>
        <v>4664.8</v>
      </c>
      <c r="F153" s="18" t="n">
        <f aca="false">SUMIFS(Goods_Receipt_Notes!$D$2:$D$791,Goods_Receipt_Notes!$B$2:$B$791,A153)</f>
        <v>4664.8</v>
      </c>
      <c r="G153" s="18" t="n">
        <f aca="false">SUMIFS(Vendor_Invoices_AP!$E$2:$E$882,Vendor_Invoices_AP!$B$2:$B$882,A153)</f>
        <v>4664.8</v>
      </c>
      <c r="H153" s="16" t="str">
        <f aca="false">IF(F153=0,"Not Received","Received")</f>
        <v>Received</v>
      </c>
      <c r="I153" s="16" t="str">
        <f aca="false">IF(G153=0,"Not Invoiced","Invoiced")</f>
        <v>Invoiced</v>
      </c>
      <c r="J153" s="18" t="n">
        <f aca="false">E153-F153</f>
        <v>0</v>
      </c>
      <c r="K153" s="18" t="n">
        <f aca="false">E153-G153</f>
        <v>0</v>
      </c>
      <c r="L153" s="16" t="str">
        <f aca="false">IF(OR(AND(I153="Invoiced",H153="Not Received"),AND(F153&gt;0,ABS(J153)&gt;Assumptions!$B$6),AND(G153&gt;0,ABS(K153)&gt;Assumptions!$B$6)),"EXCEPTION","OK")</f>
        <v>OK</v>
      </c>
    </row>
    <row r="154" customFormat="false" ht="15" hidden="false" customHeight="false" outlineLevel="0" collapsed="false">
      <c r="A154" s="16" t="str">
        <f aca="false">Purchase_Orders!A151</f>
        <v>PO10150</v>
      </c>
      <c r="B154" s="16" t="str">
        <f aca="false">Purchase_Orders!B151</f>
        <v>V1015</v>
      </c>
      <c r="C154" s="16" t="str">
        <f aca="false">IFERROR(INDEX(Vendor_Master!$B$2:$B$41,MATCH(B154,Vendor_Master!$A$2:$A$41,0)),"Unknown Vendor")</f>
        <v>Zuniga, Wong and Lynch</v>
      </c>
      <c r="D154" s="17" t="n">
        <f aca="false">Purchase_Orders!C151</f>
        <v>45986</v>
      </c>
      <c r="E154" s="18" t="n">
        <f aca="false">Purchase_Orders!D151</f>
        <v>2106.89</v>
      </c>
      <c r="F154" s="18" t="n">
        <f aca="false">SUMIFS(Goods_Receipt_Notes!$D$2:$D$791,Goods_Receipt_Notes!$B$2:$B$791,A154)</f>
        <v>2106.89</v>
      </c>
      <c r="G154" s="18" t="n">
        <f aca="false">SUMIFS(Vendor_Invoices_AP!$E$2:$E$882,Vendor_Invoices_AP!$B$2:$B$882,A154)</f>
        <v>2106.89</v>
      </c>
      <c r="H154" s="16" t="str">
        <f aca="false">IF(F154=0,"Not Received","Received")</f>
        <v>Received</v>
      </c>
      <c r="I154" s="16" t="str">
        <f aca="false">IF(G154=0,"Not Invoiced","Invoiced")</f>
        <v>Invoiced</v>
      </c>
      <c r="J154" s="18" t="n">
        <f aca="false">E154-F154</f>
        <v>0</v>
      </c>
      <c r="K154" s="18" t="n">
        <f aca="false">E154-G154</f>
        <v>0</v>
      </c>
      <c r="L154" s="16" t="str">
        <f aca="false">IF(OR(AND(I154="Invoiced",H154="Not Received"),AND(F154&gt;0,ABS(J154)&gt;Assumptions!$B$6),AND(G154&gt;0,ABS(K154)&gt;Assumptions!$B$6)),"EXCEPTION","OK")</f>
        <v>OK</v>
      </c>
    </row>
    <row r="155" customFormat="false" ht="15" hidden="false" customHeight="false" outlineLevel="0" collapsed="false">
      <c r="A155" s="16" t="str">
        <f aca="false">Purchase_Orders!A152</f>
        <v>PO10151</v>
      </c>
      <c r="B155" s="16" t="str">
        <f aca="false">Purchase_Orders!B152</f>
        <v>V1008</v>
      </c>
      <c r="C155" s="16" t="str">
        <f aca="false">IFERROR(INDEX(Vendor_Master!$B$2:$B$41,MATCH(B155,Vendor_Master!$A$2:$A$41,0)),"Unknown Vendor")</f>
        <v>Davis Inc</v>
      </c>
      <c r="D155" s="17" t="n">
        <f aca="false">Purchase_Orders!C152</f>
        <v>45778</v>
      </c>
      <c r="E155" s="18" t="n">
        <f aca="false">Purchase_Orders!D152</f>
        <v>7303.36</v>
      </c>
      <c r="F155" s="18" t="n">
        <f aca="false">SUMIFS(Goods_Receipt_Notes!$D$2:$D$791,Goods_Receipt_Notes!$B$2:$B$791,A155)</f>
        <v>7303.36</v>
      </c>
      <c r="G155" s="18" t="n">
        <f aca="false">SUMIFS(Vendor_Invoices_AP!$E$2:$E$882,Vendor_Invoices_AP!$B$2:$B$882,A155)</f>
        <v>7303.36</v>
      </c>
      <c r="H155" s="16" t="str">
        <f aca="false">IF(F155=0,"Not Received","Received")</f>
        <v>Received</v>
      </c>
      <c r="I155" s="16" t="str">
        <f aca="false">IF(G155=0,"Not Invoiced","Invoiced")</f>
        <v>Invoiced</v>
      </c>
      <c r="J155" s="18" t="n">
        <f aca="false">E155-F155</f>
        <v>0</v>
      </c>
      <c r="K155" s="18" t="n">
        <f aca="false">E155-G155</f>
        <v>0</v>
      </c>
      <c r="L155" s="16" t="str">
        <f aca="false">IF(OR(AND(I155="Invoiced",H155="Not Received"),AND(F155&gt;0,ABS(J155)&gt;Assumptions!$B$6),AND(G155&gt;0,ABS(K155)&gt;Assumptions!$B$6)),"EXCEPTION","OK")</f>
        <v>OK</v>
      </c>
    </row>
    <row r="156" customFormat="false" ht="15" hidden="false" customHeight="false" outlineLevel="0" collapsed="false">
      <c r="A156" s="16" t="str">
        <f aca="false">Purchase_Orders!A153</f>
        <v>PO10152</v>
      </c>
      <c r="B156" s="16" t="str">
        <f aca="false">Purchase_Orders!B153</f>
        <v>V1001</v>
      </c>
      <c r="C156" s="16" t="str">
        <f aca="false">IFERROR(INDEX(Vendor_Master!$B$2:$B$41,MATCH(B156,Vendor_Master!$A$2:$A$41,0)),"Unknown Vendor")</f>
        <v>Figueroa and Sons</v>
      </c>
      <c r="D156" s="17" t="n">
        <f aca="false">Purchase_Orders!C153</f>
        <v>45777</v>
      </c>
      <c r="E156" s="18" t="n">
        <f aca="false">Purchase_Orders!D153</f>
        <v>2285.28</v>
      </c>
      <c r="F156" s="18" t="n">
        <f aca="false">SUMIFS(Goods_Receipt_Notes!$D$2:$D$791,Goods_Receipt_Notes!$B$2:$B$791,A156)</f>
        <v>2285.28</v>
      </c>
      <c r="G156" s="18" t="n">
        <f aca="false">SUMIFS(Vendor_Invoices_AP!$E$2:$E$882,Vendor_Invoices_AP!$B$2:$B$882,A156)</f>
        <v>2285.28</v>
      </c>
      <c r="H156" s="16" t="str">
        <f aca="false">IF(F156=0,"Not Received","Received")</f>
        <v>Received</v>
      </c>
      <c r="I156" s="16" t="str">
        <f aca="false">IF(G156=0,"Not Invoiced","Invoiced")</f>
        <v>Invoiced</v>
      </c>
      <c r="J156" s="18" t="n">
        <f aca="false">E156-F156</f>
        <v>0</v>
      </c>
      <c r="K156" s="18" t="n">
        <f aca="false">E156-G156</f>
        <v>0</v>
      </c>
      <c r="L156" s="16" t="str">
        <f aca="false">IF(OR(AND(I156="Invoiced",H156="Not Received"),AND(F156&gt;0,ABS(J156)&gt;Assumptions!$B$6),AND(G156&gt;0,ABS(K156)&gt;Assumptions!$B$6)),"EXCEPTION","OK")</f>
        <v>OK</v>
      </c>
    </row>
    <row r="157" customFormat="false" ht="15" hidden="false" customHeight="false" outlineLevel="0" collapsed="false">
      <c r="A157" s="16" t="str">
        <f aca="false">Purchase_Orders!A154</f>
        <v>PO10153</v>
      </c>
      <c r="B157" s="16" t="str">
        <f aca="false">Purchase_Orders!B154</f>
        <v>V1018</v>
      </c>
      <c r="C157" s="16" t="str">
        <f aca="false">IFERROR(INDEX(Vendor_Master!$B$2:$B$41,MATCH(B157,Vendor_Master!$A$2:$A$41,0)),"Unknown Vendor")</f>
        <v>Underwood LLC</v>
      </c>
      <c r="D157" s="17" t="n">
        <f aca="false">Purchase_Orders!C154</f>
        <v>45895</v>
      </c>
      <c r="E157" s="18" t="n">
        <f aca="false">Purchase_Orders!D154</f>
        <v>298.46</v>
      </c>
      <c r="F157" s="18" t="n">
        <f aca="false">SUMIFS(Goods_Receipt_Notes!$D$2:$D$791,Goods_Receipt_Notes!$B$2:$B$791,A157)</f>
        <v>298.46</v>
      </c>
      <c r="G157" s="18" t="n">
        <f aca="false">SUMIFS(Vendor_Invoices_AP!$E$2:$E$882,Vendor_Invoices_AP!$B$2:$B$882,A157)</f>
        <v>358.03</v>
      </c>
      <c r="H157" s="16" t="str">
        <f aca="false">IF(F157=0,"Not Received","Received")</f>
        <v>Received</v>
      </c>
      <c r="I157" s="16" t="str">
        <f aca="false">IF(G157=0,"Not Invoiced","Invoiced")</f>
        <v>Invoiced</v>
      </c>
      <c r="J157" s="18" t="n">
        <f aca="false">E157-F157</f>
        <v>0</v>
      </c>
      <c r="K157" s="18" t="n">
        <f aca="false">E157-G157</f>
        <v>-59.57</v>
      </c>
      <c r="L157" s="16" t="str">
        <f aca="false">IF(OR(AND(I157="Invoiced",H157="Not Received"),AND(F157&gt;0,ABS(J157)&gt;Assumptions!$B$6),AND(G157&gt;0,ABS(K157)&gt;Assumptions!$B$6)),"EXCEPTION","OK")</f>
        <v>EXCEPTION</v>
      </c>
    </row>
    <row r="158" customFormat="false" ht="15" hidden="false" customHeight="false" outlineLevel="0" collapsed="false">
      <c r="A158" s="16" t="str">
        <f aca="false">Purchase_Orders!A155</f>
        <v>PO10154</v>
      </c>
      <c r="B158" s="16" t="str">
        <f aca="false">Purchase_Orders!B155</f>
        <v>V1017</v>
      </c>
      <c r="C158" s="16" t="str">
        <f aca="false">IFERROR(INDEX(Vendor_Master!$B$2:$B$41,MATCH(B158,Vendor_Master!$A$2:$A$41,0)),"Unknown Vendor")</f>
        <v>Hawkins, Cohen and Cameron</v>
      </c>
      <c r="D158" s="17" t="n">
        <f aca="false">Purchase_Orders!C155</f>
        <v>45673</v>
      </c>
      <c r="E158" s="18" t="n">
        <f aca="false">Purchase_Orders!D155</f>
        <v>2062.27</v>
      </c>
      <c r="F158" s="18" t="n">
        <f aca="false">SUMIFS(Goods_Receipt_Notes!$D$2:$D$791,Goods_Receipt_Notes!$B$2:$B$791,A158)</f>
        <v>2062.27</v>
      </c>
      <c r="G158" s="18" t="n">
        <f aca="false">SUMIFS(Vendor_Invoices_AP!$E$2:$E$882,Vendor_Invoices_AP!$B$2:$B$882,A158)</f>
        <v>2062.27</v>
      </c>
      <c r="H158" s="16" t="str">
        <f aca="false">IF(F158=0,"Not Received","Received")</f>
        <v>Received</v>
      </c>
      <c r="I158" s="16" t="str">
        <f aca="false">IF(G158=0,"Not Invoiced","Invoiced")</f>
        <v>Invoiced</v>
      </c>
      <c r="J158" s="18" t="n">
        <f aca="false">E158-F158</f>
        <v>0</v>
      </c>
      <c r="K158" s="18" t="n">
        <f aca="false">E158-G158</f>
        <v>0</v>
      </c>
      <c r="L158" s="16" t="str">
        <f aca="false">IF(OR(AND(I158="Invoiced",H158="Not Received"),AND(F158&gt;0,ABS(J158)&gt;Assumptions!$B$6),AND(G158&gt;0,ABS(K158)&gt;Assumptions!$B$6)),"EXCEPTION","OK")</f>
        <v>OK</v>
      </c>
    </row>
    <row r="159" customFormat="false" ht="15" hidden="false" customHeight="false" outlineLevel="0" collapsed="false">
      <c r="A159" s="16" t="str">
        <f aca="false">Purchase_Orders!A156</f>
        <v>PO10155</v>
      </c>
      <c r="B159" s="16" t="str">
        <f aca="false">Purchase_Orders!B156</f>
        <v>V1025</v>
      </c>
      <c r="C159" s="16" t="str">
        <f aca="false">IFERROR(INDEX(Vendor_Master!$B$2:$B$41,MATCH(B159,Vendor_Master!$A$2:$A$41,0)),"Unknown Vendor")</f>
        <v>Conner Group</v>
      </c>
      <c r="D159" s="17" t="n">
        <f aca="false">Purchase_Orders!C156</f>
        <v>45841</v>
      </c>
      <c r="E159" s="18" t="n">
        <f aca="false">Purchase_Orders!D156</f>
        <v>8142.95</v>
      </c>
      <c r="F159" s="18" t="n">
        <f aca="false">SUMIFS(Goods_Receipt_Notes!$D$2:$D$791,Goods_Receipt_Notes!$B$2:$B$791,A159)</f>
        <v>8142.95</v>
      </c>
      <c r="G159" s="18" t="n">
        <f aca="false">SUMIFS(Vendor_Invoices_AP!$E$2:$E$882,Vendor_Invoices_AP!$B$2:$B$882,A159)</f>
        <v>8142.95</v>
      </c>
      <c r="H159" s="16" t="str">
        <f aca="false">IF(F159=0,"Not Received","Received")</f>
        <v>Received</v>
      </c>
      <c r="I159" s="16" t="str">
        <f aca="false">IF(G159=0,"Not Invoiced","Invoiced")</f>
        <v>Invoiced</v>
      </c>
      <c r="J159" s="18" t="n">
        <f aca="false">E159-F159</f>
        <v>0</v>
      </c>
      <c r="K159" s="18" t="n">
        <f aca="false">E159-G159</f>
        <v>0</v>
      </c>
      <c r="L159" s="16" t="str">
        <f aca="false">IF(OR(AND(I159="Invoiced",H159="Not Received"),AND(F159&gt;0,ABS(J159)&gt;Assumptions!$B$6),AND(G159&gt;0,ABS(K159)&gt;Assumptions!$B$6)),"EXCEPTION","OK")</f>
        <v>OK</v>
      </c>
    </row>
    <row r="160" customFormat="false" ht="15" hidden="false" customHeight="false" outlineLevel="0" collapsed="false">
      <c r="A160" s="16" t="str">
        <f aca="false">Purchase_Orders!A157</f>
        <v>PO10156</v>
      </c>
      <c r="B160" s="16" t="str">
        <f aca="false">Purchase_Orders!B157</f>
        <v>V1017</v>
      </c>
      <c r="C160" s="16" t="str">
        <f aca="false">IFERROR(INDEX(Vendor_Master!$B$2:$B$41,MATCH(B160,Vendor_Master!$A$2:$A$41,0)),"Unknown Vendor")</f>
        <v>Hawkins, Cohen and Cameron</v>
      </c>
      <c r="D160" s="17" t="n">
        <f aca="false">Purchase_Orders!C157</f>
        <v>46028</v>
      </c>
      <c r="E160" s="18" t="n">
        <f aca="false">Purchase_Orders!D157</f>
        <v>499.89</v>
      </c>
      <c r="F160" s="18" t="n">
        <f aca="false">SUMIFS(Goods_Receipt_Notes!$D$2:$D$791,Goods_Receipt_Notes!$B$2:$B$791,A160)</f>
        <v>499.89</v>
      </c>
      <c r="G160" s="18" t="n">
        <f aca="false">SUMIFS(Vendor_Invoices_AP!$E$2:$E$882,Vendor_Invoices_AP!$B$2:$B$882,A160)</f>
        <v>499.89</v>
      </c>
      <c r="H160" s="16" t="str">
        <f aca="false">IF(F160=0,"Not Received","Received")</f>
        <v>Received</v>
      </c>
      <c r="I160" s="16" t="str">
        <f aca="false">IF(G160=0,"Not Invoiced","Invoiced")</f>
        <v>Invoiced</v>
      </c>
      <c r="J160" s="18" t="n">
        <f aca="false">E160-F160</f>
        <v>0</v>
      </c>
      <c r="K160" s="18" t="n">
        <f aca="false">E160-G160</f>
        <v>0</v>
      </c>
      <c r="L160" s="16" t="str">
        <f aca="false">IF(OR(AND(I160="Invoiced",H160="Not Received"),AND(F160&gt;0,ABS(J160)&gt;Assumptions!$B$6),AND(G160&gt;0,ABS(K160)&gt;Assumptions!$B$6)),"EXCEPTION","OK")</f>
        <v>OK</v>
      </c>
    </row>
    <row r="161" customFormat="false" ht="15" hidden="false" customHeight="false" outlineLevel="0" collapsed="false">
      <c r="A161" s="16" t="str">
        <f aca="false">Purchase_Orders!A158</f>
        <v>PO10157</v>
      </c>
      <c r="B161" s="16" t="str">
        <f aca="false">Purchase_Orders!B158</f>
        <v>V1007</v>
      </c>
      <c r="C161" s="16" t="str">
        <f aca="false">IFERROR(INDEX(Vendor_Master!$B$2:$B$41,MATCH(B161,Vendor_Master!$A$2:$A$41,0)),"Unknown Vendor")</f>
        <v>Ramirez-Lewis</v>
      </c>
      <c r="D161" s="17" t="n">
        <f aca="false">Purchase_Orders!C158</f>
        <v>45878</v>
      </c>
      <c r="E161" s="18" t="n">
        <f aca="false">Purchase_Orders!D158</f>
        <v>2573.09</v>
      </c>
      <c r="F161" s="18" t="n">
        <f aca="false">SUMIFS(Goods_Receipt_Notes!$D$2:$D$791,Goods_Receipt_Notes!$B$2:$B$791,A161)</f>
        <v>2573.09</v>
      </c>
      <c r="G161" s="18" t="n">
        <f aca="false">SUMIFS(Vendor_Invoices_AP!$E$2:$E$882,Vendor_Invoices_AP!$B$2:$B$882,A161)</f>
        <v>2573.09</v>
      </c>
      <c r="H161" s="16" t="str">
        <f aca="false">IF(F161=0,"Not Received","Received")</f>
        <v>Received</v>
      </c>
      <c r="I161" s="16" t="str">
        <f aca="false">IF(G161=0,"Not Invoiced","Invoiced")</f>
        <v>Invoiced</v>
      </c>
      <c r="J161" s="18" t="n">
        <f aca="false">E161-F161</f>
        <v>0</v>
      </c>
      <c r="K161" s="18" t="n">
        <f aca="false">E161-G161</f>
        <v>0</v>
      </c>
      <c r="L161" s="16" t="str">
        <f aca="false">IF(OR(AND(I161="Invoiced",H161="Not Received"),AND(F161&gt;0,ABS(J161)&gt;Assumptions!$B$6),AND(G161&gt;0,ABS(K161)&gt;Assumptions!$B$6)),"EXCEPTION","OK")</f>
        <v>OK</v>
      </c>
    </row>
    <row r="162" customFormat="false" ht="15" hidden="false" customHeight="false" outlineLevel="0" collapsed="false">
      <c r="A162" s="16" t="str">
        <f aca="false">Purchase_Orders!A159</f>
        <v>PO10158</v>
      </c>
      <c r="B162" s="16" t="str">
        <f aca="false">Purchase_Orders!B159</f>
        <v>V1002</v>
      </c>
      <c r="C162" s="16" t="str">
        <f aca="false">IFERROR(INDEX(Vendor_Master!$B$2:$B$41,MATCH(B162,Vendor_Master!$A$2:$A$41,0)),"Unknown Vendor")</f>
        <v>Garcia, Yang and Gardner</v>
      </c>
      <c r="D162" s="17" t="n">
        <f aca="false">Purchase_Orders!C159</f>
        <v>45747</v>
      </c>
      <c r="E162" s="18" t="n">
        <f aca="false">Purchase_Orders!D159</f>
        <v>2238.27</v>
      </c>
      <c r="F162" s="18" t="n">
        <f aca="false">SUMIFS(Goods_Receipt_Notes!$D$2:$D$791,Goods_Receipt_Notes!$B$2:$B$791,A162)</f>
        <v>2238.27</v>
      </c>
      <c r="G162" s="18" t="n">
        <f aca="false">SUMIFS(Vendor_Invoices_AP!$E$2:$E$882,Vendor_Invoices_AP!$B$2:$B$882,A162)</f>
        <v>2632.16</v>
      </c>
      <c r="H162" s="16" t="str">
        <f aca="false">IF(F162=0,"Not Received","Received")</f>
        <v>Received</v>
      </c>
      <c r="I162" s="16" t="str">
        <f aca="false">IF(G162=0,"Not Invoiced","Invoiced")</f>
        <v>Invoiced</v>
      </c>
      <c r="J162" s="18" t="n">
        <f aca="false">E162-F162</f>
        <v>0</v>
      </c>
      <c r="K162" s="18" t="n">
        <f aca="false">E162-G162</f>
        <v>-393.89</v>
      </c>
      <c r="L162" s="16" t="str">
        <f aca="false">IF(OR(AND(I162="Invoiced",H162="Not Received"),AND(F162&gt;0,ABS(J162)&gt;Assumptions!$B$6),AND(G162&gt;0,ABS(K162)&gt;Assumptions!$B$6)),"EXCEPTION","OK")</f>
        <v>EXCEPTION</v>
      </c>
    </row>
    <row r="163" customFormat="false" ht="15" hidden="false" customHeight="false" outlineLevel="0" collapsed="false">
      <c r="A163" s="16" t="str">
        <f aca="false">Purchase_Orders!A160</f>
        <v>PO10159</v>
      </c>
      <c r="B163" s="16" t="str">
        <f aca="false">Purchase_Orders!B160</f>
        <v>V1001</v>
      </c>
      <c r="C163" s="16" t="str">
        <f aca="false">IFERROR(INDEX(Vendor_Master!$B$2:$B$41,MATCH(B163,Vendor_Master!$A$2:$A$41,0)),"Unknown Vendor")</f>
        <v>Figueroa and Sons</v>
      </c>
      <c r="D163" s="17" t="n">
        <f aca="false">Purchase_Orders!C160</f>
        <v>45912</v>
      </c>
      <c r="E163" s="18" t="n">
        <f aca="false">Purchase_Orders!D160</f>
        <v>332.16</v>
      </c>
      <c r="F163" s="18" t="n">
        <f aca="false">SUMIFS(Goods_Receipt_Notes!$D$2:$D$791,Goods_Receipt_Notes!$B$2:$B$791,A163)</f>
        <v>183.39</v>
      </c>
      <c r="G163" s="18" t="n">
        <f aca="false">SUMIFS(Vendor_Invoices_AP!$E$2:$E$882,Vendor_Invoices_AP!$B$2:$B$882,A163)</f>
        <v>332.16</v>
      </c>
      <c r="H163" s="16" t="str">
        <f aca="false">IF(F163=0,"Not Received","Received")</f>
        <v>Received</v>
      </c>
      <c r="I163" s="16" t="str">
        <f aca="false">IF(G163=0,"Not Invoiced","Invoiced")</f>
        <v>Invoiced</v>
      </c>
      <c r="J163" s="18" t="n">
        <f aca="false">E163-F163</f>
        <v>148.77</v>
      </c>
      <c r="K163" s="18" t="n">
        <f aca="false">E163-G163</f>
        <v>0</v>
      </c>
      <c r="L163" s="16" t="str">
        <f aca="false">IF(OR(AND(I163="Invoiced",H163="Not Received"),AND(F163&gt;0,ABS(J163)&gt;Assumptions!$B$6),AND(G163&gt;0,ABS(K163)&gt;Assumptions!$B$6)),"EXCEPTION","OK")</f>
        <v>EXCEPTION</v>
      </c>
    </row>
    <row r="164" customFormat="false" ht="15" hidden="false" customHeight="false" outlineLevel="0" collapsed="false">
      <c r="A164" s="16" t="str">
        <f aca="false">Purchase_Orders!A161</f>
        <v>PO10160</v>
      </c>
      <c r="B164" s="16" t="str">
        <f aca="false">Purchase_Orders!B161</f>
        <v>V1021</v>
      </c>
      <c r="C164" s="16" t="str">
        <f aca="false">IFERROR(INDEX(Vendor_Master!$B$2:$B$41,MATCH(B164,Vendor_Master!$A$2:$A$41,0)),"Unknown Vendor")</f>
        <v>Ellis, Baker and Wright</v>
      </c>
      <c r="D164" s="17" t="n">
        <f aca="false">Purchase_Orders!C161</f>
        <v>45727</v>
      </c>
      <c r="E164" s="18" t="n">
        <f aca="false">Purchase_Orders!D161</f>
        <v>390.27</v>
      </c>
      <c r="F164" s="18" t="n">
        <f aca="false">SUMIFS(Goods_Receipt_Notes!$D$2:$D$791,Goods_Receipt_Notes!$B$2:$B$791,A164)</f>
        <v>341.94</v>
      </c>
      <c r="G164" s="18" t="n">
        <f aca="false">SUMIFS(Vendor_Invoices_AP!$E$2:$E$882,Vendor_Invoices_AP!$B$2:$B$882,A164)</f>
        <v>390.27</v>
      </c>
      <c r="H164" s="16" t="str">
        <f aca="false">IF(F164=0,"Not Received","Received")</f>
        <v>Received</v>
      </c>
      <c r="I164" s="16" t="str">
        <f aca="false">IF(G164=0,"Not Invoiced","Invoiced")</f>
        <v>Invoiced</v>
      </c>
      <c r="J164" s="18" t="n">
        <f aca="false">E164-F164</f>
        <v>48.33</v>
      </c>
      <c r="K164" s="18" t="n">
        <f aca="false">E164-G164</f>
        <v>0</v>
      </c>
      <c r="L164" s="16" t="str">
        <f aca="false">IF(OR(AND(I164="Invoiced",H164="Not Received"),AND(F164&gt;0,ABS(J164)&gt;Assumptions!$B$6),AND(G164&gt;0,ABS(K164)&gt;Assumptions!$B$6)),"EXCEPTION","OK")</f>
        <v>EXCEPTION</v>
      </c>
    </row>
    <row r="165" customFormat="false" ht="15" hidden="false" customHeight="false" outlineLevel="0" collapsed="false">
      <c r="A165" s="16" t="str">
        <f aca="false">Purchase_Orders!A162</f>
        <v>PO10161</v>
      </c>
      <c r="B165" s="16" t="str">
        <f aca="false">Purchase_Orders!B162</f>
        <v>V1035</v>
      </c>
      <c r="C165" s="16" t="str">
        <f aca="false">IFERROR(INDEX(Vendor_Master!$B$2:$B$41,MATCH(B165,Vendor_Master!$A$2:$A$41,0)),"Unknown Vendor")</f>
        <v>Allen PLC</v>
      </c>
      <c r="D165" s="17" t="n">
        <f aca="false">Purchase_Orders!C162</f>
        <v>45997</v>
      </c>
      <c r="E165" s="18" t="n">
        <f aca="false">Purchase_Orders!D162</f>
        <v>783.53</v>
      </c>
      <c r="F165" s="18" t="n">
        <f aca="false">SUMIFS(Goods_Receipt_Notes!$D$2:$D$791,Goods_Receipt_Notes!$B$2:$B$791,A165)</f>
        <v>783.53</v>
      </c>
      <c r="G165" s="18" t="n">
        <f aca="false">SUMIFS(Vendor_Invoices_AP!$E$2:$E$882,Vendor_Invoices_AP!$B$2:$B$882,A165)</f>
        <v>783.53</v>
      </c>
      <c r="H165" s="16" t="str">
        <f aca="false">IF(F165=0,"Not Received","Received")</f>
        <v>Received</v>
      </c>
      <c r="I165" s="16" t="str">
        <f aca="false">IF(G165=0,"Not Invoiced","Invoiced")</f>
        <v>Invoiced</v>
      </c>
      <c r="J165" s="18" t="n">
        <f aca="false">E165-F165</f>
        <v>0</v>
      </c>
      <c r="K165" s="18" t="n">
        <f aca="false">E165-G165</f>
        <v>0</v>
      </c>
      <c r="L165" s="16" t="str">
        <f aca="false">IF(OR(AND(I165="Invoiced",H165="Not Received"),AND(F165&gt;0,ABS(J165)&gt;Assumptions!$B$6),AND(G165&gt;0,ABS(K165)&gt;Assumptions!$B$6)),"EXCEPTION","OK")</f>
        <v>OK</v>
      </c>
    </row>
    <row r="166" customFormat="false" ht="15" hidden="false" customHeight="false" outlineLevel="0" collapsed="false">
      <c r="A166" s="16" t="str">
        <f aca="false">Purchase_Orders!A163</f>
        <v>PO10162</v>
      </c>
      <c r="B166" s="16" t="str">
        <f aca="false">Purchase_Orders!B163</f>
        <v>V1025</v>
      </c>
      <c r="C166" s="16" t="str">
        <f aca="false">IFERROR(INDEX(Vendor_Master!$B$2:$B$41,MATCH(B166,Vendor_Master!$A$2:$A$41,0)),"Unknown Vendor")</f>
        <v>Conner Group</v>
      </c>
      <c r="D166" s="17" t="n">
        <f aca="false">Purchase_Orders!C163</f>
        <v>45672</v>
      </c>
      <c r="E166" s="18" t="n">
        <f aca="false">Purchase_Orders!D163</f>
        <v>2198.89</v>
      </c>
      <c r="F166" s="18" t="n">
        <f aca="false">SUMIFS(Goods_Receipt_Notes!$D$2:$D$791,Goods_Receipt_Notes!$B$2:$B$791,A166)</f>
        <v>2198.89</v>
      </c>
      <c r="G166" s="18" t="n">
        <f aca="false">SUMIFS(Vendor_Invoices_AP!$E$2:$E$882,Vendor_Invoices_AP!$B$2:$B$882,A166)</f>
        <v>2198.89</v>
      </c>
      <c r="H166" s="16" t="str">
        <f aca="false">IF(F166=0,"Not Received","Received")</f>
        <v>Received</v>
      </c>
      <c r="I166" s="16" t="str">
        <f aca="false">IF(G166=0,"Not Invoiced","Invoiced")</f>
        <v>Invoiced</v>
      </c>
      <c r="J166" s="18" t="n">
        <f aca="false">E166-F166</f>
        <v>0</v>
      </c>
      <c r="K166" s="18" t="n">
        <f aca="false">E166-G166</f>
        <v>0</v>
      </c>
      <c r="L166" s="16" t="str">
        <f aca="false">IF(OR(AND(I166="Invoiced",H166="Not Received"),AND(F166&gt;0,ABS(J166)&gt;Assumptions!$B$6),AND(G166&gt;0,ABS(K166)&gt;Assumptions!$B$6)),"EXCEPTION","OK")</f>
        <v>OK</v>
      </c>
    </row>
    <row r="167" customFormat="false" ht="15" hidden="false" customHeight="false" outlineLevel="0" collapsed="false">
      <c r="A167" s="16" t="str">
        <f aca="false">Purchase_Orders!A164</f>
        <v>PO10163</v>
      </c>
      <c r="B167" s="16" t="str">
        <f aca="false">Purchase_Orders!B164</f>
        <v>V1011</v>
      </c>
      <c r="C167" s="16" t="str">
        <f aca="false">IFERROR(INDEX(Vendor_Master!$B$2:$B$41,MATCH(B167,Vendor_Master!$A$2:$A$41,0)),"Unknown Vendor")</f>
        <v>Montgomery, Hensley and Ray</v>
      </c>
      <c r="D167" s="17" t="n">
        <f aca="false">Purchase_Orders!C164</f>
        <v>45872</v>
      </c>
      <c r="E167" s="18" t="n">
        <f aca="false">Purchase_Orders!D164</f>
        <v>327.42</v>
      </c>
      <c r="F167" s="18" t="n">
        <f aca="false">SUMIFS(Goods_Receipt_Notes!$D$2:$D$791,Goods_Receipt_Notes!$B$2:$B$791,A167)</f>
        <v>327.42</v>
      </c>
      <c r="G167" s="18" t="n">
        <f aca="false">SUMIFS(Vendor_Invoices_AP!$E$2:$E$882,Vendor_Invoices_AP!$B$2:$B$882,A167)</f>
        <v>327.42</v>
      </c>
      <c r="H167" s="16" t="str">
        <f aca="false">IF(F167=0,"Not Received","Received")</f>
        <v>Received</v>
      </c>
      <c r="I167" s="16" t="str">
        <f aca="false">IF(G167=0,"Not Invoiced","Invoiced")</f>
        <v>Invoiced</v>
      </c>
      <c r="J167" s="18" t="n">
        <f aca="false">E167-F167</f>
        <v>0</v>
      </c>
      <c r="K167" s="18" t="n">
        <f aca="false">E167-G167</f>
        <v>0</v>
      </c>
      <c r="L167" s="16" t="str">
        <f aca="false">IF(OR(AND(I167="Invoiced",H167="Not Received"),AND(F167&gt;0,ABS(J167)&gt;Assumptions!$B$6),AND(G167&gt;0,ABS(K167)&gt;Assumptions!$B$6)),"EXCEPTION","OK")</f>
        <v>OK</v>
      </c>
    </row>
    <row r="168" customFormat="false" ht="15" hidden="false" customHeight="false" outlineLevel="0" collapsed="false">
      <c r="A168" s="16" t="str">
        <f aca="false">Purchase_Orders!A165</f>
        <v>PO10164</v>
      </c>
      <c r="B168" s="16" t="str">
        <f aca="false">Purchase_Orders!B165</f>
        <v>V1014</v>
      </c>
      <c r="C168" s="16" t="str">
        <f aca="false">IFERROR(INDEX(Vendor_Master!$B$2:$B$41,MATCH(B168,Vendor_Master!$A$2:$A$41,0)),"Unknown Vendor")</f>
        <v>Flowers, Martin and Kelly</v>
      </c>
      <c r="D168" s="17" t="n">
        <f aca="false">Purchase_Orders!C165</f>
        <v>45965</v>
      </c>
      <c r="E168" s="18" t="n">
        <f aca="false">Purchase_Orders!D165</f>
        <v>12338.24</v>
      </c>
      <c r="F168" s="18" t="n">
        <f aca="false">SUMIFS(Goods_Receipt_Notes!$D$2:$D$791,Goods_Receipt_Notes!$B$2:$B$791,A168)</f>
        <v>12338.24</v>
      </c>
      <c r="G168" s="18" t="n">
        <f aca="false">SUMIFS(Vendor_Invoices_AP!$E$2:$E$882,Vendor_Invoices_AP!$B$2:$B$882,A168)</f>
        <v>12338.24</v>
      </c>
      <c r="H168" s="16" t="str">
        <f aca="false">IF(F168=0,"Not Received","Received")</f>
        <v>Received</v>
      </c>
      <c r="I168" s="16" t="str">
        <f aca="false">IF(G168=0,"Not Invoiced","Invoiced")</f>
        <v>Invoiced</v>
      </c>
      <c r="J168" s="18" t="n">
        <f aca="false">E168-F168</f>
        <v>0</v>
      </c>
      <c r="K168" s="18" t="n">
        <f aca="false">E168-G168</f>
        <v>0</v>
      </c>
      <c r="L168" s="16" t="str">
        <f aca="false">IF(OR(AND(I168="Invoiced",H168="Not Received"),AND(F168&gt;0,ABS(J168)&gt;Assumptions!$B$6),AND(G168&gt;0,ABS(K168)&gt;Assumptions!$B$6)),"EXCEPTION","OK")</f>
        <v>OK</v>
      </c>
    </row>
    <row r="169" customFormat="false" ht="15" hidden="false" customHeight="false" outlineLevel="0" collapsed="false">
      <c r="A169" s="16" t="str">
        <f aca="false">Purchase_Orders!A166</f>
        <v>PO10165</v>
      </c>
      <c r="B169" s="16" t="str">
        <f aca="false">Purchase_Orders!B166</f>
        <v>V1022</v>
      </c>
      <c r="C169" s="16" t="str">
        <f aca="false">IFERROR(INDEX(Vendor_Master!$B$2:$B$41,MATCH(B169,Vendor_Master!$A$2:$A$41,0)),"Unknown Vendor")</f>
        <v>Burgess-Patterson</v>
      </c>
      <c r="D169" s="17" t="n">
        <f aca="false">Purchase_Orders!C166</f>
        <v>45672</v>
      </c>
      <c r="E169" s="18" t="n">
        <f aca="false">Purchase_Orders!D166</f>
        <v>1431.29</v>
      </c>
      <c r="F169" s="18" t="n">
        <f aca="false">SUMIFS(Goods_Receipt_Notes!$D$2:$D$791,Goods_Receipt_Notes!$B$2:$B$791,A169)</f>
        <v>1431.29</v>
      </c>
      <c r="G169" s="18" t="n">
        <f aca="false">SUMIFS(Vendor_Invoices_AP!$E$2:$E$882,Vendor_Invoices_AP!$B$2:$B$882,A169)</f>
        <v>1431.29</v>
      </c>
      <c r="H169" s="16" t="str">
        <f aca="false">IF(F169=0,"Not Received","Received")</f>
        <v>Received</v>
      </c>
      <c r="I169" s="16" t="str">
        <f aca="false">IF(G169=0,"Not Invoiced","Invoiced")</f>
        <v>Invoiced</v>
      </c>
      <c r="J169" s="18" t="n">
        <f aca="false">E169-F169</f>
        <v>0</v>
      </c>
      <c r="K169" s="18" t="n">
        <f aca="false">E169-G169</f>
        <v>0</v>
      </c>
      <c r="L169" s="16" t="str">
        <f aca="false">IF(OR(AND(I169="Invoiced",H169="Not Received"),AND(F169&gt;0,ABS(J169)&gt;Assumptions!$B$6),AND(G169&gt;0,ABS(K169)&gt;Assumptions!$B$6)),"EXCEPTION","OK")</f>
        <v>OK</v>
      </c>
    </row>
    <row r="170" customFormat="false" ht="15" hidden="false" customHeight="false" outlineLevel="0" collapsed="false">
      <c r="A170" s="16" t="str">
        <f aca="false">Purchase_Orders!A167</f>
        <v>PO10166</v>
      </c>
      <c r="B170" s="16" t="str">
        <f aca="false">Purchase_Orders!B167</f>
        <v>V1028</v>
      </c>
      <c r="C170" s="16" t="str">
        <f aca="false">IFERROR(INDEX(Vendor_Master!$B$2:$B$41,MATCH(B170,Vendor_Master!$A$2:$A$41,0)),"Unknown Vendor")</f>
        <v>Potter, Mack and Peterson</v>
      </c>
      <c r="D170" s="17" t="n">
        <f aca="false">Purchase_Orders!C167</f>
        <v>46008</v>
      </c>
      <c r="E170" s="18" t="n">
        <f aca="false">Purchase_Orders!D167</f>
        <v>9458.18</v>
      </c>
      <c r="F170" s="18" t="n">
        <f aca="false">SUMIFS(Goods_Receipt_Notes!$D$2:$D$791,Goods_Receipt_Notes!$B$2:$B$791,A170)</f>
        <v>9458.18</v>
      </c>
      <c r="G170" s="18" t="n">
        <f aca="false">SUMIFS(Vendor_Invoices_AP!$E$2:$E$882,Vendor_Invoices_AP!$B$2:$B$882,A170)</f>
        <v>9458.18</v>
      </c>
      <c r="H170" s="16" t="str">
        <f aca="false">IF(F170=0,"Not Received","Received")</f>
        <v>Received</v>
      </c>
      <c r="I170" s="16" t="str">
        <f aca="false">IF(G170=0,"Not Invoiced","Invoiced")</f>
        <v>Invoiced</v>
      </c>
      <c r="J170" s="18" t="n">
        <f aca="false">E170-F170</f>
        <v>0</v>
      </c>
      <c r="K170" s="18" t="n">
        <f aca="false">E170-G170</f>
        <v>0</v>
      </c>
      <c r="L170" s="16" t="str">
        <f aca="false">IF(OR(AND(I170="Invoiced",H170="Not Received"),AND(F170&gt;0,ABS(J170)&gt;Assumptions!$B$6),AND(G170&gt;0,ABS(K170)&gt;Assumptions!$B$6)),"EXCEPTION","OK")</f>
        <v>OK</v>
      </c>
    </row>
    <row r="171" customFormat="false" ht="15" hidden="false" customHeight="false" outlineLevel="0" collapsed="false">
      <c r="A171" s="16" t="str">
        <f aca="false">Purchase_Orders!A168</f>
        <v>PO10167</v>
      </c>
      <c r="B171" s="16" t="str">
        <f aca="false">Purchase_Orders!B168</f>
        <v>V1033</v>
      </c>
      <c r="C171" s="16" t="str">
        <f aca="false">IFERROR(INDEX(Vendor_Master!$B$2:$B$41,MATCH(B171,Vendor_Master!$A$2:$A$41,0)),"Unknown Vendor")</f>
        <v>Sellers, George and Burns</v>
      </c>
      <c r="D171" s="17" t="n">
        <f aca="false">Purchase_Orders!C168</f>
        <v>45731</v>
      </c>
      <c r="E171" s="18" t="n">
        <f aca="false">Purchase_Orders!D168</f>
        <v>354.26</v>
      </c>
      <c r="F171" s="18" t="n">
        <f aca="false">SUMIFS(Goods_Receipt_Notes!$D$2:$D$791,Goods_Receipt_Notes!$B$2:$B$791,A171)</f>
        <v>354.26</v>
      </c>
      <c r="G171" s="18" t="n">
        <f aca="false">SUMIFS(Vendor_Invoices_AP!$E$2:$E$882,Vendor_Invoices_AP!$B$2:$B$882,A171)</f>
        <v>354.26</v>
      </c>
      <c r="H171" s="16" t="str">
        <f aca="false">IF(F171=0,"Not Received","Received")</f>
        <v>Received</v>
      </c>
      <c r="I171" s="16" t="str">
        <f aca="false">IF(G171=0,"Not Invoiced","Invoiced")</f>
        <v>Invoiced</v>
      </c>
      <c r="J171" s="18" t="n">
        <f aca="false">E171-F171</f>
        <v>0</v>
      </c>
      <c r="K171" s="18" t="n">
        <f aca="false">E171-G171</f>
        <v>0</v>
      </c>
      <c r="L171" s="16" t="str">
        <f aca="false">IF(OR(AND(I171="Invoiced",H171="Not Received"),AND(F171&gt;0,ABS(J171)&gt;Assumptions!$B$6),AND(G171&gt;0,ABS(K171)&gt;Assumptions!$B$6)),"EXCEPTION","OK")</f>
        <v>OK</v>
      </c>
    </row>
    <row r="172" customFormat="false" ht="15" hidden="false" customHeight="false" outlineLevel="0" collapsed="false">
      <c r="A172" s="16" t="str">
        <f aca="false">Purchase_Orders!A169</f>
        <v>PO10168</v>
      </c>
      <c r="B172" s="16" t="str">
        <f aca="false">Purchase_Orders!B169</f>
        <v>V1024</v>
      </c>
      <c r="C172" s="16" t="str">
        <f aca="false">IFERROR(INDEX(Vendor_Master!$B$2:$B$41,MATCH(B172,Vendor_Master!$A$2:$A$41,0)),"Unknown Vendor")</f>
        <v>Campos Inc</v>
      </c>
      <c r="D172" s="17" t="n">
        <f aca="false">Purchase_Orders!C169</f>
        <v>45909</v>
      </c>
      <c r="E172" s="18" t="n">
        <f aca="false">Purchase_Orders!D169</f>
        <v>1640.65</v>
      </c>
      <c r="F172" s="18" t="n">
        <f aca="false">SUMIFS(Goods_Receipt_Notes!$D$2:$D$791,Goods_Receipt_Notes!$B$2:$B$791,A172)</f>
        <v>1640.65</v>
      </c>
      <c r="G172" s="18" t="n">
        <f aca="false">SUMIFS(Vendor_Invoices_AP!$E$2:$E$882,Vendor_Invoices_AP!$B$2:$B$882,A172)</f>
        <v>3281.3</v>
      </c>
      <c r="H172" s="16" t="str">
        <f aca="false">IF(F172=0,"Not Received","Received")</f>
        <v>Received</v>
      </c>
      <c r="I172" s="16" t="str">
        <f aca="false">IF(G172=0,"Not Invoiced","Invoiced")</f>
        <v>Invoiced</v>
      </c>
      <c r="J172" s="18" t="n">
        <f aca="false">E172-F172</f>
        <v>0</v>
      </c>
      <c r="K172" s="18" t="n">
        <f aca="false">E172-G172</f>
        <v>-1640.65</v>
      </c>
      <c r="L172" s="16" t="str">
        <f aca="false">IF(OR(AND(I172="Invoiced",H172="Not Received"),AND(F172&gt;0,ABS(J172)&gt;Assumptions!$B$6),AND(G172&gt;0,ABS(K172)&gt;Assumptions!$B$6)),"EXCEPTION","OK")</f>
        <v>EXCEPTION</v>
      </c>
    </row>
    <row r="173" customFormat="false" ht="15" hidden="false" customHeight="false" outlineLevel="0" collapsed="false">
      <c r="A173" s="16" t="str">
        <f aca="false">Purchase_Orders!A170</f>
        <v>PO10169</v>
      </c>
      <c r="B173" s="16" t="str">
        <f aca="false">Purchase_Orders!B170</f>
        <v>V1011</v>
      </c>
      <c r="C173" s="16" t="str">
        <f aca="false">IFERROR(INDEX(Vendor_Master!$B$2:$B$41,MATCH(B173,Vendor_Master!$A$2:$A$41,0)),"Unknown Vendor")</f>
        <v>Montgomery, Hensley and Ray</v>
      </c>
      <c r="D173" s="17" t="n">
        <f aca="false">Purchase_Orders!C170</f>
        <v>45685</v>
      </c>
      <c r="E173" s="18" t="n">
        <f aca="false">Purchase_Orders!D170</f>
        <v>14457.87</v>
      </c>
      <c r="F173" s="18" t="n">
        <f aca="false">SUMIFS(Goods_Receipt_Notes!$D$2:$D$791,Goods_Receipt_Notes!$B$2:$B$791,A173)</f>
        <v>14457.87</v>
      </c>
      <c r="G173" s="18" t="n">
        <f aca="false">SUMIFS(Vendor_Invoices_AP!$E$2:$E$882,Vendor_Invoices_AP!$B$2:$B$882,A173)</f>
        <v>14457.87</v>
      </c>
      <c r="H173" s="16" t="str">
        <f aca="false">IF(F173=0,"Not Received","Received")</f>
        <v>Received</v>
      </c>
      <c r="I173" s="16" t="str">
        <f aca="false">IF(G173=0,"Not Invoiced","Invoiced")</f>
        <v>Invoiced</v>
      </c>
      <c r="J173" s="18" t="n">
        <f aca="false">E173-F173</f>
        <v>0</v>
      </c>
      <c r="K173" s="18" t="n">
        <f aca="false">E173-G173</f>
        <v>0</v>
      </c>
      <c r="L173" s="16" t="str">
        <f aca="false">IF(OR(AND(I173="Invoiced",H173="Not Received"),AND(F173&gt;0,ABS(J173)&gt;Assumptions!$B$6),AND(G173&gt;0,ABS(K173)&gt;Assumptions!$B$6)),"EXCEPTION","OK")</f>
        <v>OK</v>
      </c>
    </row>
    <row r="174" customFormat="false" ht="15" hidden="false" customHeight="false" outlineLevel="0" collapsed="false">
      <c r="A174" s="16" t="str">
        <f aca="false">Purchase_Orders!A171</f>
        <v>PO10170</v>
      </c>
      <c r="B174" s="16" t="str">
        <f aca="false">Purchase_Orders!B171</f>
        <v>V1011</v>
      </c>
      <c r="C174" s="16" t="str">
        <f aca="false">IFERROR(INDEX(Vendor_Master!$B$2:$B$41,MATCH(B174,Vendor_Master!$A$2:$A$41,0)),"Unknown Vendor")</f>
        <v>Montgomery, Hensley and Ray</v>
      </c>
      <c r="D174" s="17" t="n">
        <f aca="false">Purchase_Orders!C171</f>
        <v>45864</v>
      </c>
      <c r="E174" s="18" t="n">
        <f aca="false">Purchase_Orders!D171</f>
        <v>3828.96</v>
      </c>
      <c r="F174" s="18" t="n">
        <f aca="false">SUMIFS(Goods_Receipt_Notes!$D$2:$D$791,Goods_Receipt_Notes!$B$2:$B$791,A174)</f>
        <v>3828.96</v>
      </c>
      <c r="G174" s="18" t="n">
        <f aca="false">SUMIFS(Vendor_Invoices_AP!$E$2:$E$882,Vendor_Invoices_AP!$B$2:$B$882,A174)</f>
        <v>3828.96</v>
      </c>
      <c r="H174" s="16" t="str">
        <f aca="false">IF(F174=0,"Not Received","Received")</f>
        <v>Received</v>
      </c>
      <c r="I174" s="16" t="str">
        <f aca="false">IF(G174=0,"Not Invoiced","Invoiced")</f>
        <v>Invoiced</v>
      </c>
      <c r="J174" s="18" t="n">
        <f aca="false">E174-F174</f>
        <v>0</v>
      </c>
      <c r="K174" s="18" t="n">
        <f aca="false">E174-G174</f>
        <v>0</v>
      </c>
      <c r="L174" s="16" t="str">
        <f aca="false">IF(OR(AND(I174="Invoiced",H174="Not Received"),AND(F174&gt;0,ABS(J174)&gt;Assumptions!$B$6),AND(G174&gt;0,ABS(K174)&gt;Assumptions!$B$6)),"EXCEPTION","OK")</f>
        <v>OK</v>
      </c>
    </row>
    <row r="175" customFormat="false" ht="15" hidden="false" customHeight="false" outlineLevel="0" collapsed="false">
      <c r="A175" s="16" t="str">
        <f aca="false">Purchase_Orders!A172</f>
        <v>PO10171</v>
      </c>
      <c r="B175" s="16" t="str">
        <f aca="false">Purchase_Orders!B172</f>
        <v>V1025</v>
      </c>
      <c r="C175" s="16" t="str">
        <f aca="false">IFERROR(INDEX(Vendor_Master!$B$2:$B$41,MATCH(B175,Vendor_Master!$A$2:$A$41,0)),"Unknown Vendor")</f>
        <v>Conner Group</v>
      </c>
      <c r="D175" s="17" t="n">
        <f aca="false">Purchase_Orders!C172</f>
        <v>45773</v>
      </c>
      <c r="E175" s="18" t="n">
        <f aca="false">Purchase_Orders!D172</f>
        <v>1542.51</v>
      </c>
      <c r="F175" s="18" t="n">
        <f aca="false">SUMIFS(Goods_Receipt_Notes!$D$2:$D$791,Goods_Receipt_Notes!$B$2:$B$791,A175)</f>
        <v>1542.51</v>
      </c>
      <c r="G175" s="18" t="n">
        <f aca="false">SUMIFS(Vendor_Invoices_AP!$E$2:$E$882,Vendor_Invoices_AP!$B$2:$B$882,A175)</f>
        <v>1542.51</v>
      </c>
      <c r="H175" s="16" t="str">
        <f aca="false">IF(F175=0,"Not Received","Received")</f>
        <v>Received</v>
      </c>
      <c r="I175" s="16" t="str">
        <f aca="false">IF(G175=0,"Not Invoiced","Invoiced")</f>
        <v>Invoiced</v>
      </c>
      <c r="J175" s="18" t="n">
        <f aca="false">E175-F175</f>
        <v>0</v>
      </c>
      <c r="K175" s="18" t="n">
        <f aca="false">E175-G175</f>
        <v>0</v>
      </c>
      <c r="L175" s="16" t="str">
        <f aca="false">IF(OR(AND(I175="Invoiced",H175="Not Received"),AND(F175&gt;0,ABS(J175)&gt;Assumptions!$B$6),AND(G175&gt;0,ABS(K175)&gt;Assumptions!$B$6)),"EXCEPTION","OK")</f>
        <v>OK</v>
      </c>
    </row>
    <row r="176" customFormat="false" ht="15" hidden="false" customHeight="false" outlineLevel="0" collapsed="false">
      <c r="A176" s="16" t="str">
        <f aca="false">Purchase_Orders!A173</f>
        <v>PO10172</v>
      </c>
      <c r="B176" s="16" t="str">
        <f aca="false">Purchase_Orders!B173</f>
        <v>V1020</v>
      </c>
      <c r="C176" s="16" t="str">
        <f aca="false">IFERROR(INDEX(Vendor_Master!$B$2:$B$41,MATCH(B176,Vendor_Master!$A$2:$A$41,0)),"Unknown Vendor")</f>
        <v>Lewis-Porter</v>
      </c>
      <c r="D176" s="17" t="n">
        <f aca="false">Purchase_Orders!C173</f>
        <v>45836</v>
      </c>
      <c r="E176" s="18" t="n">
        <f aca="false">Purchase_Orders!D173</f>
        <v>1235.82</v>
      </c>
      <c r="F176" s="18" t="n">
        <f aca="false">SUMIFS(Goods_Receipt_Notes!$D$2:$D$791,Goods_Receipt_Notes!$B$2:$B$791,A176)</f>
        <v>1235.82</v>
      </c>
      <c r="G176" s="18" t="n">
        <f aca="false">SUMIFS(Vendor_Invoices_AP!$E$2:$E$882,Vendor_Invoices_AP!$B$2:$B$882,A176)</f>
        <v>1235.82</v>
      </c>
      <c r="H176" s="16" t="str">
        <f aca="false">IF(F176=0,"Not Received","Received")</f>
        <v>Received</v>
      </c>
      <c r="I176" s="16" t="str">
        <f aca="false">IF(G176=0,"Not Invoiced","Invoiced")</f>
        <v>Invoiced</v>
      </c>
      <c r="J176" s="18" t="n">
        <f aca="false">E176-F176</f>
        <v>0</v>
      </c>
      <c r="K176" s="18" t="n">
        <f aca="false">E176-G176</f>
        <v>0</v>
      </c>
      <c r="L176" s="16" t="str">
        <f aca="false">IF(OR(AND(I176="Invoiced",H176="Not Received"),AND(F176&gt;0,ABS(J176)&gt;Assumptions!$B$6),AND(G176&gt;0,ABS(K176)&gt;Assumptions!$B$6)),"EXCEPTION","OK")</f>
        <v>OK</v>
      </c>
    </row>
    <row r="177" customFormat="false" ht="15" hidden="false" customHeight="false" outlineLevel="0" collapsed="false">
      <c r="A177" s="16" t="str">
        <f aca="false">Purchase_Orders!A174</f>
        <v>PO10173</v>
      </c>
      <c r="B177" s="16" t="str">
        <f aca="false">Purchase_Orders!B174</f>
        <v>V1005</v>
      </c>
      <c r="C177" s="16" t="str">
        <f aca="false">IFERROR(INDEX(Vendor_Master!$B$2:$B$41,MATCH(B177,Vendor_Master!$A$2:$A$41,0)),"Unknown Vendor")</f>
        <v>Cole LLC</v>
      </c>
      <c r="D177" s="17" t="n">
        <f aca="false">Purchase_Orders!C174</f>
        <v>46072</v>
      </c>
      <c r="E177" s="18" t="n">
        <f aca="false">Purchase_Orders!D174</f>
        <v>21822.22</v>
      </c>
      <c r="F177" s="18" t="n">
        <f aca="false">SUMIFS(Goods_Receipt_Notes!$D$2:$D$791,Goods_Receipt_Notes!$B$2:$B$791,A177)</f>
        <v>21822.22</v>
      </c>
      <c r="G177" s="18" t="n">
        <f aca="false">SUMIFS(Vendor_Invoices_AP!$E$2:$E$882,Vendor_Invoices_AP!$B$2:$B$882,A177)</f>
        <v>21822.22</v>
      </c>
      <c r="H177" s="16" t="str">
        <f aca="false">IF(F177=0,"Not Received","Received")</f>
        <v>Received</v>
      </c>
      <c r="I177" s="16" t="str">
        <f aca="false">IF(G177=0,"Not Invoiced","Invoiced")</f>
        <v>Invoiced</v>
      </c>
      <c r="J177" s="18" t="n">
        <f aca="false">E177-F177</f>
        <v>0</v>
      </c>
      <c r="K177" s="18" t="n">
        <f aca="false">E177-G177</f>
        <v>0</v>
      </c>
      <c r="L177" s="16" t="str">
        <f aca="false">IF(OR(AND(I177="Invoiced",H177="Not Received"),AND(F177&gt;0,ABS(J177)&gt;Assumptions!$B$6),AND(G177&gt;0,ABS(K177)&gt;Assumptions!$B$6)),"EXCEPTION","OK")</f>
        <v>OK</v>
      </c>
    </row>
    <row r="178" customFormat="false" ht="15" hidden="false" customHeight="false" outlineLevel="0" collapsed="false">
      <c r="A178" s="16" t="str">
        <f aca="false">Purchase_Orders!A175</f>
        <v>PO10174</v>
      </c>
      <c r="B178" s="16" t="str">
        <f aca="false">Purchase_Orders!B175</f>
        <v>V1001</v>
      </c>
      <c r="C178" s="16" t="str">
        <f aca="false">IFERROR(INDEX(Vendor_Master!$B$2:$B$41,MATCH(B178,Vendor_Master!$A$2:$A$41,0)),"Unknown Vendor")</f>
        <v>Figueroa and Sons</v>
      </c>
      <c r="D178" s="17" t="n">
        <f aca="false">Purchase_Orders!C175</f>
        <v>45864</v>
      </c>
      <c r="E178" s="18" t="n">
        <f aca="false">Purchase_Orders!D175</f>
        <v>3828.8</v>
      </c>
      <c r="F178" s="18" t="n">
        <f aca="false">SUMIFS(Goods_Receipt_Notes!$D$2:$D$791,Goods_Receipt_Notes!$B$2:$B$791,A178)</f>
        <v>3828.8</v>
      </c>
      <c r="G178" s="18" t="n">
        <f aca="false">SUMIFS(Vendor_Invoices_AP!$E$2:$E$882,Vendor_Invoices_AP!$B$2:$B$882,A178)</f>
        <v>3828.8</v>
      </c>
      <c r="H178" s="16" t="str">
        <f aca="false">IF(F178=0,"Not Received","Received")</f>
        <v>Received</v>
      </c>
      <c r="I178" s="16" t="str">
        <f aca="false">IF(G178=0,"Not Invoiced","Invoiced")</f>
        <v>Invoiced</v>
      </c>
      <c r="J178" s="18" t="n">
        <f aca="false">E178-F178</f>
        <v>0</v>
      </c>
      <c r="K178" s="18" t="n">
        <f aca="false">E178-G178</f>
        <v>0</v>
      </c>
      <c r="L178" s="16" t="str">
        <f aca="false">IF(OR(AND(I178="Invoiced",H178="Not Received"),AND(F178&gt;0,ABS(J178)&gt;Assumptions!$B$6),AND(G178&gt;0,ABS(K178)&gt;Assumptions!$B$6)),"EXCEPTION","OK")</f>
        <v>OK</v>
      </c>
    </row>
    <row r="179" customFormat="false" ht="15" hidden="false" customHeight="false" outlineLevel="0" collapsed="false">
      <c r="A179" s="16" t="str">
        <f aca="false">Purchase_Orders!A176</f>
        <v>PO10175</v>
      </c>
      <c r="B179" s="16" t="str">
        <f aca="false">Purchase_Orders!B176</f>
        <v>V1024</v>
      </c>
      <c r="C179" s="16" t="str">
        <f aca="false">IFERROR(INDEX(Vendor_Master!$B$2:$B$41,MATCH(B179,Vendor_Master!$A$2:$A$41,0)),"Unknown Vendor")</f>
        <v>Campos Inc</v>
      </c>
      <c r="D179" s="17" t="n">
        <f aca="false">Purchase_Orders!C176</f>
        <v>46067</v>
      </c>
      <c r="E179" s="18" t="n">
        <f aca="false">Purchase_Orders!D176</f>
        <v>2084.01</v>
      </c>
      <c r="F179" s="18" t="n">
        <f aca="false">SUMIFS(Goods_Receipt_Notes!$D$2:$D$791,Goods_Receipt_Notes!$B$2:$B$791,A179)</f>
        <v>2084.01</v>
      </c>
      <c r="G179" s="18" t="n">
        <f aca="false">SUMIFS(Vendor_Invoices_AP!$E$2:$E$882,Vendor_Invoices_AP!$B$2:$B$882,A179)</f>
        <v>2084.01</v>
      </c>
      <c r="H179" s="16" t="str">
        <f aca="false">IF(F179=0,"Not Received","Received")</f>
        <v>Received</v>
      </c>
      <c r="I179" s="16" t="str">
        <f aca="false">IF(G179=0,"Not Invoiced","Invoiced")</f>
        <v>Invoiced</v>
      </c>
      <c r="J179" s="18" t="n">
        <f aca="false">E179-F179</f>
        <v>0</v>
      </c>
      <c r="K179" s="18" t="n">
        <f aca="false">E179-G179</f>
        <v>0</v>
      </c>
      <c r="L179" s="16" t="str">
        <f aca="false">IF(OR(AND(I179="Invoiced",H179="Not Received"),AND(F179&gt;0,ABS(J179)&gt;Assumptions!$B$6),AND(G179&gt;0,ABS(K179)&gt;Assumptions!$B$6)),"EXCEPTION","OK")</f>
        <v>OK</v>
      </c>
    </row>
    <row r="180" customFormat="false" ht="15" hidden="false" customHeight="false" outlineLevel="0" collapsed="false">
      <c r="A180" s="16" t="str">
        <f aca="false">Purchase_Orders!A177</f>
        <v>PO10176</v>
      </c>
      <c r="B180" s="16" t="str">
        <f aca="false">Purchase_Orders!B177</f>
        <v>V1003</v>
      </c>
      <c r="C180" s="16" t="str">
        <f aca="false">IFERROR(INDEX(Vendor_Master!$B$2:$B$41,MATCH(B180,Vendor_Master!$A$2:$A$41,0)),"Unknown Vendor")</f>
        <v>Johnson and Sons</v>
      </c>
      <c r="D180" s="17" t="n">
        <f aca="false">Purchase_Orders!C177</f>
        <v>46111</v>
      </c>
      <c r="E180" s="18" t="n">
        <f aca="false">Purchase_Orders!D177</f>
        <v>1489.22</v>
      </c>
      <c r="F180" s="18" t="n">
        <f aca="false">SUMIFS(Goods_Receipt_Notes!$D$2:$D$791,Goods_Receipt_Notes!$B$2:$B$791,A180)</f>
        <v>1489.22</v>
      </c>
      <c r="G180" s="18" t="n">
        <f aca="false">SUMIFS(Vendor_Invoices_AP!$E$2:$E$882,Vendor_Invoices_AP!$B$2:$B$882,A180)</f>
        <v>1489.22</v>
      </c>
      <c r="H180" s="16" t="str">
        <f aca="false">IF(F180=0,"Not Received","Received")</f>
        <v>Received</v>
      </c>
      <c r="I180" s="16" t="str">
        <f aca="false">IF(G180=0,"Not Invoiced","Invoiced")</f>
        <v>Invoiced</v>
      </c>
      <c r="J180" s="18" t="n">
        <f aca="false">E180-F180</f>
        <v>0</v>
      </c>
      <c r="K180" s="18" t="n">
        <f aca="false">E180-G180</f>
        <v>0</v>
      </c>
      <c r="L180" s="16" t="str">
        <f aca="false">IF(OR(AND(I180="Invoiced",H180="Not Received"),AND(F180&gt;0,ABS(J180)&gt;Assumptions!$B$6),AND(G180&gt;0,ABS(K180)&gt;Assumptions!$B$6)),"EXCEPTION","OK")</f>
        <v>OK</v>
      </c>
    </row>
    <row r="181" customFormat="false" ht="15" hidden="false" customHeight="false" outlineLevel="0" collapsed="false">
      <c r="A181" s="16" t="str">
        <f aca="false">Purchase_Orders!A178</f>
        <v>PO10177</v>
      </c>
      <c r="B181" s="16" t="str">
        <f aca="false">Purchase_Orders!B178</f>
        <v>V1035</v>
      </c>
      <c r="C181" s="16" t="str">
        <f aca="false">IFERROR(INDEX(Vendor_Master!$B$2:$B$41,MATCH(B181,Vendor_Master!$A$2:$A$41,0)),"Unknown Vendor")</f>
        <v>Allen PLC</v>
      </c>
      <c r="D181" s="17" t="n">
        <f aca="false">Purchase_Orders!C178</f>
        <v>45795</v>
      </c>
      <c r="E181" s="18" t="n">
        <f aca="false">Purchase_Orders!D178</f>
        <v>1056.69</v>
      </c>
      <c r="F181" s="18" t="n">
        <f aca="false">SUMIFS(Goods_Receipt_Notes!$D$2:$D$791,Goods_Receipt_Notes!$B$2:$B$791,A181)</f>
        <v>1056.69</v>
      </c>
      <c r="G181" s="18" t="n">
        <f aca="false">SUMIFS(Vendor_Invoices_AP!$E$2:$E$882,Vendor_Invoices_AP!$B$2:$B$882,A181)</f>
        <v>1056.69</v>
      </c>
      <c r="H181" s="16" t="str">
        <f aca="false">IF(F181=0,"Not Received","Received")</f>
        <v>Received</v>
      </c>
      <c r="I181" s="16" t="str">
        <f aca="false">IF(G181=0,"Not Invoiced","Invoiced")</f>
        <v>Invoiced</v>
      </c>
      <c r="J181" s="18" t="n">
        <f aca="false">E181-F181</f>
        <v>0</v>
      </c>
      <c r="K181" s="18" t="n">
        <f aca="false">E181-G181</f>
        <v>0</v>
      </c>
      <c r="L181" s="16" t="str">
        <f aca="false">IF(OR(AND(I181="Invoiced",H181="Not Received"),AND(F181&gt;0,ABS(J181)&gt;Assumptions!$B$6),AND(G181&gt;0,ABS(K181)&gt;Assumptions!$B$6)),"EXCEPTION","OK")</f>
        <v>OK</v>
      </c>
    </row>
    <row r="182" customFormat="false" ht="15" hidden="false" customHeight="false" outlineLevel="0" collapsed="false">
      <c r="A182" s="16" t="str">
        <f aca="false">Purchase_Orders!A179</f>
        <v>PO10178</v>
      </c>
      <c r="B182" s="16" t="str">
        <f aca="false">Purchase_Orders!B179</f>
        <v>V1009</v>
      </c>
      <c r="C182" s="16" t="str">
        <f aca="false">IFERROR(INDEX(Vendor_Master!$B$2:$B$41,MATCH(B182,Vendor_Master!$A$2:$A$41,0)),"Unknown Vendor")</f>
        <v>Munoz-Roman</v>
      </c>
      <c r="D182" s="17" t="n">
        <f aca="false">Purchase_Orders!C179</f>
        <v>45702</v>
      </c>
      <c r="E182" s="18" t="n">
        <f aca="false">Purchase_Orders!D179</f>
        <v>3628.81</v>
      </c>
      <c r="F182" s="18" t="n">
        <f aca="false">SUMIFS(Goods_Receipt_Notes!$D$2:$D$791,Goods_Receipt_Notes!$B$2:$B$791,A182)</f>
        <v>3628.81</v>
      </c>
      <c r="G182" s="18" t="n">
        <f aca="false">SUMIFS(Vendor_Invoices_AP!$E$2:$E$882,Vendor_Invoices_AP!$B$2:$B$882,A182)</f>
        <v>3628.81</v>
      </c>
      <c r="H182" s="16" t="str">
        <f aca="false">IF(F182=0,"Not Received","Received")</f>
        <v>Received</v>
      </c>
      <c r="I182" s="16" t="str">
        <f aca="false">IF(G182=0,"Not Invoiced","Invoiced")</f>
        <v>Invoiced</v>
      </c>
      <c r="J182" s="18" t="n">
        <f aca="false">E182-F182</f>
        <v>0</v>
      </c>
      <c r="K182" s="18" t="n">
        <f aca="false">E182-G182</f>
        <v>0</v>
      </c>
      <c r="L182" s="16" t="str">
        <f aca="false">IF(OR(AND(I182="Invoiced",H182="Not Received"),AND(F182&gt;0,ABS(J182)&gt;Assumptions!$B$6),AND(G182&gt;0,ABS(K182)&gt;Assumptions!$B$6)),"EXCEPTION","OK")</f>
        <v>OK</v>
      </c>
    </row>
    <row r="183" customFormat="false" ht="15" hidden="false" customHeight="false" outlineLevel="0" collapsed="false">
      <c r="A183" s="16" t="str">
        <f aca="false">Purchase_Orders!A180</f>
        <v>PO10179</v>
      </c>
      <c r="B183" s="16" t="str">
        <f aca="false">Purchase_Orders!B180</f>
        <v>V1034</v>
      </c>
      <c r="C183" s="16" t="str">
        <f aca="false">IFERROR(INDEX(Vendor_Master!$B$2:$B$41,MATCH(B183,Vendor_Master!$A$2:$A$41,0)),"Unknown Vendor")</f>
        <v>Koch-Decker</v>
      </c>
      <c r="D183" s="17" t="n">
        <f aca="false">Purchase_Orders!C180</f>
        <v>45668</v>
      </c>
      <c r="E183" s="18" t="n">
        <f aca="false">Purchase_Orders!D180</f>
        <v>588.95</v>
      </c>
      <c r="F183" s="18" t="n">
        <f aca="false">SUMIFS(Goods_Receipt_Notes!$D$2:$D$791,Goods_Receipt_Notes!$B$2:$B$791,A183)</f>
        <v>0</v>
      </c>
      <c r="G183" s="18" t="n">
        <f aca="false">SUMIFS(Vendor_Invoices_AP!$E$2:$E$882,Vendor_Invoices_AP!$B$2:$B$882,A183)</f>
        <v>588.95</v>
      </c>
      <c r="H183" s="16" t="str">
        <f aca="false">IF(F183=0,"Not Received","Received")</f>
        <v>Not Received</v>
      </c>
      <c r="I183" s="16" t="str">
        <f aca="false">IF(G183=0,"Not Invoiced","Invoiced")</f>
        <v>Invoiced</v>
      </c>
      <c r="J183" s="18" t="n">
        <f aca="false">E183-F183</f>
        <v>588.95</v>
      </c>
      <c r="K183" s="18" t="n">
        <f aca="false">E183-G183</f>
        <v>0</v>
      </c>
      <c r="L183" s="16" t="str">
        <f aca="false">IF(OR(AND(I183="Invoiced",H183="Not Received"),AND(F183&gt;0,ABS(J183)&gt;Assumptions!$B$6),AND(G183&gt;0,ABS(K183)&gt;Assumptions!$B$6)),"EXCEPTION","OK")</f>
        <v>EXCEPTION</v>
      </c>
    </row>
    <row r="184" customFormat="false" ht="15" hidden="false" customHeight="false" outlineLevel="0" collapsed="false">
      <c r="A184" s="16" t="str">
        <f aca="false">Purchase_Orders!A181</f>
        <v>PO10180</v>
      </c>
      <c r="B184" s="16" t="str">
        <f aca="false">Purchase_Orders!B181</f>
        <v>V1017</v>
      </c>
      <c r="C184" s="16" t="str">
        <f aca="false">IFERROR(INDEX(Vendor_Master!$B$2:$B$41,MATCH(B184,Vendor_Master!$A$2:$A$41,0)),"Unknown Vendor")</f>
        <v>Hawkins, Cohen and Cameron</v>
      </c>
      <c r="D184" s="17" t="n">
        <f aca="false">Purchase_Orders!C181</f>
        <v>45951</v>
      </c>
      <c r="E184" s="18" t="n">
        <f aca="false">Purchase_Orders!D181</f>
        <v>2268.78</v>
      </c>
      <c r="F184" s="18" t="n">
        <f aca="false">SUMIFS(Goods_Receipt_Notes!$D$2:$D$791,Goods_Receipt_Notes!$B$2:$B$791,A184)</f>
        <v>2268.78</v>
      </c>
      <c r="G184" s="18" t="n">
        <f aca="false">SUMIFS(Vendor_Invoices_AP!$E$2:$E$882,Vendor_Invoices_AP!$B$2:$B$882,A184)</f>
        <v>2268.78</v>
      </c>
      <c r="H184" s="16" t="str">
        <f aca="false">IF(F184=0,"Not Received","Received")</f>
        <v>Received</v>
      </c>
      <c r="I184" s="16" t="str">
        <f aca="false">IF(G184=0,"Not Invoiced","Invoiced")</f>
        <v>Invoiced</v>
      </c>
      <c r="J184" s="18" t="n">
        <f aca="false">E184-F184</f>
        <v>0</v>
      </c>
      <c r="K184" s="18" t="n">
        <f aca="false">E184-G184</f>
        <v>0</v>
      </c>
      <c r="L184" s="16" t="str">
        <f aca="false">IF(OR(AND(I184="Invoiced",H184="Not Received"),AND(F184&gt;0,ABS(J184)&gt;Assumptions!$B$6),AND(G184&gt;0,ABS(K184)&gt;Assumptions!$B$6)),"EXCEPTION","OK")</f>
        <v>OK</v>
      </c>
    </row>
    <row r="185" customFormat="false" ht="15" hidden="false" customHeight="false" outlineLevel="0" collapsed="false">
      <c r="A185" s="16" t="str">
        <f aca="false">Purchase_Orders!A182</f>
        <v>PO10181</v>
      </c>
      <c r="B185" s="16" t="str">
        <f aca="false">Purchase_Orders!B182</f>
        <v>V1021</v>
      </c>
      <c r="C185" s="16" t="str">
        <f aca="false">IFERROR(INDEX(Vendor_Master!$B$2:$B$41,MATCH(B185,Vendor_Master!$A$2:$A$41,0)),"Unknown Vendor")</f>
        <v>Ellis, Baker and Wright</v>
      </c>
      <c r="D185" s="17" t="n">
        <f aca="false">Purchase_Orders!C182</f>
        <v>46202</v>
      </c>
      <c r="E185" s="18" t="n">
        <f aca="false">Purchase_Orders!D182</f>
        <v>780.2</v>
      </c>
      <c r="F185" s="18" t="n">
        <f aca="false">SUMIFS(Goods_Receipt_Notes!$D$2:$D$791,Goods_Receipt_Notes!$B$2:$B$791,A185)</f>
        <v>780.2</v>
      </c>
      <c r="G185" s="18" t="n">
        <f aca="false">SUMIFS(Vendor_Invoices_AP!$E$2:$E$882,Vendor_Invoices_AP!$B$2:$B$882,A185)</f>
        <v>780.2</v>
      </c>
      <c r="H185" s="16" t="str">
        <f aca="false">IF(F185=0,"Not Received","Received")</f>
        <v>Received</v>
      </c>
      <c r="I185" s="16" t="str">
        <f aca="false">IF(G185=0,"Not Invoiced","Invoiced")</f>
        <v>Invoiced</v>
      </c>
      <c r="J185" s="18" t="n">
        <f aca="false">E185-F185</f>
        <v>0</v>
      </c>
      <c r="K185" s="18" t="n">
        <f aca="false">E185-G185</f>
        <v>0</v>
      </c>
      <c r="L185" s="16" t="str">
        <f aca="false">IF(OR(AND(I185="Invoiced",H185="Not Received"),AND(F185&gt;0,ABS(J185)&gt;Assumptions!$B$6),AND(G185&gt;0,ABS(K185)&gt;Assumptions!$B$6)),"EXCEPTION","OK")</f>
        <v>OK</v>
      </c>
    </row>
    <row r="186" customFormat="false" ht="15" hidden="false" customHeight="false" outlineLevel="0" collapsed="false">
      <c r="A186" s="16" t="str">
        <f aca="false">Purchase_Orders!A183</f>
        <v>PO10182</v>
      </c>
      <c r="B186" s="16" t="str">
        <f aca="false">Purchase_Orders!B183</f>
        <v>V1033</v>
      </c>
      <c r="C186" s="16" t="str">
        <f aca="false">IFERROR(INDEX(Vendor_Master!$B$2:$B$41,MATCH(B186,Vendor_Master!$A$2:$A$41,0)),"Unknown Vendor")</f>
        <v>Sellers, George and Burns</v>
      </c>
      <c r="D186" s="17" t="n">
        <f aca="false">Purchase_Orders!C183</f>
        <v>45848</v>
      </c>
      <c r="E186" s="18" t="n">
        <f aca="false">Purchase_Orders!D183</f>
        <v>560.32</v>
      </c>
      <c r="F186" s="18" t="n">
        <f aca="false">SUMIFS(Goods_Receipt_Notes!$D$2:$D$791,Goods_Receipt_Notes!$B$2:$B$791,A186)</f>
        <v>560.32</v>
      </c>
      <c r="G186" s="18" t="n">
        <f aca="false">SUMIFS(Vendor_Invoices_AP!$E$2:$E$882,Vendor_Invoices_AP!$B$2:$B$882,A186)</f>
        <v>560.32</v>
      </c>
      <c r="H186" s="16" t="str">
        <f aca="false">IF(F186=0,"Not Received","Received")</f>
        <v>Received</v>
      </c>
      <c r="I186" s="16" t="str">
        <f aca="false">IF(G186=0,"Not Invoiced","Invoiced")</f>
        <v>Invoiced</v>
      </c>
      <c r="J186" s="18" t="n">
        <f aca="false">E186-F186</f>
        <v>0</v>
      </c>
      <c r="K186" s="18" t="n">
        <f aca="false">E186-G186</f>
        <v>0</v>
      </c>
      <c r="L186" s="16" t="str">
        <f aca="false">IF(OR(AND(I186="Invoiced",H186="Not Received"),AND(F186&gt;0,ABS(J186)&gt;Assumptions!$B$6),AND(G186&gt;0,ABS(K186)&gt;Assumptions!$B$6)),"EXCEPTION","OK")</f>
        <v>OK</v>
      </c>
    </row>
    <row r="187" customFormat="false" ht="15" hidden="false" customHeight="false" outlineLevel="0" collapsed="false">
      <c r="A187" s="16" t="str">
        <f aca="false">Purchase_Orders!A184</f>
        <v>PO10183</v>
      </c>
      <c r="B187" s="16" t="str">
        <f aca="false">Purchase_Orders!B184</f>
        <v>V1005</v>
      </c>
      <c r="C187" s="16" t="str">
        <f aca="false">IFERROR(INDEX(Vendor_Master!$B$2:$B$41,MATCH(B187,Vendor_Master!$A$2:$A$41,0)),"Unknown Vendor")</f>
        <v>Cole LLC</v>
      </c>
      <c r="D187" s="17" t="n">
        <f aca="false">Purchase_Orders!C184</f>
        <v>46012</v>
      </c>
      <c r="E187" s="18" t="n">
        <f aca="false">Purchase_Orders!D184</f>
        <v>1987.68</v>
      </c>
      <c r="F187" s="18" t="n">
        <f aca="false">SUMIFS(Goods_Receipt_Notes!$D$2:$D$791,Goods_Receipt_Notes!$B$2:$B$791,A187)</f>
        <v>1987.68</v>
      </c>
      <c r="G187" s="18" t="n">
        <f aca="false">SUMIFS(Vendor_Invoices_AP!$E$2:$E$882,Vendor_Invoices_AP!$B$2:$B$882,A187)</f>
        <v>2281.25</v>
      </c>
      <c r="H187" s="16" t="str">
        <f aca="false">IF(F187=0,"Not Received","Received")</f>
        <v>Received</v>
      </c>
      <c r="I187" s="16" t="str">
        <f aca="false">IF(G187=0,"Not Invoiced","Invoiced")</f>
        <v>Invoiced</v>
      </c>
      <c r="J187" s="18" t="n">
        <f aca="false">E187-F187</f>
        <v>0</v>
      </c>
      <c r="K187" s="18" t="n">
        <f aca="false">E187-G187</f>
        <v>-293.57</v>
      </c>
      <c r="L187" s="16" t="str">
        <f aca="false">IF(OR(AND(I187="Invoiced",H187="Not Received"),AND(F187&gt;0,ABS(J187)&gt;Assumptions!$B$6),AND(G187&gt;0,ABS(K187)&gt;Assumptions!$B$6)),"EXCEPTION","OK")</f>
        <v>EXCEPTION</v>
      </c>
    </row>
    <row r="188" customFormat="false" ht="15" hidden="false" customHeight="false" outlineLevel="0" collapsed="false">
      <c r="A188" s="16" t="str">
        <f aca="false">Purchase_Orders!A185</f>
        <v>PO10184</v>
      </c>
      <c r="B188" s="16" t="str">
        <f aca="false">Purchase_Orders!B185</f>
        <v>V1008</v>
      </c>
      <c r="C188" s="16" t="str">
        <f aca="false">IFERROR(INDEX(Vendor_Master!$B$2:$B$41,MATCH(B188,Vendor_Master!$A$2:$A$41,0)),"Unknown Vendor")</f>
        <v>Davis Inc</v>
      </c>
      <c r="D188" s="17" t="n">
        <f aca="false">Purchase_Orders!C185</f>
        <v>46083</v>
      </c>
      <c r="E188" s="18" t="n">
        <f aca="false">Purchase_Orders!D185</f>
        <v>795.03</v>
      </c>
      <c r="F188" s="18" t="n">
        <f aca="false">SUMIFS(Goods_Receipt_Notes!$D$2:$D$791,Goods_Receipt_Notes!$B$2:$B$791,A188)</f>
        <v>795.03</v>
      </c>
      <c r="G188" s="18" t="n">
        <f aca="false">SUMIFS(Vendor_Invoices_AP!$E$2:$E$882,Vendor_Invoices_AP!$B$2:$B$882,A188)</f>
        <v>795.03</v>
      </c>
      <c r="H188" s="16" t="str">
        <f aca="false">IF(F188=0,"Not Received","Received")</f>
        <v>Received</v>
      </c>
      <c r="I188" s="16" t="str">
        <f aca="false">IF(G188=0,"Not Invoiced","Invoiced")</f>
        <v>Invoiced</v>
      </c>
      <c r="J188" s="18" t="n">
        <f aca="false">E188-F188</f>
        <v>0</v>
      </c>
      <c r="K188" s="18" t="n">
        <f aca="false">E188-G188</f>
        <v>0</v>
      </c>
      <c r="L188" s="16" t="str">
        <f aca="false">IF(OR(AND(I188="Invoiced",H188="Not Received"),AND(F188&gt;0,ABS(J188)&gt;Assumptions!$B$6),AND(G188&gt;0,ABS(K188)&gt;Assumptions!$B$6)),"EXCEPTION","OK")</f>
        <v>OK</v>
      </c>
    </row>
    <row r="189" customFormat="false" ht="15" hidden="false" customHeight="false" outlineLevel="0" collapsed="false">
      <c r="A189" s="16" t="str">
        <f aca="false">Purchase_Orders!A186</f>
        <v>PO10185</v>
      </c>
      <c r="B189" s="16" t="str">
        <f aca="false">Purchase_Orders!B186</f>
        <v>V1038</v>
      </c>
      <c r="C189" s="16" t="str">
        <f aca="false">IFERROR(INDEX(Vendor_Master!$B$2:$B$41,MATCH(B189,Vendor_Master!$A$2:$A$41,0)),"Unknown Vendor")</f>
        <v>Rose-Obrien</v>
      </c>
      <c r="D189" s="17" t="n">
        <f aca="false">Purchase_Orders!C186</f>
        <v>46013</v>
      </c>
      <c r="E189" s="18" t="n">
        <f aca="false">Purchase_Orders!D186</f>
        <v>1829.81</v>
      </c>
      <c r="F189" s="18" t="n">
        <f aca="false">SUMIFS(Goods_Receipt_Notes!$D$2:$D$791,Goods_Receipt_Notes!$B$2:$B$791,A189)</f>
        <v>1829.81</v>
      </c>
      <c r="G189" s="18" t="n">
        <f aca="false">SUMIFS(Vendor_Invoices_AP!$E$2:$E$882,Vendor_Invoices_AP!$B$2:$B$882,A189)</f>
        <v>1829.81</v>
      </c>
      <c r="H189" s="16" t="str">
        <f aca="false">IF(F189=0,"Not Received","Received")</f>
        <v>Received</v>
      </c>
      <c r="I189" s="16" t="str">
        <f aca="false">IF(G189=0,"Not Invoiced","Invoiced")</f>
        <v>Invoiced</v>
      </c>
      <c r="J189" s="18" t="n">
        <f aca="false">E189-F189</f>
        <v>0</v>
      </c>
      <c r="K189" s="18" t="n">
        <f aca="false">E189-G189</f>
        <v>0</v>
      </c>
      <c r="L189" s="16" t="str">
        <f aca="false">IF(OR(AND(I189="Invoiced",H189="Not Received"),AND(F189&gt;0,ABS(J189)&gt;Assumptions!$B$6),AND(G189&gt;0,ABS(K189)&gt;Assumptions!$B$6)),"EXCEPTION","OK")</f>
        <v>OK</v>
      </c>
    </row>
    <row r="190" customFormat="false" ht="15" hidden="false" customHeight="false" outlineLevel="0" collapsed="false">
      <c r="A190" s="16" t="str">
        <f aca="false">Purchase_Orders!A187</f>
        <v>PO10186</v>
      </c>
      <c r="B190" s="16" t="str">
        <f aca="false">Purchase_Orders!B187</f>
        <v>V1017</v>
      </c>
      <c r="C190" s="16" t="str">
        <f aca="false">IFERROR(INDEX(Vendor_Master!$B$2:$B$41,MATCH(B190,Vendor_Master!$A$2:$A$41,0)),"Unknown Vendor")</f>
        <v>Hawkins, Cohen and Cameron</v>
      </c>
      <c r="D190" s="17" t="n">
        <f aca="false">Purchase_Orders!C187</f>
        <v>46069</v>
      </c>
      <c r="E190" s="18" t="n">
        <f aca="false">Purchase_Orders!D187</f>
        <v>3351.54</v>
      </c>
      <c r="F190" s="18" t="n">
        <f aca="false">SUMIFS(Goods_Receipt_Notes!$D$2:$D$791,Goods_Receipt_Notes!$B$2:$B$791,A190)</f>
        <v>3351.54</v>
      </c>
      <c r="G190" s="18" t="n">
        <f aca="false">SUMIFS(Vendor_Invoices_AP!$E$2:$E$882,Vendor_Invoices_AP!$B$2:$B$882,A190)</f>
        <v>3612.23</v>
      </c>
      <c r="H190" s="16" t="str">
        <f aca="false">IF(F190=0,"Not Received","Received")</f>
        <v>Received</v>
      </c>
      <c r="I190" s="16" t="str">
        <f aca="false">IF(G190=0,"Not Invoiced","Invoiced")</f>
        <v>Invoiced</v>
      </c>
      <c r="J190" s="18" t="n">
        <f aca="false">E190-F190</f>
        <v>0</v>
      </c>
      <c r="K190" s="18" t="n">
        <f aca="false">E190-G190</f>
        <v>-260.69</v>
      </c>
      <c r="L190" s="16" t="str">
        <f aca="false">IF(OR(AND(I190="Invoiced",H190="Not Received"),AND(F190&gt;0,ABS(J190)&gt;Assumptions!$B$6),AND(G190&gt;0,ABS(K190)&gt;Assumptions!$B$6)),"EXCEPTION","OK")</f>
        <v>EXCEPTION</v>
      </c>
    </row>
    <row r="191" customFormat="false" ht="15" hidden="false" customHeight="false" outlineLevel="0" collapsed="false">
      <c r="A191" s="16" t="str">
        <f aca="false">Purchase_Orders!A188</f>
        <v>PO10187</v>
      </c>
      <c r="B191" s="16" t="str">
        <f aca="false">Purchase_Orders!B188</f>
        <v>V1012</v>
      </c>
      <c r="C191" s="16" t="str">
        <f aca="false">IFERROR(INDEX(Vendor_Master!$B$2:$B$41,MATCH(B191,Vendor_Master!$A$2:$A$41,0)),"Unknown Vendor")</f>
        <v>Stanley LLC</v>
      </c>
      <c r="D191" s="17" t="n">
        <f aca="false">Purchase_Orders!C188</f>
        <v>46175</v>
      </c>
      <c r="E191" s="18" t="n">
        <f aca="false">Purchase_Orders!D188</f>
        <v>2450.97</v>
      </c>
      <c r="F191" s="18" t="n">
        <f aca="false">SUMIFS(Goods_Receipt_Notes!$D$2:$D$791,Goods_Receipt_Notes!$B$2:$B$791,A191)</f>
        <v>2450.97</v>
      </c>
      <c r="G191" s="18" t="n">
        <f aca="false">SUMIFS(Vendor_Invoices_AP!$E$2:$E$882,Vendor_Invoices_AP!$B$2:$B$882,A191)</f>
        <v>2450.97</v>
      </c>
      <c r="H191" s="16" t="str">
        <f aca="false">IF(F191=0,"Not Received","Received")</f>
        <v>Received</v>
      </c>
      <c r="I191" s="16" t="str">
        <f aca="false">IF(G191=0,"Not Invoiced","Invoiced")</f>
        <v>Invoiced</v>
      </c>
      <c r="J191" s="18" t="n">
        <f aca="false">E191-F191</f>
        <v>0</v>
      </c>
      <c r="K191" s="18" t="n">
        <f aca="false">E191-G191</f>
        <v>0</v>
      </c>
      <c r="L191" s="16" t="str">
        <f aca="false">IF(OR(AND(I191="Invoiced",H191="Not Received"),AND(F191&gt;0,ABS(J191)&gt;Assumptions!$B$6),AND(G191&gt;0,ABS(K191)&gt;Assumptions!$B$6)),"EXCEPTION","OK")</f>
        <v>OK</v>
      </c>
    </row>
    <row r="192" customFormat="false" ht="15" hidden="false" customHeight="false" outlineLevel="0" collapsed="false">
      <c r="A192" s="16" t="str">
        <f aca="false">Purchase_Orders!A189</f>
        <v>PO10188</v>
      </c>
      <c r="B192" s="16" t="str">
        <f aca="false">Purchase_Orders!B189</f>
        <v>V1008</v>
      </c>
      <c r="C192" s="16" t="str">
        <f aca="false">IFERROR(INDEX(Vendor_Master!$B$2:$B$41,MATCH(B192,Vendor_Master!$A$2:$A$41,0)),"Unknown Vendor")</f>
        <v>Davis Inc</v>
      </c>
      <c r="D192" s="17" t="n">
        <f aca="false">Purchase_Orders!C189</f>
        <v>45766</v>
      </c>
      <c r="E192" s="18" t="n">
        <f aca="false">Purchase_Orders!D189</f>
        <v>1825.14</v>
      </c>
      <c r="F192" s="18" t="n">
        <f aca="false">SUMIFS(Goods_Receipt_Notes!$D$2:$D$791,Goods_Receipt_Notes!$B$2:$B$791,A192)</f>
        <v>1825.14</v>
      </c>
      <c r="G192" s="18" t="n">
        <f aca="false">SUMIFS(Vendor_Invoices_AP!$E$2:$E$882,Vendor_Invoices_AP!$B$2:$B$882,A192)</f>
        <v>1825.14</v>
      </c>
      <c r="H192" s="16" t="str">
        <f aca="false">IF(F192=0,"Not Received","Received")</f>
        <v>Received</v>
      </c>
      <c r="I192" s="16" t="str">
        <f aca="false">IF(G192=0,"Not Invoiced","Invoiced")</f>
        <v>Invoiced</v>
      </c>
      <c r="J192" s="18" t="n">
        <f aca="false">E192-F192</f>
        <v>0</v>
      </c>
      <c r="K192" s="18" t="n">
        <f aca="false">E192-G192</f>
        <v>0</v>
      </c>
      <c r="L192" s="16" t="str">
        <f aca="false">IF(OR(AND(I192="Invoiced",H192="Not Received"),AND(F192&gt;0,ABS(J192)&gt;Assumptions!$B$6),AND(G192&gt;0,ABS(K192)&gt;Assumptions!$B$6)),"EXCEPTION","OK")</f>
        <v>OK</v>
      </c>
    </row>
    <row r="193" customFormat="false" ht="15" hidden="false" customHeight="false" outlineLevel="0" collapsed="false">
      <c r="A193" s="16" t="str">
        <f aca="false">Purchase_Orders!A190</f>
        <v>PO10189</v>
      </c>
      <c r="B193" s="16" t="str">
        <f aca="false">Purchase_Orders!B190</f>
        <v>V1022</v>
      </c>
      <c r="C193" s="16" t="str">
        <f aca="false">IFERROR(INDEX(Vendor_Master!$B$2:$B$41,MATCH(B193,Vendor_Master!$A$2:$A$41,0)),"Unknown Vendor")</f>
        <v>Burgess-Patterson</v>
      </c>
      <c r="D193" s="17" t="n">
        <f aca="false">Purchase_Orders!C190</f>
        <v>45669</v>
      </c>
      <c r="E193" s="18" t="n">
        <f aca="false">Purchase_Orders!D190</f>
        <v>18079.21</v>
      </c>
      <c r="F193" s="18" t="n">
        <f aca="false">SUMIFS(Goods_Receipt_Notes!$D$2:$D$791,Goods_Receipt_Notes!$B$2:$B$791,A193)</f>
        <v>18079.21</v>
      </c>
      <c r="G193" s="18" t="n">
        <f aca="false">SUMIFS(Vendor_Invoices_AP!$E$2:$E$882,Vendor_Invoices_AP!$B$2:$B$882,A193)</f>
        <v>21706.69</v>
      </c>
      <c r="H193" s="16" t="str">
        <f aca="false">IF(F193=0,"Not Received","Received")</f>
        <v>Received</v>
      </c>
      <c r="I193" s="16" t="str">
        <f aca="false">IF(G193=0,"Not Invoiced","Invoiced")</f>
        <v>Invoiced</v>
      </c>
      <c r="J193" s="18" t="n">
        <f aca="false">E193-F193</f>
        <v>0</v>
      </c>
      <c r="K193" s="18" t="n">
        <f aca="false">E193-G193</f>
        <v>-3627.48</v>
      </c>
      <c r="L193" s="16" t="str">
        <f aca="false">IF(OR(AND(I193="Invoiced",H193="Not Received"),AND(F193&gt;0,ABS(J193)&gt;Assumptions!$B$6),AND(G193&gt;0,ABS(K193)&gt;Assumptions!$B$6)),"EXCEPTION","OK")</f>
        <v>EXCEPTION</v>
      </c>
    </row>
    <row r="194" customFormat="false" ht="15" hidden="false" customHeight="false" outlineLevel="0" collapsed="false">
      <c r="A194" s="16" t="str">
        <f aca="false">Purchase_Orders!A191</f>
        <v>PO10190</v>
      </c>
      <c r="B194" s="16" t="str">
        <f aca="false">Purchase_Orders!B191</f>
        <v>V1011</v>
      </c>
      <c r="C194" s="16" t="str">
        <f aca="false">IFERROR(INDEX(Vendor_Master!$B$2:$B$41,MATCH(B194,Vendor_Master!$A$2:$A$41,0)),"Unknown Vendor")</f>
        <v>Montgomery, Hensley and Ray</v>
      </c>
      <c r="D194" s="17" t="n">
        <f aca="false">Purchase_Orders!C191</f>
        <v>45741</v>
      </c>
      <c r="E194" s="18" t="n">
        <f aca="false">Purchase_Orders!D191</f>
        <v>342.72</v>
      </c>
      <c r="F194" s="18" t="n">
        <f aca="false">SUMIFS(Goods_Receipt_Notes!$D$2:$D$791,Goods_Receipt_Notes!$B$2:$B$791,A194)</f>
        <v>342.72</v>
      </c>
      <c r="G194" s="18" t="n">
        <f aca="false">SUMIFS(Vendor_Invoices_AP!$E$2:$E$882,Vendor_Invoices_AP!$B$2:$B$882,A194)</f>
        <v>342.72</v>
      </c>
      <c r="H194" s="16" t="str">
        <f aca="false">IF(F194=0,"Not Received","Received")</f>
        <v>Received</v>
      </c>
      <c r="I194" s="16" t="str">
        <f aca="false">IF(G194=0,"Not Invoiced","Invoiced")</f>
        <v>Invoiced</v>
      </c>
      <c r="J194" s="18" t="n">
        <f aca="false">E194-F194</f>
        <v>0</v>
      </c>
      <c r="K194" s="18" t="n">
        <f aca="false">E194-G194</f>
        <v>0</v>
      </c>
      <c r="L194" s="16" t="str">
        <f aca="false">IF(OR(AND(I194="Invoiced",H194="Not Received"),AND(F194&gt;0,ABS(J194)&gt;Assumptions!$B$6),AND(G194&gt;0,ABS(K194)&gt;Assumptions!$B$6)),"EXCEPTION","OK")</f>
        <v>OK</v>
      </c>
    </row>
    <row r="195" customFormat="false" ht="15" hidden="false" customHeight="false" outlineLevel="0" collapsed="false">
      <c r="A195" s="16" t="str">
        <f aca="false">Purchase_Orders!A192</f>
        <v>PO10191</v>
      </c>
      <c r="B195" s="16" t="str">
        <f aca="false">Purchase_Orders!B192</f>
        <v>V1007</v>
      </c>
      <c r="C195" s="16" t="str">
        <f aca="false">IFERROR(INDEX(Vendor_Master!$B$2:$B$41,MATCH(B195,Vendor_Master!$A$2:$A$41,0)),"Unknown Vendor")</f>
        <v>Ramirez-Lewis</v>
      </c>
      <c r="D195" s="17" t="n">
        <f aca="false">Purchase_Orders!C192</f>
        <v>45726</v>
      </c>
      <c r="E195" s="18" t="n">
        <f aca="false">Purchase_Orders!D192</f>
        <v>781.51</v>
      </c>
      <c r="F195" s="18" t="n">
        <f aca="false">SUMIFS(Goods_Receipt_Notes!$D$2:$D$791,Goods_Receipt_Notes!$B$2:$B$791,A195)</f>
        <v>781.51</v>
      </c>
      <c r="G195" s="18" t="n">
        <f aca="false">SUMIFS(Vendor_Invoices_AP!$E$2:$E$882,Vendor_Invoices_AP!$B$2:$B$882,A195)</f>
        <v>781.51</v>
      </c>
      <c r="H195" s="16" t="str">
        <f aca="false">IF(F195=0,"Not Received","Received")</f>
        <v>Received</v>
      </c>
      <c r="I195" s="16" t="str">
        <f aca="false">IF(G195=0,"Not Invoiced","Invoiced")</f>
        <v>Invoiced</v>
      </c>
      <c r="J195" s="18" t="n">
        <f aca="false">E195-F195</f>
        <v>0</v>
      </c>
      <c r="K195" s="18" t="n">
        <f aca="false">E195-G195</f>
        <v>0</v>
      </c>
      <c r="L195" s="16" t="str">
        <f aca="false">IF(OR(AND(I195="Invoiced",H195="Not Received"),AND(F195&gt;0,ABS(J195)&gt;Assumptions!$B$6),AND(G195&gt;0,ABS(K195)&gt;Assumptions!$B$6)),"EXCEPTION","OK")</f>
        <v>OK</v>
      </c>
    </row>
    <row r="196" customFormat="false" ht="15" hidden="false" customHeight="false" outlineLevel="0" collapsed="false">
      <c r="A196" s="16" t="str">
        <f aca="false">Purchase_Orders!A193</f>
        <v>PO10192</v>
      </c>
      <c r="B196" s="16" t="str">
        <f aca="false">Purchase_Orders!B193</f>
        <v>V1021</v>
      </c>
      <c r="C196" s="16" t="str">
        <f aca="false">IFERROR(INDEX(Vendor_Master!$B$2:$B$41,MATCH(B196,Vendor_Master!$A$2:$A$41,0)),"Unknown Vendor")</f>
        <v>Ellis, Baker and Wright</v>
      </c>
      <c r="D196" s="17" t="n">
        <f aca="false">Purchase_Orders!C193</f>
        <v>46022</v>
      </c>
      <c r="E196" s="18" t="n">
        <f aca="false">Purchase_Orders!D193</f>
        <v>5652.95</v>
      </c>
      <c r="F196" s="18" t="n">
        <f aca="false">SUMIFS(Goods_Receipt_Notes!$D$2:$D$791,Goods_Receipt_Notes!$B$2:$B$791,A196)</f>
        <v>5652.95</v>
      </c>
      <c r="G196" s="18" t="n">
        <f aca="false">SUMIFS(Vendor_Invoices_AP!$E$2:$E$882,Vendor_Invoices_AP!$B$2:$B$882,A196)</f>
        <v>5652.95</v>
      </c>
      <c r="H196" s="16" t="str">
        <f aca="false">IF(F196=0,"Not Received","Received")</f>
        <v>Received</v>
      </c>
      <c r="I196" s="16" t="str">
        <f aca="false">IF(G196=0,"Not Invoiced","Invoiced")</f>
        <v>Invoiced</v>
      </c>
      <c r="J196" s="18" t="n">
        <f aca="false">E196-F196</f>
        <v>0</v>
      </c>
      <c r="K196" s="18" t="n">
        <f aca="false">E196-G196</f>
        <v>0</v>
      </c>
      <c r="L196" s="16" t="str">
        <f aca="false">IF(OR(AND(I196="Invoiced",H196="Not Received"),AND(F196&gt;0,ABS(J196)&gt;Assumptions!$B$6),AND(G196&gt;0,ABS(K196)&gt;Assumptions!$B$6)),"EXCEPTION","OK")</f>
        <v>OK</v>
      </c>
    </row>
    <row r="197" customFormat="false" ht="15" hidden="false" customHeight="false" outlineLevel="0" collapsed="false">
      <c r="A197" s="16" t="str">
        <f aca="false">Purchase_Orders!A194</f>
        <v>PO10193</v>
      </c>
      <c r="B197" s="16" t="str">
        <f aca="false">Purchase_Orders!B194</f>
        <v>V1010</v>
      </c>
      <c r="C197" s="16" t="str">
        <f aca="false">IFERROR(INDEX(Vendor_Master!$B$2:$B$41,MATCH(B197,Vendor_Master!$A$2:$A$41,0)),"Unknown Vendor")</f>
        <v>Martinez, Nielsen and Miller</v>
      </c>
      <c r="D197" s="17" t="n">
        <f aca="false">Purchase_Orders!C194</f>
        <v>45965</v>
      </c>
      <c r="E197" s="18" t="n">
        <f aca="false">Purchase_Orders!D194</f>
        <v>133.11</v>
      </c>
      <c r="F197" s="18" t="n">
        <f aca="false">SUMIFS(Goods_Receipt_Notes!$D$2:$D$791,Goods_Receipt_Notes!$B$2:$B$791,A197)</f>
        <v>133.11</v>
      </c>
      <c r="G197" s="18" t="n">
        <f aca="false">SUMIFS(Vendor_Invoices_AP!$E$2:$E$882,Vendor_Invoices_AP!$B$2:$B$882,A197)</f>
        <v>133.11</v>
      </c>
      <c r="H197" s="16" t="str">
        <f aca="false">IF(F197=0,"Not Received","Received")</f>
        <v>Received</v>
      </c>
      <c r="I197" s="16" t="str">
        <f aca="false">IF(G197=0,"Not Invoiced","Invoiced")</f>
        <v>Invoiced</v>
      </c>
      <c r="J197" s="18" t="n">
        <f aca="false">E197-F197</f>
        <v>0</v>
      </c>
      <c r="K197" s="18" t="n">
        <f aca="false">E197-G197</f>
        <v>0</v>
      </c>
      <c r="L197" s="16" t="str">
        <f aca="false">IF(OR(AND(I197="Invoiced",H197="Not Received"),AND(F197&gt;0,ABS(J197)&gt;Assumptions!$B$6),AND(G197&gt;0,ABS(K197)&gt;Assumptions!$B$6)),"EXCEPTION","OK")</f>
        <v>OK</v>
      </c>
    </row>
    <row r="198" customFormat="false" ht="15" hidden="false" customHeight="false" outlineLevel="0" collapsed="false">
      <c r="A198" s="16" t="str">
        <f aca="false">Purchase_Orders!A195</f>
        <v>PO10194</v>
      </c>
      <c r="B198" s="16" t="str">
        <f aca="false">Purchase_Orders!B195</f>
        <v>V1013</v>
      </c>
      <c r="C198" s="16" t="str">
        <f aca="false">IFERROR(INDEX(Vendor_Master!$B$2:$B$41,MATCH(B198,Vendor_Master!$A$2:$A$41,0)),"Unknown Vendor")</f>
        <v>Delacruz Group</v>
      </c>
      <c r="D198" s="17" t="n">
        <f aca="false">Purchase_Orders!C195</f>
        <v>45776</v>
      </c>
      <c r="E198" s="18" t="n">
        <f aca="false">Purchase_Orders!D195</f>
        <v>17090.48</v>
      </c>
      <c r="F198" s="18" t="n">
        <f aca="false">SUMIFS(Goods_Receipt_Notes!$D$2:$D$791,Goods_Receipt_Notes!$B$2:$B$791,A198)</f>
        <v>17090.48</v>
      </c>
      <c r="G198" s="18" t="n">
        <f aca="false">SUMIFS(Vendor_Invoices_AP!$E$2:$E$882,Vendor_Invoices_AP!$B$2:$B$882,A198)</f>
        <v>17090.48</v>
      </c>
      <c r="H198" s="16" t="str">
        <f aca="false">IF(F198=0,"Not Received","Received")</f>
        <v>Received</v>
      </c>
      <c r="I198" s="16" t="str">
        <f aca="false">IF(G198=0,"Not Invoiced","Invoiced")</f>
        <v>Invoiced</v>
      </c>
      <c r="J198" s="18" t="n">
        <f aca="false">E198-F198</f>
        <v>0</v>
      </c>
      <c r="K198" s="18" t="n">
        <f aca="false">E198-G198</f>
        <v>0</v>
      </c>
      <c r="L198" s="16" t="str">
        <f aca="false">IF(OR(AND(I198="Invoiced",H198="Not Received"),AND(F198&gt;0,ABS(J198)&gt;Assumptions!$B$6),AND(G198&gt;0,ABS(K198)&gt;Assumptions!$B$6)),"EXCEPTION","OK")</f>
        <v>OK</v>
      </c>
    </row>
    <row r="199" customFormat="false" ht="15" hidden="false" customHeight="false" outlineLevel="0" collapsed="false">
      <c r="A199" s="16" t="str">
        <f aca="false">Purchase_Orders!A196</f>
        <v>PO10195</v>
      </c>
      <c r="B199" s="16" t="str">
        <f aca="false">Purchase_Orders!B196</f>
        <v>V1015</v>
      </c>
      <c r="C199" s="16" t="str">
        <f aca="false">IFERROR(INDEX(Vendor_Master!$B$2:$B$41,MATCH(B199,Vendor_Master!$A$2:$A$41,0)),"Unknown Vendor")</f>
        <v>Zuniga, Wong and Lynch</v>
      </c>
      <c r="D199" s="17" t="n">
        <f aca="false">Purchase_Orders!C196</f>
        <v>46039</v>
      </c>
      <c r="E199" s="18" t="n">
        <f aca="false">Purchase_Orders!D196</f>
        <v>8157.32</v>
      </c>
      <c r="F199" s="18" t="n">
        <f aca="false">SUMIFS(Goods_Receipt_Notes!$D$2:$D$791,Goods_Receipt_Notes!$B$2:$B$791,A199)</f>
        <v>8157.32</v>
      </c>
      <c r="G199" s="18" t="n">
        <f aca="false">SUMIFS(Vendor_Invoices_AP!$E$2:$E$882,Vendor_Invoices_AP!$B$2:$B$882,A199)</f>
        <v>8157.32</v>
      </c>
      <c r="H199" s="16" t="str">
        <f aca="false">IF(F199=0,"Not Received","Received")</f>
        <v>Received</v>
      </c>
      <c r="I199" s="16" t="str">
        <f aca="false">IF(G199=0,"Not Invoiced","Invoiced")</f>
        <v>Invoiced</v>
      </c>
      <c r="J199" s="18" t="n">
        <f aca="false">E199-F199</f>
        <v>0</v>
      </c>
      <c r="K199" s="18" t="n">
        <f aca="false">E199-G199</f>
        <v>0</v>
      </c>
      <c r="L199" s="16" t="str">
        <f aca="false">IF(OR(AND(I199="Invoiced",H199="Not Received"),AND(F199&gt;0,ABS(J199)&gt;Assumptions!$B$6),AND(G199&gt;0,ABS(K199)&gt;Assumptions!$B$6)),"EXCEPTION","OK")</f>
        <v>OK</v>
      </c>
    </row>
    <row r="200" customFormat="false" ht="15" hidden="false" customHeight="false" outlineLevel="0" collapsed="false">
      <c r="A200" s="16" t="str">
        <f aca="false">Purchase_Orders!A197</f>
        <v>PO10196</v>
      </c>
      <c r="B200" s="16" t="str">
        <f aca="false">Purchase_Orders!B197</f>
        <v>V1018</v>
      </c>
      <c r="C200" s="16" t="str">
        <f aca="false">IFERROR(INDEX(Vendor_Master!$B$2:$B$41,MATCH(B200,Vendor_Master!$A$2:$A$41,0)),"Unknown Vendor")</f>
        <v>Underwood LLC</v>
      </c>
      <c r="D200" s="17" t="n">
        <f aca="false">Purchase_Orders!C197</f>
        <v>46075</v>
      </c>
      <c r="E200" s="18" t="n">
        <f aca="false">Purchase_Orders!D197</f>
        <v>547.49</v>
      </c>
      <c r="F200" s="18" t="n">
        <f aca="false">SUMIFS(Goods_Receipt_Notes!$D$2:$D$791,Goods_Receipt_Notes!$B$2:$B$791,A200)</f>
        <v>547.49</v>
      </c>
      <c r="G200" s="18" t="n">
        <f aca="false">SUMIFS(Vendor_Invoices_AP!$E$2:$E$882,Vendor_Invoices_AP!$B$2:$B$882,A200)</f>
        <v>547.49</v>
      </c>
      <c r="H200" s="16" t="str">
        <f aca="false">IF(F200=0,"Not Received","Received")</f>
        <v>Received</v>
      </c>
      <c r="I200" s="16" t="str">
        <f aca="false">IF(G200=0,"Not Invoiced","Invoiced")</f>
        <v>Invoiced</v>
      </c>
      <c r="J200" s="18" t="n">
        <f aca="false">E200-F200</f>
        <v>0</v>
      </c>
      <c r="K200" s="18" t="n">
        <f aca="false">E200-G200</f>
        <v>0</v>
      </c>
      <c r="L200" s="16" t="str">
        <f aca="false">IF(OR(AND(I200="Invoiced",H200="Not Received"),AND(F200&gt;0,ABS(J200)&gt;Assumptions!$B$6),AND(G200&gt;0,ABS(K200)&gt;Assumptions!$B$6)),"EXCEPTION","OK")</f>
        <v>OK</v>
      </c>
    </row>
    <row r="201" customFormat="false" ht="15" hidden="false" customHeight="false" outlineLevel="0" collapsed="false">
      <c r="A201" s="16" t="str">
        <f aca="false">Purchase_Orders!A198</f>
        <v>PO10197</v>
      </c>
      <c r="B201" s="16" t="str">
        <f aca="false">Purchase_Orders!B198</f>
        <v>V1036</v>
      </c>
      <c r="C201" s="16" t="str">
        <f aca="false">IFERROR(INDEX(Vendor_Master!$B$2:$B$41,MATCH(B201,Vendor_Master!$A$2:$A$41,0)),"Unknown Vendor")</f>
        <v>Dennis Inc</v>
      </c>
      <c r="D201" s="17" t="n">
        <f aca="false">Purchase_Orders!C198</f>
        <v>45749</v>
      </c>
      <c r="E201" s="18" t="n">
        <f aca="false">Purchase_Orders!D198</f>
        <v>10027.78</v>
      </c>
      <c r="F201" s="18" t="n">
        <f aca="false">SUMIFS(Goods_Receipt_Notes!$D$2:$D$791,Goods_Receipt_Notes!$B$2:$B$791,A201)</f>
        <v>10027.78</v>
      </c>
      <c r="G201" s="18" t="n">
        <f aca="false">SUMIFS(Vendor_Invoices_AP!$E$2:$E$882,Vendor_Invoices_AP!$B$2:$B$882,A201)</f>
        <v>10027.78</v>
      </c>
      <c r="H201" s="16" t="str">
        <f aca="false">IF(F201=0,"Not Received","Received")</f>
        <v>Received</v>
      </c>
      <c r="I201" s="16" t="str">
        <f aca="false">IF(G201=0,"Not Invoiced","Invoiced")</f>
        <v>Invoiced</v>
      </c>
      <c r="J201" s="18" t="n">
        <f aca="false">E201-F201</f>
        <v>0</v>
      </c>
      <c r="K201" s="18" t="n">
        <f aca="false">E201-G201</f>
        <v>0</v>
      </c>
      <c r="L201" s="16" t="str">
        <f aca="false">IF(OR(AND(I201="Invoiced",H201="Not Received"),AND(F201&gt;0,ABS(J201)&gt;Assumptions!$B$6),AND(G201&gt;0,ABS(K201)&gt;Assumptions!$B$6)),"EXCEPTION","OK")</f>
        <v>OK</v>
      </c>
    </row>
    <row r="202" customFormat="false" ht="15" hidden="false" customHeight="false" outlineLevel="0" collapsed="false">
      <c r="A202" s="16" t="str">
        <f aca="false">Purchase_Orders!A199</f>
        <v>PO10198</v>
      </c>
      <c r="B202" s="16" t="str">
        <f aca="false">Purchase_Orders!B199</f>
        <v>V1031</v>
      </c>
      <c r="C202" s="16" t="str">
        <f aca="false">IFERROR(INDEX(Vendor_Master!$B$2:$B$41,MATCH(B202,Vendor_Master!$A$2:$A$41,0)),"Unknown Vendor")</f>
        <v>Harrell LLC</v>
      </c>
      <c r="D202" s="17" t="n">
        <f aca="false">Purchase_Orders!C199</f>
        <v>45988</v>
      </c>
      <c r="E202" s="18" t="n">
        <f aca="false">Purchase_Orders!D199</f>
        <v>3204.84</v>
      </c>
      <c r="F202" s="18" t="n">
        <f aca="false">SUMIFS(Goods_Receipt_Notes!$D$2:$D$791,Goods_Receipt_Notes!$B$2:$B$791,A202)</f>
        <v>3204.84</v>
      </c>
      <c r="G202" s="18" t="n">
        <f aca="false">SUMIFS(Vendor_Invoices_AP!$E$2:$E$882,Vendor_Invoices_AP!$B$2:$B$882,A202)</f>
        <v>3961.93</v>
      </c>
      <c r="H202" s="16" t="str">
        <f aca="false">IF(F202=0,"Not Received","Received")</f>
        <v>Received</v>
      </c>
      <c r="I202" s="16" t="str">
        <f aca="false">IF(G202=0,"Not Invoiced","Invoiced")</f>
        <v>Invoiced</v>
      </c>
      <c r="J202" s="18" t="n">
        <f aca="false">E202-F202</f>
        <v>0</v>
      </c>
      <c r="K202" s="18" t="n">
        <f aca="false">E202-G202</f>
        <v>-757.09</v>
      </c>
      <c r="L202" s="16" t="str">
        <f aca="false">IF(OR(AND(I202="Invoiced",H202="Not Received"),AND(F202&gt;0,ABS(J202)&gt;Assumptions!$B$6),AND(G202&gt;0,ABS(K202)&gt;Assumptions!$B$6)),"EXCEPTION","OK")</f>
        <v>EXCEPTION</v>
      </c>
    </row>
    <row r="203" customFormat="false" ht="15" hidden="false" customHeight="false" outlineLevel="0" collapsed="false">
      <c r="A203" s="16" t="str">
        <f aca="false">Purchase_Orders!A200</f>
        <v>PO10199</v>
      </c>
      <c r="B203" s="16" t="str">
        <f aca="false">Purchase_Orders!B200</f>
        <v>V1036</v>
      </c>
      <c r="C203" s="16" t="str">
        <f aca="false">IFERROR(INDEX(Vendor_Master!$B$2:$B$41,MATCH(B203,Vendor_Master!$A$2:$A$41,0)),"Unknown Vendor")</f>
        <v>Dennis Inc</v>
      </c>
      <c r="D203" s="17" t="n">
        <f aca="false">Purchase_Orders!C200</f>
        <v>46065</v>
      </c>
      <c r="E203" s="18" t="n">
        <f aca="false">Purchase_Orders!D200</f>
        <v>2554.75</v>
      </c>
      <c r="F203" s="18" t="n">
        <f aca="false">SUMIFS(Goods_Receipt_Notes!$D$2:$D$791,Goods_Receipt_Notes!$B$2:$B$791,A203)</f>
        <v>2554.75</v>
      </c>
      <c r="G203" s="18" t="n">
        <f aca="false">SUMIFS(Vendor_Invoices_AP!$E$2:$E$882,Vendor_Invoices_AP!$B$2:$B$882,A203)</f>
        <v>2554.75</v>
      </c>
      <c r="H203" s="16" t="str">
        <f aca="false">IF(F203=0,"Not Received","Received")</f>
        <v>Received</v>
      </c>
      <c r="I203" s="16" t="str">
        <f aca="false">IF(G203=0,"Not Invoiced","Invoiced")</f>
        <v>Invoiced</v>
      </c>
      <c r="J203" s="18" t="n">
        <f aca="false">E203-F203</f>
        <v>0</v>
      </c>
      <c r="K203" s="18" t="n">
        <f aca="false">E203-G203</f>
        <v>0</v>
      </c>
      <c r="L203" s="16" t="str">
        <f aca="false">IF(OR(AND(I203="Invoiced",H203="Not Received"),AND(F203&gt;0,ABS(J203)&gt;Assumptions!$B$6),AND(G203&gt;0,ABS(K203)&gt;Assumptions!$B$6)),"EXCEPTION","OK")</f>
        <v>OK</v>
      </c>
    </row>
    <row r="204" customFormat="false" ht="15" hidden="false" customHeight="false" outlineLevel="0" collapsed="false">
      <c r="A204" s="16" t="str">
        <f aca="false">Purchase_Orders!A201</f>
        <v>PO10200</v>
      </c>
      <c r="B204" s="16" t="str">
        <f aca="false">Purchase_Orders!B201</f>
        <v>V1036</v>
      </c>
      <c r="C204" s="16" t="str">
        <f aca="false">IFERROR(INDEX(Vendor_Master!$B$2:$B$41,MATCH(B204,Vendor_Master!$A$2:$A$41,0)),"Unknown Vendor")</f>
        <v>Dennis Inc</v>
      </c>
      <c r="D204" s="17" t="n">
        <f aca="false">Purchase_Orders!C201</f>
        <v>45720</v>
      </c>
      <c r="E204" s="18" t="n">
        <f aca="false">Purchase_Orders!D201</f>
        <v>1471.18</v>
      </c>
      <c r="F204" s="18" t="n">
        <f aca="false">SUMIFS(Goods_Receipt_Notes!$D$2:$D$791,Goods_Receipt_Notes!$B$2:$B$791,A204)</f>
        <v>1471.18</v>
      </c>
      <c r="G204" s="18" t="n">
        <f aca="false">SUMIFS(Vendor_Invoices_AP!$E$2:$E$882,Vendor_Invoices_AP!$B$2:$B$882,A204)</f>
        <v>1471.18</v>
      </c>
      <c r="H204" s="16" t="str">
        <f aca="false">IF(F204=0,"Not Received","Received")</f>
        <v>Received</v>
      </c>
      <c r="I204" s="16" t="str">
        <f aca="false">IF(G204=0,"Not Invoiced","Invoiced")</f>
        <v>Invoiced</v>
      </c>
      <c r="J204" s="18" t="n">
        <f aca="false">E204-F204</f>
        <v>0</v>
      </c>
      <c r="K204" s="18" t="n">
        <f aca="false">E204-G204</f>
        <v>0</v>
      </c>
      <c r="L204" s="16" t="str">
        <f aca="false">IF(OR(AND(I204="Invoiced",H204="Not Received"),AND(F204&gt;0,ABS(J204)&gt;Assumptions!$B$6),AND(G204&gt;0,ABS(K204)&gt;Assumptions!$B$6)),"EXCEPTION","OK")</f>
        <v>OK</v>
      </c>
    </row>
    <row r="205" customFormat="false" ht="15" hidden="false" customHeight="false" outlineLevel="0" collapsed="false">
      <c r="A205" s="16" t="str">
        <f aca="false">Purchase_Orders!A202</f>
        <v>PO10201</v>
      </c>
      <c r="B205" s="16" t="str">
        <f aca="false">Purchase_Orders!B202</f>
        <v>V1006</v>
      </c>
      <c r="C205" s="16" t="str">
        <f aca="false">IFERROR(INDEX(Vendor_Master!$B$2:$B$41,MATCH(B205,Vendor_Master!$A$2:$A$41,0)),"Unknown Vendor")</f>
        <v>Blake and Sons</v>
      </c>
      <c r="D205" s="17" t="n">
        <f aca="false">Purchase_Orders!C202</f>
        <v>46104</v>
      </c>
      <c r="E205" s="18" t="n">
        <f aca="false">Purchase_Orders!D202</f>
        <v>682.63</v>
      </c>
      <c r="F205" s="18" t="n">
        <f aca="false">SUMIFS(Goods_Receipt_Notes!$D$2:$D$791,Goods_Receipt_Notes!$B$2:$B$791,A205)</f>
        <v>682.63</v>
      </c>
      <c r="G205" s="18" t="n">
        <f aca="false">SUMIFS(Vendor_Invoices_AP!$E$2:$E$882,Vendor_Invoices_AP!$B$2:$B$882,A205)</f>
        <v>682.63</v>
      </c>
      <c r="H205" s="16" t="str">
        <f aca="false">IF(F205=0,"Not Received","Received")</f>
        <v>Received</v>
      </c>
      <c r="I205" s="16" t="str">
        <f aca="false">IF(G205=0,"Not Invoiced","Invoiced")</f>
        <v>Invoiced</v>
      </c>
      <c r="J205" s="18" t="n">
        <f aca="false">E205-F205</f>
        <v>0</v>
      </c>
      <c r="K205" s="18" t="n">
        <f aca="false">E205-G205</f>
        <v>0</v>
      </c>
      <c r="L205" s="16" t="str">
        <f aca="false">IF(OR(AND(I205="Invoiced",H205="Not Received"),AND(F205&gt;0,ABS(J205)&gt;Assumptions!$B$6),AND(G205&gt;0,ABS(K205)&gt;Assumptions!$B$6)),"EXCEPTION","OK")</f>
        <v>OK</v>
      </c>
    </row>
    <row r="206" customFormat="false" ht="15" hidden="false" customHeight="false" outlineLevel="0" collapsed="false">
      <c r="A206" s="16" t="str">
        <f aca="false">Purchase_Orders!A203</f>
        <v>PO10202</v>
      </c>
      <c r="B206" s="16" t="str">
        <f aca="false">Purchase_Orders!B203</f>
        <v>V1001</v>
      </c>
      <c r="C206" s="16" t="str">
        <f aca="false">IFERROR(INDEX(Vendor_Master!$B$2:$B$41,MATCH(B206,Vendor_Master!$A$2:$A$41,0)),"Unknown Vendor")</f>
        <v>Figueroa and Sons</v>
      </c>
      <c r="D206" s="17" t="n">
        <f aca="false">Purchase_Orders!C203</f>
        <v>46183</v>
      </c>
      <c r="E206" s="18" t="n">
        <f aca="false">Purchase_Orders!D203</f>
        <v>2160.46</v>
      </c>
      <c r="F206" s="18" t="n">
        <f aca="false">SUMIFS(Goods_Receipt_Notes!$D$2:$D$791,Goods_Receipt_Notes!$B$2:$B$791,A206)</f>
        <v>2160.46</v>
      </c>
      <c r="G206" s="18" t="n">
        <f aca="false">SUMIFS(Vendor_Invoices_AP!$E$2:$E$882,Vendor_Invoices_AP!$B$2:$B$882,A206)</f>
        <v>2160.46</v>
      </c>
      <c r="H206" s="16" t="str">
        <f aca="false">IF(F206=0,"Not Received","Received")</f>
        <v>Received</v>
      </c>
      <c r="I206" s="16" t="str">
        <f aca="false">IF(G206=0,"Not Invoiced","Invoiced")</f>
        <v>Invoiced</v>
      </c>
      <c r="J206" s="18" t="n">
        <f aca="false">E206-F206</f>
        <v>0</v>
      </c>
      <c r="K206" s="18" t="n">
        <f aca="false">E206-G206</f>
        <v>0</v>
      </c>
      <c r="L206" s="16" t="str">
        <f aca="false">IF(OR(AND(I206="Invoiced",H206="Not Received"),AND(F206&gt;0,ABS(J206)&gt;Assumptions!$B$6),AND(G206&gt;0,ABS(K206)&gt;Assumptions!$B$6)),"EXCEPTION","OK")</f>
        <v>OK</v>
      </c>
    </row>
    <row r="207" customFormat="false" ht="15" hidden="false" customHeight="false" outlineLevel="0" collapsed="false">
      <c r="A207" s="16" t="str">
        <f aca="false">Purchase_Orders!A204</f>
        <v>PO10203</v>
      </c>
      <c r="B207" s="16" t="str">
        <f aca="false">Purchase_Orders!B204</f>
        <v>V1020</v>
      </c>
      <c r="C207" s="16" t="str">
        <f aca="false">IFERROR(INDEX(Vendor_Master!$B$2:$B$41,MATCH(B207,Vendor_Master!$A$2:$A$41,0)),"Unknown Vendor")</f>
        <v>Lewis-Porter</v>
      </c>
      <c r="D207" s="17" t="n">
        <f aca="false">Purchase_Orders!C204</f>
        <v>45716</v>
      </c>
      <c r="E207" s="18" t="n">
        <f aca="false">Purchase_Orders!D204</f>
        <v>7251.89</v>
      </c>
      <c r="F207" s="18" t="n">
        <f aca="false">SUMIFS(Goods_Receipt_Notes!$D$2:$D$791,Goods_Receipt_Notes!$B$2:$B$791,A207)</f>
        <v>7251.89</v>
      </c>
      <c r="G207" s="18" t="n">
        <f aca="false">SUMIFS(Vendor_Invoices_AP!$E$2:$E$882,Vendor_Invoices_AP!$B$2:$B$882,A207)</f>
        <v>7251.89</v>
      </c>
      <c r="H207" s="16" t="str">
        <f aca="false">IF(F207=0,"Not Received","Received")</f>
        <v>Received</v>
      </c>
      <c r="I207" s="16" t="str">
        <f aca="false">IF(G207=0,"Not Invoiced","Invoiced")</f>
        <v>Invoiced</v>
      </c>
      <c r="J207" s="18" t="n">
        <f aca="false">E207-F207</f>
        <v>0</v>
      </c>
      <c r="K207" s="18" t="n">
        <f aca="false">E207-G207</f>
        <v>0</v>
      </c>
      <c r="L207" s="16" t="str">
        <f aca="false">IF(OR(AND(I207="Invoiced",H207="Not Received"),AND(F207&gt;0,ABS(J207)&gt;Assumptions!$B$6),AND(G207&gt;0,ABS(K207)&gt;Assumptions!$B$6)),"EXCEPTION","OK")</f>
        <v>OK</v>
      </c>
    </row>
    <row r="208" customFormat="false" ht="15" hidden="false" customHeight="false" outlineLevel="0" collapsed="false">
      <c r="A208" s="16" t="str">
        <f aca="false">Purchase_Orders!A205</f>
        <v>PO10204</v>
      </c>
      <c r="B208" s="16" t="str">
        <f aca="false">Purchase_Orders!B205</f>
        <v>V1009</v>
      </c>
      <c r="C208" s="16" t="str">
        <f aca="false">IFERROR(INDEX(Vendor_Master!$B$2:$B$41,MATCH(B208,Vendor_Master!$A$2:$A$41,0)),"Unknown Vendor")</f>
        <v>Munoz-Roman</v>
      </c>
      <c r="D208" s="17" t="n">
        <f aca="false">Purchase_Orders!C205</f>
        <v>45671</v>
      </c>
      <c r="E208" s="18" t="n">
        <f aca="false">Purchase_Orders!D205</f>
        <v>4743.21</v>
      </c>
      <c r="F208" s="18" t="n">
        <f aca="false">SUMIFS(Goods_Receipt_Notes!$D$2:$D$791,Goods_Receipt_Notes!$B$2:$B$791,A208)</f>
        <v>4743.21</v>
      </c>
      <c r="G208" s="18" t="n">
        <f aca="false">SUMIFS(Vendor_Invoices_AP!$E$2:$E$882,Vendor_Invoices_AP!$B$2:$B$882,A208)</f>
        <v>4929.33</v>
      </c>
      <c r="H208" s="16" t="str">
        <f aca="false">IF(F208=0,"Not Received","Received")</f>
        <v>Received</v>
      </c>
      <c r="I208" s="16" t="str">
        <f aca="false">IF(G208=0,"Not Invoiced","Invoiced")</f>
        <v>Invoiced</v>
      </c>
      <c r="J208" s="18" t="n">
        <f aca="false">E208-F208</f>
        <v>0</v>
      </c>
      <c r="K208" s="18" t="n">
        <f aca="false">E208-G208</f>
        <v>-186.12</v>
      </c>
      <c r="L208" s="16" t="str">
        <f aca="false">IF(OR(AND(I208="Invoiced",H208="Not Received"),AND(F208&gt;0,ABS(J208)&gt;Assumptions!$B$6),AND(G208&gt;0,ABS(K208)&gt;Assumptions!$B$6)),"EXCEPTION","OK")</f>
        <v>EXCEPTION</v>
      </c>
    </row>
    <row r="209" customFormat="false" ht="15" hidden="false" customHeight="false" outlineLevel="0" collapsed="false">
      <c r="A209" s="16" t="str">
        <f aca="false">Purchase_Orders!A206</f>
        <v>PO10205</v>
      </c>
      <c r="B209" s="16" t="str">
        <f aca="false">Purchase_Orders!B206</f>
        <v>V1004</v>
      </c>
      <c r="C209" s="16" t="str">
        <f aca="false">IFERROR(INDEX(Vendor_Master!$B$2:$B$41,MATCH(B209,Vendor_Master!$A$2:$A$41,0)),"Unknown Vendor")</f>
        <v>Johnson, Gonzalez and Santos</v>
      </c>
      <c r="D209" s="17" t="n">
        <f aca="false">Purchase_Orders!C206</f>
        <v>45828</v>
      </c>
      <c r="E209" s="18" t="n">
        <f aca="false">Purchase_Orders!D206</f>
        <v>1892.29</v>
      </c>
      <c r="F209" s="18" t="n">
        <f aca="false">SUMIFS(Goods_Receipt_Notes!$D$2:$D$791,Goods_Receipt_Notes!$B$2:$B$791,A209)</f>
        <v>1892.29</v>
      </c>
      <c r="G209" s="18" t="n">
        <f aca="false">SUMIFS(Vendor_Invoices_AP!$E$2:$E$882,Vendor_Invoices_AP!$B$2:$B$882,A209)</f>
        <v>1892.29</v>
      </c>
      <c r="H209" s="16" t="str">
        <f aca="false">IF(F209=0,"Not Received","Received")</f>
        <v>Received</v>
      </c>
      <c r="I209" s="16" t="str">
        <f aca="false">IF(G209=0,"Not Invoiced","Invoiced")</f>
        <v>Invoiced</v>
      </c>
      <c r="J209" s="18" t="n">
        <f aca="false">E209-F209</f>
        <v>0</v>
      </c>
      <c r="K209" s="18" t="n">
        <f aca="false">E209-G209</f>
        <v>0</v>
      </c>
      <c r="L209" s="16" t="str">
        <f aca="false">IF(OR(AND(I209="Invoiced",H209="Not Received"),AND(F209&gt;0,ABS(J209)&gt;Assumptions!$B$6),AND(G209&gt;0,ABS(K209)&gt;Assumptions!$B$6)),"EXCEPTION","OK")</f>
        <v>OK</v>
      </c>
    </row>
    <row r="210" customFormat="false" ht="15" hidden="false" customHeight="false" outlineLevel="0" collapsed="false">
      <c r="A210" s="16" t="str">
        <f aca="false">Purchase_Orders!A207</f>
        <v>PO10206</v>
      </c>
      <c r="B210" s="16" t="str">
        <f aca="false">Purchase_Orders!B207</f>
        <v>V1005</v>
      </c>
      <c r="C210" s="16" t="str">
        <f aca="false">IFERROR(INDEX(Vendor_Master!$B$2:$B$41,MATCH(B210,Vendor_Master!$A$2:$A$41,0)),"Unknown Vendor")</f>
        <v>Cole LLC</v>
      </c>
      <c r="D210" s="17" t="n">
        <f aca="false">Purchase_Orders!C207</f>
        <v>46027</v>
      </c>
      <c r="E210" s="18" t="n">
        <f aca="false">Purchase_Orders!D207</f>
        <v>1074.95</v>
      </c>
      <c r="F210" s="18" t="n">
        <f aca="false">SUMIFS(Goods_Receipt_Notes!$D$2:$D$791,Goods_Receipt_Notes!$B$2:$B$791,A210)</f>
        <v>1074.95</v>
      </c>
      <c r="G210" s="18" t="n">
        <f aca="false">SUMIFS(Vendor_Invoices_AP!$E$2:$E$882,Vendor_Invoices_AP!$B$2:$B$882,A210)</f>
        <v>1074.95</v>
      </c>
      <c r="H210" s="16" t="str">
        <f aca="false">IF(F210=0,"Not Received","Received")</f>
        <v>Received</v>
      </c>
      <c r="I210" s="16" t="str">
        <f aca="false">IF(G210=0,"Not Invoiced","Invoiced")</f>
        <v>Invoiced</v>
      </c>
      <c r="J210" s="18" t="n">
        <f aca="false">E210-F210</f>
        <v>0</v>
      </c>
      <c r="K210" s="18" t="n">
        <f aca="false">E210-G210</f>
        <v>0</v>
      </c>
      <c r="L210" s="16" t="str">
        <f aca="false">IF(OR(AND(I210="Invoiced",H210="Not Received"),AND(F210&gt;0,ABS(J210)&gt;Assumptions!$B$6),AND(G210&gt;0,ABS(K210)&gt;Assumptions!$B$6)),"EXCEPTION","OK")</f>
        <v>OK</v>
      </c>
    </row>
    <row r="211" customFormat="false" ht="15" hidden="false" customHeight="false" outlineLevel="0" collapsed="false">
      <c r="A211" s="16" t="str">
        <f aca="false">Purchase_Orders!A208</f>
        <v>PO10207</v>
      </c>
      <c r="B211" s="16" t="str">
        <f aca="false">Purchase_Orders!B208</f>
        <v>V1027</v>
      </c>
      <c r="C211" s="16" t="str">
        <f aca="false">IFERROR(INDEX(Vendor_Master!$B$2:$B$41,MATCH(B211,Vendor_Master!$A$2:$A$41,0)),"Unknown Vendor")</f>
        <v>Valencia, Smith and Le</v>
      </c>
      <c r="D211" s="17" t="n">
        <f aca="false">Purchase_Orders!C208</f>
        <v>46180</v>
      </c>
      <c r="E211" s="18" t="n">
        <f aca="false">Purchase_Orders!D208</f>
        <v>496.96</v>
      </c>
      <c r="F211" s="18" t="n">
        <f aca="false">SUMIFS(Goods_Receipt_Notes!$D$2:$D$791,Goods_Receipt_Notes!$B$2:$B$791,A211)</f>
        <v>496.96</v>
      </c>
      <c r="G211" s="18" t="n">
        <f aca="false">SUMIFS(Vendor_Invoices_AP!$E$2:$E$882,Vendor_Invoices_AP!$B$2:$B$882,A211)</f>
        <v>496.96</v>
      </c>
      <c r="H211" s="16" t="str">
        <f aca="false">IF(F211=0,"Not Received","Received")</f>
        <v>Received</v>
      </c>
      <c r="I211" s="16" t="str">
        <f aca="false">IF(G211=0,"Not Invoiced","Invoiced")</f>
        <v>Invoiced</v>
      </c>
      <c r="J211" s="18" t="n">
        <f aca="false">E211-F211</f>
        <v>0</v>
      </c>
      <c r="K211" s="18" t="n">
        <f aca="false">E211-G211</f>
        <v>0</v>
      </c>
      <c r="L211" s="16" t="str">
        <f aca="false">IF(OR(AND(I211="Invoiced",H211="Not Received"),AND(F211&gt;0,ABS(J211)&gt;Assumptions!$B$6),AND(G211&gt;0,ABS(K211)&gt;Assumptions!$B$6)),"EXCEPTION","OK")</f>
        <v>OK</v>
      </c>
    </row>
    <row r="212" customFormat="false" ht="15" hidden="false" customHeight="false" outlineLevel="0" collapsed="false">
      <c r="A212" s="16" t="str">
        <f aca="false">Purchase_Orders!A209</f>
        <v>PO10208</v>
      </c>
      <c r="B212" s="16" t="str">
        <f aca="false">Purchase_Orders!B209</f>
        <v>V1034</v>
      </c>
      <c r="C212" s="16" t="str">
        <f aca="false">IFERROR(INDEX(Vendor_Master!$B$2:$B$41,MATCH(B212,Vendor_Master!$A$2:$A$41,0)),"Unknown Vendor")</f>
        <v>Koch-Decker</v>
      </c>
      <c r="D212" s="17" t="n">
        <f aca="false">Purchase_Orders!C209</f>
        <v>45874</v>
      </c>
      <c r="E212" s="18" t="n">
        <f aca="false">Purchase_Orders!D209</f>
        <v>759.35</v>
      </c>
      <c r="F212" s="18" t="n">
        <f aca="false">SUMIFS(Goods_Receipt_Notes!$D$2:$D$791,Goods_Receipt_Notes!$B$2:$B$791,A212)</f>
        <v>759.35</v>
      </c>
      <c r="G212" s="18" t="n">
        <f aca="false">SUMIFS(Vendor_Invoices_AP!$E$2:$E$882,Vendor_Invoices_AP!$B$2:$B$882,A212)</f>
        <v>759.35</v>
      </c>
      <c r="H212" s="16" t="str">
        <f aca="false">IF(F212=0,"Not Received","Received")</f>
        <v>Received</v>
      </c>
      <c r="I212" s="16" t="str">
        <f aca="false">IF(G212=0,"Not Invoiced","Invoiced")</f>
        <v>Invoiced</v>
      </c>
      <c r="J212" s="18" t="n">
        <f aca="false">E212-F212</f>
        <v>0</v>
      </c>
      <c r="K212" s="18" t="n">
        <f aca="false">E212-G212</f>
        <v>0</v>
      </c>
      <c r="L212" s="16" t="str">
        <f aca="false">IF(OR(AND(I212="Invoiced",H212="Not Received"),AND(F212&gt;0,ABS(J212)&gt;Assumptions!$B$6),AND(G212&gt;0,ABS(K212)&gt;Assumptions!$B$6)),"EXCEPTION","OK")</f>
        <v>OK</v>
      </c>
    </row>
    <row r="213" customFormat="false" ht="15" hidden="false" customHeight="false" outlineLevel="0" collapsed="false">
      <c r="A213" s="16" t="str">
        <f aca="false">Purchase_Orders!A210</f>
        <v>PO10209</v>
      </c>
      <c r="B213" s="16" t="str">
        <f aca="false">Purchase_Orders!B210</f>
        <v>V1030</v>
      </c>
      <c r="C213" s="16" t="str">
        <f aca="false">IFERROR(INDEX(Vendor_Master!$B$2:$B$41,MATCH(B213,Vendor_Master!$A$2:$A$41,0)),"Unknown Vendor")</f>
        <v>Stanton-Gill</v>
      </c>
      <c r="D213" s="17" t="n">
        <f aca="false">Purchase_Orders!C210</f>
        <v>46047</v>
      </c>
      <c r="E213" s="18" t="n">
        <f aca="false">Purchase_Orders!D210</f>
        <v>2745.78</v>
      </c>
      <c r="F213" s="18" t="n">
        <f aca="false">SUMIFS(Goods_Receipt_Notes!$D$2:$D$791,Goods_Receipt_Notes!$B$2:$B$791,A213)</f>
        <v>2745.78</v>
      </c>
      <c r="G213" s="18" t="n">
        <f aca="false">SUMIFS(Vendor_Invoices_AP!$E$2:$E$882,Vendor_Invoices_AP!$B$2:$B$882,A213)</f>
        <v>2745.78</v>
      </c>
      <c r="H213" s="16" t="str">
        <f aca="false">IF(F213=0,"Not Received","Received")</f>
        <v>Received</v>
      </c>
      <c r="I213" s="16" t="str">
        <f aca="false">IF(G213=0,"Not Invoiced","Invoiced")</f>
        <v>Invoiced</v>
      </c>
      <c r="J213" s="18" t="n">
        <f aca="false">E213-F213</f>
        <v>0</v>
      </c>
      <c r="K213" s="18" t="n">
        <f aca="false">E213-G213</f>
        <v>0</v>
      </c>
      <c r="L213" s="16" t="str">
        <f aca="false">IF(OR(AND(I213="Invoiced",H213="Not Received"),AND(F213&gt;0,ABS(J213)&gt;Assumptions!$B$6),AND(G213&gt;0,ABS(K213)&gt;Assumptions!$B$6)),"EXCEPTION","OK")</f>
        <v>OK</v>
      </c>
    </row>
    <row r="214" customFormat="false" ht="15" hidden="false" customHeight="false" outlineLevel="0" collapsed="false">
      <c r="A214" s="16" t="str">
        <f aca="false">Purchase_Orders!A211</f>
        <v>PO10210</v>
      </c>
      <c r="B214" s="16" t="str">
        <f aca="false">Purchase_Orders!B211</f>
        <v>V1011</v>
      </c>
      <c r="C214" s="16" t="str">
        <f aca="false">IFERROR(INDEX(Vendor_Master!$B$2:$B$41,MATCH(B214,Vendor_Master!$A$2:$A$41,0)),"Unknown Vendor")</f>
        <v>Montgomery, Hensley and Ray</v>
      </c>
      <c r="D214" s="17" t="n">
        <f aca="false">Purchase_Orders!C211</f>
        <v>45699</v>
      </c>
      <c r="E214" s="18" t="n">
        <f aca="false">Purchase_Orders!D211</f>
        <v>1562.55</v>
      </c>
      <c r="F214" s="18" t="n">
        <f aca="false">SUMIFS(Goods_Receipt_Notes!$D$2:$D$791,Goods_Receipt_Notes!$B$2:$B$791,A214)</f>
        <v>0</v>
      </c>
      <c r="G214" s="18" t="n">
        <f aca="false">SUMIFS(Vendor_Invoices_AP!$E$2:$E$882,Vendor_Invoices_AP!$B$2:$B$882,A214)</f>
        <v>1562.55</v>
      </c>
      <c r="H214" s="16" t="str">
        <f aca="false">IF(F214=0,"Not Received","Received")</f>
        <v>Not Received</v>
      </c>
      <c r="I214" s="16" t="str">
        <f aca="false">IF(G214=0,"Not Invoiced","Invoiced")</f>
        <v>Invoiced</v>
      </c>
      <c r="J214" s="18" t="n">
        <f aca="false">E214-F214</f>
        <v>1562.55</v>
      </c>
      <c r="K214" s="18" t="n">
        <f aca="false">E214-G214</f>
        <v>0</v>
      </c>
      <c r="L214" s="16" t="str">
        <f aca="false">IF(OR(AND(I214="Invoiced",H214="Not Received"),AND(F214&gt;0,ABS(J214)&gt;Assumptions!$B$6),AND(G214&gt;0,ABS(K214)&gt;Assumptions!$B$6)),"EXCEPTION","OK")</f>
        <v>EXCEPTION</v>
      </c>
    </row>
    <row r="215" customFormat="false" ht="15" hidden="false" customHeight="false" outlineLevel="0" collapsed="false">
      <c r="A215" s="16" t="str">
        <f aca="false">Purchase_Orders!A212</f>
        <v>PO10211</v>
      </c>
      <c r="B215" s="16" t="str">
        <f aca="false">Purchase_Orders!B212</f>
        <v>V1020</v>
      </c>
      <c r="C215" s="16" t="str">
        <f aca="false">IFERROR(INDEX(Vendor_Master!$B$2:$B$41,MATCH(B215,Vendor_Master!$A$2:$A$41,0)),"Unknown Vendor")</f>
        <v>Lewis-Porter</v>
      </c>
      <c r="D215" s="17" t="n">
        <f aca="false">Purchase_Orders!C212</f>
        <v>46034</v>
      </c>
      <c r="E215" s="18" t="n">
        <f aca="false">Purchase_Orders!D212</f>
        <v>1854.08</v>
      </c>
      <c r="F215" s="18" t="n">
        <f aca="false">SUMIFS(Goods_Receipt_Notes!$D$2:$D$791,Goods_Receipt_Notes!$B$2:$B$791,A215)</f>
        <v>1854.08</v>
      </c>
      <c r="G215" s="18" t="n">
        <f aca="false">SUMIFS(Vendor_Invoices_AP!$E$2:$E$882,Vendor_Invoices_AP!$B$2:$B$882,A215)</f>
        <v>1854.08</v>
      </c>
      <c r="H215" s="16" t="str">
        <f aca="false">IF(F215=0,"Not Received","Received")</f>
        <v>Received</v>
      </c>
      <c r="I215" s="16" t="str">
        <f aca="false">IF(G215=0,"Not Invoiced","Invoiced")</f>
        <v>Invoiced</v>
      </c>
      <c r="J215" s="18" t="n">
        <f aca="false">E215-F215</f>
        <v>0</v>
      </c>
      <c r="K215" s="18" t="n">
        <f aca="false">E215-G215</f>
        <v>0</v>
      </c>
      <c r="L215" s="16" t="str">
        <f aca="false">IF(OR(AND(I215="Invoiced",H215="Not Received"),AND(F215&gt;0,ABS(J215)&gt;Assumptions!$B$6),AND(G215&gt;0,ABS(K215)&gt;Assumptions!$B$6)),"EXCEPTION","OK")</f>
        <v>OK</v>
      </c>
    </row>
    <row r="216" customFormat="false" ht="15" hidden="false" customHeight="false" outlineLevel="0" collapsed="false">
      <c r="A216" s="16" t="str">
        <f aca="false">Purchase_Orders!A213</f>
        <v>PO10212</v>
      </c>
      <c r="B216" s="16" t="str">
        <f aca="false">Purchase_Orders!B213</f>
        <v>V1015</v>
      </c>
      <c r="C216" s="16" t="str">
        <f aca="false">IFERROR(INDEX(Vendor_Master!$B$2:$B$41,MATCH(B216,Vendor_Master!$A$2:$A$41,0)),"Unknown Vendor")</f>
        <v>Zuniga, Wong and Lynch</v>
      </c>
      <c r="D216" s="17" t="n">
        <f aca="false">Purchase_Orders!C213</f>
        <v>45999</v>
      </c>
      <c r="E216" s="18" t="n">
        <f aca="false">Purchase_Orders!D213</f>
        <v>4069.45</v>
      </c>
      <c r="F216" s="18" t="n">
        <f aca="false">SUMIFS(Goods_Receipt_Notes!$D$2:$D$791,Goods_Receipt_Notes!$B$2:$B$791,A216)</f>
        <v>4069.45</v>
      </c>
      <c r="G216" s="18" t="n">
        <f aca="false">SUMIFS(Vendor_Invoices_AP!$E$2:$E$882,Vendor_Invoices_AP!$B$2:$B$882,A216)</f>
        <v>4069.45</v>
      </c>
      <c r="H216" s="16" t="str">
        <f aca="false">IF(F216=0,"Not Received","Received")</f>
        <v>Received</v>
      </c>
      <c r="I216" s="16" t="str">
        <f aca="false">IF(G216=0,"Not Invoiced","Invoiced")</f>
        <v>Invoiced</v>
      </c>
      <c r="J216" s="18" t="n">
        <f aca="false">E216-F216</f>
        <v>0</v>
      </c>
      <c r="K216" s="18" t="n">
        <f aca="false">E216-G216</f>
        <v>0</v>
      </c>
      <c r="L216" s="16" t="str">
        <f aca="false">IF(OR(AND(I216="Invoiced",H216="Not Received"),AND(F216&gt;0,ABS(J216)&gt;Assumptions!$B$6),AND(G216&gt;0,ABS(K216)&gt;Assumptions!$B$6)),"EXCEPTION","OK")</f>
        <v>OK</v>
      </c>
    </row>
    <row r="217" customFormat="false" ht="15" hidden="false" customHeight="false" outlineLevel="0" collapsed="false">
      <c r="A217" s="16" t="str">
        <f aca="false">Purchase_Orders!A214</f>
        <v>PO10213</v>
      </c>
      <c r="B217" s="16" t="str">
        <f aca="false">Purchase_Orders!B214</f>
        <v>V1004</v>
      </c>
      <c r="C217" s="16" t="str">
        <f aca="false">IFERROR(INDEX(Vendor_Master!$B$2:$B$41,MATCH(B217,Vendor_Master!$A$2:$A$41,0)),"Unknown Vendor")</f>
        <v>Johnson, Gonzalez and Santos</v>
      </c>
      <c r="D217" s="17" t="n">
        <f aca="false">Purchase_Orders!C214</f>
        <v>45713</v>
      </c>
      <c r="E217" s="18" t="n">
        <f aca="false">Purchase_Orders!D214</f>
        <v>2117.88</v>
      </c>
      <c r="F217" s="18" t="n">
        <f aca="false">SUMIFS(Goods_Receipt_Notes!$D$2:$D$791,Goods_Receipt_Notes!$B$2:$B$791,A217)</f>
        <v>1943.97</v>
      </c>
      <c r="G217" s="18" t="n">
        <f aca="false">SUMIFS(Vendor_Invoices_AP!$E$2:$E$882,Vendor_Invoices_AP!$B$2:$B$882,A217)</f>
        <v>4235.76</v>
      </c>
      <c r="H217" s="16" t="str">
        <f aca="false">IF(F217=0,"Not Received","Received")</f>
        <v>Received</v>
      </c>
      <c r="I217" s="16" t="str">
        <f aca="false">IF(G217=0,"Not Invoiced","Invoiced")</f>
        <v>Invoiced</v>
      </c>
      <c r="J217" s="18" t="n">
        <f aca="false">E217-F217</f>
        <v>173.91</v>
      </c>
      <c r="K217" s="18" t="n">
        <f aca="false">E217-G217</f>
        <v>-2117.88</v>
      </c>
      <c r="L217" s="16" t="str">
        <f aca="false">IF(OR(AND(I217="Invoiced",H217="Not Received"),AND(F217&gt;0,ABS(J217)&gt;Assumptions!$B$6),AND(G217&gt;0,ABS(K217)&gt;Assumptions!$B$6)),"EXCEPTION","OK")</f>
        <v>EXCEPTION</v>
      </c>
    </row>
    <row r="218" customFormat="false" ht="15" hidden="false" customHeight="false" outlineLevel="0" collapsed="false">
      <c r="A218" s="16" t="str">
        <f aca="false">Purchase_Orders!A215</f>
        <v>PO10214</v>
      </c>
      <c r="B218" s="16" t="str">
        <f aca="false">Purchase_Orders!B215</f>
        <v>V1001</v>
      </c>
      <c r="C218" s="16" t="str">
        <f aca="false">IFERROR(INDEX(Vendor_Master!$B$2:$B$41,MATCH(B218,Vendor_Master!$A$2:$A$41,0)),"Unknown Vendor")</f>
        <v>Figueroa and Sons</v>
      </c>
      <c r="D218" s="17" t="n">
        <f aca="false">Purchase_Orders!C215</f>
        <v>46079</v>
      </c>
      <c r="E218" s="18" t="n">
        <f aca="false">Purchase_Orders!D215</f>
        <v>266.54</v>
      </c>
      <c r="F218" s="18" t="n">
        <f aca="false">SUMIFS(Goods_Receipt_Notes!$D$2:$D$791,Goods_Receipt_Notes!$B$2:$B$791,A218)</f>
        <v>266.54</v>
      </c>
      <c r="G218" s="18" t="n">
        <f aca="false">SUMIFS(Vendor_Invoices_AP!$E$2:$E$882,Vendor_Invoices_AP!$B$2:$B$882,A218)</f>
        <v>533.08</v>
      </c>
      <c r="H218" s="16" t="str">
        <f aca="false">IF(F218=0,"Not Received","Received")</f>
        <v>Received</v>
      </c>
      <c r="I218" s="16" t="str">
        <f aca="false">IF(G218=0,"Not Invoiced","Invoiced")</f>
        <v>Invoiced</v>
      </c>
      <c r="J218" s="18" t="n">
        <f aca="false">E218-F218</f>
        <v>0</v>
      </c>
      <c r="K218" s="18" t="n">
        <f aca="false">E218-G218</f>
        <v>-266.54</v>
      </c>
      <c r="L218" s="16" t="str">
        <f aca="false">IF(OR(AND(I218="Invoiced",H218="Not Received"),AND(F218&gt;0,ABS(J218)&gt;Assumptions!$B$6),AND(G218&gt;0,ABS(K218)&gt;Assumptions!$B$6)),"EXCEPTION","OK")</f>
        <v>EXCEPTION</v>
      </c>
    </row>
    <row r="219" customFormat="false" ht="15" hidden="false" customHeight="false" outlineLevel="0" collapsed="false">
      <c r="A219" s="16" t="str">
        <f aca="false">Purchase_Orders!A216</f>
        <v>PO10215</v>
      </c>
      <c r="B219" s="16" t="str">
        <f aca="false">Purchase_Orders!B216</f>
        <v>V1016</v>
      </c>
      <c r="C219" s="16" t="str">
        <f aca="false">IFERROR(INDEX(Vendor_Master!$B$2:$B$41,MATCH(B219,Vendor_Master!$A$2:$A$41,0)),"Unknown Vendor")</f>
        <v>Sanchez, Ford and Nelson</v>
      </c>
      <c r="D219" s="17" t="n">
        <f aca="false">Purchase_Orders!C216</f>
        <v>46121</v>
      </c>
      <c r="E219" s="18" t="n">
        <f aca="false">Purchase_Orders!D216</f>
        <v>1071.3</v>
      </c>
      <c r="F219" s="18" t="n">
        <f aca="false">SUMIFS(Goods_Receipt_Notes!$D$2:$D$791,Goods_Receipt_Notes!$B$2:$B$791,A219)</f>
        <v>1071.3</v>
      </c>
      <c r="G219" s="18" t="n">
        <f aca="false">SUMIFS(Vendor_Invoices_AP!$E$2:$E$882,Vendor_Invoices_AP!$B$2:$B$882,A219)</f>
        <v>1071.3</v>
      </c>
      <c r="H219" s="16" t="str">
        <f aca="false">IF(F219=0,"Not Received","Received")</f>
        <v>Received</v>
      </c>
      <c r="I219" s="16" t="str">
        <f aca="false">IF(G219=0,"Not Invoiced","Invoiced")</f>
        <v>Invoiced</v>
      </c>
      <c r="J219" s="18" t="n">
        <f aca="false">E219-F219</f>
        <v>0</v>
      </c>
      <c r="K219" s="18" t="n">
        <f aca="false">E219-G219</f>
        <v>0</v>
      </c>
      <c r="L219" s="16" t="str">
        <f aca="false">IF(OR(AND(I219="Invoiced",H219="Not Received"),AND(F219&gt;0,ABS(J219)&gt;Assumptions!$B$6),AND(G219&gt;0,ABS(K219)&gt;Assumptions!$B$6)),"EXCEPTION","OK")</f>
        <v>OK</v>
      </c>
    </row>
    <row r="220" customFormat="false" ht="15" hidden="false" customHeight="false" outlineLevel="0" collapsed="false">
      <c r="A220" s="16" t="str">
        <f aca="false">Purchase_Orders!A217</f>
        <v>PO10216</v>
      </c>
      <c r="B220" s="16" t="str">
        <f aca="false">Purchase_Orders!B217</f>
        <v>V1016</v>
      </c>
      <c r="C220" s="16" t="str">
        <f aca="false">IFERROR(INDEX(Vendor_Master!$B$2:$B$41,MATCH(B220,Vendor_Master!$A$2:$A$41,0)),"Unknown Vendor")</f>
        <v>Sanchez, Ford and Nelson</v>
      </c>
      <c r="D220" s="17" t="n">
        <f aca="false">Purchase_Orders!C217</f>
        <v>45985</v>
      </c>
      <c r="E220" s="18" t="n">
        <f aca="false">Purchase_Orders!D217</f>
        <v>728.71</v>
      </c>
      <c r="F220" s="18" t="n">
        <f aca="false">SUMIFS(Goods_Receipt_Notes!$D$2:$D$791,Goods_Receipt_Notes!$B$2:$B$791,A220)</f>
        <v>0</v>
      </c>
      <c r="G220" s="18" t="n">
        <f aca="false">SUMIFS(Vendor_Invoices_AP!$E$2:$E$882,Vendor_Invoices_AP!$B$2:$B$882,A220)</f>
        <v>728.71</v>
      </c>
      <c r="H220" s="16" t="str">
        <f aca="false">IF(F220=0,"Not Received","Received")</f>
        <v>Not Received</v>
      </c>
      <c r="I220" s="16" t="str">
        <f aca="false">IF(G220=0,"Not Invoiced","Invoiced")</f>
        <v>Invoiced</v>
      </c>
      <c r="J220" s="18" t="n">
        <f aca="false">E220-F220</f>
        <v>728.71</v>
      </c>
      <c r="K220" s="18" t="n">
        <f aca="false">E220-G220</f>
        <v>0</v>
      </c>
      <c r="L220" s="16" t="str">
        <f aca="false">IF(OR(AND(I220="Invoiced",H220="Not Received"),AND(F220&gt;0,ABS(J220)&gt;Assumptions!$B$6),AND(G220&gt;0,ABS(K220)&gt;Assumptions!$B$6)),"EXCEPTION","OK")</f>
        <v>EXCEPTION</v>
      </c>
    </row>
    <row r="221" customFormat="false" ht="15" hidden="false" customHeight="false" outlineLevel="0" collapsed="false">
      <c r="A221" s="16" t="str">
        <f aca="false">Purchase_Orders!A218</f>
        <v>PO10217</v>
      </c>
      <c r="B221" s="16" t="str">
        <f aca="false">Purchase_Orders!B218</f>
        <v>V1023</v>
      </c>
      <c r="C221" s="16" t="str">
        <f aca="false">IFERROR(INDEX(Vendor_Master!$B$2:$B$41,MATCH(B221,Vendor_Master!$A$2:$A$41,0)),"Unknown Vendor")</f>
        <v>Robinson-Bright</v>
      </c>
      <c r="D221" s="17" t="n">
        <f aca="false">Purchase_Orders!C218</f>
        <v>45723</v>
      </c>
      <c r="E221" s="18" t="n">
        <f aca="false">Purchase_Orders!D218</f>
        <v>3728.38</v>
      </c>
      <c r="F221" s="18" t="n">
        <f aca="false">SUMIFS(Goods_Receipt_Notes!$D$2:$D$791,Goods_Receipt_Notes!$B$2:$B$791,A221)</f>
        <v>3728.38</v>
      </c>
      <c r="G221" s="18" t="n">
        <f aca="false">SUMIFS(Vendor_Invoices_AP!$E$2:$E$882,Vendor_Invoices_AP!$B$2:$B$882,A221)</f>
        <v>3728.38</v>
      </c>
      <c r="H221" s="16" t="str">
        <f aca="false">IF(F221=0,"Not Received","Received")</f>
        <v>Received</v>
      </c>
      <c r="I221" s="16" t="str">
        <f aca="false">IF(G221=0,"Not Invoiced","Invoiced")</f>
        <v>Invoiced</v>
      </c>
      <c r="J221" s="18" t="n">
        <f aca="false">E221-F221</f>
        <v>0</v>
      </c>
      <c r="K221" s="18" t="n">
        <f aca="false">E221-G221</f>
        <v>0</v>
      </c>
      <c r="L221" s="16" t="str">
        <f aca="false">IF(OR(AND(I221="Invoiced",H221="Not Received"),AND(F221&gt;0,ABS(J221)&gt;Assumptions!$B$6),AND(G221&gt;0,ABS(K221)&gt;Assumptions!$B$6)),"EXCEPTION","OK")</f>
        <v>OK</v>
      </c>
    </row>
    <row r="222" customFormat="false" ht="15" hidden="false" customHeight="false" outlineLevel="0" collapsed="false">
      <c r="A222" s="16" t="str">
        <f aca="false">Purchase_Orders!A219</f>
        <v>PO10218</v>
      </c>
      <c r="B222" s="16" t="str">
        <f aca="false">Purchase_Orders!B219</f>
        <v>V1016</v>
      </c>
      <c r="C222" s="16" t="str">
        <f aca="false">IFERROR(INDEX(Vendor_Master!$B$2:$B$41,MATCH(B222,Vendor_Master!$A$2:$A$41,0)),"Unknown Vendor")</f>
        <v>Sanchez, Ford and Nelson</v>
      </c>
      <c r="D222" s="17" t="n">
        <f aca="false">Purchase_Orders!C219</f>
        <v>46194</v>
      </c>
      <c r="E222" s="18" t="n">
        <f aca="false">Purchase_Orders!D219</f>
        <v>5712.19</v>
      </c>
      <c r="F222" s="18" t="n">
        <f aca="false">SUMIFS(Goods_Receipt_Notes!$D$2:$D$791,Goods_Receipt_Notes!$B$2:$B$791,A222)</f>
        <v>5712.19</v>
      </c>
      <c r="G222" s="18" t="n">
        <f aca="false">SUMIFS(Vendor_Invoices_AP!$E$2:$E$882,Vendor_Invoices_AP!$B$2:$B$882,A222)</f>
        <v>5712.19</v>
      </c>
      <c r="H222" s="16" t="str">
        <f aca="false">IF(F222=0,"Not Received","Received")</f>
        <v>Received</v>
      </c>
      <c r="I222" s="16" t="str">
        <f aca="false">IF(G222=0,"Not Invoiced","Invoiced")</f>
        <v>Invoiced</v>
      </c>
      <c r="J222" s="18" t="n">
        <f aca="false">E222-F222</f>
        <v>0</v>
      </c>
      <c r="K222" s="18" t="n">
        <f aca="false">E222-G222</f>
        <v>0</v>
      </c>
      <c r="L222" s="16" t="str">
        <f aca="false">IF(OR(AND(I222="Invoiced",H222="Not Received"),AND(F222&gt;0,ABS(J222)&gt;Assumptions!$B$6),AND(G222&gt;0,ABS(K222)&gt;Assumptions!$B$6)),"EXCEPTION","OK")</f>
        <v>OK</v>
      </c>
    </row>
    <row r="223" customFormat="false" ht="15" hidden="false" customHeight="false" outlineLevel="0" collapsed="false">
      <c r="A223" s="16" t="str">
        <f aca="false">Purchase_Orders!A220</f>
        <v>PO10219</v>
      </c>
      <c r="B223" s="16" t="str">
        <f aca="false">Purchase_Orders!B220</f>
        <v>V1031</v>
      </c>
      <c r="C223" s="16" t="str">
        <f aca="false">IFERROR(INDEX(Vendor_Master!$B$2:$B$41,MATCH(B223,Vendor_Master!$A$2:$A$41,0)),"Unknown Vendor")</f>
        <v>Harrell LLC</v>
      </c>
      <c r="D223" s="17" t="n">
        <f aca="false">Purchase_Orders!C220</f>
        <v>46084</v>
      </c>
      <c r="E223" s="18" t="n">
        <f aca="false">Purchase_Orders!D220</f>
        <v>3449.51</v>
      </c>
      <c r="F223" s="18" t="n">
        <f aca="false">SUMIFS(Goods_Receipt_Notes!$D$2:$D$791,Goods_Receipt_Notes!$B$2:$B$791,A223)</f>
        <v>3449.51</v>
      </c>
      <c r="G223" s="18" t="n">
        <f aca="false">SUMIFS(Vendor_Invoices_AP!$E$2:$E$882,Vendor_Invoices_AP!$B$2:$B$882,A223)</f>
        <v>3449.51</v>
      </c>
      <c r="H223" s="16" t="str">
        <f aca="false">IF(F223=0,"Not Received","Received")</f>
        <v>Received</v>
      </c>
      <c r="I223" s="16" t="str">
        <f aca="false">IF(G223=0,"Not Invoiced","Invoiced")</f>
        <v>Invoiced</v>
      </c>
      <c r="J223" s="18" t="n">
        <f aca="false">E223-F223</f>
        <v>0</v>
      </c>
      <c r="K223" s="18" t="n">
        <f aca="false">E223-G223</f>
        <v>0</v>
      </c>
      <c r="L223" s="16" t="str">
        <f aca="false">IF(OR(AND(I223="Invoiced",H223="Not Received"),AND(F223&gt;0,ABS(J223)&gt;Assumptions!$B$6),AND(G223&gt;0,ABS(K223)&gt;Assumptions!$B$6)),"EXCEPTION","OK")</f>
        <v>OK</v>
      </c>
    </row>
    <row r="224" customFormat="false" ht="15" hidden="false" customHeight="false" outlineLevel="0" collapsed="false">
      <c r="A224" s="16" t="str">
        <f aca="false">Purchase_Orders!A221</f>
        <v>PO10220</v>
      </c>
      <c r="B224" s="16" t="str">
        <f aca="false">Purchase_Orders!B221</f>
        <v>V1018</v>
      </c>
      <c r="C224" s="16" t="str">
        <f aca="false">IFERROR(INDEX(Vendor_Master!$B$2:$B$41,MATCH(B224,Vendor_Master!$A$2:$A$41,0)),"Unknown Vendor")</f>
        <v>Underwood LLC</v>
      </c>
      <c r="D224" s="17" t="n">
        <f aca="false">Purchase_Orders!C221</f>
        <v>45847</v>
      </c>
      <c r="E224" s="18" t="n">
        <f aca="false">Purchase_Orders!D221</f>
        <v>1442.03</v>
      </c>
      <c r="F224" s="18" t="n">
        <f aca="false">SUMIFS(Goods_Receipt_Notes!$D$2:$D$791,Goods_Receipt_Notes!$B$2:$B$791,A224)</f>
        <v>1442.03</v>
      </c>
      <c r="G224" s="18" t="n">
        <f aca="false">SUMIFS(Vendor_Invoices_AP!$E$2:$E$882,Vendor_Invoices_AP!$B$2:$B$882,A224)</f>
        <v>1442.03</v>
      </c>
      <c r="H224" s="16" t="str">
        <f aca="false">IF(F224=0,"Not Received","Received")</f>
        <v>Received</v>
      </c>
      <c r="I224" s="16" t="str">
        <f aca="false">IF(G224=0,"Not Invoiced","Invoiced")</f>
        <v>Invoiced</v>
      </c>
      <c r="J224" s="18" t="n">
        <f aca="false">E224-F224</f>
        <v>0</v>
      </c>
      <c r="K224" s="18" t="n">
        <f aca="false">E224-G224</f>
        <v>0</v>
      </c>
      <c r="L224" s="16" t="str">
        <f aca="false">IF(OR(AND(I224="Invoiced",H224="Not Received"),AND(F224&gt;0,ABS(J224)&gt;Assumptions!$B$6),AND(G224&gt;0,ABS(K224)&gt;Assumptions!$B$6)),"EXCEPTION","OK")</f>
        <v>OK</v>
      </c>
    </row>
    <row r="225" customFormat="false" ht="15" hidden="false" customHeight="false" outlineLevel="0" collapsed="false">
      <c r="A225" s="16" t="str">
        <f aca="false">Purchase_Orders!A222</f>
        <v>PO10221</v>
      </c>
      <c r="B225" s="16" t="str">
        <f aca="false">Purchase_Orders!B222</f>
        <v>V1007</v>
      </c>
      <c r="C225" s="16" t="str">
        <f aca="false">IFERROR(INDEX(Vendor_Master!$B$2:$B$41,MATCH(B225,Vendor_Master!$A$2:$A$41,0)),"Unknown Vendor")</f>
        <v>Ramirez-Lewis</v>
      </c>
      <c r="D225" s="17" t="n">
        <f aca="false">Purchase_Orders!C222</f>
        <v>45891</v>
      </c>
      <c r="E225" s="18" t="n">
        <f aca="false">Purchase_Orders!D222</f>
        <v>14974.83</v>
      </c>
      <c r="F225" s="18" t="n">
        <f aca="false">SUMIFS(Goods_Receipt_Notes!$D$2:$D$791,Goods_Receipt_Notes!$B$2:$B$791,A225)</f>
        <v>12745.63</v>
      </c>
      <c r="G225" s="18" t="n">
        <f aca="false">SUMIFS(Vendor_Invoices_AP!$E$2:$E$882,Vendor_Invoices_AP!$B$2:$B$882,A225)</f>
        <v>14974.83</v>
      </c>
      <c r="H225" s="16" t="str">
        <f aca="false">IF(F225=0,"Not Received","Received")</f>
        <v>Received</v>
      </c>
      <c r="I225" s="16" t="str">
        <f aca="false">IF(G225=0,"Not Invoiced","Invoiced")</f>
        <v>Invoiced</v>
      </c>
      <c r="J225" s="18" t="n">
        <f aca="false">E225-F225</f>
        <v>2229.2</v>
      </c>
      <c r="K225" s="18" t="n">
        <f aca="false">E225-G225</f>
        <v>0</v>
      </c>
      <c r="L225" s="16" t="str">
        <f aca="false">IF(OR(AND(I225="Invoiced",H225="Not Received"),AND(F225&gt;0,ABS(J225)&gt;Assumptions!$B$6),AND(G225&gt;0,ABS(K225)&gt;Assumptions!$B$6)),"EXCEPTION","OK")</f>
        <v>EXCEPTION</v>
      </c>
    </row>
    <row r="226" customFormat="false" ht="15" hidden="false" customHeight="false" outlineLevel="0" collapsed="false">
      <c r="A226" s="16" t="str">
        <f aca="false">Purchase_Orders!A223</f>
        <v>PO10222</v>
      </c>
      <c r="B226" s="16" t="str">
        <f aca="false">Purchase_Orders!B223</f>
        <v>V1032</v>
      </c>
      <c r="C226" s="16" t="str">
        <f aca="false">IFERROR(INDEX(Vendor_Master!$B$2:$B$41,MATCH(B226,Vendor_Master!$A$2:$A$41,0)),"Unknown Vendor")</f>
        <v>Lynch, Hernandez and Farmer</v>
      </c>
      <c r="D226" s="17" t="n">
        <f aca="false">Purchase_Orders!C223</f>
        <v>45859</v>
      </c>
      <c r="E226" s="18" t="n">
        <f aca="false">Purchase_Orders!D223</f>
        <v>877.63</v>
      </c>
      <c r="F226" s="18" t="n">
        <f aca="false">SUMIFS(Goods_Receipt_Notes!$D$2:$D$791,Goods_Receipt_Notes!$B$2:$B$791,A226)</f>
        <v>877.63</v>
      </c>
      <c r="G226" s="18" t="n">
        <f aca="false">SUMIFS(Vendor_Invoices_AP!$E$2:$E$882,Vendor_Invoices_AP!$B$2:$B$882,A226)</f>
        <v>877.63</v>
      </c>
      <c r="H226" s="16" t="str">
        <f aca="false">IF(F226=0,"Not Received","Received")</f>
        <v>Received</v>
      </c>
      <c r="I226" s="16" t="str">
        <f aca="false">IF(G226=0,"Not Invoiced","Invoiced")</f>
        <v>Invoiced</v>
      </c>
      <c r="J226" s="18" t="n">
        <f aca="false">E226-F226</f>
        <v>0</v>
      </c>
      <c r="K226" s="18" t="n">
        <f aca="false">E226-G226</f>
        <v>0</v>
      </c>
      <c r="L226" s="16" t="str">
        <f aca="false">IF(OR(AND(I226="Invoiced",H226="Not Received"),AND(F226&gt;0,ABS(J226)&gt;Assumptions!$B$6),AND(G226&gt;0,ABS(K226)&gt;Assumptions!$B$6)),"EXCEPTION","OK")</f>
        <v>OK</v>
      </c>
    </row>
    <row r="227" customFormat="false" ht="15" hidden="false" customHeight="false" outlineLevel="0" collapsed="false">
      <c r="A227" s="16" t="str">
        <f aca="false">Purchase_Orders!A224</f>
        <v>PO10223</v>
      </c>
      <c r="B227" s="16" t="str">
        <f aca="false">Purchase_Orders!B224</f>
        <v>V1033</v>
      </c>
      <c r="C227" s="16" t="str">
        <f aca="false">IFERROR(INDEX(Vendor_Master!$B$2:$B$41,MATCH(B227,Vendor_Master!$A$2:$A$41,0)),"Unknown Vendor")</f>
        <v>Sellers, George and Burns</v>
      </c>
      <c r="D227" s="17" t="n">
        <f aca="false">Purchase_Orders!C224</f>
        <v>45933</v>
      </c>
      <c r="E227" s="18" t="n">
        <f aca="false">Purchase_Orders!D224</f>
        <v>2542.66</v>
      </c>
      <c r="F227" s="18" t="n">
        <f aca="false">SUMIFS(Goods_Receipt_Notes!$D$2:$D$791,Goods_Receipt_Notes!$B$2:$B$791,A227)</f>
        <v>2542.66</v>
      </c>
      <c r="G227" s="18" t="n">
        <f aca="false">SUMIFS(Vendor_Invoices_AP!$E$2:$E$882,Vendor_Invoices_AP!$B$2:$B$882,A227)</f>
        <v>2542.66</v>
      </c>
      <c r="H227" s="16" t="str">
        <f aca="false">IF(F227=0,"Not Received","Received")</f>
        <v>Received</v>
      </c>
      <c r="I227" s="16" t="str">
        <f aca="false">IF(G227=0,"Not Invoiced","Invoiced")</f>
        <v>Invoiced</v>
      </c>
      <c r="J227" s="18" t="n">
        <f aca="false">E227-F227</f>
        <v>0</v>
      </c>
      <c r="K227" s="18" t="n">
        <f aca="false">E227-G227</f>
        <v>0</v>
      </c>
      <c r="L227" s="16" t="str">
        <f aca="false">IF(OR(AND(I227="Invoiced",H227="Not Received"),AND(F227&gt;0,ABS(J227)&gt;Assumptions!$B$6),AND(G227&gt;0,ABS(K227)&gt;Assumptions!$B$6)),"EXCEPTION","OK")</f>
        <v>OK</v>
      </c>
    </row>
    <row r="228" customFormat="false" ht="15" hidden="false" customHeight="false" outlineLevel="0" collapsed="false">
      <c r="A228" s="16" t="str">
        <f aca="false">Purchase_Orders!A225</f>
        <v>PO10224</v>
      </c>
      <c r="B228" s="16" t="str">
        <f aca="false">Purchase_Orders!B225</f>
        <v>V1007</v>
      </c>
      <c r="C228" s="16" t="str">
        <f aca="false">IFERROR(INDEX(Vendor_Master!$B$2:$B$41,MATCH(B228,Vendor_Master!$A$2:$A$41,0)),"Unknown Vendor")</f>
        <v>Ramirez-Lewis</v>
      </c>
      <c r="D228" s="17" t="n">
        <f aca="false">Purchase_Orders!C225</f>
        <v>45843</v>
      </c>
      <c r="E228" s="18" t="n">
        <f aca="false">Purchase_Orders!D225</f>
        <v>3210.01</v>
      </c>
      <c r="F228" s="18" t="n">
        <f aca="false">SUMIFS(Goods_Receipt_Notes!$D$2:$D$791,Goods_Receipt_Notes!$B$2:$B$791,A228)</f>
        <v>3210.01</v>
      </c>
      <c r="G228" s="18" t="n">
        <f aca="false">SUMIFS(Vendor_Invoices_AP!$E$2:$E$882,Vendor_Invoices_AP!$B$2:$B$882,A228)</f>
        <v>3210.01</v>
      </c>
      <c r="H228" s="16" t="str">
        <f aca="false">IF(F228=0,"Not Received","Received")</f>
        <v>Received</v>
      </c>
      <c r="I228" s="16" t="str">
        <f aca="false">IF(G228=0,"Not Invoiced","Invoiced")</f>
        <v>Invoiced</v>
      </c>
      <c r="J228" s="18" t="n">
        <f aca="false">E228-F228</f>
        <v>0</v>
      </c>
      <c r="K228" s="18" t="n">
        <f aca="false">E228-G228</f>
        <v>0</v>
      </c>
      <c r="L228" s="16" t="str">
        <f aca="false">IF(OR(AND(I228="Invoiced",H228="Not Received"),AND(F228&gt;0,ABS(J228)&gt;Assumptions!$B$6),AND(G228&gt;0,ABS(K228)&gt;Assumptions!$B$6)),"EXCEPTION","OK")</f>
        <v>OK</v>
      </c>
    </row>
    <row r="229" customFormat="false" ht="15" hidden="false" customHeight="false" outlineLevel="0" collapsed="false">
      <c r="A229" s="16" t="str">
        <f aca="false">Purchase_Orders!A226</f>
        <v>PO10225</v>
      </c>
      <c r="B229" s="16" t="str">
        <f aca="false">Purchase_Orders!B226</f>
        <v>V1017</v>
      </c>
      <c r="C229" s="16" t="str">
        <f aca="false">IFERROR(INDEX(Vendor_Master!$B$2:$B$41,MATCH(B229,Vendor_Master!$A$2:$A$41,0)),"Unknown Vendor")</f>
        <v>Hawkins, Cohen and Cameron</v>
      </c>
      <c r="D229" s="17" t="n">
        <f aca="false">Purchase_Orders!C226</f>
        <v>46121</v>
      </c>
      <c r="E229" s="18" t="n">
        <f aca="false">Purchase_Orders!D226</f>
        <v>610.78</v>
      </c>
      <c r="F229" s="18" t="n">
        <f aca="false">SUMIFS(Goods_Receipt_Notes!$D$2:$D$791,Goods_Receipt_Notes!$B$2:$B$791,A229)</f>
        <v>610.78</v>
      </c>
      <c r="G229" s="18" t="n">
        <f aca="false">SUMIFS(Vendor_Invoices_AP!$E$2:$E$882,Vendor_Invoices_AP!$B$2:$B$882,A229)</f>
        <v>610.78</v>
      </c>
      <c r="H229" s="16" t="str">
        <f aca="false">IF(F229=0,"Not Received","Received")</f>
        <v>Received</v>
      </c>
      <c r="I229" s="16" t="str">
        <f aca="false">IF(G229=0,"Not Invoiced","Invoiced")</f>
        <v>Invoiced</v>
      </c>
      <c r="J229" s="18" t="n">
        <f aca="false">E229-F229</f>
        <v>0</v>
      </c>
      <c r="K229" s="18" t="n">
        <f aca="false">E229-G229</f>
        <v>0</v>
      </c>
      <c r="L229" s="16" t="str">
        <f aca="false">IF(OR(AND(I229="Invoiced",H229="Not Received"),AND(F229&gt;0,ABS(J229)&gt;Assumptions!$B$6),AND(G229&gt;0,ABS(K229)&gt;Assumptions!$B$6)),"EXCEPTION","OK")</f>
        <v>OK</v>
      </c>
    </row>
    <row r="230" customFormat="false" ht="15" hidden="false" customHeight="false" outlineLevel="0" collapsed="false">
      <c r="A230" s="16" t="str">
        <f aca="false">Purchase_Orders!A227</f>
        <v>PO10226</v>
      </c>
      <c r="B230" s="16" t="str">
        <f aca="false">Purchase_Orders!B227</f>
        <v>V1005</v>
      </c>
      <c r="C230" s="16" t="str">
        <f aca="false">IFERROR(INDEX(Vendor_Master!$B$2:$B$41,MATCH(B230,Vendor_Master!$A$2:$A$41,0)),"Unknown Vendor")</f>
        <v>Cole LLC</v>
      </c>
      <c r="D230" s="17" t="n">
        <f aca="false">Purchase_Orders!C227</f>
        <v>46106</v>
      </c>
      <c r="E230" s="18" t="n">
        <f aca="false">Purchase_Orders!D227</f>
        <v>4612.25</v>
      </c>
      <c r="F230" s="18" t="n">
        <f aca="false">SUMIFS(Goods_Receipt_Notes!$D$2:$D$791,Goods_Receipt_Notes!$B$2:$B$791,A230)</f>
        <v>4612.25</v>
      </c>
      <c r="G230" s="18" t="n">
        <f aca="false">SUMIFS(Vendor_Invoices_AP!$E$2:$E$882,Vendor_Invoices_AP!$B$2:$B$882,A230)</f>
        <v>4612.25</v>
      </c>
      <c r="H230" s="16" t="str">
        <f aca="false">IF(F230=0,"Not Received","Received")</f>
        <v>Received</v>
      </c>
      <c r="I230" s="16" t="str">
        <f aca="false">IF(G230=0,"Not Invoiced","Invoiced")</f>
        <v>Invoiced</v>
      </c>
      <c r="J230" s="18" t="n">
        <f aca="false">E230-F230</f>
        <v>0</v>
      </c>
      <c r="K230" s="18" t="n">
        <f aca="false">E230-G230</f>
        <v>0</v>
      </c>
      <c r="L230" s="16" t="str">
        <f aca="false">IF(OR(AND(I230="Invoiced",H230="Not Received"),AND(F230&gt;0,ABS(J230)&gt;Assumptions!$B$6),AND(G230&gt;0,ABS(K230)&gt;Assumptions!$B$6)),"EXCEPTION","OK")</f>
        <v>OK</v>
      </c>
    </row>
    <row r="231" customFormat="false" ht="15" hidden="false" customHeight="false" outlineLevel="0" collapsed="false">
      <c r="A231" s="16" t="str">
        <f aca="false">Purchase_Orders!A228</f>
        <v>PO10227</v>
      </c>
      <c r="B231" s="16" t="str">
        <f aca="false">Purchase_Orders!B228</f>
        <v>V1031</v>
      </c>
      <c r="C231" s="16" t="str">
        <f aca="false">IFERROR(INDEX(Vendor_Master!$B$2:$B$41,MATCH(B231,Vendor_Master!$A$2:$A$41,0)),"Unknown Vendor")</f>
        <v>Harrell LLC</v>
      </c>
      <c r="D231" s="17" t="n">
        <f aca="false">Purchase_Orders!C228</f>
        <v>45715</v>
      </c>
      <c r="E231" s="18" t="n">
        <f aca="false">Purchase_Orders!D228</f>
        <v>884.17</v>
      </c>
      <c r="F231" s="18" t="n">
        <f aca="false">SUMIFS(Goods_Receipt_Notes!$D$2:$D$791,Goods_Receipt_Notes!$B$2:$B$791,A231)</f>
        <v>884.17</v>
      </c>
      <c r="G231" s="18" t="n">
        <f aca="false">SUMIFS(Vendor_Invoices_AP!$E$2:$E$882,Vendor_Invoices_AP!$B$2:$B$882,A231)</f>
        <v>884.17</v>
      </c>
      <c r="H231" s="16" t="str">
        <f aca="false">IF(F231=0,"Not Received","Received")</f>
        <v>Received</v>
      </c>
      <c r="I231" s="16" t="str">
        <f aca="false">IF(G231=0,"Not Invoiced","Invoiced")</f>
        <v>Invoiced</v>
      </c>
      <c r="J231" s="18" t="n">
        <f aca="false">E231-F231</f>
        <v>0</v>
      </c>
      <c r="K231" s="18" t="n">
        <f aca="false">E231-G231</f>
        <v>0</v>
      </c>
      <c r="L231" s="16" t="str">
        <f aca="false">IF(OR(AND(I231="Invoiced",H231="Not Received"),AND(F231&gt;0,ABS(J231)&gt;Assumptions!$B$6),AND(G231&gt;0,ABS(K231)&gt;Assumptions!$B$6)),"EXCEPTION","OK")</f>
        <v>OK</v>
      </c>
    </row>
    <row r="232" customFormat="false" ht="15" hidden="false" customHeight="false" outlineLevel="0" collapsed="false">
      <c r="A232" s="16" t="str">
        <f aca="false">Purchase_Orders!A229</f>
        <v>PO10228</v>
      </c>
      <c r="B232" s="16" t="str">
        <f aca="false">Purchase_Orders!B229</f>
        <v>V1003</v>
      </c>
      <c r="C232" s="16" t="str">
        <f aca="false">IFERROR(INDEX(Vendor_Master!$B$2:$B$41,MATCH(B232,Vendor_Master!$A$2:$A$41,0)),"Unknown Vendor")</f>
        <v>Johnson and Sons</v>
      </c>
      <c r="D232" s="17" t="n">
        <f aca="false">Purchase_Orders!C229</f>
        <v>46181</v>
      </c>
      <c r="E232" s="18" t="n">
        <f aca="false">Purchase_Orders!D229</f>
        <v>3538.33</v>
      </c>
      <c r="F232" s="18" t="n">
        <f aca="false">SUMIFS(Goods_Receipt_Notes!$D$2:$D$791,Goods_Receipt_Notes!$B$2:$B$791,A232)</f>
        <v>3538.33</v>
      </c>
      <c r="G232" s="18" t="n">
        <f aca="false">SUMIFS(Vendor_Invoices_AP!$E$2:$E$882,Vendor_Invoices_AP!$B$2:$B$882,A232)</f>
        <v>3538.33</v>
      </c>
      <c r="H232" s="16" t="str">
        <f aca="false">IF(F232=0,"Not Received","Received")</f>
        <v>Received</v>
      </c>
      <c r="I232" s="16" t="str">
        <f aca="false">IF(G232=0,"Not Invoiced","Invoiced")</f>
        <v>Invoiced</v>
      </c>
      <c r="J232" s="18" t="n">
        <f aca="false">E232-F232</f>
        <v>0</v>
      </c>
      <c r="K232" s="18" t="n">
        <f aca="false">E232-G232</f>
        <v>0</v>
      </c>
      <c r="L232" s="16" t="str">
        <f aca="false">IF(OR(AND(I232="Invoiced",H232="Not Received"),AND(F232&gt;0,ABS(J232)&gt;Assumptions!$B$6),AND(G232&gt;0,ABS(K232)&gt;Assumptions!$B$6)),"EXCEPTION","OK")</f>
        <v>OK</v>
      </c>
    </row>
    <row r="233" customFormat="false" ht="15" hidden="false" customHeight="false" outlineLevel="0" collapsed="false">
      <c r="A233" s="16" t="str">
        <f aca="false">Purchase_Orders!A230</f>
        <v>PO10229</v>
      </c>
      <c r="B233" s="16" t="str">
        <f aca="false">Purchase_Orders!B230</f>
        <v>V1020</v>
      </c>
      <c r="C233" s="16" t="str">
        <f aca="false">IFERROR(INDEX(Vendor_Master!$B$2:$B$41,MATCH(B233,Vendor_Master!$A$2:$A$41,0)),"Unknown Vendor")</f>
        <v>Lewis-Porter</v>
      </c>
      <c r="D233" s="17" t="n">
        <f aca="false">Purchase_Orders!C230</f>
        <v>46004</v>
      </c>
      <c r="E233" s="18" t="n">
        <f aca="false">Purchase_Orders!D230</f>
        <v>1486.84</v>
      </c>
      <c r="F233" s="18" t="n">
        <f aca="false">SUMIFS(Goods_Receipt_Notes!$D$2:$D$791,Goods_Receipt_Notes!$B$2:$B$791,A233)</f>
        <v>1486.84</v>
      </c>
      <c r="G233" s="18" t="n">
        <f aca="false">SUMIFS(Vendor_Invoices_AP!$E$2:$E$882,Vendor_Invoices_AP!$B$2:$B$882,A233)</f>
        <v>3228.21</v>
      </c>
      <c r="H233" s="16" t="str">
        <f aca="false">IF(F233=0,"Not Received","Received")</f>
        <v>Received</v>
      </c>
      <c r="I233" s="16" t="str">
        <f aca="false">IF(G233=0,"Not Invoiced","Invoiced")</f>
        <v>Invoiced</v>
      </c>
      <c r="J233" s="18" t="n">
        <f aca="false">E233-F233</f>
        <v>0</v>
      </c>
      <c r="K233" s="18" t="n">
        <f aca="false">E233-G233</f>
        <v>-1741.37</v>
      </c>
      <c r="L233" s="16" t="str">
        <f aca="false">IF(OR(AND(I233="Invoiced",H233="Not Received"),AND(F233&gt;0,ABS(J233)&gt;Assumptions!$B$6),AND(G233&gt;0,ABS(K233)&gt;Assumptions!$B$6)),"EXCEPTION","OK")</f>
        <v>EXCEPTION</v>
      </c>
    </row>
    <row r="234" customFormat="false" ht="15" hidden="false" customHeight="false" outlineLevel="0" collapsed="false">
      <c r="A234" s="16" t="str">
        <f aca="false">Purchase_Orders!A231</f>
        <v>PO10230</v>
      </c>
      <c r="B234" s="16" t="str">
        <f aca="false">Purchase_Orders!B231</f>
        <v>V1030</v>
      </c>
      <c r="C234" s="16" t="str">
        <f aca="false">IFERROR(INDEX(Vendor_Master!$B$2:$B$41,MATCH(B234,Vendor_Master!$A$2:$A$41,0)),"Unknown Vendor")</f>
        <v>Stanton-Gill</v>
      </c>
      <c r="D234" s="17" t="n">
        <f aca="false">Purchase_Orders!C231</f>
        <v>46109</v>
      </c>
      <c r="E234" s="18" t="n">
        <f aca="false">Purchase_Orders!D231</f>
        <v>201.48</v>
      </c>
      <c r="F234" s="18" t="n">
        <f aca="false">SUMIFS(Goods_Receipt_Notes!$D$2:$D$791,Goods_Receipt_Notes!$B$2:$B$791,A234)</f>
        <v>201.48</v>
      </c>
      <c r="G234" s="18" t="n">
        <f aca="false">SUMIFS(Vendor_Invoices_AP!$E$2:$E$882,Vendor_Invoices_AP!$B$2:$B$882,A234)</f>
        <v>201.48</v>
      </c>
      <c r="H234" s="16" t="str">
        <f aca="false">IF(F234=0,"Not Received","Received")</f>
        <v>Received</v>
      </c>
      <c r="I234" s="16" t="str">
        <f aca="false">IF(G234=0,"Not Invoiced","Invoiced")</f>
        <v>Invoiced</v>
      </c>
      <c r="J234" s="18" t="n">
        <f aca="false">E234-F234</f>
        <v>0</v>
      </c>
      <c r="K234" s="18" t="n">
        <f aca="false">E234-G234</f>
        <v>0</v>
      </c>
      <c r="L234" s="16" t="str">
        <f aca="false">IF(OR(AND(I234="Invoiced",H234="Not Received"),AND(F234&gt;0,ABS(J234)&gt;Assumptions!$B$6),AND(G234&gt;0,ABS(K234)&gt;Assumptions!$B$6)),"EXCEPTION","OK")</f>
        <v>OK</v>
      </c>
    </row>
    <row r="235" customFormat="false" ht="15" hidden="false" customHeight="false" outlineLevel="0" collapsed="false">
      <c r="A235" s="16" t="str">
        <f aca="false">Purchase_Orders!A232</f>
        <v>PO10231</v>
      </c>
      <c r="B235" s="16" t="str">
        <f aca="false">Purchase_Orders!B232</f>
        <v>V1035</v>
      </c>
      <c r="C235" s="16" t="str">
        <f aca="false">IFERROR(INDEX(Vendor_Master!$B$2:$B$41,MATCH(B235,Vendor_Master!$A$2:$A$41,0)),"Unknown Vendor")</f>
        <v>Allen PLC</v>
      </c>
      <c r="D235" s="17" t="n">
        <f aca="false">Purchase_Orders!C232</f>
        <v>46043</v>
      </c>
      <c r="E235" s="18" t="n">
        <f aca="false">Purchase_Orders!D232</f>
        <v>4010.98</v>
      </c>
      <c r="F235" s="18" t="n">
        <f aca="false">SUMIFS(Goods_Receipt_Notes!$D$2:$D$791,Goods_Receipt_Notes!$B$2:$B$791,A235)</f>
        <v>4010.98</v>
      </c>
      <c r="G235" s="18" t="n">
        <f aca="false">SUMIFS(Vendor_Invoices_AP!$E$2:$E$882,Vendor_Invoices_AP!$B$2:$B$882,A235)</f>
        <v>4326.08</v>
      </c>
      <c r="H235" s="16" t="str">
        <f aca="false">IF(F235=0,"Not Received","Received")</f>
        <v>Received</v>
      </c>
      <c r="I235" s="16" t="str">
        <f aca="false">IF(G235=0,"Not Invoiced","Invoiced")</f>
        <v>Invoiced</v>
      </c>
      <c r="J235" s="18" t="n">
        <f aca="false">E235-F235</f>
        <v>0</v>
      </c>
      <c r="K235" s="18" t="n">
        <f aca="false">E235-G235</f>
        <v>-315.1</v>
      </c>
      <c r="L235" s="16" t="str">
        <f aca="false">IF(OR(AND(I235="Invoiced",H235="Not Received"),AND(F235&gt;0,ABS(J235)&gt;Assumptions!$B$6),AND(G235&gt;0,ABS(K235)&gt;Assumptions!$B$6)),"EXCEPTION","OK")</f>
        <v>EXCEPTION</v>
      </c>
    </row>
    <row r="236" customFormat="false" ht="15" hidden="false" customHeight="false" outlineLevel="0" collapsed="false">
      <c r="A236" s="16" t="str">
        <f aca="false">Purchase_Orders!A233</f>
        <v>PO10232</v>
      </c>
      <c r="B236" s="16" t="str">
        <f aca="false">Purchase_Orders!B233</f>
        <v>V1013</v>
      </c>
      <c r="C236" s="16" t="str">
        <f aca="false">IFERROR(INDEX(Vendor_Master!$B$2:$B$41,MATCH(B236,Vendor_Master!$A$2:$A$41,0)),"Unknown Vendor")</f>
        <v>Delacruz Group</v>
      </c>
      <c r="D236" s="17" t="n">
        <f aca="false">Purchase_Orders!C233</f>
        <v>45895</v>
      </c>
      <c r="E236" s="18" t="n">
        <f aca="false">Purchase_Orders!D233</f>
        <v>1933.86</v>
      </c>
      <c r="F236" s="18" t="n">
        <f aca="false">SUMIFS(Goods_Receipt_Notes!$D$2:$D$791,Goods_Receipt_Notes!$B$2:$B$791,A236)</f>
        <v>1933.86</v>
      </c>
      <c r="G236" s="18" t="n">
        <f aca="false">SUMIFS(Vendor_Invoices_AP!$E$2:$E$882,Vendor_Invoices_AP!$B$2:$B$882,A236)</f>
        <v>1933.86</v>
      </c>
      <c r="H236" s="16" t="str">
        <f aca="false">IF(F236=0,"Not Received","Received")</f>
        <v>Received</v>
      </c>
      <c r="I236" s="16" t="str">
        <f aca="false">IF(G236=0,"Not Invoiced","Invoiced")</f>
        <v>Invoiced</v>
      </c>
      <c r="J236" s="18" t="n">
        <f aca="false">E236-F236</f>
        <v>0</v>
      </c>
      <c r="K236" s="18" t="n">
        <f aca="false">E236-G236</f>
        <v>0</v>
      </c>
      <c r="L236" s="16" t="str">
        <f aca="false">IF(OR(AND(I236="Invoiced",H236="Not Received"),AND(F236&gt;0,ABS(J236)&gt;Assumptions!$B$6),AND(G236&gt;0,ABS(K236)&gt;Assumptions!$B$6)),"EXCEPTION","OK")</f>
        <v>OK</v>
      </c>
    </row>
    <row r="237" customFormat="false" ht="15" hidden="false" customHeight="false" outlineLevel="0" collapsed="false">
      <c r="A237" s="16" t="str">
        <f aca="false">Purchase_Orders!A234</f>
        <v>PO10233</v>
      </c>
      <c r="B237" s="16" t="str">
        <f aca="false">Purchase_Orders!B234</f>
        <v>V1005</v>
      </c>
      <c r="C237" s="16" t="str">
        <f aca="false">IFERROR(INDEX(Vendor_Master!$B$2:$B$41,MATCH(B237,Vendor_Master!$A$2:$A$41,0)),"Unknown Vendor")</f>
        <v>Cole LLC</v>
      </c>
      <c r="D237" s="17" t="n">
        <f aca="false">Purchase_Orders!C234</f>
        <v>46057</v>
      </c>
      <c r="E237" s="18" t="n">
        <f aca="false">Purchase_Orders!D234</f>
        <v>301.96</v>
      </c>
      <c r="F237" s="18" t="n">
        <f aca="false">SUMIFS(Goods_Receipt_Notes!$D$2:$D$791,Goods_Receipt_Notes!$B$2:$B$791,A237)</f>
        <v>301.96</v>
      </c>
      <c r="G237" s="18" t="n">
        <f aca="false">SUMIFS(Vendor_Invoices_AP!$E$2:$E$882,Vendor_Invoices_AP!$B$2:$B$882,A237)</f>
        <v>301.96</v>
      </c>
      <c r="H237" s="16" t="str">
        <f aca="false">IF(F237=0,"Not Received","Received")</f>
        <v>Received</v>
      </c>
      <c r="I237" s="16" t="str">
        <f aca="false">IF(G237=0,"Not Invoiced","Invoiced")</f>
        <v>Invoiced</v>
      </c>
      <c r="J237" s="18" t="n">
        <f aca="false">E237-F237</f>
        <v>0</v>
      </c>
      <c r="K237" s="18" t="n">
        <f aca="false">E237-G237</f>
        <v>0</v>
      </c>
      <c r="L237" s="16" t="str">
        <f aca="false">IF(OR(AND(I237="Invoiced",H237="Not Received"),AND(F237&gt;0,ABS(J237)&gt;Assumptions!$B$6),AND(G237&gt;0,ABS(K237)&gt;Assumptions!$B$6)),"EXCEPTION","OK")</f>
        <v>OK</v>
      </c>
    </row>
    <row r="238" customFormat="false" ht="15" hidden="false" customHeight="false" outlineLevel="0" collapsed="false">
      <c r="A238" s="16" t="str">
        <f aca="false">Purchase_Orders!A235</f>
        <v>PO10234</v>
      </c>
      <c r="B238" s="16" t="str">
        <f aca="false">Purchase_Orders!B235</f>
        <v>V1007</v>
      </c>
      <c r="C238" s="16" t="str">
        <f aca="false">IFERROR(INDEX(Vendor_Master!$B$2:$B$41,MATCH(B238,Vendor_Master!$A$2:$A$41,0)),"Unknown Vendor")</f>
        <v>Ramirez-Lewis</v>
      </c>
      <c r="D238" s="17" t="n">
        <f aca="false">Purchase_Orders!C235</f>
        <v>46184</v>
      </c>
      <c r="E238" s="18" t="n">
        <f aca="false">Purchase_Orders!D235</f>
        <v>16728.17</v>
      </c>
      <c r="F238" s="18" t="n">
        <f aca="false">SUMIFS(Goods_Receipt_Notes!$D$2:$D$791,Goods_Receipt_Notes!$B$2:$B$791,A238)</f>
        <v>16728.17</v>
      </c>
      <c r="G238" s="18" t="n">
        <f aca="false">SUMIFS(Vendor_Invoices_AP!$E$2:$E$882,Vendor_Invoices_AP!$B$2:$B$882,A238)</f>
        <v>16728.17</v>
      </c>
      <c r="H238" s="16" t="str">
        <f aca="false">IF(F238=0,"Not Received","Received")</f>
        <v>Received</v>
      </c>
      <c r="I238" s="16" t="str">
        <f aca="false">IF(G238=0,"Not Invoiced","Invoiced")</f>
        <v>Invoiced</v>
      </c>
      <c r="J238" s="18" t="n">
        <f aca="false">E238-F238</f>
        <v>0</v>
      </c>
      <c r="K238" s="18" t="n">
        <f aca="false">E238-G238</f>
        <v>0</v>
      </c>
      <c r="L238" s="16" t="str">
        <f aca="false">IF(OR(AND(I238="Invoiced",H238="Not Received"),AND(F238&gt;0,ABS(J238)&gt;Assumptions!$B$6),AND(G238&gt;0,ABS(K238)&gt;Assumptions!$B$6)),"EXCEPTION","OK")</f>
        <v>OK</v>
      </c>
    </row>
    <row r="239" customFormat="false" ht="15" hidden="false" customHeight="false" outlineLevel="0" collapsed="false">
      <c r="A239" s="16" t="str">
        <f aca="false">Purchase_Orders!A236</f>
        <v>PO10235</v>
      </c>
      <c r="B239" s="16" t="str">
        <f aca="false">Purchase_Orders!B236</f>
        <v>V1038</v>
      </c>
      <c r="C239" s="16" t="str">
        <f aca="false">IFERROR(INDEX(Vendor_Master!$B$2:$B$41,MATCH(B239,Vendor_Master!$A$2:$A$41,0)),"Unknown Vendor")</f>
        <v>Rose-Obrien</v>
      </c>
      <c r="D239" s="17" t="n">
        <f aca="false">Purchase_Orders!C236</f>
        <v>45805</v>
      </c>
      <c r="E239" s="18" t="n">
        <f aca="false">Purchase_Orders!D236</f>
        <v>594.08</v>
      </c>
      <c r="F239" s="18" t="n">
        <f aca="false">SUMIFS(Goods_Receipt_Notes!$D$2:$D$791,Goods_Receipt_Notes!$B$2:$B$791,A239)</f>
        <v>594.08</v>
      </c>
      <c r="G239" s="18" t="n">
        <f aca="false">SUMIFS(Vendor_Invoices_AP!$E$2:$E$882,Vendor_Invoices_AP!$B$2:$B$882,A239)</f>
        <v>594.08</v>
      </c>
      <c r="H239" s="16" t="str">
        <f aca="false">IF(F239=0,"Not Received","Received")</f>
        <v>Received</v>
      </c>
      <c r="I239" s="16" t="str">
        <f aca="false">IF(G239=0,"Not Invoiced","Invoiced")</f>
        <v>Invoiced</v>
      </c>
      <c r="J239" s="18" t="n">
        <f aca="false">E239-F239</f>
        <v>0</v>
      </c>
      <c r="K239" s="18" t="n">
        <f aca="false">E239-G239</f>
        <v>0</v>
      </c>
      <c r="L239" s="16" t="str">
        <f aca="false">IF(OR(AND(I239="Invoiced",H239="Not Received"),AND(F239&gt;0,ABS(J239)&gt;Assumptions!$B$6),AND(G239&gt;0,ABS(K239)&gt;Assumptions!$B$6)),"EXCEPTION","OK")</f>
        <v>OK</v>
      </c>
    </row>
    <row r="240" customFormat="false" ht="15" hidden="false" customHeight="false" outlineLevel="0" collapsed="false">
      <c r="A240" s="16" t="str">
        <f aca="false">Purchase_Orders!A237</f>
        <v>PO10236</v>
      </c>
      <c r="B240" s="16" t="str">
        <f aca="false">Purchase_Orders!B237</f>
        <v>V1007</v>
      </c>
      <c r="C240" s="16" t="str">
        <f aca="false">IFERROR(INDEX(Vendor_Master!$B$2:$B$41,MATCH(B240,Vendor_Master!$A$2:$A$41,0)),"Unknown Vendor")</f>
        <v>Ramirez-Lewis</v>
      </c>
      <c r="D240" s="17" t="n">
        <f aca="false">Purchase_Orders!C237</f>
        <v>46098</v>
      </c>
      <c r="E240" s="18" t="n">
        <f aca="false">Purchase_Orders!D237</f>
        <v>4409.64</v>
      </c>
      <c r="F240" s="18" t="n">
        <f aca="false">SUMIFS(Goods_Receipt_Notes!$D$2:$D$791,Goods_Receipt_Notes!$B$2:$B$791,A240)</f>
        <v>0</v>
      </c>
      <c r="G240" s="18" t="n">
        <f aca="false">SUMIFS(Vendor_Invoices_AP!$E$2:$E$882,Vendor_Invoices_AP!$B$2:$B$882,A240)</f>
        <v>4409.64</v>
      </c>
      <c r="H240" s="16" t="str">
        <f aca="false">IF(F240=0,"Not Received","Received")</f>
        <v>Not Received</v>
      </c>
      <c r="I240" s="16" t="str">
        <f aca="false">IF(G240=0,"Not Invoiced","Invoiced")</f>
        <v>Invoiced</v>
      </c>
      <c r="J240" s="18" t="n">
        <f aca="false">E240-F240</f>
        <v>4409.64</v>
      </c>
      <c r="K240" s="18" t="n">
        <f aca="false">E240-G240</f>
        <v>0</v>
      </c>
      <c r="L240" s="16" t="str">
        <f aca="false">IF(OR(AND(I240="Invoiced",H240="Not Received"),AND(F240&gt;0,ABS(J240)&gt;Assumptions!$B$6),AND(G240&gt;0,ABS(K240)&gt;Assumptions!$B$6)),"EXCEPTION","OK")</f>
        <v>EXCEPTION</v>
      </c>
    </row>
    <row r="241" customFormat="false" ht="15" hidden="false" customHeight="false" outlineLevel="0" collapsed="false">
      <c r="A241" s="16" t="str">
        <f aca="false">Purchase_Orders!A238</f>
        <v>PO10237</v>
      </c>
      <c r="B241" s="16" t="str">
        <f aca="false">Purchase_Orders!B238</f>
        <v>V1020</v>
      </c>
      <c r="C241" s="16" t="str">
        <f aca="false">IFERROR(INDEX(Vendor_Master!$B$2:$B$41,MATCH(B241,Vendor_Master!$A$2:$A$41,0)),"Unknown Vendor")</f>
        <v>Lewis-Porter</v>
      </c>
      <c r="D241" s="17" t="n">
        <f aca="false">Purchase_Orders!C238</f>
        <v>45951</v>
      </c>
      <c r="E241" s="18" t="n">
        <f aca="false">Purchase_Orders!D238</f>
        <v>1370.36</v>
      </c>
      <c r="F241" s="18" t="n">
        <f aca="false">SUMIFS(Goods_Receipt_Notes!$D$2:$D$791,Goods_Receipt_Notes!$B$2:$B$791,A241)</f>
        <v>1370.36</v>
      </c>
      <c r="G241" s="18" t="n">
        <f aca="false">SUMIFS(Vendor_Invoices_AP!$E$2:$E$882,Vendor_Invoices_AP!$B$2:$B$882,A241)</f>
        <v>1370.36</v>
      </c>
      <c r="H241" s="16" t="str">
        <f aca="false">IF(F241=0,"Not Received","Received")</f>
        <v>Received</v>
      </c>
      <c r="I241" s="16" t="str">
        <f aca="false">IF(G241=0,"Not Invoiced","Invoiced")</f>
        <v>Invoiced</v>
      </c>
      <c r="J241" s="18" t="n">
        <f aca="false">E241-F241</f>
        <v>0</v>
      </c>
      <c r="K241" s="18" t="n">
        <f aca="false">E241-G241</f>
        <v>0</v>
      </c>
      <c r="L241" s="16" t="str">
        <f aca="false">IF(OR(AND(I241="Invoiced",H241="Not Received"),AND(F241&gt;0,ABS(J241)&gt;Assumptions!$B$6),AND(G241&gt;0,ABS(K241)&gt;Assumptions!$B$6)),"EXCEPTION","OK")</f>
        <v>OK</v>
      </c>
    </row>
    <row r="242" customFormat="false" ht="15" hidden="false" customHeight="false" outlineLevel="0" collapsed="false">
      <c r="A242" s="16" t="str">
        <f aca="false">Purchase_Orders!A239</f>
        <v>PO10238</v>
      </c>
      <c r="B242" s="16" t="str">
        <f aca="false">Purchase_Orders!B239</f>
        <v>V1031</v>
      </c>
      <c r="C242" s="16" t="str">
        <f aca="false">IFERROR(INDEX(Vendor_Master!$B$2:$B$41,MATCH(B242,Vendor_Master!$A$2:$A$41,0)),"Unknown Vendor")</f>
        <v>Harrell LLC</v>
      </c>
      <c r="D242" s="17" t="n">
        <f aca="false">Purchase_Orders!C239</f>
        <v>45921</v>
      </c>
      <c r="E242" s="18" t="n">
        <f aca="false">Purchase_Orders!D239</f>
        <v>480.9</v>
      </c>
      <c r="F242" s="18" t="n">
        <f aca="false">SUMIFS(Goods_Receipt_Notes!$D$2:$D$791,Goods_Receipt_Notes!$B$2:$B$791,A242)</f>
        <v>480.9</v>
      </c>
      <c r="G242" s="18" t="n">
        <f aca="false">SUMIFS(Vendor_Invoices_AP!$E$2:$E$882,Vendor_Invoices_AP!$B$2:$B$882,A242)</f>
        <v>480.9</v>
      </c>
      <c r="H242" s="16" t="str">
        <f aca="false">IF(F242=0,"Not Received","Received")</f>
        <v>Received</v>
      </c>
      <c r="I242" s="16" t="str">
        <f aca="false">IF(G242=0,"Not Invoiced","Invoiced")</f>
        <v>Invoiced</v>
      </c>
      <c r="J242" s="18" t="n">
        <f aca="false">E242-F242</f>
        <v>0</v>
      </c>
      <c r="K242" s="18" t="n">
        <f aca="false">E242-G242</f>
        <v>0</v>
      </c>
      <c r="L242" s="16" t="str">
        <f aca="false">IF(OR(AND(I242="Invoiced",H242="Not Received"),AND(F242&gt;0,ABS(J242)&gt;Assumptions!$B$6),AND(G242&gt;0,ABS(K242)&gt;Assumptions!$B$6)),"EXCEPTION","OK")</f>
        <v>OK</v>
      </c>
    </row>
    <row r="243" customFormat="false" ht="15" hidden="false" customHeight="false" outlineLevel="0" collapsed="false">
      <c r="A243" s="16" t="str">
        <f aca="false">Purchase_Orders!A240</f>
        <v>PO10239</v>
      </c>
      <c r="B243" s="16" t="str">
        <f aca="false">Purchase_Orders!B240</f>
        <v>V1024</v>
      </c>
      <c r="C243" s="16" t="str">
        <f aca="false">IFERROR(INDEX(Vendor_Master!$B$2:$B$41,MATCH(B243,Vendor_Master!$A$2:$A$41,0)),"Unknown Vendor")</f>
        <v>Campos Inc</v>
      </c>
      <c r="D243" s="17" t="n">
        <f aca="false">Purchase_Orders!C240</f>
        <v>45895</v>
      </c>
      <c r="E243" s="18" t="n">
        <f aca="false">Purchase_Orders!D240</f>
        <v>728.26</v>
      </c>
      <c r="F243" s="18" t="n">
        <f aca="false">SUMIFS(Goods_Receipt_Notes!$D$2:$D$791,Goods_Receipt_Notes!$B$2:$B$791,A243)</f>
        <v>728.26</v>
      </c>
      <c r="G243" s="18" t="n">
        <f aca="false">SUMIFS(Vendor_Invoices_AP!$E$2:$E$882,Vendor_Invoices_AP!$B$2:$B$882,A243)</f>
        <v>728.26</v>
      </c>
      <c r="H243" s="16" t="str">
        <f aca="false">IF(F243=0,"Not Received","Received")</f>
        <v>Received</v>
      </c>
      <c r="I243" s="16" t="str">
        <f aca="false">IF(G243=0,"Not Invoiced","Invoiced")</f>
        <v>Invoiced</v>
      </c>
      <c r="J243" s="18" t="n">
        <f aca="false">E243-F243</f>
        <v>0</v>
      </c>
      <c r="K243" s="18" t="n">
        <f aca="false">E243-G243</f>
        <v>0</v>
      </c>
      <c r="L243" s="16" t="str">
        <f aca="false">IF(OR(AND(I243="Invoiced",H243="Not Received"),AND(F243&gt;0,ABS(J243)&gt;Assumptions!$B$6),AND(G243&gt;0,ABS(K243)&gt;Assumptions!$B$6)),"EXCEPTION","OK")</f>
        <v>OK</v>
      </c>
    </row>
    <row r="244" customFormat="false" ht="15" hidden="false" customHeight="false" outlineLevel="0" collapsed="false">
      <c r="A244" s="16" t="str">
        <f aca="false">Purchase_Orders!A241</f>
        <v>PO10240</v>
      </c>
      <c r="B244" s="16" t="str">
        <f aca="false">Purchase_Orders!B241</f>
        <v>V1035</v>
      </c>
      <c r="C244" s="16" t="str">
        <f aca="false">IFERROR(INDEX(Vendor_Master!$B$2:$B$41,MATCH(B244,Vendor_Master!$A$2:$A$41,0)),"Unknown Vendor")</f>
        <v>Allen PLC</v>
      </c>
      <c r="D244" s="17" t="n">
        <f aca="false">Purchase_Orders!C241</f>
        <v>46056</v>
      </c>
      <c r="E244" s="18" t="n">
        <f aca="false">Purchase_Orders!D241</f>
        <v>4217.99</v>
      </c>
      <c r="F244" s="18" t="n">
        <f aca="false">SUMIFS(Goods_Receipt_Notes!$D$2:$D$791,Goods_Receipt_Notes!$B$2:$B$791,A244)</f>
        <v>4217.99</v>
      </c>
      <c r="G244" s="18" t="n">
        <f aca="false">SUMIFS(Vendor_Invoices_AP!$E$2:$E$882,Vendor_Invoices_AP!$B$2:$B$882,A244)</f>
        <v>4217.99</v>
      </c>
      <c r="H244" s="16" t="str">
        <f aca="false">IF(F244=0,"Not Received","Received")</f>
        <v>Received</v>
      </c>
      <c r="I244" s="16" t="str">
        <f aca="false">IF(G244=0,"Not Invoiced","Invoiced")</f>
        <v>Invoiced</v>
      </c>
      <c r="J244" s="18" t="n">
        <f aca="false">E244-F244</f>
        <v>0</v>
      </c>
      <c r="K244" s="18" t="n">
        <f aca="false">E244-G244</f>
        <v>0</v>
      </c>
      <c r="L244" s="16" t="str">
        <f aca="false">IF(OR(AND(I244="Invoiced",H244="Not Received"),AND(F244&gt;0,ABS(J244)&gt;Assumptions!$B$6),AND(G244&gt;0,ABS(K244)&gt;Assumptions!$B$6)),"EXCEPTION","OK")</f>
        <v>OK</v>
      </c>
    </row>
    <row r="245" customFormat="false" ht="15" hidden="false" customHeight="false" outlineLevel="0" collapsed="false">
      <c r="A245" s="16" t="str">
        <f aca="false">Purchase_Orders!A242</f>
        <v>PO10241</v>
      </c>
      <c r="B245" s="16" t="str">
        <f aca="false">Purchase_Orders!B242</f>
        <v>V1033</v>
      </c>
      <c r="C245" s="16" t="str">
        <f aca="false">IFERROR(INDEX(Vendor_Master!$B$2:$B$41,MATCH(B245,Vendor_Master!$A$2:$A$41,0)),"Unknown Vendor")</f>
        <v>Sellers, George and Burns</v>
      </c>
      <c r="D245" s="17" t="n">
        <f aca="false">Purchase_Orders!C242</f>
        <v>45804</v>
      </c>
      <c r="E245" s="18" t="n">
        <f aca="false">Purchase_Orders!D242</f>
        <v>6467.02</v>
      </c>
      <c r="F245" s="18" t="n">
        <f aca="false">SUMIFS(Goods_Receipt_Notes!$D$2:$D$791,Goods_Receipt_Notes!$B$2:$B$791,A245)</f>
        <v>6467.02</v>
      </c>
      <c r="G245" s="18" t="n">
        <f aca="false">SUMIFS(Vendor_Invoices_AP!$E$2:$E$882,Vendor_Invoices_AP!$B$2:$B$882,A245)</f>
        <v>6467.02</v>
      </c>
      <c r="H245" s="16" t="str">
        <f aca="false">IF(F245=0,"Not Received","Received")</f>
        <v>Received</v>
      </c>
      <c r="I245" s="16" t="str">
        <f aca="false">IF(G245=0,"Not Invoiced","Invoiced")</f>
        <v>Invoiced</v>
      </c>
      <c r="J245" s="18" t="n">
        <f aca="false">E245-F245</f>
        <v>0</v>
      </c>
      <c r="K245" s="18" t="n">
        <f aca="false">E245-G245</f>
        <v>0</v>
      </c>
      <c r="L245" s="16" t="str">
        <f aca="false">IF(OR(AND(I245="Invoiced",H245="Not Received"),AND(F245&gt;0,ABS(J245)&gt;Assumptions!$B$6),AND(G245&gt;0,ABS(K245)&gt;Assumptions!$B$6)),"EXCEPTION","OK")</f>
        <v>OK</v>
      </c>
    </row>
    <row r="246" customFormat="false" ht="15" hidden="false" customHeight="false" outlineLevel="0" collapsed="false">
      <c r="A246" s="16" t="str">
        <f aca="false">Purchase_Orders!A243</f>
        <v>PO10242</v>
      </c>
      <c r="B246" s="16" t="str">
        <f aca="false">Purchase_Orders!B243</f>
        <v>V1007</v>
      </c>
      <c r="C246" s="16" t="str">
        <f aca="false">IFERROR(INDEX(Vendor_Master!$B$2:$B$41,MATCH(B246,Vendor_Master!$A$2:$A$41,0)),"Unknown Vendor")</f>
        <v>Ramirez-Lewis</v>
      </c>
      <c r="D246" s="17" t="n">
        <f aca="false">Purchase_Orders!C243</f>
        <v>46122</v>
      </c>
      <c r="E246" s="18" t="n">
        <f aca="false">Purchase_Orders!D243</f>
        <v>2055.39</v>
      </c>
      <c r="F246" s="18" t="n">
        <f aca="false">SUMIFS(Goods_Receipt_Notes!$D$2:$D$791,Goods_Receipt_Notes!$B$2:$B$791,A246)</f>
        <v>2055.39</v>
      </c>
      <c r="G246" s="18" t="n">
        <f aca="false">SUMIFS(Vendor_Invoices_AP!$E$2:$E$882,Vendor_Invoices_AP!$B$2:$B$882,A246)</f>
        <v>2055.39</v>
      </c>
      <c r="H246" s="16" t="str">
        <f aca="false">IF(F246=0,"Not Received","Received")</f>
        <v>Received</v>
      </c>
      <c r="I246" s="16" t="str">
        <f aca="false">IF(G246=0,"Not Invoiced","Invoiced")</f>
        <v>Invoiced</v>
      </c>
      <c r="J246" s="18" t="n">
        <f aca="false">E246-F246</f>
        <v>0</v>
      </c>
      <c r="K246" s="18" t="n">
        <f aca="false">E246-G246</f>
        <v>0</v>
      </c>
      <c r="L246" s="16" t="str">
        <f aca="false">IF(OR(AND(I246="Invoiced",H246="Not Received"),AND(F246&gt;0,ABS(J246)&gt;Assumptions!$B$6),AND(G246&gt;0,ABS(K246)&gt;Assumptions!$B$6)),"EXCEPTION","OK")</f>
        <v>OK</v>
      </c>
    </row>
    <row r="247" customFormat="false" ht="15" hidden="false" customHeight="false" outlineLevel="0" collapsed="false">
      <c r="A247" s="16" t="str">
        <f aca="false">Purchase_Orders!A244</f>
        <v>PO10243</v>
      </c>
      <c r="B247" s="16" t="str">
        <f aca="false">Purchase_Orders!B244</f>
        <v>V1019</v>
      </c>
      <c r="C247" s="16" t="str">
        <f aca="false">IFERROR(INDEX(Vendor_Master!$B$2:$B$41,MATCH(B247,Vendor_Master!$A$2:$A$41,0)),"Unknown Vendor")</f>
        <v>Clark PLC</v>
      </c>
      <c r="D247" s="17" t="n">
        <f aca="false">Purchase_Orders!C244</f>
        <v>46110</v>
      </c>
      <c r="E247" s="18" t="n">
        <f aca="false">Purchase_Orders!D244</f>
        <v>207.67</v>
      </c>
      <c r="F247" s="18" t="n">
        <f aca="false">SUMIFS(Goods_Receipt_Notes!$D$2:$D$791,Goods_Receipt_Notes!$B$2:$B$791,A247)</f>
        <v>207.67</v>
      </c>
      <c r="G247" s="18" t="n">
        <f aca="false">SUMIFS(Vendor_Invoices_AP!$E$2:$E$882,Vendor_Invoices_AP!$B$2:$B$882,A247)</f>
        <v>207.67</v>
      </c>
      <c r="H247" s="16" t="str">
        <f aca="false">IF(F247=0,"Not Received","Received")</f>
        <v>Received</v>
      </c>
      <c r="I247" s="16" t="str">
        <f aca="false">IF(G247=0,"Not Invoiced","Invoiced")</f>
        <v>Invoiced</v>
      </c>
      <c r="J247" s="18" t="n">
        <f aca="false">E247-F247</f>
        <v>0</v>
      </c>
      <c r="K247" s="18" t="n">
        <f aca="false">E247-G247</f>
        <v>0</v>
      </c>
      <c r="L247" s="16" t="str">
        <f aca="false">IF(OR(AND(I247="Invoiced",H247="Not Received"),AND(F247&gt;0,ABS(J247)&gt;Assumptions!$B$6),AND(G247&gt;0,ABS(K247)&gt;Assumptions!$B$6)),"EXCEPTION","OK")</f>
        <v>OK</v>
      </c>
    </row>
    <row r="248" customFormat="false" ht="15" hidden="false" customHeight="false" outlineLevel="0" collapsed="false">
      <c r="A248" s="16" t="str">
        <f aca="false">Purchase_Orders!A245</f>
        <v>PO10244</v>
      </c>
      <c r="B248" s="16" t="str">
        <f aca="false">Purchase_Orders!B245</f>
        <v>V1023</v>
      </c>
      <c r="C248" s="16" t="str">
        <f aca="false">IFERROR(INDEX(Vendor_Master!$B$2:$B$41,MATCH(B248,Vendor_Master!$A$2:$A$41,0)),"Unknown Vendor")</f>
        <v>Robinson-Bright</v>
      </c>
      <c r="D248" s="17" t="n">
        <f aca="false">Purchase_Orders!C245</f>
        <v>45705</v>
      </c>
      <c r="E248" s="18" t="n">
        <f aca="false">Purchase_Orders!D245</f>
        <v>1766.28</v>
      </c>
      <c r="F248" s="18" t="n">
        <f aca="false">SUMIFS(Goods_Receipt_Notes!$D$2:$D$791,Goods_Receipt_Notes!$B$2:$B$791,A248)</f>
        <v>1766.28</v>
      </c>
      <c r="G248" s="18" t="n">
        <f aca="false">SUMIFS(Vendor_Invoices_AP!$E$2:$E$882,Vendor_Invoices_AP!$B$2:$B$882,A248)</f>
        <v>1766.28</v>
      </c>
      <c r="H248" s="16" t="str">
        <f aca="false">IF(F248=0,"Not Received","Received")</f>
        <v>Received</v>
      </c>
      <c r="I248" s="16" t="str">
        <f aca="false">IF(G248=0,"Not Invoiced","Invoiced")</f>
        <v>Invoiced</v>
      </c>
      <c r="J248" s="18" t="n">
        <f aca="false">E248-F248</f>
        <v>0</v>
      </c>
      <c r="K248" s="18" t="n">
        <f aca="false">E248-G248</f>
        <v>0</v>
      </c>
      <c r="L248" s="16" t="str">
        <f aca="false">IF(OR(AND(I248="Invoiced",H248="Not Received"),AND(F248&gt;0,ABS(J248)&gt;Assumptions!$B$6),AND(G248&gt;0,ABS(K248)&gt;Assumptions!$B$6)),"EXCEPTION","OK")</f>
        <v>OK</v>
      </c>
    </row>
    <row r="249" customFormat="false" ht="15" hidden="false" customHeight="false" outlineLevel="0" collapsed="false">
      <c r="A249" s="16" t="str">
        <f aca="false">Purchase_Orders!A246</f>
        <v>PO10245</v>
      </c>
      <c r="B249" s="16" t="str">
        <f aca="false">Purchase_Orders!B246</f>
        <v>V1036</v>
      </c>
      <c r="C249" s="16" t="str">
        <f aca="false">IFERROR(INDEX(Vendor_Master!$B$2:$B$41,MATCH(B249,Vendor_Master!$A$2:$A$41,0)),"Unknown Vendor")</f>
        <v>Dennis Inc</v>
      </c>
      <c r="D249" s="17" t="n">
        <f aca="false">Purchase_Orders!C246</f>
        <v>46138</v>
      </c>
      <c r="E249" s="18" t="n">
        <f aca="false">Purchase_Orders!D246</f>
        <v>1408.36</v>
      </c>
      <c r="F249" s="18" t="n">
        <f aca="false">SUMIFS(Goods_Receipt_Notes!$D$2:$D$791,Goods_Receipt_Notes!$B$2:$B$791,A249)</f>
        <v>1408.36</v>
      </c>
      <c r="G249" s="18" t="n">
        <f aca="false">SUMIFS(Vendor_Invoices_AP!$E$2:$E$882,Vendor_Invoices_AP!$B$2:$B$882,A249)</f>
        <v>1408.36</v>
      </c>
      <c r="H249" s="16" t="str">
        <f aca="false">IF(F249=0,"Not Received","Received")</f>
        <v>Received</v>
      </c>
      <c r="I249" s="16" t="str">
        <f aca="false">IF(G249=0,"Not Invoiced","Invoiced")</f>
        <v>Invoiced</v>
      </c>
      <c r="J249" s="18" t="n">
        <f aca="false">E249-F249</f>
        <v>0</v>
      </c>
      <c r="K249" s="18" t="n">
        <f aca="false">E249-G249</f>
        <v>0</v>
      </c>
      <c r="L249" s="16" t="str">
        <f aca="false">IF(OR(AND(I249="Invoiced",H249="Not Received"),AND(F249&gt;0,ABS(J249)&gt;Assumptions!$B$6),AND(G249&gt;0,ABS(K249)&gt;Assumptions!$B$6)),"EXCEPTION","OK")</f>
        <v>OK</v>
      </c>
    </row>
    <row r="250" customFormat="false" ht="15" hidden="false" customHeight="false" outlineLevel="0" collapsed="false">
      <c r="A250" s="16" t="str">
        <f aca="false">Purchase_Orders!A247</f>
        <v>PO10246</v>
      </c>
      <c r="B250" s="16" t="str">
        <f aca="false">Purchase_Orders!B247</f>
        <v>V1030</v>
      </c>
      <c r="C250" s="16" t="str">
        <f aca="false">IFERROR(INDEX(Vendor_Master!$B$2:$B$41,MATCH(B250,Vendor_Master!$A$2:$A$41,0)),"Unknown Vendor")</f>
        <v>Stanton-Gill</v>
      </c>
      <c r="D250" s="17" t="n">
        <f aca="false">Purchase_Orders!C247</f>
        <v>45790</v>
      </c>
      <c r="E250" s="18" t="n">
        <f aca="false">Purchase_Orders!D247</f>
        <v>1546.99</v>
      </c>
      <c r="F250" s="18" t="n">
        <f aca="false">SUMIFS(Goods_Receipt_Notes!$D$2:$D$791,Goods_Receipt_Notes!$B$2:$B$791,A250)</f>
        <v>1546.99</v>
      </c>
      <c r="G250" s="18" t="n">
        <f aca="false">SUMIFS(Vendor_Invoices_AP!$E$2:$E$882,Vendor_Invoices_AP!$B$2:$B$882,A250)</f>
        <v>1546.99</v>
      </c>
      <c r="H250" s="16" t="str">
        <f aca="false">IF(F250=0,"Not Received","Received")</f>
        <v>Received</v>
      </c>
      <c r="I250" s="16" t="str">
        <f aca="false">IF(G250=0,"Not Invoiced","Invoiced")</f>
        <v>Invoiced</v>
      </c>
      <c r="J250" s="18" t="n">
        <f aca="false">E250-F250</f>
        <v>0</v>
      </c>
      <c r="K250" s="18" t="n">
        <f aca="false">E250-G250</f>
        <v>0</v>
      </c>
      <c r="L250" s="16" t="str">
        <f aca="false">IF(OR(AND(I250="Invoiced",H250="Not Received"),AND(F250&gt;0,ABS(J250)&gt;Assumptions!$B$6),AND(G250&gt;0,ABS(K250)&gt;Assumptions!$B$6)),"EXCEPTION","OK")</f>
        <v>OK</v>
      </c>
    </row>
    <row r="251" customFormat="false" ht="15" hidden="false" customHeight="false" outlineLevel="0" collapsed="false">
      <c r="A251" s="16" t="str">
        <f aca="false">Purchase_Orders!A248</f>
        <v>PO10247</v>
      </c>
      <c r="B251" s="16" t="str">
        <f aca="false">Purchase_Orders!B248</f>
        <v>V1040</v>
      </c>
      <c r="C251" s="16" t="str">
        <f aca="false">IFERROR(INDEX(Vendor_Master!$B$2:$B$41,MATCH(B251,Vendor_Master!$A$2:$A$41,0)),"Unknown Vendor")</f>
        <v>Santos, Kim and Holmes</v>
      </c>
      <c r="D251" s="17" t="n">
        <f aca="false">Purchase_Orders!C248</f>
        <v>45911</v>
      </c>
      <c r="E251" s="18" t="n">
        <f aca="false">Purchase_Orders!D248</f>
        <v>5615.74</v>
      </c>
      <c r="F251" s="18" t="n">
        <f aca="false">SUMIFS(Goods_Receipt_Notes!$D$2:$D$791,Goods_Receipt_Notes!$B$2:$B$791,A251)</f>
        <v>5615.74</v>
      </c>
      <c r="G251" s="18" t="n">
        <f aca="false">SUMIFS(Vendor_Invoices_AP!$E$2:$E$882,Vendor_Invoices_AP!$B$2:$B$882,A251)</f>
        <v>5615.74</v>
      </c>
      <c r="H251" s="16" t="str">
        <f aca="false">IF(F251=0,"Not Received","Received")</f>
        <v>Received</v>
      </c>
      <c r="I251" s="16" t="str">
        <f aca="false">IF(G251=0,"Not Invoiced","Invoiced")</f>
        <v>Invoiced</v>
      </c>
      <c r="J251" s="18" t="n">
        <f aca="false">E251-F251</f>
        <v>0</v>
      </c>
      <c r="K251" s="18" t="n">
        <f aca="false">E251-G251</f>
        <v>0</v>
      </c>
      <c r="L251" s="16" t="str">
        <f aca="false">IF(OR(AND(I251="Invoiced",H251="Not Received"),AND(F251&gt;0,ABS(J251)&gt;Assumptions!$B$6),AND(G251&gt;0,ABS(K251)&gt;Assumptions!$B$6)),"EXCEPTION","OK")</f>
        <v>OK</v>
      </c>
    </row>
    <row r="252" customFormat="false" ht="15" hidden="false" customHeight="false" outlineLevel="0" collapsed="false">
      <c r="A252" s="16" t="str">
        <f aca="false">Purchase_Orders!A249</f>
        <v>PO10248</v>
      </c>
      <c r="B252" s="16" t="str">
        <f aca="false">Purchase_Orders!B249</f>
        <v>V1034</v>
      </c>
      <c r="C252" s="16" t="str">
        <f aca="false">IFERROR(INDEX(Vendor_Master!$B$2:$B$41,MATCH(B252,Vendor_Master!$A$2:$A$41,0)),"Unknown Vendor")</f>
        <v>Koch-Decker</v>
      </c>
      <c r="D252" s="17" t="n">
        <f aca="false">Purchase_Orders!C249</f>
        <v>45990</v>
      </c>
      <c r="E252" s="18" t="n">
        <f aca="false">Purchase_Orders!D249</f>
        <v>3821.71</v>
      </c>
      <c r="F252" s="18" t="n">
        <f aca="false">SUMIFS(Goods_Receipt_Notes!$D$2:$D$791,Goods_Receipt_Notes!$B$2:$B$791,A252)</f>
        <v>3821.71</v>
      </c>
      <c r="G252" s="18" t="n">
        <f aca="false">SUMIFS(Vendor_Invoices_AP!$E$2:$E$882,Vendor_Invoices_AP!$B$2:$B$882,A252)</f>
        <v>3821.71</v>
      </c>
      <c r="H252" s="16" t="str">
        <f aca="false">IF(F252=0,"Not Received","Received")</f>
        <v>Received</v>
      </c>
      <c r="I252" s="16" t="str">
        <f aca="false">IF(G252=0,"Not Invoiced","Invoiced")</f>
        <v>Invoiced</v>
      </c>
      <c r="J252" s="18" t="n">
        <f aca="false">E252-F252</f>
        <v>0</v>
      </c>
      <c r="K252" s="18" t="n">
        <f aca="false">E252-G252</f>
        <v>0</v>
      </c>
      <c r="L252" s="16" t="str">
        <f aca="false">IF(OR(AND(I252="Invoiced",H252="Not Received"),AND(F252&gt;0,ABS(J252)&gt;Assumptions!$B$6),AND(G252&gt;0,ABS(K252)&gt;Assumptions!$B$6)),"EXCEPTION","OK")</f>
        <v>OK</v>
      </c>
    </row>
    <row r="253" customFormat="false" ht="15" hidden="false" customHeight="false" outlineLevel="0" collapsed="false">
      <c r="A253" s="16" t="str">
        <f aca="false">Purchase_Orders!A250</f>
        <v>PO10249</v>
      </c>
      <c r="B253" s="16" t="str">
        <f aca="false">Purchase_Orders!B250</f>
        <v>V1008</v>
      </c>
      <c r="C253" s="16" t="str">
        <f aca="false">IFERROR(INDEX(Vendor_Master!$B$2:$B$41,MATCH(B253,Vendor_Master!$A$2:$A$41,0)),"Unknown Vendor")</f>
        <v>Davis Inc</v>
      </c>
      <c r="D253" s="17" t="n">
        <f aca="false">Purchase_Orders!C250</f>
        <v>45864</v>
      </c>
      <c r="E253" s="18" t="n">
        <f aca="false">Purchase_Orders!D250</f>
        <v>943.22</v>
      </c>
      <c r="F253" s="18" t="n">
        <f aca="false">SUMIFS(Goods_Receipt_Notes!$D$2:$D$791,Goods_Receipt_Notes!$B$2:$B$791,A253)</f>
        <v>943.22</v>
      </c>
      <c r="G253" s="18" t="n">
        <f aca="false">SUMIFS(Vendor_Invoices_AP!$E$2:$E$882,Vendor_Invoices_AP!$B$2:$B$882,A253)</f>
        <v>943.22</v>
      </c>
      <c r="H253" s="16" t="str">
        <f aca="false">IF(F253=0,"Not Received","Received")</f>
        <v>Received</v>
      </c>
      <c r="I253" s="16" t="str">
        <f aca="false">IF(G253=0,"Not Invoiced","Invoiced")</f>
        <v>Invoiced</v>
      </c>
      <c r="J253" s="18" t="n">
        <f aca="false">E253-F253</f>
        <v>0</v>
      </c>
      <c r="K253" s="18" t="n">
        <f aca="false">E253-G253</f>
        <v>0</v>
      </c>
      <c r="L253" s="16" t="str">
        <f aca="false">IF(OR(AND(I253="Invoiced",H253="Not Received"),AND(F253&gt;0,ABS(J253)&gt;Assumptions!$B$6),AND(G253&gt;0,ABS(K253)&gt;Assumptions!$B$6)),"EXCEPTION","OK")</f>
        <v>OK</v>
      </c>
    </row>
    <row r="254" customFormat="false" ht="15" hidden="false" customHeight="false" outlineLevel="0" collapsed="false">
      <c r="A254" s="16" t="str">
        <f aca="false">Purchase_Orders!A251</f>
        <v>PO10250</v>
      </c>
      <c r="B254" s="16" t="str">
        <f aca="false">Purchase_Orders!B251</f>
        <v>V1031</v>
      </c>
      <c r="C254" s="16" t="str">
        <f aca="false">IFERROR(INDEX(Vendor_Master!$B$2:$B$41,MATCH(B254,Vendor_Master!$A$2:$A$41,0)),"Unknown Vendor")</f>
        <v>Harrell LLC</v>
      </c>
      <c r="D254" s="17" t="n">
        <f aca="false">Purchase_Orders!C251</f>
        <v>45673</v>
      </c>
      <c r="E254" s="18" t="n">
        <f aca="false">Purchase_Orders!D251</f>
        <v>618.31</v>
      </c>
      <c r="F254" s="18" t="n">
        <f aca="false">SUMIFS(Goods_Receipt_Notes!$D$2:$D$791,Goods_Receipt_Notes!$B$2:$B$791,A254)</f>
        <v>618.31</v>
      </c>
      <c r="G254" s="18" t="n">
        <f aca="false">SUMIFS(Vendor_Invoices_AP!$E$2:$E$882,Vendor_Invoices_AP!$B$2:$B$882,A254)</f>
        <v>618.31</v>
      </c>
      <c r="H254" s="16" t="str">
        <f aca="false">IF(F254=0,"Not Received","Received")</f>
        <v>Received</v>
      </c>
      <c r="I254" s="16" t="str">
        <f aca="false">IF(G254=0,"Not Invoiced","Invoiced")</f>
        <v>Invoiced</v>
      </c>
      <c r="J254" s="18" t="n">
        <f aca="false">E254-F254</f>
        <v>0</v>
      </c>
      <c r="K254" s="18" t="n">
        <f aca="false">E254-G254</f>
        <v>0</v>
      </c>
      <c r="L254" s="16" t="str">
        <f aca="false">IF(OR(AND(I254="Invoiced",H254="Not Received"),AND(F254&gt;0,ABS(J254)&gt;Assumptions!$B$6),AND(G254&gt;0,ABS(K254)&gt;Assumptions!$B$6)),"EXCEPTION","OK")</f>
        <v>OK</v>
      </c>
    </row>
    <row r="255" customFormat="false" ht="15" hidden="false" customHeight="false" outlineLevel="0" collapsed="false">
      <c r="A255" s="16" t="str">
        <f aca="false">Purchase_Orders!A252</f>
        <v>PO10251</v>
      </c>
      <c r="B255" s="16" t="str">
        <f aca="false">Purchase_Orders!B252</f>
        <v>V1038</v>
      </c>
      <c r="C255" s="16" t="str">
        <f aca="false">IFERROR(INDEX(Vendor_Master!$B$2:$B$41,MATCH(B255,Vendor_Master!$A$2:$A$41,0)),"Unknown Vendor")</f>
        <v>Rose-Obrien</v>
      </c>
      <c r="D255" s="17" t="n">
        <f aca="false">Purchase_Orders!C252</f>
        <v>46121</v>
      </c>
      <c r="E255" s="18" t="n">
        <f aca="false">Purchase_Orders!D252</f>
        <v>17214.28</v>
      </c>
      <c r="F255" s="18" t="n">
        <f aca="false">SUMIFS(Goods_Receipt_Notes!$D$2:$D$791,Goods_Receipt_Notes!$B$2:$B$791,A255)</f>
        <v>17214.28</v>
      </c>
      <c r="G255" s="18" t="n">
        <f aca="false">SUMIFS(Vendor_Invoices_AP!$E$2:$E$882,Vendor_Invoices_AP!$B$2:$B$882,A255)</f>
        <v>17214.28</v>
      </c>
      <c r="H255" s="16" t="str">
        <f aca="false">IF(F255=0,"Not Received","Received")</f>
        <v>Received</v>
      </c>
      <c r="I255" s="16" t="str">
        <f aca="false">IF(G255=0,"Not Invoiced","Invoiced")</f>
        <v>Invoiced</v>
      </c>
      <c r="J255" s="18" t="n">
        <f aca="false">E255-F255</f>
        <v>0</v>
      </c>
      <c r="K255" s="18" t="n">
        <f aca="false">E255-G255</f>
        <v>0</v>
      </c>
      <c r="L255" s="16" t="str">
        <f aca="false">IF(OR(AND(I255="Invoiced",H255="Not Received"),AND(F255&gt;0,ABS(J255)&gt;Assumptions!$B$6),AND(G255&gt;0,ABS(K255)&gt;Assumptions!$B$6)),"EXCEPTION","OK")</f>
        <v>OK</v>
      </c>
    </row>
    <row r="256" customFormat="false" ht="15" hidden="false" customHeight="false" outlineLevel="0" collapsed="false">
      <c r="A256" s="16" t="str">
        <f aca="false">Purchase_Orders!A253</f>
        <v>PO10252</v>
      </c>
      <c r="B256" s="16" t="str">
        <f aca="false">Purchase_Orders!B253</f>
        <v>V1005</v>
      </c>
      <c r="C256" s="16" t="str">
        <f aca="false">IFERROR(INDEX(Vendor_Master!$B$2:$B$41,MATCH(B256,Vendor_Master!$A$2:$A$41,0)),"Unknown Vendor")</f>
        <v>Cole LLC</v>
      </c>
      <c r="D256" s="17" t="n">
        <f aca="false">Purchase_Orders!C253</f>
        <v>45757</v>
      </c>
      <c r="E256" s="18" t="n">
        <f aca="false">Purchase_Orders!D253</f>
        <v>518.98</v>
      </c>
      <c r="F256" s="18" t="n">
        <f aca="false">SUMIFS(Goods_Receipt_Notes!$D$2:$D$791,Goods_Receipt_Notes!$B$2:$B$791,A256)</f>
        <v>518.98</v>
      </c>
      <c r="G256" s="18" t="n">
        <f aca="false">SUMIFS(Vendor_Invoices_AP!$E$2:$E$882,Vendor_Invoices_AP!$B$2:$B$882,A256)</f>
        <v>518.98</v>
      </c>
      <c r="H256" s="16" t="str">
        <f aca="false">IF(F256=0,"Not Received","Received")</f>
        <v>Received</v>
      </c>
      <c r="I256" s="16" t="str">
        <f aca="false">IF(G256=0,"Not Invoiced","Invoiced")</f>
        <v>Invoiced</v>
      </c>
      <c r="J256" s="18" t="n">
        <f aca="false">E256-F256</f>
        <v>0</v>
      </c>
      <c r="K256" s="18" t="n">
        <f aca="false">E256-G256</f>
        <v>0</v>
      </c>
      <c r="L256" s="16" t="str">
        <f aca="false">IF(OR(AND(I256="Invoiced",H256="Not Received"),AND(F256&gt;0,ABS(J256)&gt;Assumptions!$B$6),AND(G256&gt;0,ABS(K256)&gt;Assumptions!$B$6)),"EXCEPTION","OK")</f>
        <v>OK</v>
      </c>
    </row>
    <row r="257" customFormat="false" ht="15" hidden="false" customHeight="false" outlineLevel="0" collapsed="false">
      <c r="A257" s="16" t="str">
        <f aca="false">Purchase_Orders!A254</f>
        <v>PO10253</v>
      </c>
      <c r="B257" s="16" t="str">
        <f aca="false">Purchase_Orders!B254</f>
        <v>V1020</v>
      </c>
      <c r="C257" s="16" t="str">
        <f aca="false">IFERROR(INDEX(Vendor_Master!$B$2:$B$41,MATCH(B257,Vendor_Master!$A$2:$A$41,0)),"Unknown Vendor")</f>
        <v>Lewis-Porter</v>
      </c>
      <c r="D257" s="17" t="n">
        <f aca="false">Purchase_Orders!C254</f>
        <v>45773</v>
      </c>
      <c r="E257" s="18" t="n">
        <f aca="false">Purchase_Orders!D254</f>
        <v>1164.57</v>
      </c>
      <c r="F257" s="18" t="n">
        <f aca="false">SUMIFS(Goods_Receipt_Notes!$D$2:$D$791,Goods_Receipt_Notes!$B$2:$B$791,A257)</f>
        <v>0</v>
      </c>
      <c r="G257" s="18" t="n">
        <f aca="false">SUMIFS(Vendor_Invoices_AP!$E$2:$E$882,Vendor_Invoices_AP!$B$2:$B$882,A257)</f>
        <v>1164.57</v>
      </c>
      <c r="H257" s="16" t="str">
        <f aca="false">IF(F257=0,"Not Received","Received")</f>
        <v>Not Received</v>
      </c>
      <c r="I257" s="16" t="str">
        <f aca="false">IF(G257=0,"Not Invoiced","Invoiced")</f>
        <v>Invoiced</v>
      </c>
      <c r="J257" s="18" t="n">
        <f aca="false">E257-F257</f>
        <v>1164.57</v>
      </c>
      <c r="K257" s="18" t="n">
        <f aca="false">E257-G257</f>
        <v>0</v>
      </c>
      <c r="L257" s="16" t="str">
        <f aca="false">IF(OR(AND(I257="Invoiced",H257="Not Received"),AND(F257&gt;0,ABS(J257)&gt;Assumptions!$B$6),AND(G257&gt;0,ABS(K257)&gt;Assumptions!$B$6)),"EXCEPTION","OK")</f>
        <v>EXCEPTION</v>
      </c>
    </row>
    <row r="258" customFormat="false" ht="15" hidden="false" customHeight="false" outlineLevel="0" collapsed="false">
      <c r="A258" s="16" t="str">
        <f aca="false">Purchase_Orders!A255</f>
        <v>PO10254</v>
      </c>
      <c r="B258" s="16" t="str">
        <f aca="false">Purchase_Orders!B255</f>
        <v>V1031</v>
      </c>
      <c r="C258" s="16" t="str">
        <f aca="false">IFERROR(INDEX(Vendor_Master!$B$2:$B$41,MATCH(B258,Vendor_Master!$A$2:$A$41,0)),"Unknown Vendor")</f>
        <v>Harrell LLC</v>
      </c>
      <c r="D258" s="17" t="n">
        <f aca="false">Purchase_Orders!C255</f>
        <v>46092</v>
      </c>
      <c r="E258" s="18" t="n">
        <f aca="false">Purchase_Orders!D255</f>
        <v>796.57</v>
      </c>
      <c r="F258" s="18" t="n">
        <f aca="false">SUMIFS(Goods_Receipt_Notes!$D$2:$D$791,Goods_Receipt_Notes!$B$2:$B$791,A258)</f>
        <v>796.57</v>
      </c>
      <c r="G258" s="18" t="n">
        <f aca="false">SUMIFS(Vendor_Invoices_AP!$E$2:$E$882,Vendor_Invoices_AP!$B$2:$B$882,A258)</f>
        <v>796.57</v>
      </c>
      <c r="H258" s="16" t="str">
        <f aca="false">IF(F258=0,"Not Received","Received")</f>
        <v>Received</v>
      </c>
      <c r="I258" s="16" t="str">
        <f aca="false">IF(G258=0,"Not Invoiced","Invoiced")</f>
        <v>Invoiced</v>
      </c>
      <c r="J258" s="18" t="n">
        <f aca="false">E258-F258</f>
        <v>0</v>
      </c>
      <c r="K258" s="18" t="n">
        <f aca="false">E258-G258</f>
        <v>0</v>
      </c>
      <c r="L258" s="16" t="str">
        <f aca="false">IF(OR(AND(I258="Invoiced",H258="Not Received"),AND(F258&gt;0,ABS(J258)&gt;Assumptions!$B$6),AND(G258&gt;0,ABS(K258)&gt;Assumptions!$B$6)),"EXCEPTION","OK")</f>
        <v>OK</v>
      </c>
    </row>
    <row r="259" customFormat="false" ht="15" hidden="false" customHeight="false" outlineLevel="0" collapsed="false">
      <c r="A259" s="16" t="str">
        <f aca="false">Purchase_Orders!A256</f>
        <v>PO10255</v>
      </c>
      <c r="B259" s="16" t="str">
        <f aca="false">Purchase_Orders!B256</f>
        <v>V1030</v>
      </c>
      <c r="C259" s="16" t="str">
        <f aca="false">IFERROR(INDEX(Vendor_Master!$B$2:$B$41,MATCH(B259,Vendor_Master!$A$2:$A$41,0)),"Unknown Vendor")</f>
        <v>Stanton-Gill</v>
      </c>
      <c r="D259" s="17" t="n">
        <f aca="false">Purchase_Orders!C256</f>
        <v>45843</v>
      </c>
      <c r="E259" s="18" t="n">
        <f aca="false">Purchase_Orders!D256</f>
        <v>1150.99</v>
      </c>
      <c r="F259" s="18" t="n">
        <f aca="false">SUMIFS(Goods_Receipt_Notes!$D$2:$D$791,Goods_Receipt_Notes!$B$2:$B$791,A259)</f>
        <v>0</v>
      </c>
      <c r="G259" s="18" t="n">
        <f aca="false">SUMIFS(Vendor_Invoices_AP!$E$2:$E$882,Vendor_Invoices_AP!$B$2:$B$882,A259)</f>
        <v>2370.72</v>
      </c>
      <c r="H259" s="16" t="str">
        <f aca="false">IF(F259=0,"Not Received","Received")</f>
        <v>Not Received</v>
      </c>
      <c r="I259" s="16" t="str">
        <f aca="false">IF(G259=0,"Not Invoiced","Invoiced")</f>
        <v>Invoiced</v>
      </c>
      <c r="J259" s="18" t="n">
        <f aca="false">E259-F259</f>
        <v>1150.99</v>
      </c>
      <c r="K259" s="18" t="n">
        <f aca="false">E259-G259</f>
        <v>-1219.73</v>
      </c>
      <c r="L259" s="16" t="str">
        <f aca="false">IF(OR(AND(I259="Invoiced",H259="Not Received"),AND(F259&gt;0,ABS(J259)&gt;Assumptions!$B$6),AND(G259&gt;0,ABS(K259)&gt;Assumptions!$B$6)),"EXCEPTION","OK")</f>
        <v>EXCEPTION</v>
      </c>
    </row>
    <row r="260" customFormat="false" ht="15" hidden="false" customHeight="false" outlineLevel="0" collapsed="false">
      <c r="A260" s="16" t="str">
        <f aca="false">Purchase_Orders!A257</f>
        <v>PO10256</v>
      </c>
      <c r="B260" s="16" t="str">
        <f aca="false">Purchase_Orders!B257</f>
        <v>V1007</v>
      </c>
      <c r="C260" s="16" t="str">
        <f aca="false">IFERROR(INDEX(Vendor_Master!$B$2:$B$41,MATCH(B260,Vendor_Master!$A$2:$A$41,0)),"Unknown Vendor")</f>
        <v>Ramirez-Lewis</v>
      </c>
      <c r="D260" s="17" t="n">
        <f aca="false">Purchase_Orders!C257</f>
        <v>46137</v>
      </c>
      <c r="E260" s="18" t="n">
        <f aca="false">Purchase_Orders!D257</f>
        <v>2121.27</v>
      </c>
      <c r="F260" s="18" t="n">
        <f aca="false">SUMIFS(Goods_Receipt_Notes!$D$2:$D$791,Goods_Receipt_Notes!$B$2:$B$791,A260)</f>
        <v>2121.27</v>
      </c>
      <c r="G260" s="18" t="n">
        <f aca="false">SUMIFS(Vendor_Invoices_AP!$E$2:$E$882,Vendor_Invoices_AP!$B$2:$B$882,A260)</f>
        <v>2121.27</v>
      </c>
      <c r="H260" s="16" t="str">
        <f aca="false">IF(F260=0,"Not Received","Received")</f>
        <v>Received</v>
      </c>
      <c r="I260" s="16" t="str">
        <f aca="false">IF(G260=0,"Not Invoiced","Invoiced")</f>
        <v>Invoiced</v>
      </c>
      <c r="J260" s="18" t="n">
        <f aca="false">E260-F260</f>
        <v>0</v>
      </c>
      <c r="K260" s="18" t="n">
        <f aca="false">E260-G260</f>
        <v>0</v>
      </c>
      <c r="L260" s="16" t="str">
        <f aca="false">IF(OR(AND(I260="Invoiced",H260="Not Received"),AND(F260&gt;0,ABS(J260)&gt;Assumptions!$B$6),AND(G260&gt;0,ABS(K260)&gt;Assumptions!$B$6)),"EXCEPTION","OK")</f>
        <v>OK</v>
      </c>
    </row>
    <row r="261" customFormat="false" ht="15" hidden="false" customHeight="false" outlineLevel="0" collapsed="false">
      <c r="A261" s="16" t="str">
        <f aca="false">Purchase_Orders!A258</f>
        <v>PO10257</v>
      </c>
      <c r="B261" s="16" t="str">
        <f aca="false">Purchase_Orders!B258</f>
        <v>V1008</v>
      </c>
      <c r="C261" s="16" t="str">
        <f aca="false">IFERROR(INDEX(Vendor_Master!$B$2:$B$41,MATCH(B261,Vendor_Master!$A$2:$A$41,0)),"Unknown Vendor")</f>
        <v>Davis Inc</v>
      </c>
      <c r="D261" s="17" t="n">
        <f aca="false">Purchase_Orders!C258</f>
        <v>46040</v>
      </c>
      <c r="E261" s="18" t="n">
        <f aca="false">Purchase_Orders!D258</f>
        <v>646.51</v>
      </c>
      <c r="F261" s="18" t="n">
        <f aca="false">SUMIFS(Goods_Receipt_Notes!$D$2:$D$791,Goods_Receipt_Notes!$B$2:$B$791,A261)</f>
        <v>646.51</v>
      </c>
      <c r="G261" s="18" t="n">
        <f aca="false">SUMIFS(Vendor_Invoices_AP!$E$2:$E$882,Vendor_Invoices_AP!$B$2:$B$882,A261)</f>
        <v>782.81</v>
      </c>
      <c r="H261" s="16" t="str">
        <f aca="false">IF(F261=0,"Not Received","Received")</f>
        <v>Received</v>
      </c>
      <c r="I261" s="16" t="str">
        <f aca="false">IF(G261=0,"Not Invoiced","Invoiced")</f>
        <v>Invoiced</v>
      </c>
      <c r="J261" s="18" t="n">
        <f aca="false">E261-F261</f>
        <v>0</v>
      </c>
      <c r="K261" s="18" t="n">
        <f aca="false">E261-G261</f>
        <v>-136.3</v>
      </c>
      <c r="L261" s="16" t="str">
        <f aca="false">IF(OR(AND(I261="Invoiced",H261="Not Received"),AND(F261&gt;0,ABS(J261)&gt;Assumptions!$B$6),AND(G261&gt;0,ABS(K261)&gt;Assumptions!$B$6)),"EXCEPTION","OK")</f>
        <v>EXCEPTION</v>
      </c>
    </row>
    <row r="262" customFormat="false" ht="15" hidden="false" customHeight="false" outlineLevel="0" collapsed="false">
      <c r="A262" s="16" t="str">
        <f aca="false">Purchase_Orders!A259</f>
        <v>PO10258</v>
      </c>
      <c r="B262" s="16" t="str">
        <f aca="false">Purchase_Orders!B259</f>
        <v>V1007</v>
      </c>
      <c r="C262" s="16" t="str">
        <f aca="false">IFERROR(INDEX(Vendor_Master!$B$2:$B$41,MATCH(B262,Vendor_Master!$A$2:$A$41,0)),"Unknown Vendor")</f>
        <v>Ramirez-Lewis</v>
      </c>
      <c r="D262" s="17" t="n">
        <f aca="false">Purchase_Orders!C259</f>
        <v>45808</v>
      </c>
      <c r="E262" s="18" t="n">
        <f aca="false">Purchase_Orders!D259</f>
        <v>231.64</v>
      </c>
      <c r="F262" s="18" t="n">
        <f aca="false">SUMIFS(Goods_Receipt_Notes!$D$2:$D$791,Goods_Receipt_Notes!$B$2:$B$791,A262)</f>
        <v>231.64</v>
      </c>
      <c r="G262" s="18" t="n">
        <f aca="false">SUMIFS(Vendor_Invoices_AP!$E$2:$E$882,Vendor_Invoices_AP!$B$2:$B$882,A262)</f>
        <v>231.64</v>
      </c>
      <c r="H262" s="16" t="str">
        <f aca="false">IF(F262=0,"Not Received","Received")</f>
        <v>Received</v>
      </c>
      <c r="I262" s="16" t="str">
        <f aca="false">IF(G262=0,"Not Invoiced","Invoiced")</f>
        <v>Invoiced</v>
      </c>
      <c r="J262" s="18" t="n">
        <f aca="false">E262-F262</f>
        <v>0</v>
      </c>
      <c r="K262" s="18" t="n">
        <f aca="false">E262-G262</f>
        <v>0</v>
      </c>
      <c r="L262" s="16" t="str">
        <f aca="false">IF(OR(AND(I262="Invoiced",H262="Not Received"),AND(F262&gt;0,ABS(J262)&gt;Assumptions!$B$6),AND(G262&gt;0,ABS(K262)&gt;Assumptions!$B$6)),"EXCEPTION","OK")</f>
        <v>OK</v>
      </c>
    </row>
    <row r="263" customFormat="false" ht="15" hidden="false" customHeight="false" outlineLevel="0" collapsed="false">
      <c r="A263" s="16" t="str">
        <f aca="false">Purchase_Orders!A260</f>
        <v>PO10259</v>
      </c>
      <c r="B263" s="16" t="str">
        <f aca="false">Purchase_Orders!B260</f>
        <v>V1021</v>
      </c>
      <c r="C263" s="16" t="str">
        <f aca="false">IFERROR(INDEX(Vendor_Master!$B$2:$B$41,MATCH(B263,Vendor_Master!$A$2:$A$41,0)),"Unknown Vendor")</f>
        <v>Ellis, Baker and Wright</v>
      </c>
      <c r="D263" s="17" t="n">
        <f aca="false">Purchase_Orders!C260</f>
        <v>45663</v>
      </c>
      <c r="E263" s="18" t="n">
        <f aca="false">Purchase_Orders!D260</f>
        <v>585.14</v>
      </c>
      <c r="F263" s="18" t="n">
        <f aca="false">SUMIFS(Goods_Receipt_Notes!$D$2:$D$791,Goods_Receipt_Notes!$B$2:$B$791,A263)</f>
        <v>585.14</v>
      </c>
      <c r="G263" s="18" t="n">
        <f aca="false">SUMIFS(Vendor_Invoices_AP!$E$2:$E$882,Vendor_Invoices_AP!$B$2:$B$882,A263)</f>
        <v>585.14</v>
      </c>
      <c r="H263" s="16" t="str">
        <f aca="false">IF(F263=0,"Not Received","Received")</f>
        <v>Received</v>
      </c>
      <c r="I263" s="16" t="str">
        <f aca="false">IF(G263=0,"Not Invoiced","Invoiced")</f>
        <v>Invoiced</v>
      </c>
      <c r="J263" s="18" t="n">
        <f aca="false">E263-F263</f>
        <v>0</v>
      </c>
      <c r="K263" s="18" t="n">
        <f aca="false">E263-G263</f>
        <v>0</v>
      </c>
      <c r="L263" s="16" t="str">
        <f aca="false">IF(OR(AND(I263="Invoiced",H263="Not Received"),AND(F263&gt;0,ABS(J263)&gt;Assumptions!$B$6),AND(G263&gt;0,ABS(K263)&gt;Assumptions!$B$6)),"EXCEPTION","OK")</f>
        <v>OK</v>
      </c>
    </row>
    <row r="264" customFormat="false" ht="15" hidden="false" customHeight="false" outlineLevel="0" collapsed="false">
      <c r="A264" s="16" t="str">
        <f aca="false">Purchase_Orders!A261</f>
        <v>PO10260</v>
      </c>
      <c r="B264" s="16" t="str">
        <f aca="false">Purchase_Orders!B261</f>
        <v>V1022</v>
      </c>
      <c r="C264" s="16" t="str">
        <f aca="false">IFERROR(INDEX(Vendor_Master!$B$2:$B$41,MATCH(B264,Vendor_Master!$A$2:$A$41,0)),"Unknown Vendor")</f>
        <v>Burgess-Patterson</v>
      </c>
      <c r="D264" s="17" t="n">
        <f aca="false">Purchase_Orders!C261</f>
        <v>46174</v>
      </c>
      <c r="E264" s="18" t="n">
        <f aca="false">Purchase_Orders!D261</f>
        <v>2715.46</v>
      </c>
      <c r="F264" s="18" t="n">
        <f aca="false">SUMIFS(Goods_Receipt_Notes!$D$2:$D$791,Goods_Receipt_Notes!$B$2:$B$791,A264)</f>
        <v>1464.81</v>
      </c>
      <c r="G264" s="18" t="n">
        <f aca="false">SUMIFS(Vendor_Invoices_AP!$E$2:$E$882,Vendor_Invoices_AP!$B$2:$B$882,A264)</f>
        <v>2715.46</v>
      </c>
      <c r="H264" s="16" t="str">
        <f aca="false">IF(F264=0,"Not Received","Received")</f>
        <v>Received</v>
      </c>
      <c r="I264" s="16" t="str">
        <f aca="false">IF(G264=0,"Not Invoiced","Invoiced")</f>
        <v>Invoiced</v>
      </c>
      <c r="J264" s="18" t="n">
        <f aca="false">E264-F264</f>
        <v>1250.65</v>
      </c>
      <c r="K264" s="18" t="n">
        <f aca="false">E264-G264</f>
        <v>0</v>
      </c>
      <c r="L264" s="16" t="str">
        <f aca="false">IF(OR(AND(I264="Invoiced",H264="Not Received"),AND(F264&gt;0,ABS(J264)&gt;Assumptions!$B$6),AND(G264&gt;0,ABS(K264)&gt;Assumptions!$B$6)),"EXCEPTION","OK")</f>
        <v>EXCEPTION</v>
      </c>
    </row>
    <row r="265" customFormat="false" ht="15" hidden="false" customHeight="false" outlineLevel="0" collapsed="false">
      <c r="A265" s="16" t="str">
        <f aca="false">Purchase_Orders!A262</f>
        <v>PO10261</v>
      </c>
      <c r="B265" s="16" t="str">
        <f aca="false">Purchase_Orders!B262</f>
        <v>V1008</v>
      </c>
      <c r="C265" s="16" t="str">
        <f aca="false">IFERROR(INDEX(Vendor_Master!$B$2:$B$41,MATCH(B265,Vendor_Master!$A$2:$A$41,0)),"Unknown Vendor")</f>
        <v>Davis Inc</v>
      </c>
      <c r="D265" s="17" t="n">
        <f aca="false">Purchase_Orders!C262</f>
        <v>45704</v>
      </c>
      <c r="E265" s="18" t="n">
        <f aca="false">Purchase_Orders!D262</f>
        <v>2645.79</v>
      </c>
      <c r="F265" s="18" t="n">
        <f aca="false">SUMIFS(Goods_Receipt_Notes!$D$2:$D$791,Goods_Receipt_Notes!$B$2:$B$791,A265)</f>
        <v>2645.79</v>
      </c>
      <c r="G265" s="18" t="n">
        <f aca="false">SUMIFS(Vendor_Invoices_AP!$E$2:$E$882,Vendor_Invoices_AP!$B$2:$B$882,A265)</f>
        <v>2645.79</v>
      </c>
      <c r="H265" s="16" t="str">
        <f aca="false">IF(F265=0,"Not Received","Received")</f>
        <v>Received</v>
      </c>
      <c r="I265" s="16" t="str">
        <f aca="false">IF(G265=0,"Not Invoiced","Invoiced")</f>
        <v>Invoiced</v>
      </c>
      <c r="J265" s="18" t="n">
        <f aca="false">E265-F265</f>
        <v>0</v>
      </c>
      <c r="K265" s="18" t="n">
        <f aca="false">E265-G265</f>
        <v>0</v>
      </c>
      <c r="L265" s="16" t="str">
        <f aca="false">IF(OR(AND(I265="Invoiced",H265="Not Received"),AND(F265&gt;0,ABS(J265)&gt;Assumptions!$B$6),AND(G265&gt;0,ABS(K265)&gt;Assumptions!$B$6)),"EXCEPTION","OK")</f>
        <v>OK</v>
      </c>
    </row>
    <row r="266" customFormat="false" ht="15" hidden="false" customHeight="false" outlineLevel="0" collapsed="false">
      <c r="A266" s="16" t="str">
        <f aca="false">Purchase_Orders!A263</f>
        <v>PO10262</v>
      </c>
      <c r="B266" s="16" t="str">
        <f aca="false">Purchase_Orders!B263</f>
        <v>V1022</v>
      </c>
      <c r="C266" s="16" t="str">
        <f aca="false">IFERROR(INDEX(Vendor_Master!$B$2:$B$41,MATCH(B266,Vendor_Master!$A$2:$A$41,0)),"Unknown Vendor")</f>
        <v>Burgess-Patterson</v>
      </c>
      <c r="D266" s="17" t="n">
        <f aca="false">Purchase_Orders!C263</f>
        <v>46050</v>
      </c>
      <c r="E266" s="18" t="n">
        <f aca="false">Purchase_Orders!D263</f>
        <v>5917.43</v>
      </c>
      <c r="F266" s="18" t="n">
        <f aca="false">SUMIFS(Goods_Receipt_Notes!$D$2:$D$791,Goods_Receipt_Notes!$B$2:$B$791,A266)</f>
        <v>5917.43</v>
      </c>
      <c r="G266" s="18" t="n">
        <f aca="false">SUMIFS(Vendor_Invoices_AP!$E$2:$E$882,Vendor_Invoices_AP!$B$2:$B$882,A266)</f>
        <v>5917.43</v>
      </c>
      <c r="H266" s="16" t="str">
        <f aca="false">IF(F266=0,"Not Received","Received")</f>
        <v>Received</v>
      </c>
      <c r="I266" s="16" t="str">
        <f aca="false">IF(G266=0,"Not Invoiced","Invoiced")</f>
        <v>Invoiced</v>
      </c>
      <c r="J266" s="18" t="n">
        <f aca="false">E266-F266</f>
        <v>0</v>
      </c>
      <c r="K266" s="18" t="n">
        <f aca="false">E266-G266</f>
        <v>0</v>
      </c>
      <c r="L266" s="16" t="str">
        <f aca="false">IF(OR(AND(I266="Invoiced",H266="Not Received"),AND(F266&gt;0,ABS(J266)&gt;Assumptions!$B$6),AND(G266&gt;0,ABS(K266)&gt;Assumptions!$B$6)),"EXCEPTION","OK")</f>
        <v>OK</v>
      </c>
    </row>
    <row r="267" customFormat="false" ht="15" hidden="false" customHeight="false" outlineLevel="0" collapsed="false">
      <c r="A267" s="16" t="str">
        <f aca="false">Purchase_Orders!A264</f>
        <v>PO10263</v>
      </c>
      <c r="B267" s="16" t="str">
        <f aca="false">Purchase_Orders!B264</f>
        <v>V1003</v>
      </c>
      <c r="C267" s="16" t="str">
        <f aca="false">IFERROR(INDEX(Vendor_Master!$B$2:$B$41,MATCH(B267,Vendor_Master!$A$2:$A$41,0)),"Unknown Vendor")</f>
        <v>Johnson and Sons</v>
      </c>
      <c r="D267" s="17" t="n">
        <f aca="false">Purchase_Orders!C264</f>
        <v>45924</v>
      </c>
      <c r="E267" s="18" t="n">
        <f aca="false">Purchase_Orders!D264</f>
        <v>866.85</v>
      </c>
      <c r="F267" s="18" t="n">
        <f aca="false">SUMIFS(Goods_Receipt_Notes!$D$2:$D$791,Goods_Receipt_Notes!$B$2:$B$791,A267)</f>
        <v>866.85</v>
      </c>
      <c r="G267" s="18" t="n">
        <f aca="false">SUMIFS(Vendor_Invoices_AP!$E$2:$E$882,Vendor_Invoices_AP!$B$2:$B$882,A267)</f>
        <v>866.85</v>
      </c>
      <c r="H267" s="16" t="str">
        <f aca="false">IF(F267=0,"Not Received","Received")</f>
        <v>Received</v>
      </c>
      <c r="I267" s="16" t="str">
        <f aca="false">IF(G267=0,"Not Invoiced","Invoiced")</f>
        <v>Invoiced</v>
      </c>
      <c r="J267" s="18" t="n">
        <f aca="false">E267-F267</f>
        <v>0</v>
      </c>
      <c r="K267" s="18" t="n">
        <f aca="false">E267-G267</f>
        <v>0</v>
      </c>
      <c r="L267" s="16" t="str">
        <f aca="false">IF(OR(AND(I267="Invoiced",H267="Not Received"),AND(F267&gt;0,ABS(J267)&gt;Assumptions!$B$6),AND(G267&gt;0,ABS(K267)&gt;Assumptions!$B$6)),"EXCEPTION","OK")</f>
        <v>OK</v>
      </c>
    </row>
    <row r="268" customFormat="false" ht="15" hidden="false" customHeight="false" outlineLevel="0" collapsed="false">
      <c r="A268" s="16" t="str">
        <f aca="false">Purchase_Orders!A265</f>
        <v>PO10264</v>
      </c>
      <c r="B268" s="16" t="str">
        <f aca="false">Purchase_Orders!B265</f>
        <v>V1017</v>
      </c>
      <c r="C268" s="16" t="str">
        <f aca="false">IFERROR(INDEX(Vendor_Master!$B$2:$B$41,MATCH(B268,Vendor_Master!$A$2:$A$41,0)),"Unknown Vendor")</f>
        <v>Hawkins, Cohen and Cameron</v>
      </c>
      <c r="D268" s="17" t="n">
        <f aca="false">Purchase_Orders!C265</f>
        <v>46071</v>
      </c>
      <c r="E268" s="18" t="n">
        <f aca="false">Purchase_Orders!D265</f>
        <v>5943.52</v>
      </c>
      <c r="F268" s="18" t="n">
        <f aca="false">SUMIFS(Goods_Receipt_Notes!$D$2:$D$791,Goods_Receipt_Notes!$B$2:$B$791,A268)</f>
        <v>5943.52</v>
      </c>
      <c r="G268" s="18" t="n">
        <f aca="false">SUMIFS(Vendor_Invoices_AP!$E$2:$E$882,Vendor_Invoices_AP!$B$2:$B$882,A268)</f>
        <v>5943.52</v>
      </c>
      <c r="H268" s="16" t="str">
        <f aca="false">IF(F268=0,"Not Received","Received")</f>
        <v>Received</v>
      </c>
      <c r="I268" s="16" t="str">
        <f aca="false">IF(G268=0,"Not Invoiced","Invoiced")</f>
        <v>Invoiced</v>
      </c>
      <c r="J268" s="18" t="n">
        <f aca="false">E268-F268</f>
        <v>0</v>
      </c>
      <c r="K268" s="18" t="n">
        <f aca="false">E268-G268</f>
        <v>0</v>
      </c>
      <c r="L268" s="16" t="str">
        <f aca="false">IF(OR(AND(I268="Invoiced",H268="Not Received"),AND(F268&gt;0,ABS(J268)&gt;Assumptions!$B$6),AND(G268&gt;0,ABS(K268)&gt;Assumptions!$B$6)),"EXCEPTION","OK")</f>
        <v>OK</v>
      </c>
    </row>
    <row r="269" customFormat="false" ht="15" hidden="false" customHeight="false" outlineLevel="0" collapsed="false">
      <c r="A269" s="16" t="str">
        <f aca="false">Purchase_Orders!A266</f>
        <v>PO10265</v>
      </c>
      <c r="B269" s="16" t="str">
        <f aca="false">Purchase_Orders!B266</f>
        <v>V1016</v>
      </c>
      <c r="C269" s="16" t="str">
        <f aca="false">IFERROR(INDEX(Vendor_Master!$B$2:$B$41,MATCH(B269,Vendor_Master!$A$2:$A$41,0)),"Unknown Vendor")</f>
        <v>Sanchez, Ford and Nelson</v>
      </c>
      <c r="D269" s="17" t="n">
        <f aca="false">Purchase_Orders!C266</f>
        <v>46034</v>
      </c>
      <c r="E269" s="18" t="n">
        <f aca="false">Purchase_Orders!D266</f>
        <v>2495.51</v>
      </c>
      <c r="F269" s="18" t="n">
        <f aca="false">SUMIFS(Goods_Receipt_Notes!$D$2:$D$791,Goods_Receipt_Notes!$B$2:$B$791,A269)</f>
        <v>0</v>
      </c>
      <c r="G269" s="18" t="n">
        <f aca="false">SUMIFS(Vendor_Invoices_AP!$E$2:$E$882,Vendor_Invoices_AP!$B$2:$B$882,A269)</f>
        <v>2495.51</v>
      </c>
      <c r="H269" s="16" t="str">
        <f aca="false">IF(F269=0,"Not Received","Received")</f>
        <v>Not Received</v>
      </c>
      <c r="I269" s="16" t="str">
        <f aca="false">IF(G269=0,"Not Invoiced","Invoiced")</f>
        <v>Invoiced</v>
      </c>
      <c r="J269" s="18" t="n">
        <f aca="false">E269-F269</f>
        <v>2495.51</v>
      </c>
      <c r="K269" s="18" t="n">
        <f aca="false">E269-G269</f>
        <v>0</v>
      </c>
      <c r="L269" s="16" t="str">
        <f aca="false">IF(OR(AND(I269="Invoiced",H269="Not Received"),AND(F269&gt;0,ABS(J269)&gt;Assumptions!$B$6),AND(G269&gt;0,ABS(K269)&gt;Assumptions!$B$6)),"EXCEPTION","OK")</f>
        <v>EXCEPTION</v>
      </c>
    </row>
    <row r="270" customFormat="false" ht="15" hidden="false" customHeight="false" outlineLevel="0" collapsed="false">
      <c r="A270" s="16" t="str">
        <f aca="false">Purchase_Orders!A267</f>
        <v>PO10266</v>
      </c>
      <c r="B270" s="16" t="str">
        <f aca="false">Purchase_Orders!B267</f>
        <v>V1004</v>
      </c>
      <c r="C270" s="16" t="str">
        <f aca="false">IFERROR(INDEX(Vendor_Master!$B$2:$B$41,MATCH(B270,Vendor_Master!$A$2:$A$41,0)),"Unknown Vendor")</f>
        <v>Johnson, Gonzalez and Santos</v>
      </c>
      <c r="D270" s="17" t="n">
        <f aca="false">Purchase_Orders!C267</f>
        <v>46010</v>
      </c>
      <c r="E270" s="18" t="n">
        <f aca="false">Purchase_Orders!D267</f>
        <v>482.15</v>
      </c>
      <c r="F270" s="18" t="n">
        <f aca="false">SUMIFS(Goods_Receipt_Notes!$D$2:$D$791,Goods_Receipt_Notes!$B$2:$B$791,A270)</f>
        <v>482.15</v>
      </c>
      <c r="G270" s="18" t="n">
        <f aca="false">SUMIFS(Vendor_Invoices_AP!$E$2:$E$882,Vendor_Invoices_AP!$B$2:$B$882,A270)</f>
        <v>482.15</v>
      </c>
      <c r="H270" s="16" t="str">
        <f aca="false">IF(F270=0,"Not Received","Received")</f>
        <v>Received</v>
      </c>
      <c r="I270" s="16" t="str">
        <f aca="false">IF(G270=0,"Not Invoiced","Invoiced")</f>
        <v>Invoiced</v>
      </c>
      <c r="J270" s="18" t="n">
        <f aca="false">E270-F270</f>
        <v>0</v>
      </c>
      <c r="K270" s="18" t="n">
        <f aca="false">E270-G270</f>
        <v>0</v>
      </c>
      <c r="L270" s="16" t="str">
        <f aca="false">IF(OR(AND(I270="Invoiced",H270="Not Received"),AND(F270&gt;0,ABS(J270)&gt;Assumptions!$B$6),AND(G270&gt;0,ABS(K270)&gt;Assumptions!$B$6)),"EXCEPTION","OK")</f>
        <v>OK</v>
      </c>
    </row>
    <row r="271" customFormat="false" ht="15" hidden="false" customHeight="false" outlineLevel="0" collapsed="false">
      <c r="A271" s="16" t="str">
        <f aca="false">Purchase_Orders!A268</f>
        <v>PO10267</v>
      </c>
      <c r="B271" s="16" t="str">
        <f aca="false">Purchase_Orders!B268</f>
        <v>V1035</v>
      </c>
      <c r="C271" s="16" t="str">
        <f aca="false">IFERROR(INDEX(Vendor_Master!$B$2:$B$41,MATCH(B271,Vendor_Master!$A$2:$A$41,0)),"Unknown Vendor")</f>
        <v>Allen PLC</v>
      </c>
      <c r="D271" s="17" t="n">
        <f aca="false">Purchase_Orders!C268</f>
        <v>45925</v>
      </c>
      <c r="E271" s="18" t="n">
        <f aca="false">Purchase_Orders!D268</f>
        <v>1274.7</v>
      </c>
      <c r="F271" s="18" t="n">
        <f aca="false">SUMIFS(Goods_Receipt_Notes!$D$2:$D$791,Goods_Receipt_Notes!$B$2:$B$791,A271)</f>
        <v>1274.7</v>
      </c>
      <c r="G271" s="18" t="n">
        <f aca="false">SUMIFS(Vendor_Invoices_AP!$E$2:$E$882,Vendor_Invoices_AP!$B$2:$B$882,A271)</f>
        <v>1274.7</v>
      </c>
      <c r="H271" s="16" t="str">
        <f aca="false">IF(F271=0,"Not Received","Received")</f>
        <v>Received</v>
      </c>
      <c r="I271" s="16" t="str">
        <f aca="false">IF(G271=0,"Not Invoiced","Invoiced")</f>
        <v>Invoiced</v>
      </c>
      <c r="J271" s="18" t="n">
        <f aca="false">E271-F271</f>
        <v>0</v>
      </c>
      <c r="K271" s="18" t="n">
        <f aca="false">E271-G271</f>
        <v>0</v>
      </c>
      <c r="L271" s="16" t="str">
        <f aca="false">IF(OR(AND(I271="Invoiced",H271="Not Received"),AND(F271&gt;0,ABS(J271)&gt;Assumptions!$B$6),AND(G271&gt;0,ABS(K271)&gt;Assumptions!$B$6)),"EXCEPTION","OK")</f>
        <v>OK</v>
      </c>
    </row>
    <row r="272" customFormat="false" ht="15" hidden="false" customHeight="false" outlineLevel="0" collapsed="false">
      <c r="A272" s="16" t="str">
        <f aca="false">Purchase_Orders!A269</f>
        <v>PO10268</v>
      </c>
      <c r="B272" s="16" t="str">
        <f aca="false">Purchase_Orders!B269</f>
        <v>V1003</v>
      </c>
      <c r="C272" s="16" t="str">
        <f aca="false">IFERROR(INDEX(Vendor_Master!$B$2:$B$41,MATCH(B272,Vendor_Master!$A$2:$A$41,0)),"Unknown Vendor")</f>
        <v>Johnson and Sons</v>
      </c>
      <c r="D272" s="17" t="n">
        <f aca="false">Purchase_Orders!C269</f>
        <v>46090</v>
      </c>
      <c r="E272" s="18" t="n">
        <f aca="false">Purchase_Orders!D269</f>
        <v>2055.42</v>
      </c>
      <c r="F272" s="18" t="n">
        <f aca="false">SUMIFS(Goods_Receipt_Notes!$D$2:$D$791,Goods_Receipt_Notes!$B$2:$B$791,A272)</f>
        <v>2055.42</v>
      </c>
      <c r="G272" s="18" t="n">
        <f aca="false">SUMIFS(Vendor_Invoices_AP!$E$2:$E$882,Vendor_Invoices_AP!$B$2:$B$882,A272)</f>
        <v>2055.42</v>
      </c>
      <c r="H272" s="16" t="str">
        <f aca="false">IF(F272=0,"Not Received","Received")</f>
        <v>Received</v>
      </c>
      <c r="I272" s="16" t="str">
        <f aca="false">IF(G272=0,"Not Invoiced","Invoiced")</f>
        <v>Invoiced</v>
      </c>
      <c r="J272" s="18" t="n">
        <f aca="false">E272-F272</f>
        <v>0</v>
      </c>
      <c r="K272" s="18" t="n">
        <f aca="false">E272-G272</f>
        <v>0</v>
      </c>
      <c r="L272" s="16" t="str">
        <f aca="false">IF(OR(AND(I272="Invoiced",H272="Not Received"),AND(F272&gt;0,ABS(J272)&gt;Assumptions!$B$6),AND(G272&gt;0,ABS(K272)&gt;Assumptions!$B$6)),"EXCEPTION","OK")</f>
        <v>OK</v>
      </c>
    </row>
    <row r="273" customFormat="false" ht="15" hidden="false" customHeight="false" outlineLevel="0" collapsed="false">
      <c r="A273" s="16" t="str">
        <f aca="false">Purchase_Orders!A270</f>
        <v>PO10269</v>
      </c>
      <c r="B273" s="16" t="str">
        <f aca="false">Purchase_Orders!B270</f>
        <v>V1012</v>
      </c>
      <c r="C273" s="16" t="str">
        <f aca="false">IFERROR(INDEX(Vendor_Master!$B$2:$B$41,MATCH(B273,Vendor_Master!$A$2:$A$41,0)),"Unknown Vendor")</f>
        <v>Stanley LLC</v>
      </c>
      <c r="D273" s="17" t="n">
        <f aca="false">Purchase_Orders!C270</f>
        <v>45708</v>
      </c>
      <c r="E273" s="18" t="n">
        <f aca="false">Purchase_Orders!D270</f>
        <v>8984.32</v>
      </c>
      <c r="F273" s="18" t="n">
        <f aca="false">SUMIFS(Goods_Receipt_Notes!$D$2:$D$791,Goods_Receipt_Notes!$B$2:$B$791,A273)</f>
        <v>8984.32</v>
      </c>
      <c r="G273" s="18" t="n">
        <f aca="false">SUMIFS(Vendor_Invoices_AP!$E$2:$E$882,Vendor_Invoices_AP!$B$2:$B$882,A273)</f>
        <v>8984.32</v>
      </c>
      <c r="H273" s="16" t="str">
        <f aca="false">IF(F273=0,"Not Received","Received")</f>
        <v>Received</v>
      </c>
      <c r="I273" s="16" t="str">
        <f aca="false">IF(G273=0,"Not Invoiced","Invoiced")</f>
        <v>Invoiced</v>
      </c>
      <c r="J273" s="18" t="n">
        <f aca="false">E273-F273</f>
        <v>0</v>
      </c>
      <c r="K273" s="18" t="n">
        <f aca="false">E273-G273</f>
        <v>0</v>
      </c>
      <c r="L273" s="16" t="str">
        <f aca="false">IF(OR(AND(I273="Invoiced",H273="Not Received"),AND(F273&gt;0,ABS(J273)&gt;Assumptions!$B$6),AND(G273&gt;0,ABS(K273)&gt;Assumptions!$B$6)),"EXCEPTION","OK")</f>
        <v>OK</v>
      </c>
    </row>
    <row r="274" customFormat="false" ht="15" hidden="false" customHeight="false" outlineLevel="0" collapsed="false">
      <c r="A274" s="16" t="str">
        <f aca="false">Purchase_Orders!A271</f>
        <v>PO10270</v>
      </c>
      <c r="B274" s="16" t="str">
        <f aca="false">Purchase_Orders!B271</f>
        <v>V1022</v>
      </c>
      <c r="C274" s="16" t="str">
        <f aca="false">IFERROR(INDEX(Vendor_Master!$B$2:$B$41,MATCH(B274,Vendor_Master!$A$2:$A$41,0)),"Unknown Vendor")</f>
        <v>Burgess-Patterson</v>
      </c>
      <c r="D274" s="17" t="n">
        <f aca="false">Purchase_Orders!C271</f>
        <v>45778</v>
      </c>
      <c r="E274" s="18" t="n">
        <f aca="false">Purchase_Orders!D271</f>
        <v>4378.74</v>
      </c>
      <c r="F274" s="18" t="n">
        <f aca="false">SUMIFS(Goods_Receipt_Notes!$D$2:$D$791,Goods_Receipt_Notes!$B$2:$B$791,A274)</f>
        <v>3860.79</v>
      </c>
      <c r="G274" s="18" t="n">
        <f aca="false">SUMIFS(Vendor_Invoices_AP!$E$2:$E$882,Vendor_Invoices_AP!$B$2:$B$882,A274)</f>
        <v>4378.74</v>
      </c>
      <c r="H274" s="16" t="str">
        <f aca="false">IF(F274=0,"Not Received","Received")</f>
        <v>Received</v>
      </c>
      <c r="I274" s="16" t="str">
        <f aca="false">IF(G274=0,"Not Invoiced","Invoiced")</f>
        <v>Invoiced</v>
      </c>
      <c r="J274" s="18" t="n">
        <f aca="false">E274-F274</f>
        <v>517.95</v>
      </c>
      <c r="K274" s="18" t="n">
        <f aca="false">E274-G274</f>
        <v>0</v>
      </c>
      <c r="L274" s="16" t="str">
        <f aca="false">IF(OR(AND(I274="Invoiced",H274="Not Received"),AND(F274&gt;0,ABS(J274)&gt;Assumptions!$B$6),AND(G274&gt;0,ABS(K274)&gt;Assumptions!$B$6)),"EXCEPTION","OK")</f>
        <v>EXCEPTION</v>
      </c>
    </row>
    <row r="275" customFormat="false" ht="15" hidden="false" customHeight="false" outlineLevel="0" collapsed="false">
      <c r="A275" s="16" t="str">
        <f aca="false">Purchase_Orders!A272</f>
        <v>PO10271</v>
      </c>
      <c r="B275" s="16" t="str">
        <f aca="false">Purchase_Orders!B272</f>
        <v>V1030</v>
      </c>
      <c r="C275" s="16" t="str">
        <f aca="false">IFERROR(INDEX(Vendor_Master!$B$2:$B$41,MATCH(B275,Vendor_Master!$A$2:$A$41,0)),"Unknown Vendor")</f>
        <v>Stanton-Gill</v>
      </c>
      <c r="D275" s="17" t="n">
        <f aca="false">Purchase_Orders!C272</f>
        <v>46035</v>
      </c>
      <c r="E275" s="18" t="n">
        <f aca="false">Purchase_Orders!D272</f>
        <v>519.69</v>
      </c>
      <c r="F275" s="18" t="n">
        <f aca="false">SUMIFS(Goods_Receipt_Notes!$D$2:$D$791,Goods_Receipt_Notes!$B$2:$B$791,A275)</f>
        <v>519.69</v>
      </c>
      <c r="G275" s="18" t="n">
        <f aca="false">SUMIFS(Vendor_Invoices_AP!$E$2:$E$882,Vendor_Invoices_AP!$B$2:$B$882,A275)</f>
        <v>519.69</v>
      </c>
      <c r="H275" s="16" t="str">
        <f aca="false">IF(F275=0,"Not Received","Received")</f>
        <v>Received</v>
      </c>
      <c r="I275" s="16" t="str">
        <f aca="false">IF(G275=0,"Not Invoiced","Invoiced")</f>
        <v>Invoiced</v>
      </c>
      <c r="J275" s="18" t="n">
        <f aca="false">E275-F275</f>
        <v>0</v>
      </c>
      <c r="K275" s="18" t="n">
        <f aca="false">E275-G275</f>
        <v>0</v>
      </c>
      <c r="L275" s="16" t="str">
        <f aca="false">IF(OR(AND(I275="Invoiced",H275="Not Received"),AND(F275&gt;0,ABS(J275)&gt;Assumptions!$B$6),AND(G275&gt;0,ABS(K275)&gt;Assumptions!$B$6)),"EXCEPTION","OK")</f>
        <v>OK</v>
      </c>
    </row>
    <row r="276" customFormat="false" ht="15" hidden="false" customHeight="false" outlineLevel="0" collapsed="false">
      <c r="A276" s="16" t="str">
        <f aca="false">Purchase_Orders!A273</f>
        <v>PO10272</v>
      </c>
      <c r="B276" s="16" t="str">
        <f aca="false">Purchase_Orders!B273</f>
        <v>V1017</v>
      </c>
      <c r="C276" s="16" t="str">
        <f aca="false">IFERROR(INDEX(Vendor_Master!$B$2:$B$41,MATCH(B276,Vendor_Master!$A$2:$A$41,0)),"Unknown Vendor")</f>
        <v>Hawkins, Cohen and Cameron</v>
      </c>
      <c r="D276" s="17" t="n">
        <f aca="false">Purchase_Orders!C273</f>
        <v>45824</v>
      </c>
      <c r="E276" s="18" t="n">
        <f aca="false">Purchase_Orders!D273</f>
        <v>2656.9</v>
      </c>
      <c r="F276" s="18" t="n">
        <f aca="false">SUMIFS(Goods_Receipt_Notes!$D$2:$D$791,Goods_Receipt_Notes!$B$2:$B$791,A276)</f>
        <v>2656.9</v>
      </c>
      <c r="G276" s="18" t="n">
        <f aca="false">SUMIFS(Vendor_Invoices_AP!$E$2:$E$882,Vendor_Invoices_AP!$B$2:$B$882,A276)</f>
        <v>2656.9</v>
      </c>
      <c r="H276" s="16" t="str">
        <f aca="false">IF(F276=0,"Not Received","Received")</f>
        <v>Received</v>
      </c>
      <c r="I276" s="16" t="str">
        <f aca="false">IF(G276=0,"Not Invoiced","Invoiced")</f>
        <v>Invoiced</v>
      </c>
      <c r="J276" s="18" t="n">
        <f aca="false">E276-F276</f>
        <v>0</v>
      </c>
      <c r="K276" s="18" t="n">
        <f aca="false">E276-G276</f>
        <v>0</v>
      </c>
      <c r="L276" s="16" t="str">
        <f aca="false">IF(OR(AND(I276="Invoiced",H276="Not Received"),AND(F276&gt;0,ABS(J276)&gt;Assumptions!$B$6),AND(G276&gt;0,ABS(K276)&gt;Assumptions!$B$6)),"EXCEPTION","OK")</f>
        <v>OK</v>
      </c>
    </row>
    <row r="277" customFormat="false" ht="15" hidden="false" customHeight="false" outlineLevel="0" collapsed="false">
      <c r="A277" s="16" t="str">
        <f aca="false">Purchase_Orders!A274</f>
        <v>PO10273</v>
      </c>
      <c r="B277" s="16" t="str">
        <f aca="false">Purchase_Orders!B274</f>
        <v>V1016</v>
      </c>
      <c r="C277" s="16" t="str">
        <f aca="false">IFERROR(INDEX(Vendor_Master!$B$2:$B$41,MATCH(B277,Vendor_Master!$A$2:$A$41,0)),"Unknown Vendor")</f>
        <v>Sanchez, Ford and Nelson</v>
      </c>
      <c r="D277" s="17" t="n">
        <f aca="false">Purchase_Orders!C274</f>
        <v>45974</v>
      </c>
      <c r="E277" s="18" t="n">
        <f aca="false">Purchase_Orders!D274</f>
        <v>611.97</v>
      </c>
      <c r="F277" s="18" t="n">
        <f aca="false">SUMIFS(Goods_Receipt_Notes!$D$2:$D$791,Goods_Receipt_Notes!$B$2:$B$791,A277)</f>
        <v>611.97</v>
      </c>
      <c r="G277" s="18" t="n">
        <f aca="false">SUMIFS(Vendor_Invoices_AP!$E$2:$E$882,Vendor_Invoices_AP!$B$2:$B$882,A277)</f>
        <v>611.97</v>
      </c>
      <c r="H277" s="16" t="str">
        <f aca="false">IF(F277=0,"Not Received","Received")</f>
        <v>Received</v>
      </c>
      <c r="I277" s="16" t="str">
        <f aca="false">IF(G277=0,"Not Invoiced","Invoiced")</f>
        <v>Invoiced</v>
      </c>
      <c r="J277" s="18" t="n">
        <f aca="false">E277-F277</f>
        <v>0</v>
      </c>
      <c r="K277" s="18" t="n">
        <f aca="false">E277-G277</f>
        <v>0</v>
      </c>
      <c r="L277" s="16" t="str">
        <f aca="false">IF(OR(AND(I277="Invoiced",H277="Not Received"),AND(F277&gt;0,ABS(J277)&gt;Assumptions!$B$6),AND(G277&gt;0,ABS(K277)&gt;Assumptions!$B$6)),"EXCEPTION","OK")</f>
        <v>OK</v>
      </c>
    </row>
    <row r="278" customFormat="false" ht="15" hidden="false" customHeight="false" outlineLevel="0" collapsed="false">
      <c r="A278" s="16" t="str">
        <f aca="false">Purchase_Orders!A275</f>
        <v>PO10274</v>
      </c>
      <c r="B278" s="16" t="str">
        <f aca="false">Purchase_Orders!B275</f>
        <v>V1015</v>
      </c>
      <c r="C278" s="16" t="str">
        <f aca="false">IFERROR(INDEX(Vendor_Master!$B$2:$B$41,MATCH(B278,Vendor_Master!$A$2:$A$41,0)),"Unknown Vendor")</f>
        <v>Zuniga, Wong and Lynch</v>
      </c>
      <c r="D278" s="17" t="n">
        <f aca="false">Purchase_Orders!C275</f>
        <v>45915</v>
      </c>
      <c r="E278" s="18" t="n">
        <f aca="false">Purchase_Orders!D275</f>
        <v>3378.98</v>
      </c>
      <c r="F278" s="18" t="n">
        <f aca="false">SUMIFS(Goods_Receipt_Notes!$D$2:$D$791,Goods_Receipt_Notes!$B$2:$B$791,A278)</f>
        <v>3378.98</v>
      </c>
      <c r="G278" s="18" t="n">
        <f aca="false">SUMIFS(Vendor_Invoices_AP!$E$2:$E$882,Vendor_Invoices_AP!$B$2:$B$882,A278)</f>
        <v>3378.98</v>
      </c>
      <c r="H278" s="16" t="str">
        <f aca="false">IF(F278=0,"Not Received","Received")</f>
        <v>Received</v>
      </c>
      <c r="I278" s="16" t="str">
        <f aca="false">IF(G278=0,"Not Invoiced","Invoiced")</f>
        <v>Invoiced</v>
      </c>
      <c r="J278" s="18" t="n">
        <f aca="false">E278-F278</f>
        <v>0</v>
      </c>
      <c r="K278" s="18" t="n">
        <f aca="false">E278-G278</f>
        <v>0</v>
      </c>
      <c r="L278" s="16" t="str">
        <f aca="false">IF(OR(AND(I278="Invoiced",H278="Not Received"),AND(F278&gt;0,ABS(J278)&gt;Assumptions!$B$6),AND(G278&gt;0,ABS(K278)&gt;Assumptions!$B$6)),"EXCEPTION","OK")</f>
        <v>OK</v>
      </c>
    </row>
    <row r="279" customFormat="false" ht="15" hidden="false" customHeight="false" outlineLevel="0" collapsed="false">
      <c r="A279" s="16" t="str">
        <f aca="false">Purchase_Orders!A276</f>
        <v>PO10275</v>
      </c>
      <c r="B279" s="16" t="str">
        <f aca="false">Purchase_Orders!B276</f>
        <v>V1026</v>
      </c>
      <c r="C279" s="16" t="str">
        <f aca="false">IFERROR(INDEX(Vendor_Master!$B$2:$B$41,MATCH(B279,Vendor_Master!$A$2:$A$41,0)),"Unknown Vendor")</f>
        <v>James-Ferrell</v>
      </c>
      <c r="D279" s="17" t="n">
        <f aca="false">Purchase_Orders!C276</f>
        <v>45947</v>
      </c>
      <c r="E279" s="18" t="n">
        <f aca="false">Purchase_Orders!D276</f>
        <v>1729.73</v>
      </c>
      <c r="F279" s="18" t="n">
        <f aca="false">SUMIFS(Goods_Receipt_Notes!$D$2:$D$791,Goods_Receipt_Notes!$B$2:$B$791,A279)</f>
        <v>1729.73</v>
      </c>
      <c r="G279" s="18" t="n">
        <f aca="false">SUMIFS(Vendor_Invoices_AP!$E$2:$E$882,Vendor_Invoices_AP!$B$2:$B$882,A279)</f>
        <v>1729.73</v>
      </c>
      <c r="H279" s="16" t="str">
        <f aca="false">IF(F279=0,"Not Received","Received")</f>
        <v>Received</v>
      </c>
      <c r="I279" s="16" t="str">
        <f aca="false">IF(G279=0,"Not Invoiced","Invoiced")</f>
        <v>Invoiced</v>
      </c>
      <c r="J279" s="18" t="n">
        <f aca="false">E279-F279</f>
        <v>0</v>
      </c>
      <c r="K279" s="18" t="n">
        <f aca="false">E279-G279</f>
        <v>0</v>
      </c>
      <c r="L279" s="16" t="str">
        <f aca="false">IF(OR(AND(I279="Invoiced",H279="Not Received"),AND(F279&gt;0,ABS(J279)&gt;Assumptions!$B$6),AND(G279&gt;0,ABS(K279)&gt;Assumptions!$B$6)),"EXCEPTION","OK")</f>
        <v>OK</v>
      </c>
    </row>
    <row r="280" customFormat="false" ht="15" hidden="false" customHeight="false" outlineLevel="0" collapsed="false">
      <c r="A280" s="16" t="str">
        <f aca="false">Purchase_Orders!A277</f>
        <v>PO10276</v>
      </c>
      <c r="B280" s="16" t="str">
        <f aca="false">Purchase_Orders!B277</f>
        <v>V1005</v>
      </c>
      <c r="C280" s="16" t="str">
        <f aca="false">IFERROR(INDEX(Vendor_Master!$B$2:$B$41,MATCH(B280,Vendor_Master!$A$2:$A$41,0)),"Unknown Vendor")</f>
        <v>Cole LLC</v>
      </c>
      <c r="D280" s="17" t="n">
        <f aca="false">Purchase_Orders!C277</f>
        <v>45889</v>
      </c>
      <c r="E280" s="18" t="n">
        <f aca="false">Purchase_Orders!D277</f>
        <v>225.68</v>
      </c>
      <c r="F280" s="18" t="n">
        <f aca="false">SUMIFS(Goods_Receipt_Notes!$D$2:$D$791,Goods_Receipt_Notes!$B$2:$B$791,A280)</f>
        <v>225.68</v>
      </c>
      <c r="G280" s="18" t="n">
        <f aca="false">SUMIFS(Vendor_Invoices_AP!$E$2:$E$882,Vendor_Invoices_AP!$B$2:$B$882,A280)</f>
        <v>225.68</v>
      </c>
      <c r="H280" s="16" t="str">
        <f aca="false">IF(F280=0,"Not Received","Received")</f>
        <v>Received</v>
      </c>
      <c r="I280" s="16" t="str">
        <f aca="false">IF(G280=0,"Not Invoiced","Invoiced")</f>
        <v>Invoiced</v>
      </c>
      <c r="J280" s="18" t="n">
        <f aca="false">E280-F280</f>
        <v>0</v>
      </c>
      <c r="K280" s="18" t="n">
        <f aca="false">E280-G280</f>
        <v>0</v>
      </c>
      <c r="L280" s="16" t="str">
        <f aca="false">IF(OR(AND(I280="Invoiced",H280="Not Received"),AND(F280&gt;0,ABS(J280)&gt;Assumptions!$B$6),AND(G280&gt;0,ABS(K280)&gt;Assumptions!$B$6)),"EXCEPTION","OK")</f>
        <v>OK</v>
      </c>
    </row>
    <row r="281" customFormat="false" ht="15" hidden="false" customHeight="false" outlineLevel="0" collapsed="false">
      <c r="A281" s="16" t="str">
        <f aca="false">Purchase_Orders!A278</f>
        <v>PO10277</v>
      </c>
      <c r="B281" s="16" t="str">
        <f aca="false">Purchase_Orders!B278</f>
        <v>V1004</v>
      </c>
      <c r="C281" s="16" t="str">
        <f aca="false">IFERROR(INDEX(Vendor_Master!$B$2:$B$41,MATCH(B281,Vendor_Master!$A$2:$A$41,0)),"Unknown Vendor")</f>
        <v>Johnson, Gonzalez and Santos</v>
      </c>
      <c r="D281" s="17" t="n">
        <f aca="false">Purchase_Orders!C278</f>
        <v>46064</v>
      </c>
      <c r="E281" s="18" t="n">
        <f aca="false">Purchase_Orders!D278</f>
        <v>1424.85</v>
      </c>
      <c r="F281" s="18" t="n">
        <f aca="false">SUMIFS(Goods_Receipt_Notes!$D$2:$D$791,Goods_Receipt_Notes!$B$2:$B$791,A281)</f>
        <v>0</v>
      </c>
      <c r="G281" s="18" t="n">
        <f aca="false">SUMIFS(Vendor_Invoices_AP!$E$2:$E$882,Vendor_Invoices_AP!$B$2:$B$882,A281)</f>
        <v>1424.85</v>
      </c>
      <c r="H281" s="16" t="str">
        <f aca="false">IF(F281=0,"Not Received","Received")</f>
        <v>Not Received</v>
      </c>
      <c r="I281" s="16" t="str">
        <f aca="false">IF(G281=0,"Not Invoiced","Invoiced")</f>
        <v>Invoiced</v>
      </c>
      <c r="J281" s="18" t="n">
        <f aca="false">E281-F281</f>
        <v>1424.85</v>
      </c>
      <c r="K281" s="18" t="n">
        <f aca="false">E281-G281</f>
        <v>0</v>
      </c>
      <c r="L281" s="16" t="str">
        <f aca="false">IF(OR(AND(I281="Invoiced",H281="Not Received"),AND(F281&gt;0,ABS(J281)&gt;Assumptions!$B$6),AND(G281&gt;0,ABS(K281)&gt;Assumptions!$B$6)),"EXCEPTION","OK")</f>
        <v>EXCEPTION</v>
      </c>
    </row>
    <row r="282" customFormat="false" ht="15" hidden="false" customHeight="false" outlineLevel="0" collapsed="false">
      <c r="A282" s="16" t="str">
        <f aca="false">Purchase_Orders!A279</f>
        <v>PO10278</v>
      </c>
      <c r="B282" s="16" t="str">
        <f aca="false">Purchase_Orders!B279</f>
        <v>V1040</v>
      </c>
      <c r="C282" s="16" t="str">
        <f aca="false">IFERROR(INDEX(Vendor_Master!$B$2:$B$41,MATCH(B282,Vendor_Master!$A$2:$A$41,0)),"Unknown Vendor")</f>
        <v>Santos, Kim and Holmes</v>
      </c>
      <c r="D282" s="17" t="n">
        <f aca="false">Purchase_Orders!C279</f>
        <v>45838</v>
      </c>
      <c r="E282" s="18" t="n">
        <f aca="false">Purchase_Orders!D279</f>
        <v>643.44</v>
      </c>
      <c r="F282" s="18" t="n">
        <f aca="false">SUMIFS(Goods_Receipt_Notes!$D$2:$D$791,Goods_Receipt_Notes!$B$2:$B$791,A282)</f>
        <v>643.44</v>
      </c>
      <c r="G282" s="18" t="n">
        <f aca="false">SUMIFS(Vendor_Invoices_AP!$E$2:$E$882,Vendor_Invoices_AP!$B$2:$B$882,A282)</f>
        <v>643.44</v>
      </c>
      <c r="H282" s="16" t="str">
        <f aca="false">IF(F282=0,"Not Received","Received")</f>
        <v>Received</v>
      </c>
      <c r="I282" s="16" t="str">
        <f aca="false">IF(G282=0,"Not Invoiced","Invoiced")</f>
        <v>Invoiced</v>
      </c>
      <c r="J282" s="18" t="n">
        <f aca="false">E282-F282</f>
        <v>0</v>
      </c>
      <c r="K282" s="18" t="n">
        <f aca="false">E282-G282</f>
        <v>0</v>
      </c>
      <c r="L282" s="16" t="str">
        <f aca="false">IF(OR(AND(I282="Invoiced",H282="Not Received"),AND(F282&gt;0,ABS(J282)&gt;Assumptions!$B$6),AND(G282&gt;0,ABS(K282)&gt;Assumptions!$B$6)),"EXCEPTION","OK")</f>
        <v>OK</v>
      </c>
    </row>
    <row r="283" customFormat="false" ht="15" hidden="false" customHeight="false" outlineLevel="0" collapsed="false">
      <c r="A283" s="16" t="str">
        <f aca="false">Purchase_Orders!A280</f>
        <v>PO10279</v>
      </c>
      <c r="B283" s="16" t="str">
        <f aca="false">Purchase_Orders!B280</f>
        <v>V1018</v>
      </c>
      <c r="C283" s="16" t="str">
        <f aca="false">IFERROR(INDEX(Vendor_Master!$B$2:$B$41,MATCH(B283,Vendor_Master!$A$2:$A$41,0)),"Unknown Vendor")</f>
        <v>Underwood LLC</v>
      </c>
      <c r="D283" s="17" t="n">
        <f aca="false">Purchase_Orders!C280</f>
        <v>46041</v>
      </c>
      <c r="E283" s="18" t="n">
        <f aca="false">Purchase_Orders!D280</f>
        <v>560.8</v>
      </c>
      <c r="F283" s="18" t="n">
        <f aca="false">SUMIFS(Goods_Receipt_Notes!$D$2:$D$791,Goods_Receipt_Notes!$B$2:$B$791,A283)</f>
        <v>560.8</v>
      </c>
      <c r="G283" s="18" t="n">
        <f aca="false">SUMIFS(Vendor_Invoices_AP!$E$2:$E$882,Vendor_Invoices_AP!$B$2:$B$882,A283)</f>
        <v>560.8</v>
      </c>
      <c r="H283" s="16" t="str">
        <f aca="false">IF(F283=0,"Not Received","Received")</f>
        <v>Received</v>
      </c>
      <c r="I283" s="16" t="str">
        <f aca="false">IF(G283=0,"Not Invoiced","Invoiced")</f>
        <v>Invoiced</v>
      </c>
      <c r="J283" s="18" t="n">
        <f aca="false">E283-F283</f>
        <v>0</v>
      </c>
      <c r="K283" s="18" t="n">
        <f aca="false">E283-G283</f>
        <v>0</v>
      </c>
      <c r="L283" s="16" t="str">
        <f aca="false">IF(OR(AND(I283="Invoiced",H283="Not Received"),AND(F283&gt;0,ABS(J283)&gt;Assumptions!$B$6),AND(G283&gt;0,ABS(K283)&gt;Assumptions!$B$6)),"EXCEPTION","OK")</f>
        <v>OK</v>
      </c>
    </row>
    <row r="284" customFormat="false" ht="15" hidden="false" customHeight="false" outlineLevel="0" collapsed="false">
      <c r="A284" s="16" t="str">
        <f aca="false">Purchase_Orders!A281</f>
        <v>PO10280</v>
      </c>
      <c r="B284" s="16" t="str">
        <f aca="false">Purchase_Orders!B281</f>
        <v>V1038</v>
      </c>
      <c r="C284" s="16" t="str">
        <f aca="false">IFERROR(INDEX(Vendor_Master!$B$2:$B$41,MATCH(B284,Vendor_Master!$A$2:$A$41,0)),"Unknown Vendor")</f>
        <v>Rose-Obrien</v>
      </c>
      <c r="D284" s="17" t="n">
        <f aca="false">Purchase_Orders!C281</f>
        <v>45805</v>
      </c>
      <c r="E284" s="18" t="n">
        <f aca="false">Purchase_Orders!D281</f>
        <v>259.23</v>
      </c>
      <c r="F284" s="18" t="n">
        <f aca="false">SUMIFS(Goods_Receipt_Notes!$D$2:$D$791,Goods_Receipt_Notes!$B$2:$B$791,A284)</f>
        <v>259.23</v>
      </c>
      <c r="G284" s="18" t="n">
        <f aca="false">SUMIFS(Vendor_Invoices_AP!$E$2:$E$882,Vendor_Invoices_AP!$B$2:$B$882,A284)</f>
        <v>289.77</v>
      </c>
      <c r="H284" s="16" t="str">
        <f aca="false">IF(F284=0,"Not Received","Received")</f>
        <v>Received</v>
      </c>
      <c r="I284" s="16" t="str">
        <f aca="false">IF(G284=0,"Not Invoiced","Invoiced")</f>
        <v>Invoiced</v>
      </c>
      <c r="J284" s="18" t="n">
        <f aca="false">E284-F284</f>
        <v>0</v>
      </c>
      <c r="K284" s="18" t="n">
        <f aca="false">E284-G284</f>
        <v>-30.54</v>
      </c>
      <c r="L284" s="16" t="str">
        <f aca="false">IF(OR(AND(I284="Invoiced",H284="Not Received"),AND(F284&gt;0,ABS(J284)&gt;Assumptions!$B$6),AND(G284&gt;0,ABS(K284)&gt;Assumptions!$B$6)),"EXCEPTION","OK")</f>
        <v>EXCEPTION</v>
      </c>
    </row>
    <row r="285" customFormat="false" ht="15" hidden="false" customHeight="false" outlineLevel="0" collapsed="false">
      <c r="A285" s="16" t="str">
        <f aca="false">Purchase_Orders!A282</f>
        <v>PO10281</v>
      </c>
      <c r="B285" s="16" t="str">
        <f aca="false">Purchase_Orders!B282</f>
        <v>V1011</v>
      </c>
      <c r="C285" s="16" t="str">
        <f aca="false">IFERROR(INDEX(Vendor_Master!$B$2:$B$41,MATCH(B285,Vendor_Master!$A$2:$A$41,0)),"Unknown Vendor")</f>
        <v>Montgomery, Hensley and Ray</v>
      </c>
      <c r="D285" s="17" t="n">
        <f aca="false">Purchase_Orders!C282</f>
        <v>45795</v>
      </c>
      <c r="E285" s="18" t="n">
        <f aca="false">Purchase_Orders!D282</f>
        <v>325.7</v>
      </c>
      <c r="F285" s="18" t="n">
        <f aca="false">SUMIFS(Goods_Receipt_Notes!$D$2:$D$791,Goods_Receipt_Notes!$B$2:$B$791,A285)</f>
        <v>325.7</v>
      </c>
      <c r="G285" s="18" t="n">
        <f aca="false">SUMIFS(Vendor_Invoices_AP!$E$2:$E$882,Vendor_Invoices_AP!$B$2:$B$882,A285)</f>
        <v>325.7</v>
      </c>
      <c r="H285" s="16" t="str">
        <f aca="false">IF(F285=0,"Not Received","Received")</f>
        <v>Received</v>
      </c>
      <c r="I285" s="16" t="str">
        <f aca="false">IF(G285=0,"Not Invoiced","Invoiced")</f>
        <v>Invoiced</v>
      </c>
      <c r="J285" s="18" t="n">
        <f aca="false">E285-F285</f>
        <v>0</v>
      </c>
      <c r="K285" s="18" t="n">
        <f aca="false">E285-G285</f>
        <v>0</v>
      </c>
      <c r="L285" s="16" t="str">
        <f aca="false">IF(OR(AND(I285="Invoiced",H285="Not Received"),AND(F285&gt;0,ABS(J285)&gt;Assumptions!$B$6),AND(G285&gt;0,ABS(K285)&gt;Assumptions!$B$6)),"EXCEPTION","OK")</f>
        <v>OK</v>
      </c>
    </row>
    <row r="286" customFormat="false" ht="15" hidden="false" customHeight="false" outlineLevel="0" collapsed="false">
      <c r="A286" s="16" t="str">
        <f aca="false">Purchase_Orders!A283</f>
        <v>PO10282</v>
      </c>
      <c r="B286" s="16" t="str">
        <f aca="false">Purchase_Orders!B283</f>
        <v>V1031</v>
      </c>
      <c r="C286" s="16" t="str">
        <f aca="false">IFERROR(INDEX(Vendor_Master!$B$2:$B$41,MATCH(B286,Vendor_Master!$A$2:$A$41,0)),"Unknown Vendor")</f>
        <v>Harrell LLC</v>
      </c>
      <c r="D286" s="17" t="n">
        <f aca="false">Purchase_Orders!C283</f>
        <v>45723</v>
      </c>
      <c r="E286" s="18" t="n">
        <f aca="false">Purchase_Orders!D283</f>
        <v>8611.23</v>
      </c>
      <c r="F286" s="18" t="n">
        <f aca="false">SUMIFS(Goods_Receipt_Notes!$D$2:$D$791,Goods_Receipt_Notes!$B$2:$B$791,A286)</f>
        <v>0</v>
      </c>
      <c r="G286" s="18" t="n">
        <f aca="false">SUMIFS(Vendor_Invoices_AP!$E$2:$E$882,Vendor_Invoices_AP!$B$2:$B$882,A286)</f>
        <v>8611.23</v>
      </c>
      <c r="H286" s="16" t="str">
        <f aca="false">IF(F286=0,"Not Received","Received")</f>
        <v>Not Received</v>
      </c>
      <c r="I286" s="16" t="str">
        <f aca="false">IF(G286=0,"Not Invoiced","Invoiced")</f>
        <v>Invoiced</v>
      </c>
      <c r="J286" s="18" t="n">
        <f aca="false">E286-F286</f>
        <v>8611.23</v>
      </c>
      <c r="K286" s="18" t="n">
        <f aca="false">E286-G286</f>
        <v>0</v>
      </c>
      <c r="L286" s="16" t="str">
        <f aca="false">IF(OR(AND(I286="Invoiced",H286="Not Received"),AND(F286&gt;0,ABS(J286)&gt;Assumptions!$B$6),AND(G286&gt;0,ABS(K286)&gt;Assumptions!$B$6)),"EXCEPTION","OK")</f>
        <v>EXCEPTION</v>
      </c>
    </row>
    <row r="287" customFormat="false" ht="15" hidden="false" customHeight="false" outlineLevel="0" collapsed="false">
      <c r="A287" s="16" t="str">
        <f aca="false">Purchase_Orders!A284</f>
        <v>PO10283</v>
      </c>
      <c r="B287" s="16" t="str">
        <f aca="false">Purchase_Orders!B284</f>
        <v>V1005</v>
      </c>
      <c r="C287" s="16" t="str">
        <f aca="false">IFERROR(INDEX(Vendor_Master!$B$2:$B$41,MATCH(B287,Vendor_Master!$A$2:$A$41,0)),"Unknown Vendor")</f>
        <v>Cole LLC</v>
      </c>
      <c r="D287" s="17" t="n">
        <f aca="false">Purchase_Orders!C284</f>
        <v>45762</v>
      </c>
      <c r="E287" s="18" t="n">
        <f aca="false">Purchase_Orders!D284</f>
        <v>1496.91</v>
      </c>
      <c r="F287" s="18" t="n">
        <f aca="false">SUMIFS(Goods_Receipt_Notes!$D$2:$D$791,Goods_Receipt_Notes!$B$2:$B$791,A287)</f>
        <v>1496.91</v>
      </c>
      <c r="G287" s="18" t="n">
        <f aca="false">SUMIFS(Vendor_Invoices_AP!$E$2:$E$882,Vendor_Invoices_AP!$B$2:$B$882,A287)</f>
        <v>1496.91</v>
      </c>
      <c r="H287" s="16" t="str">
        <f aca="false">IF(F287=0,"Not Received","Received")</f>
        <v>Received</v>
      </c>
      <c r="I287" s="16" t="str">
        <f aca="false">IF(G287=0,"Not Invoiced","Invoiced")</f>
        <v>Invoiced</v>
      </c>
      <c r="J287" s="18" t="n">
        <f aca="false">E287-F287</f>
        <v>0</v>
      </c>
      <c r="K287" s="18" t="n">
        <f aca="false">E287-G287</f>
        <v>0</v>
      </c>
      <c r="L287" s="16" t="str">
        <f aca="false">IF(OR(AND(I287="Invoiced",H287="Not Received"),AND(F287&gt;0,ABS(J287)&gt;Assumptions!$B$6),AND(G287&gt;0,ABS(K287)&gt;Assumptions!$B$6)),"EXCEPTION","OK")</f>
        <v>OK</v>
      </c>
    </row>
    <row r="288" customFormat="false" ht="15" hidden="false" customHeight="false" outlineLevel="0" collapsed="false">
      <c r="A288" s="16" t="str">
        <f aca="false">Purchase_Orders!A285</f>
        <v>PO10284</v>
      </c>
      <c r="B288" s="16" t="str">
        <f aca="false">Purchase_Orders!B285</f>
        <v>V1031</v>
      </c>
      <c r="C288" s="16" t="str">
        <f aca="false">IFERROR(INDEX(Vendor_Master!$B$2:$B$41,MATCH(B288,Vendor_Master!$A$2:$A$41,0)),"Unknown Vendor")</f>
        <v>Harrell LLC</v>
      </c>
      <c r="D288" s="17" t="n">
        <f aca="false">Purchase_Orders!C285</f>
        <v>45723</v>
      </c>
      <c r="E288" s="18" t="n">
        <f aca="false">Purchase_Orders!D285</f>
        <v>6053.15</v>
      </c>
      <c r="F288" s="18" t="n">
        <f aca="false">SUMIFS(Goods_Receipt_Notes!$D$2:$D$791,Goods_Receipt_Notes!$B$2:$B$791,A288)</f>
        <v>6053.15</v>
      </c>
      <c r="G288" s="18" t="n">
        <f aca="false">SUMIFS(Vendor_Invoices_AP!$E$2:$E$882,Vendor_Invoices_AP!$B$2:$B$882,A288)</f>
        <v>6053.15</v>
      </c>
      <c r="H288" s="16" t="str">
        <f aca="false">IF(F288=0,"Not Received","Received")</f>
        <v>Received</v>
      </c>
      <c r="I288" s="16" t="str">
        <f aca="false">IF(G288=0,"Not Invoiced","Invoiced")</f>
        <v>Invoiced</v>
      </c>
      <c r="J288" s="18" t="n">
        <f aca="false">E288-F288</f>
        <v>0</v>
      </c>
      <c r="K288" s="18" t="n">
        <f aca="false">E288-G288</f>
        <v>0</v>
      </c>
      <c r="L288" s="16" t="str">
        <f aca="false">IF(OR(AND(I288="Invoiced",H288="Not Received"),AND(F288&gt;0,ABS(J288)&gt;Assumptions!$B$6),AND(G288&gt;0,ABS(K288)&gt;Assumptions!$B$6)),"EXCEPTION","OK")</f>
        <v>OK</v>
      </c>
    </row>
    <row r="289" customFormat="false" ht="15" hidden="false" customHeight="false" outlineLevel="0" collapsed="false">
      <c r="A289" s="16" t="str">
        <f aca="false">Purchase_Orders!A286</f>
        <v>PO10285</v>
      </c>
      <c r="B289" s="16" t="str">
        <f aca="false">Purchase_Orders!B286</f>
        <v>V1035</v>
      </c>
      <c r="C289" s="16" t="str">
        <f aca="false">IFERROR(INDEX(Vendor_Master!$B$2:$B$41,MATCH(B289,Vendor_Master!$A$2:$A$41,0)),"Unknown Vendor")</f>
        <v>Allen PLC</v>
      </c>
      <c r="D289" s="17" t="n">
        <f aca="false">Purchase_Orders!C286</f>
        <v>45950</v>
      </c>
      <c r="E289" s="18" t="n">
        <f aca="false">Purchase_Orders!D286</f>
        <v>3104.44</v>
      </c>
      <c r="F289" s="18" t="n">
        <f aca="false">SUMIFS(Goods_Receipt_Notes!$D$2:$D$791,Goods_Receipt_Notes!$B$2:$B$791,A289)</f>
        <v>3104.44</v>
      </c>
      <c r="G289" s="18" t="n">
        <f aca="false">SUMIFS(Vendor_Invoices_AP!$E$2:$E$882,Vendor_Invoices_AP!$B$2:$B$882,A289)</f>
        <v>3104.44</v>
      </c>
      <c r="H289" s="16" t="str">
        <f aca="false">IF(F289=0,"Not Received","Received")</f>
        <v>Received</v>
      </c>
      <c r="I289" s="16" t="str">
        <f aca="false">IF(G289=0,"Not Invoiced","Invoiced")</f>
        <v>Invoiced</v>
      </c>
      <c r="J289" s="18" t="n">
        <f aca="false">E289-F289</f>
        <v>0</v>
      </c>
      <c r="K289" s="18" t="n">
        <f aca="false">E289-G289</f>
        <v>0</v>
      </c>
      <c r="L289" s="16" t="str">
        <f aca="false">IF(OR(AND(I289="Invoiced",H289="Not Received"),AND(F289&gt;0,ABS(J289)&gt;Assumptions!$B$6),AND(G289&gt;0,ABS(K289)&gt;Assumptions!$B$6)),"EXCEPTION","OK")</f>
        <v>OK</v>
      </c>
    </row>
    <row r="290" customFormat="false" ht="15" hidden="false" customHeight="false" outlineLevel="0" collapsed="false">
      <c r="A290" s="16" t="str">
        <f aca="false">Purchase_Orders!A287</f>
        <v>PO10286</v>
      </c>
      <c r="B290" s="16" t="str">
        <f aca="false">Purchase_Orders!B287</f>
        <v>V1029</v>
      </c>
      <c r="C290" s="16" t="str">
        <f aca="false">IFERROR(INDEX(Vendor_Master!$B$2:$B$41,MATCH(B290,Vendor_Master!$A$2:$A$41,0)),"Unknown Vendor")</f>
        <v>Chavez Ltd</v>
      </c>
      <c r="D290" s="17" t="n">
        <f aca="false">Purchase_Orders!C287</f>
        <v>46073</v>
      </c>
      <c r="E290" s="18" t="n">
        <f aca="false">Purchase_Orders!D287</f>
        <v>1405.31</v>
      </c>
      <c r="F290" s="18" t="n">
        <f aca="false">SUMIFS(Goods_Receipt_Notes!$D$2:$D$791,Goods_Receipt_Notes!$B$2:$B$791,A290)</f>
        <v>1405.31</v>
      </c>
      <c r="G290" s="18" t="n">
        <f aca="false">SUMIFS(Vendor_Invoices_AP!$E$2:$E$882,Vendor_Invoices_AP!$B$2:$B$882,A290)</f>
        <v>1405.31</v>
      </c>
      <c r="H290" s="16" t="str">
        <f aca="false">IF(F290=0,"Not Received","Received")</f>
        <v>Received</v>
      </c>
      <c r="I290" s="16" t="str">
        <f aca="false">IF(G290=0,"Not Invoiced","Invoiced")</f>
        <v>Invoiced</v>
      </c>
      <c r="J290" s="18" t="n">
        <f aca="false">E290-F290</f>
        <v>0</v>
      </c>
      <c r="K290" s="18" t="n">
        <f aca="false">E290-G290</f>
        <v>0</v>
      </c>
      <c r="L290" s="16" t="str">
        <f aca="false">IF(OR(AND(I290="Invoiced",H290="Not Received"),AND(F290&gt;0,ABS(J290)&gt;Assumptions!$B$6),AND(G290&gt;0,ABS(K290)&gt;Assumptions!$B$6)),"EXCEPTION","OK")</f>
        <v>OK</v>
      </c>
    </row>
    <row r="291" customFormat="false" ht="15" hidden="false" customHeight="false" outlineLevel="0" collapsed="false">
      <c r="A291" s="16" t="str">
        <f aca="false">Purchase_Orders!A288</f>
        <v>PO10287</v>
      </c>
      <c r="B291" s="16" t="str">
        <f aca="false">Purchase_Orders!B288</f>
        <v>V1026</v>
      </c>
      <c r="C291" s="16" t="str">
        <f aca="false">IFERROR(INDEX(Vendor_Master!$B$2:$B$41,MATCH(B291,Vendor_Master!$A$2:$A$41,0)),"Unknown Vendor")</f>
        <v>James-Ferrell</v>
      </c>
      <c r="D291" s="17" t="n">
        <f aca="false">Purchase_Orders!C288</f>
        <v>45758</v>
      </c>
      <c r="E291" s="18" t="n">
        <f aca="false">Purchase_Orders!D288</f>
        <v>3241.37</v>
      </c>
      <c r="F291" s="18" t="n">
        <f aca="false">SUMIFS(Goods_Receipt_Notes!$D$2:$D$791,Goods_Receipt_Notes!$B$2:$B$791,A291)</f>
        <v>3241.37</v>
      </c>
      <c r="G291" s="18" t="n">
        <f aca="false">SUMIFS(Vendor_Invoices_AP!$E$2:$E$882,Vendor_Invoices_AP!$B$2:$B$882,A291)</f>
        <v>3241.37</v>
      </c>
      <c r="H291" s="16" t="str">
        <f aca="false">IF(F291=0,"Not Received","Received")</f>
        <v>Received</v>
      </c>
      <c r="I291" s="16" t="str">
        <f aca="false">IF(G291=0,"Not Invoiced","Invoiced")</f>
        <v>Invoiced</v>
      </c>
      <c r="J291" s="18" t="n">
        <f aca="false">E291-F291</f>
        <v>0</v>
      </c>
      <c r="K291" s="18" t="n">
        <f aca="false">E291-G291</f>
        <v>0</v>
      </c>
      <c r="L291" s="16" t="str">
        <f aca="false">IF(OR(AND(I291="Invoiced",H291="Not Received"),AND(F291&gt;0,ABS(J291)&gt;Assumptions!$B$6),AND(G291&gt;0,ABS(K291)&gt;Assumptions!$B$6)),"EXCEPTION","OK")</f>
        <v>OK</v>
      </c>
    </row>
    <row r="292" customFormat="false" ht="15" hidden="false" customHeight="false" outlineLevel="0" collapsed="false">
      <c r="A292" s="16" t="str">
        <f aca="false">Purchase_Orders!A289</f>
        <v>PO10288</v>
      </c>
      <c r="B292" s="16" t="str">
        <f aca="false">Purchase_Orders!B289</f>
        <v>V1036</v>
      </c>
      <c r="C292" s="16" t="str">
        <f aca="false">IFERROR(INDEX(Vendor_Master!$B$2:$B$41,MATCH(B292,Vendor_Master!$A$2:$A$41,0)),"Unknown Vendor")</f>
        <v>Dennis Inc</v>
      </c>
      <c r="D292" s="17" t="n">
        <f aca="false">Purchase_Orders!C289</f>
        <v>45775</v>
      </c>
      <c r="E292" s="18" t="n">
        <f aca="false">Purchase_Orders!D289</f>
        <v>871.5</v>
      </c>
      <c r="F292" s="18" t="n">
        <f aca="false">SUMIFS(Goods_Receipt_Notes!$D$2:$D$791,Goods_Receipt_Notes!$B$2:$B$791,A292)</f>
        <v>871.5</v>
      </c>
      <c r="G292" s="18" t="n">
        <f aca="false">SUMIFS(Vendor_Invoices_AP!$E$2:$E$882,Vendor_Invoices_AP!$B$2:$B$882,A292)</f>
        <v>871.5</v>
      </c>
      <c r="H292" s="16" t="str">
        <f aca="false">IF(F292=0,"Not Received","Received")</f>
        <v>Received</v>
      </c>
      <c r="I292" s="16" t="str">
        <f aca="false">IF(G292=0,"Not Invoiced","Invoiced")</f>
        <v>Invoiced</v>
      </c>
      <c r="J292" s="18" t="n">
        <f aca="false">E292-F292</f>
        <v>0</v>
      </c>
      <c r="K292" s="18" t="n">
        <f aca="false">E292-G292</f>
        <v>0</v>
      </c>
      <c r="L292" s="16" t="str">
        <f aca="false">IF(OR(AND(I292="Invoiced",H292="Not Received"),AND(F292&gt;0,ABS(J292)&gt;Assumptions!$B$6),AND(G292&gt;0,ABS(K292)&gt;Assumptions!$B$6)),"EXCEPTION","OK")</f>
        <v>OK</v>
      </c>
    </row>
    <row r="293" customFormat="false" ht="15" hidden="false" customHeight="false" outlineLevel="0" collapsed="false">
      <c r="A293" s="16" t="str">
        <f aca="false">Purchase_Orders!A290</f>
        <v>PO10289</v>
      </c>
      <c r="B293" s="16" t="str">
        <f aca="false">Purchase_Orders!B290</f>
        <v>V1019</v>
      </c>
      <c r="C293" s="16" t="str">
        <f aca="false">IFERROR(INDEX(Vendor_Master!$B$2:$B$41,MATCH(B293,Vendor_Master!$A$2:$A$41,0)),"Unknown Vendor")</f>
        <v>Clark PLC</v>
      </c>
      <c r="D293" s="17" t="n">
        <f aca="false">Purchase_Orders!C290</f>
        <v>45921</v>
      </c>
      <c r="E293" s="18" t="n">
        <f aca="false">Purchase_Orders!D290</f>
        <v>594.01</v>
      </c>
      <c r="F293" s="18" t="n">
        <f aca="false">SUMIFS(Goods_Receipt_Notes!$D$2:$D$791,Goods_Receipt_Notes!$B$2:$B$791,A293)</f>
        <v>594.01</v>
      </c>
      <c r="G293" s="18" t="n">
        <f aca="false">SUMIFS(Vendor_Invoices_AP!$E$2:$E$882,Vendor_Invoices_AP!$B$2:$B$882,A293)</f>
        <v>651.66</v>
      </c>
      <c r="H293" s="16" t="str">
        <f aca="false">IF(F293=0,"Not Received","Received")</f>
        <v>Received</v>
      </c>
      <c r="I293" s="16" t="str">
        <f aca="false">IF(G293=0,"Not Invoiced","Invoiced")</f>
        <v>Invoiced</v>
      </c>
      <c r="J293" s="18" t="n">
        <f aca="false">E293-F293</f>
        <v>0</v>
      </c>
      <c r="K293" s="18" t="n">
        <f aca="false">E293-G293</f>
        <v>-57.65</v>
      </c>
      <c r="L293" s="16" t="str">
        <f aca="false">IF(OR(AND(I293="Invoiced",H293="Not Received"),AND(F293&gt;0,ABS(J293)&gt;Assumptions!$B$6),AND(G293&gt;0,ABS(K293)&gt;Assumptions!$B$6)),"EXCEPTION","OK")</f>
        <v>EXCEPTION</v>
      </c>
    </row>
    <row r="294" customFormat="false" ht="15" hidden="false" customHeight="false" outlineLevel="0" collapsed="false">
      <c r="A294" s="16" t="str">
        <f aca="false">Purchase_Orders!A291</f>
        <v>PO10290</v>
      </c>
      <c r="B294" s="16" t="str">
        <f aca="false">Purchase_Orders!B291</f>
        <v>V1027</v>
      </c>
      <c r="C294" s="16" t="str">
        <f aca="false">IFERROR(INDEX(Vendor_Master!$B$2:$B$41,MATCH(B294,Vendor_Master!$A$2:$A$41,0)),"Unknown Vendor")</f>
        <v>Valencia, Smith and Le</v>
      </c>
      <c r="D294" s="17" t="n">
        <f aca="false">Purchase_Orders!C291</f>
        <v>46052</v>
      </c>
      <c r="E294" s="18" t="n">
        <f aca="false">Purchase_Orders!D291</f>
        <v>2962.24</v>
      </c>
      <c r="F294" s="18" t="n">
        <f aca="false">SUMIFS(Goods_Receipt_Notes!$D$2:$D$791,Goods_Receipt_Notes!$B$2:$B$791,A294)</f>
        <v>1571.14</v>
      </c>
      <c r="G294" s="18" t="n">
        <f aca="false">SUMIFS(Vendor_Invoices_AP!$E$2:$E$882,Vendor_Invoices_AP!$B$2:$B$882,A294)</f>
        <v>2962.24</v>
      </c>
      <c r="H294" s="16" t="str">
        <f aca="false">IF(F294=0,"Not Received","Received")</f>
        <v>Received</v>
      </c>
      <c r="I294" s="16" t="str">
        <f aca="false">IF(G294=0,"Not Invoiced","Invoiced")</f>
        <v>Invoiced</v>
      </c>
      <c r="J294" s="18" t="n">
        <f aca="false">E294-F294</f>
        <v>1391.1</v>
      </c>
      <c r="K294" s="18" t="n">
        <f aca="false">E294-G294</f>
        <v>0</v>
      </c>
      <c r="L294" s="16" t="str">
        <f aca="false">IF(OR(AND(I294="Invoiced",H294="Not Received"),AND(F294&gt;0,ABS(J294)&gt;Assumptions!$B$6),AND(G294&gt;0,ABS(K294)&gt;Assumptions!$B$6)),"EXCEPTION","OK")</f>
        <v>EXCEPTION</v>
      </c>
    </row>
    <row r="295" customFormat="false" ht="15" hidden="false" customHeight="false" outlineLevel="0" collapsed="false">
      <c r="A295" s="16" t="str">
        <f aca="false">Purchase_Orders!A292</f>
        <v>PO10291</v>
      </c>
      <c r="B295" s="16" t="str">
        <f aca="false">Purchase_Orders!B292</f>
        <v>V1029</v>
      </c>
      <c r="C295" s="16" t="str">
        <f aca="false">IFERROR(INDEX(Vendor_Master!$B$2:$B$41,MATCH(B295,Vendor_Master!$A$2:$A$41,0)),"Unknown Vendor")</f>
        <v>Chavez Ltd</v>
      </c>
      <c r="D295" s="17" t="n">
        <f aca="false">Purchase_Orders!C292</f>
        <v>46190</v>
      </c>
      <c r="E295" s="18" t="n">
        <f aca="false">Purchase_Orders!D292</f>
        <v>201.83</v>
      </c>
      <c r="F295" s="18" t="n">
        <f aca="false">SUMIFS(Goods_Receipt_Notes!$D$2:$D$791,Goods_Receipt_Notes!$B$2:$B$791,A295)</f>
        <v>201.83</v>
      </c>
      <c r="G295" s="18" t="n">
        <f aca="false">SUMIFS(Vendor_Invoices_AP!$E$2:$E$882,Vendor_Invoices_AP!$B$2:$B$882,A295)</f>
        <v>201.83</v>
      </c>
      <c r="H295" s="16" t="str">
        <f aca="false">IF(F295=0,"Not Received","Received")</f>
        <v>Received</v>
      </c>
      <c r="I295" s="16" t="str">
        <f aca="false">IF(G295=0,"Not Invoiced","Invoiced")</f>
        <v>Invoiced</v>
      </c>
      <c r="J295" s="18" t="n">
        <f aca="false">E295-F295</f>
        <v>0</v>
      </c>
      <c r="K295" s="18" t="n">
        <f aca="false">E295-G295</f>
        <v>0</v>
      </c>
      <c r="L295" s="16" t="str">
        <f aca="false">IF(OR(AND(I295="Invoiced",H295="Not Received"),AND(F295&gt;0,ABS(J295)&gt;Assumptions!$B$6),AND(G295&gt;0,ABS(K295)&gt;Assumptions!$B$6)),"EXCEPTION","OK")</f>
        <v>OK</v>
      </c>
    </row>
    <row r="296" customFormat="false" ht="15" hidden="false" customHeight="false" outlineLevel="0" collapsed="false">
      <c r="A296" s="16" t="str">
        <f aca="false">Purchase_Orders!A293</f>
        <v>PO10292</v>
      </c>
      <c r="B296" s="16" t="str">
        <f aca="false">Purchase_Orders!B293</f>
        <v>V1022</v>
      </c>
      <c r="C296" s="16" t="str">
        <f aca="false">IFERROR(INDEX(Vendor_Master!$B$2:$B$41,MATCH(B296,Vendor_Master!$A$2:$A$41,0)),"Unknown Vendor")</f>
        <v>Burgess-Patterson</v>
      </c>
      <c r="D296" s="17" t="n">
        <f aca="false">Purchase_Orders!C293</f>
        <v>45943</v>
      </c>
      <c r="E296" s="18" t="n">
        <f aca="false">Purchase_Orders!D293</f>
        <v>7560.72</v>
      </c>
      <c r="F296" s="18" t="n">
        <f aca="false">SUMIFS(Goods_Receipt_Notes!$D$2:$D$791,Goods_Receipt_Notes!$B$2:$B$791,A296)</f>
        <v>7560.72</v>
      </c>
      <c r="G296" s="18" t="n">
        <f aca="false">SUMIFS(Vendor_Invoices_AP!$E$2:$E$882,Vendor_Invoices_AP!$B$2:$B$882,A296)</f>
        <v>7560.72</v>
      </c>
      <c r="H296" s="16" t="str">
        <f aca="false">IF(F296=0,"Not Received","Received")</f>
        <v>Received</v>
      </c>
      <c r="I296" s="16" t="str">
        <f aca="false">IF(G296=0,"Not Invoiced","Invoiced")</f>
        <v>Invoiced</v>
      </c>
      <c r="J296" s="18" t="n">
        <f aca="false">E296-F296</f>
        <v>0</v>
      </c>
      <c r="K296" s="18" t="n">
        <f aca="false">E296-G296</f>
        <v>0</v>
      </c>
      <c r="L296" s="16" t="str">
        <f aca="false">IF(OR(AND(I296="Invoiced",H296="Not Received"),AND(F296&gt;0,ABS(J296)&gt;Assumptions!$B$6),AND(G296&gt;0,ABS(K296)&gt;Assumptions!$B$6)),"EXCEPTION","OK")</f>
        <v>OK</v>
      </c>
    </row>
    <row r="297" customFormat="false" ht="15" hidden="false" customHeight="false" outlineLevel="0" collapsed="false">
      <c r="A297" s="16" t="str">
        <f aca="false">Purchase_Orders!A294</f>
        <v>PO10293</v>
      </c>
      <c r="B297" s="16" t="str">
        <f aca="false">Purchase_Orders!B294</f>
        <v>V1032</v>
      </c>
      <c r="C297" s="16" t="str">
        <f aca="false">IFERROR(INDEX(Vendor_Master!$B$2:$B$41,MATCH(B297,Vendor_Master!$A$2:$A$41,0)),"Unknown Vendor")</f>
        <v>Lynch, Hernandez and Farmer</v>
      </c>
      <c r="D297" s="17" t="n">
        <f aca="false">Purchase_Orders!C294</f>
        <v>45812</v>
      </c>
      <c r="E297" s="18" t="n">
        <f aca="false">Purchase_Orders!D294</f>
        <v>2957.14</v>
      </c>
      <c r="F297" s="18" t="n">
        <f aca="false">SUMIFS(Goods_Receipt_Notes!$D$2:$D$791,Goods_Receipt_Notes!$B$2:$B$791,A297)</f>
        <v>2957.14</v>
      </c>
      <c r="G297" s="18" t="n">
        <f aca="false">SUMIFS(Vendor_Invoices_AP!$E$2:$E$882,Vendor_Invoices_AP!$B$2:$B$882,A297)</f>
        <v>2957.14</v>
      </c>
      <c r="H297" s="16" t="str">
        <f aca="false">IF(F297=0,"Not Received","Received")</f>
        <v>Received</v>
      </c>
      <c r="I297" s="16" t="str">
        <f aca="false">IF(G297=0,"Not Invoiced","Invoiced")</f>
        <v>Invoiced</v>
      </c>
      <c r="J297" s="18" t="n">
        <f aca="false">E297-F297</f>
        <v>0</v>
      </c>
      <c r="K297" s="18" t="n">
        <f aca="false">E297-G297</f>
        <v>0</v>
      </c>
      <c r="L297" s="16" t="str">
        <f aca="false">IF(OR(AND(I297="Invoiced",H297="Not Received"),AND(F297&gt;0,ABS(J297)&gt;Assumptions!$B$6),AND(G297&gt;0,ABS(K297)&gt;Assumptions!$B$6)),"EXCEPTION","OK")</f>
        <v>OK</v>
      </c>
    </row>
    <row r="298" customFormat="false" ht="15" hidden="false" customHeight="false" outlineLevel="0" collapsed="false">
      <c r="A298" s="16" t="str">
        <f aca="false">Purchase_Orders!A295</f>
        <v>PO10294</v>
      </c>
      <c r="B298" s="16" t="str">
        <f aca="false">Purchase_Orders!B295</f>
        <v>V1023</v>
      </c>
      <c r="C298" s="16" t="str">
        <f aca="false">IFERROR(INDEX(Vendor_Master!$B$2:$B$41,MATCH(B298,Vendor_Master!$A$2:$A$41,0)),"Unknown Vendor")</f>
        <v>Robinson-Bright</v>
      </c>
      <c r="D298" s="17" t="n">
        <f aca="false">Purchase_Orders!C295</f>
        <v>45712</v>
      </c>
      <c r="E298" s="18" t="n">
        <f aca="false">Purchase_Orders!D295</f>
        <v>1792.24</v>
      </c>
      <c r="F298" s="18" t="n">
        <f aca="false">SUMIFS(Goods_Receipt_Notes!$D$2:$D$791,Goods_Receipt_Notes!$B$2:$B$791,A298)</f>
        <v>1792.24</v>
      </c>
      <c r="G298" s="18" t="n">
        <f aca="false">SUMIFS(Vendor_Invoices_AP!$E$2:$E$882,Vendor_Invoices_AP!$B$2:$B$882,A298)</f>
        <v>1792.24</v>
      </c>
      <c r="H298" s="16" t="str">
        <f aca="false">IF(F298=0,"Not Received","Received")</f>
        <v>Received</v>
      </c>
      <c r="I298" s="16" t="str">
        <f aca="false">IF(G298=0,"Not Invoiced","Invoiced")</f>
        <v>Invoiced</v>
      </c>
      <c r="J298" s="18" t="n">
        <f aca="false">E298-F298</f>
        <v>0</v>
      </c>
      <c r="K298" s="18" t="n">
        <f aca="false">E298-G298</f>
        <v>0</v>
      </c>
      <c r="L298" s="16" t="str">
        <f aca="false">IF(OR(AND(I298="Invoiced",H298="Not Received"),AND(F298&gt;0,ABS(J298)&gt;Assumptions!$B$6),AND(G298&gt;0,ABS(K298)&gt;Assumptions!$B$6)),"EXCEPTION","OK")</f>
        <v>OK</v>
      </c>
    </row>
    <row r="299" customFormat="false" ht="15" hidden="false" customHeight="false" outlineLevel="0" collapsed="false">
      <c r="A299" s="16" t="str">
        <f aca="false">Purchase_Orders!A296</f>
        <v>PO10295</v>
      </c>
      <c r="B299" s="16" t="str">
        <f aca="false">Purchase_Orders!B296</f>
        <v>V1034</v>
      </c>
      <c r="C299" s="16" t="str">
        <f aca="false">IFERROR(INDEX(Vendor_Master!$B$2:$B$41,MATCH(B299,Vendor_Master!$A$2:$A$41,0)),"Unknown Vendor")</f>
        <v>Koch-Decker</v>
      </c>
      <c r="D299" s="17" t="n">
        <f aca="false">Purchase_Orders!C296</f>
        <v>45763</v>
      </c>
      <c r="E299" s="18" t="n">
        <f aca="false">Purchase_Orders!D296</f>
        <v>3587.55</v>
      </c>
      <c r="F299" s="18" t="n">
        <f aca="false">SUMIFS(Goods_Receipt_Notes!$D$2:$D$791,Goods_Receipt_Notes!$B$2:$B$791,A299)</f>
        <v>3587.55</v>
      </c>
      <c r="G299" s="18" t="n">
        <f aca="false">SUMIFS(Vendor_Invoices_AP!$E$2:$E$882,Vendor_Invoices_AP!$B$2:$B$882,A299)</f>
        <v>3587.55</v>
      </c>
      <c r="H299" s="16" t="str">
        <f aca="false">IF(F299=0,"Not Received","Received")</f>
        <v>Received</v>
      </c>
      <c r="I299" s="16" t="str">
        <f aca="false">IF(G299=0,"Not Invoiced","Invoiced")</f>
        <v>Invoiced</v>
      </c>
      <c r="J299" s="18" t="n">
        <f aca="false">E299-F299</f>
        <v>0</v>
      </c>
      <c r="K299" s="18" t="n">
        <f aca="false">E299-G299</f>
        <v>0</v>
      </c>
      <c r="L299" s="16" t="str">
        <f aca="false">IF(OR(AND(I299="Invoiced",H299="Not Received"),AND(F299&gt;0,ABS(J299)&gt;Assumptions!$B$6),AND(G299&gt;0,ABS(K299)&gt;Assumptions!$B$6)),"EXCEPTION","OK")</f>
        <v>OK</v>
      </c>
    </row>
    <row r="300" customFormat="false" ht="15" hidden="false" customHeight="false" outlineLevel="0" collapsed="false">
      <c r="A300" s="16" t="str">
        <f aca="false">Purchase_Orders!A297</f>
        <v>PO10296</v>
      </c>
      <c r="B300" s="16" t="str">
        <f aca="false">Purchase_Orders!B297</f>
        <v>V1027</v>
      </c>
      <c r="C300" s="16" t="str">
        <f aca="false">IFERROR(INDEX(Vendor_Master!$B$2:$B$41,MATCH(B300,Vendor_Master!$A$2:$A$41,0)),"Unknown Vendor")</f>
        <v>Valencia, Smith and Le</v>
      </c>
      <c r="D300" s="17" t="n">
        <f aca="false">Purchase_Orders!C297</f>
        <v>45781</v>
      </c>
      <c r="E300" s="18" t="n">
        <f aca="false">Purchase_Orders!D297</f>
        <v>13244.8</v>
      </c>
      <c r="F300" s="18" t="n">
        <f aca="false">SUMIFS(Goods_Receipt_Notes!$D$2:$D$791,Goods_Receipt_Notes!$B$2:$B$791,A300)</f>
        <v>13244.8</v>
      </c>
      <c r="G300" s="18" t="n">
        <f aca="false">SUMIFS(Vendor_Invoices_AP!$E$2:$E$882,Vendor_Invoices_AP!$B$2:$B$882,A300)</f>
        <v>13244.8</v>
      </c>
      <c r="H300" s="16" t="str">
        <f aca="false">IF(F300=0,"Not Received","Received")</f>
        <v>Received</v>
      </c>
      <c r="I300" s="16" t="str">
        <f aca="false">IF(G300=0,"Not Invoiced","Invoiced")</f>
        <v>Invoiced</v>
      </c>
      <c r="J300" s="18" t="n">
        <f aca="false">E300-F300</f>
        <v>0</v>
      </c>
      <c r="K300" s="18" t="n">
        <f aca="false">E300-G300</f>
        <v>0</v>
      </c>
      <c r="L300" s="16" t="str">
        <f aca="false">IF(OR(AND(I300="Invoiced",H300="Not Received"),AND(F300&gt;0,ABS(J300)&gt;Assumptions!$B$6),AND(G300&gt;0,ABS(K300)&gt;Assumptions!$B$6)),"EXCEPTION","OK")</f>
        <v>OK</v>
      </c>
    </row>
    <row r="301" customFormat="false" ht="15" hidden="false" customHeight="false" outlineLevel="0" collapsed="false">
      <c r="A301" s="16" t="str">
        <f aca="false">Purchase_Orders!A298</f>
        <v>PO10297</v>
      </c>
      <c r="B301" s="16" t="str">
        <f aca="false">Purchase_Orders!B298</f>
        <v>V1035</v>
      </c>
      <c r="C301" s="16" t="str">
        <f aca="false">IFERROR(INDEX(Vendor_Master!$B$2:$B$41,MATCH(B301,Vendor_Master!$A$2:$A$41,0)),"Unknown Vendor")</f>
        <v>Allen PLC</v>
      </c>
      <c r="D301" s="17" t="n">
        <f aca="false">Purchase_Orders!C298</f>
        <v>45755</v>
      </c>
      <c r="E301" s="18" t="n">
        <f aca="false">Purchase_Orders!D298</f>
        <v>810.36</v>
      </c>
      <c r="F301" s="18" t="n">
        <f aca="false">SUMIFS(Goods_Receipt_Notes!$D$2:$D$791,Goods_Receipt_Notes!$B$2:$B$791,A301)</f>
        <v>810.36</v>
      </c>
      <c r="G301" s="18" t="n">
        <f aca="false">SUMIFS(Vendor_Invoices_AP!$E$2:$E$882,Vendor_Invoices_AP!$B$2:$B$882,A301)</f>
        <v>810.36</v>
      </c>
      <c r="H301" s="16" t="str">
        <f aca="false">IF(F301=0,"Not Received","Received")</f>
        <v>Received</v>
      </c>
      <c r="I301" s="16" t="str">
        <f aca="false">IF(G301=0,"Not Invoiced","Invoiced")</f>
        <v>Invoiced</v>
      </c>
      <c r="J301" s="18" t="n">
        <f aca="false">E301-F301</f>
        <v>0</v>
      </c>
      <c r="K301" s="18" t="n">
        <f aca="false">E301-G301</f>
        <v>0</v>
      </c>
      <c r="L301" s="16" t="str">
        <f aca="false">IF(OR(AND(I301="Invoiced",H301="Not Received"),AND(F301&gt;0,ABS(J301)&gt;Assumptions!$B$6),AND(G301&gt;0,ABS(K301)&gt;Assumptions!$B$6)),"EXCEPTION","OK")</f>
        <v>OK</v>
      </c>
    </row>
    <row r="302" customFormat="false" ht="15" hidden="false" customHeight="false" outlineLevel="0" collapsed="false">
      <c r="A302" s="16" t="str">
        <f aca="false">Purchase_Orders!A299</f>
        <v>PO10298</v>
      </c>
      <c r="B302" s="16" t="str">
        <f aca="false">Purchase_Orders!B299</f>
        <v>V1009</v>
      </c>
      <c r="C302" s="16" t="str">
        <f aca="false">IFERROR(INDEX(Vendor_Master!$B$2:$B$41,MATCH(B302,Vendor_Master!$A$2:$A$41,0)),"Unknown Vendor")</f>
        <v>Munoz-Roman</v>
      </c>
      <c r="D302" s="17" t="n">
        <f aca="false">Purchase_Orders!C299</f>
        <v>45665</v>
      </c>
      <c r="E302" s="18" t="n">
        <f aca="false">Purchase_Orders!D299</f>
        <v>256.08</v>
      </c>
      <c r="F302" s="18" t="n">
        <f aca="false">SUMIFS(Goods_Receipt_Notes!$D$2:$D$791,Goods_Receipt_Notes!$B$2:$B$791,A302)</f>
        <v>0</v>
      </c>
      <c r="G302" s="18" t="n">
        <f aca="false">SUMIFS(Vendor_Invoices_AP!$E$2:$E$882,Vendor_Invoices_AP!$B$2:$B$882,A302)</f>
        <v>512.16</v>
      </c>
      <c r="H302" s="16" t="str">
        <f aca="false">IF(F302=0,"Not Received","Received")</f>
        <v>Not Received</v>
      </c>
      <c r="I302" s="16" t="str">
        <f aca="false">IF(G302=0,"Not Invoiced","Invoiced")</f>
        <v>Invoiced</v>
      </c>
      <c r="J302" s="18" t="n">
        <f aca="false">E302-F302</f>
        <v>256.08</v>
      </c>
      <c r="K302" s="18" t="n">
        <f aca="false">E302-G302</f>
        <v>-256.08</v>
      </c>
      <c r="L302" s="16" t="str">
        <f aca="false">IF(OR(AND(I302="Invoiced",H302="Not Received"),AND(F302&gt;0,ABS(J302)&gt;Assumptions!$B$6),AND(G302&gt;0,ABS(K302)&gt;Assumptions!$B$6)),"EXCEPTION","OK")</f>
        <v>EXCEPTION</v>
      </c>
    </row>
    <row r="303" customFormat="false" ht="15" hidden="false" customHeight="false" outlineLevel="0" collapsed="false">
      <c r="A303" s="16" t="str">
        <f aca="false">Purchase_Orders!A300</f>
        <v>PO10299</v>
      </c>
      <c r="B303" s="16" t="str">
        <f aca="false">Purchase_Orders!B300</f>
        <v>V1010</v>
      </c>
      <c r="C303" s="16" t="str">
        <f aca="false">IFERROR(INDEX(Vendor_Master!$B$2:$B$41,MATCH(B303,Vendor_Master!$A$2:$A$41,0)),"Unknown Vendor")</f>
        <v>Martinez, Nielsen and Miller</v>
      </c>
      <c r="D303" s="17" t="n">
        <f aca="false">Purchase_Orders!C300</f>
        <v>45949</v>
      </c>
      <c r="E303" s="18" t="n">
        <f aca="false">Purchase_Orders!D300</f>
        <v>8486.94</v>
      </c>
      <c r="F303" s="18" t="n">
        <f aca="false">SUMIFS(Goods_Receipt_Notes!$D$2:$D$791,Goods_Receipt_Notes!$B$2:$B$791,A303)</f>
        <v>8486.94</v>
      </c>
      <c r="G303" s="18" t="n">
        <f aca="false">SUMIFS(Vendor_Invoices_AP!$E$2:$E$882,Vendor_Invoices_AP!$B$2:$B$882,A303)</f>
        <v>8486.94</v>
      </c>
      <c r="H303" s="16" t="str">
        <f aca="false">IF(F303=0,"Not Received","Received")</f>
        <v>Received</v>
      </c>
      <c r="I303" s="16" t="str">
        <f aca="false">IF(G303=0,"Not Invoiced","Invoiced")</f>
        <v>Invoiced</v>
      </c>
      <c r="J303" s="18" t="n">
        <f aca="false">E303-F303</f>
        <v>0</v>
      </c>
      <c r="K303" s="18" t="n">
        <f aca="false">E303-G303</f>
        <v>0</v>
      </c>
      <c r="L303" s="16" t="str">
        <f aca="false">IF(OR(AND(I303="Invoiced",H303="Not Received"),AND(F303&gt;0,ABS(J303)&gt;Assumptions!$B$6),AND(G303&gt;0,ABS(K303)&gt;Assumptions!$B$6)),"EXCEPTION","OK")</f>
        <v>OK</v>
      </c>
    </row>
    <row r="304" customFormat="false" ht="15" hidden="false" customHeight="false" outlineLevel="0" collapsed="false">
      <c r="A304" s="16" t="str">
        <f aca="false">Purchase_Orders!A301</f>
        <v>PO10300</v>
      </c>
      <c r="B304" s="16" t="str">
        <f aca="false">Purchase_Orders!B301</f>
        <v>V1013</v>
      </c>
      <c r="C304" s="16" t="str">
        <f aca="false">IFERROR(INDEX(Vendor_Master!$B$2:$B$41,MATCH(B304,Vendor_Master!$A$2:$A$41,0)),"Unknown Vendor")</f>
        <v>Delacruz Group</v>
      </c>
      <c r="D304" s="17" t="n">
        <f aca="false">Purchase_Orders!C301</f>
        <v>45807</v>
      </c>
      <c r="E304" s="18" t="n">
        <f aca="false">Purchase_Orders!D301</f>
        <v>3079.87</v>
      </c>
      <c r="F304" s="18" t="n">
        <f aca="false">SUMIFS(Goods_Receipt_Notes!$D$2:$D$791,Goods_Receipt_Notes!$B$2:$B$791,A304)</f>
        <v>3079.87</v>
      </c>
      <c r="G304" s="18" t="n">
        <f aca="false">SUMIFS(Vendor_Invoices_AP!$E$2:$E$882,Vendor_Invoices_AP!$B$2:$B$882,A304)</f>
        <v>3079.87</v>
      </c>
      <c r="H304" s="16" t="str">
        <f aca="false">IF(F304=0,"Not Received","Received")</f>
        <v>Received</v>
      </c>
      <c r="I304" s="16" t="str">
        <f aca="false">IF(G304=0,"Not Invoiced","Invoiced")</f>
        <v>Invoiced</v>
      </c>
      <c r="J304" s="18" t="n">
        <f aca="false">E304-F304</f>
        <v>0</v>
      </c>
      <c r="K304" s="18" t="n">
        <f aca="false">E304-G304</f>
        <v>0</v>
      </c>
      <c r="L304" s="16" t="str">
        <f aca="false">IF(OR(AND(I304="Invoiced",H304="Not Received"),AND(F304&gt;0,ABS(J304)&gt;Assumptions!$B$6),AND(G304&gt;0,ABS(K304)&gt;Assumptions!$B$6)),"EXCEPTION","OK")</f>
        <v>OK</v>
      </c>
    </row>
    <row r="305" customFormat="false" ht="15" hidden="false" customHeight="false" outlineLevel="0" collapsed="false">
      <c r="A305" s="16" t="str">
        <f aca="false">Purchase_Orders!A302</f>
        <v>PO10301</v>
      </c>
      <c r="B305" s="16" t="str">
        <f aca="false">Purchase_Orders!B302</f>
        <v>V1018</v>
      </c>
      <c r="C305" s="16" t="str">
        <f aca="false">IFERROR(INDEX(Vendor_Master!$B$2:$B$41,MATCH(B305,Vendor_Master!$A$2:$A$41,0)),"Unknown Vendor")</f>
        <v>Underwood LLC</v>
      </c>
      <c r="D305" s="17" t="n">
        <f aca="false">Purchase_Orders!C302</f>
        <v>46188</v>
      </c>
      <c r="E305" s="18" t="n">
        <f aca="false">Purchase_Orders!D302</f>
        <v>1424.65</v>
      </c>
      <c r="F305" s="18" t="n">
        <f aca="false">SUMIFS(Goods_Receipt_Notes!$D$2:$D$791,Goods_Receipt_Notes!$B$2:$B$791,A305)</f>
        <v>1424.65</v>
      </c>
      <c r="G305" s="18" t="n">
        <f aca="false">SUMIFS(Vendor_Invoices_AP!$E$2:$E$882,Vendor_Invoices_AP!$B$2:$B$882,A305)</f>
        <v>1424.65</v>
      </c>
      <c r="H305" s="16" t="str">
        <f aca="false">IF(F305=0,"Not Received","Received")</f>
        <v>Received</v>
      </c>
      <c r="I305" s="16" t="str">
        <f aca="false">IF(G305=0,"Not Invoiced","Invoiced")</f>
        <v>Invoiced</v>
      </c>
      <c r="J305" s="18" t="n">
        <f aca="false">E305-F305</f>
        <v>0</v>
      </c>
      <c r="K305" s="18" t="n">
        <f aca="false">E305-G305</f>
        <v>0</v>
      </c>
      <c r="L305" s="16" t="str">
        <f aca="false">IF(OR(AND(I305="Invoiced",H305="Not Received"),AND(F305&gt;0,ABS(J305)&gt;Assumptions!$B$6),AND(G305&gt;0,ABS(K305)&gt;Assumptions!$B$6)),"EXCEPTION","OK")</f>
        <v>OK</v>
      </c>
    </row>
    <row r="306" customFormat="false" ht="15" hidden="false" customHeight="false" outlineLevel="0" collapsed="false">
      <c r="A306" s="16" t="str">
        <f aca="false">Purchase_Orders!A303</f>
        <v>PO10302</v>
      </c>
      <c r="B306" s="16" t="str">
        <f aca="false">Purchase_Orders!B303</f>
        <v>V1037</v>
      </c>
      <c r="C306" s="16" t="str">
        <f aca="false">IFERROR(INDEX(Vendor_Master!$B$2:$B$41,MATCH(B306,Vendor_Master!$A$2:$A$41,0)),"Unknown Vendor")</f>
        <v>Cannon, Anderson and Alvarez</v>
      </c>
      <c r="D306" s="17" t="n">
        <f aca="false">Purchase_Orders!C303</f>
        <v>45959</v>
      </c>
      <c r="E306" s="18" t="n">
        <f aca="false">Purchase_Orders!D303</f>
        <v>4491.48</v>
      </c>
      <c r="F306" s="18" t="n">
        <f aca="false">SUMIFS(Goods_Receipt_Notes!$D$2:$D$791,Goods_Receipt_Notes!$B$2:$B$791,A306)</f>
        <v>4491.48</v>
      </c>
      <c r="G306" s="18" t="n">
        <f aca="false">SUMIFS(Vendor_Invoices_AP!$E$2:$E$882,Vendor_Invoices_AP!$B$2:$B$882,A306)</f>
        <v>4491.48</v>
      </c>
      <c r="H306" s="16" t="str">
        <f aca="false">IF(F306=0,"Not Received","Received")</f>
        <v>Received</v>
      </c>
      <c r="I306" s="16" t="str">
        <f aca="false">IF(G306=0,"Not Invoiced","Invoiced")</f>
        <v>Invoiced</v>
      </c>
      <c r="J306" s="18" t="n">
        <f aca="false">E306-F306</f>
        <v>0</v>
      </c>
      <c r="K306" s="18" t="n">
        <f aca="false">E306-G306</f>
        <v>0</v>
      </c>
      <c r="L306" s="16" t="str">
        <f aca="false">IF(OR(AND(I306="Invoiced",H306="Not Received"),AND(F306&gt;0,ABS(J306)&gt;Assumptions!$B$6),AND(G306&gt;0,ABS(K306)&gt;Assumptions!$B$6)),"EXCEPTION","OK")</f>
        <v>OK</v>
      </c>
    </row>
    <row r="307" customFormat="false" ht="15" hidden="false" customHeight="false" outlineLevel="0" collapsed="false">
      <c r="A307" s="16" t="str">
        <f aca="false">Purchase_Orders!A304</f>
        <v>PO10303</v>
      </c>
      <c r="B307" s="16" t="str">
        <f aca="false">Purchase_Orders!B304</f>
        <v>V1005</v>
      </c>
      <c r="C307" s="16" t="str">
        <f aca="false">IFERROR(INDEX(Vendor_Master!$B$2:$B$41,MATCH(B307,Vendor_Master!$A$2:$A$41,0)),"Unknown Vendor")</f>
        <v>Cole LLC</v>
      </c>
      <c r="D307" s="17" t="n">
        <f aca="false">Purchase_Orders!C304</f>
        <v>46038</v>
      </c>
      <c r="E307" s="18" t="n">
        <f aca="false">Purchase_Orders!D304</f>
        <v>1494.98</v>
      </c>
      <c r="F307" s="18" t="n">
        <f aca="false">SUMIFS(Goods_Receipt_Notes!$D$2:$D$791,Goods_Receipt_Notes!$B$2:$B$791,A307)</f>
        <v>1494.98</v>
      </c>
      <c r="G307" s="18" t="n">
        <f aca="false">SUMIFS(Vendor_Invoices_AP!$E$2:$E$882,Vendor_Invoices_AP!$B$2:$B$882,A307)</f>
        <v>1494.98</v>
      </c>
      <c r="H307" s="16" t="str">
        <f aca="false">IF(F307=0,"Not Received","Received")</f>
        <v>Received</v>
      </c>
      <c r="I307" s="16" t="str">
        <f aca="false">IF(G307=0,"Not Invoiced","Invoiced")</f>
        <v>Invoiced</v>
      </c>
      <c r="J307" s="18" t="n">
        <f aca="false">E307-F307</f>
        <v>0</v>
      </c>
      <c r="K307" s="18" t="n">
        <f aca="false">E307-G307</f>
        <v>0</v>
      </c>
      <c r="L307" s="16" t="str">
        <f aca="false">IF(OR(AND(I307="Invoiced",H307="Not Received"),AND(F307&gt;0,ABS(J307)&gt;Assumptions!$B$6),AND(G307&gt;0,ABS(K307)&gt;Assumptions!$B$6)),"EXCEPTION","OK")</f>
        <v>OK</v>
      </c>
    </row>
    <row r="308" customFormat="false" ht="15" hidden="false" customHeight="false" outlineLevel="0" collapsed="false">
      <c r="A308" s="16" t="str">
        <f aca="false">Purchase_Orders!A305</f>
        <v>PO10304</v>
      </c>
      <c r="B308" s="16" t="str">
        <f aca="false">Purchase_Orders!B305</f>
        <v>V1033</v>
      </c>
      <c r="C308" s="16" t="str">
        <f aca="false">IFERROR(INDEX(Vendor_Master!$B$2:$B$41,MATCH(B308,Vendor_Master!$A$2:$A$41,0)),"Unknown Vendor")</f>
        <v>Sellers, George and Burns</v>
      </c>
      <c r="D308" s="17" t="n">
        <f aca="false">Purchase_Orders!C305</f>
        <v>45726</v>
      </c>
      <c r="E308" s="18" t="n">
        <f aca="false">Purchase_Orders!D305</f>
        <v>1119.52</v>
      </c>
      <c r="F308" s="18" t="n">
        <f aca="false">SUMIFS(Goods_Receipt_Notes!$D$2:$D$791,Goods_Receipt_Notes!$B$2:$B$791,A308)</f>
        <v>1119.52</v>
      </c>
      <c r="G308" s="18" t="n">
        <f aca="false">SUMIFS(Vendor_Invoices_AP!$E$2:$E$882,Vendor_Invoices_AP!$B$2:$B$882,A308)</f>
        <v>1119.52</v>
      </c>
      <c r="H308" s="16" t="str">
        <f aca="false">IF(F308=0,"Not Received","Received")</f>
        <v>Received</v>
      </c>
      <c r="I308" s="16" t="str">
        <f aca="false">IF(G308=0,"Not Invoiced","Invoiced")</f>
        <v>Invoiced</v>
      </c>
      <c r="J308" s="18" t="n">
        <f aca="false">E308-F308</f>
        <v>0</v>
      </c>
      <c r="K308" s="18" t="n">
        <f aca="false">E308-G308</f>
        <v>0</v>
      </c>
      <c r="L308" s="16" t="str">
        <f aca="false">IF(OR(AND(I308="Invoiced",H308="Not Received"),AND(F308&gt;0,ABS(J308)&gt;Assumptions!$B$6),AND(G308&gt;0,ABS(K308)&gt;Assumptions!$B$6)),"EXCEPTION","OK")</f>
        <v>OK</v>
      </c>
    </row>
    <row r="309" customFormat="false" ht="15" hidden="false" customHeight="false" outlineLevel="0" collapsed="false">
      <c r="A309" s="16" t="str">
        <f aca="false">Purchase_Orders!A306</f>
        <v>PO10305</v>
      </c>
      <c r="B309" s="16" t="str">
        <f aca="false">Purchase_Orders!B306</f>
        <v>V1006</v>
      </c>
      <c r="C309" s="16" t="str">
        <f aca="false">IFERROR(INDEX(Vendor_Master!$B$2:$B$41,MATCH(B309,Vendor_Master!$A$2:$A$41,0)),"Unknown Vendor")</f>
        <v>Blake and Sons</v>
      </c>
      <c r="D309" s="17" t="n">
        <f aca="false">Purchase_Orders!C306</f>
        <v>46131</v>
      </c>
      <c r="E309" s="18" t="n">
        <f aca="false">Purchase_Orders!D306</f>
        <v>531.72</v>
      </c>
      <c r="F309" s="18" t="n">
        <f aca="false">SUMIFS(Goods_Receipt_Notes!$D$2:$D$791,Goods_Receipt_Notes!$B$2:$B$791,A309)</f>
        <v>531.72</v>
      </c>
      <c r="G309" s="18" t="n">
        <f aca="false">SUMIFS(Vendor_Invoices_AP!$E$2:$E$882,Vendor_Invoices_AP!$B$2:$B$882,A309)</f>
        <v>531.72</v>
      </c>
      <c r="H309" s="16" t="str">
        <f aca="false">IF(F309=0,"Not Received","Received")</f>
        <v>Received</v>
      </c>
      <c r="I309" s="16" t="str">
        <f aca="false">IF(G309=0,"Not Invoiced","Invoiced")</f>
        <v>Invoiced</v>
      </c>
      <c r="J309" s="18" t="n">
        <f aca="false">E309-F309</f>
        <v>0</v>
      </c>
      <c r="K309" s="18" t="n">
        <f aca="false">E309-G309</f>
        <v>0</v>
      </c>
      <c r="L309" s="16" t="str">
        <f aca="false">IF(OR(AND(I309="Invoiced",H309="Not Received"),AND(F309&gt;0,ABS(J309)&gt;Assumptions!$B$6),AND(G309&gt;0,ABS(K309)&gt;Assumptions!$B$6)),"EXCEPTION","OK")</f>
        <v>OK</v>
      </c>
    </row>
    <row r="310" customFormat="false" ht="15" hidden="false" customHeight="false" outlineLevel="0" collapsed="false">
      <c r="A310" s="16" t="str">
        <f aca="false">Purchase_Orders!A307</f>
        <v>PO10306</v>
      </c>
      <c r="B310" s="16" t="str">
        <f aca="false">Purchase_Orders!B307</f>
        <v>V1038</v>
      </c>
      <c r="C310" s="16" t="str">
        <f aca="false">IFERROR(INDEX(Vendor_Master!$B$2:$B$41,MATCH(B310,Vendor_Master!$A$2:$A$41,0)),"Unknown Vendor")</f>
        <v>Rose-Obrien</v>
      </c>
      <c r="D310" s="17" t="n">
        <f aca="false">Purchase_Orders!C307</f>
        <v>45925</v>
      </c>
      <c r="E310" s="18" t="n">
        <f aca="false">Purchase_Orders!D307</f>
        <v>3672.05</v>
      </c>
      <c r="F310" s="18" t="n">
        <f aca="false">SUMIFS(Goods_Receipt_Notes!$D$2:$D$791,Goods_Receipt_Notes!$B$2:$B$791,A310)</f>
        <v>3672.05</v>
      </c>
      <c r="G310" s="18" t="n">
        <f aca="false">SUMIFS(Vendor_Invoices_AP!$E$2:$E$882,Vendor_Invoices_AP!$B$2:$B$882,A310)</f>
        <v>3672.05</v>
      </c>
      <c r="H310" s="16" t="str">
        <f aca="false">IF(F310=0,"Not Received","Received")</f>
        <v>Received</v>
      </c>
      <c r="I310" s="16" t="str">
        <f aca="false">IF(G310=0,"Not Invoiced","Invoiced")</f>
        <v>Invoiced</v>
      </c>
      <c r="J310" s="18" t="n">
        <f aca="false">E310-F310</f>
        <v>0</v>
      </c>
      <c r="K310" s="18" t="n">
        <f aca="false">E310-G310</f>
        <v>0</v>
      </c>
      <c r="L310" s="16" t="str">
        <f aca="false">IF(OR(AND(I310="Invoiced",H310="Not Received"),AND(F310&gt;0,ABS(J310)&gt;Assumptions!$B$6),AND(G310&gt;0,ABS(K310)&gt;Assumptions!$B$6)),"EXCEPTION","OK")</f>
        <v>OK</v>
      </c>
    </row>
    <row r="311" customFormat="false" ht="15" hidden="false" customHeight="false" outlineLevel="0" collapsed="false">
      <c r="A311" s="16" t="str">
        <f aca="false">Purchase_Orders!A308</f>
        <v>PO10307</v>
      </c>
      <c r="B311" s="16" t="str">
        <f aca="false">Purchase_Orders!B308</f>
        <v>V1019</v>
      </c>
      <c r="C311" s="16" t="str">
        <f aca="false">IFERROR(INDEX(Vendor_Master!$B$2:$B$41,MATCH(B311,Vendor_Master!$A$2:$A$41,0)),"Unknown Vendor")</f>
        <v>Clark PLC</v>
      </c>
      <c r="D311" s="17" t="n">
        <f aca="false">Purchase_Orders!C308</f>
        <v>46133</v>
      </c>
      <c r="E311" s="18" t="n">
        <f aca="false">Purchase_Orders!D308</f>
        <v>6043.12</v>
      </c>
      <c r="F311" s="18" t="n">
        <f aca="false">SUMIFS(Goods_Receipt_Notes!$D$2:$D$791,Goods_Receipt_Notes!$B$2:$B$791,A311)</f>
        <v>6043.12</v>
      </c>
      <c r="G311" s="18" t="n">
        <f aca="false">SUMIFS(Vendor_Invoices_AP!$E$2:$E$882,Vendor_Invoices_AP!$B$2:$B$882,A311)</f>
        <v>6043.12</v>
      </c>
      <c r="H311" s="16" t="str">
        <f aca="false">IF(F311=0,"Not Received","Received")</f>
        <v>Received</v>
      </c>
      <c r="I311" s="16" t="str">
        <f aca="false">IF(G311=0,"Not Invoiced","Invoiced")</f>
        <v>Invoiced</v>
      </c>
      <c r="J311" s="18" t="n">
        <f aca="false">E311-F311</f>
        <v>0</v>
      </c>
      <c r="K311" s="18" t="n">
        <f aca="false">E311-G311</f>
        <v>0</v>
      </c>
      <c r="L311" s="16" t="str">
        <f aca="false">IF(OR(AND(I311="Invoiced",H311="Not Received"),AND(F311&gt;0,ABS(J311)&gt;Assumptions!$B$6),AND(G311&gt;0,ABS(K311)&gt;Assumptions!$B$6)),"EXCEPTION","OK")</f>
        <v>OK</v>
      </c>
    </row>
    <row r="312" customFormat="false" ht="15" hidden="false" customHeight="false" outlineLevel="0" collapsed="false">
      <c r="A312" s="16" t="str">
        <f aca="false">Purchase_Orders!A309</f>
        <v>PO10308</v>
      </c>
      <c r="B312" s="16" t="str">
        <f aca="false">Purchase_Orders!B309</f>
        <v>V1014</v>
      </c>
      <c r="C312" s="16" t="str">
        <f aca="false">IFERROR(INDEX(Vendor_Master!$B$2:$B$41,MATCH(B312,Vendor_Master!$A$2:$A$41,0)),"Unknown Vendor")</f>
        <v>Flowers, Martin and Kelly</v>
      </c>
      <c r="D312" s="17" t="n">
        <f aca="false">Purchase_Orders!C309</f>
        <v>45970</v>
      </c>
      <c r="E312" s="18" t="n">
        <f aca="false">Purchase_Orders!D309</f>
        <v>1017.03</v>
      </c>
      <c r="F312" s="18" t="n">
        <f aca="false">SUMIFS(Goods_Receipt_Notes!$D$2:$D$791,Goods_Receipt_Notes!$B$2:$B$791,A312)</f>
        <v>1017.03</v>
      </c>
      <c r="G312" s="18" t="n">
        <f aca="false">SUMIFS(Vendor_Invoices_AP!$E$2:$E$882,Vendor_Invoices_AP!$B$2:$B$882,A312)</f>
        <v>1017.03</v>
      </c>
      <c r="H312" s="16" t="str">
        <f aca="false">IF(F312=0,"Not Received","Received")</f>
        <v>Received</v>
      </c>
      <c r="I312" s="16" t="str">
        <f aca="false">IF(G312=0,"Not Invoiced","Invoiced")</f>
        <v>Invoiced</v>
      </c>
      <c r="J312" s="18" t="n">
        <f aca="false">E312-F312</f>
        <v>0</v>
      </c>
      <c r="K312" s="18" t="n">
        <f aca="false">E312-G312</f>
        <v>0</v>
      </c>
      <c r="L312" s="16" t="str">
        <f aca="false">IF(OR(AND(I312="Invoiced",H312="Not Received"),AND(F312&gt;0,ABS(J312)&gt;Assumptions!$B$6),AND(G312&gt;0,ABS(K312)&gt;Assumptions!$B$6)),"EXCEPTION","OK")</f>
        <v>OK</v>
      </c>
    </row>
    <row r="313" customFormat="false" ht="15" hidden="false" customHeight="false" outlineLevel="0" collapsed="false">
      <c r="A313" s="16" t="str">
        <f aca="false">Purchase_Orders!A310</f>
        <v>PO10309</v>
      </c>
      <c r="B313" s="16" t="str">
        <f aca="false">Purchase_Orders!B310</f>
        <v>V1017</v>
      </c>
      <c r="C313" s="16" t="str">
        <f aca="false">IFERROR(INDEX(Vendor_Master!$B$2:$B$41,MATCH(B313,Vendor_Master!$A$2:$A$41,0)),"Unknown Vendor")</f>
        <v>Hawkins, Cohen and Cameron</v>
      </c>
      <c r="D313" s="17" t="n">
        <f aca="false">Purchase_Orders!C310</f>
        <v>45913</v>
      </c>
      <c r="E313" s="18" t="n">
        <f aca="false">Purchase_Orders!D310</f>
        <v>33982.32</v>
      </c>
      <c r="F313" s="18" t="n">
        <f aca="false">SUMIFS(Goods_Receipt_Notes!$D$2:$D$791,Goods_Receipt_Notes!$B$2:$B$791,A313)</f>
        <v>19107.49</v>
      </c>
      <c r="G313" s="18" t="n">
        <f aca="false">SUMIFS(Vendor_Invoices_AP!$E$2:$E$882,Vendor_Invoices_AP!$B$2:$B$882,A313)</f>
        <v>33982.32</v>
      </c>
      <c r="H313" s="16" t="str">
        <f aca="false">IF(F313=0,"Not Received","Received")</f>
        <v>Received</v>
      </c>
      <c r="I313" s="16" t="str">
        <f aca="false">IF(G313=0,"Not Invoiced","Invoiced")</f>
        <v>Invoiced</v>
      </c>
      <c r="J313" s="18" t="n">
        <f aca="false">E313-F313</f>
        <v>14874.83</v>
      </c>
      <c r="K313" s="18" t="n">
        <f aca="false">E313-G313</f>
        <v>0</v>
      </c>
      <c r="L313" s="16" t="str">
        <f aca="false">IF(OR(AND(I313="Invoiced",H313="Not Received"),AND(F313&gt;0,ABS(J313)&gt;Assumptions!$B$6),AND(G313&gt;0,ABS(K313)&gt;Assumptions!$B$6)),"EXCEPTION","OK")</f>
        <v>EXCEPTION</v>
      </c>
    </row>
    <row r="314" customFormat="false" ht="15" hidden="false" customHeight="false" outlineLevel="0" collapsed="false">
      <c r="A314" s="16" t="str">
        <f aca="false">Purchase_Orders!A311</f>
        <v>PO10310</v>
      </c>
      <c r="B314" s="16" t="str">
        <f aca="false">Purchase_Orders!B311</f>
        <v>V1026</v>
      </c>
      <c r="C314" s="16" t="str">
        <f aca="false">IFERROR(INDEX(Vendor_Master!$B$2:$B$41,MATCH(B314,Vendor_Master!$A$2:$A$41,0)),"Unknown Vendor")</f>
        <v>James-Ferrell</v>
      </c>
      <c r="D314" s="17" t="n">
        <f aca="false">Purchase_Orders!C311</f>
        <v>45898</v>
      </c>
      <c r="E314" s="18" t="n">
        <f aca="false">Purchase_Orders!D311</f>
        <v>2011.97</v>
      </c>
      <c r="F314" s="18" t="n">
        <f aca="false">SUMIFS(Goods_Receipt_Notes!$D$2:$D$791,Goods_Receipt_Notes!$B$2:$B$791,A314)</f>
        <v>1739.97</v>
      </c>
      <c r="G314" s="18" t="n">
        <f aca="false">SUMIFS(Vendor_Invoices_AP!$E$2:$E$882,Vendor_Invoices_AP!$B$2:$B$882,A314)</f>
        <v>2011.97</v>
      </c>
      <c r="H314" s="16" t="str">
        <f aca="false">IF(F314=0,"Not Received","Received")</f>
        <v>Received</v>
      </c>
      <c r="I314" s="16" t="str">
        <f aca="false">IF(G314=0,"Not Invoiced","Invoiced")</f>
        <v>Invoiced</v>
      </c>
      <c r="J314" s="18" t="n">
        <f aca="false">E314-F314</f>
        <v>272</v>
      </c>
      <c r="K314" s="18" t="n">
        <f aca="false">E314-G314</f>
        <v>0</v>
      </c>
      <c r="L314" s="16" t="str">
        <f aca="false">IF(OR(AND(I314="Invoiced",H314="Not Received"),AND(F314&gt;0,ABS(J314)&gt;Assumptions!$B$6),AND(G314&gt;0,ABS(K314)&gt;Assumptions!$B$6)),"EXCEPTION","OK")</f>
        <v>EXCEPTION</v>
      </c>
    </row>
    <row r="315" customFormat="false" ht="15" hidden="false" customHeight="false" outlineLevel="0" collapsed="false">
      <c r="A315" s="16" t="str">
        <f aca="false">Purchase_Orders!A312</f>
        <v>PO10311</v>
      </c>
      <c r="B315" s="16" t="str">
        <f aca="false">Purchase_Orders!B312</f>
        <v>V1016</v>
      </c>
      <c r="C315" s="16" t="str">
        <f aca="false">IFERROR(INDEX(Vendor_Master!$B$2:$B$41,MATCH(B315,Vendor_Master!$A$2:$A$41,0)),"Unknown Vendor")</f>
        <v>Sanchez, Ford and Nelson</v>
      </c>
      <c r="D315" s="17" t="n">
        <f aca="false">Purchase_Orders!C312</f>
        <v>45758</v>
      </c>
      <c r="E315" s="18" t="n">
        <f aca="false">Purchase_Orders!D312</f>
        <v>1329.7</v>
      </c>
      <c r="F315" s="18" t="n">
        <f aca="false">SUMIFS(Goods_Receipt_Notes!$D$2:$D$791,Goods_Receipt_Notes!$B$2:$B$791,A315)</f>
        <v>1329.7</v>
      </c>
      <c r="G315" s="18" t="n">
        <f aca="false">SUMIFS(Vendor_Invoices_AP!$E$2:$E$882,Vendor_Invoices_AP!$B$2:$B$882,A315)</f>
        <v>1329.7</v>
      </c>
      <c r="H315" s="16" t="str">
        <f aca="false">IF(F315=0,"Not Received","Received")</f>
        <v>Received</v>
      </c>
      <c r="I315" s="16" t="str">
        <f aca="false">IF(G315=0,"Not Invoiced","Invoiced")</f>
        <v>Invoiced</v>
      </c>
      <c r="J315" s="18" t="n">
        <f aca="false">E315-F315</f>
        <v>0</v>
      </c>
      <c r="K315" s="18" t="n">
        <f aca="false">E315-G315</f>
        <v>0</v>
      </c>
      <c r="L315" s="16" t="str">
        <f aca="false">IF(OR(AND(I315="Invoiced",H315="Not Received"),AND(F315&gt;0,ABS(J315)&gt;Assumptions!$B$6),AND(G315&gt;0,ABS(K315)&gt;Assumptions!$B$6)),"EXCEPTION","OK")</f>
        <v>OK</v>
      </c>
    </row>
    <row r="316" customFormat="false" ht="15" hidden="false" customHeight="false" outlineLevel="0" collapsed="false">
      <c r="A316" s="16" t="str">
        <f aca="false">Purchase_Orders!A313</f>
        <v>PO10312</v>
      </c>
      <c r="B316" s="16" t="str">
        <f aca="false">Purchase_Orders!B313</f>
        <v>V1026</v>
      </c>
      <c r="C316" s="16" t="str">
        <f aca="false">IFERROR(INDEX(Vendor_Master!$B$2:$B$41,MATCH(B316,Vendor_Master!$A$2:$A$41,0)),"Unknown Vendor")</f>
        <v>James-Ferrell</v>
      </c>
      <c r="D316" s="17" t="n">
        <f aca="false">Purchase_Orders!C313</f>
        <v>45686</v>
      </c>
      <c r="E316" s="18" t="n">
        <f aca="false">Purchase_Orders!D313</f>
        <v>1801.08</v>
      </c>
      <c r="F316" s="18" t="n">
        <f aca="false">SUMIFS(Goods_Receipt_Notes!$D$2:$D$791,Goods_Receipt_Notes!$B$2:$B$791,A316)</f>
        <v>1801.08</v>
      </c>
      <c r="G316" s="18" t="n">
        <f aca="false">SUMIFS(Vendor_Invoices_AP!$E$2:$E$882,Vendor_Invoices_AP!$B$2:$B$882,A316)</f>
        <v>1953.14</v>
      </c>
      <c r="H316" s="16" t="str">
        <f aca="false">IF(F316=0,"Not Received","Received")</f>
        <v>Received</v>
      </c>
      <c r="I316" s="16" t="str">
        <f aca="false">IF(G316=0,"Not Invoiced","Invoiced")</f>
        <v>Invoiced</v>
      </c>
      <c r="J316" s="18" t="n">
        <f aca="false">E316-F316</f>
        <v>0</v>
      </c>
      <c r="K316" s="18" t="n">
        <f aca="false">E316-G316</f>
        <v>-152.06</v>
      </c>
      <c r="L316" s="16" t="str">
        <f aca="false">IF(OR(AND(I316="Invoiced",H316="Not Received"),AND(F316&gt;0,ABS(J316)&gt;Assumptions!$B$6),AND(G316&gt;0,ABS(K316)&gt;Assumptions!$B$6)),"EXCEPTION","OK")</f>
        <v>EXCEPTION</v>
      </c>
    </row>
    <row r="317" customFormat="false" ht="15" hidden="false" customHeight="false" outlineLevel="0" collapsed="false">
      <c r="A317" s="16" t="str">
        <f aca="false">Purchase_Orders!A314</f>
        <v>PO10313</v>
      </c>
      <c r="B317" s="16" t="str">
        <f aca="false">Purchase_Orders!B314</f>
        <v>V1031</v>
      </c>
      <c r="C317" s="16" t="str">
        <f aca="false">IFERROR(INDEX(Vendor_Master!$B$2:$B$41,MATCH(B317,Vendor_Master!$A$2:$A$41,0)),"Unknown Vendor")</f>
        <v>Harrell LLC</v>
      </c>
      <c r="D317" s="17" t="n">
        <f aca="false">Purchase_Orders!C314</f>
        <v>46170</v>
      </c>
      <c r="E317" s="18" t="n">
        <f aca="false">Purchase_Orders!D314</f>
        <v>275.18</v>
      </c>
      <c r="F317" s="18" t="n">
        <f aca="false">SUMIFS(Goods_Receipt_Notes!$D$2:$D$791,Goods_Receipt_Notes!$B$2:$B$791,A317)</f>
        <v>275.18</v>
      </c>
      <c r="G317" s="18" t="n">
        <f aca="false">SUMIFS(Vendor_Invoices_AP!$E$2:$E$882,Vendor_Invoices_AP!$B$2:$B$882,A317)</f>
        <v>275.18</v>
      </c>
      <c r="H317" s="16" t="str">
        <f aca="false">IF(F317=0,"Not Received","Received")</f>
        <v>Received</v>
      </c>
      <c r="I317" s="16" t="str">
        <f aca="false">IF(G317=0,"Not Invoiced","Invoiced")</f>
        <v>Invoiced</v>
      </c>
      <c r="J317" s="18" t="n">
        <f aca="false">E317-F317</f>
        <v>0</v>
      </c>
      <c r="K317" s="18" t="n">
        <f aca="false">E317-G317</f>
        <v>0</v>
      </c>
      <c r="L317" s="16" t="str">
        <f aca="false">IF(OR(AND(I317="Invoiced",H317="Not Received"),AND(F317&gt;0,ABS(J317)&gt;Assumptions!$B$6),AND(G317&gt;0,ABS(K317)&gt;Assumptions!$B$6)),"EXCEPTION","OK")</f>
        <v>OK</v>
      </c>
    </row>
    <row r="318" customFormat="false" ht="15" hidden="false" customHeight="false" outlineLevel="0" collapsed="false">
      <c r="A318" s="16" t="str">
        <f aca="false">Purchase_Orders!A315</f>
        <v>PO10314</v>
      </c>
      <c r="B318" s="16" t="str">
        <f aca="false">Purchase_Orders!B315</f>
        <v>V1002</v>
      </c>
      <c r="C318" s="16" t="str">
        <f aca="false">IFERROR(INDEX(Vendor_Master!$B$2:$B$41,MATCH(B318,Vendor_Master!$A$2:$A$41,0)),"Unknown Vendor")</f>
        <v>Garcia, Yang and Gardner</v>
      </c>
      <c r="D318" s="17" t="n">
        <f aca="false">Purchase_Orders!C315</f>
        <v>45918</v>
      </c>
      <c r="E318" s="18" t="n">
        <f aca="false">Purchase_Orders!D315</f>
        <v>2929.12</v>
      </c>
      <c r="F318" s="18" t="n">
        <f aca="false">SUMIFS(Goods_Receipt_Notes!$D$2:$D$791,Goods_Receipt_Notes!$B$2:$B$791,A318)</f>
        <v>0</v>
      </c>
      <c r="G318" s="18" t="n">
        <f aca="false">SUMIFS(Vendor_Invoices_AP!$E$2:$E$882,Vendor_Invoices_AP!$B$2:$B$882,A318)</f>
        <v>2929.12</v>
      </c>
      <c r="H318" s="16" t="str">
        <f aca="false">IF(F318=0,"Not Received","Received")</f>
        <v>Not Received</v>
      </c>
      <c r="I318" s="16" t="str">
        <f aca="false">IF(G318=0,"Not Invoiced","Invoiced")</f>
        <v>Invoiced</v>
      </c>
      <c r="J318" s="18" t="n">
        <f aca="false">E318-F318</f>
        <v>2929.12</v>
      </c>
      <c r="K318" s="18" t="n">
        <f aca="false">E318-G318</f>
        <v>0</v>
      </c>
      <c r="L318" s="16" t="str">
        <f aca="false">IF(OR(AND(I318="Invoiced",H318="Not Received"),AND(F318&gt;0,ABS(J318)&gt;Assumptions!$B$6),AND(G318&gt;0,ABS(K318)&gt;Assumptions!$B$6)),"EXCEPTION","OK")</f>
        <v>EXCEPTION</v>
      </c>
    </row>
    <row r="319" customFormat="false" ht="15" hidden="false" customHeight="false" outlineLevel="0" collapsed="false">
      <c r="A319" s="16" t="str">
        <f aca="false">Purchase_Orders!A316</f>
        <v>PO10315</v>
      </c>
      <c r="B319" s="16" t="str">
        <f aca="false">Purchase_Orders!B316</f>
        <v>V1015</v>
      </c>
      <c r="C319" s="16" t="str">
        <f aca="false">IFERROR(INDEX(Vendor_Master!$B$2:$B$41,MATCH(B319,Vendor_Master!$A$2:$A$41,0)),"Unknown Vendor")</f>
        <v>Zuniga, Wong and Lynch</v>
      </c>
      <c r="D319" s="17" t="n">
        <f aca="false">Purchase_Orders!C316</f>
        <v>46106</v>
      </c>
      <c r="E319" s="18" t="n">
        <f aca="false">Purchase_Orders!D316</f>
        <v>2560.65</v>
      </c>
      <c r="F319" s="18" t="n">
        <f aca="false">SUMIFS(Goods_Receipt_Notes!$D$2:$D$791,Goods_Receipt_Notes!$B$2:$B$791,A319)</f>
        <v>2560.65</v>
      </c>
      <c r="G319" s="18" t="n">
        <f aca="false">SUMIFS(Vendor_Invoices_AP!$E$2:$E$882,Vendor_Invoices_AP!$B$2:$B$882,A319)</f>
        <v>2560.65</v>
      </c>
      <c r="H319" s="16" t="str">
        <f aca="false">IF(F319=0,"Not Received","Received")</f>
        <v>Received</v>
      </c>
      <c r="I319" s="16" t="str">
        <f aca="false">IF(G319=0,"Not Invoiced","Invoiced")</f>
        <v>Invoiced</v>
      </c>
      <c r="J319" s="18" t="n">
        <f aca="false">E319-F319</f>
        <v>0</v>
      </c>
      <c r="K319" s="18" t="n">
        <f aca="false">E319-G319</f>
        <v>0</v>
      </c>
      <c r="L319" s="16" t="str">
        <f aca="false">IF(OR(AND(I319="Invoiced",H319="Not Received"),AND(F319&gt;0,ABS(J319)&gt;Assumptions!$B$6),AND(G319&gt;0,ABS(K319)&gt;Assumptions!$B$6)),"EXCEPTION","OK")</f>
        <v>OK</v>
      </c>
    </row>
    <row r="320" customFormat="false" ht="15" hidden="false" customHeight="false" outlineLevel="0" collapsed="false">
      <c r="A320" s="16" t="str">
        <f aca="false">Purchase_Orders!A317</f>
        <v>PO10316</v>
      </c>
      <c r="B320" s="16" t="str">
        <f aca="false">Purchase_Orders!B317</f>
        <v>V1016</v>
      </c>
      <c r="C320" s="16" t="str">
        <f aca="false">IFERROR(INDEX(Vendor_Master!$B$2:$B$41,MATCH(B320,Vendor_Master!$A$2:$A$41,0)),"Unknown Vendor")</f>
        <v>Sanchez, Ford and Nelson</v>
      </c>
      <c r="D320" s="17" t="n">
        <f aca="false">Purchase_Orders!C317</f>
        <v>45876</v>
      </c>
      <c r="E320" s="18" t="n">
        <f aca="false">Purchase_Orders!D317</f>
        <v>1086.25</v>
      </c>
      <c r="F320" s="18" t="n">
        <f aca="false">SUMIFS(Goods_Receipt_Notes!$D$2:$D$791,Goods_Receipt_Notes!$B$2:$B$791,A320)</f>
        <v>1086.25</v>
      </c>
      <c r="G320" s="18" t="n">
        <f aca="false">SUMIFS(Vendor_Invoices_AP!$E$2:$E$882,Vendor_Invoices_AP!$B$2:$B$882,A320)</f>
        <v>1086.25</v>
      </c>
      <c r="H320" s="16" t="str">
        <f aca="false">IF(F320=0,"Not Received","Received")</f>
        <v>Received</v>
      </c>
      <c r="I320" s="16" t="str">
        <f aca="false">IF(G320=0,"Not Invoiced","Invoiced")</f>
        <v>Invoiced</v>
      </c>
      <c r="J320" s="18" t="n">
        <f aca="false">E320-F320</f>
        <v>0</v>
      </c>
      <c r="K320" s="18" t="n">
        <f aca="false">E320-G320</f>
        <v>0</v>
      </c>
      <c r="L320" s="16" t="str">
        <f aca="false">IF(OR(AND(I320="Invoiced",H320="Not Received"),AND(F320&gt;0,ABS(J320)&gt;Assumptions!$B$6),AND(G320&gt;0,ABS(K320)&gt;Assumptions!$B$6)),"EXCEPTION","OK")</f>
        <v>OK</v>
      </c>
    </row>
    <row r="321" customFormat="false" ht="15" hidden="false" customHeight="false" outlineLevel="0" collapsed="false">
      <c r="A321" s="16" t="str">
        <f aca="false">Purchase_Orders!A318</f>
        <v>PO10317</v>
      </c>
      <c r="B321" s="16" t="str">
        <f aca="false">Purchase_Orders!B318</f>
        <v>V1039</v>
      </c>
      <c r="C321" s="16" t="str">
        <f aca="false">IFERROR(INDEX(Vendor_Master!$B$2:$B$41,MATCH(B321,Vendor_Master!$A$2:$A$41,0)),"Unknown Vendor")</f>
        <v>Campos, Vaughn and Marquez</v>
      </c>
      <c r="D321" s="17" t="n">
        <f aca="false">Purchase_Orders!C318</f>
        <v>45698</v>
      </c>
      <c r="E321" s="18" t="n">
        <f aca="false">Purchase_Orders!D318</f>
        <v>3484.24</v>
      </c>
      <c r="F321" s="18" t="n">
        <f aca="false">SUMIFS(Goods_Receipt_Notes!$D$2:$D$791,Goods_Receipt_Notes!$B$2:$B$791,A321)</f>
        <v>0</v>
      </c>
      <c r="G321" s="18" t="n">
        <f aca="false">SUMIFS(Vendor_Invoices_AP!$E$2:$E$882,Vendor_Invoices_AP!$B$2:$B$882,A321)</f>
        <v>3484.24</v>
      </c>
      <c r="H321" s="16" t="str">
        <f aca="false">IF(F321=0,"Not Received","Received")</f>
        <v>Not Received</v>
      </c>
      <c r="I321" s="16" t="str">
        <f aca="false">IF(G321=0,"Not Invoiced","Invoiced")</f>
        <v>Invoiced</v>
      </c>
      <c r="J321" s="18" t="n">
        <f aca="false">E321-F321</f>
        <v>3484.24</v>
      </c>
      <c r="K321" s="18" t="n">
        <f aca="false">E321-G321</f>
        <v>0</v>
      </c>
      <c r="L321" s="16" t="str">
        <f aca="false">IF(OR(AND(I321="Invoiced",H321="Not Received"),AND(F321&gt;0,ABS(J321)&gt;Assumptions!$B$6),AND(G321&gt;0,ABS(K321)&gt;Assumptions!$B$6)),"EXCEPTION","OK")</f>
        <v>EXCEPTION</v>
      </c>
    </row>
    <row r="322" customFormat="false" ht="15" hidden="false" customHeight="false" outlineLevel="0" collapsed="false">
      <c r="A322" s="16" t="str">
        <f aca="false">Purchase_Orders!A319</f>
        <v>PO10318</v>
      </c>
      <c r="B322" s="16" t="str">
        <f aca="false">Purchase_Orders!B319</f>
        <v>V1025</v>
      </c>
      <c r="C322" s="16" t="str">
        <f aca="false">IFERROR(INDEX(Vendor_Master!$B$2:$B$41,MATCH(B322,Vendor_Master!$A$2:$A$41,0)),"Unknown Vendor")</f>
        <v>Conner Group</v>
      </c>
      <c r="D322" s="17" t="n">
        <f aca="false">Purchase_Orders!C319</f>
        <v>46001</v>
      </c>
      <c r="E322" s="18" t="n">
        <f aca="false">Purchase_Orders!D319</f>
        <v>4212.6</v>
      </c>
      <c r="F322" s="18" t="n">
        <f aca="false">SUMIFS(Goods_Receipt_Notes!$D$2:$D$791,Goods_Receipt_Notes!$B$2:$B$791,A322)</f>
        <v>4212.6</v>
      </c>
      <c r="G322" s="18" t="n">
        <f aca="false">SUMIFS(Vendor_Invoices_AP!$E$2:$E$882,Vendor_Invoices_AP!$B$2:$B$882,A322)</f>
        <v>4212.6</v>
      </c>
      <c r="H322" s="16" t="str">
        <f aca="false">IF(F322=0,"Not Received","Received")</f>
        <v>Received</v>
      </c>
      <c r="I322" s="16" t="str">
        <f aca="false">IF(G322=0,"Not Invoiced","Invoiced")</f>
        <v>Invoiced</v>
      </c>
      <c r="J322" s="18" t="n">
        <f aca="false">E322-F322</f>
        <v>0</v>
      </c>
      <c r="K322" s="18" t="n">
        <f aca="false">E322-G322</f>
        <v>0</v>
      </c>
      <c r="L322" s="16" t="str">
        <f aca="false">IF(OR(AND(I322="Invoiced",H322="Not Received"),AND(F322&gt;0,ABS(J322)&gt;Assumptions!$B$6),AND(G322&gt;0,ABS(K322)&gt;Assumptions!$B$6)),"EXCEPTION","OK")</f>
        <v>OK</v>
      </c>
    </row>
    <row r="323" customFormat="false" ht="15" hidden="false" customHeight="false" outlineLevel="0" collapsed="false">
      <c r="A323" s="16" t="str">
        <f aca="false">Purchase_Orders!A320</f>
        <v>PO10319</v>
      </c>
      <c r="B323" s="16" t="str">
        <f aca="false">Purchase_Orders!B320</f>
        <v>V1032</v>
      </c>
      <c r="C323" s="16" t="str">
        <f aca="false">IFERROR(INDEX(Vendor_Master!$B$2:$B$41,MATCH(B323,Vendor_Master!$A$2:$A$41,0)),"Unknown Vendor")</f>
        <v>Lynch, Hernandez and Farmer</v>
      </c>
      <c r="D323" s="17" t="n">
        <f aca="false">Purchase_Orders!C320</f>
        <v>45687</v>
      </c>
      <c r="E323" s="18" t="n">
        <f aca="false">Purchase_Orders!D320</f>
        <v>2560.27</v>
      </c>
      <c r="F323" s="18" t="n">
        <f aca="false">SUMIFS(Goods_Receipt_Notes!$D$2:$D$791,Goods_Receipt_Notes!$B$2:$B$791,A323)</f>
        <v>2560.27</v>
      </c>
      <c r="G323" s="18" t="n">
        <f aca="false">SUMIFS(Vendor_Invoices_AP!$E$2:$E$882,Vendor_Invoices_AP!$B$2:$B$882,A323)</f>
        <v>2560.27</v>
      </c>
      <c r="H323" s="16" t="str">
        <f aca="false">IF(F323=0,"Not Received","Received")</f>
        <v>Received</v>
      </c>
      <c r="I323" s="16" t="str">
        <f aca="false">IF(G323=0,"Not Invoiced","Invoiced")</f>
        <v>Invoiced</v>
      </c>
      <c r="J323" s="18" t="n">
        <f aca="false">E323-F323</f>
        <v>0</v>
      </c>
      <c r="K323" s="18" t="n">
        <f aca="false">E323-G323</f>
        <v>0</v>
      </c>
      <c r="L323" s="16" t="str">
        <f aca="false">IF(OR(AND(I323="Invoiced",H323="Not Received"),AND(F323&gt;0,ABS(J323)&gt;Assumptions!$B$6),AND(G323&gt;0,ABS(K323)&gt;Assumptions!$B$6)),"EXCEPTION","OK")</f>
        <v>OK</v>
      </c>
    </row>
    <row r="324" customFormat="false" ht="15" hidden="false" customHeight="false" outlineLevel="0" collapsed="false">
      <c r="A324" s="16" t="str">
        <f aca="false">Purchase_Orders!A321</f>
        <v>PO10320</v>
      </c>
      <c r="B324" s="16" t="str">
        <f aca="false">Purchase_Orders!B321</f>
        <v>V1025</v>
      </c>
      <c r="C324" s="16" t="str">
        <f aca="false">IFERROR(INDEX(Vendor_Master!$B$2:$B$41,MATCH(B324,Vendor_Master!$A$2:$A$41,0)),"Unknown Vendor")</f>
        <v>Conner Group</v>
      </c>
      <c r="D324" s="17" t="n">
        <f aca="false">Purchase_Orders!C321</f>
        <v>45739</v>
      </c>
      <c r="E324" s="18" t="n">
        <f aca="false">Purchase_Orders!D321</f>
        <v>3373.65</v>
      </c>
      <c r="F324" s="18" t="n">
        <f aca="false">SUMIFS(Goods_Receipt_Notes!$D$2:$D$791,Goods_Receipt_Notes!$B$2:$B$791,A324)</f>
        <v>0</v>
      </c>
      <c r="G324" s="18" t="n">
        <f aca="false">SUMIFS(Vendor_Invoices_AP!$E$2:$E$882,Vendor_Invoices_AP!$B$2:$B$882,A324)</f>
        <v>3373.65</v>
      </c>
      <c r="H324" s="16" t="str">
        <f aca="false">IF(F324=0,"Not Received","Received")</f>
        <v>Not Received</v>
      </c>
      <c r="I324" s="16" t="str">
        <f aca="false">IF(G324=0,"Not Invoiced","Invoiced")</f>
        <v>Invoiced</v>
      </c>
      <c r="J324" s="18" t="n">
        <f aca="false">E324-F324</f>
        <v>3373.65</v>
      </c>
      <c r="K324" s="18" t="n">
        <f aca="false">E324-G324</f>
        <v>0</v>
      </c>
      <c r="L324" s="16" t="str">
        <f aca="false">IF(OR(AND(I324="Invoiced",H324="Not Received"),AND(F324&gt;0,ABS(J324)&gt;Assumptions!$B$6),AND(G324&gt;0,ABS(K324)&gt;Assumptions!$B$6)),"EXCEPTION","OK")</f>
        <v>EXCEPTION</v>
      </c>
    </row>
    <row r="325" customFormat="false" ht="15" hidden="false" customHeight="false" outlineLevel="0" collapsed="false">
      <c r="A325" s="16" t="str">
        <f aca="false">Purchase_Orders!A322</f>
        <v>PO10321</v>
      </c>
      <c r="B325" s="16" t="str">
        <f aca="false">Purchase_Orders!B322</f>
        <v>V1031</v>
      </c>
      <c r="C325" s="16" t="str">
        <f aca="false">IFERROR(INDEX(Vendor_Master!$B$2:$B$41,MATCH(B325,Vendor_Master!$A$2:$A$41,0)),"Unknown Vendor")</f>
        <v>Harrell LLC</v>
      </c>
      <c r="D325" s="17" t="n">
        <f aca="false">Purchase_Orders!C322</f>
        <v>45964</v>
      </c>
      <c r="E325" s="18" t="n">
        <f aca="false">Purchase_Orders!D322</f>
        <v>1093.64</v>
      </c>
      <c r="F325" s="18" t="n">
        <f aca="false">SUMIFS(Goods_Receipt_Notes!$D$2:$D$791,Goods_Receipt_Notes!$B$2:$B$791,A325)</f>
        <v>1093.64</v>
      </c>
      <c r="G325" s="18" t="n">
        <f aca="false">SUMIFS(Vendor_Invoices_AP!$E$2:$E$882,Vendor_Invoices_AP!$B$2:$B$882,A325)</f>
        <v>1093.64</v>
      </c>
      <c r="H325" s="16" t="str">
        <f aca="false">IF(F325=0,"Not Received","Received")</f>
        <v>Received</v>
      </c>
      <c r="I325" s="16" t="str">
        <f aca="false">IF(G325=0,"Not Invoiced","Invoiced")</f>
        <v>Invoiced</v>
      </c>
      <c r="J325" s="18" t="n">
        <f aca="false">E325-F325</f>
        <v>0</v>
      </c>
      <c r="K325" s="18" t="n">
        <f aca="false">E325-G325</f>
        <v>0</v>
      </c>
      <c r="L325" s="16" t="str">
        <f aca="false">IF(OR(AND(I325="Invoiced",H325="Not Received"),AND(F325&gt;0,ABS(J325)&gt;Assumptions!$B$6),AND(G325&gt;0,ABS(K325)&gt;Assumptions!$B$6)),"EXCEPTION","OK")</f>
        <v>OK</v>
      </c>
    </row>
    <row r="326" customFormat="false" ht="15" hidden="false" customHeight="false" outlineLevel="0" collapsed="false">
      <c r="A326" s="16" t="str">
        <f aca="false">Purchase_Orders!A323</f>
        <v>PO10322</v>
      </c>
      <c r="B326" s="16" t="str">
        <f aca="false">Purchase_Orders!B323</f>
        <v>V1038</v>
      </c>
      <c r="C326" s="16" t="str">
        <f aca="false">IFERROR(INDEX(Vendor_Master!$B$2:$B$41,MATCH(B326,Vendor_Master!$A$2:$A$41,0)),"Unknown Vendor")</f>
        <v>Rose-Obrien</v>
      </c>
      <c r="D326" s="17" t="n">
        <f aca="false">Purchase_Orders!C323</f>
        <v>45823</v>
      </c>
      <c r="E326" s="18" t="n">
        <f aca="false">Purchase_Orders!D323</f>
        <v>1134.36</v>
      </c>
      <c r="F326" s="18" t="n">
        <f aca="false">SUMIFS(Goods_Receipt_Notes!$D$2:$D$791,Goods_Receipt_Notes!$B$2:$B$791,A326)</f>
        <v>1134.36</v>
      </c>
      <c r="G326" s="18" t="n">
        <f aca="false">SUMIFS(Vendor_Invoices_AP!$E$2:$E$882,Vendor_Invoices_AP!$B$2:$B$882,A326)</f>
        <v>1134.36</v>
      </c>
      <c r="H326" s="16" t="str">
        <f aca="false">IF(F326=0,"Not Received","Received")</f>
        <v>Received</v>
      </c>
      <c r="I326" s="16" t="str">
        <f aca="false">IF(G326=0,"Not Invoiced","Invoiced")</f>
        <v>Invoiced</v>
      </c>
      <c r="J326" s="18" t="n">
        <f aca="false">E326-F326</f>
        <v>0</v>
      </c>
      <c r="K326" s="18" t="n">
        <f aca="false">E326-G326</f>
        <v>0</v>
      </c>
      <c r="L326" s="16" t="str">
        <f aca="false">IF(OR(AND(I326="Invoiced",H326="Not Received"),AND(F326&gt;0,ABS(J326)&gt;Assumptions!$B$6),AND(G326&gt;0,ABS(K326)&gt;Assumptions!$B$6)),"EXCEPTION","OK")</f>
        <v>OK</v>
      </c>
    </row>
    <row r="327" customFormat="false" ht="15" hidden="false" customHeight="false" outlineLevel="0" collapsed="false">
      <c r="A327" s="16" t="str">
        <f aca="false">Purchase_Orders!A324</f>
        <v>PO10323</v>
      </c>
      <c r="B327" s="16" t="str">
        <f aca="false">Purchase_Orders!B324</f>
        <v>V1034</v>
      </c>
      <c r="C327" s="16" t="str">
        <f aca="false">IFERROR(INDEX(Vendor_Master!$B$2:$B$41,MATCH(B327,Vendor_Master!$A$2:$A$41,0)),"Unknown Vendor")</f>
        <v>Koch-Decker</v>
      </c>
      <c r="D327" s="17" t="n">
        <f aca="false">Purchase_Orders!C324</f>
        <v>46199</v>
      </c>
      <c r="E327" s="18" t="n">
        <f aca="false">Purchase_Orders!D324</f>
        <v>15734.46</v>
      </c>
      <c r="F327" s="18" t="n">
        <f aca="false">SUMIFS(Goods_Receipt_Notes!$D$2:$D$791,Goods_Receipt_Notes!$B$2:$B$791,A327)</f>
        <v>15734.46</v>
      </c>
      <c r="G327" s="18" t="n">
        <f aca="false">SUMIFS(Vendor_Invoices_AP!$E$2:$E$882,Vendor_Invoices_AP!$B$2:$B$882,A327)</f>
        <v>15734.46</v>
      </c>
      <c r="H327" s="16" t="str">
        <f aca="false">IF(F327=0,"Not Received","Received")</f>
        <v>Received</v>
      </c>
      <c r="I327" s="16" t="str">
        <f aca="false">IF(G327=0,"Not Invoiced","Invoiced")</f>
        <v>Invoiced</v>
      </c>
      <c r="J327" s="18" t="n">
        <f aca="false">E327-F327</f>
        <v>0</v>
      </c>
      <c r="K327" s="18" t="n">
        <f aca="false">E327-G327</f>
        <v>0</v>
      </c>
      <c r="L327" s="16" t="str">
        <f aca="false">IF(OR(AND(I327="Invoiced",H327="Not Received"),AND(F327&gt;0,ABS(J327)&gt;Assumptions!$B$6),AND(G327&gt;0,ABS(K327)&gt;Assumptions!$B$6)),"EXCEPTION","OK")</f>
        <v>OK</v>
      </c>
    </row>
    <row r="328" customFormat="false" ht="15" hidden="false" customHeight="false" outlineLevel="0" collapsed="false">
      <c r="A328" s="16" t="str">
        <f aca="false">Purchase_Orders!A325</f>
        <v>PO10324</v>
      </c>
      <c r="B328" s="16" t="str">
        <f aca="false">Purchase_Orders!B325</f>
        <v>V1016</v>
      </c>
      <c r="C328" s="16" t="str">
        <f aca="false">IFERROR(INDEX(Vendor_Master!$B$2:$B$41,MATCH(B328,Vendor_Master!$A$2:$A$41,0)),"Unknown Vendor")</f>
        <v>Sanchez, Ford and Nelson</v>
      </c>
      <c r="D328" s="17" t="n">
        <f aca="false">Purchase_Orders!C325</f>
        <v>45722</v>
      </c>
      <c r="E328" s="18" t="n">
        <f aca="false">Purchase_Orders!D325</f>
        <v>1731.84</v>
      </c>
      <c r="F328" s="18" t="n">
        <f aca="false">SUMIFS(Goods_Receipt_Notes!$D$2:$D$791,Goods_Receipt_Notes!$B$2:$B$791,A328)</f>
        <v>1731.84</v>
      </c>
      <c r="G328" s="18" t="n">
        <f aca="false">SUMIFS(Vendor_Invoices_AP!$E$2:$E$882,Vendor_Invoices_AP!$B$2:$B$882,A328)</f>
        <v>1731.84</v>
      </c>
      <c r="H328" s="16" t="str">
        <f aca="false">IF(F328=0,"Not Received","Received")</f>
        <v>Received</v>
      </c>
      <c r="I328" s="16" t="str">
        <f aca="false">IF(G328=0,"Not Invoiced","Invoiced")</f>
        <v>Invoiced</v>
      </c>
      <c r="J328" s="18" t="n">
        <f aca="false">E328-F328</f>
        <v>0</v>
      </c>
      <c r="K328" s="18" t="n">
        <f aca="false">E328-G328</f>
        <v>0</v>
      </c>
      <c r="L328" s="16" t="str">
        <f aca="false">IF(OR(AND(I328="Invoiced",H328="Not Received"),AND(F328&gt;0,ABS(J328)&gt;Assumptions!$B$6),AND(G328&gt;0,ABS(K328)&gt;Assumptions!$B$6)),"EXCEPTION","OK")</f>
        <v>OK</v>
      </c>
    </row>
    <row r="329" customFormat="false" ht="15" hidden="false" customHeight="false" outlineLevel="0" collapsed="false">
      <c r="A329" s="16" t="str">
        <f aca="false">Purchase_Orders!A326</f>
        <v>PO10325</v>
      </c>
      <c r="B329" s="16" t="str">
        <f aca="false">Purchase_Orders!B326</f>
        <v>V1022</v>
      </c>
      <c r="C329" s="16" t="str">
        <f aca="false">IFERROR(INDEX(Vendor_Master!$B$2:$B$41,MATCH(B329,Vendor_Master!$A$2:$A$41,0)),"Unknown Vendor")</f>
        <v>Burgess-Patterson</v>
      </c>
      <c r="D329" s="17" t="n">
        <f aca="false">Purchase_Orders!C326</f>
        <v>46074</v>
      </c>
      <c r="E329" s="18" t="n">
        <f aca="false">Purchase_Orders!D326</f>
        <v>861.14</v>
      </c>
      <c r="F329" s="18" t="n">
        <f aca="false">SUMIFS(Goods_Receipt_Notes!$D$2:$D$791,Goods_Receipt_Notes!$B$2:$B$791,A329)</f>
        <v>861.14</v>
      </c>
      <c r="G329" s="18" t="n">
        <f aca="false">SUMIFS(Vendor_Invoices_AP!$E$2:$E$882,Vendor_Invoices_AP!$B$2:$B$882,A329)</f>
        <v>861.14</v>
      </c>
      <c r="H329" s="16" t="str">
        <f aca="false">IF(F329=0,"Not Received","Received")</f>
        <v>Received</v>
      </c>
      <c r="I329" s="16" t="str">
        <f aca="false">IF(G329=0,"Not Invoiced","Invoiced")</f>
        <v>Invoiced</v>
      </c>
      <c r="J329" s="18" t="n">
        <f aca="false">E329-F329</f>
        <v>0</v>
      </c>
      <c r="K329" s="18" t="n">
        <f aca="false">E329-G329</f>
        <v>0</v>
      </c>
      <c r="L329" s="16" t="str">
        <f aca="false">IF(OR(AND(I329="Invoiced",H329="Not Received"),AND(F329&gt;0,ABS(J329)&gt;Assumptions!$B$6),AND(G329&gt;0,ABS(K329)&gt;Assumptions!$B$6)),"EXCEPTION","OK")</f>
        <v>OK</v>
      </c>
    </row>
    <row r="330" customFormat="false" ht="15" hidden="false" customHeight="false" outlineLevel="0" collapsed="false">
      <c r="A330" s="16" t="str">
        <f aca="false">Purchase_Orders!A327</f>
        <v>PO10326</v>
      </c>
      <c r="B330" s="16" t="str">
        <f aca="false">Purchase_Orders!B327</f>
        <v>V1009</v>
      </c>
      <c r="C330" s="16" t="str">
        <f aca="false">IFERROR(INDEX(Vendor_Master!$B$2:$B$41,MATCH(B330,Vendor_Master!$A$2:$A$41,0)),"Unknown Vendor")</f>
        <v>Munoz-Roman</v>
      </c>
      <c r="D330" s="17" t="n">
        <f aca="false">Purchase_Orders!C327</f>
        <v>45988</v>
      </c>
      <c r="E330" s="18" t="n">
        <f aca="false">Purchase_Orders!D327</f>
        <v>4424.59</v>
      </c>
      <c r="F330" s="18" t="n">
        <f aca="false">SUMIFS(Goods_Receipt_Notes!$D$2:$D$791,Goods_Receipt_Notes!$B$2:$B$791,A330)</f>
        <v>4424.59</v>
      </c>
      <c r="G330" s="18" t="n">
        <f aca="false">SUMIFS(Vendor_Invoices_AP!$E$2:$E$882,Vendor_Invoices_AP!$B$2:$B$882,A330)</f>
        <v>4424.59</v>
      </c>
      <c r="H330" s="16" t="str">
        <f aca="false">IF(F330=0,"Not Received","Received")</f>
        <v>Received</v>
      </c>
      <c r="I330" s="16" t="str">
        <f aca="false">IF(G330=0,"Not Invoiced","Invoiced")</f>
        <v>Invoiced</v>
      </c>
      <c r="J330" s="18" t="n">
        <f aca="false">E330-F330</f>
        <v>0</v>
      </c>
      <c r="K330" s="18" t="n">
        <f aca="false">E330-G330</f>
        <v>0</v>
      </c>
      <c r="L330" s="16" t="str">
        <f aca="false">IF(OR(AND(I330="Invoiced",H330="Not Received"),AND(F330&gt;0,ABS(J330)&gt;Assumptions!$B$6),AND(G330&gt;0,ABS(K330)&gt;Assumptions!$B$6)),"EXCEPTION","OK")</f>
        <v>OK</v>
      </c>
    </row>
    <row r="331" customFormat="false" ht="15" hidden="false" customHeight="false" outlineLevel="0" collapsed="false">
      <c r="A331" s="16" t="str">
        <f aca="false">Purchase_Orders!A328</f>
        <v>PO10327</v>
      </c>
      <c r="B331" s="16" t="str">
        <f aca="false">Purchase_Orders!B328</f>
        <v>V1014</v>
      </c>
      <c r="C331" s="16" t="str">
        <f aca="false">IFERROR(INDEX(Vendor_Master!$B$2:$B$41,MATCH(B331,Vendor_Master!$A$2:$A$41,0)),"Unknown Vendor")</f>
        <v>Flowers, Martin and Kelly</v>
      </c>
      <c r="D331" s="17" t="n">
        <f aca="false">Purchase_Orders!C328</f>
        <v>46088</v>
      </c>
      <c r="E331" s="18" t="n">
        <f aca="false">Purchase_Orders!D328</f>
        <v>2063.03</v>
      </c>
      <c r="F331" s="18" t="n">
        <f aca="false">SUMIFS(Goods_Receipt_Notes!$D$2:$D$791,Goods_Receipt_Notes!$B$2:$B$791,A331)</f>
        <v>1541.28</v>
      </c>
      <c r="G331" s="18" t="n">
        <f aca="false">SUMIFS(Vendor_Invoices_AP!$E$2:$E$882,Vendor_Invoices_AP!$B$2:$B$882,A331)</f>
        <v>2063.03</v>
      </c>
      <c r="H331" s="16" t="str">
        <f aca="false">IF(F331=0,"Not Received","Received")</f>
        <v>Received</v>
      </c>
      <c r="I331" s="16" t="str">
        <f aca="false">IF(G331=0,"Not Invoiced","Invoiced")</f>
        <v>Invoiced</v>
      </c>
      <c r="J331" s="18" t="n">
        <f aca="false">E331-F331</f>
        <v>521.75</v>
      </c>
      <c r="K331" s="18" t="n">
        <f aca="false">E331-G331</f>
        <v>0</v>
      </c>
      <c r="L331" s="16" t="str">
        <f aca="false">IF(OR(AND(I331="Invoiced",H331="Not Received"),AND(F331&gt;0,ABS(J331)&gt;Assumptions!$B$6),AND(G331&gt;0,ABS(K331)&gt;Assumptions!$B$6)),"EXCEPTION","OK")</f>
        <v>EXCEPTION</v>
      </c>
    </row>
    <row r="332" customFormat="false" ht="15" hidden="false" customHeight="false" outlineLevel="0" collapsed="false">
      <c r="A332" s="16" t="str">
        <f aca="false">Purchase_Orders!A329</f>
        <v>PO10328</v>
      </c>
      <c r="B332" s="16" t="str">
        <f aca="false">Purchase_Orders!B329</f>
        <v>V1006</v>
      </c>
      <c r="C332" s="16" t="str">
        <f aca="false">IFERROR(INDEX(Vendor_Master!$B$2:$B$41,MATCH(B332,Vendor_Master!$A$2:$A$41,0)),"Unknown Vendor")</f>
        <v>Blake and Sons</v>
      </c>
      <c r="D332" s="17" t="n">
        <f aca="false">Purchase_Orders!C329</f>
        <v>45780</v>
      </c>
      <c r="E332" s="18" t="n">
        <f aca="false">Purchase_Orders!D329</f>
        <v>606.42</v>
      </c>
      <c r="F332" s="18" t="n">
        <f aca="false">SUMIFS(Goods_Receipt_Notes!$D$2:$D$791,Goods_Receipt_Notes!$B$2:$B$791,A332)</f>
        <v>606.42</v>
      </c>
      <c r="G332" s="18" t="n">
        <f aca="false">SUMIFS(Vendor_Invoices_AP!$E$2:$E$882,Vendor_Invoices_AP!$B$2:$B$882,A332)</f>
        <v>606.42</v>
      </c>
      <c r="H332" s="16" t="str">
        <f aca="false">IF(F332=0,"Not Received","Received")</f>
        <v>Received</v>
      </c>
      <c r="I332" s="16" t="str">
        <f aca="false">IF(G332=0,"Not Invoiced","Invoiced")</f>
        <v>Invoiced</v>
      </c>
      <c r="J332" s="18" t="n">
        <f aca="false">E332-F332</f>
        <v>0</v>
      </c>
      <c r="K332" s="18" t="n">
        <f aca="false">E332-G332</f>
        <v>0</v>
      </c>
      <c r="L332" s="16" t="str">
        <f aca="false">IF(OR(AND(I332="Invoiced",H332="Not Received"),AND(F332&gt;0,ABS(J332)&gt;Assumptions!$B$6),AND(G332&gt;0,ABS(K332)&gt;Assumptions!$B$6)),"EXCEPTION","OK")</f>
        <v>OK</v>
      </c>
    </row>
    <row r="333" customFormat="false" ht="15" hidden="false" customHeight="false" outlineLevel="0" collapsed="false">
      <c r="A333" s="16" t="str">
        <f aca="false">Purchase_Orders!A330</f>
        <v>PO10329</v>
      </c>
      <c r="B333" s="16" t="str">
        <f aca="false">Purchase_Orders!B330</f>
        <v>V1002</v>
      </c>
      <c r="C333" s="16" t="str">
        <f aca="false">IFERROR(INDEX(Vendor_Master!$B$2:$B$41,MATCH(B333,Vendor_Master!$A$2:$A$41,0)),"Unknown Vendor")</f>
        <v>Garcia, Yang and Gardner</v>
      </c>
      <c r="D333" s="17" t="n">
        <f aca="false">Purchase_Orders!C330</f>
        <v>45942</v>
      </c>
      <c r="E333" s="18" t="n">
        <f aca="false">Purchase_Orders!D330</f>
        <v>1652.62</v>
      </c>
      <c r="F333" s="18" t="n">
        <f aca="false">SUMIFS(Goods_Receipt_Notes!$D$2:$D$791,Goods_Receipt_Notes!$B$2:$B$791,A333)</f>
        <v>1652.62</v>
      </c>
      <c r="G333" s="18" t="n">
        <f aca="false">SUMIFS(Vendor_Invoices_AP!$E$2:$E$882,Vendor_Invoices_AP!$B$2:$B$882,A333)</f>
        <v>1652.62</v>
      </c>
      <c r="H333" s="16" t="str">
        <f aca="false">IF(F333=0,"Not Received","Received")</f>
        <v>Received</v>
      </c>
      <c r="I333" s="16" t="str">
        <f aca="false">IF(G333=0,"Not Invoiced","Invoiced")</f>
        <v>Invoiced</v>
      </c>
      <c r="J333" s="18" t="n">
        <f aca="false">E333-F333</f>
        <v>0</v>
      </c>
      <c r="K333" s="18" t="n">
        <f aca="false">E333-G333</f>
        <v>0</v>
      </c>
      <c r="L333" s="16" t="str">
        <f aca="false">IF(OR(AND(I333="Invoiced",H333="Not Received"),AND(F333&gt;0,ABS(J333)&gt;Assumptions!$B$6),AND(G333&gt;0,ABS(K333)&gt;Assumptions!$B$6)),"EXCEPTION","OK")</f>
        <v>OK</v>
      </c>
    </row>
    <row r="334" customFormat="false" ht="15" hidden="false" customHeight="false" outlineLevel="0" collapsed="false">
      <c r="A334" s="16" t="str">
        <f aca="false">Purchase_Orders!A331</f>
        <v>PO10330</v>
      </c>
      <c r="B334" s="16" t="str">
        <f aca="false">Purchase_Orders!B331</f>
        <v>V1012</v>
      </c>
      <c r="C334" s="16" t="str">
        <f aca="false">IFERROR(INDEX(Vendor_Master!$B$2:$B$41,MATCH(B334,Vendor_Master!$A$2:$A$41,0)),"Unknown Vendor")</f>
        <v>Stanley LLC</v>
      </c>
      <c r="D334" s="17" t="n">
        <f aca="false">Purchase_Orders!C331</f>
        <v>45903</v>
      </c>
      <c r="E334" s="18" t="n">
        <f aca="false">Purchase_Orders!D331</f>
        <v>609.35</v>
      </c>
      <c r="F334" s="18" t="n">
        <f aca="false">SUMIFS(Goods_Receipt_Notes!$D$2:$D$791,Goods_Receipt_Notes!$B$2:$B$791,A334)</f>
        <v>609.35</v>
      </c>
      <c r="G334" s="18" t="n">
        <f aca="false">SUMIFS(Vendor_Invoices_AP!$E$2:$E$882,Vendor_Invoices_AP!$B$2:$B$882,A334)</f>
        <v>609.35</v>
      </c>
      <c r="H334" s="16" t="str">
        <f aca="false">IF(F334=0,"Not Received","Received")</f>
        <v>Received</v>
      </c>
      <c r="I334" s="16" t="str">
        <f aca="false">IF(G334=0,"Not Invoiced","Invoiced")</f>
        <v>Invoiced</v>
      </c>
      <c r="J334" s="18" t="n">
        <f aca="false">E334-F334</f>
        <v>0</v>
      </c>
      <c r="K334" s="18" t="n">
        <f aca="false">E334-G334</f>
        <v>0</v>
      </c>
      <c r="L334" s="16" t="str">
        <f aca="false">IF(OR(AND(I334="Invoiced",H334="Not Received"),AND(F334&gt;0,ABS(J334)&gt;Assumptions!$B$6),AND(G334&gt;0,ABS(K334)&gt;Assumptions!$B$6)),"EXCEPTION","OK")</f>
        <v>OK</v>
      </c>
    </row>
    <row r="335" customFormat="false" ht="15" hidden="false" customHeight="false" outlineLevel="0" collapsed="false">
      <c r="A335" s="16" t="str">
        <f aca="false">Purchase_Orders!A332</f>
        <v>PO10331</v>
      </c>
      <c r="B335" s="16" t="str">
        <f aca="false">Purchase_Orders!B332</f>
        <v>V1011</v>
      </c>
      <c r="C335" s="16" t="str">
        <f aca="false">IFERROR(INDEX(Vendor_Master!$B$2:$B$41,MATCH(B335,Vendor_Master!$A$2:$A$41,0)),"Unknown Vendor")</f>
        <v>Montgomery, Hensley and Ray</v>
      </c>
      <c r="D335" s="17" t="n">
        <f aca="false">Purchase_Orders!C332</f>
        <v>45899</v>
      </c>
      <c r="E335" s="18" t="n">
        <f aca="false">Purchase_Orders!D332</f>
        <v>1216.45</v>
      </c>
      <c r="F335" s="18" t="n">
        <f aca="false">SUMIFS(Goods_Receipt_Notes!$D$2:$D$791,Goods_Receipt_Notes!$B$2:$B$791,A335)</f>
        <v>1216.45</v>
      </c>
      <c r="G335" s="18" t="n">
        <f aca="false">SUMIFS(Vendor_Invoices_AP!$E$2:$E$882,Vendor_Invoices_AP!$B$2:$B$882,A335)</f>
        <v>1216.45</v>
      </c>
      <c r="H335" s="16" t="str">
        <f aca="false">IF(F335=0,"Not Received","Received")</f>
        <v>Received</v>
      </c>
      <c r="I335" s="16" t="str">
        <f aca="false">IF(G335=0,"Not Invoiced","Invoiced")</f>
        <v>Invoiced</v>
      </c>
      <c r="J335" s="18" t="n">
        <f aca="false">E335-F335</f>
        <v>0</v>
      </c>
      <c r="K335" s="18" t="n">
        <f aca="false">E335-G335</f>
        <v>0</v>
      </c>
      <c r="L335" s="16" t="str">
        <f aca="false">IF(OR(AND(I335="Invoiced",H335="Not Received"),AND(F335&gt;0,ABS(J335)&gt;Assumptions!$B$6),AND(G335&gt;0,ABS(K335)&gt;Assumptions!$B$6)),"EXCEPTION","OK")</f>
        <v>OK</v>
      </c>
    </row>
    <row r="336" customFormat="false" ht="15" hidden="false" customHeight="false" outlineLevel="0" collapsed="false">
      <c r="A336" s="16" t="str">
        <f aca="false">Purchase_Orders!A333</f>
        <v>PO10332</v>
      </c>
      <c r="B336" s="16" t="str">
        <f aca="false">Purchase_Orders!B333</f>
        <v>V1037</v>
      </c>
      <c r="C336" s="16" t="str">
        <f aca="false">IFERROR(INDEX(Vendor_Master!$B$2:$B$41,MATCH(B336,Vendor_Master!$A$2:$A$41,0)),"Unknown Vendor")</f>
        <v>Cannon, Anderson and Alvarez</v>
      </c>
      <c r="D336" s="17" t="n">
        <f aca="false">Purchase_Orders!C333</f>
        <v>46126</v>
      </c>
      <c r="E336" s="18" t="n">
        <f aca="false">Purchase_Orders!D333</f>
        <v>3585.97</v>
      </c>
      <c r="F336" s="18" t="n">
        <f aca="false">SUMIFS(Goods_Receipt_Notes!$D$2:$D$791,Goods_Receipt_Notes!$B$2:$B$791,A336)</f>
        <v>3585.97</v>
      </c>
      <c r="G336" s="18" t="n">
        <f aca="false">SUMIFS(Vendor_Invoices_AP!$E$2:$E$882,Vendor_Invoices_AP!$B$2:$B$882,A336)</f>
        <v>3585.97</v>
      </c>
      <c r="H336" s="16" t="str">
        <f aca="false">IF(F336=0,"Not Received","Received")</f>
        <v>Received</v>
      </c>
      <c r="I336" s="16" t="str">
        <f aca="false">IF(G336=0,"Not Invoiced","Invoiced")</f>
        <v>Invoiced</v>
      </c>
      <c r="J336" s="18" t="n">
        <f aca="false">E336-F336</f>
        <v>0</v>
      </c>
      <c r="K336" s="18" t="n">
        <f aca="false">E336-G336</f>
        <v>0</v>
      </c>
      <c r="L336" s="16" t="str">
        <f aca="false">IF(OR(AND(I336="Invoiced",H336="Not Received"),AND(F336&gt;0,ABS(J336)&gt;Assumptions!$B$6),AND(G336&gt;0,ABS(K336)&gt;Assumptions!$B$6)),"EXCEPTION","OK")</f>
        <v>OK</v>
      </c>
    </row>
    <row r="337" customFormat="false" ht="15" hidden="false" customHeight="false" outlineLevel="0" collapsed="false">
      <c r="A337" s="16" t="str">
        <f aca="false">Purchase_Orders!A334</f>
        <v>PO10333</v>
      </c>
      <c r="B337" s="16" t="str">
        <f aca="false">Purchase_Orders!B334</f>
        <v>V1037</v>
      </c>
      <c r="C337" s="16" t="str">
        <f aca="false">IFERROR(INDEX(Vendor_Master!$B$2:$B$41,MATCH(B337,Vendor_Master!$A$2:$A$41,0)),"Unknown Vendor")</f>
        <v>Cannon, Anderson and Alvarez</v>
      </c>
      <c r="D337" s="17" t="n">
        <f aca="false">Purchase_Orders!C334</f>
        <v>46197</v>
      </c>
      <c r="E337" s="18" t="n">
        <f aca="false">Purchase_Orders!D334</f>
        <v>10917.62</v>
      </c>
      <c r="F337" s="18" t="n">
        <f aca="false">SUMIFS(Goods_Receipt_Notes!$D$2:$D$791,Goods_Receipt_Notes!$B$2:$B$791,A337)</f>
        <v>10917.62</v>
      </c>
      <c r="G337" s="18" t="n">
        <f aca="false">SUMIFS(Vendor_Invoices_AP!$E$2:$E$882,Vendor_Invoices_AP!$B$2:$B$882,A337)</f>
        <v>10917.62</v>
      </c>
      <c r="H337" s="16" t="str">
        <f aca="false">IF(F337=0,"Not Received","Received")</f>
        <v>Received</v>
      </c>
      <c r="I337" s="16" t="str">
        <f aca="false">IF(G337=0,"Not Invoiced","Invoiced")</f>
        <v>Invoiced</v>
      </c>
      <c r="J337" s="18" t="n">
        <f aca="false">E337-F337</f>
        <v>0</v>
      </c>
      <c r="K337" s="18" t="n">
        <f aca="false">E337-G337</f>
        <v>0</v>
      </c>
      <c r="L337" s="16" t="str">
        <f aca="false">IF(OR(AND(I337="Invoiced",H337="Not Received"),AND(F337&gt;0,ABS(J337)&gt;Assumptions!$B$6),AND(G337&gt;0,ABS(K337)&gt;Assumptions!$B$6)),"EXCEPTION","OK")</f>
        <v>OK</v>
      </c>
    </row>
    <row r="338" customFormat="false" ht="15" hidden="false" customHeight="false" outlineLevel="0" collapsed="false">
      <c r="A338" s="16" t="str">
        <f aca="false">Purchase_Orders!A335</f>
        <v>PO10334</v>
      </c>
      <c r="B338" s="16" t="str">
        <f aca="false">Purchase_Orders!B335</f>
        <v>V1006</v>
      </c>
      <c r="C338" s="16" t="str">
        <f aca="false">IFERROR(INDEX(Vendor_Master!$B$2:$B$41,MATCH(B338,Vendor_Master!$A$2:$A$41,0)),"Unknown Vendor")</f>
        <v>Blake and Sons</v>
      </c>
      <c r="D338" s="17" t="n">
        <f aca="false">Purchase_Orders!C335</f>
        <v>45824</v>
      </c>
      <c r="E338" s="18" t="n">
        <f aca="false">Purchase_Orders!D335</f>
        <v>5413.88</v>
      </c>
      <c r="F338" s="18" t="n">
        <f aca="false">SUMIFS(Goods_Receipt_Notes!$D$2:$D$791,Goods_Receipt_Notes!$B$2:$B$791,A338)</f>
        <v>5413.88</v>
      </c>
      <c r="G338" s="18" t="n">
        <f aca="false">SUMIFS(Vendor_Invoices_AP!$E$2:$E$882,Vendor_Invoices_AP!$B$2:$B$882,A338)</f>
        <v>5413.88</v>
      </c>
      <c r="H338" s="16" t="str">
        <f aca="false">IF(F338=0,"Not Received","Received")</f>
        <v>Received</v>
      </c>
      <c r="I338" s="16" t="str">
        <f aca="false">IF(G338=0,"Not Invoiced","Invoiced")</f>
        <v>Invoiced</v>
      </c>
      <c r="J338" s="18" t="n">
        <f aca="false">E338-F338</f>
        <v>0</v>
      </c>
      <c r="K338" s="18" t="n">
        <f aca="false">E338-G338</f>
        <v>0</v>
      </c>
      <c r="L338" s="16" t="str">
        <f aca="false">IF(OR(AND(I338="Invoiced",H338="Not Received"),AND(F338&gt;0,ABS(J338)&gt;Assumptions!$B$6),AND(G338&gt;0,ABS(K338)&gt;Assumptions!$B$6)),"EXCEPTION","OK")</f>
        <v>OK</v>
      </c>
    </row>
    <row r="339" customFormat="false" ht="15" hidden="false" customHeight="false" outlineLevel="0" collapsed="false">
      <c r="A339" s="16" t="str">
        <f aca="false">Purchase_Orders!A336</f>
        <v>PO10335</v>
      </c>
      <c r="B339" s="16" t="str">
        <f aca="false">Purchase_Orders!B336</f>
        <v>V1029</v>
      </c>
      <c r="C339" s="16" t="str">
        <f aca="false">IFERROR(INDEX(Vendor_Master!$B$2:$B$41,MATCH(B339,Vendor_Master!$A$2:$A$41,0)),"Unknown Vendor")</f>
        <v>Chavez Ltd</v>
      </c>
      <c r="D339" s="17" t="n">
        <f aca="false">Purchase_Orders!C336</f>
        <v>45996</v>
      </c>
      <c r="E339" s="18" t="n">
        <f aca="false">Purchase_Orders!D336</f>
        <v>4075.62</v>
      </c>
      <c r="F339" s="18" t="n">
        <f aca="false">SUMIFS(Goods_Receipt_Notes!$D$2:$D$791,Goods_Receipt_Notes!$B$2:$B$791,A339)</f>
        <v>4075.62</v>
      </c>
      <c r="G339" s="18" t="n">
        <f aca="false">SUMIFS(Vendor_Invoices_AP!$E$2:$E$882,Vendor_Invoices_AP!$B$2:$B$882,A339)</f>
        <v>4075.62</v>
      </c>
      <c r="H339" s="16" t="str">
        <f aca="false">IF(F339=0,"Not Received","Received")</f>
        <v>Received</v>
      </c>
      <c r="I339" s="16" t="str">
        <f aca="false">IF(G339=0,"Not Invoiced","Invoiced")</f>
        <v>Invoiced</v>
      </c>
      <c r="J339" s="18" t="n">
        <f aca="false">E339-F339</f>
        <v>0</v>
      </c>
      <c r="K339" s="18" t="n">
        <f aca="false">E339-G339</f>
        <v>0</v>
      </c>
      <c r="L339" s="16" t="str">
        <f aca="false">IF(OR(AND(I339="Invoiced",H339="Not Received"),AND(F339&gt;0,ABS(J339)&gt;Assumptions!$B$6),AND(G339&gt;0,ABS(K339)&gt;Assumptions!$B$6)),"EXCEPTION","OK")</f>
        <v>OK</v>
      </c>
    </row>
    <row r="340" customFormat="false" ht="15" hidden="false" customHeight="false" outlineLevel="0" collapsed="false">
      <c r="A340" s="16" t="str">
        <f aca="false">Purchase_Orders!A337</f>
        <v>PO10336</v>
      </c>
      <c r="B340" s="16" t="str">
        <f aca="false">Purchase_Orders!B337</f>
        <v>V1037</v>
      </c>
      <c r="C340" s="16" t="str">
        <f aca="false">IFERROR(INDEX(Vendor_Master!$B$2:$B$41,MATCH(B340,Vendor_Master!$A$2:$A$41,0)),"Unknown Vendor")</f>
        <v>Cannon, Anderson and Alvarez</v>
      </c>
      <c r="D340" s="17" t="n">
        <f aca="false">Purchase_Orders!C337</f>
        <v>45990</v>
      </c>
      <c r="E340" s="18" t="n">
        <f aca="false">Purchase_Orders!D337</f>
        <v>674.21</v>
      </c>
      <c r="F340" s="18" t="n">
        <f aca="false">SUMIFS(Goods_Receipt_Notes!$D$2:$D$791,Goods_Receipt_Notes!$B$2:$B$791,A340)</f>
        <v>674.21</v>
      </c>
      <c r="G340" s="18" t="n">
        <f aca="false">SUMIFS(Vendor_Invoices_AP!$E$2:$E$882,Vendor_Invoices_AP!$B$2:$B$882,A340)</f>
        <v>674.21</v>
      </c>
      <c r="H340" s="16" t="str">
        <f aca="false">IF(F340=0,"Not Received","Received")</f>
        <v>Received</v>
      </c>
      <c r="I340" s="16" t="str">
        <f aca="false">IF(G340=0,"Not Invoiced","Invoiced")</f>
        <v>Invoiced</v>
      </c>
      <c r="J340" s="18" t="n">
        <f aca="false">E340-F340</f>
        <v>0</v>
      </c>
      <c r="K340" s="18" t="n">
        <f aca="false">E340-G340</f>
        <v>0</v>
      </c>
      <c r="L340" s="16" t="str">
        <f aca="false">IF(OR(AND(I340="Invoiced",H340="Not Received"),AND(F340&gt;0,ABS(J340)&gt;Assumptions!$B$6),AND(G340&gt;0,ABS(K340)&gt;Assumptions!$B$6)),"EXCEPTION","OK")</f>
        <v>OK</v>
      </c>
    </row>
    <row r="341" customFormat="false" ht="15" hidden="false" customHeight="false" outlineLevel="0" collapsed="false">
      <c r="A341" s="16" t="str">
        <f aca="false">Purchase_Orders!A338</f>
        <v>PO10337</v>
      </c>
      <c r="B341" s="16" t="str">
        <f aca="false">Purchase_Orders!B338</f>
        <v>V1007</v>
      </c>
      <c r="C341" s="16" t="str">
        <f aca="false">IFERROR(INDEX(Vendor_Master!$B$2:$B$41,MATCH(B341,Vendor_Master!$A$2:$A$41,0)),"Unknown Vendor")</f>
        <v>Ramirez-Lewis</v>
      </c>
      <c r="D341" s="17" t="n">
        <f aca="false">Purchase_Orders!C338</f>
        <v>46061</v>
      </c>
      <c r="E341" s="18" t="n">
        <f aca="false">Purchase_Orders!D338</f>
        <v>1314.98</v>
      </c>
      <c r="F341" s="18" t="n">
        <f aca="false">SUMIFS(Goods_Receipt_Notes!$D$2:$D$791,Goods_Receipt_Notes!$B$2:$B$791,A341)</f>
        <v>0</v>
      </c>
      <c r="G341" s="18" t="n">
        <f aca="false">SUMIFS(Vendor_Invoices_AP!$E$2:$E$882,Vendor_Invoices_AP!$B$2:$B$882,A341)</f>
        <v>2629.96</v>
      </c>
      <c r="H341" s="16" t="str">
        <f aca="false">IF(F341=0,"Not Received","Received")</f>
        <v>Not Received</v>
      </c>
      <c r="I341" s="16" t="str">
        <f aca="false">IF(G341=0,"Not Invoiced","Invoiced")</f>
        <v>Invoiced</v>
      </c>
      <c r="J341" s="18" t="n">
        <f aca="false">E341-F341</f>
        <v>1314.98</v>
      </c>
      <c r="K341" s="18" t="n">
        <f aca="false">E341-G341</f>
        <v>-1314.98</v>
      </c>
      <c r="L341" s="16" t="str">
        <f aca="false">IF(OR(AND(I341="Invoiced",H341="Not Received"),AND(F341&gt;0,ABS(J341)&gt;Assumptions!$B$6),AND(G341&gt;0,ABS(K341)&gt;Assumptions!$B$6)),"EXCEPTION","OK")</f>
        <v>EXCEPTION</v>
      </c>
    </row>
    <row r="342" customFormat="false" ht="15" hidden="false" customHeight="false" outlineLevel="0" collapsed="false">
      <c r="A342" s="16" t="str">
        <f aca="false">Purchase_Orders!A339</f>
        <v>PO10338</v>
      </c>
      <c r="B342" s="16" t="str">
        <f aca="false">Purchase_Orders!B339</f>
        <v>V1040</v>
      </c>
      <c r="C342" s="16" t="str">
        <f aca="false">IFERROR(INDEX(Vendor_Master!$B$2:$B$41,MATCH(B342,Vendor_Master!$A$2:$A$41,0)),"Unknown Vendor")</f>
        <v>Santos, Kim and Holmes</v>
      </c>
      <c r="D342" s="17" t="n">
        <f aca="false">Purchase_Orders!C339</f>
        <v>46174</v>
      </c>
      <c r="E342" s="18" t="n">
        <f aca="false">Purchase_Orders!D339</f>
        <v>499.83</v>
      </c>
      <c r="F342" s="18" t="n">
        <f aca="false">SUMIFS(Goods_Receipt_Notes!$D$2:$D$791,Goods_Receipt_Notes!$B$2:$B$791,A342)</f>
        <v>499.83</v>
      </c>
      <c r="G342" s="18" t="n">
        <f aca="false">SUMIFS(Vendor_Invoices_AP!$E$2:$E$882,Vendor_Invoices_AP!$B$2:$B$882,A342)</f>
        <v>499.83</v>
      </c>
      <c r="H342" s="16" t="str">
        <f aca="false">IF(F342=0,"Not Received","Received")</f>
        <v>Received</v>
      </c>
      <c r="I342" s="16" t="str">
        <f aca="false">IF(G342=0,"Not Invoiced","Invoiced")</f>
        <v>Invoiced</v>
      </c>
      <c r="J342" s="18" t="n">
        <f aca="false">E342-F342</f>
        <v>0</v>
      </c>
      <c r="K342" s="18" t="n">
        <f aca="false">E342-G342</f>
        <v>0</v>
      </c>
      <c r="L342" s="16" t="str">
        <f aca="false">IF(OR(AND(I342="Invoiced",H342="Not Received"),AND(F342&gt;0,ABS(J342)&gt;Assumptions!$B$6),AND(G342&gt;0,ABS(K342)&gt;Assumptions!$B$6)),"EXCEPTION","OK")</f>
        <v>OK</v>
      </c>
    </row>
    <row r="343" customFormat="false" ht="15" hidden="false" customHeight="false" outlineLevel="0" collapsed="false">
      <c r="A343" s="16" t="str">
        <f aca="false">Purchase_Orders!A340</f>
        <v>PO10339</v>
      </c>
      <c r="B343" s="16" t="str">
        <f aca="false">Purchase_Orders!B340</f>
        <v>V1040</v>
      </c>
      <c r="C343" s="16" t="str">
        <f aca="false">IFERROR(INDEX(Vendor_Master!$B$2:$B$41,MATCH(B343,Vendor_Master!$A$2:$A$41,0)),"Unknown Vendor")</f>
        <v>Santos, Kim and Holmes</v>
      </c>
      <c r="D343" s="17" t="n">
        <f aca="false">Purchase_Orders!C340</f>
        <v>45771</v>
      </c>
      <c r="E343" s="18" t="n">
        <f aca="false">Purchase_Orders!D340</f>
        <v>427.04</v>
      </c>
      <c r="F343" s="18" t="n">
        <f aca="false">SUMIFS(Goods_Receipt_Notes!$D$2:$D$791,Goods_Receipt_Notes!$B$2:$B$791,A343)</f>
        <v>427.04</v>
      </c>
      <c r="G343" s="18" t="n">
        <f aca="false">SUMIFS(Vendor_Invoices_AP!$E$2:$E$882,Vendor_Invoices_AP!$B$2:$B$882,A343)</f>
        <v>854.08</v>
      </c>
      <c r="H343" s="16" t="str">
        <f aca="false">IF(F343=0,"Not Received","Received")</f>
        <v>Received</v>
      </c>
      <c r="I343" s="16" t="str">
        <f aca="false">IF(G343=0,"Not Invoiced","Invoiced")</f>
        <v>Invoiced</v>
      </c>
      <c r="J343" s="18" t="n">
        <f aca="false">E343-F343</f>
        <v>0</v>
      </c>
      <c r="K343" s="18" t="n">
        <f aca="false">E343-G343</f>
        <v>-427.04</v>
      </c>
      <c r="L343" s="16" t="str">
        <f aca="false">IF(OR(AND(I343="Invoiced",H343="Not Received"),AND(F343&gt;0,ABS(J343)&gt;Assumptions!$B$6),AND(G343&gt;0,ABS(K343)&gt;Assumptions!$B$6)),"EXCEPTION","OK")</f>
        <v>EXCEPTION</v>
      </c>
    </row>
    <row r="344" customFormat="false" ht="15" hidden="false" customHeight="false" outlineLevel="0" collapsed="false">
      <c r="A344" s="16" t="str">
        <f aca="false">Purchase_Orders!A341</f>
        <v>PO10340</v>
      </c>
      <c r="B344" s="16" t="str">
        <f aca="false">Purchase_Orders!B341</f>
        <v>V1003</v>
      </c>
      <c r="C344" s="16" t="str">
        <f aca="false">IFERROR(INDEX(Vendor_Master!$B$2:$B$41,MATCH(B344,Vendor_Master!$A$2:$A$41,0)),"Unknown Vendor")</f>
        <v>Johnson and Sons</v>
      </c>
      <c r="D344" s="17" t="n">
        <f aca="false">Purchase_Orders!C341</f>
        <v>45773</v>
      </c>
      <c r="E344" s="18" t="n">
        <f aca="false">Purchase_Orders!D341</f>
        <v>1109.9</v>
      </c>
      <c r="F344" s="18" t="n">
        <f aca="false">SUMIFS(Goods_Receipt_Notes!$D$2:$D$791,Goods_Receipt_Notes!$B$2:$B$791,A344)</f>
        <v>1109.9</v>
      </c>
      <c r="G344" s="18" t="n">
        <f aca="false">SUMIFS(Vendor_Invoices_AP!$E$2:$E$882,Vendor_Invoices_AP!$B$2:$B$882,A344)</f>
        <v>1109.9</v>
      </c>
      <c r="H344" s="16" t="str">
        <f aca="false">IF(F344=0,"Not Received","Received")</f>
        <v>Received</v>
      </c>
      <c r="I344" s="16" t="str">
        <f aca="false">IF(G344=0,"Not Invoiced","Invoiced")</f>
        <v>Invoiced</v>
      </c>
      <c r="J344" s="18" t="n">
        <f aca="false">E344-F344</f>
        <v>0</v>
      </c>
      <c r="K344" s="18" t="n">
        <f aca="false">E344-G344</f>
        <v>0</v>
      </c>
      <c r="L344" s="16" t="str">
        <f aca="false">IF(OR(AND(I344="Invoiced",H344="Not Received"),AND(F344&gt;0,ABS(J344)&gt;Assumptions!$B$6),AND(G344&gt;0,ABS(K344)&gt;Assumptions!$B$6)),"EXCEPTION","OK")</f>
        <v>OK</v>
      </c>
    </row>
    <row r="345" customFormat="false" ht="15" hidden="false" customHeight="false" outlineLevel="0" collapsed="false">
      <c r="A345" s="16" t="str">
        <f aca="false">Purchase_Orders!A342</f>
        <v>PO10341</v>
      </c>
      <c r="B345" s="16" t="str">
        <f aca="false">Purchase_Orders!B342</f>
        <v>V1001</v>
      </c>
      <c r="C345" s="16" t="str">
        <f aca="false">IFERROR(INDEX(Vendor_Master!$B$2:$B$41,MATCH(B345,Vendor_Master!$A$2:$A$41,0)),"Unknown Vendor")</f>
        <v>Figueroa and Sons</v>
      </c>
      <c r="D345" s="17" t="n">
        <f aca="false">Purchase_Orders!C342</f>
        <v>46017</v>
      </c>
      <c r="E345" s="18" t="n">
        <f aca="false">Purchase_Orders!D342</f>
        <v>3284.61</v>
      </c>
      <c r="F345" s="18" t="n">
        <f aca="false">SUMIFS(Goods_Receipt_Notes!$D$2:$D$791,Goods_Receipt_Notes!$B$2:$B$791,A345)</f>
        <v>3284.61</v>
      </c>
      <c r="G345" s="18" t="n">
        <f aca="false">SUMIFS(Vendor_Invoices_AP!$E$2:$E$882,Vendor_Invoices_AP!$B$2:$B$882,A345)</f>
        <v>3284.61</v>
      </c>
      <c r="H345" s="16" t="str">
        <f aca="false">IF(F345=0,"Not Received","Received")</f>
        <v>Received</v>
      </c>
      <c r="I345" s="16" t="str">
        <f aca="false">IF(G345=0,"Not Invoiced","Invoiced")</f>
        <v>Invoiced</v>
      </c>
      <c r="J345" s="18" t="n">
        <f aca="false">E345-F345</f>
        <v>0</v>
      </c>
      <c r="K345" s="18" t="n">
        <f aca="false">E345-G345</f>
        <v>0</v>
      </c>
      <c r="L345" s="16" t="str">
        <f aca="false">IF(OR(AND(I345="Invoiced",H345="Not Received"),AND(F345&gt;0,ABS(J345)&gt;Assumptions!$B$6),AND(G345&gt;0,ABS(K345)&gt;Assumptions!$B$6)),"EXCEPTION","OK")</f>
        <v>OK</v>
      </c>
    </row>
    <row r="346" customFormat="false" ht="15" hidden="false" customHeight="false" outlineLevel="0" collapsed="false">
      <c r="A346" s="16" t="str">
        <f aca="false">Purchase_Orders!A343</f>
        <v>PO10342</v>
      </c>
      <c r="B346" s="16" t="str">
        <f aca="false">Purchase_Orders!B343</f>
        <v>V1028</v>
      </c>
      <c r="C346" s="16" t="str">
        <f aca="false">IFERROR(INDEX(Vendor_Master!$B$2:$B$41,MATCH(B346,Vendor_Master!$A$2:$A$41,0)),"Unknown Vendor")</f>
        <v>Potter, Mack and Peterson</v>
      </c>
      <c r="D346" s="17" t="n">
        <f aca="false">Purchase_Orders!C343</f>
        <v>45743</v>
      </c>
      <c r="E346" s="18" t="n">
        <f aca="false">Purchase_Orders!D343</f>
        <v>2187.07</v>
      </c>
      <c r="F346" s="18" t="n">
        <f aca="false">SUMIFS(Goods_Receipt_Notes!$D$2:$D$791,Goods_Receipt_Notes!$B$2:$B$791,A346)</f>
        <v>2187.07</v>
      </c>
      <c r="G346" s="18" t="n">
        <f aca="false">SUMIFS(Vendor_Invoices_AP!$E$2:$E$882,Vendor_Invoices_AP!$B$2:$B$882,A346)</f>
        <v>2187.07</v>
      </c>
      <c r="H346" s="16" t="str">
        <f aca="false">IF(F346=0,"Not Received","Received")</f>
        <v>Received</v>
      </c>
      <c r="I346" s="16" t="str">
        <f aca="false">IF(G346=0,"Not Invoiced","Invoiced")</f>
        <v>Invoiced</v>
      </c>
      <c r="J346" s="18" t="n">
        <f aca="false">E346-F346</f>
        <v>0</v>
      </c>
      <c r="K346" s="18" t="n">
        <f aca="false">E346-G346</f>
        <v>0</v>
      </c>
      <c r="L346" s="16" t="str">
        <f aca="false">IF(OR(AND(I346="Invoiced",H346="Not Received"),AND(F346&gt;0,ABS(J346)&gt;Assumptions!$B$6),AND(G346&gt;0,ABS(K346)&gt;Assumptions!$B$6)),"EXCEPTION","OK")</f>
        <v>OK</v>
      </c>
    </row>
    <row r="347" customFormat="false" ht="15" hidden="false" customHeight="false" outlineLevel="0" collapsed="false">
      <c r="A347" s="16" t="str">
        <f aca="false">Purchase_Orders!A344</f>
        <v>PO10343</v>
      </c>
      <c r="B347" s="16" t="str">
        <f aca="false">Purchase_Orders!B344</f>
        <v>V1026</v>
      </c>
      <c r="C347" s="16" t="str">
        <f aca="false">IFERROR(INDEX(Vendor_Master!$B$2:$B$41,MATCH(B347,Vendor_Master!$A$2:$A$41,0)),"Unknown Vendor")</f>
        <v>James-Ferrell</v>
      </c>
      <c r="D347" s="17" t="n">
        <f aca="false">Purchase_Orders!C344</f>
        <v>45752</v>
      </c>
      <c r="E347" s="18" t="n">
        <f aca="false">Purchase_Orders!D344</f>
        <v>4407.35</v>
      </c>
      <c r="F347" s="18" t="n">
        <f aca="false">SUMIFS(Goods_Receipt_Notes!$D$2:$D$791,Goods_Receipt_Notes!$B$2:$B$791,A347)</f>
        <v>4407.35</v>
      </c>
      <c r="G347" s="18" t="n">
        <f aca="false">SUMIFS(Vendor_Invoices_AP!$E$2:$E$882,Vendor_Invoices_AP!$B$2:$B$882,A347)</f>
        <v>4407.35</v>
      </c>
      <c r="H347" s="16" t="str">
        <f aca="false">IF(F347=0,"Not Received","Received")</f>
        <v>Received</v>
      </c>
      <c r="I347" s="16" t="str">
        <f aca="false">IF(G347=0,"Not Invoiced","Invoiced")</f>
        <v>Invoiced</v>
      </c>
      <c r="J347" s="18" t="n">
        <f aca="false">E347-F347</f>
        <v>0</v>
      </c>
      <c r="K347" s="18" t="n">
        <f aca="false">E347-G347</f>
        <v>0</v>
      </c>
      <c r="L347" s="16" t="str">
        <f aca="false">IF(OR(AND(I347="Invoiced",H347="Not Received"),AND(F347&gt;0,ABS(J347)&gt;Assumptions!$B$6),AND(G347&gt;0,ABS(K347)&gt;Assumptions!$B$6)),"EXCEPTION","OK")</f>
        <v>OK</v>
      </c>
    </row>
    <row r="348" customFormat="false" ht="15" hidden="false" customHeight="false" outlineLevel="0" collapsed="false">
      <c r="A348" s="16" t="str">
        <f aca="false">Purchase_Orders!A345</f>
        <v>PO10344</v>
      </c>
      <c r="B348" s="16" t="str">
        <f aca="false">Purchase_Orders!B345</f>
        <v>V1024</v>
      </c>
      <c r="C348" s="16" t="str">
        <f aca="false">IFERROR(INDEX(Vendor_Master!$B$2:$B$41,MATCH(B348,Vendor_Master!$A$2:$A$41,0)),"Unknown Vendor")</f>
        <v>Campos Inc</v>
      </c>
      <c r="D348" s="17" t="n">
        <f aca="false">Purchase_Orders!C345</f>
        <v>45698</v>
      </c>
      <c r="E348" s="18" t="n">
        <f aca="false">Purchase_Orders!D345</f>
        <v>814.56</v>
      </c>
      <c r="F348" s="18" t="n">
        <f aca="false">SUMIFS(Goods_Receipt_Notes!$D$2:$D$791,Goods_Receipt_Notes!$B$2:$B$791,A348)</f>
        <v>814.56</v>
      </c>
      <c r="G348" s="18" t="n">
        <f aca="false">SUMIFS(Vendor_Invoices_AP!$E$2:$E$882,Vendor_Invoices_AP!$B$2:$B$882,A348)</f>
        <v>814.56</v>
      </c>
      <c r="H348" s="16" t="str">
        <f aca="false">IF(F348=0,"Not Received","Received")</f>
        <v>Received</v>
      </c>
      <c r="I348" s="16" t="str">
        <f aca="false">IF(G348=0,"Not Invoiced","Invoiced")</f>
        <v>Invoiced</v>
      </c>
      <c r="J348" s="18" t="n">
        <f aca="false">E348-F348</f>
        <v>0</v>
      </c>
      <c r="K348" s="18" t="n">
        <f aca="false">E348-G348</f>
        <v>0</v>
      </c>
      <c r="L348" s="16" t="str">
        <f aca="false">IF(OR(AND(I348="Invoiced",H348="Not Received"),AND(F348&gt;0,ABS(J348)&gt;Assumptions!$B$6),AND(G348&gt;0,ABS(K348)&gt;Assumptions!$B$6)),"EXCEPTION","OK")</f>
        <v>OK</v>
      </c>
    </row>
    <row r="349" customFormat="false" ht="15" hidden="false" customHeight="false" outlineLevel="0" collapsed="false">
      <c r="A349" s="16" t="str">
        <f aca="false">Purchase_Orders!A346</f>
        <v>PO10345</v>
      </c>
      <c r="B349" s="16" t="str">
        <f aca="false">Purchase_Orders!B346</f>
        <v>V1003</v>
      </c>
      <c r="C349" s="16" t="str">
        <f aca="false">IFERROR(INDEX(Vendor_Master!$B$2:$B$41,MATCH(B349,Vendor_Master!$A$2:$A$41,0)),"Unknown Vendor")</f>
        <v>Johnson and Sons</v>
      </c>
      <c r="D349" s="17" t="n">
        <f aca="false">Purchase_Orders!C346</f>
        <v>45659</v>
      </c>
      <c r="E349" s="18" t="n">
        <f aca="false">Purchase_Orders!D346</f>
        <v>988.16</v>
      </c>
      <c r="F349" s="18" t="n">
        <f aca="false">SUMIFS(Goods_Receipt_Notes!$D$2:$D$791,Goods_Receipt_Notes!$B$2:$B$791,A349)</f>
        <v>988.16</v>
      </c>
      <c r="G349" s="18" t="n">
        <f aca="false">SUMIFS(Vendor_Invoices_AP!$E$2:$E$882,Vendor_Invoices_AP!$B$2:$B$882,A349)</f>
        <v>988.16</v>
      </c>
      <c r="H349" s="16" t="str">
        <f aca="false">IF(F349=0,"Not Received","Received")</f>
        <v>Received</v>
      </c>
      <c r="I349" s="16" t="str">
        <f aca="false">IF(G349=0,"Not Invoiced","Invoiced")</f>
        <v>Invoiced</v>
      </c>
      <c r="J349" s="18" t="n">
        <f aca="false">E349-F349</f>
        <v>0</v>
      </c>
      <c r="K349" s="18" t="n">
        <f aca="false">E349-G349</f>
        <v>0</v>
      </c>
      <c r="L349" s="16" t="str">
        <f aca="false">IF(OR(AND(I349="Invoiced",H349="Not Received"),AND(F349&gt;0,ABS(J349)&gt;Assumptions!$B$6),AND(G349&gt;0,ABS(K349)&gt;Assumptions!$B$6)),"EXCEPTION","OK")</f>
        <v>OK</v>
      </c>
    </row>
    <row r="350" customFormat="false" ht="15" hidden="false" customHeight="false" outlineLevel="0" collapsed="false">
      <c r="A350" s="16" t="str">
        <f aca="false">Purchase_Orders!A347</f>
        <v>PO10346</v>
      </c>
      <c r="B350" s="16" t="str">
        <f aca="false">Purchase_Orders!B347</f>
        <v>V1003</v>
      </c>
      <c r="C350" s="16" t="str">
        <f aca="false">IFERROR(INDEX(Vendor_Master!$B$2:$B$41,MATCH(B350,Vendor_Master!$A$2:$A$41,0)),"Unknown Vendor")</f>
        <v>Johnson and Sons</v>
      </c>
      <c r="D350" s="17" t="n">
        <f aca="false">Purchase_Orders!C347</f>
        <v>45903</v>
      </c>
      <c r="E350" s="18" t="n">
        <f aca="false">Purchase_Orders!D347</f>
        <v>721.3</v>
      </c>
      <c r="F350" s="18" t="n">
        <f aca="false">SUMIFS(Goods_Receipt_Notes!$D$2:$D$791,Goods_Receipt_Notes!$B$2:$B$791,A350)</f>
        <v>721.3</v>
      </c>
      <c r="G350" s="18" t="n">
        <f aca="false">SUMIFS(Vendor_Invoices_AP!$E$2:$E$882,Vendor_Invoices_AP!$B$2:$B$882,A350)</f>
        <v>721.3</v>
      </c>
      <c r="H350" s="16" t="str">
        <f aca="false">IF(F350=0,"Not Received","Received")</f>
        <v>Received</v>
      </c>
      <c r="I350" s="16" t="str">
        <f aca="false">IF(G350=0,"Not Invoiced","Invoiced")</f>
        <v>Invoiced</v>
      </c>
      <c r="J350" s="18" t="n">
        <f aca="false">E350-F350</f>
        <v>0</v>
      </c>
      <c r="K350" s="18" t="n">
        <f aca="false">E350-G350</f>
        <v>0</v>
      </c>
      <c r="L350" s="16" t="str">
        <f aca="false">IF(OR(AND(I350="Invoiced",H350="Not Received"),AND(F350&gt;0,ABS(J350)&gt;Assumptions!$B$6),AND(G350&gt;0,ABS(K350)&gt;Assumptions!$B$6)),"EXCEPTION","OK")</f>
        <v>OK</v>
      </c>
    </row>
    <row r="351" customFormat="false" ht="15" hidden="false" customHeight="false" outlineLevel="0" collapsed="false">
      <c r="A351" s="16" t="str">
        <f aca="false">Purchase_Orders!A348</f>
        <v>PO10347</v>
      </c>
      <c r="B351" s="16" t="str">
        <f aca="false">Purchase_Orders!B348</f>
        <v>V1004</v>
      </c>
      <c r="C351" s="16" t="str">
        <f aca="false">IFERROR(INDEX(Vendor_Master!$B$2:$B$41,MATCH(B351,Vendor_Master!$A$2:$A$41,0)),"Unknown Vendor")</f>
        <v>Johnson, Gonzalez and Santos</v>
      </c>
      <c r="D351" s="17" t="n">
        <f aca="false">Purchase_Orders!C348</f>
        <v>45981</v>
      </c>
      <c r="E351" s="18" t="n">
        <f aca="false">Purchase_Orders!D348</f>
        <v>5762.48</v>
      </c>
      <c r="F351" s="18" t="n">
        <f aca="false">SUMIFS(Goods_Receipt_Notes!$D$2:$D$791,Goods_Receipt_Notes!$B$2:$B$791,A351)</f>
        <v>5762.48</v>
      </c>
      <c r="G351" s="18" t="n">
        <f aca="false">SUMIFS(Vendor_Invoices_AP!$E$2:$E$882,Vendor_Invoices_AP!$B$2:$B$882,A351)</f>
        <v>5762.48</v>
      </c>
      <c r="H351" s="16" t="str">
        <f aca="false">IF(F351=0,"Not Received","Received")</f>
        <v>Received</v>
      </c>
      <c r="I351" s="16" t="str">
        <f aca="false">IF(G351=0,"Not Invoiced","Invoiced")</f>
        <v>Invoiced</v>
      </c>
      <c r="J351" s="18" t="n">
        <f aca="false">E351-F351</f>
        <v>0</v>
      </c>
      <c r="K351" s="18" t="n">
        <f aca="false">E351-G351</f>
        <v>0</v>
      </c>
      <c r="L351" s="16" t="str">
        <f aca="false">IF(OR(AND(I351="Invoiced",H351="Not Received"),AND(F351&gt;0,ABS(J351)&gt;Assumptions!$B$6),AND(G351&gt;0,ABS(K351)&gt;Assumptions!$B$6)),"EXCEPTION","OK")</f>
        <v>OK</v>
      </c>
    </row>
    <row r="352" customFormat="false" ht="15" hidden="false" customHeight="false" outlineLevel="0" collapsed="false">
      <c r="A352" s="16" t="str">
        <f aca="false">Purchase_Orders!A349</f>
        <v>PO10348</v>
      </c>
      <c r="B352" s="16" t="str">
        <f aca="false">Purchase_Orders!B349</f>
        <v>V1005</v>
      </c>
      <c r="C352" s="16" t="str">
        <f aca="false">IFERROR(INDEX(Vendor_Master!$B$2:$B$41,MATCH(B352,Vendor_Master!$A$2:$A$41,0)),"Unknown Vendor")</f>
        <v>Cole LLC</v>
      </c>
      <c r="D352" s="17" t="n">
        <f aca="false">Purchase_Orders!C349</f>
        <v>45816</v>
      </c>
      <c r="E352" s="18" t="n">
        <f aca="false">Purchase_Orders!D349</f>
        <v>3958.91</v>
      </c>
      <c r="F352" s="18" t="n">
        <f aca="false">SUMIFS(Goods_Receipt_Notes!$D$2:$D$791,Goods_Receipt_Notes!$B$2:$B$791,A352)</f>
        <v>3958.91</v>
      </c>
      <c r="G352" s="18" t="n">
        <f aca="false">SUMIFS(Vendor_Invoices_AP!$E$2:$E$882,Vendor_Invoices_AP!$B$2:$B$882,A352)</f>
        <v>3958.91</v>
      </c>
      <c r="H352" s="16" t="str">
        <f aca="false">IF(F352=0,"Not Received","Received")</f>
        <v>Received</v>
      </c>
      <c r="I352" s="16" t="str">
        <f aca="false">IF(G352=0,"Not Invoiced","Invoiced")</f>
        <v>Invoiced</v>
      </c>
      <c r="J352" s="18" t="n">
        <f aca="false">E352-F352</f>
        <v>0</v>
      </c>
      <c r="K352" s="18" t="n">
        <f aca="false">E352-G352</f>
        <v>0</v>
      </c>
      <c r="L352" s="16" t="str">
        <f aca="false">IF(OR(AND(I352="Invoiced",H352="Not Received"),AND(F352&gt;0,ABS(J352)&gt;Assumptions!$B$6),AND(G352&gt;0,ABS(K352)&gt;Assumptions!$B$6)),"EXCEPTION","OK")</f>
        <v>OK</v>
      </c>
    </row>
    <row r="353" customFormat="false" ht="15" hidden="false" customHeight="false" outlineLevel="0" collapsed="false">
      <c r="A353" s="16" t="str">
        <f aca="false">Purchase_Orders!A350</f>
        <v>PO10349</v>
      </c>
      <c r="B353" s="16" t="str">
        <f aca="false">Purchase_Orders!B350</f>
        <v>V1001</v>
      </c>
      <c r="C353" s="16" t="str">
        <f aca="false">IFERROR(INDEX(Vendor_Master!$B$2:$B$41,MATCH(B353,Vendor_Master!$A$2:$A$41,0)),"Unknown Vendor")</f>
        <v>Figueroa and Sons</v>
      </c>
      <c r="D353" s="17" t="n">
        <f aca="false">Purchase_Orders!C350</f>
        <v>45784</v>
      </c>
      <c r="E353" s="18" t="n">
        <f aca="false">Purchase_Orders!D350</f>
        <v>3469.23</v>
      </c>
      <c r="F353" s="18" t="n">
        <f aca="false">SUMIFS(Goods_Receipt_Notes!$D$2:$D$791,Goods_Receipt_Notes!$B$2:$B$791,A353)</f>
        <v>3469.23</v>
      </c>
      <c r="G353" s="18" t="n">
        <f aca="false">SUMIFS(Vendor_Invoices_AP!$E$2:$E$882,Vendor_Invoices_AP!$B$2:$B$882,A353)</f>
        <v>3469.23</v>
      </c>
      <c r="H353" s="16" t="str">
        <f aca="false">IF(F353=0,"Not Received","Received")</f>
        <v>Received</v>
      </c>
      <c r="I353" s="16" t="str">
        <f aca="false">IF(G353=0,"Not Invoiced","Invoiced")</f>
        <v>Invoiced</v>
      </c>
      <c r="J353" s="18" t="n">
        <f aca="false">E353-F353</f>
        <v>0</v>
      </c>
      <c r="K353" s="18" t="n">
        <f aca="false">E353-G353</f>
        <v>0</v>
      </c>
      <c r="L353" s="16" t="str">
        <f aca="false">IF(OR(AND(I353="Invoiced",H353="Not Received"),AND(F353&gt;0,ABS(J353)&gt;Assumptions!$B$6),AND(G353&gt;0,ABS(K353)&gt;Assumptions!$B$6)),"EXCEPTION","OK")</f>
        <v>OK</v>
      </c>
    </row>
    <row r="354" customFormat="false" ht="15" hidden="false" customHeight="false" outlineLevel="0" collapsed="false">
      <c r="A354" s="16" t="str">
        <f aca="false">Purchase_Orders!A351</f>
        <v>PO10350</v>
      </c>
      <c r="B354" s="16" t="str">
        <f aca="false">Purchase_Orders!B351</f>
        <v>V1027</v>
      </c>
      <c r="C354" s="16" t="str">
        <f aca="false">IFERROR(INDEX(Vendor_Master!$B$2:$B$41,MATCH(B354,Vendor_Master!$A$2:$A$41,0)),"Unknown Vendor")</f>
        <v>Valencia, Smith and Le</v>
      </c>
      <c r="D354" s="17" t="n">
        <f aca="false">Purchase_Orders!C351</f>
        <v>46043</v>
      </c>
      <c r="E354" s="18" t="n">
        <f aca="false">Purchase_Orders!D351</f>
        <v>1655.98</v>
      </c>
      <c r="F354" s="18" t="n">
        <f aca="false">SUMIFS(Goods_Receipt_Notes!$D$2:$D$791,Goods_Receipt_Notes!$B$2:$B$791,A354)</f>
        <v>1655.98</v>
      </c>
      <c r="G354" s="18" t="n">
        <f aca="false">SUMIFS(Vendor_Invoices_AP!$E$2:$E$882,Vendor_Invoices_AP!$B$2:$B$882,A354)</f>
        <v>1655.98</v>
      </c>
      <c r="H354" s="16" t="str">
        <f aca="false">IF(F354=0,"Not Received","Received")</f>
        <v>Received</v>
      </c>
      <c r="I354" s="16" t="str">
        <f aca="false">IF(G354=0,"Not Invoiced","Invoiced")</f>
        <v>Invoiced</v>
      </c>
      <c r="J354" s="18" t="n">
        <f aca="false">E354-F354</f>
        <v>0</v>
      </c>
      <c r="K354" s="18" t="n">
        <f aca="false">E354-G354</f>
        <v>0</v>
      </c>
      <c r="L354" s="16" t="str">
        <f aca="false">IF(OR(AND(I354="Invoiced",H354="Not Received"),AND(F354&gt;0,ABS(J354)&gt;Assumptions!$B$6),AND(G354&gt;0,ABS(K354)&gt;Assumptions!$B$6)),"EXCEPTION","OK")</f>
        <v>OK</v>
      </c>
    </row>
    <row r="355" customFormat="false" ht="15" hidden="false" customHeight="false" outlineLevel="0" collapsed="false">
      <c r="A355" s="16" t="str">
        <f aca="false">Purchase_Orders!A352</f>
        <v>PO10351</v>
      </c>
      <c r="B355" s="16" t="str">
        <f aca="false">Purchase_Orders!B352</f>
        <v>V1025</v>
      </c>
      <c r="C355" s="16" t="str">
        <f aca="false">IFERROR(INDEX(Vendor_Master!$B$2:$B$41,MATCH(B355,Vendor_Master!$A$2:$A$41,0)),"Unknown Vendor")</f>
        <v>Conner Group</v>
      </c>
      <c r="D355" s="17" t="n">
        <f aca="false">Purchase_Orders!C352</f>
        <v>46041</v>
      </c>
      <c r="E355" s="18" t="n">
        <f aca="false">Purchase_Orders!D352</f>
        <v>1396.44</v>
      </c>
      <c r="F355" s="18" t="n">
        <f aca="false">SUMIFS(Goods_Receipt_Notes!$D$2:$D$791,Goods_Receipt_Notes!$B$2:$B$791,A355)</f>
        <v>1396.44</v>
      </c>
      <c r="G355" s="18" t="n">
        <f aca="false">SUMIFS(Vendor_Invoices_AP!$E$2:$E$882,Vendor_Invoices_AP!$B$2:$B$882,A355)</f>
        <v>1396.44</v>
      </c>
      <c r="H355" s="16" t="str">
        <f aca="false">IF(F355=0,"Not Received","Received")</f>
        <v>Received</v>
      </c>
      <c r="I355" s="16" t="str">
        <f aca="false">IF(G355=0,"Not Invoiced","Invoiced")</f>
        <v>Invoiced</v>
      </c>
      <c r="J355" s="18" t="n">
        <f aca="false">E355-F355</f>
        <v>0</v>
      </c>
      <c r="K355" s="18" t="n">
        <f aca="false">E355-G355</f>
        <v>0</v>
      </c>
      <c r="L355" s="16" t="str">
        <f aca="false">IF(OR(AND(I355="Invoiced",H355="Not Received"),AND(F355&gt;0,ABS(J355)&gt;Assumptions!$B$6),AND(G355&gt;0,ABS(K355)&gt;Assumptions!$B$6)),"EXCEPTION","OK")</f>
        <v>OK</v>
      </c>
    </row>
    <row r="356" customFormat="false" ht="15" hidden="false" customHeight="false" outlineLevel="0" collapsed="false">
      <c r="A356" s="16" t="str">
        <f aca="false">Purchase_Orders!A353</f>
        <v>PO10352</v>
      </c>
      <c r="B356" s="16" t="str">
        <f aca="false">Purchase_Orders!B353</f>
        <v>V1001</v>
      </c>
      <c r="C356" s="16" t="str">
        <f aca="false">IFERROR(INDEX(Vendor_Master!$B$2:$B$41,MATCH(B356,Vendor_Master!$A$2:$A$41,0)),"Unknown Vendor")</f>
        <v>Figueroa and Sons</v>
      </c>
      <c r="D356" s="17" t="n">
        <f aca="false">Purchase_Orders!C353</f>
        <v>45905</v>
      </c>
      <c r="E356" s="18" t="n">
        <f aca="false">Purchase_Orders!D353</f>
        <v>1682.49</v>
      </c>
      <c r="F356" s="18" t="n">
        <f aca="false">SUMIFS(Goods_Receipt_Notes!$D$2:$D$791,Goods_Receipt_Notes!$B$2:$B$791,A356)</f>
        <v>1682.49</v>
      </c>
      <c r="G356" s="18" t="n">
        <f aca="false">SUMIFS(Vendor_Invoices_AP!$E$2:$E$882,Vendor_Invoices_AP!$B$2:$B$882,A356)</f>
        <v>1682.49</v>
      </c>
      <c r="H356" s="16" t="str">
        <f aca="false">IF(F356=0,"Not Received","Received")</f>
        <v>Received</v>
      </c>
      <c r="I356" s="16" t="str">
        <f aca="false">IF(G356=0,"Not Invoiced","Invoiced")</f>
        <v>Invoiced</v>
      </c>
      <c r="J356" s="18" t="n">
        <f aca="false">E356-F356</f>
        <v>0</v>
      </c>
      <c r="K356" s="18" t="n">
        <f aca="false">E356-G356</f>
        <v>0</v>
      </c>
      <c r="L356" s="16" t="str">
        <f aca="false">IF(OR(AND(I356="Invoiced",H356="Not Received"),AND(F356&gt;0,ABS(J356)&gt;Assumptions!$B$6),AND(G356&gt;0,ABS(K356)&gt;Assumptions!$B$6)),"EXCEPTION","OK")</f>
        <v>OK</v>
      </c>
    </row>
    <row r="357" customFormat="false" ht="15" hidden="false" customHeight="false" outlineLevel="0" collapsed="false">
      <c r="A357" s="16" t="str">
        <f aca="false">Purchase_Orders!A354</f>
        <v>PO10353</v>
      </c>
      <c r="B357" s="16" t="str">
        <f aca="false">Purchase_Orders!B354</f>
        <v>V1037</v>
      </c>
      <c r="C357" s="16" t="str">
        <f aca="false">IFERROR(INDEX(Vendor_Master!$B$2:$B$41,MATCH(B357,Vendor_Master!$A$2:$A$41,0)),"Unknown Vendor")</f>
        <v>Cannon, Anderson and Alvarez</v>
      </c>
      <c r="D357" s="17" t="n">
        <f aca="false">Purchase_Orders!C354</f>
        <v>46032</v>
      </c>
      <c r="E357" s="18" t="n">
        <f aca="false">Purchase_Orders!D354</f>
        <v>1974.18</v>
      </c>
      <c r="F357" s="18" t="n">
        <f aca="false">SUMIFS(Goods_Receipt_Notes!$D$2:$D$791,Goods_Receipt_Notes!$B$2:$B$791,A357)</f>
        <v>1974.18</v>
      </c>
      <c r="G357" s="18" t="n">
        <f aca="false">SUMIFS(Vendor_Invoices_AP!$E$2:$E$882,Vendor_Invoices_AP!$B$2:$B$882,A357)</f>
        <v>1974.18</v>
      </c>
      <c r="H357" s="16" t="str">
        <f aca="false">IF(F357=0,"Not Received","Received")</f>
        <v>Received</v>
      </c>
      <c r="I357" s="16" t="str">
        <f aca="false">IF(G357=0,"Not Invoiced","Invoiced")</f>
        <v>Invoiced</v>
      </c>
      <c r="J357" s="18" t="n">
        <f aca="false">E357-F357</f>
        <v>0</v>
      </c>
      <c r="K357" s="18" t="n">
        <f aca="false">E357-G357</f>
        <v>0</v>
      </c>
      <c r="L357" s="16" t="str">
        <f aca="false">IF(OR(AND(I357="Invoiced",H357="Not Received"),AND(F357&gt;0,ABS(J357)&gt;Assumptions!$B$6),AND(G357&gt;0,ABS(K357)&gt;Assumptions!$B$6)),"EXCEPTION","OK")</f>
        <v>OK</v>
      </c>
    </row>
    <row r="358" customFormat="false" ht="15" hidden="false" customHeight="false" outlineLevel="0" collapsed="false">
      <c r="A358" s="16" t="str">
        <f aca="false">Purchase_Orders!A355</f>
        <v>PO10354</v>
      </c>
      <c r="B358" s="16" t="str">
        <f aca="false">Purchase_Orders!B355</f>
        <v>V1005</v>
      </c>
      <c r="C358" s="16" t="str">
        <f aca="false">IFERROR(INDEX(Vendor_Master!$B$2:$B$41,MATCH(B358,Vendor_Master!$A$2:$A$41,0)),"Unknown Vendor")</f>
        <v>Cole LLC</v>
      </c>
      <c r="D358" s="17" t="n">
        <f aca="false">Purchase_Orders!C355</f>
        <v>46161</v>
      </c>
      <c r="E358" s="18" t="n">
        <f aca="false">Purchase_Orders!D355</f>
        <v>2573.5</v>
      </c>
      <c r="F358" s="18" t="n">
        <f aca="false">SUMIFS(Goods_Receipt_Notes!$D$2:$D$791,Goods_Receipt_Notes!$B$2:$B$791,A358)</f>
        <v>2573.5</v>
      </c>
      <c r="G358" s="18" t="n">
        <f aca="false">SUMIFS(Vendor_Invoices_AP!$E$2:$E$882,Vendor_Invoices_AP!$B$2:$B$882,A358)</f>
        <v>2573.5</v>
      </c>
      <c r="H358" s="16" t="str">
        <f aca="false">IF(F358=0,"Not Received","Received")</f>
        <v>Received</v>
      </c>
      <c r="I358" s="16" t="str">
        <f aca="false">IF(G358=0,"Not Invoiced","Invoiced")</f>
        <v>Invoiced</v>
      </c>
      <c r="J358" s="18" t="n">
        <f aca="false">E358-F358</f>
        <v>0</v>
      </c>
      <c r="K358" s="18" t="n">
        <f aca="false">E358-G358</f>
        <v>0</v>
      </c>
      <c r="L358" s="16" t="str">
        <f aca="false">IF(OR(AND(I358="Invoiced",H358="Not Received"),AND(F358&gt;0,ABS(J358)&gt;Assumptions!$B$6),AND(G358&gt;0,ABS(K358)&gt;Assumptions!$B$6)),"EXCEPTION","OK")</f>
        <v>OK</v>
      </c>
    </row>
    <row r="359" customFormat="false" ht="15" hidden="false" customHeight="false" outlineLevel="0" collapsed="false">
      <c r="A359" s="16" t="str">
        <f aca="false">Purchase_Orders!A356</f>
        <v>PO10355</v>
      </c>
      <c r="B359" s="16" t="str">
        <f aca="false">Purchase_Orders!B356</f>
        <v>V1033</v>
      </c>
      <c r="C359" s="16" t="str">
        <f aca="false">IFERROR(INDEX(Vendor_Master!$B$2:$B$41,MATCH(B359,Vendor_Master!$A$2:$A$41,0)),"Unknown Vendor")</f>
        <v>Sellers, George and Burns</v>
      </c>
      <c r="D359" s="17" t="n">
        <f aca="false">Purchase_Orders!C356</f>
        <v>46087</v>
      </c>
      <c r="E359" s="18" t="n">
        <f aca="false">Purchase_Orders!D356</f>
        <v>3009.14</v>
      </c>
      <c r="F359" s="18" t="n">
        <f aca="false">SUMIFS(Goods_Receipt_Notes!$D$2:$D$791,Goods_Receipt_Notes!$B$2:$B$791,A359)</f>
        <v>3009.14</v>
      </c>
      <c r="G359" s="18" t="n">
        <f aca="false">SUMIFS(Vendor_Invoices_AP!$E$2:$E$882,Vendor_Invoices_AP!$B$2:$B$882,A359)</f>
        <v>3355.88</v>
      </c>
      <c r="H359" s="16" t="str">
        <f aca="false">IF(F359=0,"Not Received","Received")</f>
        <v>Received</v>
      </c>
      <c r="I359" s="16" t="str">
        <f aca="false">IF(G359=0,"Not Invoiced","Invoiced")</f>
        <v>Invoiced</v>
      </c>
      <c r="J359" s="18" t="n">
        <f aca="false">E359-F359</f>
        <v>0</v>
      </c>
      <c r="K359" s="18" t="n">
        <f aca="false">E359-G359</f>
        <v>-346.74</v>
      </c>
      <c r="L359" s="16" t="str">
        <f aca="false">IF(OR(AND(I359="Invoiced",H359="Not Received"),AND(F359&gt;0,ABS(J359)&gt;Assumptions!$B$6),AND(G359&gt;0,ABS(K359)&gt;Assumptions!$B$6)),"EXCEPTION","OK")</f>
        <v>EXCEPTION</v>
      </c>
    </row>
    <row r="360" customFormat="false" ht="15" hidden="false" customHeight="false" outlineLevel="0" collapsed="false">
      <c r="A360" s="16" t="str">
        <f aca="false">Purchase_Orders!A357</f>
        <v>PO10356</v>
      </c>
      <c r="B360" s="16" t="str">
        <f aca="false">Purchase_Orders!B357</f>
        <v>V1020</v>
      </c>
      <c r="C360" s="16" t="str">
        <f aca="false">IFERROR(INDEX(Vendor_Master!$B$2:$B$41,MATCH(B360,Vendor_Master!$A$2:$A$41,0)),"Unknown Vendor")</f>
        <v>Lewis-Porter</v>
      </c>
      <c r="D360" s="17" t="n">
        <f aca="false">Purchase_Orders!C357</f>
        <v>45998</v>
      </c>
      <c r="E360" s="18" t="n">
        <f aca="false">Purchase_Orders!D357</f>
        <v>2928.06</v>
      </c>
      <c r="F360" s="18" t="n">
        <f aca="false">SUMIFS(Goods_Receipt_Notes!$D$2:$D$791,Goods_Receipt_Notes!$B$2:$B$791,A360)</f>
        <v>2928.06</v>
      </c>
      <c r="G360" s="18" t="n">
        <f aca="false">SUMIFS(Vendor_Invoices_AP!$E$2:$E$882,Vendor_Invoices_AP!$B$2:$B$882,A360)</f>
        <v>2928.06</v>
      </c>
      <c r="H360" s="16" t="str">
        <f aca="false">IF(F360=0,"Not Received","Received")</f>
        <v>Received</v>
      </c>
      <c r="I360" s="16" t="str">
        <f aca="false">IF(G360=0,"Not Invoiced","Invoiced")</f>
        <v>Invoiced</v>
      </c>
      <c r="J360" s="18" t="n">
        <f aca="false">E360-F360</f>
        <v>0</v>
      </c>
      <c r="K360" s="18" t="n">
        <f aca="false">E360-G360</f>
        <v>0</v>
      </c>
      <c r="L360" s="16" t="str">
        <f aca="false">IF(OR(AND(I360="Invoiced",H360="Not Received"),AND(F360&gt;0,ABS(J360)&gt;Assumptions!$B$6),AND(G360&gt;0,ABS(K360)&gt;Assumptions!$B$6)),"EXCEPTION","OK")</f>
        <v>OK</v>
      </c>
    </row>
    <row r="361" customFormat="false" ht="15" hidden="false" customHeight="false" outlineLevel="0" collapsed="false">
      <c r="A361" s="16" t="str">
        <f aca="false">Purchase_Orders!A358</f>
        <v>PO10357</v>
      </c>
      <c r="B361" s="16" t="str">
        <f aca="false">Purchase_Orders!B358</f>
        <v>V1040</v>
      </c>
      <c r="C361" s="16" t="str">
        <f aca="false">IFERROR(INDEX(Vendor_Master!$B$2:$B$41,MATCH(B361,Vendor_Master!$A$2:$A$41,0)),"Unknown Vendor")</f>
        <v>Santos, Kim and Holmes</v>
      </c>
      <c r="D361" s="17" t="n">
        <f aca="false">Purchase_Orders!C358</f>
        <v>46018</v>
      </c>
      <c r="E361" s="18" t="n">
        <f aca="false">Purchase_Orders!D358</f>
        <v>3306.72</v>
      </c>
      <c r="F361" s="18" t="n">
        <f aca="false">SUMIFS(Goods_Receipt_Notes!$D$2:$D$791,Goods_Receipt_Notes!$B$2:$B$791,A361)</f>
        <v>3306.72</v>
      </c>
      <c r="G361" s="18" t="n">
        <f aca="false">SUMIFS(Vendor_Invoices_AP!$E$2:$E$882,Vendor_Invoices_AP!$B$2:$B$882,A361)</f>
        <v>3306.72</v>
      </c>
      <c r="H361" s="16" t="str">
        <f aca="false">IF(F361=0,"Not Received","Received")</f>
        <v>Received</v>
      </c>
      <c r="I361" s="16" t="str">
        <f aca="false">IF(G361=0,"Not Invoiced","Invoiced")</f>
        <v>Invoiced</v>
      </c>
      <c r="J361" s="18" t="n">
        <f aca="false">E361-F361</f>
        <v>0</v>
      </c>
      <c r="K361" s="18" t="n">
        <f aca="false">E361-G361</f>
        <v>0</v>
      </c>
      <c r="L361" s="16" t="str">
        <f aca="false">IF(OR(AND(I361="Invoiced",H361="Not Received"),AND(F361&gt;0,ABS(J361)&gt;Assumptions!$B$6),AND(G361&gt;0,ABS(K361)&gt;Assumptions!$B$6)),"EXCEPTION","OK")</f>
        <v>OK</v>
      </c>
    </row>
    <row r="362" customFormat="false" ht="15" hidden="false" customHeight="false" outlineLevel="0" collapsed="false">
      <c r="A362" s="16" t="str">
        <f aca="false">Purchase_Orders!A359</f>
        <v>PO10358</v>
      </c>
      <c r="B362" s="16" t="str">
        <f aca="false">Purchase_Orders!B359</f>
        <v>V1019</v>
      </c>
      <c r="C362" s="16" t="str">
        <f aca="false">IFERROR(INDEX(Vendor_Master!$B$2:$B$41,MATCH(B362,Vendor_Master!$A$2:$A$41,0)),"Unknown Vendor")</f>
        <v>Clark PLC</v>
      </c>
      <c r="D362" s="17" t="n">
        <f aca="false">Purchase_Orders!C359</f>
        <v>46166</v>
      </c>
      <c r="E362" s="18" t="n">
        <f aca="false">Purchase_Orders!D359</f>
        <v>7330.11</v>
      </c>
      <c r="F362" s="18" t="n">
        <f aca="false">SUMIFS(Goods_Receipt_Notes!$D$2:$D$791,Goods_Receipt_Notes!$B$2:$B$791,A362)</f>
        <v>0</v>
      </c>
      <c r="G362" s="18" t="n">
        <f aca="false">SUMIFS(Vendor_Invoices_AP!$E$2:$E$882,Vendor_Invoices_AP!$B$2:$B$882,A362)</f>
        <v>7330.11</v>
      </c>
      <c r="H362" s="16" t="str">
        <f aca="false">IF(F362=0,"Not Received","Received")</f>
        <v>Not Received</v>
      </c>
      <c r="I362" s="16" t="str">
        <f aca="false">IF(G362=0,"Not Invoiced","Invoiced")</f>
        <v>Invoiced</v>
      </c>
      <c r="J362" s="18" t="n">
        <f aca="false">E362-F362</f>
        <v>7330.11</v>
      </c>
      <c r="K362" s="18" t="n">
        <f aca="false">E362-G362</f>
        <v>0</v>
      </c>
      <c r="L362" s="16" t="str">
        <f aca="false">IF(OR(AND(I362="Invoiced",H362="Not Received"),AND(F362&gt;0,ABS(J362)&gt;Assumptions!$B$6),AND(G362&gt;0,ABS(K362)&gt;Assumptions!$B$6)),"EXCEPTION","OK")</f>
        <v>EXCEPTION</v>
      </c>
    </row>
    <row r="363" customFormat="false" ht="15" hidden="false" customHeight="false" outlineLevel="0" collapsed="false">
      <c r="A363" s="16" t="str">
        <f aca="false">Purchase_Orders!A360</f>
        <v>PO10359</v>
      </c>
      <c r="B363" s="16" t="str">
        <f aca="false">Purchase_Orders!B360</f>
        <v>V1040</v>
      </c>
      <c r="C363" s="16" t="str">
        <f aca="false">IFERROR(INDEX(Vendor_Master!$B$2:$B$41,MATCH(B363,Vendor_Master!$A$2:$A$41,0)),"Unknown Vendor")</f>
        <v>Santos, Kim and Holmes</v>
      </c>
      <c r="D363" s="17" t="n">
        <f aca="false">Purchase_Orders!C360</f>
        <v>45889</v>
      </c>
      <c r="E363" s="18" t="n">
        <f aca="false">Purchase_Orders!D360</f>
        <v>305.65</v>
      </c>
      <c r="F363" s="18" t="n">
        <f aca="false">SUMIFS(Goods_Receipt_Notes!$D$2:$D$791,Goods_Receipt_Notes!$B$2:$B$791,A363)</f>
        <v>305.65</v>
      </c>
      <c r="G363" s="18" t="n">
        <f aca="false">SUMIFS(Vendor_Invoices_AP!$E$2:$E$882,Vendor_Invoices_AP!$B$2:$B$882,A363)</f>
        <v>305.65</v>
      </c>
      <c r="H363" s="16" t="str">
        <f aca="false">IF(F363=0,"Not Received","Received")</f>
        <v>Received</v>
      </c>
      <c r="I363" s="16" t="str">
        <f aca="false">IF(G363=0,"Not Invoiced","Invoiced")</f>
        <v>Invoiced</v>
      </c>
      <c r="J363" s="18" t="n">
        <f aca="false">E363-F363</f>
        <v>0</v>
      </c>
      <c r="K363" s="18" t="n">
        <f aca="false">E363-G363</f>
        <v>0</v>
      </c>
      <c r="L363" s="16" t="str">
        <f aca="false">IF(OR(AND(I363="Invoiced",H363="Not Received"),AND(F363&gt;0,ABS(J363)&gt;Assumptions!$B$6),AND(G363&gt;0,ABS(K363)&gt;Assumptions!$B$6)),"EXCEPTION","OK")</f>
        <v>OK</v>
      </c>
    </row>
    <row r="364" customFormat="false" ht="15" hidden="false" customHeight="false" outlineLevel="0" collapsed="false">
      <c r="A364" s="16" t="str">
        <f aca="false">Purchase_Orders!A361</f>
        <v>PO10360</v>
      </c>
      <c r="B364" s="16" t="str">
        <f aca="false">Purchase_Orders!B361</f>
        <v>V1012</v>
      </c>
      <c r="C364" s="16" t="str">
        <f aca="false">IFERROR(INDEX(Vendor_Master!$B$2:$B$41,MATCH(B364,Vendor_Master!$A$2:$A$41,0)),"Unknown Vendor")</f>
        <v>Stanley LLC</v>
      </c>
      <c r="D364" s="17" t="n">
        <f aca="false">Purchase_Orders!C361</f>
        <v>45954</v>
      </c>
      <c r="E364" s="18" t="n">
        <f aca="false">Purchase_Orders!D361</f>
        <v>695.44</v>
      </c>
      <c r="F364" s="18" t="n">
        <f aca="false">SUMIFS(Goods_Receipt_Notes!$D$2:$D$791,Goods_Receipt_Notes!$B$2:$B$791,A364)</f>
        <v>695.44</v>
      </c>
      <c r="G364" s="18" t="n">
        <f aca="false">SUMIFS(Vendor_Invoices_AP!$E$2:$E$882,Vendor_Invoices_AP!$B$2:$B$882,A364)</f>
        <v>695.44</v>
      </c>
      <c r="H364" s="16" t="str">
        <f aca="false">IF(F364=0,"Not Received","Received")</f>
        <v>Received</v>
      </c>
      <c r="I364" s="16" t="str">
        <f aca="false">IF(G364=0,"Not Invoiced","Invoiced")</f>
        <v>Invoiced</v>
      </c>
      <c r="J364" s="18" t="n">
        <f aca="false">E364-F364</f>
        <v>0</v>
      </c>
      <c r="K364" s="18" t="n">
        <f aca="false">E364-G364</f>
        <v>0</v>
      </c>
      <c r="L364" s="16" t="str">
        <f aca="false">IF(OR(AND(I364="Invoiced",H364="Not Received"),AND(F364&gt;0,ABS(J364)&gt;Assumptions!$B$6),AND(G364&gt;0,ABS(K364)&gt;Assumptions!$B$6)),"EXCEPTION","OK")</f>
        <v>OK</v>
      </c>
    </row>
    <row r="365" customFormat="false" ht="15" hidden="false" customHeight="false" outlineLevel="0" collapsed="false">
      <c r="A365" s="16" t="str">
        <f aca="false">Purchase_Orders!A362</f>
        <v>PO10361</v>
      </c>
      <c r="B365" s="16" t="str">
        <f aca="false">Purchase_Orders!B362</f>
        <v>V1004</v>
      </c>
      <c r="C365" s="16" t="str">
        <f aca="false">IFERROR(INDEX(Vendor_Master!$B$2:$B$41,MATCH(B365,Vendor_Master!$A$2:$A$41,0)),"Unknown Vendor")</f>
        <v>Johnson, Gonzalez and Santos</v>
      </c>
      <c r="D365" s="17" t="n">
        <f aca="false">Purchase_Orders!C362</f>
        <v>46010</v>
      </c>
      <c r="E365" s="18" t="n">
        <f aca="false">Purchase_Orders!D362</f>
        <v>8378.51</v>
      </c>
      <c r="F365" s="18" t="n">
        <f aca="false">SUMIFS(Goods_Receipt_Notes!$D$2:$D$791,Goods_Receipt_Notes!$B$2:$B$791,A365)</f>
        <v>8378.51</v>
      </c>
      <c r="G365" s="18" t="n">
        <f aca="false">SUMIFS(Vendor_Invoices_AP!$E$2:$E$882,Vendor_Invoices_AP!$B$2:$B$882,A365)</f>
        <v>8378.51</v>
      </c>
      <c r="H365" s="16" t="str">
        <f aca="false">IF(F365=0,"Not Received","Received")</f>
        <v>Received</v>
      </c>
      <c r="I365" s="16" t="str">
        <f aca="false">IF(G365=0,"Not Invoiced","Invoiced")</f>
        <v>Invoiced</v>
      </c>
      <c r="J365" s="18" t="n">
        <f aca="false">E365-F365</f>
        <v>0</v>
      </c>
      <c r="K365" s="18" t="n">
        <f aca="false">E365-G365</f>
        <v>0</v>
      </c>
      <c r="L365" s="16" t="str">
        <f aca="false">IF(OR(AND(I365="Invoiced",H365="Not Received"),AND(F365&gt;0,ABS(J365)&gt;Assumptions!$B$6),AND(G365&gt;0,ABS(K365)&gt;Assumptions!$B$6)),"EXCEPTION","OK")</f>
        <v>OK</v>
      </c>
    </row>
    <row r="366" customFormat="false" ht="15" hidden="false" customHeight="false" outlineLevel="0" collapsed="false">
      <c r="A366" s="16" t="str">
        <f aca="false">Purchase_Orders!A363</f>
        <v>PO10362</v>
      </c>
      <c r="B366" s="16" t="str">
        <f aca="false">Purchase_Orders!B363</f>
        <v>V1005</v>
      </c>
      <c r="C366" s="16" t="str">
        <f aca="false">IFERROR(INDEX(Vendor_Master!$B$2:$B$41,MATCH(B366,Vendor_Master!$A$2:$A$41,0)),"Unknown Vendor")</f>
        <v>Cole LLC</v>
      </c>
      <c r="D366" s="17" t="n">
        <f aca="false">Purchase_Orders!C363</f>
        <v>46153</v>
      </c>
      <c r="E366" s="18" t="n">
        <f aca="false">Purchase_Orders!D363</f>
        <v>1194.11</v>
      </c>
      <c r="F366" s="18" t="n">
        <f aca="false">SUMIFS(Goods_Receipt_Notes!$D$2:$D$791,Goods_Receipt_Notes!$B$2:$B$791,A366)</f>
        <v>1194.11</v>
      </c>
      <c r="G366" s="18" t="n">
        <f aca="false">SUMIFS(Vendor_Invoices_AP!$E$2:$E$882,Vendor_Invoices_AP!$B$2:$B$882,A366)</f>
        <v>1194.11</v>
      </c>
      <c r="H366" s="16" t="str">
        <f aca="false">IF(F366=0,"Not Received","Received")</f>
        <v>Received</v>
      </c>
      <c r="I366" s="16" t="str">
        <f aca="false">IF(G366=0,"Not Invoiced","Invoiced")</f>
        <v>Invoiced</v>
      </c>
      <c r="J366" s="18" t="n">
        <f aca="false">E366-F366</f>
        <v>0</v>
      </c>
      <c r="K366" s="18" t="n">
        <f aca="false">E366-G366</f>
        <v>0</v>
      </c>
      <c r="L366" s="16" t="str">
        <f aca="false">IF(OR(AND(I366="Invoiced",H366="Not Received"),AND(F366&gt;0,ABS(J366)&gt;Assumptions!$B$6),AND(G366&gt;0,ABS(K366)&gt;Assumptions!$B$6)),"EXCEPTION","OK")</f>
        <v>OK</v>
      </c>
    </row>
    <row r="367" customFormat="false" ht="15" hidden="false" customHeight="false" outlineLevel="0" collapsed="false">
      <c r="A367" s="16" t="str">
        <f aca="false">Purchase_Orders!A364</f>
        <v>PO10363</v>
      </c>
      <c r="B367" s="16" t="str">
        <f aca="false">Purchase_Orders!B364</f>
        <v>V1013</v>
      </c>
      <c r="C367" s="16" t="str">
        <f aca="false">IFERROR(INDEX(Vendor_Master!$B$2:$B$41,MATCH(B367,Vendor_Master!$A$2:$A$41,0)),"Unknown Vendor")</f>
        <v>Delacruz Group</v>
      </c>
      <c r="D367" s="17" t="n">
        <f aca="false">Purchase_Orders!C364</f>
        <v>46108</v>
      </c>
      <c r="E367" s="18" t="n">
        <f aca="false">Purchase_Orders!D364</f>
        <v>755.76</v>
      </c>
      <c r="F367" s="18" t="n">
        <f aca="false">SUMIFS(Goods_Receipt_Notes!$D$2:$D$791,Goods_Receipt_Notes!$B$2:$B$791,A367)</f>
        <v>755.76</v>
      </c>
      <c r="G367" s="18" t="n">
        <f aca="false">SUMIFS(Vendor_Invoices_AP!$E$2:$E$882,Vendor_Invoices_AP!$B$2:$B$882,A367)</f>
        <v>755.76</v>
      </c>
      <c r="H367" s="16" t="str">
        <f aca="false">IF(F367=0,"Not Received","Received")</f>
        <v>Received</v>
      </c>
      <c r="I367" s="16" t="str">
        <f aca="false">IF(G367=0,"Not Invoiced","Invoiced")</f>
        <v>Invoiced</v>
      </c>
      <c r="J367" s="18" t="n">
        <f aca="false">E367-F367</f>
        <v>0</v>
      </c>
      <c r="K367" s="18" t="n">
        <f aca="false">E367-G367</f>
        <v>0</v>
      </c>
      <c r="L367" s="16" t="str">
        <f aca="false">IF(OR(AND(I367="Invoiced",H367="Not Received"),AND(F367&gt;0,ABS(J367)&gt;Assumptions!$B$6),AND(G367&gt;0,ABS(K367)&gt;Assumptions!$B$6)),"EXCEPTION","OK")</f>
        <v>OK</v>
      </c>
    </row>
    <row r="368" customFormat="false" ht="15" hidden="false" customHeight="false" outlineLevel="0" collapsed="false">
      <c r="A368" s="16" t="str">
        <f aca="false">Purchase_Orders!A365</f>
        <v>PO10364</v>
      </c>
      <c r="B368" s="16" t="str">
        <f aca="false">Purchase_Orders!B365</f>
        <v>V1033</v>
      </c>
      <c r="C368" s="16" t="str">
        <f aca="false">IFERROR(INDEX(Vendor_Master!$B$2:$B$41,MATCH(B368,Vendor_Master!$A$2:$A$41,0)),"Unknown Vendor")</f>
        <v>Sellers, George and Burns</v>
      </c>
      <c r="D368" s="17" t="n">
        <f aca="false">Purchase_Orders!C365</f>
        <v>45696</v>
      </c>
      <c r="E368" s="18" t="n">
        <f aca="false">Purchase_Orders!D365</f>
        <v>14821.15</v>
      </c>
      <c r="F368" s="18" t="n">
        <f aca="false">SUMIFS(Goods_Receipt_Notes!$D$2:$D$791,Goods_Receipt_Notes!$B$2:$B$791,A368)</f>
        <v>14821.15</v>
      </c>
      <c r="G368" s="18" t="n">
        <f aca="false">SUMIFS(Vendor_Invoices_AP!$E$2:$E$882,Vendor_Invoices_AP!$B$2:$B$882,A368)</f>
        <v>14821.15</v>
      </c>
      <c r="H368" s="16" t="str">
        <f aca="false">IF(F368=0,"Not Received","Received")</f>
        <v>Received</v>
      </c>
      <c r="I368" s="16" t="str">
        <f aca="false">IF(G368=0,"Not Invoiced","Invoiced")</f>
        <v>Invoiced</v>
      </c>
      <c r="J368" s="18" t="n">
        <f aca="false">E368-F368</f>
        <v>0</v>
      </c>
      <c r="K368" s="18" t="n">
        <f aca="false">E368-G368</f>
        <v>0</v>
      </c>
      <c r="L368" s="16" t="str">
        <f aca="false">IF(OR(AND(I368="Invoiced",H368="Not Received"),AND(F368&gt;0,ABS(J368)&gt;Assumptions!$B$6),AND(G368&gt;0,ABS(K368)&gt;Assumptions!$B$6)),"EXCEPTION","OK")</f>
        <v>OK</v>
      </c>
    </row>
    <row r="369" customFormat="false" ht="15" hidden="false" customHeight="false" outlineLevel="0" collapsed="false">
      <c r="A369" s="16" t="str">
        <f aca="false">Purchase_Orders!A366</f>
        <v>PO10365</v>
      </c>
      <c r="B369" s="16" t="str">
        <f aca="false">Purchase_Orders!B366</f>
        <v>V1014</v>
      </c>
      <c r="C369" s="16" t="str">
        <f aca="false">IFERROR(INDEX(Vendor_Master!$B$2:$B$41,MATCH(B369,Vendor_Master!$A$2:$A$41,0)),"Unknown Vendor")</f>
        <v>Flowers, Martin and Kelly</v>
      </c>
      <c r="D369" s="17" t="n">
        <f aca="false">Purchase_Orders!C366</f>
        <v>45748</v>
      </c>
      <c r="E369" s="18" t="n">
        <f aca="false">Purchase_Orders!D366</f>
        <v>5777.41</v>
      </c>
      <c r="F369" s="18" t="n">
        <f aca="false">SUMIFS(Goods_Receipt_Notes!$D$2:$D$791,Goods_Receipt_Notes!$B$2:$B$791,A369)</f>
        <v>5777.41</v>
      </c>
      <c r="G369" s="18" t="n">
        <f aca="false">SUMIFS(Vendor_Invoices_AP!$E$2:$E$882,Vendor_Invoices_AP!$B$2:$B$882,A369)</f>
        <v>5777.41</v>
      </c>
      <c r="H369" s="16" t="str">
        <f aca="false">IF(F369=0,"Not Received","Received")</f>
        <v>Received</v>
      </c>
      <c r="I369" s="16" t="str">
        <f aca="false">IF(G369=0,"Not Invoiced","Invoiced")</f>
        <v>Invoiced</v>
      </c>
      <c r="J369" s="18" t="n">
        <f aca="false">E369-F369</f>
        <v>0</v>
      </c>
      <c r="K369" s="18" t="n">
        <f aca="false">E369-G369</f>
        <v>0</v>
      </c>
      <c r="L369" s="16" t="str">
        <f aca="false">IF(OR(AND(I369="Invoiced",H369="Not Received"),AND(F369&gt;0,ABS(J369)&gt;Assumptions!$B$6),AND(G369&gt;0,ABS(K369)&gt;Assumptions!$B$6)),"EXCEPTION","OK")</f>
        <v>OK</v>
      </c>
    </row>
    <row r="370" customFormat="false" ht="15" hidden="false" customHeight="false" outlineLevel="0" collapsed="false">
      <c r="A370" s="16" t="str">
        <f aca="false">Purchase_Orders!A367</f>
        <v>PO10366</v>
      </c>
      <c r="B370" s="16" t="str">
        <f aca="false">Purchase_Orders!B367</f>
        <v>V1037</v>
      </c>
      <c r="C370" s="16" t="str">
        <f aca="false">IFERROR(INDEX(Vendor_Master!$B$2:$B$41,MATCH(B370,Vendor_Master!$A$2:$A$41,0)),"Unknown Vendor")</f>
        <v>Cannon, Anderson and Alvarez</v>
      </c>
      <c r="D370" s="17" t="n">
        <f aca="false">Purchase_Orders!C367</f>
        <v>45825</v>
      </c>
      <c r="E370" s="18" t="n">
        <f aca="false">Purchase_Orders!D367</f>
        <v>4303.23</v>
      </c>
      <c r="F370" s="18" t="n">
        <f aca="false">SUMIFS(Goods_Receipt_Notes!$D$2:$D$791,Goods_Receipt_Notes!$B$2:$B$791,A370)</f>
        <v>4303.23</v>
      </c>
      <c r="G370" s="18" t="n">
        <f aca="false">SUMIFS(Vendor_Invoices_AP!$E$2:$E$882,Vendor_Invoices_AP!$B$2:$B$882,A370)</f>
        <v>4303.23</v>
      </c>
      <c r="H370" s="16" t="str">
        <f aca="false">IF(F370=0,"Not Received","Received")</f>
        <v>Received</v>
      </c>
      <c r="I370" s="16" t="str">
        <f aca="false">IF(G370=0,"Not Invoiced","Invoiced")</f>
        <v>Invoiced</v>
      </c>
      <c r="J370" s="18" t="n">
        <f aca="false">E370-F370</f>
        <v>0</v>
      </c>
      <c r="K370" s="18" t="n">
        <f aca="false">E370-G370</f>
        <v>0</v>
      </c>
      <c r="L370" s="16" t="str">
        <f aca="false">IF(OR(AND(I370="Invoiced",H370="Not Received"),AND(F370&gt;0,ABS(J370)&gt;Assumptions!$B$6),AND(G370&gt;0,ABS(K370)&gt;Assumptions!$B$6)),"EXCEPTION","OK")</f>
        <v>OK</v>
      </c>
    </row>
    <row r="371" customFormat="false" ht="15" hidden="false" customHeight="false" outlineLevel="0" collapsed="false">
      <c r="A371" s="16" t="str">
        <f aca="false">Purchase_Orders!A368</f>
        <v>PO10367</v>
      </c>
      <c r="B371" s="16" t="str">
        <f aca="false">Purchase_Orders!B368</f>
        <v>V1035</v>
      </c>
      <c r="C371" s="16" t="str">
        <f aca="false">IFERROR(INDEX(Vendor_Master!$B$2:$B$41,MATCH(B371,Vendor_Master!$A$2:$A$41,0)),"Unknown Vendor")</f>
        <v>Allen PLC</v>
      </c>
      <c r="D371" s="17" t="n">
        <f aca="false">Purchase_Orders!C368</f>
        <v>46066</v>
      </c>
      <c r="E371" s="18" t="n">
        <f aca="false">Purchase_Orders!D368</f>
        <v>525.18</v>
      </c>
      <c r="F371" s="18" t="n">
        <f aca="false">SUMIFS(Goods_Receipt_Notes!$D$2:$D$791,Goods_Receipt_Notes!$B$2:$B$791,A371)</f>
        <v>525.18</v>
      </c>
      <c r="G371" s="18" t="n">
        <f aca="false">SUMIFS(Vendor_Invoices_AP!$E$2:$E$882,Vendor_Invoices_AP!$B$2:$B$882,A371)</f>
        <v>525.18</v>
      </c>
      <c r="H371" s="16" t="str">
        <f aca="false">IF(F371=0,"Not Received","Received")</f>
        <v>Received</v>
      </c>
      <c r="I371" s="16" t="str">
        <f aca="false">IF(G371=0,"Not Invoiced","Invoiced")</f>
        <v>Invoiced</v>
      </c>
      <c r="J371" s="18" t="n">
        <f aca="false">E371-F371</f>
        <v>0</v>
      </c>
      <c r="K371" s="18" t="n">
        <f aca="false">E371-G371</f>
        <v>0</v>
      </c>
      <c r="L371" s="16" t="str">
        <f aca="false">IF(OR(AND(I371="Invoiced",H371="Not Received"),AND(F371&gt;0,ABS(J371)&gt;Assumptions!$B$6),AND(G371&gt;0,ABS(K371)&gt;Assumptions!$B$6)),"EXCEPTION","OK")</f>
        <v>OK</v>
      </c>
    </row>
    <row r="372" customFormat="false" ht="15" hidden="false" customHeight="false" outlineLevel="0" collapsed="false">
      <c r="A372" s="16" t="str">
        <f aca="false">Purchase_Orders!A369</f>
        <v>PO10368</v>
      </c>
      <c r="B372" s="16" t="str">
        <f aca="false">Purchase_Orders!B369</f>
        <v>V1020</v>
      </c>
      <c r="C372" s="16" t="str">
        <f aca="false">IFERROR(INDEX(Vendor_Master!$B$2:$B$41,MATCH(B372,Vendor_Master!$A$2:$A$41,0)),"Unknown Vendor")</f>
        <v>Lewis-Porter</v>
      </c>
      <c r="D372" s="17" t="n">
        <f aca="false">Purchase_Orders!C369</f>
        <v>45968</v>
      </c>
      <c r="E372" s="18" t="n">
        <f aca="false">Purchase_Orders!D369</f>
        <v>2740.38</v>
      </c>
      <c r="F372" s="18" t="n">
        <f aca="false">SUMIFS(Goods_Receipt_Notes!$D$2:$D$791,Goods_Receipt_Notes!$B$2:$B$791,A372)</f>
        <v>2740.38</v>
      </c>
      <c r="G372" s="18" t="n">
        <f aca="false">SUMIFS(Vendor_Invoices_AP!$E$2:$E$882,Vendor_Invoices_AP!$B$2:$B$882,A372)</f>
        <v>2740.38</v>
      </c>
      <c r="H372" s="16" t="str">
        <f aca="false">IF(F372=0,"Not Received","Received")</f>
        <v>Received</v>
      </c>
      <c r="I372" s="16" t="str">
        <f aca="false">IF(G372=0,"Not Invoiced","Invoiced")</f>
        <v>Invoiced</v>
      </c>
      <c r="J372" s="18" t="n">
        <f aca="false">E372-F372</f>
        <v>0</v>
      </c>
      <c r="K372" s="18" t="n">
        <f aca="false">E372-G372</f>
        <v>0</v>
      </c>
      <c r="L372" s="16" t="str">
        <f aca="false">IF(OR(AND(I372="Invoiced",H372="Not Received"),AND(F372&gt;0,ABS(J372)&gt;Assumptions!$B$6),AND(G372&gt;0,ABS(K372)&gt;Assumptions!$B$6)),"EXCEPTION","OK")</f>
        <v>OK</v>
      </c>
    </row>
    <row r="373" customFormat="false" ht="15" hidden="false" customHeight="false" outlineLevel="0" collapsed="false">
      <c r="A373" s="16" t="str">
        <f aca="false">Purchase_Orders!A370</f>
        <v>PO10369</v>
      </c>
      <c r="B373" s="16" t="str">
        <f aca="false">Purchase_Orders!B370</f>
        <v>V1008</v>
      </c>
      <c r="C373" s="16" t="str">
        <f aca="false">IFERROR(INDEX(Vendor_Master!$B$2:$B$41,MATCH(B373,Vendor_Master!$A$2:$A$41,0)),"Unknown Vendor")</f>
        <v>Davis Inc</v>
      </c>
      <c r="D373" s="17" t="n">
        <f aca="false">Purchase_Orders!C370</f>
        <v>45815</v>
      </c>
      <c r="E373" s="18" t="n">
        <f aca="false">Purchase_Orders!D370</f>
        <v>9606.11</v>
      </c>
      <c r="F373" s="18" t="n">
        <f aca="false">SUMIFS(Goods_Receipt_Notes!$D$2:$D$791,Goods_Receipt_Notes!$B$2:$B$791,A373)</f>
        <v>9606.11</v>
      </c>
      <c r="G373" s="18" t="n">
        <f aca="false">SUMIFS(Vendor_Invoices_AP!$E$2:$E$882,Vendor_Invoices_AP!$B$2:$B$882,A373)</f>
        <v>9606.11</v>
      </c>
      <c r="H373" s="16" t="str">
        <f aca="false">IF(F373=0,"Not Received","Received")</f>
        <v>Received</v>
      </c>
      <c r="I373" s="16" t="str">
        <f aca="false">IF(G373=0,"Not Invoiced","Invoiced")</f>
        <v>Invoiced</v>
      </c>
      <c r="J373" s="18" t="n">
        <f aca="false">E373-F373</f>
        <v>0</v>
      </c>
      <c r="K373" s="18" t="n">
        <f aca="false">E373-G373</f>
        <v>0</v>
      </c>
      <c r="L373" s="16" t="str">
        <f aca="false">IF(OR(AND(I373="Invoiced",H373="Not Received"),AND(F373&gt;0,ABS(J373)&gt;Assumptions!$B$6),AND(G373&gt;0,ABS(K373)&gt;Assumptions!$B$6)),"EXCEPTION","OK")</f>
        <v>OK</v>
      </c>
    </row>
    <row r="374" customFormat="false" ht="15" hidden="false" customHeight="false" outlineLevel="0" collapsed="false">
      <c r="A374" s="16" t="str">
        <f aca="false">Purchase_Orders!A371</f>
        <v>PO10370</v>
      </c>
      <c r="B374" s="16" t="str">
        <f aca="false">Purchase_Orders!B371</f>
        <v>V1021</v>
      </c>
      <c r="C374" s="16" t="str">
        <f aca="false">IFERROR(INDEX(Vendor_Master!$B$2:$B$41,MATCH(B374,Vendor_Master!$A$2:$A$41,0)),"Unknown Vendor")</f>
        <v>Ellis, Baker and Wright</v>
      </c>
      <c r="D374" s="17" t="n">
        <f aca="false">Purchase_Orders!C371</f>
        <v>45725</v>
      </c>
      <c r="E374" s="18" t="n">
        <f aca="false">Purchase_Orders!D371</f>
        <v>3156.13</v>
      </c>
      <c r="F374" s="18" t="n">
        <f aca="false">SUMIFS(Goods_Receipt_Notes!$D$2:$D$791,Goods_Receipt_Notes!$B$2:$B$791,A374)</f>
        <v>3156.13</v>
      </c>
      <c r="G374" s="18" t="n">
        <f aca="false">SUMIFS(Vendor_Invoices_AP!$E$2:$E$882,Vendor_Invoices_AP!$B$2:$B$882,A374)</f>
        <v>3156.13</v>
      </c>
      <c r="H374" s="16" t="str">
        <f aca="false">IF(F374=0,"Not Received","Received")</f>
        <v>Received</v>
      </c>
      <c r="I374" s="16" t="str">
        <f aca="false">IF(G374=0,"Not Invoiced","Invoiced")</f>
        <v>Invoiced</v>
      </c>
      <c r="J374" s="18" t="n">
        <f aca="false">E374-F374</f>
        <v>0</v>
      </c>
      <c r="K374" s="18" t="n">
        <f aca="false">E374-G374</f>
        <v>0</v>
      </c>
      <c r="L374" s="16" t="str">
        <f aca="false">IF(OR(AND(I374="Invoiced",H374="Not Received"),AND(F374&gt;0,ABS(J374)&gt;Assumptions!$B$6),AND(G374&gt;0,ABS(K374)&gt;Assumptions!$B$6)),"EXCEPTION","OK")</f>
        <v>OK</v>
      </c>
    </row>
    <row r="375" customFormat="false" ht="15" hidden="false" customHeight="false" outlineLevel="0" collapsed="false">
      <c r="A375" s="16" t="str">
        <f aca="false">Purchase_Orders!A372</f>
        <v>PO10371</v>
      </c>
      <c r="B375" s="16" t="str">
        <f aca="false">Purchase_Orders!B372</f>
        <v>V1012</v>
      </c>
      <c r="C375" s="16" t="str">
        <f aca="false">IFERROR(INDEX(Vendor_Master!$B$2:$B$41,MATCH(B375,Vendor_Master!$A$2:$A$41,0)),"Unknown Vendor")</f>
        <v>Stanley LLC</v>
      </c>
      <c r="D375" s="17" t="n">
        <f aca="false">Purchase_Orders!C372</f>
        <v>46033</v>
      </c>
      <c r="E375" s="18" t="n">
        <f aca="false">Purchase_Orders!D372</f>
        <v>1799.63</v>
      </c>
      <c r="F375" s="18" t="n">
        <f aca="false">SUMIFS(Goods_Receipt_Notes!$D$2:$D$791,Goods_Receipt_Notes!$B$2:$B$791,A375)</f>
        <v>1799.63</v>
      </c>
      <c r="G375" s="18" t="n">
        <f aca="false">SUMIFS(Vendor_Invoices_AP!$E$2:$E$882,Vendor_Invoices_AP!$B$2:$B$882,A375)</f>
        <v>1799.63</v>
      </c>
      <c r="H375" s="16" t="str">
        <f aca="false">IF(F375=0,"Not Received","Received")</f>
        <v>Received</v>
      </c>
      <c r="I375" s="16" t="str">
        <f aca="false">IF(G375=0,"Not Invoiced","Invoiced")</f>
        <v>Invoiced</v>
      </c>
      <c r="J375" s="18" t="n">
        <f aca="false">E375-F375</f>
        <v>0</v>
      </c>
      <c r="K375" s="18" t="n">
        <f aca="false">E375-G375</f>
        <v>0</v>
      </c>
      <c r="L375" s="16" t="str">
        <f aca="false">IF(OR(AND(I375="Invoiced",H375="Not Received"),AND(F375&gt;0,ABS(J375)&gt;Assumptions!$B$6),AND(G375&gt;0,ABS(K375)&gt;Assumptions!$B$6)),"EXCEPTION","OK")</f>
        <v>OK</v>
      </c>
    </row>
    <row r="376" customFormat="false" ht="15" hidden="false" customHeight="false" outlineLevel="0" collapsed="false">
      <c r="A376" s="16" t="str">
        <f aca="false">Purchase_Orders!A373</f>
        <v>PO10372</v>
      </c>
      <c r="B376" s="16" t="str">
        <f aca="false">Purchase_Orders!B373</f>
        <v>V1037</v>
      </c>
      <c r="C376" s="16" t="str">
        <f aca="false">IFERROR(INDEX(Vendor_Master!$B$2:$B$41,MATCH(B376,Vendor_Master!$A$2:$A$41,0)),"Unknown Vendor")</f>
        <v>Cannon, Anderson and Alvarez</v>
      </c>
      <c r="D376" s="17" t="n">
        <f aca="false">Purchase_Orders!C373</f>
        <v>46039</v>
      </c>
      <c r="E376" s="18" t="n">
        <f aca="false">Purchase_Orders!D373</f>
        <v>4160.94</v>
      </c>
      <c r="F376" s="18" t="n">
        <f aca="false">SUMIFS(Goods_Receipt_Notes!$D$2:$D$791,Goods_Receipt_Notes!$B$2:$B$791,A376)</f>
        <v>4160.94</v>
      </c>
      <c r="G376" s="18" t="n">
        <f aca="false">SUMIFS(Vendor_Invoices_AP!$E$2:$E$882,Vendor_Invoices_AP!$B$2:$B$882,A376)</f>
        <v>4442.2</v>
      </c>
      <c r="H376" s="16" t="str">
        <f aca="false">IF(F376=0,"Not Received","Received")</f>
        <v>Received</v>
      </c>
      <c r="I376" s="16" t="str">
        <f aca="false">IF(G376=0,"Not Invoiced","Invoiced")</f>
        <v>Invoiced</v>
      </c>
      <c r="J376" s="18" t="n">
        <f aca="false">E376-F376</f>
        <v>0</v>
      </c>
      <c r="K376" s="18" t="n">
        <f aca="false">E376-G376</f>
        <v>-281.26</v>
      </c>
      <c r="L376" s="16" t="str">
        <f aca="false">IF(OR(AND(I376="Invoiced",H376="Not Received"),AND(F376&gt;0,ABS(J376)&gt;Assumptions!$B$6),AND(G376&gt;0,ABS(K376)&gt;Assumptions!$B$6)),"EXCEPTION","OK")</f>
        <v>EXCEPTION</v>
      </c>
    </row>
    <row r="377" customFormat="false" ht="15" hidden="false" customHeight="false" outlineLevel="0" collapsed="false">
      <c r="A377" s="16" t="str">
        <f aca="false">Purchase_Orders!A374</f>
        <v>PO10373</v>
      </c>
      <c r="B377" s="16" t="str">
        <f aca="false">Purchase_Orders!B374</f>
        <v>V1004</v>
      </c>
      <c r="C377" s="16" t="str">
        <f aca="false">IFERROR(INDEX(Vendor_Master!$B$2:$B$41,MATCH(B377,Vendor_Master!$A$2:$A$41,0)),"Unknown Vendor")</f>
        <v>Johnson, Gonzalez and Santos</v>
      </c>
      <c r="D377" s="17" t="n">
        <f aca="false">Purchase_Orders!C374</f>
        <v>46171</v>
      </c>
      <c r="E377" s="18" t="n">
        <f aca="false">Purchase_Orders!D374</f>
        <v>1683.7</v>
      </c>
      <c r="F377" s="18" t="n">
        <f aca="false">SUMIFS(Goods_Receipt_Notes!$D$2:$D$791,Goods_Receipt_Notes!$B$2:$B$791,A377)</f>
        <v>1683.7</v>
      </c>
      <c r="G377" s="18" t="n">
        <f aca="false">SUMIFS(Vendor_Invoices_AP!$E$2:$E$882,Vendor_Invoices_AP!$B$2:$B$882,A377)</f>
        <v>1683.7</v>
      </c>
      <c r="H377" s="16" t="str">
        <f aca="false">IF(F377=0,"Not Received","Received")</f>
        <v>Received</v>
      </c>
      <c r="I377" s="16" t="str">
        <f aca="false">IF(G377=0,"Not Invoiced","Invoiced")</f>
        <v>Invoiced</v>
      </c>
      <c r="J377" s="18" t="n">
        <f aca="false">E377-F377</f>
        <v>0</v>
      </c>
      <c r="K377" s="18" t="n">
        <f aca="false">E377-G377</f>
        <v>0</v>
      </c>
      <c r="L377" s="16" t="str">
        <f aca="false">IF(OR(AND(I377="Invoiced",H377="Not Received"),AND(F377&gt;0,ABS(J377)&gt;Assumptions!$B$6),AND(G377&gt;0,ABS(K377)&gt;Assumptions!$B$6)),"EXCEPTION","OK")</f>
        <v>OK</v>
      </c>
    </row>
    <row r="378" customFormat="false" ht="15" hidden="false" customHeight="false" outlineLevel="0" collapsed="false">
      <c r="A378" s="16" t="str">
        <f aca="false">Purchase_Orders!A375</f>
        <v>PO10374</v>
      </c>
      <c r="B378" s="16" t="str">
        <f aca="false">Purchase_Orders!B375</f>
        <v>V1004</v>
      </c>
      <c r="C378" s="16" t="str">
        <f aca="false">IFERROR(INDEX(Vendor_Master!$B$2:$B$41,MATCH(B378,Vendor_Master!$A$2:$A$41,0)),"Unknown Vendor")</f>
        <v>Johnson, Gonzalez and Santos</v>
      </c>
      <c r="D378" s="17" t="n">
        <f aca="false">Purchase_Orders!C375</f>
        <v>45930</v>
      </c>
      <c r="E378" s="18" t="n">
        <f aca="false">Purchase_Orders!D375</f>
        <v>2002.66</v>
      </c>
      <c r="F378" s="18" t="n">
        <f aca="false">SUMIFS(Goods_Receipt_Notes!$D$2:$D$791,Goods_Receipt_Notes!$B$2:$B$791,A378)</f>
        <v>2002.66</v>
      </c>
      <c r="G378" s="18" t="n">
        <f aca="false">SUMIFS(Vendor_Invoices_AP!$E$2:$E$882,Vendor_Invoices_AP!$B$2:$B$882,A378)</f>
        <v>2002.66</v>
      </c>
      <c r="H378" s="16" t="str">
        <f aca="false">IF(F378=0,"Not Received","Received")</f>
        <v>Received</v>
      </c>
      <c r="I378" s="16" t="str">
        <f aca="false">IF(G378=0,"Not Invoiced","Invoiced")</f>
        <v>Invoiced</v>
      </c>
      <c r="J378" s="18" t="n">
        <f aca="false">E378-F378</f>
        <v>0</v>
      </c>
      <c r="K378" s="18" t="n">
        <f aca="false">E378-G378</f>
        <v>0</v>
      </c>
      <c r="L378" s="16" t="str">
        <f aca="false">IF(OR(AND(I378="Invoiced",H378="Not Received"),AND(F378&gt;0,ABS(J378)&gt;Assumptions!$B$6),AND(G378&gt;0,ABS(K378)&gt;Assumptions!$B$6)),"EXCEPTION","OK")</f>
        <v>OK</v>
      </c>
    </row>
    <row r="379" customFormat="false" ht="15" hidden="false" customHeight="false" outlineLevel="0" collapsed="false">
      <c r="A379" s="16" t="str">
        <f aca="false">Purchase_Orders!A376</f>
        <v>PO10375</v>
      </c>
      <c r="B379" s="16" t="str">
        <f aca="false">Purchase_Orders!B376</f>
        <v>V1024</v>
      </c>
      <c r="C379" s="16" t="str">
        <f aca="false">IFERROR(INDEX(Vendor_Master!$B$2:$B$41,MATCH(B379,Vendor_Master!$A$2:$A$41,0)),"Unknown Vendor")</f>
        <v>Campos Inc</v>
      </c>
      <c r="D379" s="17" t="n">
        <f aca="false">Purchase_Orders!C376</f>
        <v>45927</v>
      </c>
      <c r="E379" s="18" t="n">
        <f aca="false">Purchase_Orders!D376</f>
        <v>1387.72</v>
      </c>
      <c r="F379" s="18" t="n">
        <f aca="false">SUMIFS(Goods_Receipt_Notes!$D$2:$D$791,Goods_Receipt_Notes!$B$2:$B$791,A379)</f>
        <v>1387.72</v>
      </c>
      <c r="G379" s="18" t="n">
        <f aca="false">SUMIFS(Vendor_Invoices_AP!$E$2:$E$882,Vendor_Invoices_AP!$B$2:$B$882,A379)</f>
        <v>1387.72</v>
      </c>
      <c r="H379" s="16" t="str">
        <f aca="false">IF(F379=0,"Not Received","Received")</f>
        <v>Received</v>
      </c>
      <c r="I379" s="16" t="str">
        <f aca="false">IF(G379=0,"Not Invoiced","Invoiced")</f>
        <v>Invoiced</v>
      </c>
      <c r="J379" s="18" t="n">
        <f aca="false">E379-F379</f>
        <v>0</v>
      </c>
      <c r="K379" s="18" t="n">
        <f aca="false">E379-G379</f>
        <v>0</v>
      </c>
      <c r="L379" s="16" t="str">
        <f aca="false">IF(OR(AND(I379="Invoiced",H379="Not Received"),AND(F379&gt;0,ABS(J379)&gt;Assumptions!$B$6),AND(G379&gt;0,ABS(K379)&gt;Assumptions!$B$6)),"EXCEPTION","OK")</f>
        <v>OK</v>
      </c>
    </row>
    <row r="380" customFormat="false" ht="15" hidden="false" customHeight="false" outlineLevel="0" collapsed="false">
      <c r="A380" s="16" t="str">
        <f aca="false">Purchase_Orders!A377</f>
        <v>PO10376</v>
      </c>
      <c r="B380" s="16" t="str">
        <f aca="false">Purchase_Orders!B377</f>
        <v>V1034</v>
      </c>
      <c r="C380" s="16" t="str">
        <f aca="false">IFERROR(INDEX(Vendor_Master!$B$2:$B$41,MATCH(B380,Vendor_Master!$A$2:$A$41,0)),"Unknown Vendor")</f>
        <v>Koch-Decker</v>
      </c>
      <c r="D380" s="17" t="n">
        <f aca="false">Purchase_Orders!C377</f>
        <v>45701</v>
      </c>
      <c r="E380" s="18" t="n">
        <f aca="false">Purchase_Orders!D377</f>
        <v>2387.19</v>
      </c>
      <c r="F380" s="18" t="n">
        <f aca="false">SUMIFS(Goods_Receipt_Notes!$D$2:$D$791,Goods_Receipt_Notes!$B$2:$B$791,A380)</f>
        <v>2387.19</v>
      </c>
      <c r="G380" s="18" t="n">
        <f aca="false">SUMIFS(Vendor_Invoices_AP!$E$2:$E$882,Vendor_Invoices_AP!$B$2:$B$882,A380)</f>
        <v>2387.19</v>
      </c>
      <c r="H380" s="16" t="str">
        <f aca="false">IF(F380=0,"Not Received","Received")</f>
        <v>Received</v>
      </c>
      <c r="I380" s="16" t="str">
        <f aca="false">IF(G380=0,"Not Invoiced","Invoiced")</f>
        <v>Invoiced</v>
      </c>
      <c r="J380" s="18" t="n">
        <f aca="false">E380-F380</f>
        <v>0</v>
      </c>
      <c r="K380" s="18" t="n">
        <f aca="false">E380-G380</f>
        <v>0</v>
      </c>
      <c r="L380" s="16" t="str">
        <f aca="false">IF(OR(AND(I380="Invoiced",H380="Not Received"),AND(F380&gt;0,ABS(J380)&gt;Assumptions!$B$6),AND(G380&gt;0,ABS(K380)&gt;Assumptions!$B$6)),"EXCEPTION","OK")</f>
        <v>OK</v>
      </c>
    </row>
    <row r="381" customFormat="false" ht="15" hidden="false" customHeight="false" outlineLevel="0" collapsed="false">
      <c r="A381" s="16" t="str">
        <f aca="false">Purchase_Orders!A378</f>
        <v>PO10377</v>
      </c>
      <c r="B381" s="16" t="str">
        <f aca="false">Purchase_Orders!B378</f>
        <v>V1015</v>
      </c>
      <c r="C381" s="16" t="str">
        <f aca="false">IFERROR(INDEX(Vendor_Master!$B$2:$B$41,MATCH(B381,Vendor_Master!$A$2:$A$41,0)),"Unknown Vendor")</f>
        <v>Zuniga, Wong and Lynch</v>
      </c>
      <c r="D381" s="17" t="n">
        <f aca="false">Purchase_Orders!C378</f>
        <v>45679</v>
      </c>
      <c r="E381" s="18" t="n">
        <f aca="false">Purchase_Orders!D378</f>
        <v>4785.43</v>
      </c>
      <c r="F381" s="18" t="n">
        <f aca="false">SUMIFS(Goods_Receipt_Notes!$D$2:$D$791,Goods_Receipt_Notes!$B$2:$B$791,A381)</f>
        <v>4785.43</v>
      </c>
      <c r="G381" s="18" t="n">
        <f aca="false">SUMIFS(Vendor_Invoices_AP!$E$2:$E$882,Vendor_Invoices_AP!$B$2:$B$882,A381)</f>
        <v>4785.43</v>
      </c>
      <c r="H381" s="16" t="str">
        <f aca="false">IF(F381=0,"Not Received","Received")</f>
        <v>Received</v>
      </c>
      <c r="I381" s="16" t="str">
        <f aca="false">IF(G381=0,"Not Invoiced","Invoiced")</f>
        <v>Invoiced</v>
      </c>
      <c r="J381" s="18" t="n">
        <f aca="false">E381-F381</f>
        <v>0</v>
      </c>
      <c r="K381" s="18" t="n">
        <f aca="false">E381-G381</f>
        <v>0</v>
      </c>
      <c r="L381" s="16" t="str">
        <f aca="false">IF(OR(AND(I381="Invoiced",H381="Not Received"),AND(F381&gt;0,ABS(J381)&gt;Assumptions!$B$6),AND(G381&gt;0,ABS(K381)&gt;Assumptions!$B$6)),"EXCEPTION","OK")</f>
        <v>OK</v>
      </c>
    </row>
    <row r="382" customFormat="false" ht="15" hidden="false" customHeight="false" outlineLevel="0" collapsed="false">
      <c r="A382" s="16" t="str">
        <f aca="false">Purchase_Orders!A379</f>
        <v>PO10378</v>
      </c>
      <c r="B382" s="16" t="str">
        <f aca="false">Purchase_Orders!B379</f>
        <v>V1004</v>
      </c>
      <c r="C382" s="16" t="str">
        <f aca="false">IFERROR(INDEX(Vendor_Master!$B$2:$B$41,MATCH(B382,Vendor_Master!$A$2:$A$41,0)),"Unknown Vendor")</f>
        <v>Johnson, Gonzalez and Santos</v>
      </c>
      <c r="D382" s="17" t="n">
        <f aca="false">Purchase_Orders!C379</f>
        <v>45893</v>
      </c>
      <c r="E382" s="18" t="n">
        <f aca="false">Purchase_Orders!D379</f>
        <v>476.74</v>
      </c>
      <c r="F382" s="18" t="n">
        <f aca="false">SUMIFS(Goods_Receipt_Notes!$D$2:$D$791,Goods_Receipt_Notes!$B$2:$B$791,A382)</f>
        <v>476.74</v>
      </c>
      <c r="G382" s="18" t="n">
        <f aca="false">SUMIFS(Vendor_Invoices_AP!$E$2:$E$882,Vendor_Invoices_AP!$B$2:$B$882,A382)</f>
        <v>1019.97</v>
      </c>
      <c r="H382" s="16" t="str">
        <f aca="false">IF(F382=0,"Not Received","Received")</f>
        <v>Received</v>
      </c>
      <c r="I382" s="16" t="str">
        <f aca="false">IF(G382=0,"Not Invoiced","Invoiced")</f>
        <v>Invoiced</v>
      </c>
      <c r="J382" s="18" t="n">
        <f aca="false">E382-F382</f>
        <v>0</v>
      </c>
      <c r="K382" s="18" t="n">
        <f aca="false">E382-G382</f>
        <v>-543.23</v>
      </c>
      <c r="L382" s="16" t="str">
        <f aca="false">IF(OR(AND(I382="Invoiced",H382="Not Received"),AND(F382&gt;0,ABS(J382)&gt;Assumptions!$B$6),AND(G382&gt;0,ABS(K382)&gt;Assumptions!$B$6)),"EXCEPTION","OK")</f>
        <v>EXCEPTION</v>
      </c>
    </row>
    <row r="383" customFormat="false" ht="15" hidden="false" customHeight="false" outlineLevel="0" collapsed="false">
      <c r="A383" s="16" t="str">
        <f aca="false">Purchase_Orders!A380</f>
        <v>PO10379</v>
      </c>
      <c r="B383" s="16" t="str">
        <f aca="false">Purchase_Orders!B380</f>
        <v>V1027</v>
      </c>
      <c r="C383" s="16" t="str">
        <f aca="false">IFERROR(INDEX(Vendor_Master!$B$2:$B$41,MATCH(B383,Vendor_Master!$A$2:$A$41,0)),"Unknown Vendor")</f>
        <v>Valencia, Smith and Le</v>
      </c>
      <c r="D383" s="17" t="n">
        <f aca="false">Purchase_Orders!C380</f>
        <v>45833</v>
      </c>
      <c r="E383" s="18" t="n">
        <f aca="false">Purchase_Orders!D380</f>
        <v>327.34</v>
      </c>
      <c r="F383" s="18" t="n">
        <f aca="false">SUMIFS(Goods_Receipt_Notes!$D$2:$D$791,Goods_Receipt_Notes!$B$2:$B$791,A383)</f>
        <v>327.34</v>
      </c>
      <c r="G383" s="18" t="n">
        <f aca="false">SUMIFS(Vendor_Invoices_AP!$E$2:$E$882,Vendor_Invoices_AP!$B$2:$B$882,A383)</f>
        <v>654.68</v>
      </c>
      <c r="H383" s="16" t="str">
        <f aca="false">IF(F383=0,"Not Received","Received")</f>
        <v>Received</v>
      </c>
      <c r="I383" s="16" t="str">
        <f aca="false">IF(G383=0,"Not Invoiced","Invoiced")</f>
        <v>Invoiced</v>
      </c>
      <c r="J383" s="18" t="n">
        <f aca="false">E383-F383</f>
        <v>0</v>
      </c>
      <c r="K383" s="18" t="n">
        <f aca="false">E383-G383</f>
        <v>-327.34</v>
      </c>
      <c r="L383" s="16" t="str">
        <f aca="false">IF(OR(AND(I383="Invoiced",H383="Not Received"),AND(F383&gt;0,ABS(J383)&gt;Assumptions!$B$6),AND(G383&gt;0,ABS(K383)&gt;Assumptions!$B$6)),"EXCEPTION","OK")</f>
        <v>EXCEPTION</v>
      </c>
    </row>
    <row r="384" customFormat="false" ht="15" hidden="false" customHeight="false" outlineLevel="0" collapsed="false">
      <c r="A384" s="16" t="str">
        <f aca="false">Purchase_Orders!A381</f>
        <v>PO10380</v>
      </c>
      <c r="B384" s="16" t="str">
        <f aca="false">Purchase_Orders!B381</f>
        <v>V1004</v>
      </c>
      <c r="C384" s="16" t="str">
        <f aca="false">IFERROR(INDEX(Vendor_Master!$B$2:$B$41,MATCH(B384,Vendor_Master!$A$2:$A$41,0)),"Unknown Vendor")</f>
        <v>Johnson, Gonzalez and Santos</v>
      </c>
      <c r="D384" s="17" t="n">
        <f aca="false">Purchase_Orders!C381</f>
        <v>45794</v>
      </c>
      <c r="E384" s="18" t="n">
        <f aca="false">Purchase_Orders!D381</f>
        <v>2106.84</v>
      </c>
      <c r="F384" s="18" t="n">
        <f aca="false">SUMIFS(Goods_Receipt_Notes!$D$2:$D$791,Goods_Receipt_Notes!$B$2:$B$791,A384)</f>
        <v>2106.84</v>
      </c>
      <c r="G384" s="18" t="n">
        <f aca="false">SUMIFS(Vendor_Invoices_AP!$E$2:$E$882,Vendor_Invoices_AP!$B$2:$B$882,A384)</f>
        <v>2106.84</v>
      </c>
      <c r="H384" s="16" t="str">
        <f aca="false">IF(F384=0,"Not Received","Received")</f>
        <v>Received</v>
      </c>
      <c r="I384" s="16" t="str">
        <f aca="false">IF(G384=0,"Not Invoiced","Invoiced")</f>
        <v>Invoiced</v>
      </c>
      <c r="J384" s="18" t="n">
        <f aca="false">E384-F384</f>
        <v>0</v>
      </c>
      <c r="K384" s="18" t="n">
        <f aca="false">E384-G384</f>
        <v>0</v>
      </c>
      <c r="L384" s="16" t="str">
        <f aca="false">IF(OR(AND(I384="Invoiced",H384="Not Received"),AND(F384&gt;0,ABS(J384)&gt;Assumptions!$B$6),AND(G384&gt;0,ABS(K384)&gt;Assumptions!$B$6)),"EXCEPTION","OK")</f>
        <v>OK</v>
      </c>
    </row>
    <row r="385" customFormat="false" ht="15" hidden="false" customHeight="false" outlineLevel="0" collapsed="false">
      <c r="A385" s="16" t="str">
        <f aca="false">Purchase_Orders!A382</f>
        <v>PO10381</v>
      </c>
      <c r="B385" s="16" t="str">
        <f aca="false">Purchase_Orders!B382</f>
        <v>V1020</v>
      </c>
      <c r="C385" s="16" t="str">
        <f aca="false">IFERROR(INDEX(Vendor_Master!$B$2:$B$41,MATCH(B385,Vendor_Master!$A$2:$A$41,0)),"Unknown Vendor")</f>
        <v>Lewis-Porter</v>
      </c>
      <c r="D385" s="17" t="n">
        <f aca="false">Purchase_Orders!C382</f>
        <v>45707</v>
      </c>
      <c r="E385" s="18" t="n">
        <f aca="false">Purchase_Orders!D382</f>
        <v>175.5</v>
      </c>
      <c r="F385" s="18" t="n">
        <f aca="false">SUMIFS(Goods_Receipt_Notes!$D$2:$D$791,Goods_Receipt_Notes!$B$2:$B$791,A385)</f>
        <v>175.5</v>
      </c>
      <c r="G385" s="18" t="n">
        <f aca="false">SUMIFS(Vendor_Invoices_AP!$E$2:$E$882,Vendor_Invoices_AP!$B$2:$B$882,A385)</f>
        <v>175.5</v>
      </c>
      <c r="H385" s="16" t="str">
        <f aca="false">IF(F385=0,"Not Received","Received")</f>
        <v>Received</v>
      </c>
      <c r="I385" s="16" t="str">
        <f aca="false">IF(G385=0,"Not Invoiced","Invoiced")</f>
        <v>Invoiced</v>
      </c>
      <c r="J385" s="18" t="n">
        <f aca="false">E385-F385</f>
        <v>0</v>
      </c>
      <c r="K385" s="18" t="n">
        <f aca="false">E385-G385</f>
        <v>0</v>
      </c>
      <c r="L385" s="16" t="str">
        <f aca="false">IF(OR(AND(I385="Invoiced",H385="Not Received"),AND(F385&gt;0,ABS(J385)&gt;Assumptions!$B$6),AND(G385&gt;0,ABS(K385)&gt;Assumptions!$B$6)),"EXCEPTION","OK")</f>
        <v>OK</v>
      </c>
    </row>
    <row r="386" customFormat="false" ht="15" hidden="false" customHeight="false" outlineLevel="0" collapsed="false">
      <c r="A386" s="16" t="str">
        <f aca="false">Purchase_Orders!A383</f>
        <v>PO10382</v>
      </c>
      <c r="B386" s="16" t="str">
        <f aca="false">Purchase_Orders!B383</f>
        <v>V1011</v>
      </c>
      <c r="C386" s="16" t="str">
        <f aca="false">IFERROR(INDEX(Vendor_Master!$B$2:$B$41,MATCH(B386,Vendor_Master!$A$2:$A$41,0)),"Unknown Vendor")</f>
        <v>Montgomery, Hensley and Ray</v>
      </c>
      <c r="D386" s="17" t="n">
        <f aca="false">Purchase_Orders!C383</f>
        <v>46182</v>
      </c>
      <c r="E386" s="18" t="n">
        <f aca="false">Purchase_Orders!D383</f>
        <v>7138.19</v>
      </c>
      <c r="F386" s="18" t="n">
        <f aca="false">SUMIFS(Goods_Receipt_Notes!$D$2:$D$791,Goods_Receipt_Notes!$B$2:$B$791,A386)</f>
        <v>7138.19</v>
      </c>
      <c r="G386" s="18" t="n">
        <f aca="false">SUMIFS(Vendor_Invoices_AP!$E$2:$E$882,Vendor_Invoices_AP!$B$2:$B$882,A386)</f>
        <v>7138.19</v>
      </c>
      <c r="H386" s="16" t="str">
        <f aca="false">IF(F386=0,"Not Received","Received")</f>
        <v>Received</v>
      </c>
      <c r="I386" s="16" t="str">
        <f aca="false">IF(G386=0,"Not Invoiced","Invoiced")</f>
        <v>Invoiced</v>
      </c>
      <c r="J386" s="18" t="n">
        <f aca="false">E386-F386</f>
        <v>0</v>
      </c>
      <c r="K386" s="18" t="n">
        <f aca="false">E386-G386</f>
        <v>0</v>
      </c>
      <c r="L386" s="16" t="str">
        <f aca="false">IF(OR(AND(I386="Invoiced",H386="Not Received"),AND(F386&gt;0,ABS(J386)&gt;Assumptions!$B$6),AND(G386&gt;0,ABS(K386)&gt;Assumptions!$B$6)),"EXCEPTION","OK")</f>
        <v>OK</v>
      </c>
    </row>
    <row r="387" customFormat="false" ht="15" hidden="false" customHeight="false" outlineLevel="0" collapsed="false">
      <c r="A387" s="16" t="str">
        <f aca="false">Purchase_Orders!A384</f>
        <v>PO10383</v>
      </c>
      <c r="B387" s="16" t="str">
        <f aca="false">Purchase_Orders!B384</f>
        <v>V1024</v>
      </c>
      <c r="C387" s="16" t="str">
        <f aca="false">IFERROR(INDEX(Vendor_Master!$B$2:$B$41,MATCH(B387,Vendor_Master!$A$2:$A$41,0)),"Unknown Vendor")</f>
        <v>Campos Inc</v>
      </c>
      <c r="D387" s="17" t="n">
        <f aca="false">Purchase_Orders!C384</f>
        <v>46113</v>
      </c>
      <c r="E387" s="18" t="n">
        <f aca="false">Purchase_Orders!D384</f>
        <v>3683.41</v>
      </c>
      <c r="F387" s="18" t="n">
        <f aca="false">SUMIFS(Goods_Receipt_Notes!$D$2:$D$791,Goods_Receipt_Notes!$B$2:$B$791,A387)</f>
        <v>3683.41</v>
      </c>
      <c r="G387" s="18" t="n">
        <f aca="false">SUMIFS(Vendor_Invoices_AP!$E$2:$E$882,Vendor_Invoices_AP!$B$2:$B$882,A387)</f>
        <v>3683.41</v>
      </c>
      <c r="H387" s="16" t="str">
        <f aca="false">IF(F387=0,"Not Received","Received")</f>
        <v>Received</v>
      </c>
      <c r="I387" s="16" t="str">
        <f aca="false">IF(G387=0,"Not Invoiced","Invoiced")</f>
        <v>Invoiced</v>
      </c>
      <c r="J387" s="18" t="n">
        <f aca="false">E387-F387</f>
        <v>0</v>
      </c>
      <c r="K387" s="18" t="n">
        <f aca="false">E387-G387</f>
        <v>0</v>
      </c>
      <c r="L387" s="16" t="str">
        <f aca="false">IF(OR(AND(I387="Invoiced",H387="Not Received"),AND(F387&gt;0,ABS(J387)&gt;Assumptions!$B$6),AND(G387&gt;0,ABS(K387)&gt;Assumptions!$B$6)),"EXCEPTION","OK")</f>
        <v>OK</v>
      </c>
    </row>
    <row r="388" customFormat="false" ht="15" hidden="false" customHeight="false" outlineLevel="0" collapsed="false">
      <c r="A388" s="16" t="str">
        <f aca="false">Purchase_Orders!A385</f>
        <v>PO10384</v>
      </c>
      <c r="B388" s="16" t="str">
        <f aca="false">Purchase_Orders!B385</f>
        <v>V1038</v>
      </c>
      <c r="C388" s="16" t="str">
        <f aca="false">IFERROR(INDEX(Vendor_Master!$B$2:$B$41,MATCH(B388,Vendor_Master!$A$2:$A$41,0)),"Unknown Vendor")</f>
        <v>Rose-Obrien</v>
      </c>
      <c r="D388" s="17" t="n">
        <f aca="false">Purchase_Orders!C385</f>
        <v>45971</v>
      </c>
      <c r="E388" s="18" t="n">
        <f aca="false">Purchase_Orders!D385</f>
        <v>851.6</v>
      </c>
      <c r="F388" s="18" t="n">
        <f aca="false">SUMIFS(Goods_Receipt_Notes!$D$2:$D$791,Goods_Receipt_Notes!$B$2:$B$791,A388)</f>
        <v>851.6</v>
      </c>
      <c r="G388" s="18" t="n">
        <f aca="false">SUMIFS(Vendor_Invoices_AP!$E$2:$E$882,Vendor_Invoices_AP!$B$2:$B$882,A388)</f>
        <v>1037.11</v>
      </c>
      <c r="H388" s="16" t="str">
        <f aca="false">IF(F388=0,"Not Received","Received")</f>
        <v>Received</v>
      </c>
      <c r="I388" s="16" t="str">
        <f aca="false">IF(G388=0,"Not Invoiced","Invoiced")</f>
        <v>Invoiced</v>
      </c>
      <c r="J388" s="18" t="n">
        <f aca="false">E388-F388</f>
        <v>0</v>
      </c>
      <c r="K388" s="18" t="n">
        <f aca="false">E388-G388</f>
        <v>-185.51</v>
      </c>
      <c r="L388" s="16" t="str">
        <f aca="false">IF(OR(AND(I388="Invoiced",H388="Not Received"),AND(F388&gt;0,ABS(J388)&gt;Assumptions!$B$6),AND(G388&gt;0,ABS(K388)&gt;Assumptions!$B$6)),"EXCEPTION","OK")</f>
        <v>EXCEPTION</v>
      </c>
    </row>
    <row r="389" customFormat="false" ht="15" hidden="false" customHeight="false" outlineLevel="0" collapsed="false">
      <c r="A389" s="16" t="str">
        <f aca="false">Purchase_Orders!A386</f>
        <v>PO10385</v>
      </c>
      <c r="B389" s="16" t="str">
        <f aca="false">Purchase_Orders!B386</f>
        <v>V1001</v>
      </c>
      <c r="C389" s="16" t="str">
        <f aca="false">IFERROR(INDEX(Vendor_Master!$B$2:$B$41,MATCH(B389,Vendor_Master!$A$2:$A$41,0)),"Unknown Vendor")</f>
        <v>Figueroa and Sons</v>
      </c>
      <c r="D389" s="17" t="n">
        <f aca="false">Purchase_Orders!C386</f>
        <v>46176</v>
      </c>
      <c r="E389" s="18" t="n">
        <f aca="false">Purchase_Orders!D386</f>
        <v>321.55</v>
      </c>
      <c r="F389" s="18" t="n">
        <f aca="false">SUMIFS(Goods_Receipt_Notes!$D$2:$D$791,Goods_Receipt_Notes!$B$2:$B$791,A389)</f>
        <v>321.55</v>
      </c>
      <c r="G389" s="18" t="n">
        <f aca="false">SUMIFS(Vendor_Invoices_AP!$E$2:$E$882,Vendor_Invoices_AP!$B$2:$B$882,A389)</f>
        <v>321.55</v>
      </c>
      <c r="H389" s="16" t="str">
        <f aca="false">IF(F389=0,"Not Received","Received")</f>
        <v>Received</v>
      </c>
      <c r="I389" s="16" t="str">
        <f aca="false">IF(G389=0,"Not Invoiced","Invoiced")</f>
        <v>Invoiced</v>
      </c>
      <c r="J389" s="18" t="n">
        <f aca="false">E389-F389</f>
        <v>0</v>
      </c>
      <c r="K389" s="18" t="n">
        <f aca="false">E389-G389</f>
        <v>0</v>
      </c>
      <c r="L389" s="16" t="str">
        <f aca="false">IF(OR(AND(I389="Invoiced",H389="Not Received"),AND(F389&gt;0,ABS(J389)&gt;Assumptions!$B$6),AND(G389&gt;0,ABS(K389)&gt;Assumptions!$B$6)),"EXCEPTION","OK")</f>
        <v>OK</v>
      </c>
    </row>
    <row r="390" customFormat="false" ht="15" hidden="false" customHeight="false" outlineLevel="0" collapsed="false">
      <c r="A390" s="16" t="str">
        <f aca="false">Purchase_Orders!A387</f>
        <v>PO10386</v>
      </c>
      <c r="B390" s="16" t="str">
        <f aca="false">Purchase_Orders!B387</f>
        <v>V1016</v>
      </c>
      <c r="C390" s="16" t="str">
        <f aca="false">IFERROR(INDEX(Vendor_Master!$B$2:$B$41,MATCH(B390,Vendor_Master!$A$2:$A$41,0)),"Unknown Vendor")</f>
        <v>Sanchez, Ford and Nelson</v>
      </c>
      <c r="D390" s="17" t="n">
        <f aca="false">Purchase_Orders!C387</f>
        <v>46202</v>
      </c>
      <c r="E390" s="18" t="n">
        <f aca="false">Purchase_Orders!D387</f>
        <v>2982.17</v>
      </c>
      <c r="F390" s="18" t="n">
        <f aca="false">SUMIFS(Goods_Receipt_Notes!$D$2:$D$791,Goods_Receipt_Notes!$B$2:$B$791,A390)</f>
        <v>2982.17</v>
      </c>
      <c r="G390" s="18" t="n">
        <f aca="false">SUMIFS(Vendor_Invoices_AP!$E$2:$E$882,Vendor_Invoices_AP!$B$2:$B$882,A390)</f>
        <v>2982.17</v>
      </c>
      <c r="H390" s="16" t="str">
        <f aca="false">IF(F390=0,"Not Received","Received")</f>
        <v>Received</v>
      </c>
      <c r="I390" s="16" t="str">
        <f aca="false">IF(G390=0,"Not Invoiced","Invoiced")</f>
        <v>Invoiced</v>
      </c>
      <c r="J390" s="18" t="n">
        <f aca="false">E390-F390</f>
        <v>0</v>
      </c>
      <c r="K390" s="18" t="n">
        <f aca="false">E390-G390</f>
        <v>0</v>
      </c>
      <c r="L390" s="16" t="str">
        <f aca="false">IF(OR(AND(I390="Invoiced",H390="Not Received"),AND(F390&gt;0,ABS(J390)&gt;Assumptions!$B$6),AND(G390&gt;0,ABS(K390)&gt;Assumptions!$B$6)),"EXCEPTION","OK")</f>
        <v>OK</v>
      </c>
    </row>
    <row r="391" customFormat="false" ht="15" hidden="false" customHeight="false" outlineLevel="0" collapsed="false">
      <c r="A391" s="16" t="str">
        <f aca="false">Purchase_Orders!A388</f>
        <v>PO10387</v>
      </c>
      <c r="B391" s="16" t="str">
        <f aca="false">Purchase_Orders!B388</f>
        <v>V1008</v>
      </c>
      <c r="C391" s="16" t="str">
        <f aca="false">IFERROR(INDEX(Vendor_Master!$B$2:$B$41,MATCH(B391,Vendor_Master!$A$2:$A$41,0)),"Unknown Vendor")</f>
        <v>Davis Inc</v>
      </c>
      <c r="D391" s="17" t="n">
        <f aca="false">Purchase_Orders!C388</f>
        <v>46024</v>
      </c>
      <c r="E391" s="18" t="n">
        <f aca="false">Purchase_Orders!D388</f>
        <v>688.7</v>
      </c>
      <c r="F391" s="18" t="n">
        <f aca="false">SUMIFS(Goods_Receipt_Notes!$D$2:$D$791,Goods_Receipt_Notes!$B$2:$B$791,A391)</f>
        <v>559.93</v>
      </c>
      <c r="G391" s="18" t="n">
        <f aca="false">SUMIFS(Vendor_Invoices_AP!$E$2:$E$882,Vendor_Invoices_AP!$B$2:$B$882,A391)</f>
        <v>688.7</v>
      </c>
      <c r="H391" s="16" t="str">
        <f aca="false">IF(F391=0,"Not Received","Received")</f>
        <v>Received</v>
      </c>
      <c r="I391" s="16" t="str">
        <f aca="false">IF(G391=0,"Not Invoiced","Invoiced")</f>
        <v>Invoiced</v>
      </c>
      <c r="J391" s="18" t="n">
        <f aca="false">E391-F391</f>
        <v>128.77</v>
      </c>
      <c r="K391" s="18" t="n">
        <f aca="false">E391-G391</f>
        <v>0</v>
      </c>
      <c r="L391" s="16" t="str">
        <f aca="false">IF(OR(AND(I391="Invoiced",H391="Not Received"),AND(F391&gt;0,ABS(J391)&gt;Assumptions!$B$6),AND(G391&gt;0,ABS(K391)&gt;Assumptions!$B$6)),"EXCEPTION","OK")</f>
        <v>EXCEPTION</v>
      </c>
    </row>
    <row r="392" customFormat="false" ht="15" hidden="false" customHeight="false" outlineLevel="0" collapsed="false">
      <c r="A392" s="16" t="str">
        <f aca="false">Purchase_Orders!A389</f>
        <v>PO10388</v>
      </c>
      <c r="B392" s="16" t="str">
        <f aca="false">Purchase_Orders!B389</f>
        <v>V1025</v>
      </c>
      <c r="C392" s="16" t="str">
        <f aca="false">IFERROR(INDEX(Vendor_Master!$B$2:$B$41,MATCH(B392,Vendor_Master!$A$2:$A$41,0)),"Unknown Vendor")</f>
        <v>Conner Group</v>
      </c>
      <c r="D392" s="17" t="n">
        <f aca="false">Purchase_Orders!C389</f>
        <v>45804</v>
      </c>
      <c r="E392" s="18" t="n">
        <f aca="false">Purchase_Orders!D389</f>
        <v>8582.35</v>
      </c>
      <c r="F392" s="18" t="n">
        <f aca="false">SUMIFS(Goods_Receipt_Notes!$D$2:$D$791,Goods_Receipt_Notes!$B$2:$B$791,A392)</f>
        <v>0</v>
      </c>
      <c r="G392" s="18" t="n">
        <f aca="false">SUMIFS(Vendor_Invoices_AP!$E$2:$E$882,Vendor_Invoices_AP!$B$2:$B$882,A392)</f>
        <v>8582.35</v>
      </c>
      <c r="H392" s="16" t="str">
        <f aca="false">IF(F392=0,"Not Received","Received")</f>
        <v>Not Received</v>
      </c>
      <c r="I392" s="16" t="str">
        <f aca="false">IF(G392=0,"Not Invoiced","Invoiced")</f>
        <v>Invoiced</v>
      </c>
      <c r="J392" s="18" t="n">
        <f aca="false">E392-F392</f>
        <v>8582.35</v>
      </c>
      <c r="K392" s="18" t="n">
        <f aca="false">E392-G392</f>
        <v>0</v>
      </c>
      <c r="L392" s="16" t="str">
        <f aca="false">IF(OR(AND(I392="Invoiced",H392="Not Received"),AND(F392&gt;0,ABS(J392)&gt;Assumptions!$B$6),AND(G392&gt;0,ABS(K392)&gt;Assumptions!$B$6)),"EXCEPTION","OK")</f>
        <v>EXCEPTION</v>
      </c>
    </row>
    <row r="393" customFormat="false" ht="15" hidden="false" customHeight="false" outlineLevel="0" collapsed="false">
      <c r="A393" s="16" t="str">
        <f aca="false">Purchase_Orders!A390</f>
        <v>PO10389</v>
      </c>
      <c r="B393" s="16" t="str">
        <f aca="false">Purchase_Orders!B390</f>
        <v>V1011</v>
      </c>
      <c r="C393" s="16" t="str">
        <f aca="false">IFERROR(INDEX(Vendor_Master!$B$2:$B$41,MATCH(B393,Vendor_Master!$A$2:$A$41,0)),"Unknown Vendor")</f>
        <v>Montgomery, Hensley and Ray</v>
      </c>
      <c r="D393" s="17" t="n">
        <f aca="false">Purchase_Orders!C390</f>
        <v>45679</v>
      </c>
      <c r="E393" s="18" t="n">
        <f aca="false">Purchase_Orders!D390</f>
        <v>4765.55</v>
      </c>
      <c r="F393" s="18" t="n">
        <f aca="false">SUMIFS(Goods_Receipt_Notes!$D$2:$D$791,Goods_Receipt_Notes!$B$2:$B$791,A393)</f>
        <v>4765.55</v>
      </c>
      <c r="G393" s="18" t="n">
        <f aca="false">SUMIFS(Vendor_Invoices_AP!$E$2:$E$882,Vendor_Invoices_AP!$B$2:$B$882,A393)</f>
        <v>4765.55</v>
      </c>
      <c r="H393" s="16" t="str">
        <f aca="false">IF(F393=0,"Not Received","Received")</f>
        <v>Received</v>
      </c>
      <c r="I393" s="16" t="str">
        <f aca="false">IF(G393=0,"Not Invoiced","Invoiced")</f>
        <v>Invoiced</v>
      </c>
      <c r="J393" s="18" t="n">
        <f aca="false">E393-F393</f>
        <v>0</v>
      </c>
      <c r="K393" s="18" t="n">
        <f aca="false">E393-G393</f>
        <v>0</v>
      </c>
      <c r="L393" s="16" t="str">
        <f aca="false">IF(OR(AND(I393="Invoiced",H393="Not Received"),AND(F393&gt;0,ABS(J393)&gt;Assumptions!$B$6),AND(G393&gt;0,ABS(K393)&gt;Assumptions!$B$6)),"EXCEPTION","OK")</f>
        <v>OK</v>
      </c>
    </row>
    <row r="394" customFormat="false" ht="15" hidden="false" customHeight="false" outlineLevel="0" collapsed="false">
      <c r="A394" s="16" t="str">
        <f aca="false">Purchase_Orders!A391</f>
        <v>PO10390</v>
      </c>
      <c r="B394" s="16" t="str">
        <f aca="false">Purchase_Orders!B391</f>
        <v>V1002</v>
      </c>
      <c r="C394" s="16" t="str">
        <f aca="false">IFERROR(INDEX(Vendor_Master!$B$2:$B$41,MATCH(B394,Vendor_Master!$A$2:$A$41,0)),"Unknown Vendor")</f>
        <v>Garcia, Yang and Gardner</v>
      </c>
      <c r="D394" s="17" t="n">
        <f aca="false">Purchase_Orders!C391</f>
        <v>46070</v>
      </c>
      <c r="E394" s="18" t="n">
        <f aca="false">Purchase_Orders!D391</f>
        <v>3276.88</v>
      </c>
      <c r="F394" s="18" t="n">
        <f aca="false">SUMIFS(Goods_Receipt_Notes!$D$2:$D$791,Goods_Receipt_Notes!$B$2:$B$791,A394)</f>
        <v>3276.88</v>
      </c>
      <c r="G394" s="18" t="n">
        <f aca="false">SUMIFS(Vendor_Invoices_AP!$E$2:$E$882,Vendor_Invoices_AP!$B$2:$B$882,A394)</f>
        <v>3276.88</v>
      </c>
      <c r="H394" s="16" t="str">
        <f aca="false">IF(F394=0,"Not Received","Received")</f>
        <v>Received</v>
      </c>
      <c r="I394" s="16" t="str">
        <f aca="false">IF(G394=0,"Not Invoiced","Invoiced")</f>
        <v>Invoiced</v>
      </c>
      <c r="J394" s="18" t="n">
        <f aca="false">E394-F394</f>
        <v>0</v>
      </c>
      <c r="K394" s="18" t="n">
        <f aca="false">E394-G394</f>
        <v>0</v>
      </c>
      <c r="L394" s="16" t="str">
        <f aca="false">IF(OR(AND(I394="Invoiced",H394="Not Received"),AND(F394&gt;0,ABS(J394)&gt;Assumptions!$B$6),AND(G394&gt;0,ABS(K394)&gt;Assumptions!$B$6)),"EXCEPTION","OK")</f>
        <v>OK</v>
      </c>
    </row>
    <row r="395" customFormat="false" ht="15" hidden="false" customHeight="false" outlineLevel="0" collapsed="false">
      <c r="A395" s="16" t="str">
        <f aca="false">Purchase_Orders!A392</f>
        <v>PO10391</v>
      </c>
      <c r="B395" s="16" t="str">
        <f aca="false">Purchase_Orders!B392</f>
        <v>V1033</v>
      </c>
      <c r="C395" s="16" t="str">
        <f aca="false">IFERROR(INDEX(Vendor_Master!$B$2:$B$41,MATCH(B395,Vendor_Master!$A$2:$A$41,0)),"Unknown Vendor")</f>
        <v>Sellers, George and Burns</v>
      </c>
      <c r="D395" s="17" t="n">
        <f aca="false">Purchase_Orders!C392</f>
        <v>45914</v>
      </c>
      <c r="E395" s="18" t="n">
        <f aca="false">Purchase_Orders!D392</f>
        <v>1027.11</v>
      </c>
      <c r="F395" s="18" t="n">
        <f aca="false">SUMIFS(Goods_Receipt_Notes!$D$2:$D$791,Goods_Receipt_Notes!$B$2:$B$791,A395)</f>
        <v>0</v>
      </c>
      <c r="G395" s="18" t="n">
        <f aca="false">SUMIFS(Vendor_Invoices_AP!$E$2:$E$882,Vendor_Invoices_AP!$B$2:$B$882,A395)</f>
        <v>2054.22</v>
      </c>
      <c r="H395" s="16" t="str">
        <f aca="false">IF(F395=0,"Not Received","Received")</f>
        <v>Not Received</v>
      </c>
      <c r="I395" s="16" t="str">
        <f aca="false">IF(G395=0,"Not Invoiced","Invoiced")</f>
        <v>Invoiced</v>
      </c>
      <c r="J395" s="18" t="n">
        <f aca="false">E395-F395</f>
        <v>1027.11</v>
      </c>
      <c r="K395" s="18" t="n">
        <f aca="false">E395-G395</f>
        <v>-1027.11</v>
      </c>
      <c r="L395" s="16" t="str">
        <f aca="false">IF(OR(AND(I395="Invoiced",H395="Not Received"),AND(F395&gt;0,ABS(J395)&gt;Assumptions!$B$6),AND(G395&gt;0,ABS(K395)&gt;Assumptions!$B$6)),"EXCEPTION","OK")</f>
        <v>EXCEPTION</v>
      </c>
    </row>
    <row r="396" customFormat="false" ht="15" hidden="false" customHeight="false" outlineLevel="0" collapsed="false">
      <c r="A396" s="16" t="str">
        <f aca="false">Purchase_Orders!A393</f>
        <v>PO10392</v>
      </c>
      <c r="B396" s="16" t="str">
        <f aca="false">Purchase_Orders!B393</f>
        <v>V1030</v>
      </c>
      <c r="C396" s="16" t="str">
        <f aca="false">IFERROR(INDEX(Vendor_Master!$B$2:$B$41,MATCH(B396,Vendor_Master!$A$2:$A$41,0)),"Unknown Vendor")</f>
        <v>Stanton-Gill</v>
      </c>
      <c r="D396" s="17" t="n">
        <f aca="false">Purchase_Orders!C393</f>
        <v>46013</v>
      </c>
      <c r="E396" s="18" t="n">
        <f aca="false">Purchase_Orders!D393</f>
        <v>4853.33</v>
      </c>
      <c r="F396" s="18" t="n">
        <f aca="false">SUMIFS(Goods_Receipt_Notes!$D$2:$D$791,Goods_Receipt_Notes!$B$2:$B$791,A396)</f>
        <v>4853.33</v>
      </c>
      <c r="G396" s="18" t="n">
        <f aca="false">SUMIFS(Vendor_Invoices_AP!$E$2:$E$882,Vendor_Invoices_AP!$B$2:$B$882,A396)</f>
        <v>4853.33</v>
      </c>
      <c r="H396" s="16" t="str">
        <f aca="false">IF(F396=0,"Not Received","Received")</f>
        <v>Received</v>
      </c>
      <c r="I396" s="16" t="str">
        <f aca="false">IF(G396=0,"Not Invoiced","Invoiced")</f>
        <v>Invoiced</v>
      </c>
      <c r="J396" s="18" t="n">
        <f aca="false">E396-F396</f>
        <v>0</v>
      </c>
      <c r="K396" s="18" t="n">
        <f aca="false">E396-G396</f>
        <v>0</v>
      </c>
      <c r="L396" s="16" t="str">
        <f aca="false">IF(OR(AND(I396="Invoiced",H396="Not Received"),AND(F396&gt;0,ABS(J396)&gt;Assumptions!$B$6),AND(G396&gt;0,ABS(K396)&gt;Assumptions!$B$6)),"EXCEPTION","OK")</f>
        <v>OK</v>
      </c>
    </row>
    <row r="397" customFormat="false" ht="15" hidden="false" customHeight="false" outlineLevel="0" collapsed="false">
      <c r="A397" s="16" t="str">
        <f aca="false">Purchase_Orders!A394</f>
        <v>PO10393</v>
      </c>
      <c r="B397" s="16" t="str">
        <f aca="false">Purchase_Orders!B394</f>
        <v>V1017</v>
      </c>
      <c r="C397" s="16" t="str">
        <f aca="false">IFERROR(INDEX(Vendor_Master!$B$2:$B$41,MATCH(B397,Vendor_Master!$A$2:$A$41,0)),"Unknown Vendor")</f>
        <v>Hawkins, Cohen and Cameron</v>
      </c>
      <c r="D397" s="17" t="n">
        <f aca="false">Purchase_Orders!C394</f>
        <v>46157</v>
      </c>
      <c r="E397" s="18" t="n">
        <f aca="false">Purchase_Orders!D394</f>
        <v>4213.88</v>
      </c>
      <c r="F397" s="18" t="n">
        <f aca="false">SUMIFS(Goods_Receipt_Notes!$D$2:$D$791,Goods_Receipt_Notes!$B$2:$B$791,A397)</f>
        <v>4213.88</v>
      </c>
      <c r="G397" s="18" t="n">
        <f aca="false">SUMIFS(Vendor_Invoices_AP!$E$2:$E$882,Vendor_Invoices_AP!$B$2:$B$882,A397)</f>
        <v>4213.88</v>
      </c>
      <c r="H397" s="16" t="str">
        <f aca="false">IF(F397=0,"Not Received","Received")</f>
        <v>Received</v>
      </c>
      <c r="I397" s="16" t="str">
        <f aca="false">IF(G397=0,"Not Invoiced","Invoiced")</f>
        <v>Invoiced</v>
      </c>
      <c r="J397" s="18" t="n">
        <f aca="false">E397-F397</f>
        <v>0</v>
      </c>
      <c r="K397" s="18" t="n">
        <f aca="false">E397-G397</f>
        <v>0</v>
      </c>
      <c r="L397" s="16" t="str">
        <f aca="false">IF(OR(AND(I397="Invoiced",H397="Not Received"),AND(F397&gt;0,ABS(J397)&gt;Assumptions!$B$6),AND(G397&gt;0,ABS(K397)&gt;Assumptions!$B$6)),"EXCEPTION","OK")</f>
        <v>OK</v>
      </c>
    </row>
    <row r="398" customFormat="false" ht="15" hidden="false" customHeight="false" outlineLevel="0" collapsed="false">
      <c r="A398" s="16" t="str">
        <f aca="false">Purchase_Orders!A395</f>
        <v>PO10394</v>
      </c>
      <c r="B398" s="16" t="str">
        <f aca="false">Purchase_Orders!B395</f>
        <v>V1018</v>
      </c>
      <c r="C398" s="16" t="str">
        <f aca="false">IFERROR(INDEX(Vendor_Master!$B$2:$B$41,MATCH(B398,Vendor_Master!$A$2:$A$41,0)),"Unknown Vendor")</f>
        <v>Underwood LLC</v>
      </c>
      <c r="D398" s="17" t="n">
        <f aca="false">Purchase_Orders!C395</f>
        <v>45756</v>
      </c>
      <c r="E398" s="18" t="n">
        <f aca="false">Purchase_Orders!D395</f>
        <v>1024.13</v>
      </c>
      <c r="F398" s="18" t="n">
        <f aca="false">SUMIFS(Goods_Receipt_Notes!$D$2:$D$791,Goods_Receipt_Notes!$B$2:$B$791,A398)</f>
        <v>0</v>
      </c>
      <c r="G398" s="18" t="n">
        <f aca="false">SUMIFS(Vendor_Invoices_AP!$E$2:$E$882,Vendor_Invoices_AP!$B$2:$B$882,A398)</f>
        <v>1024.13</v>
      </c>
      <c r="H398" s="16" t="str">
        <f aca="false">IF(F398=0,"Not Received","Received")</f>
        <v>Not Received</v>
      </c>
      <c r="I398" s="16" t="str">
        <f aca="false">IF(G398=0,"Not Invoiced","Invoiced")</f>
        <v>Invoiced</v>
      </c>
      <c r="J398" s="18" t="n">
        <f aca="false">E398-F398</f>
        <v>1024.13</v>
      </c>
      <c r="K398" s="18" t="n">
        <f aca="false">E398-G398</f>
        <v>0</v>
      </c>
      <c r="L398" s="16" t="str">
        <f aca="false">IF(OR(AND(I398="Invoiced",H398="Not Received"),AND(F398&gt;0,ABS(J398)&gt;Assumptions!$B$6),AND(G398&gt;0,ABS(K398)&gt;Assumptions!$B$6)),"EXCEPTION","OK")</f>
        <v>EXCEPTION</v>
      </c>
    </row>
    <row r="399" customFormat="false" ht="15" hidden="false" customHeight="false" outlineLevel="0" collapsed="false">
      <c r="A399" s="16" t="str">
        <f aca="false">Purchase_Orders!A396</f>
        <v>PO10395</v>
      </c>
      <c r="B399" s="16" t="str">
        <f aca="false">Purchase_Orders!B396</f>
        <v>V1002</v>
      </c>
      <c r="C399" s="16" t="str">
        <f aca="false">IFERROR(INDEX(Vendor_Master!$B$2:$B$41,MATCH(B399,Vendor_Master!$A$2:$A$41,0)),"Unknown Vendor")</f>
        <v>Garcia, Yang and Gardner</v>
      </c>
      <c r="D399" s="17" t="n">
        <f aca="false">Purchase_Orders!C396</f>
        <v>45977</v>
      </c>
      <c r="E399" s="18" t="n">
        <f aca="false">Purchase_Orders!D396</f>
        <v>6836.7</v>
      </c>
      <c r="F399" s="18" t="n">
        <f aca="false">SUMIFS(Goods_Receipt_Notes!$D$2:$D$791,Goods_Receipt_Notes!$B$2:$B$791,A399)</f>
        <v>6836.7</v>
      </c>
      <c r="G399" s="18" t="n">
        <f aca="false">SUMIFS(Vendor_Invoices_AP!$E$2:$E$882,Vendor_Invoices_AP!$B$2:$B$882,A399)</f>
        <v>6836.7</v>
      </c>
      <c r="H399" s="16" t="str">
        <f aca="false">IF(F399=0,"Not Received","Received")</f>
        <v>Received</v>
      </c>
      <c r="I399" s="16" t="str">
        <f aca="false">IF(G399=0,"Not Invoiced","Invoiced")</f>
        <v>Invoiced</v>
      </c>
      <c r="J399" s="18" t="n">
        <f aca="false">E399-F399</f>
        <v>0</v>
      </c>
      <c r="K399" s="18" t="n">
        <f aca="false">E399-G399</f>
        <v>0</v>
      </c>
      <c r="L399" s="16" t="str">
        <f aca="false">IF(OR(AND(I399="Invoiced",H399="Not Received"),AND(F399&gt;0,ABS(J399)&gt;Assumptions!$B$6),AND(G399&gt;0,ABS(K399)&gt;Assumptions!$B$6)),"EXCEPTION","OK")</f>
        <v>OK</v>
      </c>
    </row>
    <row r="400" customFormat="false" ht="15" hidden="false" customHeight="false" outlineLevel="0" collapsed="false">
      <c r="A400" s="16" t="str">
        <f aca="false">Purchase_Orders!A397</f>
        <v>PO10396</v>
      </c>
      <c r="B400" s="16" t="str">
        <f aca="false">Purchase_Orders!B397</f>
        <v>V1029</v>
      </c>
      <c r="C400" s="16" t="str">
        <f aca="false">IFERROR(INDEX(Vendor_Master!$B$2:$B$41,MATCH(B400,Vendor_Master!$A$2:$A$41,0)),"Unknown Vendor")</f>
        <v>Chavez Ltd</v>
      </c>
      <c r="D400" s="17" t="n">
        <f aca="false">Purchase_Orders!C397</f>
        <v>46003</v>
      </c>
      <c r="E400" s="18" t="n">
        <f aca="false">Purchase_Orders!D397</f>
        <v>2800.96</v>
      </c>
      <c r="F400" s="18" t="n">
        <f aca="false">SUMIFS(Goods_Receipt_Notes!$D$2:$D$791,Goods_Receipt_Notes!$B$2:$B$791,A400)</f>
        <v>2800.96</v>
      </c>
      <c r="G400" s="18" t="n">
        <f aca="false">SUMIFS(Vendor_Invoices_AP!$E$2:$E$882,Vendor_Invoices_AP!$B$2:$B$882,A400)</f>
        <v>2800.96</v>
      </c>
      <c r="H400" s="16" t="str">
        <f aca="false">IF(F400=0,"Not Received","Received")</f>
        <v>Received</v>
      </c>
      <c r="I400" s="16" t="str">
        <f aca="false">IF(G400=0,"Not Invoiced","Invoiced")</f>
        <v>Invoiced</v>
      </c>
      <c r="J400" s="18" t="n">
        <f aca="false">E400-F400</f>
        <v>0</v>
      </c>
      <c r="K400" s="18" t="n">
        <f aca="false">E400-G400</f>
        <v>0</v>
      </c>
      <c r="L400" s="16" t="str">
        <f aca="false">IF(OR(AND(I400="Invoiced",H400="Not Received"),AND(F400&gt;0,ABS(J400)&gt;Assumptions!$B$6),AND(G400&gt;0,ABS(K400)&gt;Assumptions!$B$6)),"EXCEPTION","OK")</f>
        <v>OK</v>
      </c>
    </row>
    <row r="401" customFormat="false" ht="15" hidden="false" customHeight="false" outlineLevel="0" collapsed="false">
      <c r="A401" s="16" t="str">
        <f aca="false">Purchase_Orders!A398</f>
        <v>PO10397</v>
      </c>
      <c r="B401" s="16" t="str">
        <f aca="false">Purchase_Orders!B398</f>
        <v>V1004</v>
      </c>
      <c r="C401" s="16" t="str">
        <f aca="false">IFERROR(INDEX(Vendor_Master!$B$2:$B$41,MATCH(B401,Vendor_Master!$A$2:$A$41,0)),"Unknown Vendor")</f>
        <v>Johnson, Gonzalez and Santos</v>
      </c>
      <c r="D401" s="17" t="n">
        <f aca="false">Purchase_Orders!C398</f>
        <v>45925</v>
      </c>
      <c r="E401" s="18" t="n">
        <f aca="false">Purchase_Orders!D398</f>
        <v>2607.21</v>
      </c>
      <c r="F401" s="18" t="n">
        <f aca="false">SUMIFS(Goods_Receipt_Notes!$D$2:$D$791,Goods_Receipt_Notes!$B$2:$B$791,A401)</f>
        <v>2607.21</v>
      </c>
      <c r="G401" s="18" t="n">
        <f aca="false">SUMIFS(Vendor_Invoices_AP!$E$2:$E$882,Vendor_Invoices_AP!$B$2:$B$882,A401)</f>
        <v>2607.21</v>
      </c>
      <c r="H401" s="16" t="str">
        <f aca="false">IF(F401=0,"Not Received","Received")</f>
        <v>Received</v>
      </c>
      <c r="I401" s="16" t="str">
        <f aca="false">IF(G401=0,"Not Invoiced","Invoiced")</f>
        <v>Invoiced</v>
      </c>
      <c r="J401" s="18" t="n">
        <f aca="false">E401-F401</f>
        <v>0</v>
      </c>
      <c r="K401" s="18" t="n">
        <f aca="false">E401-G401</f>
        <v>0</v>
      </c>
      <c r="L401" s="16" t="str">
        <f aca="false">IF(OR(AND(I401="Invoiced",H401="Not Received"),AND(F401&gt;0,ABS(J401)&gt;Assumptions!$B$6),AND(G401&gt;0,ABS(K401)&gt;Assumptions!$B$6)),"EXCEPTION","OK")</f>
        <v>OK</v>
      </c>
    </row>
    <row r="402" customFormat="false" ht="15" hidden="false" customHeight="false" outlineLevel="0" collapsed="false">
      <c r="A402" s="16" t="str">
        <f aca="false">Purchase_Orders!A399</f>
        <v>PO10398</v>
      </c>
      <c r="B402" s="16" t="str">
        <f aca="false">Purchase_Orders!B399</f>
        <v>V1014</v>
      </c>
      <c r="C402" s="16" t="str">
        <f aca="false">IFERROR(INDEX(Vendor_Master!$B$2:$B$41,MATCH(B402,Vendor_Master!$A$2:$A$41,0)),"Unknown Vendor")</f>
        <v>Flowers, Martin and Kelly</v>
      </c>
      <c r="D402" s="17" t="n">
        <f aca="false">Purchase_Orders!C399</f>
        <v>45707</v>
      </c>
      <c r="E402" s="18" t="n">
        <f aca="false">Purchase_Orders!D399</f>
        <v>3346.97</v>
      </c>
      <c r="F402" s="18" t="n">
        <f aca="false">SUMIFS(Goods_Receipt_Notes!$D$2:$D$791,Goods_Receipt_Notes!$B$2:$B$791,A402)</f>
        <v>3346.97</v>
      </c>
      <c r="G402" s="18" t="n">
        <f aca="false">SUMIFS(Vendor_Invoices_AP!$E$2:$E$882,Vendor_Invoices_AP!$B$2:$B$882,A402)</f>
        <v>3346.97</v>
      </c>
      <c r="H402" s="16" t="str">
        <f aca="false">IF(F402=0,"Not Received","Received")</f>
        <v>Received</v>
      </c>
      <c r="I402" s="16" t="str">
        <f aca="false">IF(G402=0,"Not Invoiced","Invoiced")</f>
        <v>Invoiced</v>
      </c>
      <c r="J402" s="18" t="n">
        <f aca="false">E402-F402</f>
        <v>0</v>
      </c>
      <c r="K402" s="18" t="n">
        <f aca="false">E402-G402</f>
        <v>0</v>
      </c>
      <c r="L402" s="16" t="str">
        <f aca="false">IF(OR(AND(I402="Invoiced",H402="Not Received"),AND(F402&gt;0,ABS(J402)&gt;Assumptions!$B$6),AND(G402&gt;0,ABS(K402)&gt;Assumptions!$B$6)),"EXCEPTION","OK")</f>
        <v>OK</v>
      </c>
    </row>
    <row r="403" customFormat="false" ht="15" hidden="false" customHeight="false" outlineLevel="0" collapsed="false">
      <c r="A403" s="16" t="str">
        <f aca="false">Purchase_Orders!A400</f>
        <v>PO10399</v>
      </c>
      <c r="B403" s="16" t="str">
        <f aca="false">Purchase_Orders!B400</f>
        <v>V1028</v>
      </c>
      <c r="C403" s="16" t="str">
        <f aca="false">IFERROR(INDEX(Vendor_Master!$B$2:$B$41,MATCH(B403,Vendor_Master!$A$2:$A$41,0)),"Unknown Vendor")</f>
        <v>Potter, Mack and Peterson</v>
      </c>
      <c r="D403" s="17" t="n">
        <f aca="false">Purchase_Orders!C400</f>
        <v>45847</v>
      </c>
      <c r="E403" s="18" t="n">
        <f aca="false">Purchase_Orders!D400</f>
        <v>927.7</v>
      </c>
      <c r="F403" s="18" t="n">
        <f aca="false">SUMIFS(Goods_Receipt_Notes!$D$2:$D$791,Goods_Receipt_Notes!$B$2:$B$791,A403)</f>
        <v>0</v>
      </c>
      <c r="G403" s="18" t="n">
        <f aca="false">SUMIFS(Vendor_Invoices_AP!$E$2:$E$882,Vendor_Invoices_AP!$B$2:$B$882,A403)</f>
        <v>927.7</v>
      </c>
      <c r="H403" s="16" t="str">
        <f aca="false">IF(F403=0,"Not Received","Received")</f>
        <v>Not Received</v>
      </c>
      <c r="I403" s="16" t="str">
        <f aca="false">IF(G403=0,"Not Invoiced","Invoiced")</f>
        <v>Invoiced</v>
      </c>
      <c r="J403" s="18" t="n">
        <f aca="false">E403-F403</f>
        <v>927.7</v>
      </c>
      <c r="K403" s="18" t="n">
        <f aca="false">E403-G403</f>
        <v>0</v>
      </c>
      <c r="L403" s="16" t="str">
        <f aca="false">IF(OR(AND(I403="Invoiced",H403="Not Received"),AND(F403&gt;0,ABS(J403)&gt;Assumptions!$B$6),AND(G403&gt;0,ABS(K403)&gt;Assumptions!$B$6)),"EXCEPTION","OK")</f>
        <v>EXCEPTION</v>
      </c>
    </row>
    <row r="404" customFormat="false" ht="15" hidden="false" customHeight="false" outlineLevel="0" collapsed="false">
      <c r="A404" s="16" t="str">
        <f aca="false">Purchase_Orders!A401</f>
        <v>PO10400</v>
      </c>
      <c r="B404" s="16" t="str">
        <f aca="false">Purchase_Orders!B401</f>
        <v>V1018</v>
      </c>
      <c r="C404" s="16" t="str">
        <f aca="false">IFERROR(INDEX(Vendor_Master!$B$2:$B$41,MATCH(B404,Vendor_Master!$A$2:$A$41,0)),"Unknown Vendor")</f>
        <v>Underwood LLC</v>
      </c>
      <c r="D404" s="17" t="n">
        <f aca="false">Purchase_Orders!C401</f>
        <v>45839</v>
      </c>
      <c r="E404" s="18" t="n">
        <f aca="false">Purchase_Orders!D401</f>
        <v>1759.54</v>
      </c>
      <c r="F404" s="18" t="n">
        <f aca="false">SUMIFS(Goods_Receipt_Notes!$D$2:$D$791,Goods_Receipt_Notes!$B$2:$B$791,A404)</f>
        <v>1759.54</v>
      </c>
      <c r="G404" s="18" t="n">
        <f aca="false">SUMIFS(Vendor_Invoices_AP!$E$2:$E$882,Vendor_Invoices_AP!$B$2:$B$882,A404)</f>
        <v>1759.54</v>
      </c>
      <c r="H404" s="16" t="str">
        <f aca="false">IF(F404=0,"Not Received","Received")</f>
        <v>Received</v>
      </c>
      <c r="I404" s="16" t="str">
        <f aca="false">IF(G404=0,"Not Invoiced","Invoiced")</f>
        <v>Invoiced</v>
      </c>
      <c r="J404" s="18" t="n">
        <f aca="false">E404-F404</f>
        <v>0</v>
      </c>
      <c r="K404" s="18" t="n">
        <f aca="false">E404-G404</f>
        <v>0</v>
      </c>
      <c r="L404" s="16" t="str">
        <f aca="false">IF(OR(AND(I404="Invoiced",H404="Not Received"),AND(F404&gt;0,ABS(J404)&gt;Assumptions!$B$6),AND(G404&gt;0,ABS(K404)&gt;Assumptions!$B$6)),"EXCEPTION","OK")</f>
        <v>OK</v>
      </c>
    </row>
    <row r="405" customFormat="false" ht="15" hidden="false" customHeight="false" outlineLevel="0" collapsed="false">
      <c r="A405" s="16" t="str">
        <f aca="false">Purchase_Orders!A402</f>
        <v>PO10401</v>
      </c>
      <c r="B405" s="16" t="str">
        <f aca="false">Purchase_Orders!B402</f>
        <v>V1029</v>
      </c>
      <c r="C405" s="16" t="str">
        <f aca="false">IFERROR(INDEX(Vendor_Master!$B$2:$B$41,MATCH(B405,Vendor_Master!$A$2:$A$41,0)),"Unknown Vendor")</f>
        <v>Chavez Ltd</v>
      </c>
      <c r="D405" s="17" t="n">
        <f aca="false">Purchase_Orders!C402</f>
        <v>46023</v>
      </c>
      <c r="E405" s="18" t="n">
        <f aca="false">Purchase_Orders!D402</f>
        <v>1478.45</v>
      </c>
      <c r="F405" s="18" t="n">
        <f aca="false">SUMIFS(Goods_Receipt_Notes!$D$2:$D$791,Goods_Receipt_Notes!$B$2:$B$791,A405)</f>
        <v>1478.45</v>
      </c>
      <c r="G405" s="18" t="n">
        <f aca="false">SUMIFS(Vendor_Invoices_AP!$E$2:$E$882,Vendor_Invoices_AP!$B$2:$B$882,A405)</f>
        <v>1478.45</v>
      </c>
      <c r="H405" s="16" t="str">
        <f aca="false">IF(F405=0,"Not Received","Received")</f>
        <v>Received</v>
      </c>
      <c r="I405" s="16" t="str">
        <f aca="false">IF(G405=0,"Not Invoiced","Invoiced")</f>
        <v>Invoiced</v>
      </c>
      <c r="J405" s="18" t="n">
        <f aca="false">E405-F405</f>
        <v>0</v>
      </c>
      <c r="K405" s="18" t="n">
        <f aca="false">E405-G405</f>
        <v>0</v>
      </c>
      <c r="L405" s="16" t="str">
        <f aca="false">IF(OR(AND(I405="Invoiced",H405="Not Received"),AND(F405&gt;0,ABS(J405)&gt;Assumptions!$B$6),AND(G405&gt;0,ABS(K405)&gt;Assumptions!$B$6)),"EXCEPTION","OK")</f>
        <v>OK</v>
      </c>
    </row>
    <row r="406" customFormat="false" ht="15" hidden="false" customHeight="false" outlineLevel="0" collapsed="false">
      <c r="A406" s="16" t="str">
        <f aca="false">Purchase_Orders!A403</f>
        <v>PO10402</v>
      </c>
      <c r="B406" s="16" t="str">
        <f aca="false">Purchase_Orders!B403</f>
        <v>V1026</v>
      </c>
      <c r="C406" s="16" t="str">
        <f aca="false">IFERROR(INDEX(Vendor_Master!$B$2:$B$41,MATCH(B406,Vendor_Master!$A$2:$A$41,0)),"Unknown Vendor")</f>
        <v>James-Ferrell</v>
      </c>
      <c r="D406" s="17" t="n">
        <f aca="false">Purchase_Orders!C403</f>
        <v>46125</v>
      </c>
      <c r="E406" s="18" t="n">
        <f aca="false">Purchase_Orders!D403</f>
        <v>5195.5</v>
      </c>
      <c r="F406" s="18" t="n">
        <f aca="false">SUMIFS(Goods_Receipt_Notes!$D$2:$D$791,Goods_Receipt_Notes!$B$2:$B$791,A406)</f>
        <v>5195.5</v>
      </c>
      <c r="G406" s="18" t="n">
        <f aca="false">SUMIFS(Vendor_Invoices_AP!$E$2:$E$882,Vendor_Invoices_AP!$B$2:$B$882,A406)</f>
        <v>5195.5</v>
      </c>
      <c r="H406" s="16" t="str">
        <f aca="false">IF(F406=0,"Not Received","Received")</f>
        <v>Received</v>
      </c>
      <c r="I406" s="16" t="str">
        <f aca="false">IF(G406=0,"Not Invoiced","Invoiced")</f>
        <v>Invoiced</v>
      </c>
      <c r="J406" s="18" t="n">
        <f aca="false">E406-F406</f>
        <v>0</v>
      </c>
      <c r="K406" s="18" t="n">
        <f aca="false">E406-G406</f>
        <v>0</v>
      </c>
      <c r="L406" s="16" t="str">
        <f aca="false">IF(OR(AND(I406="Invoiced",H406="Not Received"),AND(F406&gt;0,ABS(J406)&gt;Assumptions!$B$6),AND(G406&gt;0,ABS(K406)&gt;Assumptions!$B$6)),"EXCEPTION","OK")</f>
        <v>OK</v>
      </c>
    </row>
    <row r="407" customFormat="false" ht="15" hidden="false" customHeight="false" outlineLevel="0" collapsed="false">
      <c r="A407" s="16" t="str">
        <f aca="false">Purchase_Orders!A404</f>
        <v>PO10403</v>
      </c>
      <c r="B407" s="16" t="str">
        <f aca="false">Purchase_Orders!B404</f>
        <v>V1025</v>
      </c>
      <c r="C407" s="16" t="str">
        <f aca="false">IFERROR(INDEX(Vendor_Master!$B$2:$B$41,MATCH(B407,Vendor_Master!$A$2:$A$41,0)),"Unknown Vendor")</f>
        <v>Conner Group</v>
      </c>
      <c r="D407" s="17" t="n">
        <f aca="false">Purchase_Orders!C404</f>
        <v>45837</v>
      </c>
      <c r="E407" s="18" t="n">
        <f aca="false">Purchase_Orders!D404</f>
        <v>3949.44</v>
      </c>
      <c r="F407" s="18" t="n">
        <f aca="false">SUMIFS(Goods_Receipt_Notes!$D$2:$D$791,Goods_Receipt_Notes!$B$2:$B$791,A407)</f>
        <v>3949.44</v>
      </c>
      <c r="G407" s="18" t="n">
        <f aca="false">SUMIFS(Vendor_Invoices_AP!$E$2:$E$882,Vendor_Invoices_AP!$B$2:$B$882,A407)</f>
        <v>3949.44</v>
      </c>
      <c r="H407" s="16" t="str">
        <f aca="false">IF(F407=0,"Not Received","Received")</f>
        <v>Received</v>
      </c>
      <c r="I407" s="16" t="str">
        <f aca="false">IF(G407=0,"Not Invoiced","Invoiced")</f>
        <v>Invoiced</v>
      </c>
      <c r="J407" s="18" t="n">
        <f aca="false">E407-F407</f>
        <v>0</v>
      </c>
      <c r="K407" s="18" t="n">
        <f aca="false">E407-G407</f>
        <v>0</v>
      </c>
      <c r="L407" s="16" t="str">
        <f aca="false">IF(OR(AND(I407="Invoiced",H407="Not Received"),AND(F407&gt;0,ABS(J407)&gt;Assumptions!$B$6),AND(G407&gt;0,ABS(K407)&gt;Assumptions!$B$6)),"EXCEPTION","OK")</f>
        <v>OK</v>
      </c>
    </row>
    <row r="408" customFormat="false" ht="15" hidden="false" customHeight="false" outlineLevel="0" collapsed="false">
      <c r="A408" s="16" t="str">
        <f aca="false">Purchase_Orders!A405</f>
        <v>PO10404</v>
      </c>
      <c r="B408" s="16" t="str">
        <f aca="false">Purchase_Orders!B405</f>
        <v>V1031</v>
      </c>
      <c r="C408" s="16" t="str">
        <f aca="false">IFERROR(INDEX(Vendor_Master!$B$2:$B$41,MATCH(B408,Vendor_Master!$A$2:$A$41,0)),"Unknown Vendor")</f>
        <v>Harrell LLC</v>
      </c>
      <c r="D408" s="17" t="n">
        <f aca="false">Purchase_Orders!C405</f>
        <v>46036</v>
      </c>
      <c r="E408" s="18" t="n">
        <f aca="false">Purchase_Orders!D405</f>
        <v>1752.88</v>
      </c>
      <c r="F408" s="18" t="n">
        <f aca="false">SUMIFS(Goods_Receipt_Notes!$D$2:$D$791,Goods_Receipt_Notes!$B$2:$B$791,A408)</f>
        <v>1752.88</v>
      </c>
      <c r="G408" s="18" t="n">
        <f aca="false">SUMIFS(Vendor_Invoices_AP!$E$2:$E$882,Vendor_Invoices_AP!$B$2:$B$882,A408)</f>
        <v>1814.72</v>
      </c>
      <c r="H408" s="16" t="str">
        <f aca="false">IF(F408=0,"Not Received","Received")</f>
        <v>Received</v>
      </c>
      <c r="I408" s="16" t="str">
        <f aca="false">IF(G408=0,"Not Invoiced","Invoiced")</f>
        <v>Invoiced</v>
      </c>
      <c r="J408" s="18" t="n">
        <f aca="false">E408-F408</f>
        <v>0</v>
      </c>
      <c r="K408" s="18" t="n">
        <f aca="false">E408-G408</f>
        <v>-61.8399999999999</v>
      </c>
      <c r="L408" s="16" t="str">
        <f aca="false">IF(OR(AND(I408="Invoiced",H408="Not Received"),AND(F408&gt;0,ABS(J408)&gt;Assumptions!$B$6),AND(G408&gt;0,ABS(K408)&gt;Assumptions!$B$6)),"EXCEPTION","OK")</f>
        <v>EXCEPTION</v>
      </c>
    </row>
    <row r="409" customFormat="false" ht="15" hidden="false" customHeight="false" outlineLevel="0" collapsed="false">
      <c r="A409" s="16" t="str">
        <f aca="false">Purchase_Orders!A406</f>
        <v>PO10405</v>
      </c>
      <c r="B409" s="16" t="str">
        <f aca="false">Purchase_Orders!B406</f>
        <v>V1003</v>
      </c>
      <c r="C409" s="16" t="str">
        <f aca="false">IFERROR(INDEX(Vendor_Master!$B$2:$B$41,MATCH(B409,Vendor_Master!$A$2:$A$41,0)),"Unknown Vendor")</f>
        <v>Johnson and Sons</v>
      </c>
      <c r="D409" s="17" t="n">
        <f aca="false">Purchase_Orders!C406</f>
        <v>45815</v>
      </c>
      <c r="E409" s="18" t="n">
        <f aca="false">Purchase_Orders!D406</f>
        <v>3826.85</v>
      </c>
      <c r="F409" s="18" t="n">
        <f aca="false">SUMIFS(Goods_Receipt_Notes!$D$2:$D$791,Goods_Receipt_Notes!$B$2:$B$791,A409)</f>
        <v>3826.85</v>
      </c>
      <c r="G409" s="18" t="n">
        <f aca="false">SUMIFS(Vendor_Invoices_AP!$E$2:$E$882,Vendor_Invoices_AP!$B$2:$B$882,A409)</f>
        <v>3826.85</v>
      </c>
      <c r="H409" s="16" t="str">
        <f aca="false">IF(F409=0,"Not Received","Received")</f>
        <v>Received</v>
      </c>
      <c r="I409" s="16" t="str">
        <f aca="false">IF(G409=0,"Not Invoiced","Invoiced")</f>
        <v>Invoiced</v>
      </c>
      <c r="J409" s="18" t="n">
        <f aca="false">E409-F409</f>
        <v>0</v>
      </c>
      <c r="K409" s="18" t="n">
        <f aca="false">E409-G409</f>
        <v>0</v>
      </c>
      <c r="L409" s="16" t="str">
        <f aca="false">IF(OR(AND(I409="Invoiced",H409="Not Received"),AND(F409&gt;0,ABS(J409)&gt;Assumptions!$B$6),AND(G409&gt;0,ABS(K409)&gt;Assumptions!$B$6)),"EXCEPTION","OK")</f>
        <v>OK</v>
      </c>
    </row>
    <row r="410" customFormat="false" ht="15" hidden="false" customHeight="false" outlineLevel="0" collapsed="false">
      <c r="A410" s="16" t="str">
        <f aca="false">Purchase_Orders!A407</f>
        <v>PO10406</v>
      </c>
      <c r="B410" s="16" t="str">
        <f aca="false">Purchase_Orders!B407</f>
        <v>V1013</v>
      </c>
      <c r="C410" s="16" t="str">
        <f aca="false">IFERROR(INDEX(Vendor_Master!$B$2:$B$41,MATCH(B410,Vendor_Master!$A$2:$A$41,0)),"Unknown Vendor")</f>
        <v>Delacruz Group</v>
      </c>
      <c r="D410" s="17" t="n">
        <f aca="false">Purchase_Orders!C407</f>
        <v>46173</v>
      </c>
      <c r="E410" s="18" t="n">
        <f aca="false">Purchase_Orders!D407</f>
        <v>1836.32</v>
      </c>
      <c r="F410" s="18" t="n">
        <f aca="false">SUMIFS(Goods_Receipt_Notes!$D$2:$D$791,Goods_Receipt_Notes!$B$2:$B$791,A410)</f>
        <v>1836.32</v>
      </c>
      <c r="G410" s="18" t="n">
        <f aca="false">SUMIFS(Vendor_Invoices_AP!$E$2:$E$882,Vendor_Invoices_AP!$B$2:$B$882,A410)</f>
        <v>1836.32</v>
      </c>
      <c r="H410" s="16" t="str">
        <f aca="false">IF(F410=0,"Not Received","Received")</f>
        <v>Received</v>
      </c>
      <c r="I410" s="16" t="str">
        <f aca="false">IF(G410=0,"Not Invoiced","Invoiced")</f>
        <v>Invoiced</v>
      </c>
      <c r="J410" s="18" t="n">
        <f aca="false">E410-F410</f>
        <v>0</v>
      </c>
      <c r="K410" s="18" t="n">
        <f aca="false">E410-G410</f>
        <v>0</v>
      </c>
      <c r="L410" s="16" t="str">
        <f aca="false">IF(OR(AND(I410="Invoiced",H410="Not Received"),AND(F410&gt;0,ABS(J410)&gt;Assumptions!$B$6),AND(G410&gt;0,ABS(K410)&gt;Assumptions!$B$6)),"EXCEPTION","OK")</f>
        <v>OK</v>
      </c>
    </row>
    <row r="411" customFormat="false" ht="15" hidden="false" customHeight="false" outlineLevel="0" collapsed="false">
      <c r="A411" s="16" t="str">
        <f aca="false">Purchase_Orders!A408</f>
        <v>PO10407</v>
      </c>
      <c r="B411" s="16" t="str">
        <f aca="false">Purchase_Orders!B408</f>
        <v>V1019</v>
      </c>
      <c r="C411" s="16" t="str">
        <f aca="false">IFERROR(INDEX(Vendor_Master!$B$2:$B$41,MATCH(B411,Vendor_Master!$A$2:$A$41,0)),"Unknown Vendor")</f>
        <v>Clark PLC</v>
      </c>
      <c r="D411" s="17" t="n">
        <f aca="false">Purchase_Orders!C408</f>
        <v>46101</v>
      </c>
      <c r="E411" s="18" t="n">
        <f aca="false">Purchase_Orders!D408</f>
        <v>933.1</v>
      </c>
      <c r="F411" s="18" t="n">
        <f aca="false">SUMIFS(Goods_Receipt_Notes!$D$2:$D$791,Goods_Receipt_Notes!$B$2:$B$791,A411)</f>
        <v>933.1</v>
      </c>
      <c r="G411" s="18" t="n">
        <f aca="false">SUMIFS(Vendor_Invoices_AP!$E$2:$E$882,Vendor_Invoices_AP!$B$2:$B$882,A411)</f>
        <v>933.1</v>
      </c>
      <c r="H411" s="16" t="str">
        <f aca="false">IF(F411=0,"Not Received","Received")</f>
        <v>Received</v>
      </c>
      <c r="I411" s="16" t="str">
        <f aca="false">IF(G411=0,"Not Invoiced","Invoiced")</f>
        <v>Invoiced</v>
      </c>
      <c r="J411" s="18" t="n">
        <f aca="false">E411-F411</f>
        <v>0</v>
      </c>
      <c r="K411" s="18" t="n">
        <f aca="false">E411-G411</f>
        <v>0</v>
      </c>
      <c r="L411" s="16" t="str">
        <f aca="false">IF(OR(AND(I411="Invoiced",H411="Not Received"),AND(F411&gt;0,ABS(J411)&gt;Assumptions!$B$6),AND(G411&gt;0,ABS(K411)&gt;Assumptions!$B$6)),"EXCEPTION","OK")</f>
        <v>OK</v>
      </c>
    </row>
    <row r="412" customFormat="false" ht="15" hidden="false" customHeight="false" outlineLevel="0" collapsed="false">
      <c r="A412" s="16" t="str">
        <f aca="false">Purchase_Orders!A409</f>
        <v>PO10408</v>
      </c>
      <c r="B412" s="16" t="str">
        <f aca="false">Purchase_Orders!B409</f>
        <v>V1012</v>
      </c>
      <c r="C412" s="16" t="str">
        <f aca="false">IFERROR(INDEX(Vendor_Master!$B$2:$B$41,MATCH(B412,Vendor_Master!$A$2:$A$41,0)),"Unknown Vendor")</f>
        <v>Stanley LLC</v>
      </c>
      <c r="D412" s="17" t="n">
        <f aca="false">Purchase_Orders!C409</f>
        <v>45957</v>
      </c>
      <c r="E412" s="18" t="n">
        <f aca="false">Purchase_Orders!D409</f>
        <v>6538.37</v>
      </c>
      <c r="F412" s="18" t="n">
        <f aca="false">SUMIFS(Goods_Receipt_Notes!$D$2:$D$791,Goods_Receipt_Notes!$B$2:$B$791,A412)</f>
        <v>6538.37</v>
      </c>
      <c r="G412" s="18" t="n">
        <f aca="false">SUMIFS(Vendor_Invoices_AP!$E$2:$E$882,Vendor_Invoices_AP!$B$2:$B$882,A412)</f>
        <v>7023.92</v>
      </c>
      <c r="H412" s="16" t="str">
        <f aca="false">IF(F412=0,"Not Received","Received")</f>
        <v>Received</v>
      </c>
      <c r="I412" s="16" t="str">
        <f aca="false">IF(G412=0,"Not Invoiced","Invoiced")</f>
        <v>Invoiced</v>
      </c>
      <c r="J412" s="18" t="n">
        <f aca="false">E412-F412</f>
        <v>0</v>
      </c>
      <c r="K412" s="18" t="n">
        <f aca="false">E412-G412</f>
        <v>-485.55</v>
      </c>
      <c r="L412" s="16" t="str">
        <f aca="false">IF(OR(AND(I412="Invoiced",H412="Not Received"),AND(F412&gt;0,ABS(J412)&gt;Assumptions!$B$6),AND(G412&gt;0,ABS(K412)&gt;Assumptions!$B$6)),"EXCEPTION","OK")</f>
        <v>EXCEPTION</v>
      </c>
    </row>
    <row r="413" customFormat="false" ht="15" hidden="false" customHeight="false" outlineLevel="0" collapsed="false">
      <c r="A413" s="16" t="str">
        <f aca="false">Purchase_Orders!A410</f>
        <v>PO10409</v>
      </c>
      <c r="B413" s="16" t="str">
        <f aca="false">Purchase_Orders!B410</f>
        <v>V1022</v>
      </c>
      <c r="C413" s="16" t="str">
        <f aca="false">IFERROR(INDEX(Vendor_Master!$B$2:$B$41,MATCH(B413,Vendor_Master!$A$2:$A$41,0)),"Unknown Vendor")</f>
        <v>Burgess-Patterson</v>
      </c>
      <c r="D413" s="17" t="n">
        <f aca="false">Purchase_Orders!C410</f>
        <v>45905</v>
      </c>
      <c r="E413" s="18" t="n">
        <f aca="false">Purchase_Orders!D410</f>
        <v>3586.35</v>
      </c>
      <c r="F413" s="18" t="n">
        <f aca="false">SUMIFS(Goods_Receipt_Notes!$D$2:$D$791,Goods_Receipt_Notes!$B$2:$B$791,A413)</f>
        <v>3586.35</v>
      </c>
      <c r="G413" s="18" t="n">
        <f aca="false">SUMIFS(Vendor_Invoices_AP!$E$2:$E$882,Vendor_Invoices_AP!$B$2:$B$882,A413)</f>
        <v>3586.35</v>
      </c>
      <c r="H413" s="16" t="str">
        <f aca="false">IF(F413=0,"Not Received","Received")</f>
        <v>Received</v>
      </c>
      <c r="I413" s="16" t="str">
        <f aca="false">IF(G413=0,"Not Invoiced","Invoiced")</f>
        <v>Invoiced</v>
      </c>
      <c r="J413" s="18" t="n">
        <f aca="false">E413-F413</f>
        <v>0</v>
      </c>
      <c r="K413" s="18" t="n">
        <f aca="false">E413-G413</f>
        <v>0</v>
      </c>
      <c r="L413" s="16" t="str">
        <f aca="false">IF(OR(AND(I413="Invoiced",H413="Not Received"),AND(F413&gt;0,ABS(J413)&gt;Assumptions!$B$6),AND(G413&gt;0,ABS(K413)&gt;Assumptions!$B$6)),"EXCEPTION","OK")</f>
        <v>OK</v>
      </c>
    </row>
    <row r="414" customFormat="false" ht="15" hidden="false" customHeight="false" outlineLevel="0" collapsed="false">
      <c r="A414" s="16" t="str">
        <f aca="false">Purchase_Orders!A411</f>
        <v>PO10410</v>
      </c>
      <c r="B414" s="16" t="str">
        <f aca="false">Purchase_Orders!B411</f>
        <v>V1029</v>
      </c>
      <c r="C414" s="16" t="str">
        <f aca="false">IFERROR(INDEX(Vendor_Master!$B$2:$B$41,MATCH(B414,Vendor_Master!$A$2:$A$41,0)),"Unknown Vendor")</f>
        <v>Chavez Ltd</v>
      </c>
      <c r="D414" s="17" t="n">
        <f aca="false">Purchase_Orders!C411</f>
        <v>45829</v>
      </c>
      <c r="E414" s="18" t="n">
        <f aca="false">Purchase_Orders!D411</f>
        <v>3705.05</v>
      </c>
      <c r="F414" s="18" t="n">
        <f aca="false">SUMIFS(Goods_Receipt_Notes!$D$2:$D$791,Goods_Receipt_Notes!$B$2:$B$791,A414)</f>
        <v>3705.05</v>
      </c>
      <c r="G414" s="18" t="n">
        <f aca="false">SUMIFS(Vendor_Invoices_AP!$E$2:$E$882,Vendor_Invoices_AP!$B$2:$B$882,A414)</f>
        <v>3705.05</v>
      </c>
      <c r="H414" s="16" t="str">
        <f aca="false">IF(F414=0,"Not Received","Received")</f>
        <v>Received</v>
      </c>
      <c r="I414" s="16" t="str">
        <f aca="false">IF(G414=0,"Not Invoiced","Invoiced")</f>
        <v>Invoiced</v>
      </c>
      <c r="J414" s="18" t="n">
        <f aca="false">E414-F414</f>
        <v>0</v>
      </c>
      <c r="K414" s="18" t="n">
        <f aca="false">E414-G414</f>
        <v>0</v>
      </c>
      <c r="L414" s="16" t="str">
        <f aca="false">IF(OR(AND(I414="Invoiced",H414="Not Received"),AND(F414&gt;0,ABS(J414)&gt;Assumptions!$B$6),AND(G414&gt;0,ABS(K414)&gt;Assumptions!$B$6)),"EXCEPTION","OK")</f>
        <v>OK</v>
      </c>
    </row>
    <row r="415" customFormat="false" ht="15" hidden="false" customHeight="false" outlineLevel="0" collapsed="false">
      <c r="A415" s="16" t="str">
        <f aca="false">Purchase_Orders!A412</f>
        <v>PO10411</v>
      </c>
      <c r="B415" s="16" t="str">
        <f aca="false">Purchase_Orders!B412</f>
        <v>V1005</v>
      </c>
      <c r="C415" s="16" t="str">
        <f aca="false">IFERROR(INDEX(Vendor_Master!$B$2:$B$41,MATCH(B415,Vendor_Master!$A$2:$A$41,0)),"Unknown Vendor")</f>
        <v>Cole LLC</v>
      </c>
      <c r="D415" s="17" t="n">
        <f aca="false">Purchase_Orders!C412</f>
        <v>45834</v>
      </c>
      <c r="E415" s="18" t="n">
        <f aca="false">Purchase_Orders!D412</f>
        <v>4579.99</v>
      </c>
      <c r="F415" s="18" t="n">
        <f aca="false">SUMIFS(Goods_Receipt_Notes!$D$2:$D$791,Goods_Receipt_Notes!$B$2:$B$791,A415)</f>
        <v>4579.99</v>
      </c>
      <c r="G415" s="18" t="n">
        <f aca="false">SUMIFS(Vendor_Invoices_AP!$E$2:$E$882,Vendor_Invoices_AP!$B$2:$B$882,A415)</f>
        <v>4579.99</v>
      </c>
      <c r="H415" s="16" t="str">
        <f aca="false">IF(F415=0,"Not Received","Received")</f>
        <v>Received</v>
      </c>
      <c r="I415" s="16" t="str">
        <f aca="false">IF(G415=0,"Not Invoiced","Invoiced")</f>
        <v>Invoiced</v>
      </c>
      <c r="J415" s="18" t="n">
        <f aca="false">E415-F415</f>
        <v>0</v>
      </c>
      <c r="K415" s="18" t="n">
        <f aca="false">E415-G415</f>
        <v>0</v>
      </c>
      <c r="L415" s="16" t="str">
        <f aca="false">IF(OR(AND(I415="Invoiced",H415="Not Received"),AND(F415&gt;0,ABS(J415)&gt;Assumptions!$B$6),AND(G415&gt;0,ABS(K415)&gt;Assumptions!$B$6)),"EXCEPTION","OK")</f>
        <v>OK</v>
      </c>
    </row>
    <row r="416" customFormat="false" ht="15" hidden="false" customHeight="false" outlineLevel="0" collapsed="false">
      <c r="A416" s="16" t="str">
        <f aca="false">Purchase_Orders!A413</f>
        <v>PO10412</v>
      </c>
      <c r="B416" s="16" t="str">
        <f aca="false">Purchase_Orders!B413</f>
        <v>V1015</v>
      </c>
      <c r="C416" s="16" t="str">
        <f aca="false">IFERROR(INDEX(Vendor_Master!$B$2:$B$41,MATCH(B416,Vendor_Master!$A$2:$A$41,0)),"Unknown Vendor")</f>
        <v>Zuniga, Wong and Lynch</v>
      </c>
      <c r="D416" s="17" t="n">
        <f aca="false">Purchase_Orders!C413</f>
        <v>46186</v>
      </c>
      <c r="E416" s="18" t="n">
        <f aca="false">Purchase_Orders!D413</f>
        <v>439.82</v>
      </c>
      <c r="F416" s="18" t="n">
        <f aca="false">SUMIFS(Goods_Receipt_Notes!$D$2:$D$791,Goods_Receipt_Notes!$B$2:$B$791,A416)</f>
        <v>439.82</v>
      </c>
      <c r="G416" s="18" t="n">
        <f aca="false">SUMIFS(Vendor_Invoices_AP!$E$2:$E$882,Vendor_Invoices_AP!$B$2:$B$882,A416)</f>
        <v>439.82</v>
      </c>
      <c r="H416" s="16" t="str">
        <f aca="false">IF(F416=0,"Not Received","Received")</f>
        <v>Received</v>
      </c>
      <c r="I416" s="16" t="str">
        <f aca="false">IF(G416=0,"Not Invoiced","Invoiced")</f>
        <v>Invoiced</v>
      </c>
      <c r="J416" s="18" t="n">
        <f aca="false">E416-F416</f>
        <v>0</v>
      </c>
      <c r="K416" s="18" t="n">
        <f aca="false">E416-G416</f>
        <v>0</v>
      </c>
      <c r="L416" s="16" t="str">
        <f aca="false">IF(OR(AND(I416="Invoiced",H416="Not Received"),AND(F416&gt;0,ABS(J416)&gt;Assumptions!$B$6),AND(G416&gt;0,ABS(K416)&gt;Assumptions!$B$6)),"EXCEPTION","OK")</f>
        <v>OK</v>
      </c>
    </row>
    <row r="417" customFormat="false" ht="15" hidden="false" customHeight="false" outlineLevel="0" collapsed="false">
      <c r="A417" s="16" t="str">
        <f aca="false">Purchase_Orders!A414</f>
        <v>PO10413</v>
      </c>
      <c r="B417" s="16" t="str">
        <f aca="false">Purchase_Orders!B414</f>
        <v>V1010</v>
      </c>
      <c r="C417" s="16" t="str">
        <f aca="false">IFERROR(INDEX(Vendor_Master!$B$2:$B$41,MATCH(B417,Vendor_Master!$A$2:$A$41,0)),"Unknown Vendor")</f>
        <v>Martinez, Nielsen and Miller</v>
      </c>
      <c r="D417" s="17" t="n">
        <f aca="false">Purchase_Orders!C414</f>
        <v>45878</v>
      </c>
      <c r="E417" s="18" t="n">
        <f aca="false">Purchase_Orders!D414</f>
        <v>1348.19</v>
      </c>
      <c r="F417" s="18" t="n">
        <f aca="false">SUMIFS(Goods_Receipt_Notes!$D$2:$D$791,Goods_Receipt_Notes!$B$2:$B$791,A417)</f>
        <v>1348.19</v>
      </c>
      <c r="G417" s="18" t="n">
        <f aca="false">SUMIFS(Vendor_Invoices_AP!$E$2:$E$882,Vendor_Invoices_AP!$B$2:$B$882,A417)</f>
        <v>1348.19</v>
      </c>
      <c r="H417" s="16" t="str">
        <f aca="false">IF(F417=0,"Not Received","Received")</f>
        <v>Received</v>
      </c>
      <c r="I417" s="16" t="str">
        <f aca="false">IF(G417=0,"Not Invoiced","Invoiced")</f>
        <v>Invoiced</v>
      </c>
      <c r="J417" s="18" t="n">
        <f aca="false">E417-F417</f>
        <v>0</v>
      </c>
      <c r="K417" s="18" t="n">
        <f aca="false">E417-G417</f>
        <v>0</v>
      </c>
      <c r="L417" s="16" t="str">
        <f aca="false">IF(OR(AND(I417="Invoiced",H417="Not Received"),AND(F417&gt;0,ABS(J417)&gt;Assumptions!$B$6),AND(G417&gt;0,ABS(K417)&gt;Assumptions!$B$6)),"EXCEPTION","OK")</f>
        <v>OK</v>
      </c>
    </row>
    <row r="418" customFormat="false" ht="15" hidden="false" customHeight="false" outlineLevel="0" collapsed="false">
      <c r="A418" s="16" t="str">
        <f aca="false">Purchase_Orders!A415</f>
        <v>PO10414</v>
      </c>
      <c r="B418" s="16" t="str">
        <f aca="false">Purchase_Orders!B415</f>
        <v>V1018</v>
      </c>
      <c r="C418" s="16" t="str">
        <f aca="false">IFERROR(INDEX(Vendor_Master!$B$2:$B$41,MATCH(B418,Vendor_Master!$A$2:$A$41,0)),"Unknown Vendor")</f>
        <v>Underwood LLC</v>
      </c>
      <c r="D418" s="17" t="n">
        <f aca="false">Purchase_Orders!C415</f>
        <v>45938</v>
      </c>
      <c r="E418" s="18" t="n">
        <f aca="false">Purchase_Orders!D415</f>
        <v>2579.5</v>
      </c>
      <c r="F418" s="18" t="n">
        <f aca="false">SUMIFS(Goods_Receipt_Notes!$D$2:$D$791,Goods_Receipt_Notes!$B$2:$B$791,A418)</f>
        <v>2579.5</v>
      </c>
      <c r="G418" s="18" t="n">
        <f aca="false">SUMIFS(Vendor_Invoices_AP!$E$2:$E$882,Vendor_Invoices_AP!$B$2:$B$882,A418)</f>
        <v>2579.5</v>
      </c>
      <c r="H418" s="16" t="str">
        <f aca="false">IF(F418=0,"Not Received","Received")</f>
        <v>Received</v>
      </c>
      <c r="I418" s="16" t="str">
        <f aca="false">IF(G418=0,"Not Invoiced","Invoiced")</f>
        <v>Invoiced</v>
      </c>
      <c r="J418" s="18" t="n">
        <f aca="false">E418-F418</f>
        <v>0</v>
      </c>
      <c r="K418" s="18" t="n">
        <f aca="false">E418-G418</f>
        <v>0</v>
      </c>
      <c r="L418" s="16" t="str">
        <f aca="false">IF(OR(AND(I418="Invoiced",H418="Not Received"),AND(F418&gt;0,ABS(J418)&gt;Assumptions!$B$6),AND(G418&gt;0,ABS(K418)&gt;Assumptions!$B$6)),"EXCEPTION","OK")</f>
        <v>OK</v>
      </c>
    </row>
    <row r="419" customFormat="false" ht="15" hidden="false" customHeight="false" outlineLevel="0" collapsed="false">
      <c r="A419" s="16" t="str">
        <f aca="false">Purchase_Orders!A416</f>
        <v>PO10415</v>
      </c>
      <c r="B419" s="16" t="str">
        <f aca="false">Purchase_Orders!B416</f>
        <v>V1001</v>
      </c>
      <c r="C419" s="16" t="str">
        <f aca="false">IFERROR(INDEX(Vendor_Master!$B$2:$B$41,MATCH(B419,Vendor_Master!$A$2:$A$41,0)),"Unknown Vendor")</f>
        <v>Figueroa and Sons</v>
      </c>
      <c r="D419" s="17" t="n">
        <f aca="false">Purchase_Orders!C416</f>
        <v>46196</v>
      </c>
      <c r="E419" s="18" t="n">
        <f aca="false">Purchase_Orders!D416</f>
        <v>1874.41</v>
      </c>
      <c r="F419" s="18" t="n">
        <f aca="false">SUMIFS(Goods_Receipt_Notes!$D$2:$D$791,Goods_Receipt_Notes!$B$2:$B$791,A419)</f>
        <v>1874.41</v>
      </c>
      <c r="G419" s="18" t="n">
        <f aca="false">SUMIFS(Vendor_Invoices_AP!$E$2:$E$882,Vendor_Invoices_AP!$B$2:$B$882,A419)</f>
        <v>1874.41</v>
      </c>
      <c r="H419" s="16" t="str">
        <f aca="false">IF(F419=0,"Not Received","Received")</f>
        <v>Received</v>
      </c>
      <c r="I419" s="16" t="str">
        <f aca="false">IF(G419=0,"Not Invoiced","Invoiced")</f>
        <v>Invoiced</v>
      </c>
      <c r="J419" s="18" t="n">
        <f aca="false">E419-F419</f>
        <v>0</v>
      </c>
      <c r="K419" s="18" t="n">
        <f aca="false">E419-G419</f>
        <v>0</v>
      </c>
      <c r="L419" s="16" t="str">
        <f aca="false">IF(OR(AND(I419="Invoiced",H419="Not Received"),AND(F419&gt;0,ABS(J419)&gt;Assumptions!$B$6),AND(G419&gt;0,ABS(K419)&gt;Assumptions!$B$6)),"EXCEPTION","OK")</f>
        <v>OK</v>
      </c>
    </row>
    <row r="420" customFormat="false" ht="15" hidden="false" customHeight="false" outlineLevel="0" collapsed="false">
      <c r="A420" s="16" t="str">
        <f aca="false">Purchase_Orders!A417</f>
        <v>PO10416</v>
      </c>
      <c r="B420" s="16" t="str">
        <f aca="false">Purchase_Orders!B417</f>
        <v>V1034</v>
      </c>
      <c r="C420" s="16" t="str">
        <f aca="false">IFERROR(INDEX(Vendor_Master!$B$2:$B$41,MATCH(B420,Vendor_Master!$A$2:$A$41,0)),"Unknown Vendor")</f>
        <v>Koch-Decker</v>
      </c>
      <c r="D420" s="17" t="n">
        <f aca="false">Purchase_Orders!C417</f>
        <v>46016</v>
      </c>
      <c r="E420" s="18" t="n">
        <f aca="false">Purchase_Orders!D417</f>
        <v>1850.75</v>
      </c>
      <c r="F420" s="18" t="n">
        <f aca="false">SUMIFS(Goods_Receipt_Notes!$D$2:$D$791,Goods_Receipt_Notes!$B$2:$B$791,A420)</f>
        <v>1850.75</v>
      </c>
      <c r="G420" s="18" t="n">
        <f aca="false">SUMIFS(Vendor_Invoices_AP!$E$2:$E$882,Vendor_Invoices_AP!$B$2:$B$882,A420)</f>
        <v>1850.75</v>
      </c>
      <c r="H420" s="16" t="str">
        <f aca="false">IF(F420=0,"Not Received","Received")</f>
        <v>Received</v>
      </c>
      <c r="I420" s="16" t="str">
        <f aca="false">IF(G420=0,"Not Invoiced","Invoiced")</f>
        <v>Invoiced</v>
      </c>
      <c r="J420" s="18" t="n">
        <f aca="false">E420-F420</f>
        <v>0</v>
      </c>
      <c r="K420" s="18" t="n">
        <f aca="false">E420-G420</f>
        <v>0</v>
      </c>
      <c r="L420" s="16" t="str">
        <f aca="false">IF(OR(AND(I420="Invoiced",H420="Not Received"),AND(F420&gt;0,ABS(J420)&gt;Assumptions!$B$6),AND(G420&gt;0,ABS(K420)&gt;Assumptions!$B$6)),"EXCEPTION","OK")</f>
        <v>OK</v>
      </c>
    </row>
    <row r="421" customFormat="false" ht="15" hidden="false" customHeight="false" outlineLevel="0" collapsed="false">
      <c r="A421" s="16" t="str">
        <f aca="false">Purchase_Orders!A418</f>
        <v>PO10417</v>
      </c>
      <c r="B421" s="16" t="str">
        <f aca="false">Purchase_Orders!B418</f>
        <v>V1006</v>
      </c>
      <c r="C421" s="16" t="str">
        <f aca="false">IFERROR(INDEX(Vendor_Master!$B$2:$B$41,MATCH(B421,Vendor_Master!$A$2:$A$41,0)),"Unknown Vendor")</f>
        <v>Blake and Sons</v>
      </c>
      <c r="D421" s="17" t="n">
        <f aca="false">Purchase_Orders!C418</f>
        <v>45953</v>
      </c>
      <c r="E421" s="18" t="n">
        <f aca="false">Purchase_Orders!D418</f>
        <v>1673.73</v>
      </c>
      <c r="F421" s="18" t="n">
        <f aca="false">SUMIFS(Goods_Receipt_Notes!$D$2:$D$791,Goods_Receipt_Notes!$B$2:$B$791,A421)</f>
        <v>1673.73</v>
      </c>
      <c r="G421" s="18" t="n">
        <f aca="false">SUMIFS(Vendor_Invoices_AP!$E$2:$E$882,Vendor_Invoices_AP!$B$2:$B$882,A421)</f>
        <v>1673.73</v>
      </c>
      <c r="H421" s="16" t="str">
        <f aca="false">IF(F421=0,"Not Received","Received")</f>
        <v>Received</v>
      </c>
      <c r="I421" s="16" t="str">
        <f aca="false">IF(G421=0,"Not Invoiced","Invoiced")</f>
        <v>Invoiced</v>
      </c>
      <c r="J421" s="18" t="n">
        <f aca="false">E421-F421</f>
        <v>0</v>
      </c>
      <c r="K421" s="18" t="n">
        <f aca="false">E421-G421</f>
        <v>0</v>
      </c>
      <c r="L421" s="16" t="str">
        <f aca="false">IF(OR(AND(I421="Invoiced",H421="Not Received"),AND(F421&gt;0,ABS(J421)&gt;Assumptions!$B$6),AND(G421&gt;0,ABS(K421)&gt;Assumptions!$B$6)),"EXCEPTION","OK")</f>
        <v>OK</v>
      </c>
    </row>
    <row r="422" customFormat="false" ht="15" hidden="false" customHeight="false" outlineLevel="0" collapsed="false">
      <c r="A422" s="16" t="str">
        <f aca="false">Purchase_Orders!A419</f>
        <v>PO10418</v>
      </c>
      <c r="B422" s="16" t="str">
        <f aca="false">Purchase_Orders!B419</f>
        <v>V1002</v>
      </c>
      <c r="C422" s="16" t="str">
        <f aca="false">IFERROR(INDEX(Vendor_Master!$B$2:$B$41,MATCH(B422,Vendor_Master!$A$2:$A$41,0)),"Unknown Vendor")</f>
        <v>Garcia, Yang and Gardner</v>
      </c>
      <c r="D422" s="17" t="n">
        <f aca="false">Purchase_Orders!C419</f>
        <v>45883</v>
      </c>
      <c r="E422" s="18" t="n">
        <f aca="false">Purchase_Orders!D419</f>
        <v>3328.14</v>
      </c>
      <c r="F422" s="18" t="n">
        <f aca="false">SUMIFS(Goods_Receipt_Notes!$D$2:$D$791,Goods_Receipt_Notes!$B$2:$B$791,A422)</f>
        <v>3328.14</v>
      </c>
      <c r="G422" s="18" t="n">
        <f aca="false">SUMIFS(Vendor_Invoices_AP!$E$2:$E$882,Vendor_Invoices_AP!$B$2:$B$882,A422)</f>
        <v>3809.51</v>
      </c>
      <c r="H422" s="16" t="str">
        <f aca="false">IF(F422=0,"Not Received","Received")</f>
        <v>Received</v>
      </c>
      <c r="I422" s="16" t="str">
        <f aca="false">IF(G422=0,"Not Invoiced","Invoiced")</f>
        <v>Invoiced</v>
      </c>
      <c r="J422" s="18" t="n">
        <f aca="false">E422-F422</f>
        <v>0</v>
      </c>
      <c r="K422" s="18" t="n">
        <f aca="false">E422-G422</f>
        <v>-481.37</v>
      </c>
      <c r="L422" s="16" t="str">
        <f aca="false">IF(OR(AND(I422="Invoiced",H422="Not Received"),AND(F422&gt;0,ABS(J422)&gt;Assumptions!$B$6),AND(G422&gt;0,ABS(K422)&gt;Assumptions!$B$6)),"EXCEPTION","OK")</f>
        <v>EXCEPTION</v>
      </c>
    </row>
    <row r="423" customFormat="false" ht="15" hidden="false" customHeight="false" outlineLevel="0" collapsed="false">
      <c r="A423" s="16" t="str">
        <f aca="false">Purchase_Orders!A420</f>
        <v>PO10419</v>
      </c>
      <c r="B423" s="16" t="str">
        <f aca="false">Purchase_Orders!B420</f>
        <v>V1022</v>
      </c>
      <c r="C423" s="16" t="str">
        <f aca="false">IFERROR(INDEX(Vendor_Master!$B$2:$B$41,MATCH(B423,Vendor_Master!$A$2:$A$41,0)),"Unknown Vendor")</f>
        <v>Burgess-Patterson</v>
      </c>
      <c r="D423" s="17" t="n">
        <f aca="false">Purchase_Orders!C420</f>
        <v>45760</v>
      </c>
      <c r="E423" s="18" t="n">
        <f aca="false">Purchase_Orders!D420</f>
        <v>537.31</v>
      </c>
      <c r="F423" s="18" t="n">
        <f aca="false">SUMIFS(Goods_Receipt_Notes!$D$2:$D$791,Goods_Receipt_Notes!$B$2:$B$791,A423)</f>
        <v>537.31</v>
      </c>
      <c r="G423" s="18" t="n">
        <f aca="false">SUMIFS(Vendor_Invoices_AP!$E$2:$E$882,Vendor_Invoices_AP!$B$2:$B$882,A423)</f>
        <v>537.31</v>
      </c>
      <c r="H423" s="16" t="str">
        <f aca="false">IF(F423=0,"Not Received","Received")</f>
        <v>Received</v>
      </c>
      <c r="I423" s="16" t="str">
        <f aca="false">IF(G423=0,"Not Invoiced","Invoiced")</f>
        <v>Invoiced</v>
      </c>
      <c r="J423" s="18" t="n">
        <f aca="false">E423-F423</f>
        <v>0</v>
      </c>
      <c r="K423" s="18" t="n">
        <f aca="false">E423-G423</f>
        <v>0</v>
      </c>
      <c r="L423" s="16" t="str">
        <f aca="false">IF(OR(AND(I423="Invoiced",H423="Not Received"),AND(F423&gt;0,ABS(J423)&gt;Assumptions!$B$6),AND(G423&gt;0,ABS(K423)&gt;Assumptions!$B$6)),"EXCEPTION","OK")</f>
        <v>OK</v>
      </c>
    </row>
    <row r="424" customFormat="false" ht="15" hidden="false" customHeight="false" outlineLevel="0" collapsed="false">
      <c r="A424" s="16" t="str">
        <f aca="false">Purchase_Orders!A421</f>
        <v>PO10420</v>
      </c>
      <c r="B424" s="16" t="str">
        <f aca="false">Purchase_Orders!B421</f>
        <v>V1007</v>
      </c>
      <c r="C424" s="16" t="str">
        <f aca="false">IFERROR(INDEX(Vendor_Master!$B$2:$B$41,MATCH(B424,Vendor_Master!$A$2:$A$41,0)),"Unknown Vendor")</f>
        <v>Ramirez-Lewis</v>
      </c>
      <c r="D424" s="17" t="n">
        <f aca="false">Purchase_Orders!C421</f>
        <v>45855</v>
      </c>
      <c r="E424" s="18" t="n">
        <f aca="false">Purchase_Orders!D421</f>
        <v>1115.7</v>
      </c>
      <c r="F424" s="18" t="n">
        <f aca="false">SUMIFS(Goods_Receipt_Notes!$D$2:$D$791,Goods_Receipt_Notes!$B$2:$B$791,A424)</f>
        <v>1115.7</v>
      </c>
      <c r="G424" s="18" t="n">
        <f aca="false">SUMIFS(Vendor_Invoices_AP!$E$2:$E$882,Vendor_Invoices_AP!$B$2:$B$882,A424)</f>
        <v>1115.7</v>
      </c>
      <c r="H424" s="16" t="str">
        <f aca="false">IF(F424=0,"Not Received","Received")</f>
        <v>Received</v>
      </c>
      <c r="I424" s="16" t="str">
        <f aca="false">IF(G424=0,"Not Invoiced","Invoiced")</f>
        <v>Invoiced</v>
      </c>
      <c r="J424" s="18" t="n">
        <f aca="false">E424-F424</f>
        <v>0</v>
      </c>
      <c r="K424" s="18" t="n">
        <f aca="false">E424-G424</f>
        <v>0</v>
      </c>
      <c r="L424" s="16" t="str">
        <f aca="false">IF(OR(AND(I424="Invoiced",H424="Not Received"),AND(F424&gt;0,ABS(J424)&gt;Assumptions!$B$6),AND(G424&gt;0,ABS(K424)&gt;Assumptions!$B$6)),"EXCEPTION","OK")</f>
        <v>OK</v>
      </c>
    </row>
    <row r="425" customFormat="false" ht="15" hidden="false" customHeight="false" outlineLevel="0" collapsed="false">
      <c r="A425" s="16" t="str">
        <f aca="false">Purchase_Orders!A422</f>
        <v>PO10421</v>
      </c>
      <c r="B425" s="16" t="str">
        <f aca="false">Purchase_Orders!B422</f>
        <v>V1019</v>
      </c>
      <c r="C425" s="16" t="str">
        <f aca="false">IFERROR(INDEX(Vendor_Master!$B$2:$B$41,MATCH(B425,Vendor_Master!$A$2:$A$41,0)),"Unknown Vendor")</f>
        <v>Clark PLC</v>
      </c>
      <c r="D425" s="17" t="n">
        <f aca="false">Purchase_Orders!C422</f>
        <v>46070</v>
      </c>
      <c r="E425" s="18" t="n">
        <f aca="false">Purchase_Orders!D422</f>
        <v>1572.78</v>
      </c>
      <c r="F425" s="18" t="n">
        <f aca="false">SUMIFS(Goods_Receipt_Notes!$D$2:$D$791,Goods_Receipt_Notes!$B$2:$B$791,A425)</f>
        <v>1572.78</v>
      </c>
      <c r="G425" s="18" t="n">
        <f aca="false">SUMIFS(Vendor_Invoices_AP!$E$2:$E$882,Vendor_Invoices_AP!$B$2:$B$882,A425)</f>
        <v>1572.78</v>
      </c>
      <c r="H425" s="16" t="str">
        <f aca="false">IF(F425=0,"Not Received","Received")</f>
        <v>Received</v>
      </c>
      <c r="I425" s="16" t="str">
        <f aca="false">IF(G425=0,"Not Invoiced","Invoiced")</f>
        <v>Invoiced</v>
      </c>
      <c r="J425" s="18" t="n">
        <f aca="false">E425-F425</f>
        <v>0</v>
      </c>
      <c r="K425" s="18" t="n">
        <f aca="false">E425-G425</f>
        <v>0</v>
      </c>
      <c r="L425" s="16" t="str">
        <f aca="false">IF(OR(AND(I425="Invoiced",H425="Not Received"),AND(F425&gt;0,ABS(J425)&gt;Assumptions!$B$6),AND(G425&gt;0,ABS(K425)&gt;Assumptions!$B$6)),"EXCEPTION","OK")</f>
        <v>OK</v>
      </c>
    </row>
    <row r="426" customFormat="false" ht="15" hidden="false" customHeight="false" outlineLevel="0" collapsed="false">
      <c r="A426" s="16" t="str">
        <f aca="false">Purchase_Orders!A423</f>
        <v>PO10422</v>
      </c>
      <c r="B426" s="16" t="str">
        <f aca="false">Purchase_Orders!B423</f>
        <v>V1025</v>
      </c>
      <c r="C426" s="16" t="str">
        <f aca="false">IFERROR(INDEX(Vendor_Master!$B$2:$B$41,MATCH(B426,Vendor_Master!$A$2:$A$41,0)),"Unknown Vendor")</f>
        <v>Conner Group</v>
      </c>
      <c r="D426" s="17" t="n">
        <f aca="false">Purchase_Orders!C423</f>
        <v>45998</v>
      </c>
      <c r="E426" s="18" t="n">
        <f aca="false">Purchase_Orders!D423</f>
        <v>1440.58</v>
      </c>
      <c r="F426" s="18" t="n">
        <f aca="false">SUMIFS(Goods_Receipt_Notes!$D$2:$D$791,Goods_Receipt_Notes!$B$2:$B$791,A426)</f>
        <v>1440.58</v>
      </c>
      <c r="G426" s="18" t="n">
        <f aca="false">SUMIFS(Vendor_Invoices_AP!$E$2:$E$882,Vendor_Invoices_AP!$B$2:$B$882,A426)</f>
        <v>1440.58</v>
      </c>
      <c r="H426" s="16" t="str">
        <f aca="false">IF(F426=0,"Not Received","Received")</f>
        <v>Received</v>
      </c>
      <c r="I426" s="16" t="str">
        <f aca="false">IF(G426=0,"Not Invoiced","Invoiced")</f>
        <v>Invoiced</v>
      </c>
      <c r="J426" s="18" t="n">
        <f aca="false">E426-F426</f>
        <v>0</v>
      </c>
      <c r="K426" s="18" t="n">
        <f aca="false">E426-G426</f>
        <v>0</v>
      </c>
      <c r="L426" s="16" t="str">
        <f aca="false">IF(OR(AND(I426="Invoiced",H426="Not Received"),AND(F426&gt;0,ABS(J426)&gt;Assumptions!$B$6),AND(G426&gt;0,ABS(K426)&gt;Assumptions!$B$6)),"EXCEPTION","OK")</f>
        <v>OK</v>
      </c>
    </row>
    <row r="427" customFormat="false" ht="15" hidden="false" customHeight="false" outlineLevel="0" collapsed="false">
      <c r="A427" s="16" t="str">
        <f aca="false">Purchase_Orders!A424</f>
        <v>PO10423</v>
      </c>
      <c r="B427" s="16" t="str">
        <f aca="false">Purchase_Orders!B424</f>
        <v>V1020</v>
      </c>
      <c r="C427" s="16" t="str">
        <f aca="false">IFERROR(INDEX(Vendor_Master!$B$2:$B$41,MATCH(B427,Vendor_Master!$A$2:$A$41,0)),"Unknown Vendor")</f>
        <v>Lewis-Porter</v>
      </c>
      <c r="D427" s="17" t="n">
        <f aca="false">Purchase_Orders!C424</f>
        <v>46072</v>
      </c>
      <c r="E427" s="18" t="n">
        <f aca="false">Purchase_Orders!D424</f>
        <v>308.34</v>
      </c>
      <c r="F427" s="18" t="n">
        <f aca="false">SUMIFS(Goods_Receipt_Notes!$D$2:$D$791,Goods_Receipt_Notes!$B$2:$B$791,A427)</f>
        <v>308.34</v>
      </c>
      <c r="G427" s="18" t="n">
        <f aca="false">SUMIFS(Vendor_Invoices_AP!$E$2:$E$882,Vendor_Invoices_AP!$B$2:$B$882,A427)</f>
        <v>308.34</v>
      </c>
      <c r="H427" s="16" t="str">
        <f aca="false">IF(F427=0,"Not Received","Received")</f>
        <v>Received</v>
      </c>
      <c r="I427" s="16" t="str">
        <f aca="false">IF(G427=0,"Not Invoiced","Invoiced")</f>
        <v>Invoiced</v>
      </c>
      <c r="J427" s="18" t="n">
        <f aca="false">E427-F427</f>
        <v>0</v>
      </c>
      <c r="K427" s="18" t="n">
        <f aca="false">E427-G427</f>
        <v>0</v>
      </c>
      <c r="L427" s="16" t="str">
        <f aca="false">IF(OR(AND(I427="Invoiced",H427="Not Received"),AND(F427&gt;0,ABS(J427)&gt;Assumptions!$B$6),AND(G427&gt;0,ABS(K427)&gt;Assumptions!$B$6)),"EXCEPTION","OK")</f>
        <v>OK</v>
      </c>
    </row>
    <row r="428" customFormat="false" ht="15" hidden="false" customHeight="false" outlineLevel="0" collapsed="false">
      <c r="A428" s="16" t="str">
        <f aca="false">Purchase_Orders!A425</f>
        <v>PO10424</v>
      </c>
      <c r="B428" s="16" t="str">
        <f aca="false">Purchase_Orders!B425</f>
        <v>V1034</v>
      </c>
      <c r="C428" s="16" t="str">
        <f aca="false">IFERROR(INDEX(Vendor_Master!$B$2:$B$41,MATCH(B428,Vendor_Master!$A$2:$A$41,0)),"Unknown Vendor")</f>
        <v>Koch-Decker</v>
      </c>
      <c r="D428" s="17" t="n">
        <f aca="false">Purchase_Orders!C425</f>
        <v>45768</v>
      </c>
      <c r="E428" s="18" t="n">
        <f aca="false">Purchase_Orders!D425</f>
        <v>303.89</v>
      </c>
      <c r="F428" s="18" t="n">
        <f aca="false">SUMIFS(Goods_Receipt_Notes!$D$2:$D$791,Goods_Receipt_Notes!$B$2:$B$791,A428)</f>
        <v>303.89</v>
      </c>
      <c r="G428" s="18" t="n">
        <f aca="false">SUMIFS(Vendor_Invoices_AP!$E$2:$E$882,Vendor_Invoices_AP!$B$2:$B$882,A428)</f>
        <v>303.89</v>
      </c>
      <c r="H428" s="16" t="str">
        <f aca="false">IF(F428=0,"Not Received","Received")</f>
        <v>Received</v>
      </c>
      <c r="I428" s="16" t="str">
        <f aca="false">IF(G428=0,"Not Invoiced","Invoiced")</f>
        <v>Invoiced</v>
      </c>
      <c r="J428" s="18" t="n">
        <f aca="false">E428-F428</f>
        <v>0</v>
      </c>
      <c r="K428" s="18" t="n">
        <f aca="false">E428-G428</f>
        <v>0</v>
      </c>
      <c r="L428" s="16" t="str">
        <f aca="false">IF(OR(AND(I428="Invoiced",H428="Not Received"),AND(F428&gt;0,ABS(J428)&gt;Assumptions!$B$6),AND(G428&gt;0,ABS(K428)&gt;Assumptions!$B$6)),"EXCEPTION","OK")</f>
        <v>OK</v>
      </c>
    </row>
    <row r="429" customFormat="false" ht="15" hidden="false" customHeight="false" outlineLevel="0" collapsed="false">
      <c r="A429" s="16" t="str">
        <f aca="false">Purchase_Orders!A426</f>
        <v>PO10425</v>
      </c>
      <c r="B429" s="16" t="str">
        <f aca="false">Purchase_Orders!B426</f>
        <v>V1023</v>
      </c>
      <c r="C429" s="16" t="str">
        <f aca="false">IFERROR(INDEX(Vendor_Master!$B$2:$B$41,MATCH(B429,Vendor_Master!$A$2:$A$41,0)),"Unknown Vendor")</f>
        <v>Robinson-Bright</v>
      </c>
      <c r="D429" s="17" t="n">
        <f aca="false">Purchase_Orders!C426</f>
        <v>45957</v>
      </c>
      <c r="E429" s="18" t="n">
        <f aca="false">Purchase_Orders!D426</f>
        <v>4223.32</v>
      </c>
      <c r="F429" s="18" t="n">
        <f aca="false">SUMIFS(Goods_Receipt_Notes!$D$2:$D$791,Goods_Receipt_Notes!$B$2:$B$791,A429)</f>
        <v>4223.32</v>
      </c>
      <c r="G429" s="18" t="n">
        <f aca="false">SUMIFS(Vendor_Invoices_AP!$E$2:$E$882,Vendor_Invoices_AP!$B$2:$B$882,A429)</f>
        <v>4223.32</v>
      </c>
      <c r="H429" s="16" t="str">
        <f aca="false">IF(F429=0,"Not Received","Received")</f>
        <v>Received</v>
      </c>
      <c r="I429" s="16" t="str">
        <f aca="false">IF(G429=0,"Not Invoiced","Invoiced")</f>
        <v>Invoiced</v>
      </c>
      <c r="J429" s="18" t="n">
        <f aca="false">E429-F429</f>
        <v>0</v>
      </c>
      <c r="K429" s="18" t="n">
        <f aca="false">E429-G429</f>
        <v>0</v>
      </c>
      <c r="L429" s="16" t="str">
        <f aca="false">IF(OR(AND(I429="Invoiced",H429="Not Received"),AND(F429&gt;0,ABS(J429)&gt;Assumptions!$B$6),AND(G429&gt;0,ABS(K429)&gt;Assumptions!$B$6)),"EXCEPTION","OK")</f>
        <v>OK</v>
      </c>
    </row>
    <row r="430" customFormat="false" ht="15" hidden="false" customHeight="false" outlineLevel="0" collapsed="false">
      <c r="A430" s="16" t="str">
        <f aca="false">Purchase_Orders!A427</f>
        <v>PO10426</v>
      </c>
      <c r="B430" s="16" t="str">
        <f aca="false">Purchase_Orders!B427</f>
        <v>V1015</v>
      </c>
      <c r="C430" s="16" t="str">
        <f aca="false">IFERROR(INDEX(Vendor_Master!$B$2:$B$41,MATCH(B430,Vendor_Master!$A$2:$A$41,0)),"Unknown Vendor")</f>
        <v>Zuniga, Wong and Lynch</v>
      </c>
      <c r="D430" s="17" t="n">
        <f aca="false">Purchase_Orders!C427</f>
        <v>46163</v>
      </c>
      <c r="E430" s="18" t="n">
        <f aca="false">Purchase_Orders!D427</f>
        <v>1084.38</v>
      </c>
      <c r="F430" s="18" t="n">
        <f aca="false">SUMIFS(Goods_Receipt_Notes!$D$2:$D$791,Goods_Receipt_Notes!$B$2:$B$791,A430)</f>
        <v>1084.38</v>
      </c>
      <c r="G430" s="18" t="n">
        <f aca="false">SUMIFS(Vendor_Invoices_AP!$E$2:$E$882,Vendor_Invoices_AP!$B$2:$B$882,A430)</f>
        <v>1084.38</v>
      </c>
      <c r="H430" s="16" t="str">
        <f aca="false">IF(F430=0,"Not Received","Received")</f>
        <v>Received</v>
      </c>
      <c r="I430" s="16" t="str">
        <f aca="false">IF(G430=0,"Not Invoiced","Invoiced")</f>
        <v>Invoiced</v>
      </c>
      <c r="J430" s="18" t="n">
        <f aca="false">E430-F430</f>
        <v>0</v>
      </c>
      <c r="K430" s="18" t="n">
        <f aca="false">E430-G430</f>
        <v>0</v>
      </c>
      <c r="L430" s="16" t="str">
        <f aca="false">IF(OR(AND(I430="Invoiced",H430="Not Received"),AND(F430&gt;0,ABS(J430)&gt;Assumptions!$B$6),AND(G430&gt;0,ABS(K430)&gt;Assumptions!$B$6)),"EXCEPTION","OK")</f>
        <v>OK</v>
      </c>
    </row>
    <row r="431" customFormat="false" ht="15" hidden="false" customHeight="false" outlineLevel="0" collapsed="false">
      <c r="A431" s="16" t="str">
        <f aca="false">Purchase_Orders!A428</f>
        <v>PO10427</v>
      </c>
      <c r="B431" s="16" t="str">
        <f aca="false">Purchase_Orders!B428</f>
        <v>V1037</v>
      </c>
      <c r="C431" s="16" t="str">
        <f aca="false">IFERROR(INDEX(Vendor_Master!$B$2:$B$41,MATCH(B431,Vendor_Master!$A$2:$A$41,0)),"Unknown Vendor")</f>
        <v>Cannon, Anderson and Alvarez</v>
      </c>
      <c r="D431" s="17" t="n">
        <f aca="false">Purchase_Orders!C428</f>
        <v>45896</v>
      </c>
      <c r="E431" s="18" t="n">
        <f aca="false">Purchase_Orders!D428</f>
        <v>3288.85</v>
      </c>
      <c r="F431" s="18" t="n">
        <f aca="false">SUMIFS(Goods_Receipt_Notes!$D$2:$D$791,Goods_Receipt_Notes!$B$2:$B$791,A431)</f>
        <v>3288.85</v>
      </c>
      <c r="G431" s="18" t="n">
        <f aca="false">SUMIFS(Vendor_Invoices_AP!$E$2:$E$882,Vendor_Invoices_AP!$B$2:$B$882,A431)</f>
        <v>3288.85</v>
      </c>
      <c r="H431" s="16" t="str">
        <f aca="false">IF(F431=0,"Not Received","Received")</f>
        <v>Received</v>
      </c>
      <c r="I431" s="16" t="str">
        <f aca="false">IF(G431=0,"Not Invoiced","Invoiced")</f>
        <v>Invoiced</v>
      </c>
      <c r="J431" s="18" t="n">
        <f aca="false">E431-F431</f>
        <v>0</v>
      </c>
      <c r="K431" s="18" t="n">
        <f aca="false">E431-G431</f>
        <v>0</v>
      </c>
      <c r="L431" s="16" t="str">
        <f aca="false">IF(OR(AND(I431="Invoiced",H431="Not Received"),AND(F431&gt;0,ABS(J431)&gt;Assumptions!$B$6),AND(G431&gt;0,ABS(K431)&gt;Assumptions!$B$6)),"EXCEPTION","OK")</f>
        <v>OK</v>
      </c>
    </row>
    <row r="432" customFormat="false" ht="15" hidden="false" customHeight="false" outlineLevel="0" collapsed="false">
      <c r="A432" s="16" t="str">
        <f aca="false">Purchase_Orders!A429</f>
        <v>PO10428</v>
      </c>
      <c r="B432" s="16" t="str">
        <f aca="false">Purchase_Orders!B429</f>
        <v>V1002</v>
      </c>
      <c r="C432" s="16" t="str">
        <f aca="false">IFERROR(INDEX(Vendor_Master!$B$2:$B$41,MATCH(B432,Vendor_Master!$A$2:$A$41,0)),"Unknown Vendor")</f>
        <v>Garcia, Yang and Gardner</v>
      </c>
      <c r="D432" s="17" t="n">
        <f aca="false">Purchase_Orders!C429</f>
        <v>46038</v>
      </c>
      <c r="E432" s="18" t="n">
        <f aca="false">Purchase_Orders!D429</f>
        <v>2979.58</v>
      </c>
      <c r="F432" s="18" t="n">
        <f aca="false">SUMIFS(Goods_Receipt_Notes!$D$2:$D$791,Goods_Receipt_Notes!$B$2:$B$791,A432)</f>
        <v>2979.58</v>
      </c>
      <c r="G432" s="18" t="n">
        <f aca="false">SUMIFS(Vendor_Invoices_AP!$E$2:$E$882,Vendor_Invoices_AP!$B$2:$B$882,A432)</f>
        <v>2979.58</v>
      </c>
      <c r="H432" s="16" t="str">
        <f aca="false">IF(F432=0,"Not Received","Received")</f>
        <v>Received</v>
      </c>
      <c r="I432" s="16" t="str">
        <f aca="false">IF(G432=0,"Not Invoiced","Invoiced")</f>
        <v>Invoiced</v>
      </c>
      <c r="J432" s="18" t="n">
        <f aca="false">E432-F432</f>
        <v>0</v>
      </c>
      <c r="K432" s="18" t="n">
        <f aca="false">E432-G432</f>
        <v>0</v>
      </c>
      <c r="L432" s="16" t="str">
        <f aca="false">IF(OR(AND(I432="Invoiced",H432="Not Received"),AND(F432&gt;0,ABS(J432)&gt;Assumptions!$B$6),AND(G432&gt;0,ABS(K432)&gt;Assumptions!$B$6)),"EXCEPTION","OK")</f>
        <v>OK</v>
      </c>
    </row>
    <row r="433" customFormat="false" ht="15" hidden="false" customHeight="false" outlineLevel="0" collapsed="false">
      <c r="A433" s="16" t="str">
        <f aca="false">Purchase_Orders!A430</f>
        <v>PO10429</v>
      </c>
      <c r="B433" s="16" t="str">
        <f aca="false">Purchase_Orders!B430</f>
        <v>V1018</v>
      </c>
      <c r="C433" s="16" t="str">
        <f aca="false">IFERROR(INDEX(Vendor_Master!$B$2:$B$41,MATCH(B433,Vendor_Master!$A$2:$A$41,0)),"Unknown Vendor")</f>
        <v>Underwood LLC</v>
      </c>
      <c r="D433" s="17" t="n">
        <f aca="false">Purchase_Orders!C430</f>
        <v>45724</v>
      </c>
      <c r="E433" s="18" t="n">
        <f aca="false">Purchase_Orders!D430</f>
        <v>209.66</v>
      </c>
      <c r="F433" s="18" t="n">
        <f aca="false">SUMIFS(Goods_Receipt_Notes!$D$2:$D$791,Goods_Receipt_Notes!$B$2:$B$791,A433)</f>
        <v>209.66</v>
      </c>
      <c r="G433" s="18" t="n">
        <f aca="false">SUMIFS(Vendor_Invoices_AP!$E$2:$E$882,Vendor_Invoices_AP!$B$2:$B$882,A433)</f>
        <v>209.66</v>
      </c>
      <c r="H433" s="16" t="str">
        <f aca="false">IF(F433=0,"Not Received","Received")</f>
        <v>Received</v>
      </c>
      <c r="I433" s="16" t="str">
        <f aca="false">IF(G433=0,"Not Invoiced","Invoiced")</f>
        <v>Invoiced</v>
      </c>
      <c r="J433" s="18" t="n">
        <f aca="false">E433-F433</f>
        <v>0</v>
      </c>
      <c r="K433" s="18" t="n">
        <f aca="false">E433-G433</f>
        <v>0</v>
      </c>
      <c r="L433" s="16" t="str">
        <f aca="false">IF(OR(AND(I433="Invoiced",H433="Not Received"),AND(F433&gt;0,ABS(J433)&gt;Assumptions!$B$6),AND(G433&gt;0,ABS(K433)&gt;Assumptions!$B$6)),"EXCEPTION","OK")</f>
        <v>OK</v>
      </c>
    </row>
    <row r="434" customFormat="false" ht="15" hidden="false" customHeight="false" outlineLevel="0" collapsed="false">
      <c r="A434" s="16" t="str">
        <f aca="false">Purchase_Orders!A431</f>
        <v>PO10430</v>
      </c>
      <c r="B434" s="16" t="str">
        <f aca="false">Purchase_Orders!B431</f>
        <v>V1037</v>
      </c>
      <c r="C434" s="16" t="str">
        <f aca="false">IFERROR(INDEX(Vendor_Master!$B$2:$B$41,MATCH(B434,Vendor_Master!$A$2:$A$41,0)),"Unknown Vendor")</f>
        <v>Cannon, Anderson and Alvarez</v>
      </c>
      <c r="D434" s="17" t="n">
        <f aca="false">Purchase_Orders!C431</f>
        <v>46188</v>
      </c>
      <c r="E434" s="18" t="n">
        <f aca="false">Purchase_Orders!D431</f>
        <v>3415.67</v>
      </c>
      <c r="F434" s="18" t="n">
        <f aca="false">SUMIFS(Goods_Receipt_Notes!$D$2:$D$791,Goods_Receipt_Notes!$B$2:$B$791,A434)</f>
        <v>3415.67</v>
      </c>
      <c r="G434" s="18" t="n">
        <f aca="false">SUMIFS(Vendor_Invoices_AP!$E$2:$E$882,Vendor_Invoices_AP!$B$2:$B$882,A434)</f>
        <v>6831.34</v>
      </c>
      <c r="H434" s="16" t="str">
        <f aca="false">IF(F434=0,"Not Received","Received")</f>
        <v>Received</v>
      </c>
      <c r="I434" s="16" t="str">
        <f aca="false">IF(G434=0,"Not Invoiced","Invoiced")</f>
        <v>Invoiced</v>
      </c>
      <c r="J434" s="18" t="n">
        <f aca="false">E434-F434</f>
        <v>0</v>
      </c>
      <c r="K434" s="18" t="n">
        <f aca="false">E434-G434</f>
        <v>-3415.67</v>
      </c>
      <c r="L434" s="16" t="str">
        <f aca="false">IF(OR(AND(I434="Invoiced",H434="Not Received"),AND(F434&gt;0,ABS(J434)&gt;Assumptions!$B$6),AND(G434&gt;0,ABS(K434)&gt;Assumptions!$B$6)),"EXCEPTION","OK")</f>
        <v>EXCEPTION</v>
      </c>
    </row>
    <row r="435" customFormat="false" ht="15" hidden="false" customHeight="false" outlineLevel="0" collapsed="false">
      <c r="A435" s="16" t="str">
        <f aca="false">Purchase_Orders!A432</f>
        <v>PO10431</v>
      </c>
      <c r="B435" s="16" t="str">
        <f aca="false">Purchase_Orders!B432</f>
        <v>V1026</v>
      </c>
      <c r="C435" s="16" t="str">
        <f aca="false">IFERROR(INDEX(Vendor_Master!$B$2:$B$41,MATCH(B435,Vendor_Master!$A$2:$A$41,0)),"Unknown Vendor")</f>
        <v>James-Ferrell</v>
      </c>
      <c r="D435" s="17" t="n">
        <f aca="false">Purchase_Orders!C432</f>
        <v>45989</v>
      </c>
      <c r="E435" s="18" t="n">
        <f aca="false">Purchase_Orders!D432</f>
        <v>1992.56</v>
      </c>
      <c r="F435" s="18" t="n">
        <f aca="false">SUMIFS(Goods_Receipt_Notes!$D$2:$D$791,Goods_Receipt_Notes!$B$2:$B$791,A435)</f>
        <v>1992.56</v>
      </c>
      <c r="G435" s="18" t="n">
        <f aca="false">SUMIFS(Vendor_Invoices_AP!$E$2:$E$882,Vendor_Invoices_AP!$B$2:$B$882,A435)</f>
        <v>1992.56</v>
      </c>
      <c r="H435" s="16" t="str">
        <f aca="false">IF(F435=0,"Not Received","Received")</f>
        <v>Received</v>
      </c>
      <c r="I435" s="16" t="str">
        <f aca="false">IF(G435=0,"Not Invoiced","Invoiced")</f>
        <v>Invoiced</v>
      </c>
      <c r="J435" s="18" t="n">
        <f aca="false">E435-F435</f>
        <v>0</v>
      </c>
      <c r="K435" s="18" t="n">
        <f aca="false">E435-G435</f>
        <v>0</v>
      </c>
      <c r="L435" s="16" t="str">
        <f aca="false">IF(OR(AND(I435="Invoiced",H435="Not Received"),AND(F435&gt;0,ABS(J435)&gt;Assumptions!$B$6),AND(G435&gt;0,ABS(K435)&gt;Assumptions!$B$6)),"EXCEPTION","OK")</f>
        <v>OK</v>
      </c>
    </row>
    <row r="436" customFormat="false" ht="15" hidden="false" customHeight="false" outlineLevel="0" collapsed="false">
      <c r="A436" s="16" t="str">
        <f aca="false">Purchase_Orders!A433</f>
        <v>PO10432</v>
      </c>
      <c r="B436" s="16" t="str">
        <f aca="false">Purchase_Orders!B433</f>
        <v>V1001</v>
      </c>
      <c r="C436" s="16" t="str">
        <f aca="false">IFERROR(INDEX(Vendor_Master!$B$2:$B$41,MATCH(B436,Vendor_Master!$A$2:$A$41,0)),"Unknown Vendor")</f>
        <v>Figueroa and Sons</v>
      </c>
      <c r="D436" s="17" t="n">
        <f aca="false">Purchase_Orders!C433</f>
        <v>45788</v>
      </c>
      <c r="E436" s="18" t="n">
        <f aca="false">Purchase_Orders!D433</f>
        <v>2035.46</v>
      </c>
      <c r="F436" s="18" t="n">
        <f aca="false">SUMIFS(Goods_Receipt_Notes!$D$2:$D$791,Goods_Receipt_Notes!$B$2:$B$791,A436)</f>
        <v>0</v>
      </c>
      <c r="G436" s="18" t="n">
        <f aca="false">SUMIFS(Vendor_Invoices_AP!$E$2:$E$882,Vendor_Invoices_AP!$B$2:$B$882,A436)</f>
        <v>2035.46</v>
      </c>
      <c r="H436" s="16" t="str">
        <f aca="false">IF(F436=0,"Not Received","Received")</f>
        <v>Not Received</v>
      </c>
      <c r="I436" s="16" t="str">
        <f aca="false">IF(G436=0,"Not Invoiced","Invoiced")</f>
        <v>Invoiced</v>
      </c>
      <c r="J436" s="18" t="n">
        <f aca="false">E436-F436</f>
        <v>2035.46</v>
      </c>
      <c r="K436" s="18" t="n">
        <f aca="false">E436-G436</f>
        <v>0</v>
      </c>
      <c r="L436" s="16" t="str">
        <f aca="false">IF(OR(AND(I436="Invoiced",H436="Not Received"),AND(F436&gt;0,ABS(J436)&gt;Assumptions!$B$6),AND(G436&gt;0,ABS(K436)&gt;Assumptions!$B$6)),"EXCEPTION","OK")</f>
        <v>EXCEPTION</v>
      </c>
    </row>
    <row r="437" customFormat="false" ht="15" hidden="false" customHeight="false" outlineLevel="0" collapsed="false">
      <c r="A437" s="16" t="str">
        <f aca="false">Purchase_Orders!A434</f>
        <v>PO10433</v>
      </c>
      <c r="B437" s="16" t="str">
        <f aca="false">Purchase_Orders!B434</f>
        <v>V1006</v>
      </c>
      <c r="C437" s="16" t="str">
        <f aca="false">IFERROR(INDEX(Vendor_Master!$B$2:$B$41,MATCH(B437,Vendor_Master!$A$2:$A$41,0)),"Unknown Vendor")</f>
        <v>Blake and Sons</v>
      </c>
      <c r="D437" s="17" t="n">
        <f aca="false">Purchase_Orders!C434</f>
        <v>45744</v>
      </c>
      <c r="E437" s="18" t="n">
        <f aca="false">Purchase_Orders!D434</f>
        <v>9019.36</v>
      </c>
      <c r="F437" s="18" t="n">
        <f aca="false">SUMIFS(Goods_Receipt_Notes!$D$2:$D$791,Goods_Receipt_Notes!$B$2:$B$791,A437)</f>
        <v>9019.36</v>
      </c>
      <c r="G437" s="18" t="n">
        <f aca="false">SUMIFS(Vendor_Invoices_AP!$E$2:$E$882,Vendor_Invoices_AP!$B$2:$B$882,A437)</f>
        <v>9019.36</v>
      </c>
      <c r="H437" s="16" t="str">
        <f aca="false">IF(F437=0,"Not Received","Received")</f>
        <v>Received</v>
      </c>
      <c r="I437" s="16" t="str">
        <f aca="false">IF(G437=0,"Not Invoiced","Invoiced")</f>
        <v>Invoiced</v>
      </c>
      <c r="J437" s="18" t="n">
        <f aca="false">E437-F437</f>
        <v>0</v>
      </c>
      <c r="K437" s="18" t="n">
        <f aca="false">E437-G437</f>
        <v>0</v>
      </c>
      <c r="L437" s="16" t="str">
        <f aca="false">IF(OR(AND(I437="Invoiced",H437="Not Received"),AND(F437&gt;0,ABS(J437)&gt;Assumptions!$B$6),AND(G437&gt;0,ABS(K437)&gt;Assumptions!$B$6)),"EXCEPTION","OK")</f>
        <v>OK</v>
      </c>
    </row>
    <row r="438" customFormat="false" ht="15" hidden="false" customHeight="false" outlineLevel="0" collapsed="false">
      <c r="A438" s="16" t="str">
        <f aca="false">Purchase_Orders!A435</f>
        <v>PO10434</v>
      </c>
      <c r="B438" s="16" t="str">
        <f aca="false">Purchase_Orders!B435</f>
        <v>V1016</v>
      </c>
      <c r="C438" s="16" t="str">
        <f aca="false">IFERROR(INDEX(Vendor_Master!$B$2:$B$41,MATCH(B438,Vendor_Master!$A$2:$A$41,0)),"Unknown Vendor")</f>
        <v>Sanchez, Ford and Nelson</v>
      </c>
      <c r="D438" s="17" t="n">
        <f aca="false">Purchase_Orders!C435</f>
        <v>45958</v>
      </c>
      <c r="E438" s="18" t="n">
        <f aca="false">Purchase_Orders!D435</f>
        <v>1812.95</v>
      </c>
      <c r="F438" s="18" t="n">
        <f aca="false">SUMIFS(Goods_Receipt_Notes!$D$2:$D$791,Goods_Receipt_Notes!$B$2:$B$791,A438)</f>
        <v>1812.95</v>
      </c>
      <c r="G438" s="18" t="n">
        <f aca="false">SUMIFS(Vendor_Invoices_AP!$E$2:$E$882,Vendor_Invoices_AP!$B$2:$B$882,A438)</f>
        <v>1812.95</v>
      </c>
      <c r="H438" s="16" t="str">
        <f aca="false">IF(F438=0,"Not Received","Received")</f>
        <v>Received</v>
      </c>
      <c r="I438" s="16" t="str">
        <f aca="false">IF(G438=0,"Not Invoiced","Invoiced")</f>
        <v>Invoiced</v>
      </c>
      <c r="J438" s="18" t="n">
        <f aca="false">E438-F438</f>
        <v>0</v>
      </c>
      <c r="K438" s="18" t="n">
        <f aca="false">E438-G438</f>
        <v>0</v>
      </c>
      <c r="L438" s="16" t="str">
        <f aca="false">IF(OR(AND(I438="Invoiced",H438="Not Received"),AND(F438&gt;0,ABS(J438)&gt;Assumptions!$B$6),AND(G438&gt;0,ABS(K438)&gt;Assumptions!$B$6)),"EXCEPTION","OK")</f>
        <v>OK</v>
      </c>
    </row>
    <row r="439" customFormat="false" ht="15" hidden="false" customHeight="false" outlineLevel="0" collapsed="false">
      <c r="A439" s="16" t="str">
        <f aca="false">Purchase_Orders!A436</f>
        <v>PO10435</v>
      </c>
      <c r="B439" s="16" t="str">
        <f aca="false">Purchase_Orders!B436</f>
        <v>V1023</v>
      </c>
      <c r="C439" s="16" t="str">
        <f aca="false">IFERROR(INDEX(Vendor_Master!$B$2:$B$41,MATCH(B439,Vendor_Master!$A$2:$A$41,0)),"Unknown Vendor")</f>
        <v>Robinson-Bright</v>
      </c>
      <c r="D439" s="17" t="n">
        <f aca="false">Purchase_Orders!C436</f>
        <v>45958</v>
      </c>
      <c r="E439" s="18" t="n">
        <f aca="false">Purchase_Orders!D436</f>
        <v>939.2</v>
      </c>
      <c r="F439" s="18" t="n">
        <f aca="false">SUMIFS(Goods_Receipt_Notes!$D$2:$D$791,Goods_Receipt_Notes!$B$2:$B$791,A439)</f>
        <v>939.2</v>
      </c>
      <c r="G439" s="18" t="n">
        <f aca="false">SUMIFS(Vendor_Invoices_AP!$E$2:$E$882,Vendor_Invoices_AP!$B$2:$B$882,A439)</f>
        <v>1047.46</v>
      </c>
      <c r="H439" s="16" t="str">
        <f aca="false">IF(F439=0,"Not Received","Received")</f>
        <v>Received</v>
      </c>
      <c r="I439" s="16" t="str">
        <f aca="false">IF(G439=0,"Not Invoiced","Invoiced")</f>
        <v>Invoiced</v>
      </c>
      <c r="J439" s="18" t="n">
        <f aca="false">E439-F439</f>
        <v>0</v>
      </c>
      <c r="K439" s="18" t="n">
        <f aca="false">E439-G439</f>
        <v>-108.26</v>
      </c>
      <c r="L439" s="16" t="str">
        <f aca="false">IF(OR(AND(I439="Invoiced",H439="Not Received"),AND(F439&gt;0,ABS(J439)&gt;Assumptions!$B$6),AND(G439&gt;0,ABS(K439)&gt;Assumptions!$B$6)),"EXCEPTION","OK")</f>
        <v>EXCEPTION</v>
      </c>
    </row>
    <row r="440" customFormat="false" ht="15" hidden="false" customHeight="false" outlineLevel="0" collapsed="false">
      <c r="A440" s="16" t="str">
        <f aca="false">Purchase_Orders!A437</f>
        <v>PO10436</v>
      </c>
      <c r="B440" s="16" t="str">
        <f aca="false">Purchase_Orders!B437</f>
        <v>V1009</v>
      </c>
      <c r="C440" s="16" t="str">
        <f aca="false">IFERROR(INDEX(Vendor_Master!$B$2:$B$41,MATCH(B440,Vendor_Master!$A$2:$A$41,0)),"Unknown Vendor")</f>
        <v>Munoz-Roman</v>
      </c>
      <c r="D440" s="17" t="n">
        <f aca="false">Purchase_Orders!C437</f>
        <v>45708</v>
      </c>
      <c r="E440" s="18" t="n">
        <f aca="false">Purchase_Orders!D437</f>
        <v>2749.82</v>
      </c>
      <c r="F440" s="18" t="n">
        <f aca="false">SUMIFS(Goods_Receipt_Notes!$D$2:$D$791,Goods_Receipt_Notes!$B$2:$B$791,A440)</f>
        <v>2749.82</v>
      </c>
      <c r="G440" s="18" t="n">
        <f aca="false">SUMIFS(Vendor_Invoices_AP!$E$2:$E$882,Vendor_Invoices_AP!$B$2:$B$882,A440)</f>
        <v>3396.34</v>
      </c>
      <c r="H440" s="16" t="str">
        <f aca="false">IF(F440=0,"Not Received","Received")</f>
        <v>Received</v>
      </c>
      <c r="I440" s="16" t="str">
        <f aca="false">IF(G440=0,"Not Invoiced","Invoiced")</f>
        <v>Invoiced</v>
      </c>
      <c r="J440" s="18" t="n">
        <f aca="false">E440-F440</f>
        <v>0</v>
      </c>
      <c r="K440" s="18" t="n">
        <f aca="false">E440-G440</f>
        <v>-646.52</v>
      </c>
      <c r="L440" s="16" t="str">
        <f aca="false">IF(OR(AND(I440="Invoiced",H440="Not Received"),AND(F440&gt;0,ABS(J440)&gt;Assumptions!$B$6),AND(G440&gt;0,ABS(K440)&gt;Assumptions!$B$6)),"EXCEPTION","OK")</f>
        <v>EXCEPTION</v>
      </c>
    </row>
    <row r="441" customFormat="false" ht="15" hidden="false" customHeight="false" outlineLevel="0" collapsed="false">
      <c r="A441" s="16" t="str">
        <f aca="false">Purchase_Orders!A438</f>
        <v>PO10437</v>
      </c>
      <c r="B441" s="16" t="str">
        <f aca="false">Purchase_Orders!B438</f>
        <v>V1017</v>
      </c>
      <c r="C441" s="16" t="str">
        <f aca="false">IFERROR(INDEX(Vendor_Master!$B$2:$B$41,MATCH(B441,Vendor_Master!$A$2:$A$41,0)),"Unknown Vendor")</f>
        <v>Hawkins, Cohen and Cameron</v>
      </c>
      <c r="D441" s="17" t="n">
        <f aca="false">Purchase_Orders!C438</f>
        <v>46198</v>
      </c>
      <c r="E441" s="18" t="n">
        <f aca="false">Purchase_Orders!D438</f>
        <v>4037.07</v>
      </c>
      <c r="F441" s="18" t="n">
        <f aca="false">SUMIFS(Goods_Receipt_Notes!$D$2:$D$791,Goods_Receipt_Notes!$B$2:$B$791,A441)</f>
        <v>3199.41</v>
      </c>
      <c r="G441" s="18" t="n">
        <f aca="false">SUMIFS(Vendor_Invoices_AP!$E$2:$E$882,Vendor_Invoices_AP!$B$2:$B$882,A441)</f>
        <v>4037.07</v>
      </c>
      <c r="H441" s="16" t="str">
        <f aca="false">IF(F441=0,"Not Received","Received")</f>
        <v>Received</v>
      </c>
      <c r="I441" s="16" t="str">
        <f aca="false">IF(G441=0,"Not Invoiced","Invoiced")</f>
        <v>Invoiced</v>
      </c>
      <c r="J441" s="18" t="n">
        <f aca="false">E441-F441</f>
        <v>837.66</v>
      </c>
      <c r="K441" s="18" t="n">
        <f aca="false">E441-G441</f>
        <v>0</v>
      </c>
      <c r="L441" s="16" t="str">
        <f aca="false">IF(OR(AND(I441="Invoiced",H441="Not Received"),AND(F441&gt;0,ABS(J441)&gt;Assumptions!$B$6),AND(G441&gt;0,ABS(K441)&gt;Assumptions!$B$6)),"EXCEPTION","OK")</f>
        <v>EXCEPTION</v>
      </c>
    </row>
    <row r="442" customFormat="false" ht="15" hidden="false" customHeight="false" outlineLevel="0" collapsed="false">
      <c r="A442" s="16" t="str">
        <f aca="false">Purchase_Orders!A439</f>
        <v>PO10438</v>
      </c>
      <c r="B442" s="16" t="str">
        <f aca="false">Purchase_Orders!B439</f>
        <v>V1013</v>
      </c>
      <c r="C442" s="16" t="str">
        <f aca="false">IFERROR(INDEX(Vendor_Master!$B$2:$B$41,MATCH(B442,Vendor_Master!$A$2:$A$41,0)),"Unknown Vendor")</f>
        <v>Delacruz Group</v>
      </c>
      <c r="D442" s="17" t="n">
        <f aca="false">Purchase_Orders!C439</f>
        <v>46155</v>
      </c>
      <c r="E442" s="18" t="n">
        <f aca="false">Purchase_Orders!D439</f>
        <v>1201.82</v>
      </c>
      <c r="F442" s="18" t="n">
        <f aca="false">SUMIFS(Goods_Receipt_Notes!$D$2:$D$791,Goods_Receipt_Notes!$B$2:$B$791,A442)</f>
        <v>1201.82</v>
      </c>
      <c r="G442" s="18" t="n">
        <f aca="false">SUMIFS(Vendor_Invoices_AP!$E$2:$E$882,Vendor_Invoices_AP!$B$2:$B$882,A442)</f>
        <v>1201.82</v>
      </c>
      <c r="H442" s="16" t="str">
        <f aca="false">IF(F442=0,"Not Received","Received")</f>
        <v>Received</v>
      </c>
      <c r="I442" s="16" t="str">
        <f aca="false">IF(G442=0,"Not Invoiced","Invoiced")</f>
        <v>Invoiced</v>
      </c>
      <c r="J442" s="18" t="n">
        <f aca="false">E442-F442</f>
        <v>0</v>
      </c>
      <c r="K442" s="18" t="n">
        <f aca="false">E442-G442</f>
        <v>0</v>
      </c>
      <c r="L442" s="16" t="str">
        <f aca="false">IF(OR(AND(I442="Invoiced",H442="Not Received"),AND(F442&gt;0,ABS(J442)&gt;Assumptions!$B$6),AND(G442&gt;0,ABS(K442)&gt;Assumptions!$B$6)),"EXCEPTION","OK")</f>
        <v>OK</v>
      </c>
    </row>
    <row r="443" customFormat="false" ht="15" hidden="false" customHeight="false" outlineLevel="0" collapsed="false">
      <c r="A443" s="16" t="str">
        <f aca="false">Purchase_Orders!A440</f>
        <v>PO10439</v>
      </c>
      <c r="B443" s="16" t="str">
        <f aca="false">Purchase_Orders!B440</f>
        <v>V1010</v>
      </c>
      <c r="C443" s="16" t="str">
        <f aca="false">IFERROR(INDEX(Vendor_Master!$B$2:$B$41,MATCH(B443,Vendor_Master!$A$2:$A$41,0)),"Unknown Vendor")</f>
        <v>Martinez, Nielsen and Miller</v>
      </c>
      <c r="D443" s="17" t="n">
        <f aca="false">Purchase_Orders!C440</f>
        <v>45909</v>
      </c>
      <c r="E443" s="18" t="n">
        <f aca="false">Purchase_Orders!D440</f>
        <v>1494.41</v>
      </c>
      <c r="F443" s="18" t="n">
        <f aca="false">SUMIFS(Goods_Receipt_Notes!$D$2:$D$791,Goods_Receipt_Notes!$B$2:$B$791,A443)</f>
        <v>1494.41</v>
      </c>
      <c r="G443" s="18" t="n">
        <f aca="false">SUMIFS(Vendor_Invoices_AP!$E$2:$E$882,Vendor_Invoices_AP!$B$2:$B$882,A443)</f>
        <v>1494.41</v>
      </c>
      <c r="H443" s="16" t="str">
        <f aca="false">IF(F443=0,"Not Received","Received")</f>
        <v>Received</v>
      </c>
      <c r="I443" s="16" t="str">
        <f aca="false">IF(G443=0,"Not Invoiced","Invoiced")</f>
        <v>Invoiced</v>
      </c>
      <c r="J443" s="18" t="n">
        <f aca="false">E443-F443</f>
        <v>0</v>
      </c>
      <c r="K443" s="18" t="n">
        <f aca="false">E443-G443</f>
        <v>0</v>
      </c>
      <c r="L443" s="16" t="str">
        <f aca="false">IF(OR(AND(I443="Invoiced",H443="Not Received"),AND(F443&gt;0,ABS(J443)&gt;Assumptions!$B$6),AND(G443&gt;0,ABS(K443)&gt;Assumptions!$B$6)),"EXCEPTION","OK")</f>
        <v>OK</v>
      </c>
    </row>
    <row r="444" customFormat="false" ht="15" hidden="false" customHeight="false" outlineLevel="0" collapsed="false">
      <c r="A444" s="16" t="str">
        <f aca="false">Purchase_Orders!A441</f>
        <v>PO10440</v>
      </c>
      <c r="B444" s="16" t="str">
        <f aca="false">Purchase_Orders!B441</f>
        <v>V1002</v>
      </c>
      <c r="C444" s="16" t="str">
        <f aca="false">IFERROR(INDEX(Vendor_Master!$B$2:$B$41,MATCH(B444,Vendor_Master!$A$2:$A$41,0)),"Unknown Vendor")</f>
        <v>Garcia, Yang and Gardner</v>
      </c>
      <c r="D444" s="17" t="n">
        <f aca="false">Purchase_Orders!C441</f>
        <v>45722</v>
      </c>
      <c r="E444" s="18" t="n">
        <f aca="false">Purchase_Orders!D441</f>
        <v>791.01</v>
      </c>
      <c r="F444" s="18" t="n">
        <f aca="false">SUMIFS(Goods_Receipt_Notes!$D$2:$D$791,Goods_Receipt_Notes!$B$2:$B$791,A444)</f>
        <v>791.01</v>
      </c>
      <c r="G444" s="18" t="n">
        <f aca="false">SUMIFS(Vendor_Invoices_AP!$E$2:$E$882,Vendor_Invoices_AP!$B$2:$B$882,A444)</f>
        <v>791.01</v>
      </c>
      <c r="H444" s="16" t="str">
        <f aca="false">IF(F444=0,"Not Received","Received")</f>
        <v>Received</v>
      </c>
      <c r="I444" s="16" t="str">
        <f aca="false">IF(G444=0,"Not Invoiced","Invoiced")</f>
        <v>Invoiced</v>
      </c>
      <c r="J444" s="18" t="n">
        <f aca="false">E444-F444</f>
        <v>0</v>
      </c>
      <c r="K444" s="18" t="n">
        <f aca="false">E444-G444</f>
        <v>0</v>
      </c>
      <c r="L444" s="16" t="str">
        <f aca="false">IF(OR(AND(I444="Invoiced",H444="Not Received"),AND(F444&gt;0,ABS(J444)&gt;Assumptions!$B$6),AND(G444&gt;0,ABS(K444)&gt;Assumptions!$B$6)),"EXCEPTION","OK")</f>
        <v>OK</v>
      </c>
    </row>
    <row r="445" customFormat="false" ht="15" hidden="false" customHeight="false" outlineLevel="0" collapsed="false">
      <c r="A445" s="16" t="str">
        <f aca="false">Purchase_Orders!A442</f>
        <v>PO10441</v>
      </c>
      <c r="B445" s="16" t="str">
        <f aca="false">Purchase_Orders!B442</f>
        <v>V1018</v>
      </c>
      <c r="C445" s="16" t="str">
        <f aca="false">IFERROR(INDEX(Vendor_Master!$B$2:$B$41,MATCH(B445,Vendor_Master!$A$2:$A$41,0)),"Unknown Vendor")</f>
        <v>Underwood LLC</v>
      </c>
      <c r="D445" s="17" t="n">
        <f aca="false">Purchase_Orders!C442</f>
        <v>46111</v>
      </c>
      <c r="E445" s="18" t="n">
        <f aca="false">Purchase_Orders!D442</f>
        <v>2064.66</v>
      </c>
      <c r="F445" s="18" t="n">
        <f aca="false">SUMIFS(Goods_Receipt_Notes!$D$2:$D$791,Goods_Receipt_Notes!$B$2:$B$791,A445)</f>
        <v>2064.66</v>
      </c>
      <c r="G445" s="18" t="n">
        <f aca="false">SUMIFS(Vendor_Invoices_AP!$E$2:$E$882,Vendor_Invoices_AP!$B$2:$B$882,A445)</f>
        <v>2064.66</v>
      </c>
      <c r="H445" s="16" t="str">
        <f aca="false">IF(F445=0,"Not Received","Received")</f>
        <v>Received</v>
      </c>
      <c r="I445" s="16" t="str">
        <f aca="false">IF(G445=0,"Not Invoiced","Invoiced")</f>
        <v>Invoiced</v>
      </c>
      <c r="J445" s="18" t="n">
        <f aca="false">E445-F445</f>
        <v>0</v>
      </c>
      <c r="K445" s="18" t="n">
        <f aca="false">E445-G445</f>
        <v>0</v>
      </c>
      <c r="L445" s="16" t="str">
        <f aca="false">IF(OR(AND(I445="Invoiced",H445="Not Received"),AND(F445&gt;0,ABS(J445)&gt;Assumptions!$B$6),AND(G445&gt;0,ABS(K445)&gt;Assumptions!$B$6)),"EXCEPTION","OK")</f>
        <v>OK</v>
      </c>
    </row>
    <row r="446" customFormat="false" ht="15" hidden="false" customHeight="false" outlineLevel="0" collapsed="false">
      <c r="A446" s="16" t="str">
        <f aca="false">Purchase_Orders!A443</f>
        <v>PO10442</v>
      </c>
      <c r="B446" s="16" t="str">
        <f aca="false">Purchase_Orders!B443</f>
        <v>V1018</v>
      </c>
      <c r="C446" s="16" t="str">
        <f aca="false">IFERROR(INDEX(Vendor_Master!$B$2:$B$41,MATCH(B446,Vendor_Master!$A$2:$A$41,0)),"Unknown Vendor")</f>
        <v>Underwood LLC</v>
      </c>
      <c r="D446" s="17" t="n">
        <f aca="false">Purchase_Orders!C443</f>
        <v>45929</v>
      </c>
      <c r="E446" s="18" t="n">
        <f aca="false">Purchase_Orders!D443</f>
        <v>882.52</v>
      </c>
      <c r="F446" s="18" t="n">
        <f aca="false">SUMIFS(Goods_Receipt_Notes!$D$2:$D$791,Goods_Receipt_Notes!$B$2:$B$791,A446)</f>
        <v>882.52</v>
      </c>
      <c r="G446" s="18" t="n">
        <f aca="false">SUMIFS(Vendor_Invoices_AP!$E$2:$E$882,Vendor_Invoices_AP!$B$2:$B$882,A446)</f>
        <v>882.52</v>
      </c>
      <c r="H446" s="16" t="str">
        <f aca="false">IF(F446=0,"Not Received","Received")</f>
        <v>Received</v>
      </c>
      <c r="I446" s="16" t="str">
        <f aca="false">IF(G446=0,"Not Invoiced","Invoiced")</f>
        <v>Invoiced</v>
      </c>
      <c r="J446" s="18" t="n">
        <f aca="false">E446-F446</f>
        <v>0</v>
      </c>
      <c r="K446" s="18" t="n">
        <f aca="false">E446-G446</f>
        <v>0</v>
      </c>
      <c r="L446" s="16" t="str">
        <f aca="false">IF(OR(AND(I446="Invoiced",H446="Not Received"),AND(F446&gt;0,ABS(J446)&gt;Assumptions!$B$6),AND(G446&gt;0,ABS(K446)&gt;Assumptions!$B$6)),"EXCEPTION","OK")</f>
        <v>OK</v>
      </c>
    </row>
    <row r="447" customFormat="false" ht="15" hidden="false" customHeight="false" outlineLevel="0" collapsed="false">
      <c r="A447" s="16" t="str">
        <f aca="false">Purchase_Orders!A444</f>
        <v>PO10443</v>
      </c>
      <c r="B447" s="16" t="str">
        <f aca="false">Purchase_Orders!B444</f>
        <v>V1028</v>
      </c>
      <c r="C447" s="16" t="str">
        <f aca="false">IFERROR(INDEX(Vendor_Master!$B$2:$B$41,MATCH(B447,Vendor_Master!$A$2:$A$41,0)),"Unknown Vendor")</f>
        <v>Potter, Mack and Peterson</v>
      </c>
      <c r="D447" s="17" t="n">
        <f aca="false">Purchase_Orders!C444</f>
        <v>46048</v>
      </c>
      <c r="E447" s="18" t="n">
        <f aca="false">Purchase_Orders!D444</f>
        <v>3855.85</v>
      </c>
      <c r="F447" s="18" t="n">
        <f aca="false">SUMIFS(Goods_Receipt_Notes!$D$2:$D$791,Goods_Receipt_Notes!$B$2:$B$791,A447)</f>
        <v>3855.85</v>
      </c>
      <c r="G447" s="18" t="n">
        <f aca="false">SUMIFS(Vendor_Invoices_AP!$E$2:$E$882,Vendor_Invoices_AP!$B$2:$B$882,A447)</f>
        <v>3855.85</v>
      </c>
      <c r="H447" s="16" t="str">
        <f aca="false">IF(F447=0,"Not Received","Received")</f>
        <v>Received</v>
      </c>
      <c r="I447" s="16" t="str">
        <f aca="false">IF(G447=0,"Not Invoiced","Invoiced")</f>
        <v>Invoiced</v>
      </c>
      <c r="J447" s="18" t="n">
        <f aca="false">E447-F447</f>
        <v>0</v>
      </c>
      <c r="K447" s="18" t="n">
        <f aca="false">E447-G447</f>
        <v>0</v>
      </c>
      <c r="L447" s="16" t="str">
        <f aca="false">IF(OR(AND(I447="Invoiced",H447="Not Received"),AND(F447&gt;0,ABS(J447)&gt;Assumptions!$B$6),AND(G447&gt;0,ABS(K447)&gt;Assumptions!$B$6)),"EXCEPTION","OK")</f>
        <v>OK</v>
      </c>
    </row>
    <row r="448" customFormat="false" ht="15" hidden="false" customHeight="false" outlineLevel="0" collapsed="false">
      <c r="A448" s="16" t="str">
        <f aca="false">Purchase_Orders!A445</f>
        <v>PO10444</v>
      </c>
      <c r="B448" s="16" t="str">
        <f aca="false">Purchase_Orders!B445</f>
        <v>V1027</v>
      </c>
      <c r="C448" s="16" t="str">
        <f aca="false">IFERROR(INDEX(Vendor_Master!$B$2:$B$41,MATCH(B448,Vendor_Master!$A$2:$A$41,0)),"Unknown Vendor")</f>
        <v>Valencia, Smith and Le</v>
      </c>
      <c r="D448" s="17" t="n">
        <f aca="false">Purchase_Orders!C445</f>
        <v>45935</v>
      </c>
      <c r="E448" s="18" t="n">
        <f aca="false">Purchase_Orders!D445</f>
        <v>1396.94</v>
      </c>
      <c r="F448" s="18" t="n">
        <f aca="false">SUMIFS(Goods_Receipt_Notes!$D$2:$D$791,Goods_Receipt_Notes!$B$2:$B$791,A448)</f>
        <v>1396.94</v>
      </c>
      <c r="G448" s="18" t="n">
        <f aca="false">SUMIFS(Vendor_Invoices_AP!$E$2:$E$882,Vendor_Invoices_AP!$B$2:$B$882,A448)</f>
        <v>1396.94</v>
      </c>
      <c r="H448" s="16" t="str">
        <f aca="false">IF(F448=0,"Not Received","Received")</f>
        <v>Received</v>
      </c>
      <c r="I448" s="16" t="str">
        <f aca="false">IF(G448=0,"Not Invoiced","Invoiced")</f>
        <v>Invoiced</v>
      </c>
      <c r="J448" s="18" t="n">
        <f aca="false">E448-F448</f>
        <v>0</v>
      </c>
      <c r="K448" s="18" t="n">
        <f aca="false">E448-G448</f>
        <v>0</v>
      </c>
      <c r="L448" s="16" t="str">
        <f aca="false">IF(OR(AND(I448="Invoiced",H448="Not Received"),AND(F448&gt;0,ABS(J448)&gt;Assumptions!$B$6),AND(G448&gt;0,ABS(K448)&gt;Assumptions!$B$6)),"EXCEPTION","OK")</f>
        <v>OK</v>
      </c>
    </row>
    <row r="449" customFormat="false" ht="15" hidden="false" customHeight="false" outlineLevel="0" collapsed="false">
      <c r="A449" s="16" t="str">
        <f aca="false">Purchase_Orders!A446</f>
        <v>PO10445</v>
      </c>
      <c r="B449" s="16" t="str">
        <f aca="false">Purchase_Orders!B446</f>
        <v>V1038</v>
      </c>
      <c r="C449" s="16" t="str">
        <f aca="false">IFERROR(INDEX(Vendor_Master!$B$2:$B$41,MATCH(B449,Vendor_Master!$A$2:$A$41,0)),"Unknown Vendor")</f>
        <v>Rose-Obrien</v>
      </c>
      <c r="D449" s="17" t="n">
        <f aca="false">Purchase_Orders!C446</f>
        <v>45807</v>
      </c>
      <c r="E449" s="18" t="n">
        <f aca="false">Purchase_Orders!D446</f>
        <v>1284.51</v>
      </c>
      <c r="F449" s="18" t="n">
        <f aca="false">SUMIFS(Goods_Receipt_Notes!$D$2:$D$791,Goods_Receipt_Notes!$B$2:$B$791,A449)</f>
        <v>1284.51</v>
      </c>
      <c r="G449" s="18" t="n">
        <f aca="false">SUMIFS(Vendor_Invoices_AP!$E$2:$E$882,Vendor_Invoices_AP!$B$2:$B$882,A449)</f>
        <v>1284.51</v>
      </c>
      <c r="H449" s="16" t="str">
        <f aca="false">IF(F449=0,"Not Received","Received")</f>
        <v>Received</v>
      </c>
      <c r="I449" s="16" t="str">
        <f aca="false">IF(G449=0,"Not Invoiced","Invoiced")</f>
        <v>Invoiced</v>
      </c>
      <c r="J449" s="18" t="n">
        <f aca="false">E449-F449</f>
        <v>0</v>
      </c>
      <c r="K449" s="18" t="n">
        <f aca="false">E449-G449</f>
        <v>0</v>
      </c>
      <c r="L449" s="16" t="str">
        <f aca="false">IF(OR(AND(I449="Invoiced",H449="Not Received"),AND(F449&gt;0,ABS(J449)&gt;Assumptions!$B$6),AND(G449&gt;0,ABS(K449)&gt;Assumptions!$B$6)),"EXCEPTION","OK")</f>
        <v>OK</v>
      </c>
    </row>
    <row r="450" customFormat="false" ht="15" hidden="false" customHeight="false" outlineLevel="0" collapsed="false">
      <c r="A450" s="16" t="str">
        <f aca="false">Purchase_Orders!A447</f>
        <v>PO10446</v>
      </c>
      <c r="B450" s="16" t="str">
        <f aca="false">Purchase_Orders!B447</f>
        <v>V1030</v>
      </c>
      <c r="C450" s="16" t="str">
        <f aca="false">IFERROR(INDEX(Vendor_Master!$B$2:$B$41,MATCH(B450,Vendor_Master!$A$2:$A$41,0)),"Unknown Vendor")</f>
        <v>Stanton-Gill</v>
      </c>
      <c r="D450" s="17" t="n">
        <f aca="false">Purchase_Orders!C447</f>
        <v>46112</v>
      </c>
      <c r="E450" s="18" t="n">
        <f aca="false">Purchase_Orders!D447</f>
        <v>3088.46</v>
      </c>
      <c r="F450" s="18" t="n">
        <f aca="false">SUMIFS(Goods_Receipt_Notes!$D$2:$D$791,Goods_Receipt_Notes!$B$2:$B$791,A450)</f>
        <v>3088.46</v>
      </c>
      <c r="G450" s="18" t="n">
        <f aca="false">SUMIFS(Vendor_Invoices_AP!$E$2:$E$882,Vendor_Invoices_AP!$B$2:$B$882,A450)</f>
        <v>3088.46</v>
      </c>
      <c r="H450" s="16" t="str">
        <f aca="false">IF(F450=0,"Not Received","Received")</f>
        <v>Received</v>
      </c>
      <c r="I450" s="16" t="str">
        <f aca="false">IF(G450=0,"Not Invoiced","Invoiced")</f>
        <v>Invoiced</v>
      </c>
      <c r="J450" s="18" t="n">
        <f aca="false">E450-F450</f>
        <v>0</v>
      </c>
      <c r="K450" s="18" t="n">
        <f aca="false">E450-G450</f>
        <v>0</v>
      </c>
      <c r="L450" s="16" t="str">
        <f aca="false">IF(OR(AND(I450="Invoiced",H450="Not Received"),AND(F450&gt;0,ABS(J450)&gt;Assumptions!$B$6),AND(G450&gt;0,ABS(K450)&gt;Assumptions!$B$6)),"EXCEPTION","OK")</f>
        <v>OK</v>
      </c>
    </row>
    <row r="451" customFormat="false" ht="15" hidden="false" customHeight="false" outlineLevel="0" collapsed="false">
      <c r="A451" s="16" t="str">
        <f aca="false">Purchase_Orders!A448</f>
        <v>PO10447</v>
      </c>
      <c r="B451" s="16" t="str">
        <f aca="false">Purchase_Orders!B448</f>
        <v>V1027</v>
      </c>
      <c r="C451" s="16" t="str">
        <f aca="false">IFERROR(INDEX(Vendor_Master!$B$2:$B$41,MATCH(B451,Vendor_Master!$A$2:$A$41,0)),"Unknown Vendor")</f>
        <v>Valencia, Smith and Le</v>
      </c>
      <c r="D451" s="17" t="n">
        <f aca="false">Purchase_Orders!C448</f>
        <v>46192</v>
      </c>
      <c r="E451" s="18" t="n">
        <f aca="false">Purchase_Orders!D448</f>
        <v>10752.87</v>
      </c>
      <c r="F451" s="18" t="n">
        <f aca="false">SUMIFS(Goods_Receipt_Notes!$D$2:$D$791,Goods_Receipt_Notes!$B$2:$B$791,A451)</f>
        <v>10752.87</v>
      </c>
      <c r="G451" s="18" t="n">
        <f aca="false">SUMIFS(Vendor_Invoices_AP!$E$2:$E$882,Vendor_Invoices_AP!$B$2:$B$882,A451)</f>
        <v>10752.87</v>
      </c>
      <c r="H451" s="16" t="str">
        <f aca="false">IF(F451=0,"Not Received","Received")</f>
        <v>Received</v>
      </c>
      <c r="I451" s="16" t="str">
        <f aca="false">IF(G451=0,"Not Invoiced","Invoiced")</f>
        <v>Invoiced</v>
      </c>
      <c r="J451" s="18" t="n">
        <f aca="false">E451-F451</f>
        <v>0</v>
      </c>
      <c r="K451" s="18" t="n">
        <f aca="false">E451-G451</f>
        <v>0</v>
      </c>
      <c r="L451" s="16" t="str">
        <f aca="false">IF(OR(AND(I451="Invoiced",H451="Not Received"),AND(F451&gt;0,ABS(J451)&gt;Assumptions!$B$6),AND(G451&gt;0,ABS(K451)&gt;Assumptions!$B$6)),"EXCEPTION","OK")</f>
        <v>OK</v>
      </c>
    </row>
    <row r="452" customFormat="false" ht="15" hidden="false" customHeight="false" outlineLevel="0" collapsed="false">
      <c r="A452" s="16" t="str">
        <f aca="false">Purchase_Orders!A449</f>
        <v>PO10448</v>
      </c>
      <c r="B452" s="16" t="str">
        <f aca="false">Purchase_Orders!B449</f>
        <v>V1009</v>
      </c>
      <c r="C452" s="16" t="str">
        <f aca="false">IFERROR(INDEX(Vendor_Master!$B$2:$B$41,MATCH(B452,Vendor_Master!$A$2:$A$41,0)),"Unknown Vendor")</f>
        <v>Munoz-Roman</v>
      </c>
      <c r="D452" s="17" t="n">
        <f aca="false">Purchase_Orders!C449</f>
        <v>45790</v>
      </c>
      <c r="E452" s="18" t="n">
        <f aca="false">Purchase_Orders!D449</f>
        <v>3083.99</v>
      </c>
      <c r="F452" s="18" t="n">
        <f aca="false">SUMIFS(Goods_Receipt_Notes!$D$2:$D$791,Goods_Receipt_Notes!$B$2:$B$791,A452)</f>
        <v>3083.99</v>
      </c>
      <c r="G452" s="18" t="n">
        <f aca="false">SUMIFS(Vendor_Invoices_AP!$E$2:$E$882,Vendor_Invoices_AP!$B$2:$B$882,A452)</f>
        <v>3083.99</v>
      </c>
      <c r="H452" s="16" t="str">
        <f aca="false">IF(F452=0,"Not Received","Received")</f>
        <v>Received</v>
      </c>
      <c r="I452" s="16" t="str">
        <f aca="false">IF(G452=0,"Not Invoiced","Invoiced")</f>
        <v>Invoiced</v>
      </c>
      <c r="J452" s="18" t="n">
        <f aca="false">E452-F452</f>
        <v>0</v>
      </c>
      <c r="K452" s="18" t="n">
        <f aca="false">E452-G452</f>
        <v>0</v>
      </c>
      <c r="L452" s="16" t="str">
        <f aca="false">IF(OR(AND(I452="Invoiced",H452="Not Received"),AND(F452&gt;0,ABS(J452)&gt;Assumptions!$B$6),AND(G452&gt;0,ABS(K452)&gt;Assumptions!$B$6)),"EXCEPTION","OK")</f>
        <v>OK</v>
      </c>
    </row>
    <row r="453" customFormat="false" ht="15" hidden="false" customHeight="false" outlineLevel="0" collapsed="false">
      <c r="A453" s="16" t="str">
        <f aca="false">Purchase_Orders!A450</f>
        <v>PO10449</v>
      </c>
      <c r="B453" s="16" t="str">
        <f aca="false">Purchase_Orders!B450</f>
        <v>V1009</v>
      </c>
      <c r="C453" s="16" t="str">
        <f aca="false">IFERROR(INDEX(Vendor_Master!$B$2:$B$41,MATCH(B453,Vendor_Master!$A$2:$A$41,0)),"Unknown Vendor")</f>
        <v>Munoz-Roman</v>
      </c>
      <c r="D453" s="17" t="n">
        <f aca="false">Purchase_Orders!C450</f>
        <v>45958</v>
      </c>
      <c r="E453" s="18" t="n">
        <f aca="false">Purchase_Orders!D450</f>
        <v>2900.7</v>
      </c>
      <c r="F453" s="18" t="n">
        <f aca="false">SUMIFS(Goods_Receipt_Notes!$D$2:$D$791,Goods_Receipt_Notes!$B$2:$B$791,A453)</f>
        <v>2571.21</v>
      </c>
      <c r="G453" s="18" t="n">
        <f aca="false">SUMIFS(Vendor_Invoices_AP!$E$2:$E$882,Vendor_Invoices_AP!$B$2:$B$882,A453)</f>
        <v>3006.22</v>
      </c>
      <c r="H453" s="16" t="str">
        <f aca="false">IF(F453=0,"Not Received","Received")</f>
        <v>Received</v>
      </c>
      <c r="I453" s="16" t="str">
        <f aca="false">IF(G453=0,"Not Invoiced","Invoiced")</f>
        <v>Invoiced</v>
      </c>
      <c r="J453" s="18" t="n">
        <f aca="false">E453-F453</f>
        <v>329.49</v>
      </c>
      <c r="K453" s="18" t="n">
        <f aca="false">E453-G453</f>
        <v>-105.52</v>
      </c>
      <c r="L453" s="16" t="str">
        <f aca="false">IF(OR(AND(I453="Invoiced",H453="Not Received"),AND(F453&gt;0,ABS(J453)&gt;Assumptions!$B$6),AND(G453&gt;0,ABS(K453)&gt;Assumptions!$B$6)),"EXCEPTION","OK")</f>
        <v>EXCEPTION</v>
      </c>
    </row>
    <row r="454" customFormat="false" ht="15" hidden="false" customHeight="false" outlineLevel="0" collapsed="false">
      <c r="A454" s="16" t="str">
        <f aca="false">Purchase_Orders!A451</f>
        <v>PO10450</v>
      </c>
      <c r="B454" s="16" t="str">
        <f aca="false">Purchase_Orders!B451</f>
        <v>V1019</v>
      </c>
      <c r="C454" s="16" t="str">
        <f aca="false">IFERROR(INDEX(Vendor_Master!$B$2:$B$41,MATCH(B454,Vendor_Master!$A$2:$A$41,0)),"Unknown Vendor")</f>
        <v>Clark PLC</v>
      </c>
      <c r="D454" s="17" t="n">
        <f aca="false">Purchase_Orders!C451</f>
        <v>45867</v>
      </c>
      <c r="E454" s="18" t="n">
        <f aca="false">Purchase_Orders!D451</f>
        <v>1846.25</v>
      </c>
      <c r="F454" s="18" t="n">
        <f aca="false">SUMIFS(Goods_Receipt_Notes!$D$2:$D$791,Goods_Receipt_Notes!$B$2:$B$791,A454)</f>
        <v>1846.25</v>
      </c>
      <c r="G454" s="18" t="n">
        <f aca="false">SUMIFS(Vendor_Invoices_AP!$E$2:$E$882,Vendor_Invoices_AP!$B$2:$B$882,A454)</f>
        <v>1846.25</v>
      </c>
      <c r="H454" s="16" t="str">
        <f aca="false">IF(F454=0,"Not Received","Received")</f>
        <v>Received</v>
      </c>
      <c r="I454" s="16" t="str">
        <f aca="false">IF(G454=0,"Not Invoiced","Invoiced")</f>
        <v>Invoiced</v>
      </c>
      <c r="J454" s="18" t="n">
        <f aca="false">E454-F454</f>
        <v>0</v>
      </c>
      <c r="K454" s="18" t="n">
        <f aca="false">E454-G454</f>
        <v>0</v>
      </c>
      <c r="L454" s="16" t="str">
        <f aca="false">IF(OR(AND(I454="Invoiced",H454="Not Received"),AND(F454&gt;0,ABS(J454)&gt;Assumptions!$B$6),AND(G454&gt;0,ABS(K454)&gt;Assumptions!$B$6)),"EXCEPTION","OK")</f>
        <v>OK</v>
      </c>
    </row>
    <row r="455" customFormat="false" ht="15" hidden="false" customHeight="false" outlineLevel="0" collapsed="false">
      <c r="A455" s="16" t="str">
        <f aca="false">Purchase_Orders!A452</f>
        <v>PO10451</v>
      </c>
      <c r="B455" s="16" t="str">
        <f aca="false">Purchase_Orders!B452</f>
        <v>V1011</v>
      </c>
      <c r="C455" s="16" t="str">
        <f aca="false">IFERROR(INDEX(Vendor_Master!$B$2:$B$41,MATCH(B455,Vendor_Master!$A$2:$A$41,0)),"Unknown Vendor")</f>
        <v>Montgomery, Hensley and Ray</v>
      </c>
      <c r="D455" s="17" t="n">
        <f aca="false">Purchase_Orders!C452</f>
        <v>46160</v>
      </c>
      <c r="E455" s="18" t="n">
        <f aca="false">Purchase_Orders!D452</f>
        <v>1227.72</v>
      </c>
      <c r="F455" s="18" t="n">
        <f aca="false">SUMIFS(Goods_Receipt_Notes!$D$2:$D$791,Goods_Receipt_Notes!$B$2:$B$791,A455)</f>
        <v>1227.72</v>
      </c>
      <c r="G455" s="18" t="n">
        <f aca="false">SUMIFS(Vendor_Invoices_AP!$E$2:$E$882,Vendor_Invoices_AP!$B$2:$B$882,A455)</f>
        <v>1227.72</v>
      </c>
      <c r="H455" s="16" t="str">
        <f aca="false">IF(F455=0,"Not Received","Received")</f>
        <v>Received</v>
      </c>
      <c r="I455" s="16" t="str">
        <f aca="false">IF(G455=0,"Not Invoiced","Invoiced")</f>
        <v>Invoiced</v>
      </c>
      <c r="J455" s="18" t="n">
        <f aca="false">E455-F455</f>
        <v>0</v>
      </c>
      <c r="K455" s="18" t="n">
        <f aca="false">E455-G455</f>
        <v>0</v>
      </c>
      <c r="L455" s="16" t="str">
        <f aca="false">IF(OR(AND(I455="Invoiced",H455="Not Received"),AND(F455&gt;0,ABS(J455)&gt;Assumptions!$B$6),AND(G455&gt;0,ABS(K455)&gt;Assumptions!$B$6)),"EXCEPTION","OK")</f>
        <v>OK</v>
      </c>
    </row>
    <row r="456" customFormat="false" ht="15" hidden="false" customHeight="false" outlineLevel="0" collapsed="false">
      <c r="A456" s="16" t="str">
        <f aca="false">Purchase_Orders!A453</f>
        <v>PO10452</v>
      </c>
      <c r="B456" s="16" t="str">
        <f aca="false">Purchase_Orders!B453</f>
        <v>V1040</v>
      </c>
      <c r="C456" s="16" t="str">
        <f aca="false">IFERROR(INDEX(Vendor_Master!$B$2:$B$41,MATCH(B456,Vendor_Master!$A$2:$A$41,0)),"Unknown Vendor")</f>
        <v>Santos, Kim and Holmes</v>
      </c>
      <c r="D456" s="17" t="n">
        <f aca="false">Purchase_Orders!C453</f>
        <v>45934</v>
      </c>
      <c r="E456" s="18" t="n">
        <f aca="false">Purchase_Orders!D453</f>
        <v>705.45</v>
      </c>
      <c r="F456" s="18" t="n">
        <f aca="false">SUMIFS(Goods_Receipt_Notes!$D$2:$D$791,Goods_Receipt_Notes!$B$2:$B$791,A456)</f>
        <v>705.45</v>
      </c>
      <c r="G456" s="18" t="n">
        <f aca="false">SUMIFS(Vendor_Invoices_AP!$E$2:$E$882,Vendor_Invoices_AP!$B$2:$B$882,A456)</f>
        <v>705.45</v>
      </c>
      <c r="H456" s="16" t="str">
        <f aca="false">IF(F456=0,"Not Received","Received")</f>
        <v>Received</v>
      </c>
      <c r="I456" s="16" t="str">
        <f aca="false">IF(G456=0,"Not Invoiced","Invoiced")</f>
        <v>Invoiced</v>
      </c>
      <c r="J456" s="18" t="n">
        <f aca="false">E456-F456</f>
        <v>0</v>
      </c>
      <c r="K456" s="18" t="n">
        <f aca="false">E456-G456</f>
        <v>0</v>
      </c>
      <c r="L456" s="16" t="str">
        <f aca="false">IF(OR(AND(I456="Invoiced",H456="Not Received"),AND(F456&gt;0,ABS(J456)&gt;Assumptions!$B$6),AND(G456&gt;0,ABS(K456)&gt;Assumptions!$B$6)),"EXCEPTION","OK")</f>
        <v>OK</v>
      </c>
    </row>
    <row r="457" customFormat="false" ht="15" hidden="false" customHeight="false" outlineLevel="0" collapsed="false">
      <c r="A457" s="16" t="str">
        <f aca="false">Purchase_Orders!A454</f>
        <v>PO10453</v>
      </c>
      <c r="B457" s="16" t="str">
        <f aca="false">Purchase_Orders!B454</f>
        <v>V1026</v>
      </c>
      <c r="C457" s="16" t="str">
        <f aca="false">IFERROR(INDEX(Vendor_Master!$B$2:$B$41,MATCH(B457,Vendor_Master!$A$2:$A$41,0)),"Unknown Vendor")</f>
        <v>James-Ferrell</v>
      </c>
      <c r="D457" s="17" t="n">
        <f aca="false">Purchase_Orders!C454</f>
        <v>46137</v>
      </c>
      <c r="E457" s="18" t="n">
        <f aca="false">Purchase_Orders!D454</f>
        <v>12801.13</v>
      </c>
      <c r="F457" s="18" t="n">
        <f aca="false">SUMIFS(Goods_Receipt_Notes!$D$2:$D$791,Goods_Receipt_Notes!$B$2:$B$791,A457)</f>
        <v>12801.13</v>
      </c>
      <c r="G457" s="18" t="n">
        <f aca="false">SUMIFS(Vendor_Invoices_AP!$E$2:$E$882,Vendor_Invoices_AP!$B$2:$B$882,A457)</f>
        <v>12801.13</v>
      </c>
      <c r="H457" s="16" t="str">
        <f aca="false">IF(F457=0,"Not Received","Received")</f>
        <v>Received</v>
      </c>
      <c r="I457" s="16" t="str">
        <f aca="false">IF(G457=0,"Not Invoiced","Invoiced")</f>
        <v>Invoiced</v>
      </c>
      <c r="J457" s="18" t="n">
        <f aca="false">E457-F457</f>
        <v>0</v>
      </c>
      <c r="K457" s="18" t="n">
        <f aca="false">E457-G457</f>
        <v>0</v>
      </c>
      <c r="L457" s="16" t="str">
        <f aca="false">IF(OR(AND(I457="Invoiced",H457="Not Received"),AND(F457&gt;0,ABS(J457)&gt;Assumptions!$B$6),AND(G457&gt;0,ABS(K457)&gt;Assumptions!$B$6)),"EXCEPTION","OK")</f>
        <v>OK</v>
      </c>
    </row>
    <row r="458" customFormat="false" ht="15" hidden="false" customHeight="false" outlineLevel="0" collapsed="false">
      <c r="A458" s="16" t="str">
        <f aca="false">Purchase_Orders!A455</f>
        <v>PO10454</v>
      </c>
      <c r="B458" s="16" t="str">
        <f aca="false">Purchase_Orders!B455</f>
        <v>V1016</v>
      </c>
      <c r="C458" s="16" t="str">
        <f aca="false">IFERROR(INDEX(Vendor_Master!$B$2:$B$41,MATCH(B458,Vendor_Master!$A$2:$A$41,0)),"Unknown Vendor")</f>
        <v>Sanchez, Ford and Nelson</v>
      </c>
      <c r="D458" s="17" t="n">
        <f aca="false">Purchase_Orders!C455</f>
        <v>46128</v>
      </c>
      <c r="E458" s="18" t="n">
        <f aca="false">Purchase_Orders!D455</f>
        <v>4660.66</v>
      </c>
      <c r="F458" s="18" t="n">
        <f aca="false">SUMIFS(Goods_Receipt_Notes!$D$2:$D$791,Goods_Receipt_Notes!$B$2:$B$791,A458)</f>
        <v>4660.66</v>
      </c>
      <c r="G458" s="18" t="n">
        <f aca="false">SUMIFS(Vendor_Invoices_AP!$E$2:$E$882,Vendor_Invoices_AP!$B$2:$B$882,A458)</f>
        <v>4660.66</v>
      </c>
      <c r="H458" s="16" t="str">
        <f aca="false">IF(F458=0,"Not Received","Received")</f>
        <v>Received</v>
      </c>
      <c r="I458" s="16" t="str">
        <f aca="false">IF(G458=0,"Not Invoiced","Invoiced")</f>
        <v>Invoiced</v>
      </c>
      <c r="J458" s="18" t="n">
        <f aca="false">E458-F458</f>
        <v>0</v>
      </c>
      <c r="K458" s="18" t="n">
        <f aca="false">E458-G458</f>
        <v>0</v>
      </c>
      <c r="L458" s="16" t="str">
        <f aca="false">IF(OR(AND(I458="Invoiced",H458="Not Received"),AND(F458&gt;0,ABS(J458)&gt;Assumptions!$B$6),AND(G458&gt;0,ABS(K458)&gt;Assumptions!$B$6)),"EXCEPTION","OK")</f>
        <v>OK</v>
      </c>
    </row>
    <row r="459" customFormat="false" ht="15" hidden="false" customHeight="false" outlineLevel="0" collapsed="false">
      <c r="A459" s="16" t="str">
        <f aca="false">Purchase_Orders!A456</f>
        <v>PO10455</v>
      </c>
      <c r="B459" s="16" t="str">
        <f aca="false">Purchase_Orders!B456</f>
        <v>V1011</v>
      </c>
      <c r="C459" s="16" t="str">
        <f aca="false">IFERROR(INDEX(Vendor_Master!$B$2:$B$41,MATCH(B459,Vendor_Master!$A$2:$A$41,0)),"Unknown Vendor")</f>
        <v>Montgomery, Hensley and Ray</v>
      </c>
      <c r="D459" s="17" t="n">
        <f aca="false">Purchase_Orders!C456</f>
        <v>45808</v>
      </c>
      <c r="E459" s="18" t="n">
        <f aca="false">Purchase_Orders!D456</f>
        <v>4354.54</v>
      </c>
      <c r="F459" s="18" t="n">
        <f aca="false">SUMIFS(Goods_Receipt_Notes!$D$2:$D$791,Goods_Receipt_Notes!$B$2:$B$791,A459)</f>
        <v>0</v>
      </c>
      <c r="G459" s="18" t="n">
        <f aca="false">SUMIFS(Vendor_Invoices_AP!$E$2:$E$882,Vendor_Invoices_AP!$B$2:$B$882,A459)</f>
        <v>4354.54</v>
      </c>
      <c r="H459" s="16" t="str">
        <f aca="false">IF(F459=0,"Not Received","Received")</f>
        <v>Not Received</v>
      </c>
      <c r="I459" s="16" t="str">
        <f aca="false">IF(G459=0,"Not Invoiced","Invoiced")</f>
        <v>Invoiced</v>
      </c>
      <c r="J459" s="18" t="n">
        <f aca="false">E459-F459</f>
        <v>4354.54</v>
      </c>
      <c r="K459" s="18" t="n">
        <f aca="false">E459-G459</f>
        <v>0</v>
      </c>
      <c r="L459" s="16" t="str">
        <f aca="false">IF(OR(AND(I459="Invoiced",H459="Not Received"),AND(F459&gt;0,ABS(J459)&gt;Assumptions!$B$6),AND(G459&gt;0,ABS(K459)&gt;Assumptions!$B$6)),"EXCEPTION","OK")</f>
        <v>EXCEPTION</v>
      </c>
    </row>
    <row r="460" customFormat="false" ht="15" hidden="false" customHeight="false" outlineLevel="0" collapsed="false">
      <c r="A460" s="16" t="str">
        <f aca="false">Purchase_Orders!A457</f>
        <v>PO10456</v>
      </c>
      <c r="B460" s="16" t="str">
        <f aca="false">Purchase_Orders!B457</f>
        <v>V1007</v>
      </c>
      <c r="C460" s="16" t="str">
        <f aca="false">IFERROR(INDEX(Vendor_Master!$B$2:$B$41,MATCH(B460,Vendor_Master!$A$2:$A$41,0)),"Unknown Vendor")</f>
        <v>Ramirez-Lewis</v>
      </c>
      <c r="D460" s="17" t="n">
        <f aca="false">Purchase_Orders!C457</f>
        <v>46088</v>
      </c>
      <c r="E460" s="18" t="n">
        <f aca="false">Purchase_Orders!D457</f>
        <v>1820.28</v>
      </c>
      <c r="F460" s="18" t="n">
        <f aca="false">SUMIFS(Goods_Receipt_Notes!$D$2:$D$791,Goods_Receipt_Notes!$B$2:$B$791,A460)</f>
        <v>1820.28</v>
      </c>
      <c r="G460" s="18" t="n">
        <f aca="false">SUMIFS(Vendor_Invoices_AP!$E$2:$E$882,Vendor_Invoices_AP!$B$2:$B$882,A460)</f>
        <v>1820.28</v>
      </c>
      <c r="H460" s="16" t="str">
        <f aca="false">IF(F460=0,"Not Received","Received")</f>
        <v>Received</v>
      </c>
      <c r="I460" s="16" t="str">
        <f aca="false">IF(G460=0,"Not Invoiced","Invoiced")</f>
        <v>Invoiced</v>
      </c>
      <c r="J460" s="18" t="n">
        <f aca="false">E460-F460</f>
        <v>0</v>
      </c>
      <c r="K460" s="18" t="n">
        <f aca="false">E460-G460</f>
        <v>0</v>
      </c>
      <c r="L460" s="16" t="str">
        <f aca="false">IF(OR(AND(I460="Invoiced",H460="Not Received"),AND(F460&gt;0,ABS(J460)&gt;Assumptions!$B$6),AND(G460&gt;0,ABS(K460)&gt;Assumptions!$B$6)),"EXCEPTION","OK")</f>
        <v>OK</v>
      </c>
    </row>
    <row r="461" customFormat="false" ht="15" hidden="false" customHeight="false" outlineLevel="0" collapsed="false">
      <c r="A461" s="16" t="str">
        <f aca="false">Purchase_Orders!A458</f>
        <v>PO10457</v>
      </c>
      <c r="B461" s="16" t="str">
        <f aca="false">Purchase_Orders!B458</f>
        <v>V1001</v>
      </c>
      <c r="C461" s="16" t="str">
        <f aca="false">IFERROR(INDEX(Vendor_Master!$B$2:$B$41,MATCH(B461,Vendor_Master!$A$2:$A$41,0)),"Unknown Vendor")</f>
        <v>Figueroa and Sons</v>
      </c>
      <c r="D461" s="17" t="n">
        <f aca="false">Purchase_Orders!C458</f>
        <v>45884</v>
      </c>
      <c r="E461" s="18" t="n">
        <f aca="false">Purchase_Orders!D458</f>
        <v>513.07</v>
      </c>
      <c r="F461" s="18" t="n">
        <f aca="false">SUMIFS(Goods_Receipt_Notes!$D$2:$D$791,Goods_Receipt_Notes!$B$2:$B$791,A461)</f>
        <v>0</v>
      </c>
      <c r="G461" s="18" t="n">
        <f aca="false">SUMIFS(Vendor_Invoices_AP!$E$2:$E$882,Vendor_Invoices_AP!$B$2:$B$882,A461)</f>
        <v>513.07</v>
      </c>
      <c r="H461" s="16" t="str">
        <f aca="false">IF(F461=0,"Not Received","Received")</f>
        <v>Not Received</v>
      </c>
      <c r="I461" s="16" t="str">
        <f aca="false">IF(G461=0,"Not Invoiced","Invoiced")</f>
        <v>Invoiced</v>
      </c>
      <c r="J461" s="18" t="n">
        <f aca="false">E461-F461</f>
        <v>513.07</v>
      </c>
      <c r="K461" s="18" t="n">
        <f aca="false">E461-G461</f>
        <v>0</v>
      </c>
      <c r="L461" s="16" t="str">
        <f aca="false">IF(OR(AND(I461="Invoiced",H461="Not Received"),AND(F461&gt;0,ABS(J461)&gt;Assumptions!$B$6),AND(G461&gt;0,ABS(K461)&gt;Assumptions!$B$6)),"EXCEPTION","OK")</f>
        <v>EXCEPTION</v>
      </c>
    </row>
    <row r="462" customFormat="false" ht="15" hidden="false" customHeight="false" outlineLevel="0" collapsed="false">
      <c r="A462" s="16" t="str">
        <f aca="false">Purchase_Orders!A459</f>
        <v>PO10458</v>
      </c>
      <c r="B462" s="16" t="str">
        <f aca="false">Purchase_Orders!B459</f>
        <v>V1028</v>
      </c>
      <c r="C462" s="16" t="str">
        <f aca="false">IFERROR(INDEX(Vendor_Master!$B$2:$B$41,MATCH(B462,Vendor_Master!$A$2:$A$41,0)),"Unknown Vendor")</f>
        <v>Potter, Mack and Peterson</v>
      </c>
      <c r="D462" s="17" t="n">
        <f aca="false">Purchase_Orders!C459</f>
        <v>46167</v>
      </c>
      <c r="E462" s="18" t="n">
        <f aca="false">Purchase_Orders!D459</f>
        <v>4649.2</v>
      </c>
      <c r="F462" s="18" t="n">
        <f aca="false">SUMIFS(Goods_Receipt_Notes!$D$2:$D$791,Goods_Receipt_Notes!$B$2:$B$791,A462)</f>
        <v>4649.2</v>
      </c>
      <c r="G462" s="18" t="n">
        <f aca="false">SUMIFS(Vendor_Invoices_AP!$E$2:$E$882,Vendor_Invoices_AP!$B$2:$B$882,A462)</f>
        <v>4649.2</v>
      </c>
      <c r="H462" s="16" t="str">
        <f aca="false">IF(F462=0,"Not Received","Received")</f>
        <v>Received</v>
      </c>
      <c r="I462" s="16" t="str">
        <f aca="false">IF(G462=0,"Not Invoiced","Invoiced")</f>
        <v>Invoiced</v>
      </c>
      <c r="J462" s="18" t="n">
        <f aca="false">E462-F462</f>
        <v>0</v>
      </c>
      <c r="K462" s="18" t="n">
        <f aca="false">E462-G462</f>
        <v>0</v>
      </c>
      <c r="L462" s="16" t="str">
        <f aca="false">IF(OR(AND(I462="Invoiced",H462="Not Received"),AND(F462&gt;0,ABS(J462)&gt;Assumptions!$B$6),AND(G462&gt;0,ABS(K462)&gt;Assumptions!$B$6)),"EXCEPTION","OK")</f>
        <v>OK</v>
      </c>
    </row>
    <row r="463" customFormat="false" ht="15" hidden="false" customHeight="false" outlineLevel="0" collapsed="false">
      <c r="A463" s="16" t="str">
        <f aca="false">Purchase_Orders!A460</f>
        <v>PO10459</v>
      </c>
      <c r="B463" s="16" t="str">
        <f aca="false">Purchase_Orders!B460</f>
        <v>V1013</v>
      </c>
      <c r="C463" s="16" t="str">
        <f aca="false">IFERROR(INDEX(Vendor_Master!$B$2:$B$41,MATCH(B463,Vendor_Master!$A$2:$A$41,0)),"Unknown Vendor")</f>
        <v>Delacruz Group</v>
      </c>
      <c r="D463" s="17" t="n">
        <f aca="false">Purchase_Orders!C460</f>
        <v>45934</v>
      </c>
      <c r="E463" s="18" t="n">
        <f aca="false">Purchase_Orders!D460</f>
        <v>1334.13</v>
      </c>
      <c r="F463" s="18" t="n">
        <f aca="false">SUMIFS(Goods_Receipt_Notes!$D$2:$D$791,Goods_Receipt_Notes!$B$2:$B$791,A463)</f>
        <v>1334.13</v>
      </c>
      <c r="G463" s="18" t="n">
        <f aca="false">SUMIFS(Vendor_Invoices_AP!$E$2:$E$882,Vendor_Invoices_AP!$B$2:$B$882,A463)</f>
        <v>1334.13</v>
      </c>
      <c r="H463" s="16" t="str">
        <f aca="false">IF(F463=0,"Not Received","Received")</f>
        <v>Received</v>
      </c>
      <c r="I463" s="16" t="str">
        <f aca="false">IF(G463=0,"Not Invoiced","Invoiced")</f>
        <v>Invoiced</v>
      </c>
      <c r="J463" s="18" t="n">
        <f aca="false">E463-F463</f>
        <v>0</v>
      </c>
      <c r="K463" s="18" t="n">
        <f aca="false">E463-G463</f>
        <v>0</v>
      </c>
      <c r="L463" s="16" t="str">
        <f aca="false">IF(OR(AND(I463="Invoiced",H463="Not Received"),AND(F463&gt;0,ABS(J463)&gt;Assumptions!$B$6),AND(G463&gt;0,ABS(K463)&gt;Assumptions!$B$6)),"EXCEPTION","OK")</f>
        <v>OK</v>
      </c>
    </row>
    <row r="464" customFormat="false" ht="15" hidden="false" customHeight="false" outlineLevel="0" collapsed="false">
      <c r="A464" s="16" t="str">
        <f aca="false">Purchase_Orders!A461</f>
        <v>PO10460</v>
      </c>
      <c r="B464" s="16" t="str">
        <f aca="false">Purchase_Orders!B461</f>
        <v>V1011</v>
      </c>
      <c r="C464" s="16" t="str">
        <f aca="false">IFERROR(INDEX(Vendor_Master!$B$2:$B$41,MATCH(B464,Vendor_Master!$A$2:$A$41,0)),"Unknown Vendor")</f>
        <v>Montgomery, Hensley and Ray</v>
      </c>
      <c r="D464" s="17" t="n">
        <f aca="false">Purchase_Orders!C461</f>
        <v>46105</v>
      </c>
      <c r="E464" s="18" t="n">
        <f aca="false">Purchase_Orders!D461</f>
        <v>2328.91</v>
      </c>
      <c r="F464" s="18" t="n">
        <f aca="false">SUMIFS(Goods_Receipt_Notes!$D$2:$D$791,Goods_Receipt_Notes!$B$2:$B$791,A464)</f>
        <v>2328.91</v>
      </c>
      <c r="G464" s="18" t="n">
        <f aca="false">SUMIFS(Vendor_Invoices_AP!$E$2:$E$882,Vendor_Invoices_AP!$B$2:$B$882,A464)</f>
        <v>2328.91</v>
      </c>
      <c r="H464" s="16" t="str">
        <f aca="false">IF(F464=0,"Not Received","Received")</f>
        <v>Received</v>
      </c>
      <c r="I464" s="16" t="str">
        <f aca="false">IF(G464=0,"Not Invoiced","Invoiced")</f>
        <v>Invoiced</v>
      </c>
      <c r="J464" s="18" t="n">
        <f aca="false">E464-F464</f>
        <v>0</v>
      </c>
      <c r="K464" s="18" t="n">
        <f aca="false">E464-G464</f>
        <v>0</v>
      </c>
      <c r="L464" s="16" t="str">
        <f aca="false">IF(OR(AND(I464="Invoiced",H464="Not Received"),AND(F464&gt;0,ABS(J464)&gt;Assumptions!$B$6),AND(G464&gt;0,ABS(K464)&gt;Assumptions!$B$6)),"EXCEPTION","OK")</f>
        <v>OK</v>
      </c>
    </row>
    <row r="465" customFormat="false" ht="15" hidden="false" customHeight="false" outlineLevel="0" collapsed="false">
      <c r="A465" s="16" t="str">
        <f aca="false">Purchase_Orders!A462</f>
        <v>PO10461</v>
      </c>
      <c r="B465" s="16" t="str">
        <f aca="false">Purchase_Orders!B462</f>
        <v>V1036</v>
      </c>
      <c r="C465" s="16" t="str">
        <f aca="false">IFERROR(INDEX(Vendor_Master!$B$2:$B$41,MATCH(B465,Vendor_Master!$A$2:$A$41,0)),"Unknown Vendor")</f>
        <v>Dennis Inc</v>
      </c>
      <c r="D465" s="17" t="n">
        <f aca="false">Purchase_Orders!C462</f>
        <v>45812</v>
      </c>
      <c r="E465" s="18" t="n">
        <f aca="false">Purchase_Orders!D462</f>
        <v>460.42</v>
      </c>
      <c r="F465" s="18" t="n">
        <f aca="false">SUMIFS(Goods_Receipt_Notes!$D$2:$D$791,Goods_Receipt_Notes!$B$2:$B$791,A465)</f>
        <v>460.42</v>
      </c>
      <c r="G465" s="18" t="n">
        <f aca="false">SUMIFS(Vendor_Invoices_AP!$E$2:$E$882,Vendor_Invoices_AP!$B$2:$B$882,A465)</f>
        <v>460.42</v>
      </c>
      <c r="H465" s="16" t="str">
        <f aca="false">IF(F465=0,"Not Received","Received")</f>
        <v>Received</v>
      </c>
      <c r="I465" s="16" t="str">
        <f aca="false">IF(G465=0,"Not Invoiced","Invoiced")</f>
        <v>Invoiced</v>
      </c>
      <c r="J465" s="18" t="n">
        <f aca="false">E465-F465</f>
        <v>0</v>
      </c>
      <c r="K465" s="18" t="n">
        <f aca="false">E465-G465</f>
        <v>0</v>
      </c>
      <c r="L465" s="16" t="str">
        <f aca="false">IF(OR(AND(I465="Invoiced",H465="Not Received"),AND(F465&gt;0,ABS(J465)&gt;Assumptions!$B$6),AND(G465&gt;0,ABS(K465)&gt;Assumptions!$B$6)),"EXCEPTION","OK")</f>
        <v>OK</v>
      </c>
    </row>
    <row r="466" customFormat="false" ht="15" hidden="false" customHeight="false" outlineLevel="0" collapsed="false">
      <c r="A466" s="16" t="str">
        <f aca="false">Purchase_Orders!A463</f>
        <v>PO10462</v>
      </c>
      <c r="B466" s="16" t="str">
        <f aca="false">Purchase_Orders!B463</f>
        <v>V1030</v>
      </c>
      <c r="C466" s="16" t="str">
        <f aca="false">IFERROR(INDEX(Vendor_Master!$B$2:$B$41,MATCH(B466,Vendor_Master!$A$2:$A$41,0)),"Unknown Vendor")</f>
        <v>Stanton-Gill</v>
      </c>
      <c r="D466" s="17" t="n">
        <f aca="false">Purchase_Orders!C463</f>
        <v>45820</v>
      </c>
      <c r="E466" s="18" t="n">
        <f aca="false">Purchase_Orders!D463</f>
        <v>820.42</v>
      </c>
      <c r="F466" s="18" t="n">
        <f aca="false">SUMIFS(Goods_Receipt_Notes!$D$2:$D$791,Goods_Receipt_Notes!$B$2:$B$791,A466)</f>
        <v>820.42</v>
      </c>
      <c r="G466" s="18" t="n">
        <f aca="false">SUMIFS(Vendor_Invoices_AP!$E$2:$E$882,Vendor_Invoices_AP!$B$2:$B$882,A466)</f>
        <v>820.42</v>
      </c>
      <c r="H466" s="16" t="str">
        <f aca="false">IF(F466=0,"Not Received","Received")</f>
        <v>Received</v>
      </c>
      <c r="I466" s="16" t="str">
        <f aca="false">IF(G466=0,"Not Invoiced","Invoiced")</f>
        <v>Invoiced</v>
      </c>
      <c r="J466" s="18" t="n">
        <f aca="false">E466-F466</f>
        <v>0</v>
      </c>
      <c r="K466" s="18" t="n">
        <f aca="false">E466-G466</f>
        <v>0</v>
      </c>
      <c r="L466" s="16" t="str">
        <f aca="false">IF(OR(AND(I466="Invoiced",H466="Not Received"),AND(F466&gt;0,ABS(J466)&gt;Assumptions!$B$6),AND(G466&gt;0,ABS(K466)&gt;Assumptions!$B$6)),"EXCEPTION","OK")</f>
        <v>OK</v>
      </c>
    </row>
    <row r="467" customFormat="false" ht="15" hidden="false" customHeight="false" outlineLevel="0" collapsed="false">
      <c r="A467" s="16" t="str">
        <f aca="false">Purchase_Orders!A464</f>
        <v>PO10463</v>
      </c>
      <c r="B467" s="16" t="str">
        <f aca="false">Purchase_Orders!B464</f>
        <v>V1028</v>
      </c>
      <c r="C467" s="16" t="str">
        <f aca="false">IFERROR(INDEX(Vendor_Master!$B$2:$B$41,MATCH(B467,Vendor_Master!$A$2:$A$41,0)),"Unknown Vendor")</f>
        <v>Potter, Mack and Peterson</v>
      </c>
      <c r="D467" s="17" t="n">
        <f aca="false">Purchase_Orders!C464</f>
        <v>45977</v>
      </c>
      <c r="E467" s="18" t="n">
        <f aca="false">Purchase_Orders!D464</f>
        <v>1135.98</v>
      </c>
      <c r="F467" s="18" t="n">
        <f aca="false">SUMIFS(Goods_Receipt_Notes!$D$2:$D$791,Goods_Receipt_Notes!$B$2:$B$791,A467)</f>
        <v>1135.98</v>
      </c>
      <c r="G467" s="18" t="n">
        <f aca="false">SUMIFS(Vendor_Invoices_AP!$E$2:$E$882,Vendor_Invoices_AP!$B$2:$B$882,A467)</f>
        <v>2271.96</v>
      </c>
      <c r="H467" s="16" t="str">
        <f aca="false">IF(F467=0,"Not Received","Received")</f>
        <v>Received</v>
      </c>
      <c r="I467" s="16" t="str">
        <f aca="false">IF(G467=0,"Not Invoiced","Invoiced")</f>
        <v>Invoiced</v>
      </c>
      <c r="J467" s="18" t="n">
        <f aca="false">E467-F467</f>
        <v>0</v>
      </c>
      <c r="K467" s="18" t="n">
        <f aca="false">E467-G467</f>
        <v>-1135.98</v>
      </c>
      <c r="L467" s="16" t="str">
        <f aca="false">IF(OR(AND(I467="Invoiced",H467="Not Received"),AND(F467&gt;0,ABS(J467)&gt;Assumptions!$B$6),AND(G467&gt;0,ABS(K467)&gt;Assumptions!$B$6)),"EXCEPTION","OK")</f>
        <v>EXCEPTION</v>
      </c>
    </row>
    <row r="468" customFormat="false" ht="15" hidden="false" customHeight="false" outlineLevel="0" collapsed="false">
      <c r="A468" s="16" t="str">
        <f aca="false">Purchase_Orders!A465</f>
        <v>PO10464</v>
      </c>
      <c r="B468" s="16" t="str">
        <f aca="false">Purchase_Orders!B465</f>
        <v>V1007</v>
      </c>
      <c r="C468" s="16" t="str">
        <f aca="false">IFERROR(INDEX(Vendor_Master!$B$2:$B$41,MATCH(B468,Vendor_Master!$A$2:$A$41,0)),"Unknown Vendor")</f>
        <v>Ramirez-Lewis</v>
      </c>
      <c r="D468" s="17" t="n">
        <f aca="false">Purchase_Orders!C465</f>
        <v>46202</v>
      </c>
      <c r="E468" s="18" t="n">
        <f aca="false">Purchase_Orders!D465</f>
        <v>5599.82</v>
      </c>
      <c r="F468" s="18" t="n">
        <f aca="false">SUMIFS(Goods_Receipt_Notes!$D$2:$D$791,Goods_Receipt_Notes!$B$2:$B$791,A468)</f>
        <v>5599.82</v>
      </c>
      <c r="G468" s="18" t="n">
        <f aca="false">SUMIFS(Vendor_Invoices_AP!$E$2:$E$882,Vendor_Invoices_AP!$B$2:$B$882,A468)</f>
        <v>5599.82</v>
      </c>
      <c r="H468" s="16" t="str">
        <f aca="false">IF(F468=0,"Not Received","Received")</f>
        <v>Received</v>
      </c>
      <c r="I468" s="16" t="str">
        <f aca="false">IF(G468=0,"Not Invoiced","Invoiced")</f>
        <v>Invoiced</v>
      </c>
      <c r="J468" s="18" t="n">
        <f aca="false">E468-F468</f>
        <v>0</v>
      </c>
      <c r="K468" s="18" t="n">
        <f aca="false">E468-G468</f>
        <v>0</v>
      </c>
      <c r="L468" s="16" t="str">
        <f aca="false">IF(OR(AND(I468="Invoiced",H468="Not Received"),AND(F468&gt;0,ABS(J468)&gt;Assumptions!$B$6),AND(G468&gt;0,ABS(K468)&gt;Assumptions!$B$6)),"EXCEPTION","OK")</f>
        <v>OK</v>
      </c>
    </row>
    <row r="469" customFormat="false" ht="15" hidden="false" customHeight="false" outlineLevel="0" collapsed="false">
      <c r="A469" s="16" t="str">
        <f aca="false">Purchase_Orders!A466</f>
        <v>PO10465</v>
      </c>
      <c r="B469" s="16" t="str">
        <f aca="false">Purchase_Orders!B466</f>
        <v>V1001</v>
      </c>
      <c r="C469" s="16" t="str">
        <f aca="false">IFERROR(INDEX(Vendor_Master!$B$2:$B$41,MATCH(B469,Vendor_Master!$A$2:$A$41,0)),"Unknown Vendor")</f>
        <v>Figueroa and Sons</v>
      </c>
      <c r="D469" s="17" t="n">
        <f aca="false">Purchase_Orders!C466</f>
        <v>45924</v>
      </c>
      <c r="E469" s="18" t="n">
        <f aca="false">Purchase_Orders!D466</f>
        <v>15313.53</v>
      </c>
      <c r="F469" s="18" t="n">
        <f aca="false">SUMIFS(Goods_Receipt_Notes!$D$2:$D$791,Goods_Receipt_Notes!$B$2:$B$791,A469)</f>
        <v>15313.53</v>
      </c>
      <c r="G469" s="18" t="n">
        <f aca="false">SUMIFS(Vendor_Invoices_AP!$E$2:$E$882,Vendor_Invoices_AP!$B$2:$B$882,A469)</f>
        <v>15313.53</v>
      </c>
      <c r="H469" s="16" t="str">
        <f aca="false">IF(F469=0,"Not Received","Received")</f>
        <v>Received</v>
      </c>
      <c r="I469" s="16" t="str">
        <f aca="false">IF(G469=0,"Not Invoiced","Invoiced")</f>
        <v>Invoiced</v>
      </c>
      <c r="J469" s="18" t="n">
        <f aca="false">E469-F469</f>
        <v>0</v>
      </c>
      <c r="K469" s="18" t="n">
        <f aca="false">E469-G469</f>
        <v>0</v>
      </c>
      <c r="L469" s="16" t="str">
        <f aca="false">IF(OR(AND(I469="Invoiced",H469="Not Received"),AND(F469&gt;0,ABS(J469)&gt;Assumptions!$B$6),AND(G469&gt;0,ABS(K469)&gt;Assumptions!$B$6)),"EXCEPTION","OK")</f>
        <v>OK</v>
      </c>
    </row>
    <row r="470" customFormat="false" ht="15" hidden="false" customHeight="false" outlineLevel="0" collapsed="false">
      <c r="A470" s="16" t="str">
        <f aca="false">Purchase_Orders!A467</f>
        <v>PO10466</v>
      </c>
      <c r="B470" s="16" t="str">
        <f aca="false">Purchase_Orders!B467</f>
        <v>V1007</v>
      </c>
      <c r="C470" s="16" t="str">
        <f aca="false">IFERROR(INDEX(Vendor_Master!$B$2:$B$41,MATCH(B470,Vendor_Master!$A$2:$A$41,0)),"Unknown Vendor")</f>
        <v>Ramirez-Lewis</v>
      </c>
      <c r="D470" s="17" t="n">
        <f aca="false">Purchase_Orders!C467</f>
        <v>45738</v>
      </c>
      <c r="E470" s="18" t="n">
        <f aca="false">Purchase_Orders!D467</f>
        <v>653.1</v>
      </c>
      <c r="F470" s="18" t="n">
        <f aca="false">SUMIFS(Goods_Receipt_Notes!$D$2:$D$791,Goods_Receipt_Notes!$B$2:$B$791,A470)</f>
        <v>653.1</v>
      </c>
      <c r="G470" s="18" t="n">
        <f aca="false">SUMIFS(Vendor_Invoices_AP!$E$2:$E$882,Vendor_Invoices_AP!$B$2:$B$882,A470)</f>
        <v>653.1</v>
      </c>
      <c r="H470" s="16" t="str">
        <f aca="false">IF(F470=0,"Not Received","Received")</f>
        <v>Received</v>
      </c>
      <c r="I470" s="16" t="str">
        <f aca="false">IF(G470=0,"Not Invoiced","Invoiced")</f>
        <v>Invoiced</v>
      </c>
      <c r="J470" s="18" t="n">
        <f aca="false">E470-F470</f>
        <v>0</v>
      </c>
      <c r="K470" s="18" t="n">
        <f aca="false">E470-G470</f>
        <v>0</v>
      </c>
      <c r="L470" s="16" t="str">
        <f aca="false">IF(OR(AND(I470="Invoiced",H470="Not Received"),AND(F470&gt;0,ABS(J470)&gt;Assumptions!$B$6),AND(G470&gt;0,ABS(K470)&gt;Assumptions!$B$6)),"EXCEPTION","OK")</f>
        <v>OK</v>
      </c>
    </row>
    <row r="471" customFormat="false" ht="15" hidden="false" customHeight="false" outlineLevel="0" collapsed="false">
      <c r="A471" s="16" t="str">
        <f aca="false">Purchase_Orders!A468</f>
        <v>PO10467</v>
      </c>
      <c r="B471" s="16" t="str">
        <f aca="false">Purchase_Orders!B468</f>
        <v>V1008</v>
      </c>
      <c r="C471" s="16" t="str">
        <f aca="false">IFERROR(INDEX(Vendor_Master!$B$2:$B$41,MATCH(B471,Vendor_Master!$A$2:$A$41,0)),"Unknown Vendor")</f>
        <v>Davis Inc</v>
      </c>
      <c r="D471" s="17" t="n">
        <f aca="false">Purchase_Orders!C468</f>
        <v>45951</v>
      </c>
      <c r="E471" s="18" t="n">
        <f aca="false">Purchase_Orders!D468</f>
        <v>2324.66</v>
      </c>
      <c r="F471" s="18" t="n">
        <f aca="false">SUMIFS(Goods_Receipt_Notes!$D$2:$D$791,Goods_Receipt_Notes!$B$2:$B$791,A471)</f>
        <v>2324.66</v>
      </c>
      <c r="G471" s="18" t="n">
        <f aca="false">SUMIFS(Vendor_Invoices_AP!$E$2:$E$882,Vendor_Invoices_AP!$B$2:$B$882,A471)</f>
        <v>2324.66</v>
      </c>
      <c r="H471" s="16" t="str">
        <f aca="false">IF(F471=0,"Not Received","Received")</f>
        <v>Received</v>
      </c>
      <c r="I471" s="16" t="str">
        <f aca="false">IF(G471=0,"Not Invoiced","Invoiced")</f>
        <v>Invoiced</v>
      </c>
      <c r="J471" s="18" t="n">
        <f aca="false">E471-F471</f>
        <v>0</v>
      </c>
      <c r="K471" s="18" t="n">
        <f aca="false">E471-G471</f>
        <v>0</v>
      </c>
      <c r="L471" s="16" t="str">
        <f aca="false">IF(OR(AND(I471="Invoiced",H471="Not Received"),AND(F471&gt;0,ABS(J471)&gt;Assumptions!$B$6),AND(G471&gt;0,ABS(K471)&gt;Assumptions!$B$6)),"EXCEPTION","OK")</f>
        <v>OK</v>
      </c>
    </row>
    <row r="472" customFormat="false" ht="15" hidden="false" customHeight="false" outlineLevel="0" collapsed="false">
      <c r="A472" s="16" t="str">
        <f aca="false">Purchase_Orders!A469</f>
        <v>PO10468</v>
      </c>
      <c r="B472" s="16" t="str">
        <f aca="false">Purchase_Orders!B469</f>
        <v>V1031</v>
      </c>
      <c r="C472" s="16" t="str">
        <f aca="false">IFERROR(INDEX(Vendor_Master!$B$2:$B$41,MATCH(B472,Vendor_Master!$A$2:$A$41,0)),"Unknown Vendor")</f>
        <v>Harrell LLC</v>
      </c>
      <c r="D472" s="17" t="n">
        <f aca="false">Purchase_Orders!C469</f>
        <v>45846</v>
      </c>
      <c r="E472" s="18" t="n">
        <f aca="false">Purchase_Orders!D469</f>
        <v>1644.55</v>
      </c>
      <c r="F472" s="18" t="n">
        <f aca="false">SUMIFS(Goods_Receipt_Notes!$D$2:$D$791,Goods_Receipt_Notes!$B$2:$B$791,A472)</f>
        <v>1644.55</v>
      </c>
      <c r="G472" s="18" t="n">
        <f aca="false">SUMIFS(Vendor_Invoices_AP!$E$2:$E$882,Vendor_Invoices_AP!$B$2:$B$882,A472)</f>
        <v>1644.55</v>
      </c>
      <c r="H472" s="16" t="str">
        <f aca="false">IF(F472=0,"Not Received","Received")</f>
        <v>Received</v>
      </c>
      <c r="I472" s="16" t="str">
        <f aca="false">IF(G472=0,"Not Invoiced","Invoiced")</f>
        <v>Invoiced</v>
      </c>
      <c r="J472" s="18" t="n">
        <f aca="false">E472-F472</f>
        <v>0</v>
      </c>
      <c r="K472" s="18" t="n">
        <f aca="false">E472-G472</f>
        <v>0</v>
      </c>
      <c r="L472" s="16" t="str">
        <f aca="false">IF(OR(AND(I472="Invoiced",H472="Not Received"),AND(F472&gt;0,ABS(J472)&gt;Assumptions!$B$6),AND(G472&gt;0,ABS(K472)&gt;Assumptions!$B$6)),"EXCEPTION","OK")</f>
        <v>OK</v>
      </c>
    </row>
    <row r="473" customFormat="false" ht="15" hidden="false" customHeight="false" outlineLevel="0" collapsed="false">
      <c r="A473" s="16" t="str">
        <f aca="false">Purchase_Orders!A470</f>
        <v>PO10469</v>
      </c>
      <c r="B473" s="16" t="str">
        <f aca="false">Purchase_Orders!B470</f>
        <v>V1003</v>
      </c>
      <c r="C473" s="16" t="str">
        <f aca="false">IFERROR(INDEX(Vendor_Master!$B$2:$B$41,MATCH(B473,Vendor_Master!$A$2:$A$41,0)),"Unknown Vendor")</f>
        <v>Johnson and Sons</v>
      </c>
      <c r="D473" s="17" t="n">
        <f aca="false">Purchase_Orders!C470</f>
        <v>45958</v>
      </c>
      <c r="E473" s="18" t="n">
        <f aca="false">Purchase_Orders!D470</f>
        <v>236.77</v>
      </c>
      <c r="F473" s="18" t="n">
        <f aca="false">SUMIFS(Goods_Receipt_Notes!$D$2:$D$791,Goods_Receipt_Notes!$B$2:$B$791,A473)</f>
        <v>0</v>
      </c>
      <c r="G473" s="18" t="n">
        <f aca="false">SUMIFS(Vendor_Invoices_AP!$E$2:$E$882,Vendor_Invoices_AP!$B$2:$B$882,A473)</f>
        <v>236.77</v>
      </c>
      <c r="H473" s="16" t="str">
        <f aca="false">IF(F473=0,"Not Received","Received")</f>
        <v>Not Received</v>
      </c>
      <c r="I473" s="16" t="str">
        <f aca="false">IF(G473=0,"Not Invoiced","Invoiced")</f>
        <v>Invoiced</v>
      </c>
      <c r="J473" s="18" t="n">
        <f aca="false">E473-F473</f>
        <v>236.77</v>
      </c>
      <c r="K473" s="18" t="n">
        <f aca="false">E473-G473</f>
        <v>0</v>
      </c>
      <c r="L473" s="16" t="str">
        <f aca="false">IF(OR(AND(I473="Invoiced",H473="Not Received"),AND(F473&gt;0,ABS(J473)&gt;Assumptions!$B$6),AND(G473&gt;0,ABS(K473)&gt;Assumptions!$B$6)),"EXCEPTION","OK")</f>
        <v>EXCEPTION</v>
      </c>
    </row>
    <row r="474" customFormat="false" ht="15" hidden="false" customHeight="false" outlineLevel="0" collapsed="false">
      <c r="A474" s="16" t="str">
        <f aca="false">Purchase_Orders!A471</f>
        <v>PO10470</v>
      </c>
      <c r="B474" s="16" t="str">
        <f aca="false">Purchase_Orders!B471</f>
        <v>V1025</v>
      </c>
      <c r="C474" s="16" t="str">
        <f aca="false">IFERROR(INDEX(Vendor_Master!$B$2:$B$41,MATCH(B474,Vendor_Master!$A$2:$A$41,0)),"Unknown Vendor")</f>
        <v>Conner Group</v>
      </c>
      <c r="D474" s="17" t="n">
        <f aca="false">Purchase_Orders!C471</f>
        <v>45954</v>
      </c>
      <c r="E474" s="18" t="n">
        <f aca="false">Purchase_Orders!D471</f>
        <v>1018.47</v>
      </c>
      <c r="F474" s="18" t="n">
        <f aca="false">SUMIFS(Goods_Receipt_Notes!$D$2:$D$791,Goods_Receipt_Notes!$B$2:$B$791,A474)</f>
        <v>1018.47</v>
      </c>
      <c r="G474" s="18" t="n">
        <f aca="false">SUMIFS(Vendor_Invoices_AP!$E$2:$E$882,Vendor_Invoices_AP!$B$2:$B$882,A474)</f>
        <v>1018.47</v>
      </c>
      <c r="H474" s="16" t="str">
        <f aca="false">IF(F474=0,"Not Received","Received")</f>
        <v>Received</v>
      </c>
      <c r="I474" s="16" t="str">
        <f aca="false">IF(G474=0,"Not Invoiced","Invoiced")</f>
        <v>Invoiced</v>
      </c>
      <c r="J474" s="18" t="n">
        <f aca="false">E474-F474</f>
        <v>0</v>
      </c>
      <c r="K474" s="18" t="n">
        <f aca="false">E474-G474</f>
        <v>0</v>
      </c>
      <c r="L474" s="16" t="str">
        <f aca="false">IF(OR(AND(I474="Invoiced",H474="Not Received"),AND(F474&gt;0,ABS(J474)&gt;Assumptions!$B$6),AND(G474&gt;0,ABS(K474)&gt;Assumptions!$B$6)),"EXCEPTION","OK")</f>
        <v>OK</v>
      </c>
    </row>
    <row r="475" customFormat="false" ht="15" hidden="false" customHeight="false" outlineLevel="0" collapsed="false">
      <c r="A475" s="16" t="str">
        <f aca="false">Purchase_Orders!A472</f>
        <v>PO10471</v>
      </c>
      <c r="B475" s="16" t="str">
        <f aca="false">Purchase_Orders!B472</f>
        <v>V1024</v>
      </c>
      <c r="C475" s="16" t="str">
        <f aca="false">IFERROR(INDEX(Vendor_Master!$B$2:$B$41,MATCH(B475,Vendor_Master!$A$2:$A$41,0)),"Unknown Vendor")</f>
        <v>Campos Inc</v>
      </c>
      <c r="D475" s="17" t="n">
        <f aca="false">Purchase_Orders!C472</f>
        <v>45906</v>
      </c>
      <c r="E475" s="18" t="n">
        <f aca="false">Purchase_Orders!D472</f>
        <v>3142.38</v>
      </c>
      <c r="F475" s="18" t="n">
        <f aca="false">SUMIFS(Goods_Receipt_Notes!$D$2:$D$791,Goods_Receipt_Notes!$B$2:$B$791,A475)</f>
        <v>3142.38</v>
      </c>
      <c r="G475" s="18" t="n">
        <f aca="false">SUMIFS(Vendor_Invoices_AP!$E$2:$E$882,Vendor_Invoices_AP!$B$2:$B$882,A475)</f>
        <v>3142.38</v>
      </c>
      <c r="H475" s="16" t="str">
        <f aca="false">IF(F475=0,"Not Received","Received")</f>
        <v>Received</v>
      </c>
      <c r="I475" s="16" t="str">
        <f aca="false">IF(G475=0,"Not Invoiced","Invoiced")</f>
        <v>Invoiced</v>
      </c>
      <c r="J475" s="18" t="n">
        <f aca="false">E475-F475</f>
        <v>0</v>
      </c>
      <c r="K475" s="18" t="n">
        <f aca="false">E475-G475</f>
        <v>0</v>
      </c>
      <c r="L475" s="16" t="str">
        <f aca="false">IF(OR(AND(I475="Invoiced",H475="Not Received"),AND(F475&gt;0,ABS(J475)&gt;Assumptions!$B$6),AND(G475&gt;0,ABS(K475)&gt;Assumptions!$B$6)),"EXCEPTION","OK")</f>
        <v>OK</v>
      </c>
    </row>
    <row r="476" customFormat="false" ht="15" hidden="false" customHeight="false" outlineLevel="0" collapsed="false">
      <c r="A476" s="16" t="str">
        <f aca="false">Purchase_Orders!A473</f>
        <v>PO10472</v>
      </c>
      <c r="B476" s="16" t="str">
        <f aca="false">Purchase_Orders!B473</f>
        <v>V1034</v>
      </c>
      <c r="C476" s="16" t="str">
        <f aca="false">IFERROR(INDEX(Vendor_Master!$B$2:$B$41,MATCH(B476,Vendor_Master!$A$2:$A$41,0)),"Unknown Vendor")</f>
        <v>Koch-Decker</v>
      </c>
      <c r="D476" s="17" t="n">
        <f aca="false">Purchase_Orders!C473</f>
        <v>45833</v>
      </c>
      <c r="E476" s="18" t="n">
        <f aca="false">Purchase_Orders!D473</f>
        <v>2788.31</v>
      </c>
      <c r="F476" s="18" t="n">
        <f aca="false">SUMIFS(Goods_Receipt_Notes!$D$2:$D$791,Goods_Receipt_Notes!$B$2:$B$791,A476)</f>
        <v>2788.31</v>
      </c>
      <c r="G476" s="18" t="n">
        <f aca="false">SUMIFS(Vendor_Invoices_AP!$E$2:$E$882,Vendor_Invoices_AP!$B$2:$B$882,A476)</f>
        <v>2788.31</v>
      </c>
      <c r="H476" s="16" t="str">
        <f aca="false">IF(F476=0,"Not Received","Received")</f>
        <v>Received</v>
      </c>
      <c r="I476" s="16" t="str">
        <f aca="false">IF(G476=0,"Not Invoiced","Invoiced")</f>
        <v>Invoiced</v>
      </c>
      <c r="J476" s="18" t="n">
        <f aca="false">E476-F476</f>
        <v>0</v>
      </c>
      <c r="K476" s="18" t="n">
        <f aca="false">E476-G476</f>
        <v>0</v>
      </c>
      <c r="L476" s="16" t="str">
        <f aca="false">IF(OR(AND(I476="Invoiced",H476="Not Received"),AND(F476&gt;0,ABS(J476)&gt;Assumptions!$B$6),AND(G476&gt;0,ABS(K476)&gt;Assumptions!$B$6)),"EXCEPTION","OK")</f>
        <v>OK</v>
      </c>
    </row>
    <row r="477" customFormat="false" ht="15" hidden="false" customHeight="false" outlineLevel="0" collapsed="false">
      <c r="A477" s="16" t="str">
        <f aca="false">Purchase_Orders!A474</f>
        <v>PO10473</v>
      </c>
      <c r="B477" s="16" t="str">
        <f aca="false">Purchase_Orders!B474</f>
        <v>V1022</v>
      </c>
      <c r="C477" s="16" t="str">
        <f aca="false">IFERROR(INDEX(Vendor_Master!$B$2:$B$41,MATCH(B477,Vendor_Master!$A$2:$A$41,0)),"Unknown Vendor")</f>
        <v>Burgess-Patterson</v>
      </c>
      <c r="D477" s="17" t="n">
        <f aca="false">Purchase_Orders!C474</f>
        <v>45760</v>
      </c>
      <c r="E477" s="18" t="n">
        <f aca="false">Purchase_Orders!D474</f>
        <v>12520.7</v>
      </c>
      <c r="F477" s="18" t="n">
        <f aca="false">SUMIFS(Goods_Receipt_Notes!$D$2:$D$791,Goods_Receipt_Notes!$B$2:$B$791,A477)</f>
        <v>12520.7</v>
      </c>
      <c r="G477" s="18" t="n">
        <f aca="false">SUMIFS(Vendor_Invoices_AP!$E$2:$E$882,Vendor_Invoices_AP!$B$2:$B$882,A477)</f>
        <v>12520.7</v>
      </c>
      <c r="H477" s="16" t="str">
        <f aca="false">IF(F477=0,"Not Received","Received")</f>
        <v>Received</v>
      </c>
      <c r="I477" s="16" t="str">
        <f aca="false">IF(G477=0,"Not Invoiced","Invoiced")</f>
        <v>Invoiced</v>
      </c>
      <c r="J477" s="18" t="n">
        <f aca="false">E477-F477</f>
        <v>0</v>
      </c>
      <c r="K477" s="18" t="n">
        <f aca="false">E477-G477</f>
        <v>0</v>
      </c>
      <c r="L477" s="16" t="str">
        <f aca="false">IF(OR(AND(I477="Invoiced",H477="Not Received"),AND(F477&gt;0,ABS(J477)&gt;Assumptions!$B$6),AND(G477&gt;0,ABS(K477)&gt;Assumptions!$B$6)),"EXCEPTION","OK")</f>
        <v>OK</v>
      </c>
    </row>
    <row r="478" customFormat="false" ht="15" hidden="false" customHeight="false" outlineLevel="0" collapsed="false">
      <c r="A478" s="16" t="str">
        <f aca="false">Purchase_Orders!A475</f>
        <v>PO10474</v>
      </c>
      <c r="B478" s="16" t="str">
        <f aca="false">Purchase_Orders!B475</f>
        <v>V1019</v>
      </c>
      <c r="C478" s="16" t="str">
        <f aca="false">IFERROR(INDEX(Vendor_Master!$B$2:$B$41,MATCH(B478,Vendor_Master!$A$2:$A$41,0)),"Unknown Vendor")</f>
        <v>Clark PLC</v>
      </c>
      <c r="D478" s="17" t="n">
        <f aca="false">Purchase_Orders!C475</f>
        <v>46038</v>
      </c>
      <c r="E478" s="18" t="n">
        <f aca="false">Purchase_Orders!D475</f>
        <v>1099.38</v>
      </c>
      <c r="F478" s="18" t="n">
        <f aca="false">SUMIFS(Goods_Receipt_Notes!$D$2:$D$791,Goods_Receipt_Notes!$B$2:$B$791,A478)</f>
        <v>1099.38</v>
      </c>
      <c r="G478" s="18" t="n">
        <f aca="false">SUMIFS(Vendor_Invoices_AP!$E$2:$E$882,Vendor_Invoices_AP!$B$2:$B$882,A478)</f>
        <v>1099.38</v>
      </c>
      <c r="H478" s="16" t="str">
        <f aca="false">IF(F478=0,"Not Received","Received")</f>
        <v>Received</v>
      </c>
      <c r="I478" s="16" t="str">
        <f aca="false">IF(G478=0,"Not Invoiced","Invoiced")</f>
        <v>Invoiced</v>
      </c>
      <c r="J478" s="18" t="n">
        <f aca="false">E478-F478</f>
        <v>0</v>
      </c>
      <c r="K478" s="18" t="n">
        <f aca="false">E478-G478</f>
        <v>0</v>
      </c>
      <c r="L478" s="16" t="str">
        <f aca="false">IF(OR(AND(I478="Invoiced",H478="Not Received"),AND(F478&gt;0,ABS(J478)&gt;Assumptions!$B$6),AND(G478&gt;0,ABS(K478)&gt;Assumptions!$B$6)),"EXCEPTION","OK")</f>
        <v>OK</v>
      </c>
    </row>
    <row r="479" customFormat="false" ht="15" hidden="false" customHeight="false" outlineLevel="0" collapsed="false">
      <c r="A479" s="16" t="str">
        <f aca="false">Purchase_Orders!A476</f>
        <v>PO10475</v>
      </c>
      <c r="B479" s="16" t="str">
        <f aca="false">Purchase_Orders!B476</f>
        <v>V1023</v>
      </c>
      <c r="C479" s="16" t="str">
        <f aca="false">IFERROR(INDEX(Vendor_Master!$B$2:$B$41,MATCH(B479,Vendor_Master!$A$2:$A$41,0)),"Unknown Vendor")</f>
        <v>Robinson-Bright</v>
      </c>
      <c r="D479" s="17" t="n">
        <f aca="false">Purchase_Orders!C476</f>
        <v>45969</v>
      </c>
      <c r="E479" s="18" t="n">
        <f aca="false">Purchase_Orders!D476</f>
        <v>3207.79</v>
      </c>
      <c r="F479" s="18" t="n">
        <f aca="false">SUMIFS(Goods_Receipt_Notes!$D$2:$D$791,Goods_Receipt_Notes!$B$2:$B$791,A479)</f>
        <v>3207.79</v>
      </c>
      <c r="G479" s="18" t="n">
        <f aca="false">SUMIFS(Vendor_Invoices_AP!$E$2:$E$882,Vendor_Invoices_AP!$B$2:$B$882,A479)</f>
        <v>3207.79</v>
      </c>
      <c r="H479" s="16" t="str">
        <f aca="false">IF(F479=0,"Not Received","Received")</f>
        <v>Received</v>
      </c>
      <c r="I479" s="16" t="str">
        <f aca="false">IF(G479=0,"Not Invoiced","Invoiced")</f>
        <v>Invoiced</v>
      </c>
      <c r="J479" s="18" t="n">
        <f aca="false">E479-F479</f>
        <v>0</v>
      </c>
      <c r="K479" s="18" t="n">
        <f aca="false">E479-G479</f>
        <v>0</v>
      </c>
      <c r="L479" s="16" t="str">
        <f aca="false">IF(OR(AND(I479="Invoiced",H479="Not Received"),AND(F479&gt;0,ABS(J479)&gt;Assumptions!$B$6),AND(G479&gt;0,ABS(K479)&gt;Assumptions!$B$6)),"EXCEPTION","OK")</f>
        <v>OK</v>
      </c>
    </row>
    <row r="480" customFormat="false" ht="15" hidden="false" customHeight="false" outlineLevel="0" collapsed="false">
      <c r="A480" s="16" t="str">
        <f aca="false">Purchase_Orders!A477</f>
        <v>PO10476</v>
      </c>
      <c r="B480" s="16" t="str">
        <f aca="false">Purchase_Orders!B477</f>
        <v>V1001</v>
      </c>
      <c r="C480" s="16" t="str">
        <f aca="false">IFERROR(INDEX(Vendor_Master!$B$2:$B$41,MATCH(B480,Vendor_Master!$A$2:$A$41,0)),"Unknown Vendor")</f>
        <v>Figueroa and Sons</v>
      </c>
      <c r="D480" s="17" t="n">
        <f aca="false">Purchase_Orders!C477</f>
        <v>45785</v>
      </c>
      <c r="E480" s="18" t="n">
        <f aca="false">Purchase_Orders!D477</f>
        <v>182.59</v>
      </c>
      <c r="F480" s="18" t="n">
        <f aca="false">SUMIFS(Goods_Receipt_Notes!$D$2:$D$791,Goods_Receipt_Notes!$B$2:$B$791,A480)</f>
        <v>182.59</v>
      </c>
      <c r="G480" s="18" t="n">
        <f aca="false">SUMIFS(Vendor_Invoices_AP!$E$2:$E$882,Vendor_Invoices_AP!$B$2:$B$882,A480)</f>
        <v>182.59</v>
      </c>
      <c r="H480" s="16" t="str">
        <f aca="false">IF(F480=0,"Not Received","Received")</f>
        <v>Received</v>
      </c>
      <c r="I480" s="16" t="str">
        <f aca="false">IF(G480=0,"Not Invoiced","Invoiced")</f>
        <v>Invoiced</v>
      </c>
      <c r="J480" s="18" t="n">
        <f aca="false">E480-F480</f>
        <v>0</v>
      </c>
      <c r="K480" s="18" t="n">
        <f aca="false">E480-G480</f>
        <v>0</v>
      </c>
      <c r="L480" s="16" t="str">
        <f aca="false">IF(OR(AND(I480="Invoiced",H480="Not Received"),AND(F480&gt;0,ABS(J480)&gt;Assumptions!$B$6),AND(G480&gt;0,ABS(K480)&gt;Assumptions!$B$6)),"EXCEPTION","OK")</f>
        <v>OK</v>
      </c>
    </row>
    <row r="481" customFormat="false" ht="15" hidden="false" customHeight="false" outlineLevel="0" collapsed="false">
      <c r="A481" s="16" t="str">
        <f aca="false">Purchase_Orders!A478</f>
        <v>PO10477</v>
      </c>
      <c r="B481" s="16" t="str">
        <f aca="false">Purchase_Orders!B478</f>
        <v>V1040</v>
      </c>
      <c r="C481" s="16" t="str">
        <f aca="false">IFERROR(INDEX(Vendor_Master!$B$2:$B$41,MATCH(B481,Vendor_Master!$A$2:$A$41,0)),"Unknown Vendor")</f>
        <v>Santos, Kim and Holmes</v>
      </c>
      <c r="D481" s="17" t="n">
        <f aca="false">Purchase_Orders!C478</f>
        <v>46080</v>
      </c>
      <c r="E481" s="18" t="n">
        <f aca="false">Purchase_Orders!D478</f>
        <v>1223.73</v>
      </c>
      <c r="F481" s="18" t="n">
        <f aca="false">SUMIFS(Goods_Receipt_Notes!$D$2:$D$791,Goods_Receipt_Notes!$B$2:$B$791,A481)</f>
        <v>1223.73</v>
      </c>
      <c r="G481" s="18" t="n">
        <f aca="false">SUMIFS(Vendor_Invoices_AP!$E$2:$E$882,Vendor_Invoices_AP!$B$2:$B$882,A481)</f>
        <v>1223.73</v>
      </c>
      <c r="H481" s="16" t="str">
        <f aca="false">IF(F481=0,"Not Received","Received")</f>
        <v>Received</v>
      </c>
      <c r="I481" s="16" t="str">
        <f aca="false">IF(G481=0,"Not Invoiced","Invoiced")</f>
        <v>Invoiced</v>
      </c>
      <c r="J481" s="18" t="n">
        <f aca="false">E481-F481</f>
        <v>0</v>
      </c>
      <c r="K481" s="18" t="n">
        <f aca="false">E481-G481</f>
        <v>0</v>
      </c>
      <c r="L481" s="16" t="str">
        <f aca="false">IF(OR(AND(I481="Invoiced",H481="Not Received"),AND(F481&gt;0,ABS(J481)&gt;Assumptions!$B$6),AND(G481&gt;0,ABS(K481)&gt;Assumptions!$B$6)),"EXCEPTION","OK")</f>
        <v>OK</v>
      </c>
    </row>
    <row r="482" customFormat="false" ht="15" hidden="false" customHeight="false" outlineLevel="0" collapsed="false">
      <c r="A482" s="16" t="str">
        <f aca="false">Purchase_Orders!A479</f>
        <v>PO10478</v>
      </c>
      <c r="B482" s="16" t="str">
        <f aca="false">Purchase_Orders!B479</f>
        <v>V1015</v>
      </c>
      <c r="C482" s="16" t="str">
        <f aca="false">IFERROR(INDEX(Vendor_Master!$B$2:$B$41,MATCH(B482,Vendor_Master!$A$2:$A$41,0)),"Unknown Vendor")</f>
        <v>Zuniga, Wong and Lynch</v>
      </c>
      <c r="D482" s="17" t="n">
        <f aca="false">Purchase_Orders!C479</f>
        <v>45681</v>
      </c>
      <c r="E482" s="18" t="n">
        <f aca="false">Purchase_Orders!D479</f>
        <v>585.34</v>
      </c>
      <c r="F482" s="18" t="n">
        <f aca="false">SUMIFS(Goods_Receipt_Notes!$D$2:$D$791,Goods_Receipt_Notes!$B$2:$B$791,A482)</f>
        <v>585.34</v>
      </c>
      <c r="G482" s="18" t="n">
        <f aca="false">SUMIFS(Vendor_Invoices_AP!$E$2:$E$882,Vendor_Invoices_AP!$B$2:$B$882,A482)</f>
        <v>585.34</v>
      </c>
      <c r="H482" s="16" t="str">
        <f aca="false">IF(F482=0,"Not Received","Received")</f>
        <v>Received</v>
      </c>
      <c r="I482" s="16" t="str">
        <f aca="false">IF(G482=0,"Not Invoiced","Invoiced")</f>
        <v>Invoiced</v>
      </c>
      <c r="J482" s="18" t="n">
        <f aca="false">E482-F482</f>
        <v>0</v>
      </c>
      <c r="K482" s="18" t="n">
        <f aca="false">E482-G482</f>
        <v>0</v>
      </c>
      <c r="L482" s="16" t="str">
        <f aca="false">IF(OR(AND(I482="Invoiced",H482="Not Received"),AND(F482&gt;0,ABS(J482)&gt;Assumptions!$B$6),AND(G482&gt;0,ABS(K482)&gt;Assumptions!$B$6)),"EXCEPTION","OK")</f>
        <v>OK</v>
      </c>
    </row>
    <row r="483" customFormat="false" ht="15" hidden="false" customHeight="false" outlineLevel="0" collapsed="false">
      <c r="A483" s="16" t="str">
        <f aca="false">Purchase_Orders!A480</f>
        <v>PO10479</v>
      </c>
      <c r="B483" s="16" t="str">
        <f aca="false">Purchase_Orders!B480</f>
        <v>V1039</v>
      </c>
      <c r="C483" s="16" t="str">
        <f aca="false">IFERROR(INDEX(Vendor_Master!$B$2:$B$41,MATCH(B483,Vendor_Master!$A$2:$A$41,0)),"Unknown Vendor")</f>
        <v>Campos, Vaughn and Marquez</v>
      </c>
      <c r="D483" s="17" t="n">
        <f aca="false">Purchase_Orders!C480</f>
        <v>46063</v>
      </c>
      <c r="E483" s="18" t="n">
        <f aca="false">Purchase_Orders!D480</f>
        <v>40497.91</v>
      </c>
      <c r="F483" s="18" t="n">
        <f aca="false">SUMIFS(Goods_Receipt_Notes!$D$2:$D$791,Goods_Receipt_Notes!$B$2:$B$791,A483)</f>
        <v>0</v>
      </c>
      <c r="G483" s="18" t="n">
        <f aca="false">SUMIFS(Vendor_Invoices_AP!$E$2:$E$882,Vendor_Invoices_AP!$B$2:$B$882,A483)</f>
        <v>40497.91</v>
      </c>
      <c r="H483" s="16" t="str">
        <f aca="false">IF(F483=0,"Not Received","Received")</f>
        <v>Not Received</v>
      </c>
      <c r="I483" s="16" t="str">
        <f aca="false">IF(G483=0,"Not Invoiced","Invoiced")</f>
        <v>Invoiced</v>
      </c>
      <c r="J483" s="18" t="n">
        <f aca="false">E483-F483</f>
        <v>40497.91</v>
      </c>
      <c r="K483" s="18" t="n">
        <f aca="false">E483-G483</f>
        <v>0</v>
      </c>
      <c r="L483" s="16" t="str">
        <f aca="false">IF(OR(AND(I483="Invoiced",H483="Not Received"),AND(F483&gt;0,ABS(J483)&gt;Assumptions!$B$6),AND(G483&gt;0,ABS(K483)&gt;Assumptions!$B$6)),"EXCEPTION","OK")</f>
        <v>EXCEPTION</v>
      </c>
    </row>
    <row r="484" customFormat="false" ht="15" hidden="false" customHeight="false" outlineLevel="0" collapsed="false">
      <c r="A484" s="16" t="str">
        <f aca="false">Purchase_Orders!A481</f>
        <v>PO10480</v>
      </c>
      <c r="B484" s="16" t="str">
        <f aca="false">Purchase_Orders!B481</f>
        <v>V1016</v>
      </c>
      <c r="C484" s="16" t="str">
        <f aca="false">IFERROR(INDEX(Vendor_Master!$B$2:$B$41,MATCH(B484,Vendor_Master!$A$2:$A$41,0)),"Unknown Vendor")</f>
        <v>Sanchez, Ford and Nelson</v>
      </c>
      <c r="D484" s="17" t="n">
        <f aca="false">Purchase_Orders!C481</f>
        <v>46042</v>
      </c>
      <c r="E484" s="18" t="n">
        <f aca="false">Purchase_Orders!D481</f>
        <v>8071.8</v>
      </c>
      <c r="F484" s="18" t="n">
        <f aca="false">SUMIFS(Goods_Receipt_Notes!$D$2:$D$791,Goods_Receipt_Notes!$B$2:$B$791,A484)</f>
        <v>8071.8</v>
      </c>
      <c r="G484" s="18" t="n">
        <f aca="false">SUMIFS(Vendor_Invoices_AP!$E$2:$E$882,Vendor_Invoices_AP!$B$2:$B$882,A484)</f>
        <v>8071.8</v>
      </c>
      <c r="H484" s="16" t="str">
        <f aca="false">IF(F484=0,"Not Received","Received")</f>
        <v>Received</v>
      </c>
      <c r="I484" s="16" t="str">
        <f aca="false">IF(G484=0,"Not Invoiced","Invoiced")</f>
        <v>Invoiced</v>
      </c>
      <c r="J484" s="18" t="n">
        <f aca="false">E484-F484</f>
        <v>0</v>
      </c>
      <c r="K484" s="18" t="n">
        <f aca="false">E484-G484</f>
        <v>0</v>
      </c>
      <c r="L484" s="16" t="str">
        <f aca="false">IF(OR(AND(I484="Invoiced",H484="Not Received"),AND(F484&gt;0,ABS(J484)&gt;Assumptions!$B$6),AND(G484&gt;0,ABS(K484)&gt;Assumptions!$B$6)),"EXCEPTION","OK")</f>
        <v>OK</v>
      </c>
    </row>
    <row r="485" customFormat="false" ht="15" hidden="false" customHeight="false" outlineLevel="0" collapsed="false">
      <c r="A485" s="16" t="str">
        <f aca="false">Purchase_Orders!A482</f>
        <v>PO10481</v>
      </c>
      <c r="B485" s="16" t="str">
        <f aca="false">Purchase_Orders!B482</f>
        <v>V1017</v>
      </c>
      <c r="C485" s="16" t="str">
        <f aca="false">IFERROR(INDEX(Vendor_Master!$B$2:$B$41,MATCH(B485,Vendor_Master!$A$2:$A$41,0)),"Unknown Vendor")</f>
        <v>Hawkins, Cohen and Cameron</v>
      </c>
      <c r="D485" s="17" t="n">
        <f aca="false">Purchase_Orders!C482</f>
        <v>46100</v>
      </c>
      <c r="E485" s="18" t="n">
        <f aca="false">Purchase_Orders!D482</f>
        <v>11046.74</v>
      </c>
      <c r="F485" s="18" t="n">
        <f aca="false">SUMIFS(Goods_Receipt_Notes!$D$2:$D$791,Goods_Receipt_Notes!$B$2:$B$791,A485)</f>
        <v>11046.74</v>
      </c>
      <c r="G485" s="18" t="n">
        <f aca="false">SUMIFS(Vendor_Invoices_AP!$E$2:$E$882,Vendor_Invoices_AP!$B$2:$B$882,A485)</f>
        <v>11046.74</v>
      </c>
      <c r="H485" s="16" t="str">
        <f aca="false">IF(F485=0,"Not Received","Received")</f>
        <v>Received</v>
      </c>
      <c r="I485" s="16" t="str">
        <f aca="false">IF(G485=0,"Not Invoiced","Invoiced")</f>
        <v>Invoiced</v>
      </c>
      <c r="J485" s="18" t="n">
        <f aca="false">E485-F485</f>
        <v>0</v>
      </c>
      <c r="K485" s="18" t="n">
        <f aca="false">E485-G485</f>
        <v>0</v>
      </c>
      <c r="L485" s="16" t="str">
        <f aca="false">IF(OR(AND(I485="Invoiced",H485="Not Received"),AND(F485&gt;0,ABS(J485)&gt;Assumptions!$B$6),AND(G485&gt;0,ABS(K485)&gt;Assumptions!$B$6)),"EXCEPTION","OK")</f>
        <v>OK</v>
      </c>
    </row>
    <row r="486" customFormat="false" ht="15" hidden="false" customHeight="false" outlineLevel="0" collapsed="false">
      <c r="A486" s="16" t="str">
        <f aca="false">Purchase_Orders!A483</f>
        <v>PO10482</v>
      </c>
      <c r="B486" s="16" t="str">
        <f aca="false">Purchase_Orders!B483</f>
        <v>V1012</v>
      </c>
      <c r="C486" s="16" t="str">
        <f aca="false">IFERROR(INDEX(Vendor_Master!$B$2:$B$41,MATCH(B486,Vendor_Master!$A$2:$A$41,0)),"Unknown Vendor")</f>
        <v>Stanley LLC</v>
      </c>
      <c r="D486" s="17" t="n">
        <f aca="false">Purchase_Orders!C483</f>
        <v>45868</v>
      </c>
      <c r="E486" s="18" t="n">
        <f aca="false">Purchase_Orders!D483</f>
        <v>1395.93</v>
      </c>
      <c r="F486" s="18" t="n">
        <f aca="false">SUMIFS(Goods_Receipt_Notes!$D$2:$D$791,Goods_Receipt_Notes!$B$2:$B$791,A486)</f>
        <v>1395.93</v>
      </c>
      <c r="G486" s="18" t="n">
        <f aca="false">SUMIFS(Vendor_Invoices_AP!$E$2:$E$882,Vendor_Invoices_AP!$B$2:$B$882,A486)</f>
        <v>1395.93</v>
      </c>
      <c r="H486" s="16" t="str">
        <f aca="false">IF(F486=0,"Not Received","Received")</f>
        <v>Received</v>
      </c>
      <c r="I486" s="16" t="str">
        <f aca="false">IF(G486=0,"Not Invoiced","Invoiced")</f>
        <v>Invoiced</v>
      </c>
      <c r="J486" s="18" t="n">
        <f aca="false">E486-F486</f>
        <v>0</v>
      </c>
      <c r="K486" s="18" t="n">
        <f aca="false">E486-G486</f>
        <v>0</v>
      </c>
      <c r="L486" s="16" t="str">
        <f aca="false">IF(OR(AND(I486="Invoiced",H486="Not Received"),AND(F486&gt;0,ABS(J486)&gt;Assumptions!$B$6),AND(G486&gt;0,ABS(K486)&gt;Assumptions!$B$6)),"EXCEPTION","OK")</f>
        <v>OK</v>
      </c>
    </row>
    <row r="487" customFormat="false" ht="15" hidden="false" customHeight="false" outlineLevel="0" collapsed="false">
      <c r="A487" s="16" t="str">
        <f aca="false">Purchase_Orders!A484</f>
        <v>PO10483</v>
      </c>
      <c r="B487" s="16" t="str">
        <f aca="false">Purchase_Orders!B484</f>
        <v>V1019</v>
      </c>
      <c r="C487" s="16" t="str">
        <f aca="false">IFERROR(INDEX(Vendor_Master!$B$2:$B$41,MATCH(B487,Vendor_Master!$A$2:$A$41,0)),"Unknown Vendor")</f>
        <v>Clark PLC</v>
      </c>
      <c r="D487" s="17" t="n">
        <f aca="false">Purchase_Orders!C484</f>
        <v>46019</v>
      </c>
      <c r="E487" s="18" t="n">
        <f aca="false">Purchase_Orders!D484</f>
        <v>2578.48</v>
      </c>
      <c r="F487" s="18" t="n">
        <f aca="false">SUMIFS(Goods_Receipt_Notes!$D$2:$D$791,Goods_Receipt_Notes!$B$2:$B$791,A487)</f>
        <v>2578.48</v>
      </c>
      <c r="G487" s="18" t="n">
        <f aca="false">SUMIFS(Vendor_Invoices_AP!$E$2:$E$882,Vendor_Invoices_AP!$B$2:$B$882,A487)</f>
        <v>2578.48</v>
      </c>
      <c r="H487" s="16" t="str">
        <f aca="false">IF(F487=0,"Not Received","Received")</f>
        <v>Received</v>
      </c>
      <c r="I487" s="16" t="str">
        <f aca="false">IF(G487=0,"Not Invoiced","Invoiced")</f>
        <v>Invoiced</v>
      </c>
      <c r="J487" s="18" t="n">
        <f aca="false">E487-F487</f>
        <v>0</v>
      </c>
      <c r="K487" s="18" t="n">
        <f aca="false">E487-G487</f>
        <v>0</v>
      </c>
      <c r="L487" s="16" t="str">
        <f aca="false">IF(OR(AND(I487="Invoiced",H487="Not Received"),AND(F487&gt;0,ABS(J487)&gt;Assumptions!$B$6),AND(G487&gt;0,ABS(K487)&gt;Assumptions!$B$6)),"EXCEPTION","OK")</f>
        <v>OK</v>
      </c>
    </row>
    <row r="488" customFormat="false" ht="15" hidden="false" customHeight="false" outlineLevel="0" collapsed="false">
      <c r="A488" s="16" t="str">
        <f aca="false">Purchase_Orders!A485</f>
        <v>PO10484</v>
      </c>
      <c r="B488" s="16" t="str">
        <f aca="false">Purchase_Orders!B485</f>
        <v>V1004</v>
      </c>
      <c r="C488" s="16" t="str">
        <f aca="false">IFERROR(INDEX(Vendor_Master!$B$2:$B$41,MATCH(B488,Vendor_Master!$A$2:$A$41,0)),"Unknown Vendor")</f>
        <v>Johnson, Gonzalez and Santos</v>
      </c>
      <c r="D488" s="17" t="n">
        <f aca="false">Purchase_Orders!C485</f>
        <v>46105</v>
      </c>
      <c r="E488" s="18" t="n">
        <f aca="false">Purchase_Orders!D485</f>
        <v>891.87</v>
      </c>
      <c r="F488" s="18" t="n">
        <f aca="false">SUMIFS(Goods_Receipt_Notes!$D$2:$D$791,Goods_Receipt_Notes!$B$2:$B$791,A488)</f>
        <v>891.87</v>
      </c>
      <c r="G488" s="18" t="n">
        <f aca="false">SUMIFS(Vendor_Invoices_AP!$E$2:$E$882,Vendor_Invoices_AP!$B$2:$B$882,A488)</f>
        <v>891.87</v>
      </c>
      <c r="H488" s="16" t="str">
        <f aca="false">IF(F488=0,"Not Received","Received")</f>
        <v>Received</v>
      </c>
      <c r="I488" s="16" t="str">
        <f aca="false">IF(G488=0,"Not Invoiced","Invoiced")</f>
        <v>Invoiced</v>
      </c>
      <c r="J488" s="18" t="n">
        <f aca="false">E488-F488</f>
        <v>0</v>
      </c>
      <c r="K488" s="18" t="n">
        <f aca="false">E488-G488</f>
        <v>0</v>
      </c>
      <c r="L488" s="16" t="str">
        <f aca="false">IF(OR(AND(I488="Invoiced",H488="Not Received"),AND(F488&gt;0,ABS(J488)&gt;Assumptions!$B$6),AND(G488&gt;0,ABS(K488)&gt;Assumptions!$B$6)),"EXCEPTION","OK")</f>
        <v>OK</v>
      </c>
    </row>
    <row r="489" customFormat="false" ht="15" hidden="false" customHeight="false" outlineLevel="0" collapsed="false">
      <c r="A489" s="16" t="str">
        <f aca="false">Purchase_Orders!A486</f>
        <v>PO10485</v>
      </c>
      <c r="B489" s="16" t="str">
        <f aca="false">Purchase_Orders!B486</f>
        <v>V1005</v>
      </c>
      <c r="C489" s="16" t="str">
        <f aca="false">IFERROR(INDEX(Vendor_Master!$B$2:$B$41,MATCH(B489,Vendor_Master!$A$2:$A$41,0)),"Unknown Vendor")</f>
        <v>Cole LLC</v>
      </c>
      <c r="D489" s="17" t="n">
        <f aca="false">Purchase_Orders!C486</f>
        <v>46192</v>
      </c>
      <c r="E489" s="18" t="n">
        <f aca="false">Purchase_Orders!D486</f>
        <v>2408.27</v>
      </c>
      <c r="F489" s="18" t="n">
        <f aca="false">SUMIFS(Goods_Receipt_Notes!$D$2:$D$791,Goods_Receipt_Notes!$B$2:$B$791,A489)</f>
        <v>2408.27</v>
      </c>
      <c r="G489" s="18" t="n">
        <f aca="false">SUMIFS(Vendor_Invoices_AP!$E$2:$E$882,Vendor_Invoices_AP!$B$2:$B$882,A489)</f>
        <v>2408.27</v>
      </c>
      <c r="H489" s="16" t="str">
        <f aca="false">IF(F489=0,"Not Received","Received")</f>
        <v>Received</v>
      </c>
      <c r="I489" s="16" t="str">
        <f aca="false">IF(G489=0,"Not Invoiced","Invoiced")</f>
        <v>Invoiced</v>
      </c>
      <c r="J489" s="18" t="n">
        <f aca="false">E489-F489</f>
        <v>0</v>
      </c>
      <c r="K489" s="18" t="n">
        <f aca="false">E489-G489</f>
        <v>0</v>
      </c>
      <c r="L489" s="16" t="str">
        <f aca="false">IF(OR(AND(I489="Invoiced",H489="Not Received"),AND(F489&gt;0,ABS(J489)&gt;Assumptions!$B$6),AND(G489&gt;0,ABS(K489)&gt;Assumptions!$B$6)),"EXCEPTION","OK")</f>
        <v>OK</v>
      </c>
    </row>
    <row r="490" customFormat="false" ht="15" hidden="false" customHeight="false" outlineLevel="0" collapsed="false">
      <c r="A490" s="16" t="str">
        <f aca="false">Purchase_Orders!A487</f>
        <v>PO10486</v>
      </c>
      <c r="B490" s="16" t="str">
        <f aca="false">Purchase_Orders!B487</f>
        <v>V1006</v>
      </c>
      <c r="C490" s="16" t="str">
        <f aca="false">IFERROR(INDEX(Vendor_Master!$B$2:$B$41,MATCH(B490,Vendor_Master!$A$2:$A$41,0)),"Unknown Vendor")</f>
        <v>Blake and Sons</v>
      </c>
      <c r="D490" s="17" t="n">
        <f aca="false">Purchase_Orders!C487</f>
        <v>45927</v>
      </c>
      <c r="E490" s="18" t="n">
        <f aca="false">Purchase_Orders!D487</f>
        <v>1155.61</v>
      </c>
      <c r="F490" s="18" t="n">
        <f aca="false">SUMIFS(Goods_Receipt_Notes!$D$2:$D$791,Goods_Receipt_Notes!$B$2:$B$791,A490)</f>
        <v>1155.61</v>
      </c>
      <c r="G490" s="18" t="n">
        <f aca="false">SUMIFS(Vendor_Invoices_AP!$E$2:$E$882,Vendor_Invoices_AP!$B$2:$B$882,A490)</f>
        <v>1155.61</v>
      </c>
      <c r="H490" s="16" t="str">
        <f aca="false">IF(F490=0,"Not Received","Received")</f>
        <v>Received</v>
      </c>
      <c r="I490" s="16" t="str">
        <f aca="false">IF(G490=0,"Not Invoiced","Invoiced")</f>
        <v>Invoiced</v>
      </c>
      <c r="J490" s="18" t="n">
        <f aca="false">E490-F490</f>
        <v>0</v>
      </c>
      <c r="K490" s="18" t="n">
        <f aca="false">E490-G490</f>
        <v>0</v>
      </c>
      <c r="L490" s="16" t="str">
        <f aca="false">IF(OR(AND(I490="Invoiced",H490="Not Received"),AND(F490&gt;0,ABS(J490)&gt;Assumptions!$B$6),AND(G490&gt;0,ABS(K490)&gt;Assumptions!$B$6)),"EXCEPTION","OK")</f>
        <v>OK</v>
      </c>
    </row>
    <row r="491" customFormat="false" ht="15" hidden="false" customHeight="false" outlineLevel="0" collapsed="false">
      <c r="A491" s="16" t="str">
        <f aca="false">Purchase_Orders!A488</f>
        <v>PO10487</v>
      </c>
      <c r="B491" s="16" t="str">
        <f aca="false">Purchase_Orders!B488</f>
        <v>V1007</v>
      </c>
      <c r="C491" s="16" t="str">
        <f aca="false">IFERROR(INDEX(Vendor_Master!$B$2:$B$41,MATCH(B491,Vendor_Master!$A$2:$A$41,0)),"Unknown Vendor")</f>
        <v>Ramirez-Lewis</v>
      </c>
      <c r="D491" s="17" t="n">
        <f aca="false">Purchase_Orders!C488</f>
        <v>45678</v>
      </c>
      <c r="E491" s="18" t="n">
        <f aca="false">Purchase_Orders!D488</f>
        <v>542.8</v>
      </c>
      <c r="F491" s="18" t="n">
        <f aca="false">SUMIFS(Goods_Receipt_Notes!$D$2:$D$791,Goods_Receipt_Notes!$B$2:$B$791,A491)</f>
        <v>542.8</v>
      </c>
      <c r="G491" s="18" t="n">
        <f aca="false">SUMIFS(Vendor_Invoices_AP!$E$2:$E$882,Vendor_Invoices_AP!$B$2:$B$882,A491)</f>
        <v>542.8</v>
      </c>
      <c r="H491" s="16" t="str">
        <f aca="false">IF(F491=0,"Not Received","Received")</f>
        <v>Received</v>
      </c>
      <c r="I491" s="16" t="str">
        <f aca="false">IF(G491=0,"Not Invoiced","Invoiced")</f>
        <v>Invoiced</v>
      </c>
      <c r="J491" s="18" t="n">
        <f aca="false">E491-F491</f>
        <v>0</v>
      </c>
      <c r="K491" s="18" t="n">
        <f aca="false">E491-G491</f>
        <v>0</v>
      </c>
      <c r="L491" s="16" t="str">
        <f aca="false">IF(OR(AND(I491="Invoiced",H491="Not Received"),AND(F491&gt;0,ABS(J491)&gt;Assumptions!$B$6),AND(G491&gt;0,ABS(K491)&gt;Assumptions!$B$6)),"EXCEPTION","OK")</f>
        <v>OK</v>
      </c>
    </row>
    <row r="492" customFormat="false" ht="15" hidden="false" customHeight="false" outlineLevel="0" collapsed="false">
      <c r="A492" s="16" t="str">
        <f aca="false">Purchase_Orders!A489</f>
        <v>PO10488</v>
      </c>
      <c r="B492" s="16" t="str">
        <f aca="false">Purchase_Orders!B489</f>
        <v>V1021</v>
      </c>
      <c r="C492" s="16" t="str">
        <f aca="false">IFERROR(INDEX(Vendor_Master!$B$2:$B$41,MATCH(B492,Vendor_Master!$A$2:$A$41,0)),"Unknown Vendor")</f>
        <v>Ellis, Baker and Wright</v>
      </c>
      <c r="D492" s="17" t="n">
        <f aca="false">Purchase_Orders!C489</f>
        <v>45931</v>
      </c>
      <c r="E492" s="18" t="n">
        <f aca="false">Purchase_Orders!D489</f>
        <v>1208.25</v>
      </c>
      <c r="F492" s="18" t="n">
        <f aca="false">SUMIFS(Goods_Receipt_Notes!$D$2:$D$791,Goods_Receipt_Notes!$B$2:$B$791,A492)</f>
        <v>1208.25</v>
      </c>
      <c r="G492" s="18" t="n">
        <f aca="false">SUMIFS(Vendor_Invoices_AP!$E$2:$E$882,Vendor_Invoices_AP!$B$2:$B$882,A492)</f>
        <v>1208.25</v>
      </c>
      <c r="H492" s="16" t="str">
        <f aca="false">IF(F492=0,"Not Received","Received")</f>
        <v>Received</v>
      </c>
      <c r="I492" s="16" t="str">
        <f aca="false">IF(G492=0,"Not Invoiced","Invoiced")</f>
        <v>Invoiced</v>
      </c>
      <c r="J492" s="18" t="n">
        <f aca="false">E492-F492</f>
        <v>0</v>
      </c>
      <c r="K492" s="18" t="n">
        <f aca="false">E492-G492</f>
        <v>0</v>
      </c>
      <c r="L492" s="16" t="str">
        <f aca="false">IF(OR(AND(I492="Invoiced",H492="Not Received"),AND(F492&gt;0,ABS(J492)&gt;Assumptions!$B$6),AND(G492&gt;0,ABS(K492)&gt;Assumptions!$B$6)),"EXCEPTION","OK")</f>
        <v>OK</v>
      </c>
    </row>
    <row r="493" customFormat="false" ht="15" hidden="false" customHeight="false" outlineLevel="0" collapsed="false">
      <c r="A493" s="16" t="str">
        <f aca="false">Purchase_Orders!A490</f>
        <v>PO10489</v>
      </c>
      <c r="B493" s="16" t="str">
        <f aca="false">Purchase_Orders!B490</f>
        <v>V1038</v>
      </c>
      <c r="C493" s="16" t="str">
        <f aca="false">IFERROR(INDEX(Vendor_Master!$B$2:$B$41,MATCH(B493,Vendor_Master!$A$2:$A$41,0)),"Unknown Vendor")</f>
        <v>Rose-Obrien</v>
      </c>
      <c r="D493" s="17" t="n">
        <f aca="false">Purchase_Orders!C490</f>
        <v>45979</v>
      </c>
      <c r="E493" s="18" t="n">
        <f aca="false">Purchase_Orders!D490</f>
        <v>1492.36</v>
      </c>
      <c r="F493" s="18" t="n">
        <f aca="false">SUMIFS(Goods_Receipt_Notes!$D$2:$D$791,Goods_Receipt_Notes!$B$2:$B$791,A493)</f>
        <v>1492.36</v>
      </c>
      <c r="G493" s="18" t="n">
        <f aca="false">SUMIFS(Vendor_Invoices_AP!$E$2:$E$882,Vendor_Invoices_AP!$B$2:$B$882,A493)</f>
        <v>1492.36</v>
      </c>
      <c r="H493" s="16" t="str">
        <f aca="false">IF(F493=0,"Not Received","Received")</f>
        <v>Received</v>
      </c>
      <c r="I493" s="16" t="str">
        <f aca="false">IF(G493=0,"Not Invoiced","Invoiced")</f>
        <v>Invoiced</v>
      </c>
      <c r="J493" s="18" t="n">
        <f aca="false">E493-F493</f>
        <v>0</v>
      </c>
      <c r="K493" s="18" t="n">
        <f aca="false">E493-G493</f>
        <v>0</v>
      </c>
      <c r="L493" s="16" t="str">
        <f aca="false">IF(OR(AND(I493="Invoiced",H493="Not Received"),AND(F493&gt;0,ABS(J493)&gt;Assumptions!$B$6),AND(G493&gt;0,ABS(K493)&gt;Assumptions!$B$6)),"EXCEPTION","OK")</f>
        <v>OK</v>
      </c>
    </row>
    <row r="494" customFormat="false" ht="15" hidden="false" customHeight="false" outlineLevel="0" collapsed="false">
      <c r="A494" s="16" t="str">
        <f aca="false">Purchase_Orders!A491</f>
        <v>PO10490</v>
      </c>
      <c r="B494" s="16" t="str">
        <f aca="false">Purchase_Orders!B491</f>
        <v>V1013</v>
      </c>
      <c r="C494" s="16" t="str">
        <f aca="false">IFERROR(INDEX(Vendor_Master!$B$2:$B$41,MATCH(B494,Vendor_Master!$A$2:$A$41,0)),"Unknown Vendor")</f>
        <v>Delacruz Group</v>
      </c>
      <c r="D494" s="17" t="n">
        <f aca="false">Purchase_Orders!C491</f>
        <v>46131</v>
      </c>
      <c r="E494" s="18" t="n">
        <f aca="false">Purchase_Orders!D491</f>
        <v>794.59</v>
      </c>
      <c r="F494" s="18" t="n">
        <f aca="false">SUMIFS(Goods_Receipt_Notes!$D$2:$D$791,Goods_Receipt_Notes!$B$2:$B$791,A494)</f>
        <v>794.59</v>
      </c>
      <c r="G494" s="18" t="n">
        <f aca="false">SUMIFS(Vendor_Invoices_AP!$E$2:$E$882,Vendor_Invoices_AP!$B$2:$B$882,A494)</f>
        <v>916.33</v>
      </c>
      <c r="H494" s="16" t="str">
        <f aca="false">IF(F494=0,"Not Received","Received")</f>
        <v>Received</v>
      </c>
      <c r="I494" s="16" t="str">
        <f aca="false">IF(G494=0,"Not Invoiced","Invoiced")</f>
        <v>Invoiced</v>
      </c>
      <c r="J494" s="18" t="n">
        <f aca="false">E494-F494</f>
        <v>0</v>
      </c>
      <c r="K494" s="18" t="n">
        <f aca="false">E494-G494</f>
        <v>-121.74</v>
      </c>
      <c r="L494" s="16" t="str">
        <f aca="false">IF(OR(AND(I494="Invoiced",H494="Not Received"),AND(F494&gt;0,ABS(J494)&gt;Assumptions!$B$6),AND(G494&gt;0,ABS(K494)&gt;Assumptions!$B$6)),"EXCEPTION","OK")</f>
        <v>EXCEPTION</v>
      </c>
    </row>
    <row r="495" customFormat="false" ht="15" hidden="false" customHeight="false" outlineLevel="0" collapsed="false">
      <c r="A495" s="16" t="str">
        <f aca="false">Purchase_Orders!A492</f>
        <v>PO10491</v>
      </c>
      <c r="B495" s="16" t="str">
        <f aca="false">Purchase_Orders!B492</f>
        <v>V1016</v>
      </c>
      <c r="C495" s="16" t="str">
        <f aca="false">IFERROR(INDEX(Vendor_Master!$B$2:$B$41,MATCH(B495,Vendor_Master!$A$2:$A$41,0)),"Unknown Vendor")</f>
        <v>Sanchez, Ford and Nelson</v>
      </c>
      <c r="D495" s="17" t="n">
        <f aca="false">Purchase_Orders!C492</f>
        <v>46134</v>
      </c>
      <c r="E495" s="18" t="n">
        <f aca="false">Purchase_Orders!D492</f>
        <v>13637.91</v>
      </c>
      <c r="F495" s="18" t="n">
        <f aca="false">SUMIFS(Goods_Receipt_Notes!$D$2:$D$791,Goods_Receipt_Notes!$B$2:$B$791,A495)</f>
        <v>0</v>
      </c>
      <c r="G495" s="18" t="n">
        <f aca="false">SUMIFS(Vendor_Invoices_AP!$E$2:$E$882,Vendor_Invoices_AP!$B$2:$B$882,A495)</f>
        <v>13637.91</v>
      </c>
      <c r="H495" s="16" t="str">
        <f aca="false">IF(F495=0,"Not Received","Received")</f>
        <v>Not Received</v>
      </c>
      <c r="I495" s="16" t="str">
        <f aca="false">IF(G495=0,"Not Invoiced","Invoiced")</f>
        <v>Invoiced</v>
      </c>
      <c r="J495" s="18" t="n">
        <f aca="false">E495-F495</f>
        <v>13637.91</v>
      </c>
      <c r="K495" s="18" t="n">
        <f aca="false">E495-G495</f>
        <v>0</v>
      </c>
      <c r="L495" s="16" t="str">
        <f aca="false">IF(OR(AND(I495="Invoiced",H495="Not Received"),AND(F495&gt;0,ABS(J495)&gt;Assumptions!$B$6),AND(G495&gt;0,ABS(K495)&gt;Assumptions!$B$6)),"EXCEPTION","OK")</f>
        <v>EXCEPTION</v>
      </c>
    </row>
    <row r="496" customFormat="false" ht="15" hidden="false" customHeight="false" outlineLevel="0" collapsed="false">
      <c r="A496" s="16" t="str">
        <f aca="false">Purchase_Orders!A493</f>
        <v>PO10492</v>
      </c>
      <c r="B496" s="16" t="str">
        <f aca="false">Purchase_Orders!B493</f>
        <v>V1004</v>
      </c>
      <c r="C496" s="16" t="str">
        <f aca="false">IFERROR(INDEX(Vendor_Master!$B$2:$B$41,MATCH(B496,Vendor_Master!$A$2:$A$41,0)),"Unknown Vendor")</f>
        <v>Johnson, Gonzalez and Santos</v>
      </c>
      <c r="D496" s="17" t="n">
        <f aca="false">Purchase_Orders!C493</f>
        <v>45897</v>
      </c>
      <c r="E496" s="18" t="n">
        <f aca="false">Purchase_Orders!D493</f>
        <v>984.21</v>
      </c>
      <c r="F496" s="18" t="n">
        <f aca="false">SUMIFS(Goods_Receipt_Notes!$D$2:$D$791,Goods_Receipt_Notes!$B$2:$B$791,A496)</f>
        <v>984.21</v>
      </c>
      <c r="G496" s="18" t="n">
        <f aca="false">SUMIFS(Vendor_Invoices_AP!$E$2:$E$882,Vendor_Invoices_AP!$B$2:$B$882,A496)</f>
        <v>984.21</v>
      </c>
      <c r="H496" s="16" t="str">
        <f aca="false">IF(F496=0,"Not Received","Received")</f>
        <v>Received</v>
      </c>
      <c r="I496" s="16" t="str">
        <f aca="false">IF(G496=0,"Not Invoiced","Invoiced")</f>
        <v>Invoiced</v>
      </c>
      <c r="J496" s="18" t="n">
        <f aca="false">E496-F496</f>
        <v>0</v>
      </c>
      <c r="K496" s="18" t="n">
        <f aca="false">E496-G496</f>
        <v>0</v>
      </c>
      <c r="L496" s="16" t="str">
        <f aca="false">IF(OR(AND(I496="Invoiced",H496="Not Received"),AND(F496&gt;0,ABS(J496)&gt;Assumptions!$B$6),AND(G496&gt;0,ABS(K496)&gt;Assumptions!$B$6)),"EXCEPTION","OK")</f>
        <v>OK</v>
      </c>
    </row>
    <row r="497" customFormat="false" ht="15" hidden="false" customHeight="false" outlineLevel="0" collapsed="false">
      <c r="A497" s="16" t="str">
        <f aca="false">Purchase_Orders!A494</f>
        <v>PO10493</v>
      </c>
      <c r="B497" s="16" t="str">
        <f aca="false">Purchase_Orders!B494</f>
        <v>V1012</v>
      </c>
      <c r="C497" s="16" t="str">
        <f aca="false">IFERROR(INDEX(Vendor_Master!$B$2:$B$41,MATCH(B497,Vendor_Master!$A$2:$A$41,0)),"Unknown Vendor")</f>
        <v>Stanley LLC</v>
      </c>
      <c r="D497" s="17" t="n">
        <f aca="false">Purchase_Orders!C494</f>
        <v>45944</v>
      </c>
      <c r="E497" s="18" t="n">
        <f aca="false">Purchase_Orders!D494</f>
        <v>2718.82</v>
      </c>
      <c r="F497" s="18" t="n">
        <f aca="false">SUMIFS(Goods_Receipt_Notes!$D$2:$D$791,Goods_Receipt_Notes!$B$2:$B$791,A497)</f>
        <v>2718.82</v>
      </c>
      <c r="G497" s="18" t="n">
        <f aca="false">SUMIFS(Vendor_Invoices_AP!$E$2:$E$882,Vendor_Invoices_AP!$B$2:$B$882,A497)</f>
        <v>2718.82</v>
      </c>
      <c r="H497" s="16" t="str">
        <f aca="false">IF(F497=0,"Not Received","Received")</f>
        <v>Received</v>
      </c>
      <c r="I497" s="16" t="str">
        <f aca="false">IF(G497=0,"Not Invoiced","Invoiced")</f>
        <v>Invoiced</v>
      </c>
      <c r="J497" s="18" t="n">
        <f aca="false">E497-F497</f>
        <v>0</v>
      </c>
      <c r="K497" s="18" t="n">
        <f aca="false">E497-G497</f>
        <v>0</v>
      </c>
      <c r="L497" s="16" t="str">
        <f aca="false">IF(OR(AND(I497="Invoiced",H497="Not Received"),AND(F497&gt;0,ABS(J497)&gt;Assumptions!$B$6),AND(G497&gt;0,ABS(K497)&gt;Assumptions!$B$6)),"EXCEPTION","OK")</f>
        <v>OK</v>
      </c>
    </row>
    <row r="498" customFormat="false" ht="15" hidden="false" customHeight="false" outlineLevel="0" collapsed="false">
      <c r="A498" s="16" t="str">
        <f aca="false">Purchase_Orders!A495</f>
        <v>PO10494</v>
      </c>
      <c r="B498" s="16" t="str">
        <f aca="false">Purchase_Orders!B495</f>
        <v>V1027</v>
      </c>
      <c r="C498" s="16" t="str">
        <f aca="false">IFERROR(INDEX(Vendor_Master!$B$2:$B$41,MATCH(B498,Vendor_Master!$A$2:$A$41,0)),"Unknown Vendor")</f>
        <v>Valencia, Smith and Le</v>
      </c>
      <c r="D498" s="17" t="n">
        <f aca="false">Purchase_Orders!C495</f>
        <v>45907</v>
      </c>
      <c r="E498" s="18" t="n">
        <f aca="false">Purchase_Orders!D495</f>
        <v>607.61</v>
      </c>
      <c r="F498" s="18" t="n">
        <f aca="false">SUMIFS(Goods_Receipt_Notes!$D$2:$D$791,Goods_Receipt_Notes!$B$2:$B$791,A498)</f>
        <v>607.61</v>
      </c>
      <c r="G498" s="18" t="n">
        <f aca="false">SUMIFS(Vendor_Invoices_AP!$E$2:$E$882,Vendor_Invoices_AP!$B$2:$B$882,A498)</f>
        <v>607.61</v>
      </c>
      <c r="H498" s="16" t="str">
        <f aca="false">IF(F498=0,"Not Received","Received")</f>
        <v>Received</v>
      </c>
      <c r="I498" s="16" t="str">
        <f aca="false">IF(G498=0,"Not Invoiced","Invoiced")</f>
        <v>Invoiced</v>
      </c>
      <c r="J498" s="18" t="n">
        <f aca="false">E498-F498</f>
        <v>0</v>
      </c>
      <c r="K498" s="18" t="n">
        <f aca="false">E498-G498</f>
        <v>0</v>
      </c>
      <c r="L498" s="16" t="str">
        <f aca="false">IF(OR(AND(I498="Invoiced",H498="Not Received"),AND(F498&gt;0,ABS(J498)&gt;Assumptions!$B$6),AND(G498&gt;0,ABS(K498)&gt;Assumptions!$B$6)),"EXCEPTION","OK")</f>
        <v>OK</v>
      </c>
    </row>
    <row r="499" customFormat="false" ht="15" hidden="false" customHeight="false" outlineLevel="0" collapsed="false">
      <c r="A499" s="16" t="str">
        <f aca="false">Purchase_Orders!A496</f>
        <v>PO10495</v>
      </c>
      <c r="B499" s="16" t="str">
        <f aca="false">Purchase_Orders!B496</f>
        <v>V1015</v>
      </c>
      <c r="C499" s="16" t="str">
        <f aca="false">IFERROR(INDEX(Vendor_Master!$B$2:$B$41,MATCH(B499,Vendor_Master!$A$2:$A$41,0)),"Unknown Vendor")</f>
        <v>Zuniga, Wong and Lynch</v>
      </c>
      <c r="D499" s="17" t="n">
        <f aca="false">Purchase_Orders!C496</f>
        <v>46051</v>
      </c>
      <c r="E499" s="18" t="n">
        <f aca="false">Purchase_Orders!D496</f>
        <v>10927.52</v>
      </c>
      <c r="F499" s="18" t="n">
        <f aca="false">SUMIFS(Goods_Receipt_Notes!$D$2:$D$791,Goods_Receipt_Notes!$B$2:$B$791,A499)</f>
        <v>10927.52</v>
      </c>
      <c r="G499" s="18" t="n">
        <f aca="false">SUMIFS(Vendor_Invoices_AP!$E$2:$E$882,Vendor_Invoices_AP!$B$2:$B$882,A499)</f>
        <v>10927.52</v>
      </c>
      <c r="H499" s="16" t="str">
        <f aca="false">IF(F499=0,"Not Received","Received")</f>
        <v>Received</v>
      </c>
      <c r="I499" s="16" t="str">
        <f aca="false">IF(G499=0,"Not Invoiced","Invoiced")</f>
        <v>Invoiced</v>
      </c>
      <c r="J499" s="18" t="n">
        <f aca="false">E499-F499</f>
        <v>0</v>
      </c>
      <c r="K499" s="18" t="n">
        <f aca="false">E499-G499</f>
        <v>0</v>
      </c>
      <c r="L499" s="16" t="str">
        <f aca="false">IF(OR(AND(I499="Invoiced",H499="Not Received"),AND(F499&gt;0,ABS(J499)&gt;Assumptions!$B$6),AND(G499&gt;0,ABS(K499)&gt;Assumptions!$B$6)),"EXCEPTION","OK")</f>
        <v>OK</v>
      </c>
    </row>
    <row r="500" customFormat="false" ht="15" hidden="false" customHeight="false" outlineLevel="0" collapsed="false">
      <c r="A500" s="16" t="str">
        <f aca="false">Purchase_Orders!A497</f>
        <v>PO10496</v>
      </c>
      <c r="B500" s="16" t="str">
        <f aca="false">Purchase_Orders!B497</f>
        <v>V1021</v>
      </c>
      <c r="C500" s="16" t="str">
        <f aca="false">IFERROR(INDEX(Vendor_Master!$B$2:$B$41,MATCH(B500,Vendor_Master!$A$2:$A$41,0)),"Unknown Vendor")</f>
        <v>Ellis, Baker and Wright</v>
      </c>
      <c r="D500" s="17" t="n">
        <f aca="false">Purchase_Orders!C497</f>
        <v>45881</v>
      </c>
      <c r="E500" s="18" t="n">
        <f aca="false">Purchase_Orders!D497</f>
        <v>1732.45</v>
      </c>
      <c r="F500" s="18" t="n">
        <f aca="false">SUMIFS(Goods_Receipt_Notes!$D$2:$D$791,Goods_Receipt_Notes!$B$2:$B$791,A500)</f>
        <v>1732.45</v>
      </c>
      <c r="G500" s="18" t="n">
        <f aca="false">SUMIFS(Vendor_Invoices_AP!$E$2:$E$882,Vendor_Invoices_AP!$B$2:$B$882,A500)</f>
        <v>1732.45</v>
      </c>
      <c r="H500" s="16" t="str">
        <f aca="false">IF(F500=0,"Not Received","Received")</f>
        <v>Received</v>
      </c>
      <c r="I500" s="16" t="str">
        <f aca="false">IF(G500=0,"Not Invoiced","Invoiced")</f>
        <v>Invoiced</v>
      </c>
      <c r="J500" s="18" t="n">
        <f aca="false">E500-F500</f>
        <v>0</v>
      </c>
      <c r="K500" s="18" t="n">
        <f aca="false">E500-G500</f>
        <v>0</v>
      </c>
      <c r="L500" s="16" t="str">
        <f aca="false">IF(OR(AND(I500="Invoiced",H500="Not Received"),AND(F500&gt;0,ABS(J500)&gt;Assumptions!$B$6),AND(G500&gt;0,ABS(K500)&gt;Assumptions!$B$6)),"EXCEPTION","OK")</f>
        <v>OK</v>
      </c>
    </row>
    <row r="501" customFormat="false" ht="15" hidden="false" customHeight="false" outlineLevel="0" collapsed="false">
      <c r="A501" s="16" t="str">
        <f aca="false">Purchase_Orders!A498</f>
        <v>PO10497</v>
      </c>
      <c r="B501" s="16" t="str">
        <f aca="false">Purchase_Orders!B498</f>
        <v>V1014</v>
      </c>
      <c r="C501" s="16" t="str">
        <f aca="false">IFERROR(INDEX(Vendor_Master!$B$2:$B$41,MATCH(B501,Vendor_Master!$A$2:$A$41,0)),"Unknown Vendor")</f>
        <v>Flowers, Martin and Kelly</v>
      </c>
      <c r="D501" s="17" t="n">
        <f aca="false">Purchase_Orders!C498</f>
        <v>46014</v>
      </c>
      <c r="E501" s="18" t="n">
        <f aca="false">Purchase_Orders!D498</f>
        <v>790.15</v>
      </c>
      <c r="F501" s="18" t="n">
        <f aca="false">SUMIFS(Goods_Receipt_Notes!$D$2:$D$791,Goods_Receipt_Notes!$B$2:$B$791,A501)</f>
        <v>609.26</v>
      </c>
      <c r="G501" s="18" t="n">
        <f aca="false">SUMIFS(Vendor_Invoices_AP!$E$2:$E$882,Vendor_Invoices_AP!$B$2:$B$882,A501)</f>
        <v>790.15</v>
      </c>
      <c r="H501" s="16" t="str">
        <f aca="false">IF(F501=0,"Not Received","Received")</f>
        <v>Received</v>
      </c>
      <c r="I501" s="16" t="str">
        <f aca="false">IF(G501=0,"Not Invoiced","Invoiced")</f>
        <v>Invoiced</v>
      </c>
      <c r="J501" s="18" t="n">
        <f aca="false">E501-F501</f>
        <v>180.89</v>
      </c>
      <c r="K501" s="18" t="n">
        <f aca="false">E501-G501</f>
        <v>0</v>
      </c>
      <c r="L501" s="16" t="str">
        <f aca="false">IF(OR(AND(I501="Invoiced",H501="Not Received"),AND(F501&gt;0,ABS(J501)&gt;Assumptions!$B$6),AND(G501&gt;0,ABS(K501)&gt;Assumptions!$B$6)),"EXCEPTION","OK")</f>
        <v>EXCEPTION</v>
      </c>
    </row>
    <row r="502" customFormat="false" ht="15" hidden="false" customHeight="false" outlineLevel="0" collapsed="false">
      <c r="A502" s="16" t="str">
        <f aca="false">Purchase_Orders!A499</f>
        <v>PO10498</v>
      </c>
      <c r="B502" s="16" t="str">
        <f aca="false">Purchase_Orders!B499</f>
        <v>V1009</v>
      </c>
      <c r="C502" s="16" t="str">
        <f aca="false">IFERROR(INDEX(Vendor_Master!$B$2:$B$41,MATCH(B502,Vendor_Master!$A$2:$A$41,0)),"Unknown Vendor")</f>
        <v>Munoz-Roman</v>
      </c>
      <c r="D502" s="17" t="n">
        <f aca="false">Purchase_Orders!C499</f>
        <v>45742</v>
      </c>
      <c r="E502" s="18" t="n">
        <f aca="false">Purchase_Orders!D499</f>
        <v>2141.21</v>
      </c>
      <c r="F502" s="18" t="n">
        <f aca="false">SUMIFS(Goods_Receipt_Notes!$D$2:$D$791,Goods_Receipt_Notes!$B$2:$B$791,A502)</f>
        <v>0</v>
      </c>
      <c r="G502" s="18" t="n">
        <f aca="false">SUMIFS(Vendor_Invoices_AP!$E$2:$E$882,Vendor_Invoices_AP!$B$2:$B$882,A502)</f>
        <v>2141.21</v>
      </c>
      <c r="H502" s="16" t="str">
        <f aca="false">IF(F502=0,"Not Received","Received")</f>
        <v>Not Received</v>
      </c>
      <c r="I502" s="16" t="str">
        <f aca="false">IF(G502=0,"Not Invoiced","Invoiced")</f>
        <v>Invoiced</v>
      </c>
      <c r="J502" s="18" t="n">
        <f aca="false">E502-F502</f>
        <v>2141.21</v>
      </c>
      <c r="K502" s="18" t="n">
        <f aca="false">E502-G502</f>
        <v>0</v>
      </c>
      <c r="L502" s="16" t="str">
        <f aca="false">IF(OR(AND(I502="Invoiced",H502="Not Received"),AND(F502&gt;0,ABS(J502)&gt;Assumptions!$B$6),AND(G502&gt;0,ABS(K502)&gt;Assumptions!$B$6)),"EXCEPTION","OK")</f>
        <v>EXCEPTION</v>
      </c>
    </row>
    <row r="503" customFormat="false" ht="15" hidden="false" customHeight="false" outlineLevel="0" collapsed="false">
      <c r="A503" s="16" t="str">
        <f aca="false">Purchase_Orders!A500</f>
        <v>PO10499</v>
      </c>
      <c r="B503" s="16" t="str">
        <f aca="false">Purchase_Orders!B500</f>
        <v>V1010</v>
      </c>
      <c r="C503" s="16" t="str">
        <f aca="false">IFERROR(INDEX(Vendor_Master!$B$2:$B$41,MATCH(B503,Vendor_Master!$A$2:$A$41,0)),"Unknown Vendor")</f>
        <v>Martinez, Nielsen and Miller</v>
      </c>
      <c r="D503" s="17" t="n">
        <f aca="false">Purchase_Orders!C500</f>
        <v>45913</v>
      </c>
      <c r="E503" s="18" t="n">
        <f aca="false">Purchase_Orders!D500</f>
        <v>426.29</v>
      </c>
      <c r="F503" s="18" t="n">
        <f aca="false">SUMIFS(Goods_Receipt_Notes!$D$2:$D$791,Goods_Receipt_Notes!$B$2:$B$791,A503)</f>
        <v>426.29</v>
      </c>
      <c r="G503" s="18" t="n">
        <f aca="false">SUMIFS(Vendor_Invoices_AP!$E$2:$E$882,Vendor_Invoices_AP!$B$2:$B$882,A503)</f>
        <v>933.02</v>
      </c>
      <c r="H503" s="16" t="str">
        <f aca="false">IF(F503=0,"Not Received","Received")</f>
        <v>Received</v>
      </c>
      <c r="I503" s="16" t="str">
        <f aca="false">IF(G503=0,"Not Invoiced","Invoiced")</f>
        <v>Invoiced</v>
      </c>
      <c r="J503" s="18" t="n">
        <f aca="false">E503-F503</f>
        <v>0</v>
      </c>
      <c r="K503" s="18" t="n">
        <f aca="false">E503-G503</f>
        <v>-506.73</v>
      </c>
      <c r="L503" s="16" t="str">
        <f aca="false">IF(OR(AND(I503="Invoiced",H503="Not Received"),AND(F503&gt;0,ABS(J503)&gt;Assumptions!$B$6),AND(G503&gt;0,ABS(K503)&gt;Assumptions!$B$6)),"EXCEPTION","OK")</f>
        <v>EXCEPTION</v>
      </c>
    </row>
    <row r="504" customFormat="false" ht="15" hidden="false" customHeight="false" outlineLevel="0" collapsed="false">
      <c r="A504" s="16" t="str">
        <f aca="false">Purchase_Orders!A501</f>
        <v>PO10500</v>
      </c>
      <c r="B504" s="16" t="str">
        <f aca="false">Purchase_Orders!B501</f>
        <v>V1016</v>
      </c>
      <c r="C504" s="16" t="str">
        <f aca="false">IFERROR(INDEX(Vendor_Master!$B$2:$B$41,MATCH(B504,Vendor_Master!$A$2:$A$41,0)),"Unknown Vendor")</f>
        <v>Sanchez, Ford and Nelson</v>
      </c>
      <c r="D504" s="17" t="n">
        <f aca="false">Purchase_Orders!C501</f>
        <v>46186</v>
      </c>
      <c r="E504" s="18" t="n">
        <f aca="false">Purchase_Orders!D501</f>
        <v>1888.48</v>
      </c>
      <c r="F504" s="18" t="n">
        <f aca="false">SUMIFS(Goods_Receipt_Notes!$D$2:$D$791,Goods_Receipt_Notes!$B$2:$B$791,A504)</f>
        <v>1888.48</v>
      </c>
      <c r="G504" s="18" t="n">
        <f aca="false">SUMIFS(Vendor_Invoices_AP!$E$2:$E$882,Vendor_Invoices_AP!$B$2:$B$882,A504)</f>
        <v>1888.48</v>
      </c>
      <c r="H504" s="16" t="str">
        <f aca="false">IF(F504=0,"Not Received","Received")</f>
        <v>Received</v>
      </c>
      <c r="I504" s="16" t="str">
        <f aca="false">IF(G504=0,"Not Invoiced","Invoiced")</f>
        <v>Invoiced</v>
      </c>
      <c r="J504" s="18" t="n">
        <f aca="false">E504-F504</f>
        <v>0</v>
      </c>
      <c r="K504" s="18" t="n">
        <f aca="false">E504-G504</f>
        <v>0</v>
      </c>
      <c r="L504" s="16" t="str">
        <f aca="false">IF(OR(AND(I504="Invoiced",H504="Not Received"),AND(F504&gt;0,ABS(J504)&gt;Assumptions!$B$6),AND(G504&gt;0,ABS(K504)&gt;Assumptions!$B$6)),"EXCEPTION","OK")</f>
        <v>OK</v>
      </c>
    </row>
    <row r="505" customFormat="false" ht="15" hidden="false" customHeight="false" outlineLevel="0" collapsed="false">
      <c r="A505" s="16" t="str">
        <f aca="false">Purchase_Orders!A502</f>
        <v>PO10501</v>
      </c>
      <c r="B505" s="16" t="str">
        <f aca="false">Purchase_Orders!B502</f>
        <v>V1030</v>
      </c>
      <c r="C505" s="16" t="str">
        <f aca="false">IFERROR(INDEX(Vendor_Master!$B$2:$B$41,MATCH(B505,Vendor_Master!$A$2:$A$41,0)),"Unknown Vendor")</f>
        <v>Stanton-Gill</v>
      </c>
      <c r="D505" s="17" t="n">
        <f aca="false">Purchase_Orders!C502</f>
        <v>45842</v>
      </c>
      <c r="E505" s="18" t="n">
        <f aca="false">Purchase_Orders!D502</f>
        <v>3958.3</v>
      </c>
      <c r="F505" s="18" t="n">
        <f aca="false">SUMIFS(Goods_Receipt_Notes!$D$2:$D$791,Goods_Receipt_Notes!$B$2:$B$791,A505)</f>
        <v>3958.3</v>
      </c>
      <c r="G505" s="18" t="n">
        <f aca="false">SUMIFS(Vendor_Invoices_AP!$E$2:$E$882,Vendor_Invoices_AP!$B$2:$B$882,A505)</f>
        <v>3958.3</v>
      </c>
      <c r="H505" s="16" t="str">
        <f aca="false">IF(F505=0,"Not Received","Received")</f>
        <v>Received</v>
      </c>
      <c r="I505" s="16" t="str">
        <f aca="false">IF(G505=0,"Not Invoiced","Invoiced")</f>
        <v>Invoiced</v>
      </c>
      <c r="J505" s="18" t="n">
        <f aca="false">E505-F505</f>
        <v>0</v>
      </c>
      <c r="K505" s="18" t="n">
        <f aca="false">E505-G505</f>
        <v>0</v>
      </c>
      <c r="L505" s="16" t="str">
        <f aca="false">IF(OR(AND(I505="Invoiced",H505="Not Received"),AND(F505&gt;0,ABS(J505)&gt;Assumptions!$B$6),AND(G505&gt;0,ABS(K505)&gt;Assumptions!$B$6)),"EXCEPTION","OK")</f>
        <v>OK</v>
      </c>
    </row>
    <row r="506" customFormat="false" ht="15" hidden="false" customHeight="false" outlineLevel="0" collapsed="false">
      <c r="A506" s="16" t="str">
        <f aca="false">Purchase_Orders!A503</f>
        <v>PO10502</v>
      </c>
      <c r="B506" s="16" t="str">
        <f aca="false">Purchase_Orders!B503</f>
        <v>V1025</v>
      </c>
      <c r="C506" s="16" t="str">
        <f aca="false">IFERROR(INDEX(Vendor_Master!$B$2:$B$41,MATCH(B506,Vendor_Master!$A$2:$A$41,0)),"Unknown Vendor")</f>
        <v>Conner Group</v>
      </c>
      <c r="D506" s="17" t="n">
        <f aca="false">Purchase_Orders!C503</f>
        <v>46035</v>
      </c>
      <c r="E506" s="18" t="n">
        <f aca="false">Purchase_Orders!D503</f>
        <v>3426.38</v>
      </c>
      <c r="F506" s="18" t="n">
        <f aca="false">SUMIFS(Goods_Receipt_Notes!$D$2:$D$791,Goods_Receipt_Notes!$B$2:$B$791,A506)</f>
        <v>3426.38</v>
      </c>
      <c r="G506" s="18" t="n">
        <f aca="false">SUMIFS(Vendor_Invoices_AP!$E$2:$E$882,Vendor_Invoices_AP!$B$2:$B$882,A506)</f>
        <v>3426.38</v>
      </c>
      <c r="H506" s="16" t="str">
        <f aca="false">IF(F506=0,"Not Received","Received")</f>
        <v>Received</v>
      </c>
      <c r="I506" s="16" t="str">
        <f aca="false">IF(G506=0,"Not Invoiced","Invoiced")</f>
        <v>Invoiced</v>
      </c>
      <c r="J506" s="18" t="n">
        <f aca="false">E506-F506</f>
        <v>0</v>
      </c>
      <c r="K506" s="18" t="n">
        <f aca="false">E506-G506</f>
        <v>0</v>
      </c>
      <c r="L506" s="16" t="str">
        <f aca="false">IF(OR(AND(I506="Invoiced",H506="Not Received"),AND(F506&gt;0,ABS(J506)&gt;Assumptions!$B$6),AND(G506&gt;0,ABS(K506)&gt;Assumptions!$B$6)),"EXCEPTION","OK")</f>
        <v>OK</v>
      </c>
    </row>
    <row r="507" customFormat="false" ht="15" hidden="false" customHeight="false" outlineLevel="0" collapsed="false">
      <c r="A507" s="16" t="str">
        <f aca="false">Purchase_Orders!A504</f>
        <v>PO10503</v>
      </c>
      <c r="B507" s="16" t="str">
        <f aca="false">Purchase_Orders!B504</f>
        <v>V1033</v>
      </c>
      <c r="C507" s="16" t="str">
        <f aca="false">IFERROR(INDEX(Vendor_Master!$B$2:$B$41,MATCH(B507,Vendor_Master!$A$2:$A$41,0)),"Unknown Vendor")</f>
        <v>Sellers, George and Burns</v>
      </c>
      <c r="D507" s="17" t="n">
        <f aca="false">Purchase_Orders!C504</f>
        <v>46012</v>
      </c>
      <c r="E507" s="18" t="n">
        <f aca="false">Purchase_Orders!D504</f>
        <v>663.66</v>
      </c>
      <c r="F507" s="18" t="n">
        <f aca="false">SUMIFS(Goods_Receipt_Notes!$D$2:$D$791,Goods_Receipt_Notes!$B$2:$B$791,A507)</f>
        <v>663.66</v>
      </c>
      <c r="G507" s="18" t="n">
        <f aca="false">SUMIFS(Vendor_Invoices_AP!$E$2:$E$882,Vendor_Invoices_AP!$B$2:$B$882,A507)</f>
        <v>663.66</v>
      </c>
      <c r="H507" s="16" t="str">
        <f aca="false">IF(F507=0,"Not Received","Received")</f>
        <v>Received</v>
      </c>
      <c r="I507" s="16" t="str">
        <f aca="false">IF(G507=0,"Not Invoiced","Invoiced")</f>
        <v>Invoiced</v>
      </c>
      <c r="J507" s="18" t="n">
        <f aca="false">E507-F507</f>
        <v>0</v>
      </c>
      <c r="K507" s="18" t="n">
        <f aca="false">E507-G507</f>
        <v>0</v>
      </c>
      <c r="L507" s="16" t="str">
        <f aca="false">IF(OR(AND(I507="Invoiced",H507="Not Received"),AND(F507&gt;0,ABS(J507)&gt;Assumptions!$B$6),AND(G507&gt;0,ABS(K507)&gt;Assumptions!$B$6)),"EXCEPTION","OK")</f>
        <v>OK</v>
      </c>
    </row>
    <row r="508" customFormat="false" ht="15" hidden="false" customHeight="false" outlineLevel="0" collapsed="false">
      <c r="A508" s="16" t="str">
        <f aca="false">Purchase_Orders!A505</f>
        <v>PO10504</v>
      </c>
      <c r="B508" s="16" t="str">
        <f aca="false">Purchase_Orders!B505</f>
        <v>V1024</v>
      </c>
      <c r="C508" s="16" t="str">
        <f aca="false">IFERROR(INDEX(Vendor_Master!$B$2:$B$41,MATCH(B508,Vendor_Master!$A$2:$A$41,0)),"Unknown Vendor")</f>
        <v>Campos Inc</v>
      </c>
      <c r="D508" s="17" t="n">
        <f aca="false">Purchase_Orders!C505</f>
        <v>46122</v>
      </c>
      <c r="E508" s="18" t="n">
        <f aca="false">Purchase_Orders!D505</f>
        <v>1251.61</v>
      </c>
      <c r="F508" s="18" t="n">
        <f aca="false">SUMIFS(Goods_Receipt_Notes!$D$2:$D$791,Goods_Receipt_Notes!$B$2:$B$791,A508)</f>
        <v>0</v>
      </c>
      <c r="G508" s="18" t="n">
        <f aca="false">SUMIFS(Vendor_Invoices_AP!$E$2:$E$882,Vendor_Invoices_AP!$B$2:$B$882,A508)</f>
        <v>1251.61</v>
      </c>
      <c r="H508" s="16" t="str">
        <f aca="false">IF(F508=0,"Not Received","Received")</f>
        <v>Not Received</v>
      </c>
      <c r="I508" s="16" t="str">
        <f aca="false">IF(G508=0,"Not Invoiced","Invoiced")</f>
        <v>Invoiced</v>
      </c>
      <c r="J508" s="18" t="n">
        <f aca="false">E508-F508</f>
        <v>1251.61</v>
      </c>
      <c r="K508" s="18" t="n">
        <f aca="false">E508-G508</f>
        <v>0</v>
      </c>
      <c r="L508" s="16" t="str">
        <f aca="false">IF(OR(AND(I508="Invoiced",H508="Not Received"),AND(F508&gt;0,ABS(J508)&gt;Assumptions!$B$6),AND(G508&gt;0,ABS(K508)&gt;Assumptions!$B$6)),"EXCEPTION","OK")</f>
        <v>EXCEPTION</v>
      </c>
    </row>
    <row r="509" customFormat="false" ht="15" hidden="false" customHeight="false" outlineLevel="0" collapsed="false">
      <c r="A509" s="16" t="str">
        <f aca="false">Purchase_Orders!A506</f>
        <v>PO10505</v>
      </c>
      <c r="B509" s="16" t="str">
        <f aca="false">Purchase_Orders!B506</f>
        <v>V1010</v>
      </c>
      <c r="C509" s="16" t="str">
        <f aca="false">IFERROR(INDEX(Vendor_Master!$B$2:$B$41,MATCH(B509,Vendor_Master!$A$2:$A$41,0)),"Unknown Vendor")</f>
        <v>Martinez, Nielsen and Miller</v>
      </c>
      <c r="D509" s="17" t="n">
        <f aca="false">Purchase_Orders!C506</f>
        <v>46122</v>
      </c>
      <c r="E509" s="18" t="n">
        <f aca="false">Purchase_Orders!D506</f>
        <v>980.08</v>
      </c>
      <c r="F509" s="18" t="n">
        <f aca="false">SUMIFS(Goods_Receipt_Notes!$D$2:$D$791,Goods_Receipt_Notes!$B$2:$B$791,A509)</f>
        <v>980.08</v>
      </c>
      <c r="G509" s="18" t="n">
        <f aca="false">SUMIFS(Vendor_Invoices_AP!$E$2:$E$882,Vendor_Invoices_AP!$B$2:$B$882,A509)</f>
        <v>980.08</v>
      </c>
      <c r="H509" s="16" t="str">
        <f aca="false">IF(F509=0,"Not Received","Received")</f>
        <v>Received</v>
      </c>
      <c r="I509" s="16" t="str">
        <f aca="false">IF(G509=0,"Not Invoiced","Invoiced")</f>
        <v>Invoiced</v>
      </c>
      <c r="J509" s="18" t="n">
        <f aca="false">E509-F509</f>
        <v>0</v>
      </c>
      <c r="K509" s="18" t="n">
        <f aca="false">E509-G509</f>
        <v>0</v>
      </c>
      <c r="L509" s="16" t="str">
        <f aca="false">IF(OR(AND(I509="Invoiced",H509="Not Received"),AND(F509&gt;0,ABS(J509)&gt;Assumptions!$B$6),AND(G509&gt;0,ABS(K509)&gt;Assumptions!$B$6)),"EXCEPTION","OK")</f>
        <v>OK</v>
      </c>
    </row>
    <row r="510" customFormat="false" ht="15" hidden="false" customHeight="false" outlineLevel="0" collapsed="false">
      <c r="A510" s="16" t="str">
        <f aca="false">Purchase_Orders!A507</f>
        <v>PO10506</v>
      </c>
      <c r="B510" s="16" t="str">
        <f aca="false">Purchase_Orders!B507</f>
        <v>V1004</v>
      </c>
      <c r="C510" s="16" t="str">
        <f aca="false">IFERROR(INDEX(Vendor_Master!$B$2:$B$41,MATCH(B510,Vendor_Master!$A$2:$A$41,0)),"Unknown Vendor")</f>
        <v>Johnson, Gonzalez and Santos</v>
      </c>
      <c r="D510" s="17" t="n">
        <f aca="false">Purchase_Orders!C507</f>
        <v>46126</v>
      </c>
      <c r="E510" s="18" t="n">
        <f aca="false">Purchase_Orders!D507</f>
        <v>2579.28</v>
      </c>
      <c r="F510" s="18" t="n">
        <f aca="false">SUMIFS(Goods_Receipt_Notes!$D$2:$D$791,Goods_Receipt_Notes!$B$2:$B$791,A510)</f>
        <v>2579.28</v>
      </c>
      <c r="G510" s="18" t="n">
        <f aca="false">SUMIFS(Vendor_Invoices_AP!$E$2:$E$882,Vendor_Invoices_AP!$B$2:$B$882,A510)</f>
        <v>2579.28</v>
      </c>
      <c r="H510" s="16" t="str">
        <f aca="false">IF(F510=0,"Not Received","Received")</f>
        <v>Received</v>
      </c>
      <c r="I510" s="16" t="str">
        <f aca="false">IF(G510=0,"Not Invoiced","Invoiced")</f>
        <v>Invoiced</v>
      </c>
      <c r="J510" s="18" t="n">
        <f aca="false">E510-F510</f>
        <v>0</v>
      </c>
      <c r="K510" s="18" t="n">
        <f aca="false">E510-G510</f>
        <v>0</v>
      </c>
      <c r="L510" s="16" t="str">
        <f aca="false">IF(OR(AND(I510="Invoiced",H510="Not Received"),AND(F510&gt;0,ABS(J510)&gt;Assumptions!$B$6),AND(G510&gt;0,ABS(K510)&gt;Assumptions!$B$6)),"EXCEPTION","OK")</f>
        <v>OK</v>
      </c>
    </row>
    <row r="511" customFormat="false" ht="15" hidden="false" customHeight="false" outlineLevel="0" collapsed="false">
      <c r="A511" s="16" t="str">
        <f aca="false">Purchase_Orders!A508</f>
        <v>PO10507</v>
      </c>
      <c r="B511" s="16" t="str">
        <f aca="false">Purchase_Orders!B508</f>
        <v>V1029</v>
      </c>
      <c r="C511" s="16" t="str">
        <f aca="false">IFERROR(INDEX(Vendor_Master!$B$2:$B$41,MATCH(B511,Vendor_Master!$A$2:$A$41,0)),"Unknown Vendor")</f>
        <v>Chavez Ltd</v>
      </c>
      <c r="D511" s="17" t="n">
        <f aca="false">Purchase_Orders!C508</f>
        <v>45865</v>
      </c>
      <c r="E511" s="18" t="n">
        <f aca="false">Purchase_Orders!D508</f>
        <v>3221.77</v>
      </c>
      <c r="F511" s="18" t="n">
        <f aca="false">SUMIFS(Goods_Receipt_Notes!$D$2:$D$791,Goods_Receipt_Notes!$B$2:$B$791,A511)</f>
        <v>3221.77</v>
      </c>
      <c r="G511" s="18" t="n">
        <f aca="false">SUMIFS(Vendor_Invoices_AP!$E$2:$E$882,Vendor_Invoices_AP!$B$2:$B$882,A511)</f>
        <v>3221.77</v>
      </c>
      <c r="H511" s="16" t="str">
        <f aca="false">IF(F511=0,"Not Received","Received")</f>
        <v>Received</v>
      </c>
      <c r="I511" s="16" t="str">
        <f aca="false">IF(G511=0,"Not Invoiced","Invoiced")</f>
        <v>Invoiced</v>
      </c>
      <c r="J511" s="18" t="n">
        <f aca="false">E511-F511</f>
        <v>0</v>
      </c>
      <c r="K511" s="18" t="n">
        <f aca="false">E511-G511</f>
        <v>0</v>
      </c>
      <c r="L511" s="16" t="str">
        <f aca="false">IF(OR(AND(I511="Invoiced",H511="Not Received"),AND(F511&gt;0,ABS(J511)&gt;Assumptions!$B$6),AND(G511&gt;0,ABS(K511)&gt;Assumptions!$B$6)),"EXCEPTION","OK")</f>
        <v>OK</v>
      </c>
    </row>
    <row r="512" customFormat="false" ht="15" hidden="false" customHeight="false" outlineLevel="0" collapsed="false">
      <c r="A512" s="16" t="str">
        <f aca="false">Purchase_Orders!A509</f>
        <v>PO10508</v>
      </c>
      <c r="B512" s="16" t="str">
        <f aca="false">Purchase_Orders!B509</f>
        <v>V1029</v>
      </c>
      <c r="C512" s="16" t="str">
        <f aca="false">IFERROR(INDEX(Vendor_Master!$B$2:$B$41,MATCH(B512,Vendor_Master!$A$2:$A$41,0)),"Unknown Vendor")</f>
        <v>Chavez Ltd</v>
      </c>
      <c r="D512" s="17" t="n">
        <f aca="false">Purchase_Orders!C509</f>
        <v>45830</v>
      </c>
      <c r="E512" s="18" t="n">
        <f aca="false">Purchase_Orders!D509</f>
        <v>130.66</v>
      </c>
      <c r="F512" s="18" t="n">
        <f aca="false">SUMIFS(Goods_Receipt_Notes!$D$2:$D$791,Goods_Receipt_Notes!$B$2:$B$791,A512)</f>
        <v>130.66</v>
      </c>
      <c r="G512" s="18" t="n">
        <f aca="false">SUMIFS(Vendor_Invoices_AP!$E$2:$E$882,Vendor_Invoices_AP!$B$2:$B$882,A512)</f>
        <v>130.66</v>
      </c>
      <c r="H512" s="16" t="str">
        <f aca="false">IF(F512=0,"Not Received","Received")</f>
        <v>Received</v>
      </c>
      <c r="I512" s="16" t="str">
        <f aca="false">IF(G512=0,"Not Invoiced","Invoiced")</f>
        <v>Invoiced</v>
      </c>
      <c r="J512" s="18" t="n">
        <f aca="false">E512-F512</f>
        <v>0</v>
      </c>
      <c r="K512" s="18" t="n">
        <f aca="false">E512-G512</f>
        <v>0</v>
      </c>
      <c r="L512" s="16" t="str">
        <f aca="false">IF(OR(AND(I512="Invoiced",H512="Not Received"),AND(F512&gt;0,ABS(J512)&gt;Assumptions!$B$6),AND(G512&gt;0,ABS(K512)&gt;Assumptions!$B$6)),"EXCEPTION","OK")</f>
        <v>OK</v>
      </c>
    </row>
    <row r="513" customFormat="false" ht="15" hidden="false" customHeight="false" outlineLevel="0" collapsed="false">
      <c r="A513" s="16" t="str">
        <f aca="false">Purchase_Orders!A510</f>
        <v>PO10509</v>
      </c>
      <c r="B513" s="16" t="str">
        <f aca="false">Purchase_Orders!B510</f>
        <v>V1014</v>
      </c>
      <c r="C513" s="16" t="str">
        <f aca="false">IFERROR(INDEX(Vendor_Master!$B$2:$B$41,MATCH(B513,Vendor_Master!$A$2:$A$41,0)),"Unknown Vendor")</f>
        <v>Flowers, Martin and Kelly</v>
      </c>
      <c r="D513" s="17" t="n">
        <f aca="false">Purchase_Orders!C510</f>
        <v>46049</v>
      </c>
      <c r="E513" s="18" t="n">
        <f aca="false">Purchase_Orders!D510</f>
        <v>1768.65</v>
      </c>
      <c r="F513" s="18" t="n">
        <f aca="false">SUMIFS(Goods_Receipt_Notes!$D$2:$D$791,Goods_Receipt_Notes!$B$2:$B$791,A513)</f>
        <v>0</v>
      </c>
      <c r="G513" s="18" t="n">
        <f aca="false">SUMIFS(Vendor_Invoices_AP!$E$2:$E$882,Vendor_Invoices_AP!$B$2:$B$882,A513)</f>
        <v>1768.65</v>
      </c>
      <c r="H513" s="16" t="str">
        <f aca="false">IF(F513=0,"Not Received","Received")</f>
        <v>Not Received</v>
      </c>
      <c r="I513" s="16" t="str">
        <f aca="false">IF(G513=0,"Not Invoiced","Invoiced")</f>
        <v>Invoiced</v>
      </c>
      <c r="J513" s="18" t="n">
        <f aca="false">E513-F513</f>
        <v>1768.65</v>
      </c>
      <c r="K513" s="18" t="n">
        <f aca="false">E513-G513</f>
        <v>0</v>
      </c>
      <c r="L513" s="16" t="str">
        <f aca="false">IF(OR(AND(I513="Invoiced",H513="Not Received"),AND(F513&gt;0,ABS(J513)&gt;Assumptions!$B$6),AND(G513&gt;0,ABS(K513)&gt;Assumptions!$B$6)),"EXCEPTION","OK")</f>
        <v>EXCEPTION</v>
      </c>
    </row>
    <row r="514" customFormat="false" ht="15" hidden="false" customHeight="false" outlineLevel="0" collapsed="false">
      <c r="A514" s="16" t="str">
        <f aca="false">Purchase_Orders!A511</f>
        <v>PO10510</v>
      </c>
      <c r="B514" s="16" t="str">
        <f aca="false">Purchase_Orders!B511</f>
        <v>V1034</v>
      </c>
      <c r="C514" s="16" t="str">
        <f aca="false">IFERROR(INDEX(Vendor_Master!$B$2:$B$41,MATCH(B514,Vendor_Master!$A$2:$A$41,0)),"Unknown Vendor")</f>
        <v>Koch-Decker</v>
      </c>
      <c r="D514" s="17" t="n">
        <f aca="false">Purchase_Orders!C511</f>
        <v>46071</v>
      </c>
      <c r="E514" s="18" t="n">
        <f aca="false">Purchase_Orders!D511</f>
        <v>359.03</v>
      </c>
      <c r="F514" s="18" t="n">
        <f aca="false">SUMIFS(Goods_Receipt_Notes!$D$2:$D$791,Goods_Receipt_Notes!$B$2:$B$791,A514)</f>
        <v>359.03</v>
      </c>
      <c r="G514" s="18" t="n">
        <f aca="false">SUMIFS(Vendor_Invoices_AP!$E$2:$E$882,Vendor_Invoices_AP!$B$2:$B$882,A514)</f>
        <v>359.03</v>
      </c>
      <c r="H514" s="16" t="str">
        <f aca="false">IF(F514=0,"Not Received","Received")</f>
        <v>Received</v>
      </c>
      <c r="I514" s="16" t="str">
        <f aca="false">IF(G514=0,"Not Invoiced","Invoiced")</f>
        <v>Invoiced</v>
      </c>
      <c r="J514" s="18" t="n">
        <f aca="false">E514-F514</f>
        <v>0</v>
      </c>
      <c r="K514" s="18" t="n">
        <f aca="false">E514-G514</f>
        <v>0</v>
      </c>
      <c r="L514" s="16" t="str">
        <f aca="false">IF(OR(AND(I514="Invoiced",H514="Not Received"),AND(F514&gt;0,ABS(J514)&gt;Assumptions!$B$6),AND(G514&gt;0,ABS(K514)&gt;Assumptions!$B$6)),"EXCEPTION","OK")</f>
        <v>OK</v>
      </c>
    </row>
    <row r="515" customFormat="false" ht="15" hidden="false" customHeight="false" outlineLevel="0" collapsed="false">
      <c r="A515" s="16" t="str">
        <f aca="false">Purchase_Orders!A512</f>
        <v>PO10511</v>
      </c>
      <c r="B515" s="16" t="str">
        <f aca="false">Purchase_Orders!B512</f>
        <v>V1017</v>
      </c>
      <c r="C515" s="16" t="str">
        <f aca="false">IFERROR(INDEX(Vendor_Master!$B$2:$B$41,MATCH(B515,Vendor_Master!$A$2:$A$41,0)),"Unknown Vendor")</f>
        <v>Hawkins, Cohen and Cameron</v>
      </c>
      <c r="D515" s="17" t="n">
        <f aca="false">Purchase_Orders!C512</f>
        <v>46133</v>
      </c>
      <c r="E515" s="18" t="n">
        <f aca="false">Purchase_Orders!D512</f>
        <v>2508.58</v>
      </c>
      <c r="F515" s="18" t="n">
        <f aca="false">SUMIFS(Goods_Receipt_Notes!$D$2:$D$791,Goods_Receipt_Notes!$B$2:$B$791,A515)</f>
        <v>2508.58</v>
      </c>
      <c r="G515" s="18" t="n">
        <f aca="false">SUMIFS(Vendor_Invoices_AP!$E$2:$E$882,Vendor_Invoices_AP!$B$2:$B$882,A515)</f>
        <v>2508.58</v>
      </c>
      <c r="H515" s="16" t="str">
        <f aca="false">IF(F515=0,"Not Received","Received")</f>
        <v>Received</v>
      </c>
      <c r="I515" s="16" t="str">
        <f aca="false">IF(G515=0,"Not Invoiced","Invoiced")</f>
        <v>Invoiced</v>
      </c>
      <c r="J515" s="18" t="n">
        <f aca="false">E515-F515</f>
        <v>0</v>
      </c>
      <c r="K515" s="18" t="n">
        <f aca="false">E515-G515</f>
        <v>0</v>
      </c>
      <c r="L515" s="16" t="str">
        <f aca="false">IF(OR(AND(I515="Invoiced",H515="Not Received"),AND(F515&gt;0,ABS(J515)&gt;Assumptions!$B$6),AND(G515&gt;0,ABS(K515)&gt;Assumptions!$B$6)),"EXCEPTION","OK")</f>
        <v>OK</v>
      </c>
    </row>
    <row r="516" customFormat="false" ht="15" hidden="false" customHeight="false" outlineLevel="0" collapsed="false">
      <c r="A516" s="16" t="str">
        <f aca="false">Purchase_Orders!A513</f>
        <v>PO10512</v>
      </c>
      <c r="B516" s="16" t="str">
        <f aca="false">Purchase_Orders!B513</f>
        <v>V1016</v>
      </c>
      <c r="C516" s="16" t="str">
        <f aca="false">IFERROR(INDEX(Vendor_Master!$B$2:$B$41,MATCH(B516,Vendor_Master!$A$2:$A$41,0)),"Unknown Vendor")</f>
        <v>Sanchez, Ford and Nelson</v>
      </c>
      <c r="D516" s="17" t="n">
        <f aca="false">Purchase_Orders!C513</f>
        <v>45677</v>
      </c>
      <c r="E516" s="18" t="n">
        <f aca="false">Purchase_Orders!D513</f>
        <v>730.52</v>
      </c>
      <c r="F516" s="18" t="n">
        <f aca="false">SUMIFS(Goods_Receipt_Notes!$D$2:$D$791,Goods_Receipt_Notes!$B$2:$B$791,A516)</f>
        <v>730.52</v>
      </c>
      <c r="G516" s="18" t="n">
        <f aca="false">SUMIFS(Vendor_Invoices_AP!$E$2:$E$882,Vendor_Invoices_AP!$B$2:$B$882,A516)</f>
        <v>730.52</v>
      </c>
      <c r="H516" s="16" t="str">
        <f aca="false">IF(F516=0,"Not Received","Received")</f>
        <v>Received</v>
      </c>
      <c r="I516" s="16" t="str">
        <f aca="false">IF(G516=0,"Not Invoiced","Invoiced")</f>
        <v>Invoiced</v>
      </c>
      <c r="J516" s="18" t="n">
        <f aca="false">E516-F516</f>
        <v>0</v>
      </c>
      <c r="K516" s="18" t="n">
        <f aca="false">E516-G516</f>
        <v>0</v>
      </c>
      <c r="L516" s="16" t="str">
        <f aca="false">IF(OR(AND(I516="Invoiced",H516="Not Received"),AND(F516&gt;0,ABS(J516)&gt;Assumptions!$B$6),AND(G516&gt;0,ABS(K516)&gt;Assumptions!$B$6)),"EXCEPTION","OK")</f>
        <v>OK</v>
      </c>
    </row>
    <row r="517" customFormat="false" ht="15" hidden="false" customHeight="false" outlineLevel="0" collapsed="false">
      <c r="A517" s="16" t="str">
        <f aca="false">Purchase_Orders!A514</f>
        <v>PO10513</v>
      </c>
      <c r="B517" s="16" t="str">
        <f aca="false">Purchase_Orders!B514</f>
        <v>V1010</v>
      </c>
      <c r="C517" s="16" t="str">
        <f aca="false">IFERROR(INDEX(Vendor_Master!$B$2:$B$41,MATCH(B517,Vendor_Master!$A$2:$A$41,0)),"Unknown Vendor")</f>
        <v>Martinez, Nielsen and Miller</v>
      </c>
      <c r="D517" s="17" t="n">
        <f aca="false">Purchase_Orders!C514</f>
        <v>45695</v>
      </c>
      <c r="E517" s="18" t="n">
        <f aca="false">Purchase_Orders!D514</f>
        <v>1846.15</v>
      </c>
      <c r="F517" s="18" t="n">
        <f aca="false">SUMIFS(Goods_Receipt_Notes!$D$2:$D$791,Goods_Receipt_Notes!$B$2:$B$791,A517)</f>
        <v>1846.15</v>
      </c>
      <c r="G517" s="18" t="n">
        <f aca="false">SUMIFS(Vendor_Invoices_AP!$E$2:$E$882,Vendor_Invoices_AP!$B$2:$B$882,A517)</f>
        <v>1846.15</v>
      </c>
      <c r="H517" s="16" t="str">
        <f aca="false">IF(F517=0,"Not Received","Received")</f>
        <v>Received</v>
      </c>
      <c r="I517" s="16" t="str">
        <f aca="false">IF(G517=0,"Not Invoiced","Invoiced")</f>
        <v>Invoiced</v>
      </c>
      <c r="J517" s="18" t="n">
        <f aca="false">E517-F517</f>
        <v>0</v>
      </c>
      <c r="K517" s="18" t="n">
        <f aca="false">E517-G517</f>
        <v>0</v>
      </c>
      <c r="L517" s="16" t="str">
        <f aca="false">IF(OR(AND(I517="Invoiced",H517="Not Received"),AND(F517&gt;0,ABS(J517)&gt;Assumptions!$B$6),AND(G517&gt;0,ABS(K517)&gt;Assumptions!$B$6)),"EXCEPTION","OK")</f>
        <v>OK</v>
      </c>
    </row>
    <row r="518" customFormat="false" ht="15" hidden="false" customHeight="false" outlineLevel="0" collapsed="false">
      <c r="A518" s="16" t="str">
        <f aca="false">Purchase_Orders!A515</f>
        <v>PO10514</v>
      </c>
      <c r="B518" s="16" t="str">
        <f aca="false">Purchase_Orders!B515</f>
        <v>V1018</v>
      </c>
      <c r="C518" s="16" t="str">
        <f aca="false">IFERROR(INDEX(Vendor_Master!$B$2:$B$41,MATCH(B518,Vendor_Master!$A$2:$A$41,0)),"Unknown Vendor")</f>
        <v>Underwood LLC</v>
      </c>
      <c r="D518" s="17" t="n">
        <f aca="false">Purchase_Orders!C515</f>
        <v>46001</v>
      </c>
      <c r="E518" s="18" t="n">
        <f aca="false">Purchase_Orders!D515</f>
        <v>1888.25</v>
      </c>
      <c r="F518" s="18" t="n">
        <f aca="false">SUMIFS(Goods_Receipt_Notes!$D$2:$D$791,Goods_Receipt_Notes!$B$2:$B$791,A518)</f>
        <v>0</v>
      </c>
      <c r="G518" s="18" t="n">
        <f aca="false">SUMIFS(Vendor_Invoices_AP!$E$2:$E$882,Vendor_Invoices_AP!$B$2:$B$882,A518)</f>
        <v>1888.25</v>
      </c>
      <c r="H518" s="16" t="str">
        <f aca="false">IF(F518=0,"Not Received","Received")</f>
        <v>Not Received</v>
      </c>
      <c r="I518" s="16" t="str">
        <f aca="false">IF(G518=0,"Not Invoiced","Invoiced")</f>
        <v>Invoiced</v>
      </c>
      <c r="J518" s="18" t="n">
        <f aca="false">E518-F518</f>
        <v>1888.25</v>
      </c>
      <c r="K518" s="18" t="n">
        <f aca="false">E518-G518</f>
        <v>0</v>
      </c>
      <c r="L518" s="16" t="str">
        <f aca="false">IF(OR(AND(I518="Invoiced",H518="Not Received"),AND(F518&gt;0,ABS(J518)&gt;Assumptions!$B$6),AND(G518&gt;0,ABS(K518)&gt;Assumptions!$B$6)),"EXCEPTION","OK")</f>
        <v>EXCEPTION</v>
      </c>
    </row>
    <row r="519" customFormat="false" ht="15" hidden="false" customHeight="false" outlineLevel="0" collapsed="false">
      <c r="A519" s="16" t="str">
        <f aca="false">Purchase_Orders!A516</f>
        <v>PO10515</v>
      </c>
      <c r="B519" s="16" t="str">
        <f aca="false">Purchase_Orders!B516</f>
        <v>V1032</v>
      </c>
      <c r="C519" s="16" t="str">
        <f aca="false">IFERROR(INDEX(Vendor_Master!$B$2:$B$41,MATCH(B519,Vendor_Master!$A$2:$A$41,0)),"Unknown Vendor")</f>
        <v>Lynch, Hernandez and Farmer</v>
      </c>
      <c r="D519" s="17" t="n">
        <f aca="false">Purchase_Orders!C516</f>
        <v>46159</v>
      </c>
      <c r="E519" s="18" t="n">
        <f aca="false">Purchase_Orders!D516</f>
        <v>3364.21</v>
      </c>
      <c r="F519" s="18" t="n">
        <f aca="false">SUMIFS(Goods_Receipt_Notes!$D$2:$D$791,Goods_Receipt_Notes!$B$2:$B$791,A519)</f>
        <v>3364.21</v>
      </c>
      <c r="G519" s="18" t="n">
        <f aca="false">SUMIFS(Vendor_Invoices_AP!$E$2:$E$882,Vendor_Invoices_AP!$B$2:$B$882,A519)</f>
        <v>3364.21</v>
      </c>
      <c r="H519" s="16" t="str">
        <f aca="false">IF(F519=0,"Not Received","Received")</f>
        <v>Received</v>
      </c>
      <c r="I519" s="16" t="str">
        <f aca="false">IF(G519=0,"Not Invoiced","Invoiced")</f>
        <v>Invoiced</v>
      </c>
      <c r="J519" s="18" t="n">
        <f aca="false">E519-F519</f>
        <v>0</v>
      </c>
      <c r="K519" s="18" t="n">
        <f aca="false">E519-G519</f>
        <v>0</v>
      </c>
      <c r="L519" s="16" t="str">
        <f aca="false">IF(OR(AND(I519="Invoiced",H519="Not Received"),AND(F519&gt;0,ABS(J519)&gt;Assumptions!$B$6),AND(G519&gt;0,ABS(K519)&gt;Assumptions!$B$6)),"EXCEPTION","OK")</f>
        <v>OK</v>
      </c>
    </row>
    <row r="520" customFormat="false" ht="15" hidden="false" customHeight="false" outlineLevel="0" collapsed="false">
      <c r="A520" s="16" t="str">
        <f aca="false">Purchase_Orders!A517</f>
        <v>PO10516</v>
      </c>
      <c r="B520" s="16" t="str">
        <f aca="false">Purchase_Orders!B517</f>
        <v>V1032</v>
      </c>
      <c r="C520" s="16" t="str">
        <f aca="false">IFERROR(INDEX(Vendor_Master!$B$2:$B$41,MATCH(B520,Vendor_Master!$A$2:$A$41,0)),"Unknown Vendor")</f>
        <v>Lynch, Hernandez and Farmer</v>
      </c>
      <c r="D520" s="17" t="n">
        <f aca="false">Purchase_Orders!C517</f>
        <v>46201</v>
      </c>
      <c r="E520" s="18" t="n">
        <f aca="false">Purchase_Orders!D517</f>
        <v>503.75</v>
      </c>
      <c r="F520" s="18" t="n">
        <f aca="false">SUMIFS(Goods_Receipt_Notes!$D$2:$D$791,Goods_Receipt_Notes!$B$2:$B$791,A520)</f>
        <v>0</v>
      </c>
      <c r="G520" s="18" t="n">
        <f aca="false">SUMIFS(Vendor_Invoices_AP!$E$2:$E$882,Vendor_Invoices_AP!$B$2:$B$882,A520)</f>
        <v>503.75</v>
      </c>
      <c r="H520" s="16" t="str">
        <f aca="false">IF(F520=0,"Not Received","Received")</f>
        <v>Not Received</v>
      </c>
      <c r="I520" s="16" t="str">
        <f aca="false">IF(G520=0,"Not Invoiced","Invoiced")</f>
        <v>Invoiced</v>
      </c>
      <c r="J520" s="18" t="n">
        <f aca="false">E520-F520</f>
        <v>503.75</v>
      </c>
      <c r="K520" s="18" t="n">
        <f aca="false">E520-G520</f>
        <v>0</v>
      </c>
      <c r="L520" s="16" t="str">
        <f aca="false">IF(OR(AND(I520="Invoiced",H520="Not Received"),AND(F520&gt;0,ABS(J520)&gt;Assumptions!$B$6),AND(G520&gt;0,ABS(K520)&gt;Assumptions!$B$6)),"EXCEPTION","OK")</f>
        <v>EXCEPTION</v>
      </c>
    </row>
    <row r="521" customFormat="false" ht="15" hidden="false" customHeight="false" outlineLevel="0" collapsed="false">
      <c r="A521" s="16" t="str">
        <f aca="false">Purchase_Orders!A518</f>
        <v>PO10517</v>
      </c>
      <c r="B521" s="16" t="str">
        <f aca="false">Purchase_Orders!B518</f>
        <v>V1012</v>
      </c>
      <c r="C521" s="16" t="str">
        <f aca="false">IFERROR(INDEX(Vendor_Master!$B$2:$B$41,MATCH(B521,Vendor_Master!$A$2:$A$41,0)),"Unknown Vendor")</f>
        <v>Stanley LLC</v>
      </c>
      <c r="D521" s="17" t="n">
        <f aca="false">Purchase_Orders!C518</f>
        <v>46064</v>
      </c>
      <c r="E521" s="18" t="n">
        <f aca="false">Purchase_Orders!D518</f>
        <v>28542.14</v>
      </c>
      <c r="F521" s="18" t="n">
        <f aca="false">SUMIFS(Goods_Receipt_Notes!$D$2:$D$791,Goods_Receipt_Notes!$B$2:$B$791,A521)</f>
        <v>28542.14</v>
      </c>
      <c r="G521" s="18" t="n">
        <f aca="false">SUMIFS(Vendor_Invoices_AP!$E$2:$E$882,Vendor_Invoices_AP!$B$2:$B$882,A521)</f>
        <v>28542.14</v>
      </c>
      <c r="H521" s="16" t="str">
        <f aca="false">IF(F521=0,"Not Received","Received")</f>
        <v>Received</v>
      </c>
      <c r="I521" s="16" t="str">
        <f aca="false">IF(G521=0,"Not Invoiced","Invoiced")</f>
        <v>Invoiced</v>
      </c>
      <c r="J521" s="18" t="n">
        <f aca="false">E521-F521</f>
        <v>0</v>
      </c>
      <c r="K521" s="18" t="n">
        <f aca="false">E521-G521</f>
        <v>0</v>
      </c>
      <c r="L521" s="16" t="str">
        <f aca="false">IF(OR(AND(I521="Invoiced",H521="Not Received"),AND(F521&gt;0,ABS(J521)&gt;Assumptions!$B$6),AND(G521&gt;0,ABS(K521)&gt;Assumptions!$B$6)),"EXCEPTION","OK")</f>
        <v>OK</v>
      </c>
    </row>
    <row r="522" customFormat="false" ht="15" hidden="false" customHeight="false" outlineLevel="0" collapsed="false">
      <c r="A522" s="16" t="str">
        <f aca="false">Purchase_Orders!A519</f>
        <v>PO10518</v>
      </c>
      <c r="B522" s="16" t="str">
        <f aca="false">Purchase_Orders!B519</f>
        <v>V1033</v>
      </c>
      <c r="C522" s="16" t="str">
        <f aca="false">IFERROR(INDEX(Vendor_Master!$B$2:$B$41,MATCH(B522,Vendor_Master!$A$2:$A$41,0)),"Unknown Vendor")</f>
        <v>Sellers, George and Burns</v>
      </c>
      <c r="D522" s="17" t="n">
        <f aca="false">Purchase_Orders!C519</f>
        <v>45894</v>
      </c>
      <c r="E522" s="18" t="n">
        <f aca="false">Purchase_Orders!D519</f>
        <v>13194.36</v>
      </c>
      <c r="F522" s="18" t="n">
        <f aca="false">SUMIFS(Goods_Receipt_Notes!$D$2:$D$791,Goods_Receipt_Notes!$B$2:$B$791,A522)</f>
        <v>13194.36</v>
      </c>
      <c r="G522" s="18" t="n">
        <f aca="false">SUMIFS(Vendor_Invoices_AP!$E$2:$E$882,Vendor_Invoices_AP!$B$2:$B$882,A522)</f>
        <v>13194.36</v>
      </c>
      <c r="H522" s="16" t="str">
        <f aca="false">IF(F522=0,"Not Received","Received")</f>
        <v>Received</v>
      </c>
      <c r="I522" s="16" t="str">
        <f aca="false">IF(G522=0,"Not Invoiced","Invoiced")</f>
        <v>Invoiced</v>
      </c>
      <c r="J522" s="18" t="n">
        <f aca="false">E522-F522</f>
        <v>0</v>
      </c>
      <c r="K522" s="18" t="n">
        <f aca="false">E522-G522</f>
        <v>0</v>
      </c>
      <c r="L522" s="16" t="str">
        <f aca="false">IF(OR(AND(I522="Invoiced",H522="Not Received"),AND(F522&gt;0,ABS(J522)&gt;Assumptions!$B$6),AND(G522&gt;0,ABS(K522)&gt;Assumptions!$B$6)),"EXCEPTION","OK")</f>
        <v>OK</v>
      </c>
    </row>
    <row r="523" customFormat="false" ht="15" hidden="false" customHeight="false" outlineLevel="0" collapsed="false">
      <c r="A523" s="16" t="str">
        <f aca="false">Purchase_Orders!A520</f>
        <v>PO10519</v>
      </c>
      <c r="B523" s="16" t="str">
        <f aca="false">Purchase_Orders!B520</f>
        <v>V1019</v>
      </c>
      <c r="C523" s="16" t="str">
        <f aca="false">IFERROR(INDEX(Vendor_Master!$B$2:$B$41,MATCH(B523,Vendor_Master!$A$2:$A$41,0)),"Unknown Vendor")</f>
        <v>Clark PLC</v>
      </c>
      <c r="D523" s="17" t="n">
        <f aca="false">Purchase_Orders!C520</f>
        <v>45711</v>
      </c>
      <c r="E523" s="18" t="n">
        <f aca="false">Purchase_Orders!D520</f>
        <v>4569.01</v>
      </c>
      <c r="F523" s="18" t="n">
        <f aca="false">SUMIFS(Goods_Receipt_Notes!$D$2:$D$791,Goods_Receipt_Notes!$B$2:$B$791,A523)</f>
        <v>4569.01</v>
      </c>
      <c r="G523" s="18" t="n">
        <f aca="false">SUMIFS(Vendor_Invoices_AP!$E$2:$E$882,Vendor_Invoices_AP!$B$2:$B$882,A523)</f>
        <v>4569.01</v>
      </c>
      <c r="H523" s="16" t="str">
        <f aca="false">IF(F523=0,"Not Received","Received")</f>
        <v>Received</v>
      </c>
      <c r="I523" s="16" t="str">
        <f aca="false">IF(G523=0,"Not Invoiced","Invoiced")</f>
        <v>Invoiced</v>
      </c>
      <c r="J523" s="18" t="n">
        <f aca="false">E523-F523</f>
        <v>0</v>
      </c>
      <c r="K523" s="18" t="n">
        <f aca="false">E523-G523</f>
        <v>0</v>
      </c>
      <c r="L523" s="16" t="str">
        <f aca="false">IF(OR(AND(I523="Invoiced",H523="Not Received"),AND(F523&gt;0,ABS(J523)&gt;Assumptions!$B$6),AND(G523&gt;0,ABS(K523)&gt;Assumptions!$B$6)),"EXCEPTION","OK")</f>
        <v>OK</v>
      </c>
    </row>
    <row r="524" customFormat="false" ht="15" hidden="false" customHeight="false" outlineLevel="0" collapsed="false">
      <c r="A524" s="16" t="str">
        <f aca="false">Purchase_Orders!A521</f>
        <v>PO10520</v>
      </c>
      <c r="B524" s="16" t="str">
        <f aca="false">Purchase_Orders!B521</f>
        <v>V1034</v>
      </c>
      <c r="C524" s="16" t="str">
        <f aca="false">IFERROR(INDEX(Vendor_Master!$B$2:$B$41,MATCH(B524,Vendor_Master!$A$2:$A$41,0)),"Unknown Vendor")</f>
        <v>Koch-Decker</v>
      </c>
      <c r="D524" s="17" t="n">
        <f aca="false">Purchase_Orders!C521</f>
        <v>46003</v>
      </c>
      <c r="E524" s="18" t="n">
        <f aca="false">Purchase_Orders!D521</f>
        <v>999.65</v>
      </c>
      <c r="F524" s="18" t="n">
        <f aca="false">SUMIFS(Goods_Receipt_Notes!$D$2:$D$791,Goods_Receipt_Notes!$B$2:$B$791,A524)</f>
        <v>999.65</v>
      </c>
      <c r="G524" s="18" t="n">
        <f aca="false">SUMIFS(Vendor_Invoices_AP!$E$2:$E$882,Vendor_Invoices_AP!$B$2:$B$882,A524)</f>
        <v>999.65</v>
      </c>
      <c r="H524" s="16" t="str">
        <f aca="false">IF(F524=0,"Not Received","Received")</f>
        <v>Received</v>
      </c>
      <c r="I524" s="16" t="str">
        <f aca="false">IF(G524=0,"Not Invoiced","Invoiced")</f>
        <v>Invoiced</v>
      </c>
      <c r="J524" s="18" t="n">
        <f aca="false">E524-F524</f>
        <v>0</v>
      </c>
      <c r="K524" s="18" t="n">
        <f aca="false">E524-G524</f>
        <v>0</v>
      </c>
      <c r="L524" s="16" t="str">
        <f aca="false">IF(OR(AND(I524="Invoiced",H524="Not Received"),AND(F524&gt;0,ABS(J524)&gt;Assumptions!$B$6),AND(G524&gt;0,ABS(K524)&gt;Assumptions!$B$6)),"EXCEPTION","OK")</f>
        <v>OK</v>
      </c>
    </row>
    <row r="525" customFormat="false" ht="15" hidden="false" customHeight="false" outlineLevel="0" collapsed="false">
      <c r="A525" s="16" t="str">
        <f aca="false">Purchase_Orders!A522</f>
        <v>PO10521</v>
      </c>
      <c r="B525" s="16" t="str">
        <f aca="false">Purchase_Orders!B522</f>
        <v>V1010</v>
      </c>
      <c r="C525" s="16" t="str">
        <f aca="false">IFERROR(INDEX(Vendor_Master!$B$2:$B$41,MATCH(B525,Vendor_Master!$A$2:$A$41,0)),"Unknown Vendor")</f>
        <v>Martinez, Nielsen and Miller</v>
      </c>
      <c r="D525" s="17" t="n">
        <f aca="false">Purchase_Orders!C522</f>
        <v>46133</v>
      </c>
      <c r="E525" s="18" t="n">
        <f aca="false">Purchase_Orders!D522</f>
        <v>2025.11</v>
      </c>
      <c r="F525" s="18" t="n">
        <f aca="false">SUMIFS(Goods_Receipt_Notes!$D$2:$D$791,Goods_Receipt_Notes!$B$2:$B$791,A525)</f>
        <v>2025.11</v>
      </c>
      <c r="G525" s="18" t="n">
        <f aca="false">SUMIFS(Vendor_Invoices_AP!$E$2:$E$882,Vendor_Invoices_AP!$B$2:$B$882,A525)</f>
        <v>4050.22</v>
      </c>
      <c r="H525" s="16" t="str">
        <f aca="false">IF(F525=0,"Not Received","Received")</f>
        <v>Received</v>
      </c>
      <c r="I525" s="16" t="str">
        <f aca="false">IF(G525=0,"Not Invoiced","Invoiced")</f>
        <v>Invoiced</v>
      </c>
      <c r="J525" s="18" t="n">
        <f aca="false">E525-F525</f>
        <v>0</v>
      </c>
      <c r="K525" s="18" t="n">
        <f aca="false">E525-G525</f>
        <v>-2025.11</v>
      </c>
      <c r="L525" s="16" t="str">
        <f aca="false">IF(OR(AND(I525="Invoiced",H525="Not Received"),AND(F525&gt;0,ABS(J525)&gt;Assumptions!$B$6),AND(G525&gt;0,ABS(K525)&gt;Assumptions!$B$6)),"EXCEPTION","OK")</f>
        <v>EXCEPTION</v>
      </c>
    </row>
    <row r="526" customFormat="false" ht="15" hidden="false" customHeight="false" outlineLevel="0" collapsed="false">
      <c r="A526" s="16" t="str">
        <f aca="false">Purchase_Orders!A523</f>
        <v>PO10522</v>
      </c>
      <c r="B526" s="16" t="str">
        <f aca="false">Purchase_Orders!B523</f>
        <v>V1013</v>
      </c>
      <c r="C526" s="16" t="str">
        <f aca="false">IFERROR(INDEX(Vendor_Master!$B$2:$B$41,MATCH(B526,Vendor_Master!$A$2:$A$41,0)),"Unknown Vendor")</f>
        <v>Delacruz Group</v>
      </c>
      <c r="D526" s="17" t="n">
        <f aca="false">Purchase_Orders!C523</f>
        <v>45899</v>
      </c>
      <c r="E526" s="18" t="n">
        <f aca="false">Purchase_Orders!D523</f>
        <v>1346.34</v>
      </c>
      <c r="F526" s="18" t="n">
        <f aca="false">SUMIFS(Goods_Receipt_Notes!$D$2:$D$791,Goods_Receipt_Notes!$B$2:$B$791,A526)</f>
        <v>1346.34</v>
      </c>
      <c r="G526" s="18" t="n">
        <f aca="false">SUMIFS(Vendor_Invoices_AP!$E$2:$E$882,Vendor_Invoices_AP!$B$2:$B$882,A526)</f>
        <v>1346.34</v>
      </c>
      <c r="H526" s="16" t="str">
        <f aca="false">IF(F526=0,"Not Received","Received")</f>
        <v>Received</v>
      </c>
      <c r="I526" s="16" t="str">
        <f aca="false">IF(G526=0,"Not Invoiced","Invoiced")</f>
        <v>Invoiced</v>
      </c>
      <c r="J526" s="18" t="n">
        <f aca="false">E526-F526</f>
        <v>0</v>
      </c>
      <c r="K526" s="18" t="n">
        <f aca="false">E526-G526</f>
        <v>0</v>
      </c>
      <c r="L526" s="16" t="str">
        <f aca="false">IF(OR(AND(I526="Invoiced",H526="Not Received"),AND(F526&gt;0,ABS(J526)&gt;Assumptions!$B$6),AND(G526&gt;0,ABS(K526)&gt;Assumptions!$B$6)),"EXCEPTION","OK")</f>
        <v>OK</v>
      </c>
    </row>
    <row r="527" customFormat="false" ht="15" hidden="false" customHeight="false" outlineLevel="0" collapsed="false">
      <c r="A527" s="16" t="str">
        <f aca="false">Purchase_Orders!A524</f>
        <v>PO10523</v>
      </c>
      <c r="B527" s="16" t="str">
        <f aca="false">Purchase_Orders!B524</f>
        <v>V1017</v>
      </c>
      <c r="C527" s="16" t="str">
        <f aca="false">IFERROR(INDEX(Vendor_Master!$B$2:$B$41,MATCH(B527,Vendor_Master!$A$2:$A$41,0)),"Unknown Vendor")</f>
        <v>Hawkins, Cohen and Cameron</v>
      </c>
      <c r="D527" s="17" t="n">
        <f aca="false">Purchase_Orders!C524</f>
        <v>46036</v>
      </c>
      <c r="E527" s="18" t="n">
        <f aca="false">Purchase_Orders!D524</f>
        <v>473.72</v>
      </c>
      <c r="F527" s="18" t="n">
        <f aca="false">SUMIFS(Goods_Receipt_Notes!$D$2:$D$791,Goods_Receipt_Notes!$B$2:$B$791,A527)</f>
        <v>473.72</v>
      </c>
      <c r="G527" s="18" t="n">
        <f aca="false">SUMIFS(Vendor_Invoices_AP!$E$2:$E$882,Vendor_Invoices_AP!$B$2:$B$882,A527)</f>
        <v>473.72</v>
      </c>
      <c r="H527" s="16" t="str">
        <f aca="false">IF(F527=0,"Not Received","Received")</f>
        <v>Received</v>
      </c>
      <c r="I527" s="16" t="str">
        <f aca="false">IF(G527=0,"Not Invoiced","Invoiced")</f>
        <v>Invoiced</v>
      </c>
      <c r="J527" s="18" t="n">
        <f aca="false">E527-F527</f>
        <v>0</v>
      </c>
      <c r="K527" s="18" t="n">
        <f aca="false">E527-G527</f>
        <v>0</v>
      </c>
      <c r="L527" s="16" t="str">
        <f aca="false">IF(OR(AND(I527="Invoiced",H527="Not Received"),AND(F527&gt;0,ABS(J527)&gt;Assumptions!$B$6),AND(G527&gt;0,ABS(K527)&gt;Assumptions!$B$6)),"EXCEPTION","OK")</f>
        <v>OK</v>
      </c>
    </row>
    <row r="528" customFormat="false" ht="15" hidden="false" customHeight="false" outlineLevel="0" collapsed="false">
      <c r="A528" s="16" t="str">
        <f aca="false">Purchase_Orders!A525</f>
        <v>PO10524</v>
      </c>
      <c r="B528" s="16" t="str">
        <f aca="false">Purchase_Orders!B525</f>
        <v>V1031</v>
      </c>
      <c r="C528" s="16" t="str">
        <f aca="false">IFERROR(INDEX(Vendor_Master!$B$2:$B$41,MATCH(B528,Vendor_Master!$A$2:$A$41,0)),"Unknown Vendor")</f>
        <v>Harrell LLC</v>
      </c>
      <c r="D528" s="17" t="n">
        <f aca="false">Purchase_Orders!C525</f>
        <v>46150</v>
      </c>
      <c r="E528" s="18" t="n">
        <f aca="false">Purchase_Orders!D525</f>
        <v>6567.49</v>
      </c>
      <c r="F528" s="18" t="n">
        <f aca="false">SUMIFS(Goods_Receipt_Notes!$D$2:$D$791,Goods_Receipt_Notes!$B$2:$B$791,A528)</f>
        <v>6567.49</v>
      </c>
      <c r="G528" s="18" t="n">
        <f aca="false">SUMIFS(Vendor_Invoices_AP!$E$2:$E$882,Vendor_Invoices_AP!$B$2:$B$882,A528)</f>
        <v>6567.49</v>
      </c>
      <c r="H528" s="16" t="str">
        <f aca="false">IF(F528=0,"Not Received","Received")</f>
        <v>Received</v>
      </c>
      <c r="I528" s="16" t="str">
        <f aca="false">IF(G528=0,"Not Invoiced","Invoiced")</f>
        <v>Invoiced</v>
      </c>
      <c r="J528" s="18" t="n">
        <f aca="false">E528-F528</f>
        <v>0</v>
      </c>
      <c r="K528" s="18" t="n">
        <f aca="false">E528-G528</f>
        <v>0</v>
      </c>
      <c r="L528" s="16" t="str">
        <f aca="false">IF(OR(AND(I528="Invoiced",H528="Not Received"),AND(F528&gt;0,ABS(J528)&gt;Assumptions!$B$6),AND(G528&gt;0,ABS(K528)&gt;Assumptions!$B$6)),"EXCEPTION","OK")</f>
        <v>OK</v>
      </c>
    </row>
    <row r="529" customFormat="false" ht="15" hidden="false" customHeight="false" outlineLevel="0" collapsed="false">
      <c r="A529" s="16" t="str">
        <f aca="false">Purchase_Orders!A526</f>
        <v>PO10525</v>
      </c>
      <c r="B529" s="16" t="str">
        <f aca="false">Purchase_Orders!B526</f>
        <v>V1017</v>
      </c>
      <c r="C529" s="16" t="str">
        <f aca="false">IFERROR(INDEX(Vendor_Master!$B$2:$B$41,MATCH(B529,Vendor_Master!$A$2:$A$41,0)),"Unknown Vendor")</f>
        <v>Hawkins, Cohen and Cameron</v>
      </c>
      <c r="D529" s="17" t="n">
        <f aca="false">Purchase_Orders!C526</f>
        <v>45683</v>
      </c>
      <c r="E529" s="18" t="n">
        <f aca="false">Purchase_Orders!D526</f>
        <v>2503.97</v>
      </c>
      <c r="F529" s="18" t="n">
        <f aca="false">SUMIFS(Goods_Receipt_Notes!$D$2:$D$791,Goods_Receipt_Notes!$B$2:$B$791,A529)</f>
        <v>2503.97</v>
      </c>
      <c r="G529" s="18" t="n">
        <f aca="false">SUMIFS(Vendor_Invoices_AP!$E$2:$E$882,Vendor_Invoices_AP!$B$2:$B$882,A529)</f>
        <v>2503.97</v>
      </c>
      <c r="H529" s="16" t="str">
        <f aca="false">IF(F529=0,"Not Received","Received")</f>
        <v>Received</v>
      </c>
      <c r="I529" s="16" t="str">
        <f aca="false">IF(G529=0,"Not Invoiced","Invoiced")</f>
        <v>Invoiced</v>
      </c>
      <c r="J529" s="18" t="n">
        <f aca="false">E529-F529</f>
        <v>0</v>
      </c>
      <c r="K529" s="18" t="n">
        <f aca="false">E529-G529</f>
        <v>0</v>
      </c>
      <c r="L529" s="16" t="str">
        <f aca="false">IF(OR(AND(I529="Invoiced",H529="Not Received"),AND(F529&gt;0,ABS(J529)&gt;Assumptions!$B$6),AND(G529&gt;0,ABS(K529)&gt;Assumptions!$B$6)),"EXCEPTION","OK")</f>
        <v>OK</v>
      </c>
    </row>
    <row r="530" customFormat="false" ht="15" hidden="false" customHeight="false" outlineLevel="0" collapsed="false">
      <c r="A530" s="16" t="str">
        <f aca="false">Purchase_Orders!A527</f>
        <v>PO10526</v>
      </c>
      <c r="B530" s="16" t="str">
        <f aca="false">Purchase_Orders!B527</f>
        <v>V1029</v>
      </c>
      <c r="C530" s="16" t="str">
        <f aca="false">IFERROR(INDEX(Vendor_Master!$B$2:$B$41,MATCH(B530,Vendor_Master!$A$2:$A$41,0)),"Unknown Vendor")</f>
        <v>Chavez Ltd</v>
      </c>
      <c r="D530" s="17" t="n">
        <f aca="false">Purchase_Orders!C527</f>
        <v>46091</v>
      </c>
      <c r="E530" s="18" t="n">
        <f aca="false">Purchase_Orders!D527</f>
        <v>4513.74</v>
      </c>
      <c r="F530" s="18" t="n">
        <f aca="false">SUMIFS(Goods_Receipt_Notes!$D$2:$D$791,Goods_Receipt_Notes!$B$2:$B$791,A530)</f>
        <v>4513.74</v>
      </c>
      <c r="G530" s="18" t="n">
        <f aca="false">SUMIFS(Vendor_Invoices_AP!$E$2:$E$882,Vendor_Invoices_AP!$B$2:$B$882,A530)</f>
        <v>4513.74</v>
      </c>
      <c r="H530" s="16" t="str">
        <f aca="false">IF(F530=0,"Not Received","Received")</f>
        <v>Received</v>
      </c>
      <c r="I530" s="16" t="str">
        <f aca="false">IF(G530=0,"Not Invoiced","Invoiced")</f>
        <v>Invoiced</v>
      </c>
      <c r="J530" s="18" t="n">
        <f aca="false">E530-F530</f>
        <v>0</v>
      </c>
      <c r="K530" s="18" t="n">
        <f aca="false">E530-G530</f>
        <v>0</v>
      </c>
      <c r="L530" s="16" t="str">
        <f aca="false">IF(OR(AND(I530="Invoiced",H530="Not Received"),AND(F530&gt;0,ABS(J530)&gt;Assumptions!$B$6),AND(G530&gt;0,ABS(K530)&gt;Assumptions!$B$6)),"EXCEPTION","OK")</f>
        <v>OK</v>
      </c>
    </row>
    <row r="531" customFormat="false" ht="15" hidden="false" customHeight="false" outlineLevel="0" collapsed="false">
      <c r="A531" s="16" t="str">
        <f aca="false">Purchase_Orders!A528</f>
        <v>PO10527</v>
      </c>
      <c r="B531" s="16" t="str">
        <f aca="false">Purchase_Orders!B528</f>
        <v>V1028</v>
      </c>
      <c r="C531" s="16" t="str">
        <f aca="false">IFERROR(INDEX(Vendor_Master!$B$2:$B$41,MATCH(B531,Vendor_Master!$A$2:$A$41,0)),"Unknown Vendor")</f>
        <v>Potter, Mack and Peterson</v>
      </c>
      <c r="D531" s="17" t="n">
        <f aca="false">Purchase_Orders!C528</f>
        <v>45817</v>
      </c>
      <c r="E531" s="18" t="n">
        <f aca="false">Purchase_Orders!D528</f>
        <v>1308.52</v>
      </c>
      <c r="F531" s="18" t="n">
        <f aca="false">SUMIFS(Goods_Receipt_Notes!$D$2:$D$791,Goods_Receipt_Notes!$B$2:$B$791,A531)</f>
        <v>1308.52</v>
      </c>
      <c r="G531" s="18" t="n">
        <f aca="false">SUMIFS(Vendor_Invoices_AP!$E$2:$E$882,Vendor_Invoices_AP!$B$2:$B$882,A531)</f>
        <v>1308.52</v>
      </c>
      <c r="H531" s="16" t="str">
        <f aca="false">IF(F531=0,"Not Received","Received")</f>
        <v>Received</v>
      </c>
      <c r="I531" s="16" t="str">
        <f aca="false">IF(G531=0,"Not Invoiced","Invoiced")</f>
        <v>Invoiced</v>
      </c>
      <c r="J531" s="18" t="n">
        <f aca="false">E531-F531</f>
        <v>0</v>
      </c>
      <c r="K531" s="18" t="n">
        <f aca="false">E531-G531</f>
        <v>0</v>
      </c>
      <c r="L531" s="16" t="str">
        <f aca="false">IF(OR(AND(I531="Invoiced",H531="Not Received"),AND(F531&gt;0,ABS(J531)&gt;Assumptions!$B$6),AND(G531&gt;0,ABS(K531)&gt;Assumptions!$B$6)),"EXCEPTION","OK")</f>
        <v>OK</v>
      </c>
    </row>
    <row r="532" customFormat="false" ht="15" hidden="false" customHeight="false" outlineLevel="0" collapsed="false">
      <c r="A532" s="16" t="str">
        <f aca="false">Purchase_Orders!A529</f>
        <v>PO10528</v>
      </c>
      <c r="B532" s="16" t="str">
        <f aca="false">Purchase_Orders!B529</f>
        <v>V1028</v>
      </c>
      <c r="C532" s="16" t="str">
        <f aca="false">IFERROR(INDEX(Vendor_Master!$B$2:$B$41,MATCH(B532,Vendor_Master!$A$2:$A$41,0)),"Unknown Vendor")</f>
        <v>Potter, Mack and Peterson</v>
      </c>
      <c r="D532" s="17" t="n">
        <f aca="false">Purchase_Orders!C529</f>
        <v>45862</v>
      </c>
      <c r="E532" s="18" t="n">
        <f aca="false">Purchase_Orders!D529</f>
        <v>2254.68</v>
      </c>
      <c r="F532" s="18" t="n">
        <f aca="false">SUMIFS(Goods_Receipt_Notes!$D$2:$D$791,Goods_Receipt_Notes!$B$2:$B$791,A532)</f>
        <v>2254.68</v>
      </c>
      <c r="G532" s="18" t="n">
        <f aca="false">SUMIFS(Vendor_Invoices_AP!$E$2:$E$882,Vendor_Invoices_AP!$B$2:$B$882,A532)</f>
        <v>4509.36</v>
      </c>
      <c r="H532" s="16" t="str">
        <f aca="false">IF(F532=0,"Not Received","Received")</f>
        <v>Received</v>
      </c>
      <c r="I532" s="16" t="str">
        <f aca="false">IF(G532=0,"Not Invoiced","Invoiced")</f>
        <v>Invoiced</v>
      </c>
      <c r="J532" s="18" t="n">
        <f aca="false">E532-F532</f>
        <v>0</v>
      </c>
      <c r="K532" s="18" t="n">
        <f aca="false">E532-G532</f>
        <v>-2254.68</v>
      </c>
      <c r="L532" s="16" t="str">
        <f aca="false">IF(OR(AND(I532="Invoiced",H532="Not Received"),AND(F532&gt;0,ABS(J532)&gt;Assumptions!$B$6),AND(G532&gt;0,ABS(K532)&gt;Assumptions!$B$6)),"EXCEPTION","OK")</f>
        <v>EXCEPTION</v>
      </c>
    </row>
    <row r="533" customFormat="false" ht="15" hidden="false" customHeight="false" outlineLevel="0" collapsed="false">
      <c r="A533" s="16" t="str">
        <f aca="false">Purchase_Orders!A530</f>
        <v>PO10529</v>
      </c>
      <c r="B533" s="16" t="str">
        <f aca="false">Purchase_Orders!B530</f>
        <v>V1023</v>
      </c>
      <c r="C533" s="16" t="str">
        <f aca="false">IFERROR(INDEX(Vendor_Master!$B$2:$B$41,MATCH(B533,Vendor_Master!$A$2:$A$41,0)),"Unknown Vendor")</f>
        <v>Robinson-Bright</v>
      </c>
      <c r="D533" s="17" t="n">
        <f aca="false">Purchase_Orders!C530</f>
        <v>45737</v>
      </c>
      <c r="E533" s="18" t="n">
        <f aca="false">Purchase_Orders!D530</f>
        <v>5770.92</v>
      </c>
      <c r="F533" s="18" t="n">
        <f aca="false">SUMIFS(Goods_Receipt_Notes!$D$2:$D$791,Goods_Receipt_Notes!$B$2:$B$791,A533)</f>
        <v>5770.92</v>
      </c>
      <c r="G533" s="18" t="n">
        <f aca="false">SUMIFS(Vendor_Invoices_AP!$E$2:$E$882,Vendor_Invoices_AP!$B$2:$B$882,A533)</f>
        <v>5770.92</v>
      </c>
      <c r="H533" s="16" t="str">
        <f aca="false">IF(F533=0,"Not Received","Received")</f>
        <v>Received</v>
      </c>
      <c r="I533" s="16" t="str">
        <f aca="false">IF(G533=0,"Not Invoiced","Invoiced")</f>
        <v>Invoiced</v>
      </c>
      <c r="J533" s="18" t="n">
        <f aca="false">E533-F533</f>
        <v>0</v>
      </c>
      <c r="K533" s="18" t="n">
        <f aca="false">E533-G533</f>
        <v>0</v>
      </c>
      <c r="L533" s="16" t="str">
        <f aca="false">IF(OR(AND(I533="Invoiced",H533="Not Received"),AND(F533&gt;0,ABS(J533)&gt;Assumptions!$B$6),AND(G533&gt;0,ABS(K533)&gt;Assumptions!$B$6)),"EXCEPTION","OK")</f>
        <v>OK</v>
      </c>
    </row>
    <row r="534" customFormat="false" ht="15" hidden="false" customHeight="false" outlineLevel="0" collapsed="false">
      <c r="A534" s="16" t="str">
        <f aca="false">Purchase_Orders!A531</f>
        <v>PO10530</v>
      </c>
      <c r="B534" s="16" t="str">
        <f aca="false">Purchase_Orders!B531</f>
        <v>V1016</v>
      </c>
      <c r="C534" s="16" t="str">
        <f aca="false">IFERROR(INDEX(Vendor_Master!$B$2:$B$41,MATCH(B534,Vendor_Master!$A$2:$A$41,0)),"Unknown Vendor")</f>
        <v>Sanchez, Ford and Nelson</v>
      </c>
      <c r="D534" s="17" t="n">
        <f aca="false">Purchase_Orders!C531</f>
        <v>45947</v>
      </c>
      <c r="E534" s="18" t="n">
        <f aca="false">Purchase_Orders!D531</f>
        <v>2271.46</v>
      </c>
      <c r="F534" s="18" t="n">
        <f aca="false">SUMIFS(Goods_Receipt_Notes!$D$2:$D$791,Goods_Receipt_Notes!$B$2:$B$791,A534)</f>
        <v>2271.46</v>
      </c>
      <c r="G534" s="18" t="n">
        <f aca="false">SUMIFS(Vendor_Invoices_AP!$E$2:$E$882,Vendor_Invoices_AP!$B$2:$B$882,A534)</f>
        <v>2271.46</v>
      </c>
      <c r="H534" s="16" t="str">
        <f aca="false">IF(F534=0,"Not Received","Received")</f>
        <v>Received</v>
      </c>
      <c r="I534" s="16" t="str">
        <f aca="false">IF(G534=0,"Not Invoiced","Invoiced")</f>
        <v>Invoiced</v>
      </c>
      <c r="J534" s="18" t="n">
        <f aca="false">E534-F534</f>
        <v>0</v>
      </c>
      <c r="K534" s="18" t="n">
        <f aca="false">E534-G534</f>
        <v>0</v>
      </c>
      <c r="L534" s="16" t="str">
        <f aca="false">IF(OR(AND(I534="Invoiced",H534="Not Received"),AND(F534&gt;0,ABS(J534)&gt;Assumptions!$B$6),AND(G534&gt;0,ABS(K534)&gt;Assumptions!$B$6)),"EXCEPTION","OK")</f>
        <v>OK</v>
      </c>
    </row>
    <row r="535" customFormat="false" ht="15" hidden="false" customHeight="false" outlineLevel="0" collapsed="false">
      <c r="A535" s="16" t="str">
        <f aca="false">Purchase_Orders!A532</f>
        <v>PO10531</v>
      </c>
      <c r="B535" s="16" t="str">
        <f aca="false">Purchase_Orders!B532</f>
        <v>V1012</v>
      </c>
      <c r="C535" s="16" t="str">
        <f aca="false">IFERROR(INDEX(Vendor_Master!$B$2:$B$41,MATCH(B535,Vendor_Master!$A$2:$A$41,0)),"Unknown Vendor")</f>
        <v>Stanley LLC</v>
      </c>
      <c r="D535" s="17" t="n">
        <f aca="false">Purchase_Orders!C532</f>
        <v>45966</v>
      </c>
      <c r="E535" s="18" t="n">
        <f aca="false">Purchase_Orders!D532</f>
        <v>567.17</v>
      </c>
      <c r="F535" s="18" t="n">
        <f aca="false">SUMIFS(Goods_Receipt_Notes!$D$2:$D$791,Goods_Receipt_Notes!$B$2:$B$791,A535)</f>
        <v>567.17</v>
      </c>
      <c r="G535" s="18" t="n">
        <f aca="false">SUMIFS(Vendor_Invoices_AP!$E$2:$E$882,Vendor_Invoices_AP!$B$2:$B$882,A535)</f>
        <v>567.17</v>
      </c>
      <c r="H535" s="16" t="str">
        <f aca="false">IF(F535=0,"Not Received","Received")</f>
        <v>Received</v>
      </c>
      <c r="I535" s="16" t="str">
        <f aca="false">IF(G535=0,"Not Invoiced","Invoiced")</f>
        <v>Invoiced</v>
      </c>
      <c r="J535" s="18" t="n">
        <f aca="false">E535-F535</f>
        <v>0</v>
      </c>
      <c r="K535" s="18" t="n">
        <f aca="false">E535-G535</f>
        <v>0</v>
      </c>
      <c r="L535" s="16" t="str">
        <f aca="false">IF(OR(AND(I535="Invoiced",H535="Not Received"),AND(F535&gt;0,ABS(J535)&gt;Assumptions!$B$6),AND(G535&gt;0,ABS(K535)&gt;Assumptions!$B$6)),"EXCEPTION","OK")</f>
        <v>OK</v>
      </c>
    </row>
    <row r="536" customFormat="false" ht="15" hidden="false" customHeight="false" outlineLevel="0" collapsed="false">
      <c r="A536" s="16" t="str">
        <f aca="false">Purchase_Orders!A533</f>
        <v>PO10532</v>
      </c>
      <c r="B536" s="16" t="str">
        <f aca="false">Purchase_Orders!B533</f>
        <v>V1010</v>
      </c>
      <c r="C536" s="16" t="str">
        <f aca="false">IFERROR(INDEX(Vendor_Master!$B$2:$B$41,MATCH(B536,Vendor_Master!$A$2:$A$41,0)),"Unknown Vendor")</f>
        <v>Martinez, Nielsen and Miller</v>
      </c>
      <c r="D536" s="17" t="n">
        <f aca="false">Purchase_Orders!C533</f>
        <v>46089</v>
      </c>
      <c r="E536" s="18" t="n">
        <f aca="false">Purchase_Orders!D533</f>
        <v>4021.66</v>
      </c>
      <c r="F536" s="18" t="n">
        <f aca="false">SUMIFS(Goods_Receipt_Notes!$D$2:$D$791,Goods_Receipt_Notes!$B$2:$B$791,A536)</f>
        <v>4021.66</v>
      </c>
      <c r="G536" s="18" t="n">
        <f aca="false">SUMIFS(Vendor_Invoices_AP!$E$2:$E$882,Vendor_Invoices_AP!$B$2:$B$882,A536)</f>
        <v>4021.66</v>
      </c>
      <c r="H536" s="16" t="str">
        <f aca="false">IF(F536=0,"Not Received","Received")</f>
        <v>Received</v>
      </c>
      <c r="I536" s="16" t="str">
        <f aca="false">IF(G536=0,"Not Invoiced","Invoiced")</f>
        <v>Invoiced</v>
      </c>
      <c r="J536" s="18" t="n">
        <f aca="false">E536-F536</f>
        <v>0</v>
      </c>
      <c r="K536" s="18" t="n">
        <f aca="false">E536-G536</f>
        <v>0</v>
      </c>
      <c r="L536" s="16" t="str">
        <f aca="false">IF(OR(AND(I536="Invoiced",H536="Not Received"),AND(F536&gt;0,ABS(J536)&gt;Assumptions!$B$6),AND(G536&gt;0,ABS(K536)&gt;Assumptions!$B$6)),"EXCEPTION","OK")</f>
        <v>OK</v>
      </c>
    </row>
    <row r="537" customFormat="false" ht="15" hidden="false" customHeight="false" outlineLevel="0" collapsed="false">
      <c r="A537" s="16" t="str">
        <f aca="false">Purchase_Orders!A534</f>
        <v>PO10533</v>
      </c>
      <c r="B537" s="16" t="str">
        <f aca="false">Purchase_Orders!B534</f>
        <v>V1020</v>
      </c>
      <c r="C537" s="16" t="str">
        <f aca="false">IFERROR(INDEX(Vendor_Master!$B$2:$B$41,MATCH(B537,Vendor_Master!$A$2:$A$41,0)),"Unknown Vendor")</f>
        <v>Lewis-Porter</v>
      </c>
      <c r="D537" s="17" t="n">
        <f aca="false">Purchase_Orders!C534</f>
        <v>45750</v>
      </c>
      <c r="E537" s="18" t="n">
        <f aca="false">Purchase_Orders!D534</f>
        <v>2676.69</v>
      </c>
      <c r="F537" s="18" t="n">
        <f aca="false">SUMIFS(Goods_Receipt_Notes!$D$2:$D$791,Goods_Receipt_Notes!$B$2:$B$791,A537)</f>
        <v>2676.69</v>
      </c>
      <c r="G537" s="18" t="n">
        <f aca="false">SUMIFS(Vendor_Invoices_AP!$E$2:$E$882,Vendor_Invoices_AP!$B$2:$B$882,A537)</f>
        <v>2676.69</v>
      </c>
      <c r="H537" s="16" t="str">
        <f aca="false">IF(F537=0,"Not Received","Received")</f>
        <v>Received</v>
      </c>
      <c r="I537" s="16" t="str">
        <f aca="false">IF(G537=0,"Not Invoiced","Invoiced")</f>
        <v>Invoiced</v>
      </c>
      <c r="J537" s="18" t="n">
        <f aca="false">E537-F537</f>
        <v>0</v>
      </c>
      <c r="K537" s="18" t="n">
        <f aca="false">E537-G537</f>
        <v>0</v>
      </c>
      <c r="L537" s="16" t="str">
        <f aca="false">IF(OR(AND(I537="Invoiced",H537="Not Received"),AND(F537&gt;0,ABS(J537)&gt;Assumptions!$B$6),AND(G537&gt;0,ABS(K537)&gt;Assumptions!$B$6)),"EXCEPTION","OK")</f>
        <v>OK</v>
      </c>
    </row>
    <row r="538" customFormat="false" ht="15" hidden="false" customHeight="false" outlineLevel="0" collapsed="false">
      <c r="A538" s="16" t="str">
        <f aca="false">Purchase_Orders!A535</f>
        <v>PO10534</v>
      </c>
      <c r="B538" s="16" t="str">
        <f aca="false">Purchase_Orders!B535</f>
        <v>V1002</v>
      </c>
      <c r="C538" s="16" t="str">
        <f aca="false">IFERROR(INDEX(Vendor_Master!$B$2:$B$41,MATCH(B538,Vendor_Master!$A$2:$A$41,0)),"Unknown Vendor")</f>
        <v>Garcia, Yang and Gardner</v>
      </c>
      <c r="D538" s="17" t="n">
        <f aca="false">Purchase_Orders!C535</f>
        <v>45701</v>
      </c>
      <c r="E538" s="18" t="n">
        <f aca="false">Purchase_Orders!D535</f>
        <v>21176.94</v>
      </c>
      <c r="F538" s="18" t="n">
        <f aca="false">SUMIFS(Goods_Receipt_Notes!$D$2:$D$791,Goods_Receipt_Notes!$B$2:$B$791,A538)</f>
        <v>21176.94</v>
      </c>
      <c r="G538" s="18" t="n">
        <f aca="false">SUMIFS(Vendor_Invoices_AP!$E$2:$E$882,Vendor_Invoices_AP!$B$2:$B$882,A538)</f>
        <v>21176.94</v>
      </c>
      <c r="H538" s="16" t="str">
        <f aca="false">IF(F538=0,"Not Received","Received")</f>
        <v>Received</v>
      </c>
      <c r="I538" s="16" t="str">
        <f aca="false">IF(G538=0,"Not Invoiced","Invoiced")</f>
        <v>Invoiced</v>
      </c>
      <c r="J538" s="18" t="n">
        <f aca="false">E538-F538</f>
        <v>0</v>
      </c>
      <c r="K538" s="18" t="n">
        <f aca="false">E538-G538</f>
        <v>0</v>
      </c>
      <c r="L538" s="16" t="str">
        <f aca="false">IF(OR(AND(I538="Invoiced",H538="Not Received"),AND(F538&gt;0,ABS(J538)&gt;Assumptions!$B$6),AND(G538&gt;0,ABS(K538)&gt;Assumptions!$B$6)),"EXCEPTION","OK")</f>
        <v>OK</v>
      </c>
    </row>
    <row r="539" customFormat="false" ht="15" hidden="false" customHeight="false" outlineLevel="0" collapsed="false">
      <c r="A539" s="16" t="str">
        <f aca="false">Purchase_Orders!A536</f>
        <v>PO10535</v>
      </c>
      <c r="B539" s="16" t="str">
        <f aca="false">Purchase_Orders!B536</f>
        <v>V1010</v>
      </c>
      <c r="C539" s="16" t="str">
        <f aca="false">IFERROR(INDEX(Vendor_Master!$B$2:$B$41,MATCH(B539,Vendor_Master!$A$2:$A$41,0)),"Unknown Vendor")</f>
        <v>Martinez, Nielsen and Miller</v>
      </c>
      <c r="D539" s="17" t="n">
        <f aca="false">Purchase_Orders!C536</f>
        <v>46132</v>
      </c>
      <c r="E539" s="18" t="n">
        <f aca="false">Purchase_Orders!D536</f>
        <v>3298.58</v>
      </c>
      <c r="F539" s="18" t="n">
        <f aca="false">SUMIFS(Goods_Receipt_Notes!$D$2:$D$791,Goods_Receipt_Notes!$B$2:$B$791,A539)</f>
        <v>0</v>
      </c>
      <c r="G539" s="18" t="n">
        <f aca="false">SUMIFS(Vendor_Invoices_AP!$E$2:$E$882,Vendor_Invoices_AP!$B$2:$B$882,A539)</f>
        <v>3298.58</v>
      </c>
      <c r="H539" s="16" t="str">
        <f aca="false">IF(F539=0,"Not Received","Received")</f>
        <v>Not Received</v>
      </c>
      <c r="I539" s="16" t="str">
        <f aca="false">IF(G539=0,"Not Invoiced","Invoiced")</f>
        <v>Invoiced</v>
      </c>
      <c r="J539" s="18" t="n">
        <f aca="false">E539-F539</f>
        <v>3298.58</v>
      </c>
      <c r="K539" s="18" t="n">
        <f aca="false">E539-G539</f>
        <v>0</v>
      </c>
      <c r="L539" s="16" t="str">
        <f aca="false">IF(OR(AND(I539="Invoiced",H539="Not Received"),AND(F539&gt;0,ABS(J539)&gt;Assumptions!$B$6),AND(G539&gt;0,ABS(K539)&gt;Assumptions!$B$6)),"EXCEPTION","OK")</f>
        <v>EXCEPTION</v>
      </c>
    </row>
    <row r="540" customFormat="false" ht="15" hidden="false" customHeight="false" outlineLevel="0" collapsed="false">
      <c r="A540" s="16" t="str">
        <f aca="false">Purchase_Orders!A537</f>
        <v>PO10536</v>
      </c>
      <c r="B540" s="16" t="str">
        <f aca="false">Purchase_Orders!B537</f>
        <v>V1031</v>
      </c>
      <c r="C540" s="16" t="str">
        <f aca="false">IFERROR(INDEX(Vendor_Master!$B$2:$B$41,MATCH(B540,Vendor_Master!$A$2:$A$41,0)),"Unknown Vendor")</f>
        <v>Harrell LLC</v>
      </c>
      <c r="D540" s="17" t="n">
        <f aca="false">Purchase_Orders!C537</f>
        <v>45995</v>
      </c>
      <c r="E540" s="18" t="n">
        <f aca="false">Purchase_Orders!D537</f>
        <v>6459.27</v>
      </c>
      <c r="F540" s="18" t="n">
        <f aca="false">SUMIFS(Goods_Receipt_Notes!$D$2:$D$791,Goods_Receipt_Notes!$B$2:$B$791,A540)</f>
        <v>6459.27</v>
      </c>
      <c r="G540" s="18" t="n">
        <f aca="false">SUMIFS(Vendor_Invoices_AP!$E$2:$E$882,Vendor_Invoices_AP!$B$2:$B$882,A540)</f>
        <v>6459.27</v>
      </c>
      <c r="H540" s="16" t="str">
        <f aca="false">IF(F540=0,"Not Received","Received")</f>
        <v>Received</v>
      </c>
      <c r="I540" s="16" t="str">
        <f aca="false">IF(G540=0,"Not Invoiced","Invoiced")</f>
        <v>Invoiced</v>
      </c>
      <c r="J540" s="18" t="n">
        <f aca="false">E540-F540</f>
        <v>0</v>
      </c>
      <c r="K540" s="18" t="n">
        <f aca="false">E540-G540</f>
        <v>0</v>
      </c>
      <c r="L540" s="16" t="str">
        <f aca="false">IF(OR(AND(I540="Invoiced",H540="Not Received"),AND(F540&gt;0,ABS(J540)&gt;Assumptions!$B$6),AND(G540&gt;0,ABS(K540)&gt;Assumptions!$B$6)),"EXCEPTION","OK")</f>
        <v>OK</v>
      </c>
    </row>
    <row r="541" customFormat="false" ht="15" hidden="false" customHeight="false" outlineLevel="0" collapsed="false">
      <c r="A541" s="16" t="str">
        <f aca="false">Purchase_Orders!A538</f>
        <v>PO10537</v>
      </c>
      <c r="B541" s="16" t="str">
        <f aca="false">Purchase_Orders!B538</f>
        <v>V1012</v>
      </c>
      <c r="C541" s="16" t="str">
        <f aca="false">IFERROR(INDEX(Vendor_Master!$B$2:$B$41,MATCH(B541,Vendor_Master!$A$2:$A$41,0)),"Unknown Vendor")</f>
        <v>Stanley LLC</v>
      </c>
      <c r="D541" s="17" t="n">
        <f aca="false">Purchase_Orders!C538</f>
        <v>45789</v>
      </c>
      <c r="E541" s="18" t="n">
        <f aca="false">Purchase_Orders!D538</f>
        <v>622.67</v>
      </c>
      <c r="F541" s="18" t="n">
        <f aca="false">SUMIFS(Goods_Receipt_Notes!$D$2:$D$791,Goods_Receipt_Notes!$B$2:$B$791,A541)</f>
        <v>622.67</v>
      </c>
      <c r="G541" s="18" t="n">
        <f aca="false">SUMIFS(Vendor_Invoices_AP!$E$2:$E$882,Vendor_Invoices_AP!$B$2:$B$882,A541)</f>
        <v>622.67</v>
      </c>
      <c r="H541" s="16" t="str">
        <f aca="false">IF(F541=0,"Not Received","Received")</f>
        <v>Received</v>
      </c>
      <c r="I541" s="16" t="str">
        <f aca="false">IF(G541=0,"Not Invoiced","Invoiced")</f>
        <v>Invoiced</v>
      </c>
      <c r="J541" s="18" t="n">
        <f aca="false">E541-F541</f>
        <v>0</v>
      </c>
      <c r="K541" s="18" t="n">
        <f aca="false">E541-G541</f>
        <v>0</v>
      </c>
      <c r="L541" s="16" t="str">
        <f aca="false">IF(OR(AND(I541="Invoiced",H541="Not Received"),AND(F541&gt;0,ABS(J541)&gt;Assumptions!$B$6),AND(G541&gt;0,ABS(K541)&gt;Assumptions!$B$6)),"EXCEPTION","OK")</f>
        <v>OK</v>
      </c>
    </row>
    <row r="542" customFormat="false" ht="15" hidden="false" customHeight="false" outlineLevel="0" collapsed="false">
      <c r="A542" s="16" t="str">
        <f aca="false">Purchase_Orders!A539</f>
        <v>PO10538</v>
      </c>
      <c r="B542" s="16" t="str">
        <f aca="false">Purchase_Orders!B539</f>
        <v>V1035</v>
      </c>
      <c r="C542" s="16" t="str">
        <f aca="false">IFERROR(INDEX(Vendor_Master!$B$2:$B$41,MATCH(B542,Vendor_Master!$A$2:$A$41,0)),"Unknown Vendor")</f>
        <v>Allen PLC</v>
      </c>
      <c r="D542" s="17" t="n">
        <f aca="false">Purchase_Orders!C539</f>
        <v>46155</v>
      </c>
      <c r="E542" s="18" t="n">
        <f aca="false">Purchase_Orders!D539</f>
        <v>591.95</v>
      </c>
      <c r="F542" s="18" t="n">
        <f aca="false">SUMIFS(Goods_Receipt_Notes!$D$2:$D$791,Goods_Receipt_Notes!$B$2:$B$791,A542)</f>
        <v>591.95</v>
      </c>
      <c r="G542" s="18" t="n">
        <f aca="false">SUMIFS(Vendor_Invoices_AP!$E$2:$E$882,Vendor_Invoices_AP!$B$2:$B$882,A542)</f>
        <v>591.95</v>
      </c>
      <c r="H542" s="16" t="str">
        <f aca="false">IF(F542=0,"Not Received","Received")</f>
        <v>Received</v>
      </c>
      <c r="I542" s="16" t="str">
        <f aca="false">IF(G542=0,"Not Invoiced","Invoiced")</f>
        <v>Invoiced</v>
      </c>
      <c r="J542" s="18" t="n">
        <f aca="false">E542-F542</f>
        <v>0</v>
      </c>
      <c r="K542" s="18" t="n">
        <f aca="false">E542-G542</f>
        <v>0</v>
      </c>
      <c r="L542" s="16" t="str">
        <f aca="false">IF(OR(AND(I542="Invoiced",H542="Not Received"),AND(F542&gt;0,ABS(J542)&gt;Assumptions!$B$6),AND(G542&gt;0,ABS(K542)&gt;Assumptions!$B$6)),"EXCEPTION","OK")</f>
        <v>OK</v>
      </c>
    </row>
    <row r="543" customFormat="false" ht="15" hidden="false" customHeight="false" outlineLevel="0" collapsed="false">
      <c r="A543" s="16" t="str">
        <f aca="false">Purchase_Orders!A540</f>
        <v>PO10539</v>
      </c>
      <c r="B543" s="16" t="str">
        <f aca="false">Purchase_Orders!B540</f>
        <v>V1005</v>
      </c>
      <c r="C543" s="16" t="str">
        <f aca="false">IFERROR(INDEX(Vendor_Master!$B$2:$B$41,MATCH(B543,Vendor_Master!$A$2:$A$41,0)),"Unknown Vendor")</f>
        <v>Cole LLC</v>
      </c>
      <c r="D543" s="17" t="n">
        <f aca="false">Purchase_Orders!C540</f>
        <v>45735</v>
      </c>
      <c r="E543" s="18" t="n">
        <f aca="false">Purchase_Orders!D540</f>
        <v>4894.13</v>
      </c>
      <c r="F543" s="18" t="n">
        <f aca="false">SUMIFS(Goods_Receipt_Notes!$D$2:$D$791,Goods_Receipt_Notes!$B$2:$B$791,A543)</f>
        <v>4894.13</v>
      </c>
      <c r="G543" s="18" t="n">
        <f aca="false">SUMIFS(Vendor_Invoices_AP!$E$2:$E$882,Vendor_Invoices_AP!$B$2:$B$882,A543)</f>
        <v>4894.13</v>
      </c>
      <c r="H543" s="16" t="str">
        <f aca="false">IF(F543=0,"Not Received","Received")</f>
        <v>Received</v>
      </c>
      <c r="I543" s="16" t="str">
        <f aca="false">IF(G543=0,"Not Invoiced","Invoiced")</f>
        <v>Invoiced</v>
      </c>
      <c r="J543" s="18" t="n">
        <f aca="false">E543-F543</f>
        <v>0</v>
      </c>
      <c r="K543" s="18" t="n">
        <f aca="false">E543-G543</f>
        <v>0</v>
      </c>
      <c r="L543" s="16" t="str">
        <f aca="false">IF(OR(AND(I543="Invoiced",H543="Not Received"),AND(F543&gt;0,ABS(J543)&gt;Assumptions!$B$6),AND(G543&gt;0,ABS(K543)&gt;Assumptions!$B$6)),"EXCEPTION","OK")</f>
        <v>OK</v>
      </c>
    </row>
    <row r="544" customFormat="false" ht="15" hidden="false" customHeight="false" outlineLevel="0" collapsed="false">
      <c r="A544" s="16" t="str">
        <f aca="false">Purchase_Orders!A541</f>
        <v>PO10540</v>
      </c>
      <c r="B544" s="16" t="str">
        <f aca="false">Purchase_Orders!B541</f>
        <v>V1024</v>
      </c>
      <c r="C544" s="16" t="str">
        <f aca="false">IFERROR(INDEX(Vendor_Master!$B$2:$B$41,MATCH(B544,Vendor_Master!$A$2:$A$41,0)),"Unknown Vendor")</f>
        <v>Campos Inc</v>
      </c>
      <c r="D544" s="17" t="n">
        <f aca="false">Purchase_Orders!C541</f>
        <v>45909</v>
      </c>
      <c r="E544" s="18" t="n">
        <f aca="false">Purchase_Orders!D541</f>
        <v>640.41</v>
      </c>
      <c r="F544" s="18" t="n">
        <f aca="false">SUMIFS(Goods_Receipt_Notes!$D$2:$D$791,Goods_Receipt_Notes!$B$2:$B$791,A544)</f>
        <v>640.41</v>
      </c>
      <c r="G544" s="18" t="n">
        <f aca="false">SUMIFS(Vendor_Invoices_AP!$E$2:$E$882,Vendor_Invoices_AP!$B$2:$B$882,A544)</f>
        <v>640.41</v>
      </c>
      <c r="H544" s="16" t="str">
        <f aca="false">IF(F544=0,"Not Received","Received")</f>
        <v>Received</v>
      </c>
      <c r="I544" s="16" t="str">
        <f aca="false">IF(G544=0,"Not Invoiced","Invoiced")</f>
        <v>Invoiced</v>
      </c>
      <c r="J544" s="18" t="n">
        <f aca="false">E544-F544</f>
        <v>0</v>
      </c>
      <c r="K544" s="18" t="n">
        <f aca="false">E544-G544</f>
        <v>0</v>
      </c>
      <c r="L544" s="16" t="str">
        <f aca="false">IF(OR(AND(I544="Invoiced",H544="Not Received"),AND(F544&gt;0,ABS(J544)&gt;Assumptions!$B$6),AND(G544&gt;0,ABS(K544)&gt;Assumptions!$B$6)),"EXCEPTION","OK")</f>
        <v>OK</v>
      </c>
    </row>
    <row r="545" customFormat="false" ht="15" hidden="false" customHeight="false" outlineLevel="0" collapsed="false">
      <c r="A545" s="16" t="str">
        <f aca="false">Purchase_Orders!A542</f>
        <v>PO10541</v>
      </c>
      <c r="B545" s="16" t="str">
        <f aca="false">Purchase_Orders!B542</f>
        <v>V1016</v>
      </c>
      <c r="C545" s="16" t="str">
        <f aca="false">IFERROR(INDEX(Vendor_Master!$B$2:$B$41,MATCH(B545,Vendor_Master!$A$2:$A$41,0)),"Unknown Vendor")</f>
        <v>Sanchez, Ford and Nelson</v>
      </c>
      <c r="D545" s="17" t="n">
        <f aca="false">Purchase_Orders!C542</f>
        <v>45796</v>
      </c>
      <c r="E545" s="18" t="n">
        <f aca="false">Purchase_Orders!D542</f>
        <v>6607.07</v>
      </c>
      <c r="F545" s="18" t="n">
        <f aca="false">SUMIFS(Goods_Receipt_Notes!$D$2:$D$791,Goods_Receipt_Notes!$B$2:$B$791,A545)</f>
        <v>6607.07</v>
      </c>
      <c r="G545" s="18" t="n">
        <f aca="false">SUMIFS(Vendor_Invoices_AP!$E$2:$E$882,Vendor_Invoices_AP!$B$2:$B$882,A545)</f>
        <v>6607.07</v>
      </c>
      <c r="H545" s="16" t="str">
        <f aca="false">IF(F545=0,"Not Received","Received")</f>
        <v>Received</v>
      </c>
      <c r="I545" s="16" t="str">
        <f aca="false">IF(G545=0,"Not Invoiced","Invoiced")</f>
        <v>Invoiced</v>
      </c>
      <c r="J545" s="18" t="n">
        <f aca="false">E545-F545</f>
        <v>0</v>
      </c>
      <c r="K545" s="18" t="n">
        <f aca="false">E545-G545</f>
        <v>0</v>
      </c>
      <c r="L545" s="16" t="str">
        <f aca="false">IF(OR(AND(I545="Invoiced",H545="Not Received"),AND(F545&gt;0,ABS(J545)&gt;Assumptions!$B$6),AND(G545&gt;0,ABS(K545)&gt;Assumptions!$B$6)),"EXCEPTION","OK")</f>
        <v>OK</v>
      </c>
    </row>
    <row r="546" customFormat="false" ht="15" hidden="false" customHeight="false" outlineLevel="0" collapsed="false">
      <c r="A546" s="16" t="str">
        <f aca="false">Purchase_Orders!A543</f>
        <v>PO10542</v>
      </c>
      <c r="B546" s="16" t="str">
        <f aca="false">Purchase_Orders!B543</f>
        <v>V1028</v>
      </c>
      <c r="C546" s="16" t="str">
        <f aca="false">IFERROR(INDEX(Vendor_Master!$B$2:$B$41,MATCH(B546,Vendor_Master!$A$2:$A$41,0)),"Unknown Vendor")</f>
        <v>Potter, Mack and Peterson</v>
      </c>
      <c r="D546" s="17" t="n">
        <f aca="false">Purchase_Orders!C543</f>
        <v>45797</v>
      </c>
      <c r="E546" s="18" t="n">
        <f aca="false">Purchase_Orders!D543</f>
        <v>525.01</v>
      </c>
      <c r="F546" s="18" t="n">
        <f aca="false">SUMIFS(Goods_Receipt_Notes!$D$2:$D$791,Goods_Receipt_Notes!$B$2:$B$791,A546)</f>
        <v>525.01</v>
      </c>
      <c r="G546" s="18" t="n">
        <f aca="false">SUMIFS(Vendor_Invoices_AP!$E$2:$E$882,Vendor_Invoices_AP!$B$2:$B$882,A546)</f>
        <v>647.86</v>
      </c>
      <c r="H546" s="16" t="str">
        <f aca="false">IF(F546=0,"Not Received","Received")</f>
        <v>Received</v>
      </c>
      <c r="I546" s="16" t="str">
        <f aca="false">IF(G546=0,"Not Invoiced","Invoiced")</f>
        <v>Invoiced</v>
      </c>
      <c r="J546" s="18" t="n">
        <f aca="false">E546-F546</f>
        <v>0</v>
      </c>
      <c r="K546" s="18" t="n">
        <f aca="false">E546-G546</f>
        <v>-122.85</v>
      </c>
      <c r="L546" s="16" t="str">
        <f aca="false">IF(OR(AND(I546="Invoiced",H546="Not Received"),AND(F546&gt;0,ABS(J546)&gt;Assumptions!$B$6),AND(G546&gt;0,ABS(K546)&gt;Assumptions!$B$6)),"EXCEPTION","OK")</f>
        <v>EXCEPTION</v>
      </c>
    </row>
    <row r="547" customFormat="false" ht="15" hidden="false" customHeight="false" outlineLevel="0" collapsed="false">
      <c r="A547" s="16" t="str">
        <f aca="false">Purchase_Orders!A544</f>
        <v>PO10543</v>
      </c>
      <c r="B547" s="16" t="str">
        <f aca="false">Purchase_Orders!B544</f>
        <v>V1022</v>
      </c>
      <c r="C547" s="16" t="str">
        <f aca="false">IFERROR(INDEX(Vendor_Master!$B$2:$B$41,MATCH(B547,Vendor_Master!$A$2:$A$41,0)),"Unknown Vendor")</f>
        <v>Burgess-Patterson</v>
      </c>
      <c r="D547" s="17" t="n">
        <f aca="false">Purchase_Orders!C544</f>
        <v>45663</v>
      </c>
      <c r="E547" s="18" t="n">
        <f aca="false">Purchase_Orders!D544</f>
        <v>517.06</v>
      </c>
      <c r="F547" s="18" t="n">
        <f aca="false">SUMIFS(Goods_Receipt_Notes!$D$2:$D$791,Goods_Receipt_Notes!$B$2:$B$791,A547)</f>
        <v>0</v>
      </c>
      <c r="G547" s="18" t="n">
        <f aca="false">SUMIFS(Vendor_Invoices_AP!$E$2:$E$882,Vendor_Invoices_AP!$B$2:$B$882,A547)</f>
        <v>517.06</v>
      </c>
      <c r="H547" s="16" t="str">
        <f aca="false">IF(F547=0,"Not Received","Received")</f>
        <v>Not Received</v>
      </c>
      <c r="I547" s="16" t="str">
        <f aca="false">IF(G547=0,"Not Invoiced","Invoiced")</f>
        <v>Invoiced</v>
      </c>
      <c r="J547" s="18" t="n">
        <f aca="false">E547-F547</f>
        <v>517.06</v>
      </c>
      <c r="K547" s="18" t="n">
        <f aca="false">E547-G547</f>
        <v>0</v>
      </c>
      <c r="L547" s="16" t="str">
        <f aca="false">IF(OR(AND(I547="Invoiced",H547="Not Received"),AND(F547&gt;0,ABS(J547)&gt;Assumptions!$B$6),AND(G547&gt;0,ABS(K547)&gt;Assumptions!$B$6)),"EXCEPTION","OK")</f>
        <v>EXCEPTION</v>
      </c>
    </row>
    <row r="548" customFormat="false" ht="15" hidden="false" customHeight="false" outlineLevel="0" collapsed="false">
      <c r="A548" s="16" t="str">
        <f aca="false">Purchase_Orders!A545</f>
        <v>PO10544</v>
      </c>
      <c r="B548" s="16" t="str">
        <f aca="false">Purchase_Orders!B545</f>
        <v>V1011</v>
      </c>
      <c r="C548" s="16" t="str">
        <f aca="false">IFERROR(INDEX(Vendor_Master!$B$2:$B$41,MATCH(B548,Vendor_Master!$A$2:$A$41,0)),"Unknown Vendor")</f>
        <v>Montgomery, Hensley and Ray</v>
      </c>
      <c r="D548" s="17" t="n">
        <f aca="false">Purchase_Orders!C545</f>
        <v>46096</v>
      </c>
      <c r="E548" s="18" t="n">
        <f aca="false">Purchase_Orders!D545</f>
        <v>316.1</v>
      </c>
      <c r="F548" s="18" t="n">
        <f aca="false">SUMIFS(Goods_Receipt_Notes!$D$2:$D$791,Goods_Receipt_Notes!$B$2:$B$791,A548)</f>
        <v>316.1</v>
      </c>
      <c r="G548" s="18" t="n">
        <f aca="false">SUMIFS(Vendor_Invoices_AP!$E$2:$E$882,Vendor_Invoices_AP!$B$2:$B$882,A548)</f>
        <v>316.1</v>
      </c>
      <c r="H548" s="16" t="str">
        <f aca="false">IF(F548=0,"Not Received","Received")</f>
        <v>Received</v>
      </c>
      <c r="I548" s="16" t="str">
        <f aca="false">IF(G548=0,"Not Invoiced","Invoiced")</f>
        <v>Invoiced</v>
      </c>
      <c r="J548" s="18" t="n">
        <f aca="false">E548-F548</f>
        <v>0</v>
      </c>
      <c r="K548" s="18" t="n">
        <f aca="false">E548-G548</f>
        <v>0</v>
      </c>
      <c r="L548" s="16" t="str">
        <f aca="false">IF(OR(AND(I548="Invoiced",H548="Not Received"),AND(F548&gt;0,ABS(J548)&gt;Assumptions!$B$6),AND(G548&gt;0,ABS(K548)&gt;Assumptions!$B$6)),"EXCEPTION","OK")</f>
        <v>OK</v>
      </c>
    </row>
    <row r="549" customFormat="false" ht="15" hidden="false" customHeight="false" outlineLevel="0" collapsed="false">
      <c r="A549" s="16" t="str">
        <f aca="false">Purchase_Orders!A546</f>
        <v>PO10545</v>
      </c>
      <c r="B549" s="16" t="str">
        <f aca="false">Purchase_Orders!B546</f>
        <v>V1034</v>
      </c>
      <c r="C549" s="16" t="str">
        <f aca="false">IFERROR(INDEX(Vendor_Master!$B$2:$B$41,MATCH(B549,Vendor_Master!$A$2:$A$41,0)),"Unknown Vendor")</f>
        <v>Koch-Decker</v>
      </c>
      <c r="D549" s="17" t="n">
        <f aca="false">Purchase_Orders!C546</f>
        <v>46149</v>
      </c>
      <c r="E549" s="18" t="n">
        <f aca="false">Purchase_Orders!D546</f>
        <v>4436.8</v>
      </c>
      <c r="F549" s="18" t="n">
        <f aca="false">SUMIFS(Goods_Receipt_Notes!$D$2:$D$791,Goods_Receipt_Notes!$B$2:$B$791,A549)</f>
        <v>4436.8</v>
      </c>
      <c r="G549" s="18" t="n">
        <f aca="false">SUMIFS(Vendor_Invoices_AP!$E$2:$E$882,Vendor_Invoices_AP!$B$2:$B$882,A549)</f>
        <v>4436.8</v>
      </c>
      <c r="H549" s="16" t="str">
        <f aca="false">IF(F549=0,"Not Received","Received")</f>
        <v>Received</v>
      </c>
      <c r="I549" s="16" t="str">
        <f aca="false">IF(G549=0,"Not Invoiced","Invoiced")</f>
        <v>Invoiced</v>
      </c>
      <c r="J549" s="18" t="n">
        <f aca="false">E549-F549</f>
        <v>0</v>
      </c>
      <c r="K549" s="18" t="n">
        <f aca="false">E549-G549</f>
        <v>0</v>
      </c>
      <c r="L549" s="16" t="str">
        <f aca="false">IF(OR(AND(I549="Invoiced",H549="Not Received"),AND(F549&gt;0,ABS(J549)&gt;Assumptions!$B$6),AND(G549&gt;0,ABS(K549)&gt;Assumptions!$B$6)),"EXCEPTION","OK")</f>
        <v>OK</v>
      </c>
    </row>
    <row r="550" customFormat="false" ht="15" hidden="false" customHeight="false" outlineLevel="0" collapsed="false">
      <c r="A550" s="16" t="str">
        <f aca="false">Purchase_Orders!A547</f>
        <v>PO10546</v>
      </c>
      <c r="B550" s="16" t="str">
        <f aca="false">Purchase_Orders!B547</f>
        <v>V1026</v>
      </c>
      <c r="C550" s="16" t="str">
        <f aca="false">IFERROR(INDEX(Vendor_Master!$B$2:$B$41,MATCH(B550,Vendor_Master!$A$2:$A$41,0)),"Unknown Vendor")</f>
        <v>James-Ferrell</v>
      </c>
      <c r="D550" s="17" t="n">
        <f aca="false">Purchase_Orders!C547</f>
        <v>46027</v>
      </c>
      <c r="E550" s="18" t="n">
        <f aca="false">Purchase_Orders!D547</f>
        <v>6594.42</v>
      </c>
      <c r="F550" s="18" t="n">
        <f aca="false">SUMIFS(Goods_Receipt_Notes!$D$2:$D$791,Goods_Receipt_Notes!$B$2:$B$791,A550)</f>
        <v>6594.42</v>
      </c>
      <c r="G550" s="18" t="n">
        <f aca="false">SUMIFS(Vendor_Invoices_AP!$E$2:$E$882,Vendor_Invoices_AP!$B$2:$B$882,A550)</f>
        <v>6594.42</v>
      </c>
      <c r="H550" s="16" t="str">
        <f aca="false">IF(F550=0,"Not Received","Received")</f>
        <v>Received</v>
      </c>
      <c r="I550" s="16" t="str">
        <f aca="false">IF(G550=0,"Not Invoiced","Invoiced")</f>
        <v>Invoiced</v>
      </c>
      <c r="J550" s="18" t="n">
        <f aca="false">E550-F550</f>
        <v>0</v>
      </c>
      <c r="K550" s="18" t="n">
        <f aca="false">E550-G550</f>
        <v>0</v>
      </c>
      <c r="L550" s="16" t="str">
        <f aca="false">IF(OR(AND(I550="Invoiced",H550="Not Received"),AND(F550&gt;0,ABS(J550)&gt;Assumptions!$B$6),AND(G550&gt;0,ABS(K550)&gt;Assumptions!$B$6)),"EXCEPTION","OK")</f>
        <v>OK</v>
      </c>
    </row>
    <row r="551" customFormat="false" ht="15" hidden="false" customHeight="false" outlineLevel="0" collapsed="false">
      <c r="A551" s="16" t="str">
        <f aca="false">Purchase_Orders!A548</f>
        <v>PO10547</v>
      </c>
      <c r="B551" s="16" t="str">
        <f aca="false">Purchase_Orders!B548</f>
        <v>V1027</v>
      </c>
      <c r="C551" s="16" t="str">
        <f aca="false">IFERROR(INDEX(Vendor_Master!$B$2:$B$41,MATCH(B551,Vendor_Master!$A$2:$A$41,0)),"Unknown Vendor")</f>
        <v>Valencia, Smith and Le</v>
      </c>
      <c r="D551" s="17" t="n">
        <f aca="false">Purchase_Orders!C548</f>
        <v>45744</v>
      </c>
      <c r="E551" s="18" t="n">
        <f aca="false">Purchase_Orders!D548</f>
        <v>836.54</v>
      </c>
      <c r="F551" s="18" t="n">
        <f aca="false">SUMIFS(Goods_Receipt_Notes!$D$2:$D$791,Goods_Receipt_Notes!$B$2:$B$791,A551)</f>
        <v>836.54</v>
      </c>
      <c r="G551" s="18" t="n">
        <f aca="false">SUMIFS(Vendor_Invoices_AP!$E$2:$E$882,Vendor_Invoices_AP!$B$2:$B$882,A551)</f>
        <v>836.54</v>
      </c>
      <c r="H551" s="16" t="str">
        <f aca="false">IF(F551=0,"Not Received","Received")</f>
        <v>Received</v>
      </c>
      <c r="I551" s="16" t="str">
        <f aca="false">IF(G551=0,"Not Invoiced","Invoiced")</f>
        <v>Invoiced</v>
      </c>
      <c r="J551" s="18" t="n">
        <f aca="false">E551-F551</f>
        <v>0</v>
      </c>
      <c r="K551" s="18" t="n">
        <f aca="false">E551-G551</f>
        <v>0</v>
      </c>
      <c r="L551" s="16" t="str">
        <f aca="false">IF(OR(AND(I551="Invoiced",H551="Not Received"),AND(F551&gt;0,ABS(J551)&gt;Assumptions!$B$6),AND(G551&gt;0,ABS(K551)&gt;Assumptions!$B$6)),"EXCEPTION","OK")</f>
        <v>OK</v>
      </c>
    </row>
    <row r="552" customFormat="false" ht="15" hidden="false" customHeight="false" outlineLevel="0" collapsed="false">
      <c r="A552" s="16" t="str">
        <f aca="false">Purchase_Orders!A549</f>
        <v>PO10548</v>
      </c>
      <c r="B552" s="16" t="str">
        <f aca="false">Purchase_Orders!B549</f>
        <v>V1020</v>
      </c>
      <c r="C552" s="16" t="str">
        <f aca="false">IFERROR(INDEX(Vendor_Master!$B$2:$B$41,MATCH(B552,Vendor_Master!$A$2:$A$41,0)),"Unknown Vendor")</f>
        <v>Lewis-Porter</v>
      </c>
      <c r="D552" s="17" t="n">
        <f aca="false">Purchase_Orders!C549</f>
        <v>45898</v>
      </c>
      <c r="E552" s="18" t="n">
        <f aca="false">Purchase_Orders!D549</f>
        <v>1170.71</v>
      </c>
      <c r="F552" s="18" t="n">
        <f aca="false">SUMIFS(Goods_Receipt_Notes!$D$2:$D$791,Goods_Receipt_Notes!$B$2:$B$791,A552)</f>
        <v>1170.71</v>
      </c>
      <c r="G552" s="18" t="n">
        <f aca="false">SUMIFS(Vendor_Invoices_AP!$E$2:$E$882,Vendor_Invoices_AP!$B$2:$B$882,A552)</f>
        <v>1170.71</v>
      </c>
      <c r="H552" s="16" t="str">
        <f aca="false">IF(F552=0,"Not Received","Received")</f>
        <v>Received</v>
      </c>
      <c r="I552" s="16" t="str">
        <f aca="false">IF(G552=0,"Not Invoiced","Invoiced")</f>
        <v>Invoiced</v>
      </c>
      <c r="J552" s="18" t="n">
        <f aca="false">E552-F552</f>
        <v>0</v>
      </c>
      <c r="K552" s="18" t="n">
        <f aca="false">E552-G552</f>
        <v>0</v>
      </c>
      <c r="L552" s="16" t="str">
        <f aca="false">IF(OR(AND(I552="Invoiced",H552="Not Received"),AND(F552&gt;0,ABS(J552)&gt;Assumptions!$B$6),AND(G552&gt;0,ABS(K552)&gt;Assumptions!$B$6)),"EXCEPTION","OK")</f>
        <v>OK</v>
      </c>
    </row>
    <row r="553" customFormat="false" ht="15" hidden="false" customHeight="false" outlineLevel="0" collapsed="false">
      <c r="A553" s="16" t="str">
        <f aca="false">Purchase_Orders!A550</f>
        <v>PO10549</v>
      </c>
      <c r="B553" s="16" t="str">
        <f aca="false">Purchase_Orders!B550</f>
        <v>V1027</v>
      </c>
      <c r="C553" s="16" t="str">
        <f aca="false">IFERROR(INDEX(Vendor_Master!$B$2:$B$41,MATCH(B553,Vendor_Master!$A$2:$A$41,0)),"Unknown Vendor")</f>
        <v>Valencia, Smith and Le</v>
      </c>
      <c r="D553" s="17" t="n">
        <f aca="false">Purchase_Orders!C550</f>
        <v>45846</v>
      </c>
      <c r="E553" s="18" t="n">
        <f aca="false">Purchase_Orders!D550</f>
        <v>4155.49</v>
      </c>
      <c r="F553" s="18" t="n">
        <f aca="false">SUMIFS(Goods_Receipt_Notes!$D$2:$D$791,Goods_Receipt_Notes!$B$2:$B$791,A553)</f>
        <v>4155.49</v>
      </c>
      <c r="G553" s="18" t="n">
        <f aca="false">SUMIFS(Vendor_Invoices_AP!$E$2:$E$882,Vendor_Invoices_AP!$B$2:$B$882,A553)</f>
        <v>4155.49</v>
      </c>
      <c r="H553" s="16" t="str">
        <f aca="false">IF(F553=0,"Not Received","Received")</f>
        <v>Received</v>
      </c>
      <c r="I553" s="16" t="str">
        <f aca="false">IF(G553=0,"Not Invoiced","Invoiced")</f>
        <v>Invoiced</v>
      </c>
      <c r="J553" s="18" t="n">
        <f aca="false">E553-F553</f>
        <v>0</v>
      </c>
      <c r="K553" s="18" t="n">
        <f aca="false">E553-G553</f>
        <v>0</v>
      </c>
      <c r="L553" s="16" t="str">
        <f aca="false">IF(OR(AND(I553="Invoiced",H553="Not Received"),AND(F553&gt;0,ABS(J553)&gt;Assumptions!$B$6),AND(G553&gt;0,ABS(K553)&gt;Assumptions!$B$6)),"EXCEPTION","OK")</f>
        <v>OK</v>
      </c>
    </row>
    <row r="554" customFormat="false" ht="15" hidden="false" customHeight="false" outlineLevel="0" collapsed="false">
      <c r="A554" s="16" t="str">
        <f aca="false">Purchase_Orders!A551</f>
        <v>PO10550</v>
      </c>
      <c r="B554" s="16" t="str">
        <f aca="false">Purchase_Orders!B551</f>
        <v>V1028</v>
      </c>
      <c r="C554" s="16" t="str">
        <f aca="false">IFERROR(INDEX(Vendor_Master!$B$2:$B$41,MATCH(B554,Vendor_Master!$A$2:$A$41,0)),"Unknown Vendor")</f>
        <v>Potter, Mack and Peterson</v>
      </c>
      <c r="D554" s="17" t="n">
        <f aca="false">Purchase_Orders!C551</f>
        <v>45978</v>
      </c>
      <c r="E554" s="18" t="n">
        <f aca="false">Purchase_Orders!D551</f>
        <v>813.95</v>
      </c>
      <c r="F554" s="18" t="n">
        <f aca="false">SUMIFS(Goods_Receipt_Notes!$D$2:$D$791,Goods_Receipt_Notes!$B$2:$B$791,A554)</f>
        <v>813.95</v>
      </c>
      <c r="G554" s="18" t="n">
        <f aca="false">SUMIFS(Vendor_Invoices_AP!$E$2:$E$882,Vendor_Invoices_AP!$B$2:$B$882,A554)</f>
        <v>813.95</v>
      </c>
      <c r="H554" s="16" t="str">
        <f aca="false">IF(F554=0,"Not Received","Received")</f>
        <v>Received</v>
      </c>
      <c r="I554" s="16" t="str">
        <f aca="false">IF(G554=0,"Not Invoiced","Invoiced")</f>
        <v>Invoiced</v>
      </c>
      <c r="J554" s="18" t="n">
        <f aca="false">E554-F554</f>
        <v>0</v>
      </c>
      <c r="K554" s="18" t="n">
        <f aca="false">E554-G554</f>
        <v>0</v>
      </c>
      <c r="L554" s="16" t="str">
        <f aca="false">IF(OR(AND(I554="Invoiced",H554="Not Received"),AND(F554&gt;0,ABS(J554)&gt;Assumptions!$B$6),AND(G554&gt;0,ABS(K554)&gt;Assumptions!$B$6)),"EXCEPTION","OK")</f>
        <v>OK</v>
      </c>
    </row>
    <row r="555" customFormat="false" ht="15" hidden="false" customHeight="false" outlineLevel="0" collapsed="false">
      <c r="A555" s="16" t="str">
        <f aca="false">Purchase_Orders!A552</f>
        <v>PO10551</v>
      </c>
      <c r="B555" s="16" t="str">
        <f aca="false">Purchase_Orders!B552</f>
        <v>V1021</v>
      </c>
      <c r="C555" s="16" t="str">
        <f aca="false">IFERROR(INDEX(Vendor_Master!$B$2:$B$41,MATCH(B555,Vendor_Master!$A$2:$A$41,0)),"Unknown Vendor")</f>
        <v>Ellis, Baker and Wright</v>
      </c>
      <c r="D555" s="17" t="n">
        <f aca="false">Purchase_Orders!C552</f>
        <v>46006</v>
      </c>
      <c r="E555" s="18" t="n">
        <f aca="false">Purchase_Orders!D552</f>
        <v>219.09</v>
      </c>
      <c r="F555" s="18" t="n">
        <f aca="false">SUMIFS(Goods_Receipt_Notes!$D$2:$D$791,Goods_Receipt_Notes!$B$2:$B$791,A555)</f>
        <v>219.09</v>
      </c>
      <c r="G555" s="18" t="n">
        <f aca="false">SUMIFS(Vendor_Invoices_AP!$E$2:$E$882,Vendor_Invoices_AP!$B$2:$B$882,A555)</f>
        <v>219.09</v>
      </c>
      <c r="H555" s="16" t="str">
        <f aca="false">IF(F555=0,"Not Received","Received")</f>
        <v>Received</v>
      </c>
      <c r="I555" s="16" t="str">
        <f aca="false">IF(G555=0,"Not Invoiced","Invoiced")</f>
        <v>Invoiced</v>
      </c>
      <c r="J555" s="18" t="n">
        <f aca="false">E555-F555</f>
        <v>0</v>
      </c>
      <c r="K555" s="18" t="n">
        <f aca="false">E555-G555</f>
        <v>0</v>
      </c>
      <c r="L555" s="16" t="str">
        <f aca="false">IF(OR(AND(I555="Invoiced",H555="Not Received"),AND(F555&gt;0,ABS(J555)&gt;Assumptions!$B$6),AND(G555&gt;0,ABS(K555)&gt;Assumptions!$B$6)),"EXCEPTION","OK")</f>
        <v>OK</v>
      </c>
    </row>
    <row r="556" customFormat="false" ht="15" hidden="false" customHeight="false" outlineLevel="0" collapsed="false">
      <c r="A556" s="16" t="str">
        <f aca="false">Purchase_Orders!A553</f>
        <v>PO10552</v>
      </c>
      <c r="B556" s="16" t="str">
        <f aca="false">Purchase_Orders!B553</f>
        <v>V1018</v>
      </c>
      <c r="C556" s="16" t="str">
        <f aca="false">IFERROR(INDEX(Vendor_Master!$B$2:$B$41,MATCH(B556,Vendor_Master!$A$2:$A$41,0)),"Unknown Vendor")</f>
        <v>Underwood LLC</v>
      </c>
      <c r="D556" s="17" t="n">
        <f aca="false">Purchase_Orders!C553</f>
        <v>45889</v>
      </c>
      <c r="E556" s="18" t="n">
        <f aca="false">Purchase_Orders!D553</f>
        <v>313.99</v>
      </c>
      <c r="F556" s="18" t="n">
        <f aca="false">SUMIFS(Goods_Receipt_Notes!$D$2:$D$791,Goods_Receipt_Notes!$B$2:$B$791,A556)</f>
        <v>313.99</v>
      </c>
      <c r="G556" s="18" t="n">
        <f aca="false">SUMIFS(Vendor_Invoices_AP!$E$2:$E$882,Vendor_Invoices_AP!$B$2:$B$882,A556)</f>
        <v>627.98</v>
      </c>
      <c r="H556" s="16" t="str">
        <f aca="false">IF(F556=0,"Not Received","Received")</f>
        <v>Received</v>
      </c>
      <c r="I556" s="16" t="str">
        <f aca="false">IF(G556=0,"Not Invoiced","Invoiced")</f>
        <v>Invoiced</v>
      </c>
      <c r="J556" s="18" t="n">
        <f aca="false">E556-F556</f>
        <v>0</v>
      </c>
      <c r="K556" s="18" t="n">
        <f aca="false">E556-G556</f>
        <v>-313.99</v>
      </c>
      <c r="L556" s="16" t="str">
        <f aca="false">IF(OR(AND(I556="Invoiced",H556="Not Received"),AND(F556&gt;0,ABS(J556)&gt;Assumptions!$B$6),AND(G556&gt;0,ABS(K556)&gt;Assumptions!$B$6)),"EXCEPTION","OK")</f>
        <v>EXCEPTION</v>
      </c>
    </row>
    <row r="557" customFormat="false" ht="15" hidden="false" customHeight="false" outlineLevel="0" collapsed="false">
      <c r="A557" s="16" t="str">
        <f aca="false">Purchase_Orders!A554</f>
        <v>PO10553</v>
      </c>
      <c r="B557" s="16" t="str">
        <f aca="false">Purchase_Orders!B554</f>
        <v>V1005</v>
      </c>
      <c r="C557" s="16" t="str">
        <f aca="false">IFERROR(INDEX(Vendor_Master!$B$2:$B$41,MATCH(B557,Vendor_Master!$A$2:$A$41,0)),"Unknown Vendor")</f>
        <v>Cole LLC</v>
      </c>
      <c r="D557" s="17" t="n">
        <f aca="false">Purchase_Orders!C554</f>
        <v>45794</v>
      </c>
      <c r="E557" s="18" t="n">
        <f aca="false">Purchase_Orders!D554</f>
        <v>7086.46</v>
      </c>
      <c r="F557" s="18" t="n">
        <f aca="false">SUMIFS(Goods_Receipt_Notes!$D$2:$D$791,Goods_Receipt_Notes!$B$2:$B$791,A557)</f>
        <v>7086.46</v>
      </c>
      <c r="G557" s="18" t="n">
        <f aca="false">SUMIFS(Vendor_Invoices_AP!$E$2:$E$882,Vendor_Invoices_AP!$B$2:$B$882,A557)</f>
        <v>7086.46</v>
      </c>
      <c r="H557" s="16" t="str">
        <f aca="false">IF(F557=0,"Not Received","Received")</f>
        <v>Received</v>
      </c>
      <c r="I557" s="16" t="str">
        <f aca="false">IF(G557=0,"Not Invoiced","Invoiced")</f>
        <v>Invoiced</v>
      </c>
      <c r="J557" s="18" t="n">
        <f aca="false">E557-F557</f>
        <v>0</v>
      </c>
      <c r="K557" s="18" t="n">
        <f aca="false">E557-G557</f>
        <v>0</v>
      </c>
      <c r="L557" s="16" t="str">
        <f aca="false">IF(OR(AND(I557="Invoiced",H557="Not Received"),AND(F557&gt;0,ABS(J557)&gt;Assumptions!$B$6),AND(G557&gt;0,ABS(K557)&gt;Assumptions!$B$6)),"EXCEPTION","OK")</f>
        <v>OK</v>
      </c>
    </row>
    <row r="558" customFormat="false" ht="15" hidden="false" customHeight="false" outlineLevel="0" collapsed="false">
      <c r="A558" s="16" t="str">
        <f aca="false">Purchase_Orders!A555</f>
        <v>PO10554</v>
      </c>
      <c r="B558" s="16" t="str">
        <f aca="false">Purchase_Orders!B555</f>
        <v>V1021</v>
      </c>
      <c r="C558" s="16" t="str">
        <f aca="false">IFERROR(INDEX(Vendor_Master!$B$2:$B$41,MATCH(B558,Vendor_Master!$A$2:$A$41,0)),"Unknown Vendor")</f>
        <v>Ellis, Baker and Wright</v>
      </c>
      <c r="D558" s="17" t="n">
        <f aca="false">Purchase_Orders!C555</f>
        <v>46118</v>
      </c>
      <c r="E558" s="18" t="n">
        <f aca="false">Purchase_Orders!D555</f>
        <v>5679.33</v>
      </c>
      <c r="F558" s="18" t="n">
        <f aca="false">SUMIFS(Goods_Receipt_Notes!$D$2:$D$791,Goods_Receipt_Notes!$B$2:$B$791,A558)</f>
        <v>5679.33</v>
      </c>
      <c r="G558" s="18" t="n">
        <f aca="false">SUMIFS(Vendor_Invoices_AP!$E$2:$E$882,Vendor_Invoices_AP!$B$2:$B$882,A558)</f>
        <v>5679.33</v>
      </c>
      <c r="H558" s="16" t="str">
        <f aca="false">IF(F558=0,"Not Received","Received")</f>
        <v>Received</v>
      </c>
      <c r="I558" s="16" t="str">
        <f aca="false">IF(G558=0,"Not Invoiced","Invoiced")</f>
        <v>Invoiced</v>
      </c>
      <c r="J558" s="18" t="n">
        <f aca="false">E558-F558</f>
        <v>0</v>
      </c>
      <c r="K558" s="18" t="n">
        <f aca="false">E558-G558</f>
        <v>0</v>
      </c>
      <c r="L558" s="16" t="str">
        <f aca="false">IF(OR(AND(I558="Invoiced",H558="Not Received"),AND(F558&gt;0,ABS(J558)&gt;Assumptions!$B$6),AND(G558&gt;0,ABS(K558)&gt;Assumptions!$B$6)),"EXCEPTION","OK")</f>
        <v>OK</v>
      </c>
    </row>
    <row r="559" customFormat="false" ht="15" hidden="false" customHeight="false" outlineLevel="0" collapsed="false">
      <c r="A559" s="16" t="str">
        <f aca="false">Purchase_Orders!A556</f>
        <v>PO10555</v>
      </c>
      <c r="B559" s="16" t="str">
        <f aca="false">Purchase_Orders!B556</f>
        <v>V1005</v>
      </c>
      <c r="C559" s="16" t="str">
        <f aca="false">IFERROR(INDEX(Vendor_Master!$B$2:$B$41,MATCH(B559,Vendor_Master!$A$2:$A$41,0)),"Unknown Vendor")</f>
        <v>Cole LLC</v>
      </c>
      <c r="D559" s="17" t="n">
        <f aca="false">Purchase_Orders!C556</f>
        <v>45766</v>
      </c>
      <c r="E559" s="18" t="n">
        <f aca="false">Purchase_Orders!D556</f>
        <v>745.67</v>
      </c>
      <c r="F559" s="18" t="n">
        <f aca="false">SUMIFS(Goods_Receipt_Notes!$D$2:$D$791,Goods_Receipt_Notes!$B$2:$B$791,A559)</f>
        <v>745.67</v>
      </c>
      <c r="G559" s="18" t="n">
        <f aca="false">SUMIFS(Vendor_Invoices_AP!$E$2:$E$882,Vendor_Invoices_AP!$B$2:$B$882,A559)</f>
        <v>1491.34</v>
      </c>
      <c r="H559" s="16" t="str">
        <f aca="false">IF(F559=0,"Not Received","Received")</f>
        <v>Received</v>
      </c>
      <c r="I559" s="16" t="str">
        <f aca="false">IF(G559=0,"Not Invoiced","Invoiced")</f>
        <v>Invoiced</v>
      </c>
      <c r="J559" s="18" t="n">
        <f aca="false">E559-F559</f>
        <v>0</v>
      </c>
      <c r="K559" s="18" t="n">
        <f aca="false">E559-G559</f>
        <v>-745.67</v>
      </c>
      <c r="L559" s="16" t="str">
        <f aca="false">IF(OR(AND(I559="Invoiced",H559="Not Received"),AND(F559&gt;0,ABS(J559)&gt;Assumptions!$B$6),AND(G559&gt;0,ABS(K559)&gt;Assumptions!$B$6)),"EXCEPTION","OK")</f>
        <v>EXCEPTION</v>
      </c>
    </row>
    <row r="560" customFormat="false" ht="15" hidden="false" customHeight="false" outlineLevel="0" collapsed="false">
      <c r="A560" s="16" t="str">
        <f aca="false">Purchase_Orders!A557</f>
        <v>PO10556</v>
      </c>
      <c r="B560" s="16" t="str">
        <f aca="false">Purchase_Orders!B557</f>
        <v>V1038</v>
      </c>
      <c r="C560" s="16" t="str">
        <f aca="false">IFERROR(INDEX(Vendor_Master!$B$2:$B$41,MATCH(B560,Vendor_Master!$A$2:$A$41,0)),"Unknown Vendor")</f>
        <v>Rose-Obrien</v>
      </c>
      <c r="D560" s="17" t="n">
        <f aca="false">Purchase_Orders!C557</f>
        <v>45867</v>
      </c>
      <c r="E560" s="18" t="n">
        <f aca="false">Purchase_Orders!D557</f>
        <v>2119.2</v>
      </c>
      <c r="F560" s="18" t="n">
        <f aca="false">SUMIFS(Goods_Receipt_Notes!$D$2:$D$791,Goods_Receipt_Notes!$B$2:$B$791,A560)</f>
        <v>2119.2</v>
      </c>
      <c r="G560" s="18" t="n">
        <f aca="false">SUMIFS(Vendor_Invoices_AP!$E$2:$E$882,Vendor_Invoices_AP!$B$2:$B$882,A560)</f>
        <v>2119.2</v>
      </c>
      <c r="H560" s="16" t="str">
        <f aca="false">IF(F560=0,"Not Received","Received")</f>
        <v>Received</v>
      </c>
      <c r="I560" s="16" t="str">
        <f aca="false">IF(G560=0,"Not Invoiced","Invoiced")</f>
        <v>Invoiced</v>
      </c>
      <c r="J560" s="18" t="n">
        <f aca="false">E560-F560</f>
        <v>0</v>
      </c>
      <c r="K560" s="18" t="n">
        <f aca="false">E560-G560</f>
        <v>0</v>
      </c>
      <c r="L560" s="16" t="str">
        <f aca="false">IF(OR(AND(I560="Invoiced",H560="Not Received"),AND(F560&gt;0,ABS(J560)&gt;Assumptions!$B$6),AND(G560&gt;0,ABS(K560)&gt;Assumptions!$B$6)),"EXCEPTION","OK")</f>
        <v>OK</v>
      </c>
    </row>
    <row r="561" customFormat="false" ht="15" hidden="false" customHeight="false" outlineLevel="0" collapsed="false">
      <c r="A561" s="16" t="str">
        <f aca="false">Purchase_Orders!A558</f>
        <v>PO10557</v>
      </c>
      <c r="B561" s="16" t="str">
        <f aca="false">Purchase_Orders!B558</f>
        <v>V1015</v>
      </c>
      <c r="C561" s="16" t="str">
        <f aca="false">IFERROR(INDEX(Vendor_Master!$B$2:$B$41,MATCH(B561,Vendor_Master!$A$2:$A$41,0)),"Unknown Vendor")</f>
        <v>Zuniga, Wong and Lynch</v>
      </c>
      <c r="D561" s="17" t="n">
        <f aca="false">Purchase_Orders!C558</f>
        <v>45921</v>
      </c>
      <c r="E561" s="18" t="n">
        <f aca="false">Purchase_Orders!D558</f>
        <v>202.78</v>
      </c>
      <c r="F561" s="18" t="n">
        <f aca="false">SUMIFS(Goods_Receipt_Notes!$D$2:$D$791,Goods_Receipt_Notes!$B$2:$B$791,A561)</f>
        <v>202.78</v>
      </c>
      <c r="G561" s="18" t="n">
        <f aca="false">SUMIFS(Vendor_Invoices_AP!$E$2:$E$882,Vendor_Invoices_AP!$B$2:$B$882,A561)</f>
        <v>202.78</v>
      </c>
      <c r="H561" s="16" t="str">
        <f aca="false">IF(F561=0,"Not Received","Received")</f>
        <v>Received</v>
      </c>
      <c r="I561" s="16" t="str">
        <f aca="false">IF(G561=0,"Not Invoiced","Invoiced")</f>
        <v>Invoiced</v>
      </c>
      <c r="J561" s="18" t="n">
        <f aca="false">E561-F561</f>
        <v>0</v>
      </c>
      <c r="K561" s="18" t="n">
        <f aca="false">E561-G561</f>
        <v>0</v>
      </c>
      <c r="L561" s="16" t="str">
        <f aca="false">IF(OR(AND(I561="Invoiced",H561="Not Received"),AND(F561&gt;0,ABS(J561)&gt;Assumptions!$B$6),AND(G561&gt;0,ABS(K561)&gt;Assumptions!$B$6)),"EXCEPTION","OK")</f>
        <v>OK</v>
      </c>
    </row>
    <row r="562" customFormat="false" ht="15" hidden="false" customHeight="false" outlineLevel="0" collapsed="false">
      <c r="A562" s="16" t="str">
        <f aca="false">Purchase_Orders!A559</f>
        <v>PO10558</v>
      </c>
      <c r="B562" s="16" t="str">
        <f aca="false">Purchase_Orders!B559</f>
        <v>V1023</v>
      </c>
      <c r="C562" s="16" t="str">
        <f aca="false">IFERROR(INDEX(Vendor_Master!$B$2:$B$41,MATCH(B562,Vendor_Master!$A$2:$A$41,0)),"Unknown Vendor")</f>
        <v>Robinson-Bright</v>
      </c>
      <c r="D562" s="17" t="n">
        <f aca="false">Purchase_Orders!C559</f>
        <v>45787</v>
      </c>
      <c r="E562" s="18" t="n">
        <f aca="false">Purchase_Orders!D559</f>
        <v>1869.57</v>
      </c>
      <c r="F562" s="18" t="n">
        <f aca="false">SUMIFS(Goods_Receipt_Notes!$D$2:$D$791,Goods_Receipt_Notes!$B$2:$B$791,A562)</f>
        <v>1869.57</v>
      </c>
      <c r="G562" s="18" t="n">
        <f aca="false">SUMIFS(Vendor_Invoices_AP!$E$2:$E$882,Vendor_Invoices_AP!$B$2:$B$882,A562)</f>
        <v>1869.57</v>
      </c>
      <c r="H562" s="16" t="str">
        <f aca="false">IF(F562=0,"Not Received","Received")</f>
        <v>Received</v>
      </c>
      <c r="I562" s="16" t="str">
        <f aca="false">IF(G562=0,"Not Invoiced","Invoiced")</f>
        <v>Invoiced</v>
      </c>
      <c r="J562" s="18" t="n">
        <f aca="false">E562-F562</f>
        <v>0</v>
      </c>
      <c r="K562" s="18" t="n">
        <f aca="false">E562-G562</f>
        <v>0</v>
      </c>
      <c r="L562" s="16" t="str">
        <f aca="false">IF(OR(AND(I562="Invoiced",H562="Not Received"),AND(F562&gt;0,ABS(J562)&gt;Assumptions!$B$6),AND(G562&gt;0,ABS(K562)&gt;Assumptions!$B$6)),"EXCEPTION","OK")</f>
        <v>OK</v>
      </c>
    </row>
    <row r="563" customFormat="false" ht="15" hidden="false" customHeight="false" outlineLevel="0" collapsed="false">
      <c r="A563" s="16" t="str">
        <f aca="false">Purchase_Orders!A560</f>
        <v>PO10559</v>
      </c>
      <c r="B563" s="16" t="str">
        <f aca="false">Purchase_Orders!B560</f>
        <v>V1012</v>
      </c>
      <c r="C563" s="16" t="str">
        <f aca="false">IFERROR(INDEX(Vendor_Master!$B$2:$B$41,MATCH(B563,Vendor_Master!$A$2:$A$41,0)),"Unknown Vendor")</f>
        <v>Stanley LLC</v>
      </c>
      <c r="D563" s="17" t="n">
        <f aca="false">Purchase_Orders!C560</f>
        <v>45969</v>
      </c>
      <c r="E563" s="18" t="n">
        <f aca="false">Purchase_Orders!D560</f>
        <v>1002.81</v>
      </c>
      <c r="F563" s="18" t="n">
        <f aca="false">SUMIFS(Goods_Receipt_Notes!$D$2:$D$791,Goods_Receipt_Notes!$B$2:$B$791,A563)</f>
        <v>1002.81</v>
      </c>
      <c r="G563" s="18" t="n">
        <f aca="false">SUMIFS(Vendor_Invoices_AP!$E$2:$E$882,Vendor_Invoices_AP!$B$2:$B$882,A563)</f>
        <v>1002.81</v>
      </c>
      <c r="H563" s="16" t="str">
        <f aca="false">IF(F563=0,"Not Received","Received")</f>
        <v>Received</v>
      </c>
      <c r="I563" s="16" t="str">
        <f aca="false">IF(G563=0,"Not Invoiced","Invoiced")</f>
        <v>Invoiced</v>
      </c>
      <c r="J563" s="18" t="n">
        <f aca="false">E563-F563</f>
        <v>0</v>
      </c>
      <c r="K563" s="18" t="n">
        <f aca="false">E563-G563</f>
        <v>0</v>
      </c>
      <c r="L563" s="16" t="str">
        <f aca="false">IF(OR(AND(I563="Invoiced",H563="Not Received"),AND(F563&gt;0,ABS(J563)&gt;Assumptions!$B$6),AND(G563&gt;0,ABS(K563)&gt;Assumptions!$B$6)),"EXCEPTION","OK")</f>
        <v>OK</v>
      </c>
    </row>
    <row r="564" customFormat="false" ht="15" hidden="false" customHeight="false" outlineLevel="0" collapsed="false">
      <c r="A564" s="16" t="str">
        <f aca="false">Purchase_Orders!A561</f>
        <v>PO10560</v>
      </c>
      <c r="B564" s="16" t="str">
        <f aca="false">Purchase_Orders!B561</f>
        <v>V1019</v>
      </c>
      <c r="C564" s="16" t="str">
        <f aca="false">IFERROR(INDEX(Vendor_Master!$B$2:$B$41,MATCH(B564,Vendor_Master!$A$2:$A$41,0)),"Unknown Vendor")</f>
        <v>Clark PLC</v>
      </c>
      <c r="D564" s="17" t="n">
        <f aca="false">Purchase_Orders!C561</f>
        <v>45971</v>
      </c>
      <c r="E564" s="18" t="n">
        <f aca="false">Purchase_Orders!D561</f>
        <v>829.86</v>
      </c>
      <c r="F564" s="18" t="n">
        <f aca="false">SUMIFS(Goods_Receipt_Notes!$D$2:$D$791,Goods_Receipt_Notes!$B$2:$B$791,A564)</f>
        <v>829.86</v>
      </c>
      <c r="G564" s="18" t="n">
        <f aca="false">SUMIFS(Vendor_Invoices_AP!$E$2:$E$882,Vendor_Invoices_AP!$B$2:$B$882,A564)</f>
        <v>829.86</v>
      </c>
      <c r="H564" s="16" t="str">
        <f aca="false">IF(F564=0,"Not Received","Received")</f>
        <v>Received</v>
      </c>
      <c r="I564" s="16" t="str">
        <f aca="false">IF(G564=0,"Not Invoiced","Invoiced")</f>
        <v>Invoiced</v>
      </c>
      <c r="J564" s="18" t="n">
        <f aca="false">E564-F564</f>
        <v>0</v>
      </c>
      <c r="K564" s="18" t="n">
        <f aca="false">E564-G564</f>
        <v>0</v>
      </c>
      <c r="L564" s="16" t="str">
        <f aca="false">IF(OR(AND(I564="Invoiced",H564="Not Received"),AND(F564&gt;0,ABS(J564)&gt;Assumptions!$B$6),AND(G564&gt;0,ABS(K564)&gt;Assumptions!$B$6)),"EXCEPTION","OK")</f>
        <v>OK</v>
      </c>
    </row>
    <row r="565" customFormat="false" ht="15" hidden="false" customHeight="false" outlineLevel="0" collapsed="false">
      <c r="A565" s="16" t="str">
        <f aca="false">Purchase_Orders!A562</f>
        <v>PO10561</v>
      </c>
      <c r="B565" s="16" t="str">
        <f aca="false">Purchase_Orders!B562</f>
        <v>V1038</v>
      </c>
      <c r="C565" s="16" t="str">
        <f aca="false">IFERROR(INDEX(Vendor_Master!$B$2:$B$41,MATCH(B565,Vendor_Master!$A$2:$A$41,0)),"Unknown Vendor")</f>
        <v>Rose-Obrien</v>
      </c>
      <c r="D565" s="17" t="n">
        <f aca="false">Purchase_Orders!C562</f>
        <v>46199</v>
      </c>
      <c r="E565" s="18" t="n">
        <f aca="false">Purchase_Orders!D562</f>
        <v>1964.42</v>
      </c>
      <c r="F565" s="18" t="n">
        <f aca="false">SUMIFS(Goods_Receipt_Notes!$D$2:$D$791,Goods_Receipt_Notes!$B$2:$B$791,A565)</f>
        <v>1964.42</v>
      </c>
      <c r="G565" s="18" t="n">
        <f aca="false">SUMIFS(Vendor_Invoices_AP!$E$2:$E$882,Vendor_Invoices_AP!$B$2:$B$882,A565)</f>
        <v>1964.42</v>
      </c>
      <c r="H565" s="16" t="str">
        <f aca="false">IF(F565=0,"Not Received","Received")</f>
        <v>Received</v>
      </c>
      <c r="I565" s="16" t="str">
        <f aca="false">IF(G565=0,"Not Invoiced","Invoiced")</f>
        <v>Invoiced</v>
      </c>
      <c r="J565" s="18" t="n">
        <f aca="false">E565-F565</f>
        <v>0</v>
      </c>
      <c r="K565" s="18" t="n">
        <f aca="false">E565-G565</f>
        <v>0</v>
      </c>
      <c r="L565" s="16" t="str">
        <f aca="false">IF(OR(AND(I565="Invoiced",H565="Not Received"),AND(F565&gt;0,ABS(J565)&gt;Assumptions!$B$6),AND(G565&gt;0,ABS(K565)&gt;Assumptions!$B$6)),"EXCEPTION","OK")</f>
        <v>OK</v>
      </c>
    </row>
    <row r="566" customFormat="false" ht="15" hidden="false" customHeight="false" outlineLevel="0" collapsed="false">
      <c r="A566" s="16" t="str">
        <f aca="false">Purchase_Orders!A563</f>
        <v>PO10562</v>
      </c>
      <c r="B566" s="16" t="str">
        <f aca="false">Purchase_Orders!B563</f>
        <v>V1028</v>
      </c>
      <c r="C566" s="16" t="str">
        <f aca="false">IFERROR(INDEX(Vendor_Master!$B$2:$B$41,MATCH(B566,Vendor_Master!$A$2:$A$41,0)),"Unknown Vendor")</f>
        <v>Potter, Mack and Peterson</v>
      </c>
      <c r="D566" s="17" t="n">
        <f aca="false">Purchase_Orders!C563</f>
        <v>45818</v>
      </c>
      <c r="E566" s="18" t="n">
        <f aca="false">Purchase_Orders!D563</f>
        <v>3096.07</v>
      </c>
      <c r="F566" s="18" t="n">
        <f aca="false">SUMIFS(Goods_Receipt_Notes!$D$2:$D$791,Goods_Receipt_Notes!$B$2:$B$791,A566)</f>
        <v>0</v>
      </c>
      <c r="G566" s="18" t="n">
        <f aca="false">SUMIFS(Vendor_Invoices_AP!$E$2:$E$882,Vendor_Invoices_AP!$B$2:$B$882,A566)</f>
        <v>3096.07</v>
      </c>
      <c r="H566" s="16" t="str">
        <f aca="false">IF(F566=0,"Not Received","Received")</f>
        <v>Not Received</v>
      </c>
      <c r="I566" s="16" t="str">
        <f aca="false">IF(G566=0,"Not Invoiced","Invoiced")</f>
        <v>Invoiced</v>
      </c>
      <c r="J566" s="18" t="n">
        <f aca="false">E566-F566</f>
        <v>3096.07</v>
      </c>
      <c r="K566" s="18" t="n">
        <f aca="false">E566-G566</f>
        <v>0</v>
      </c>
      <c r="L566" s="16" t="str">
        <f aca="false">IF(OR(AND(I566="Invoiced",H566="Not Received"),AND(F566&gt;0,ABS(J566)&gt;Assumptions!$B$6),AND(G566&gt;0,ABS(K566)&gt;Assumptions!$B$6)),"EXCEPTION","OK")</f>
        <v>EXCEPTION</v>
      </c>
    </row>
    <row r="567" customFormat="false" ht="15" hidden="false" customHeight="false" outlineLevel="0" collapsed="false">
      <c r="A567" s="16" t="str">
        <f aca="false">Purchase_Orders!A564</f>
        <v>PO10563</v>
      </c>
      <c r="B567" s="16" t="str">
        <f aca="false">Purchase_Orders!B564</f>
        <v>V1021</v>
      </c>
      <c r="C567" s="16" t="str">
        <f aca="false">IFERROR(INDEX(Vendor_Master!$B$2:$B$41,MATCH(B567,Vendor_Master!$A$2:$A$41,0)),"Unknown Vendor")</f>
        <v>Ellis, Baker and Wright</v>
      </c>
      <c r="D567" s="17" t="n">
        <f aca="false">Purchase_Orders!C564</f>
        <v>46190</v>
      </c>
      <c r="E567" s="18" t="n">
        <f aca="false">Purchase_Orders!D564</f>
        <v>1700.5</v>
      </c>
      <c r="F567" s="18" t="n">
        <f aca="false">SUMIFS(Goods_Receipt_Notes!$D$2:$D$791,Goods_Receipt_Notes!$B$2:$B$791,A567)</f>
        <v>0</v>
      </c>
      <c r="G567" s="18" t="n">
        <f aca="false">SUMIFS(Vendor_Invoices_AP!$E$2:$E$882,Vendor_Invoices_AP!$B$2:$B$882,A567)</f>
        <v>1700.5</v>
      </c>
      <c r="H567" s="16" t="str">
        <f aca="false">IF(F567=0,"Not Received","Received")</f>
        <v>Not Received</v>
      </c>
      <c r="I567" s="16" t="str">
        <f aca="false">IF(G567=0,"Not Invoiced","Invoiced")</f>
        <v>Invoiced</v>
      </c>
      <c r="J567" s="18" t="n">
        <f aca="false">E567-F567</f>
        <v>1700.5</v>
      </c>
      <c r="K567" s="18" t="n">
        <f aca="false">E567-G567</f>
        <v>0</v>
      </c>
      <c r="L567" s="16" t="str">
        <f aca="false">IF(OR(AND(I567="Invoiced",H567="Not Received"),AND(F567&gt;0,ABS(J567)&gt;Assumptions!$B$6),AND(G567&gt;0,ABS(K567)&gt;Assumptions!$B$6)),"EXCEPTION","OK")</f>
        <v>EXCEPTION</v>
      </c>
    </row>
    <row r="568" customFormat="false" ht="15" hidden="false" customHeight="false" outlineLevel="0" collapsed="false">
      <c r="A568" s="16" t="str">
        <f aca="false">Purchase_Orders!A565</f>
        <v>PO10564</v>
      </c>
      <c r="B568" s="16" t="str">
        <f aca="false">Purchase_Orders!B565</f>
        <v>V1003</v>
      </c>
      <c r="C568" s="16" t="str">
        <f aca="false">IFERROR(INDEX(Vendor_Master!$B$2:$B$41,MATCH(B568,Vendor_Master!$A$2:$A$41,0)),"Unknown Vendor")</f>
        <v>Johnson and Sons</v>
      </c>
      <c r="D568" s="17" t="n">
        <f aca="false">Purchase_Orders!C565</f>
        <v>46016</v>
      </c>
      <c r="E568" s="18" t="n">
        <f aca="false">Purchase_Orders!D565</f>
        <v>1462.27</v>
      </c>
      <c r="F568" s="18" t="n">
        <f aca="false">SUMIFS(Goods_Receipt_Notes!$D$2:$D$791,Goods_Receipt_Notes!$B$2:$B$791,A568)</f>
        <v>1462.27</v>
      </c>
      <c r="G568" s="18" t="n">
        <f aca="false">SUMIFS(Vendor_Invoices_AP!$E$2:$E$882,Vendor_Invoices_AP!$B$2:$B$882,A568)</f>
        <v>1462.27</v>
      </c>
      <c r="H568" s="16" t="str">
        <f aca="false">IF(F568=0,"Not Received","Received")</f>
        <v>Received</v>
      </c>
      <c r="I568" s="16" t="str">
        <f aca="false">IF(G568=0,"Not Invoiced","Invoiced")</f>
        <v>Invoiced</v>
      </c>
      <c r="J568" s="18" t="n">
        <f aca="false">E568-F568</f>
        <v>0</v>
      </c>
      <c r="K568" s="18" t="n">
        <f aca="false">E568-G568</f>
        <v>0</v>
      </c>
      <c r="L568" s="16" t="str">
        <f aca="false">IF(OR(AND(I568="Invoiced",H568="Not Received"),AND(F568&gt;0,ABS(J568)&gt;Assumptions!$B$6),AND(G568&gt;0,ABS(K568)&gt;Assumptions!$B$6)),"EXCEPTION","OK")</f>
        <v>OK</v>
      </c>
    </row>
    <row r="569" customFormat="false" ht="15" hidden="false" customHeight="false" outlineLevel="0" collapsed="false">
      <c r="A569" s="16" t="str">
        <f aca="false">Purchase_Orders!A566</f>
        <v>PO10565</v>
      </c>
      <c r="B569" s="16" t="str">
        <f aca="false">Purchase_Orders!B566</f>
        <v>V1023</v>
      </c>
      <c r="C569" s="16" t="str">
        <f aca="false">IFERROR(INDEX(Vendor_Master!$B$2:$B$41,MATCH(B569,Vendor_Master!$A$2:$A$41,0)),"Unknown Vendor")</f>
        <v>Robinson-Bright</v>
      </c>
      <c r="D569" s="17" t="n">
        <f aca="false">Purchase_Orders!C566</f>
        <v>45807</v>
      </c>
      <c r="E569" s="18" t="n">
        <f aca="false">Purchase_Orders!D566</f>
        <v>1476.77</v>
      </c>
      <c r="F569" s="18" t="n">
        <f aca="false">SUMIFS(Goods_Receipt_Notes!$D$2:$D$791,Goods_Receipt_Notes!$B$2:$B$791,A569)</f>
        <v>1476.77</v>
      </c>
      <c r="G569" s="18" t="n">
        <f aca="false">SUMIFS(Vendor_Invoices_AP!$E$2:$E$882,Vendor_Invoices_AP!$B$2:$B$882,A569)</f>
        <v>1476.77</v>
      </c>
      <c r="H569" s="16" t="str">
        <f aca="false">IF(F569=0,"Not Received","Received")</f>
        <v>Received</v>
      </c>
      <c r="I569" s="16" t="str">
        <f aca="false">IF(G569=0,"Not Invoiced","Invoiced")</f>
        <v>Invoiced</v>
      </c>
      <c r="J569" s="18" t="n">
        <f aca="false">E569-F569</f>
        <v>0</v>
      </c>
      <c r="K569" s="18" t="n">
        <f aca="false">E569-G569</f>
        <v>0</v>
      </c>
      <c r="L569" s="16" t="str">
        <f aca="false">IF(OR(AND(I569="Invoiced",H569="Not Received"),AND(F569&gt;0,ABS(J569)&gt;Assumptions!$B$6),AND(G569&gt;0,ABS(K569)&gt;Assumptions!$B$6)),"EXCEPTION","OK")</f>
        <v>OK</v>
      </c>
    </row>
    <row r="570" customFormat="false" ht="15" hidden="false" customHeight="false" outlineLevel="0" collapsed="false">
      <c r="A570" s="16" t="str">
        <f aca="false">Purchase_Orders!A567</f>
        <v>PO10566</v>
      </c>
      <c r="B570" s="16" t="str">
        <f aca="false">Purchase_Orders!B567</f>
        <v>V1036</v>
      </c>
      <c r="C570" s="16" t="str">
        <f aca="false">IFERROR(INDEX(Vendor_Master!$B$2:$B$41,MATCH(B570,Vendor_Master!$A$2:$A$41,0)),"Unknown Vendor")</f>
        <v>Dennis Inc</v>
      </c>
      <c r="D570" s="17" t="n">
        <f aca="false">Purchase_Orders!C567</f>
        <v>45966</v>
      </c>
      <c r="E570" s="18" t="n">
        <f aca="false">Purchase_Orders!D567</f>
        <v>3152.95</v>
      </c>
      <c r="F570" s="18" t="n">
        <f aca="false">SUMIFS(Goods_Receipt_Notes!$D$2:$D$791,Goods_Receipt_Notes!$B$2:$B$791,A570)</f>
        <v>3152.95</v>
      </c>
      <c r="G570" s="18" t="n">
        <f aca="false">SUMIFS(Vendor_Invoices_AP!$E$2:$E$882,Vendor_Invoices_AP!$B$2:$B$882,A570)</f>
        <v>3152.95</v>
      </c>
      <c r="H570" s="16" t="str">
        <f aca="false">IF(F570=0,"Not Received","Received")</f>
        <v>Received</v>
      </c>
      <c r="I570" s="16" t="str">
        <f aca="false">IF(G570=0,"Not Invoiced","Invoiced")</f>
        <v>Invoiced</v>
      </c>
      <c r="J570" s="18" t="n">
        <f aca="false">E570-F570</f>
        <v>0</v>
      </c>
      <c r="K570" s="18" t="n">
        <f aca="false">E570-G570</f>
        <v>0</v>
      </c>
      <c r="L570" s="16" t="str">
        <f aca="false">IF(OR(AND(I570="Invoiced",H570="Not Received"),AND(F570&gt;0,ABS(J570)&gt;Assumptions!$B$6),AND(G570&gt;0,ABS(K570)&gt;Assumptions!$B$6)),"EXCEPTION","OK")</f>
        <v>OK</v>
      </c>
    </row>
    <row r="571" customFormat="false" ht="15" hidden="false" customHeight="false" outlineLevel="0" collapsed="false">
      <c r="A571" s="16" t="str">
        <f aca="false">Purchase_Orders!A568</f>
        <v>PO10567</v>
      </c>
      <c r="B571" s="16" t="str">
        <f aca="false">Purchase_Orders!B568</f>
        <v>V1003</v>
      </c>
      <c r="C571" s="16" t="str">
        <f aca="false">IFERROR(INDEX(Vendor_Master!$B$2:$B$41,MATCH(B571,Vendor_Master!$A$2:$A$41,0)),"Unknown Vendor")</f>
        <v>Johnson and Sons</v>
      </c>
      <c r="D571" s="17" t="n">
        <f aca="false">Purchase_Orders!C568</f>
        <v>46031</v>
      </c>
      <c r="E571" s="18" t="n">
        <f aca="false">Purchase_Orders!D568</f>
        <v>3405.2</v>
      </c>
      <c r="F571" s="18" t="n">
        <f aca="false">SUMIFS(Goods_Receipt_Notes!$D$2:$D$791,Goods_Receipt_Notes!$B$2:$B$791,A571)</f>
        <v>3405.2</v>
      </c>
      <c r="G571" s="18" t="n">
        <f aca="false">SUMIFS(Vendor_Invoices_AP!$E$2:$E$882,Vendor_Invoices_AP!$B$2:$B$882,A571)</f>
        <v>3405.2</v>
      </c>
      <c r="H571" s="16" t="str">
        <f aca="false">IF(F571=0,"Not Received","Received")</f>
        <v>Received</v>
      </c>
      <c r="I571" s="16" t="str">
        <f aca="false">IF(G571=0,"Not Invoiced","Invoiced")</f>
        <v>Invoiced</v>
      </c>
      <c r="J571" s="18" t="n">
        <f aca="false">E571-F571</f>
        <v>0</v>
      </c>
      <c r="K571" s="18" t="n">
        <f aca="false">E571-G571</f>
        <v>0</v>
      </c>
      <c r="L571" s="16" t="str">
        <f aca="false">IF(OR(AND(I571="Invoiced",H571="Not Received"),AND(F571&gt;0,ABS(J571)&gt;Assumptions!$B$6),AND(G571&gt;0,ABS(K571)&gt;Assumptions!$B$6)),"EXCEPTION","OK")</f>
        <v>OK</v>
      </c>
    </row>
    <row r="572" customFormat="false" ht="15" hidden="false" customHeight="false" outlineLevel="0" collapsed="false">
      <c r="A572" s="16" t="str">
        <f aca="false">Purchase_Orders!A569</f>
        <v>PO10568</v>
      </c>
      <c r="B572" s="16" t="str">
        <f aca="false">Purchase_Orders!B569</f>
        <v>V1013</v>
      </c>
      <c r="C572" s="16" t="str">
        <f aca="false">IFERROR(INDEX(Vendor_Master!$B$2:$B$41,MATCH(B572,Vendor_Master!$A$2:$A$41,0)),"Unknown Vendor")</f>
        <v>Delacruz Group</v>
      </c>
      <c r="D572" s="17" t="n">
        <f aca="false">Purchase_Orders!C569</f>
        <v>46063</v>
      </c>
      <c r="E572" s="18" t="n">
        <f aca="false">Purchase_Orders!D569</f>
        <v>290.16</v>
      </c>
      <c r="F572" s="18" t="n">
        <f aca="false">SUMIFS(Goods_Receipt_Notes!$D$2:$D$791,Goods_Receipt_Notes!$B$2:$B$791,A572)</f>
        <v>290.16</v>
      </c>
      <c r="G572" s="18" t="n">
        <f aca="false">SUMIFS(Vendor_Invoices_AP!$E$2:$E$882,Vendor_Invoices_AP!$B$2:$B$882,A572)</f>
        <v>290.16</v>
      </c>
      <c r="H572" s="16" t="str">
        <f aca="false">IF(F572=0,"Not Received","Received")</f>
        <v>Received</v>
      </c>
      <c r="I572" s="16" t="str">
        <f aca="false">IF(G572=0,"Not Invoiced","Invoiced")</f>
        <v>Invoiced</v>
      </c>
      <c r="J572" s="18" t="n">
        <f aca="false">E572-F572</f>
        <v>0</v>
      </c>
      <c r="K572" s="18" t="n">
        <f aca="false">E572-G572</f>
        <v>0</v>
      </c>
      <c r="L572" s="16" t="str">
        <f aca="false">IF(OR(AND(I572="Invoiced",H572="Not Received"),AND(F572&gt;0,ABS(J572)&gt;Assumptions!$B$6),AND(G572&gt;0,ABS(K572)&gt;Assumptions!$B$6)),"EXCEPTION","OK")</f>
        <v>OK</v>
      </c>
    </row>
    <row r="573" customFormat="false" ht="15" hidden="false" customHeight="false" outlineLevel="0" collapsed="false">
      <c r="A573" s="16" t="str">
        <f aca="false">Purchase_Orders!A570</f>
        <v>PO10569</v>
      </c>
      <c r="B573" s="16" t="str">
        <f aca="false">Purchase_Orders!B570</f>
        <v>V1030</v>
      </c>
      <c r="C573" s="16" t="str">
        <f aca="false">IFERROR(INDEX(Vendor_Master!$B$2:$B$41,MATCH(B573,Vendor_Master!$A$2:$A$41,0)),"Unknown Vendor")</f>
        <v>Stanton-Gill</v>
      </c>
      <c r="D573" s="17" t="n">
        <f aca="false">Purchase_Orders!C570</f>
        <v>45684</v>
      </c>
      <c r="E573" s="18" t="n">
        <f aca="false">Purchase_Orders!D570</f>
        <v>3177.82</v>
      </c>
      <c r="F573" s="18" t="n">
        <f aca="false">SUMIFS(Goods_Receipt_Notes!$D$2:$D$791,Goods_Receipt_Notes!$B$2:$B$791,A573)</f>
        <v>3177.82</v>
      </c>
      <c r="G573" s="18" t="n">
        <f aca="false">SUMIFS(Vendor_Invoices_AP!$E$2:$E$882,Vendor_Invoices_AP!$B$2:$B$882,A573)</f>
        <v>3177.82</v>
      </c>
      <c r="H573" s="16" t="str">
        <f aca="false">IF(F573=0,"Not Received","Received")</f>
        <v>Received</v>
      </c>
      <c r="I573" s="16" t="str">
        <f aca="false">IF(G573=0,"Not Invoiced","Invoiced")</f>
        <v>Invoiced</v>
      </c>
      <c r="J573" s="18" t="n">
        <f aca="false">E573-F573</f>
        <v>0</v>
      </c>
      <c r="K573" s="18" t="n">
        <f aca="false">E573-G573</f>
        <v>0</v>
      </c>
      <c r="L573" s="16" t="str">
        <f aca="false">IF(OR(AND(I573="Invoiced",H573="Not Received"),AND(F573&gt;0,ABS(J573)&gt;Assumptions!$B$6),AND(G573&gt;0,ABS(K573)&gt;Assumptions!$B$6)),"EXCEPTION","OK")</f>
        <v>OK</v>
      </c>
    </row>
    <row r="574" customFormat="false" ht="15" hidden="false" customHeight="false" outlineLevel="0" collapsed="false">
      <c r="A574" s="16" t="str">
        <f aca="false">Purchase_Orders!A571</f>
        <v>PO10570</v>
      </c>
      <c r="B574" s="16" t="str">
        <f aca="false">Purchase_Orders!B571</f>
        <v>V1012</v>
      </c>
      <c r="C574" s="16" t="str">
        <f aca="false">IFERROR(INDEX(Vendor_Master!$B$2:$B$41,MATCH(B574,Vendor_Master!$A$2:$A$41,0)),"Unknown Vendor")</f>
        <v>Stanley LLC</v>
      </c>
      <c r="D574" s="17" t="n">
        <f aca="false">Purchase_Orders!C571</f>
        <v>45988</v>
      </c>
      <c r="E574" s="18" t="n">
        <f aca="false">Purchase_Orders!D571</f>
        <v>723.11</v>
      </c>
      <c r="F574" s="18" t="n">
        <f aca="false">SUMIFS(Goods_Receipt_Notes!$D$2:$D$791,Goods_Receipt_Notes!$B$2:$B$791,A574)</f>
        <v>723.11</v>
      </c>
      <c r="G574" s="18" t="n">
        <f aca="false">SUMIFS(Vendor_Invoices_AP!$E$2:$E$882,Vendor_Invoices_AP!$B$2:$B$882,A574)</f>
        <v>723.11</v>
      </c>
      <c r="H574" s="16" t="str">
        <f aca="false">IF(F574=0,"Not Received","Received")</f>
        <v>Received</v>
      </c>
      <c r="I574" s="16" t="str">
        <f aca="false">IF(G574=0,"Not Invoiced","Invoiced")</f>
        <v>Invoiced</v>
      </c>
      <c r="J574" s="18" t="n">
        <f aca="false">E574-F574</f>
        <v>0</v>
      </c>
      <c r="K574" s="18" t="n">
        <f aca="false">E574-G574</f>
        <v>0</v>
      </c>
      <c r="L574" s="16" t="str">
        <f aca="false">IF(OR(AND(I574="Invoiced",H574="Not Received"),AND(F574&gt;0,ABS(J574)&gt;Assumptions!$B$6),AND(G574&gt;0,ABS(K574)&gt;Assumptions!$B$6)),"EXCEPTION","OK")</f>
        <v>OK</v>
      </c>
    </row>
    <row r="575" customFormat="false" ht="15" hidden="false" customHeight="false" outlineLevel="0" collapsed="false">
      <c r="A575" s="16" t="str">
        <f aca="false">Purchase_Orders!A572</f>
        <v>PO10571</v>
      </c>
      <c r="B575" s="16" t="str">
        <f aca="false">Purchase_Orders!B572</f>
        <v>V1009</v>
      </c>
      <c r="C575" s="16" t="str">
        <f aca="false">IFERROR(INDEX(Vendor_Master!$B$2:$B$41,MATCH(B575,Vendor_Master!$A$2:$A$41,0)),"Unknown Vendor")</f>
        <v>Munoz-Roman</v>
      </c>
      <c r="D575" s="17" t="n">
        <f aca="false">Purchase_Orders!C572</f>
        <v>45928</v>
      </c>
      <c r="E575" s="18" t="n">
        <f aca="false">Purchase_Orders!D572</f>
        <v>2363.54</v>
      </c>
      <c r="F575" s="18" t="n">
        <f aca="false">SUMIFS(Goods_Receipt_Notes!$D$2:$D$791,Goods_Receipt_Notes!$B$2:$B$791,A575)</f>
        <v>2363.54</v>
      </c>
      <c r="G575" s="18" t="n">
        <f aca="false">SUMIFS(Vendor_Invoices_AP!$E$2:$E$882,Vendor_Invoices_AP!$B$2:$B$882,A575)</f>
        <v>2363.54</v>
      </c>
      <c r="H575" s="16" t="str">
        <f aca="false">IF(F575=0,"Not Received","Received")</f>
        <v>Received</v>
      </c>
      <c r="I575" s="16" t="str">
        <f aca="false">IF(G575=0,"Not Invoiced","Invoiced")</f>
        <v>Invoiced</v>
      </c>
      <c r="J575" s="18" t="n">
        <f aca="false">E575-F575</f>
        <v>0</v>
      </c>
      <c r="K575" s="18" t="n">
        <f aca="false">E575-G575</f>
        <v>0</v>
      </c>
      <c r="L575" s="16" t="str">
        <f aca="false">IF(OR(AND(I575="Invoiced",H575="Not Received"),AND(F575&gt;0,ABS(J575)&gt;Assumptions!$B$6),AND(G575&gt;0,ABS(K575)&gt;Assumptions!$B$6)),"EXCEPTION","OK")</f>
        <v>OK</v>
      </c>
    </row>
    <row r="576" customFormat="false" ht="15" hidden="false" customHeight="false" outlineLevel="0" collapsed="false">
      <c r="A576" s="16" t="str">
        <f aca="false">Purchase_Orders!A573</f>
        <v>PO10572</v>
      </c>
      <c r="B576" s="16" t="str">
        <f aca="false">Purchase_Orders!B573</f>
        <v>V1006</v>
      </c>
      <c r="C576" s="16" t="str">
        <f aca="false">IFERROR(INDEX(Vendor_Master!$B$2:$B$41,MATCH(B576,Vendor_Master!$A$2:$A$41,0)),"Unknown Vendor")</f>
        <v>Blake and Sons</v>
      </c>
      <c r="D576" s="17" t="n">
        <f aca="false">Purchase_Orders!C573</f>
        <v>46150</v>
      </c>
      <c r="E576" s="18" t="n">
        <f aca="false">Purchase_Orders!D573</f>
        <v>1328.83</v>
      </c>
      <c r="F576" s="18" t="n">
        <f aca="false">SUMIFS(Goods_Receipt_Notes!$D$2:$D$791,Goods_Receipt_Notes!$B$2:$B$791,A576)</f>
        <v>1328.83</v>
      </c>
      <c r="G576" s="18" t="n">
        <f aca="false">SUMIFS(Vendor_Invoices_AP!$E$2:$E$882,Vendor_Invoices_AP!$B$2:$B$882,A576)</f>
        <v>1328.83</v>
      </c>
      <c r="H576" s="16" t="str">
        <f aca="false">IF(F576=0,"Not Received","Received")</f>
        <v>Received</v>
      </c>
      <c r="I576" s="16" t="str">
        <f aca="false">IF(G576=0,"Not Invoiced","Invoiced")</f>
        <v>Invoiced</v>
      </c>
      <c r="J576" s="18" t="n">
        <f aca="false">E576-F576</f>
        <v>0</v>
      </c>
      <c r="K576" s="18" t="n">
        <f aca="false">E576-G576</f>
        <v>0</v>
      </c>
      <c r="L576" s="16" t="str">
        <f aca="false">IF(OR(AND(I576="Invoiced",H576="Not Received"),AND(F576&gt;0,ABS(J576)&gt;Assumptions!$B$6),AND(G576&gt;0,ABS(K576)&gt;Assumptions!$B$6)),"EXCEPTION","OK")</f>
        <v>OK</v>
      </c>
    </row>
    <row r="577" customFormat="false" ht="15" hidden="false" customHeight="false" outlineLevel="0" collapsed="false">
      <c r="A577" s="16" t="str">
        <f aca="false">Purchase_Orders!A574</f>
        <v>PO10573</v>
      </c>
      <c r="B577" s="16" t="str">
        <f aca="false">Purchase_Orders!B574</f>
        <v>V1020</v>
      </c>
      <c r="C577" s="16" t="str">
        <f aca="false">IFERROR(INDEX(Vendor_Master!$B$2:$B$41,MATCH(B577,Vendor_Master!$A$2:$A$41,0)),"Unknown Vendor")</f>
        <v>Lewis-Porter</v>
      </c>
      <c r="D577" s="17" t="n">
        <f aca="false">Purchase_Orders!C574</f>
        <v>45813</v>
      </c>
      <c r="E577" s="18" t="n">
        <f aca="false">Purchase_Orders!D574</f>
        <v>825.32</v>
      </c>
      <c r="F577" s="18" t="n">
        <f aca="false">SUMIFS(Goods_Receipt_Notes!$D$2:$D$791,Goods_Receipt_Notes!$B$2:$B$791,A577)</f>
        <v>678.9</v>
      </c>
      <c r="G577" s="18" t="n">
        <f aca="false">SUMIFS(Vendor_Invoices_AP!$E$2:$E$882,Vendor_Invoices_AP!$B$2:$B$882,A577)</f>
        <v>940.45</v>
      </c>
      <c r="H577" s="16" t="str">
        <f aca="false">IF(F577=0,"Not Received","Received")</f>
        <v>Received</v>
      </c>
      <c r="I577" s="16" t="str">
        <f aca="false">IF(G577=0,"Not Invoiced","Invoiced")</f>
        <v>Invoiced</v>
      </c>
      <c r="J577" s="18" t="n">
        <f aca="false">E577-F577</f>
        <v>146.42</v>
      </c>
      <c r="K577" s="18" t="n">
        <f aca="false">E577-G577</f>
        <v>-115.13</v>
      </c>
      <c r="L577" s="16" t="str">
        <f aca="false">IF(OR(AND(I577="Invoiced",H577="Not Received"),AND(F577&gt;0,ABS(J577)&gt;Assumptions!$B$6),AND(G577&gt;0,ABS(K577)&gt;Assumptions!$B$6)),"EXCEPTION","OK")</f>
        <v>EXCEPTION</v>
      </c>
    </row>
    <row r="578" customFormat="false" ht="15" hidden="false" customHeight="false" outlineLevel="0" collapsed="false">
      <c r="A578" s="16" t="str">
        <f aca="false">Purchase_Orders!A575</f>
        <v>PO10574</v>
      </c>
      <c r="B578" s="16" t="str">
        <f aca="false">Purchase_Orders!B575</f>
        <v>V1036</v>
      </c>
      <c r="C578" s="16" t="str">
        <f aca="false">IFERROR(INDEX(Vendor_Master!$B$2:$B$41,MATCH(B578,Vendor_Master!$A$2:$A$41,0)),"Unknown Vendor")</f>
        <v>Dennis Inc</v>
      </c>
      <c r="D578" s="17" t="n">
        <f aca="false">Purchase_Orders!C575</f>
        <v>46093</v>
      </c>
      <c r="E578" s="18" t="n">
        <f aca="false">Purchase_Orders!D575</f>
        <v>3318.83</v>
      </c>
      <c r="F578" s="18" t="n">
        <f aca="false">SUMIFS(Goods_Receipt_Notes!$D$2:$D$791,Goods_Receipt_Notes!$B$2:$B$791,A578)</f>
        <v>3318.83</v>
      </c>
      <c r="G578" s="18" t="n">
        <f aca="false">SUMIFS(Vendor_Invoices_AP!$E$2:$E$882,Vendor_Invoices_AP!$B$2:$B$882,A578)</f>
        <v>3318.83</v>
      </c>
      <c r="H578" s="16" t="str">
        <f aca="false">IF(F578=0,"Not Received","Received")</f>
        <v>Received</v>
      </c>
      <c r="I578" s="16" t="str">
        <f aca="false">IF(G578=0,"Not Invoiced","Invoiced")</f>
        <v>Invoiced</v>
      </c>
      <c r="J578" s="18" t="n">
        <f aca="false">E578-F578</f>
        <v>0</v>
      </c>
      <c r="K578" s="18" t="n">
        <f aca="false">E578-G578</f>
        <v>0</v>
      </c>
      <c r="L578" s="16" t="str">
        <f aca="false">IF(OR(AND(I578="Invoiced",H578="Not Received"),AND(F578&gt;0,ABS(J578)&gt;Assumptions!$B$6),AND(G578&gt;0,ABS(K578)&gt;Assumptions!$B$6)),"EXCEPTION","OK")</f>
        <v>OK</v>
      </c>
    </row>
    <row r="579" customFormat="false" ht="15" hidden="false" customHeight="false" outlineLevel="0" collapsed="false">
      <c r="A579" s="16" t="str">
        <f aca="false">Purchase_Orders!A576</f>
        <v>PO10575</v>
      </c>
      <c r="B579" s="16" t="str">
        <f aca="false">Purchase_Orders!B576</f>
        <v>V1007</v>
      </c>
      <c r="C579" s="16" t="str">
        <f aca="false">IFERROR(INDEX(Vendor_Master!$B$2:$B$41,MATCH(B579,Vendor_Master!$A$2:$A$41,0)),"Unknown Vendor")</f>
        <v>Ramirez-Lewis</v>
      </c>
      <c r="D579" s="17" t="n">
        <f aca="false">Purchase_Orders!C576</f>
        <v>45988</v>
      </c>
      <c r="E579" s="18" t="n">
        <f aca="false">Purchase_Orders!D576</f>
        <v>2949.36</v>
      </c>
      <c r="F579" s="18" t="n">
        <f aca="false">SUMIFS(Goods_Receipt_Notes!$D$2:$D$791,Goods_Receipt_Notes!$B$2:$B$791,A579)</f>
        <v>2949.36</v>
      </c>
      <c r="G579" s="18" t="n">
        <f aca="false">SUMIFS(Vendor_Invoices_AP!$E$2:$E$882,Vendor_Invoices_AP!$B$2:$B$882,A579)</f>
        <v>2949.36</v>
      </c>
      <c r="H579" s="16" t="str">
        <f aca="false">IF(F579=0,"Not Received","Received")</f>
        <v>Received</v>
      </c>
      <c r="I579" s="16" t="str">
        <f aca="false">IF(G579=0,"Not Invoiced","Invoiced")</f>
        <v>Invoiced</v>
      </c>
      <c r="J579" s="18" t="n">
        <f aca="false">E579-F579</f>
        <v>0</v>
      </c>
      <c r="K579" s="18" t="n">
        <f aca="false">E579-G579</f>
        <v>0</v>
      </c>
      <c r="L579" s="16" t="str">
        <f aca="false">IF(OR(AND(I579="Invoiced",H579="Not Received"),AND(F579&gt;0,ABS(J579)&gt;Assumptions!$B$6),AND(G579&gt;0,ABS(K579)&gt;Assumptions!$B$6)),"EXCEPTION","OK")</f>
        <v>OK</v>
      </c>
    </row>
    <row r="580" customFormat="false" ht="15" hidden="false" customHeight="false" outlineLevel="0" collapsed="false">
      <c r="A580" s="16" t="str">
        <f aca="false">Purchase_Orders!A577</f>
        <v>PO10576</v>
      </c>
      <c r="B580" s="16" t="str">
        <f aca="false">Purchase_Orders!B577</f>
        <v>V1008</v>
      </c>
      <c r="C580" s="16" t="str">
        <f aca="false">IFERROR(INDEX(Vendor_Master!$B$2:$B$41,MATCH(B580,Vendor_Master!$A$2:$A$41,0)),"Unknown Vendor")</f>
        <v>Davis Inc</v>
      </c>
      <c r="D580" s="17" t="n">
        <f aca="false">Purchase_Orders!C577</f>
        <v>45850</v>
      </c>
      <c r="E580" s="18" t="n">
        <f aca="false">Purchase_Orders!D577</f>
        <v>1733.53</v>
      </c>
      <c r="F580" s="18" t="n">
        <f aca="false">SUMIFS(Goods_Receipt_Notes!$D$2:$D$791,Goods_Receipt_Notes!$B$2:$B$791,A580)</f>
        <v>1733.53</v>
      </c>
      <c r="G580" s="18" t="n">
        <f aca="false">SUMIFS(Vendor_Invoices_AP!$E$2:$E$882,Vendor_Invoices_AP!$B$2:$B$882,A580)</f>
        <v>1733.53</v>
      </c>
      <c r="H580" s="16" t="str">
        <f aca="false">IF(F580=0,"Not Received","Received")</f>
        <v>Received</v>
      </c>
      <c r="I580" s="16" t="str">
        <f aca="false">IF(G580=0,"Not Invoiced","Invoiced")</f>
        <v>Invoiced</v>
      </c>
      <c r="J580" s="18" t="n">
        <f aca="false">E580-F580</f>
        <v>0</v>
      </c>
      <c r="K580" s="18" t="n">
        <f aca="false">E580-G580</f>
        <v>0</v>
      </c>
      <c r="L580" s="16" t="str">
        <f aca="false">IF(OR(AND(I580="Invoiced",H580="Not Received"),AND(F580&gt;0,ABS(J580)&gt;Assumptions!$B$6),AND(G580&gt;0,ABS(K580)&gt;Assumptions!$B$6)),"EXCEPTION","OK")</f>
        <v>OK</v>
      </c>
    </row>
    <row r="581" customFormat="false" ht="15" hidden="false" customHeight="false" outlineLevel="0" collapsed="false">
      <c r="A581" s="16" t="str">
        <f aca="false">Purchase_Orders!A578</f>
        <v>PO10577</v>
      </c>
      <c r="B581" s="16" t="str">
        <f aca="false">Purchase_Orders!B578</f>
        <v>V1035</v>
      </c>
      <c r="C581" s="16" t="str">
        <f aca="false">IFERROR(INDEX(Vendor_Master!$B$2:$B$41,MATCH(B581,Vendor_Master!$A$2:$A$41,0)),"Unknown Vendor")</f>
        <v>Allen PLC</v>
      </c>
      <c r="D581" s="17" t="n">
        <f aca="false">Purchase_Orders!C578</f>
        <v>46004</v>
      </c>
      <c r="E581" s="18" t="n">
        <f aca="false">Purchase_Orders!D578</f>
        <v>2308.67</v>
      </c>
      <c r="F581" s="18" t="n">
        <f aca="false">SUMIFS(Goods_Receipt_Notes!$D$2:$D$791,Goods_Receipt_Notes!$B$2:$B$791,A581)</f>
        <v>2308.67</v>
      </c>
      <c r="G581" s="18" t="n">
        <f aca="false">SUMIFS(Vendor_Invoices_AP!$E$2:$E$882,Vendor_Invoices_AP!$B$2:$B$882,A581)</f>
        <v>2308.67</v>
      </c>
      <c r="H581" s="16" t="str">
        <f aca="false">IF(F581=0,"Not Received","Received")</f>
        <v>Received</v>
      </c>
      <c r="I581" s="16" t="str">
        <f aca="false">IF(G581=0,"Not Invoiced","Invoiced")</f>
        <v>Invoiced</v>
      </c>
      <c r="J581" s="18" t="n">
        <f aca="false">E581-F581</f>
        <v>0</v>
      </c>
      <c r="K581" s="18" t="n">
        <f aca="false">E581-G581</f>
        <v>0</v>
      </c>
      <c r="L581" s="16" t="str">
        <f aca="false">IF(OR(AND(I581="Invoiced",H581="Not Received"),AND(F581&gt;0,ABS(J581)&gt;Assumptions!$B$6),AND(G581&gt;0,ABS(K581)&gt;Assumptions!$B$6)),"EXCEPTION","OK")</f>
        <v>OK</v>
      </c>
    </row>
    <row r="582" customFormat="false" ht="15" hidden="false" customHeight="false" outlineLevel="0" collapsed="false">
      <c r="A582" s="16" t="str">
        <f aca="false">Purchase_Orders!A579</f>
        <v>PO10578</v>
      </c>
      <c r="B582" s="16" t="str">
        <f aca="false">Purchase_Orders!B579</f>
        <v>V1029</v>
      </c>
      <c r="C582" s="16" t="str">
        <f aca="false">IFERROR(INDEX(Vendor_Master!$B$2:$B$41,MATCH(B582,Vendor_Master!$A$2:$A$41,0)),"Unknown Vendor")</f>
        <v>Chavez Ltd</v>
      </c>
      <c r="D582" s="17" t="n">
        <f aca="false">Purchase_Orders!C579</f>
        <v>45996</v>
      </c>
      <c r="E582" s="18" t="n">
        <f aca="false">Purchase_Orders!D579</f>
        <v>3697.76</v>
      </c>
      <c r="F582" s="18" t="n">
        <f aca="false">SUMIFS(Goods_Receipt_Notes!$D$2:$D$791,Goods_Receipt_Notes!$B$2:$B$791,A582)</f>
        <v>3697.76</v>
      </c>
      <c r="G582" s="18" t="n">
        <f aca="false">SUMIFS(Vendor_Invoices_AP!$E$2:$E$882,Vendor_Invoices_AP!$B$2:$B$882,A582)</f>
        <v>3697.76</v>
      </c>
      <c r="H582" s="16" t="str">
        <f aca="false">IF(F582=0,"Not Received","Received")</f>
        <v>Received</v>
      </c>
      <c r="I582" s="16" t="str">
        <f aca="false">IF(G582=0,"Not Invoiced","Invoiced")</f>
        <v>Invoiced</v>
      </c>
      <c r="J582" s="18" t="n">
        <f aca="false">E582-F582</f>
        <v>0</v>
      </c>
      <c r="K582" s="18" t="n">
        <f aca="false">E582-G582</f>
        <v>0</v>
      </c>
      <c r="L582" s="16" t="str">
        <f aca="false">IF(OR(AND(I582="Invoiced",H582="Not Received"),AND(F582&gt;0,ABS(J582)&gt;Assumptions!$B$6),AND(G582&gt;0,ABS(K582)&gt;Assumptions!$B$6)),"EXCEPTION","OK")</f>
        <v>OK</v>
      </c>
    </row>
    <row r="583" customFormat="false" ht="15" hidden="false" customHeight="false" outlineLevel="0" collapsed="false">
      <c r="A583" s="16" t="str">
        <f aca="false">Purchase_Orders!A580</f>
        <v>PO10579</v>
      </c>
      <c r="B583" s="16" t="str">
        <f aca="false">Purchase_Orders!B580</f>
        <v>V1013</v>
      </c>
      <c r="C583" s="16" t="str">
        <f aca="false">IFERROR(INDEX(Vendor_Master!$B$2:$B$41,MATCH(B583,Vendor_Master!$A$2:$A$41,0)),"Unknown Vendor")</f>
        <v>Delacruz Group</v>
      </c>
      <c r="D583" s="17" t="n">
        <f aca="false">Purchase_Orders!C580</f>
        <v>46027</v>
      </c>
      <c r="E583" s="18" t="n">
        <f aca="false">Purchase_Orders!D580</f>
        <v>1532.53</v>
      </c>
      <c r="F583" s="18" t="n">
        <f aca="false">SUMIFS(Goods_Receipt_Notes!$D$2:$D$791,Goods_Receipt_Notes!$B$2:$B$791,A583)</f>
        <v>1532.53</v>
      </c>
      <c r="G583" s="18" t="n">
        <f aca="false">SUMIFS(Vendor_Invoices_AP!$E$2:$E$882,Vendor_Invoices_AP!$B$2:$B$882,A583)</f>
        <v>1532.53</v>
      </c>
      <c r="H583" s="16" t="str">
        <f aca="false">IF(F583=0,"Not Received","Received")</f>
        <v>Received</v>
      </c>
      <c r="I583" s="16" t="str">
        <f aca="false">IF(G583=0,"Not Invoiced","Invoiced")</f>
        <v>Invoiced</v>
      </c>
      <c r="J583" s="18" t="n">
        <f aca="false">E583-F583</f>
        <v>0</v>
      </c>
      <c r="K583" s="18" t="n">
        <f aca="false">E583-G583</f>
        <v>0</v>
      </c>
      <c r="L583" s="16" t="str">
        <f aca="false">IF(OR(AND(I583="Invoiced",H583="Not Received"),AND(F583&gt;0,ABS(J583)&gt;Assumptions!$B$6),AND(G583&gt;0,ABS(K583)&gt;Assumptions!$B$6)),"EXCEPTION","OK")</f>
        <v>OK</v>
      </c>
    </row>
    <row r="584" customFormat="false" ht="15" hidden="false" customHeight="false" outlineLevel="0" collapsed="false">
      <c r="A584" s="16" t="str">
        <f aca="false">Purchase_Orders!A581</f>
        <v>PO10580</v>
      </c>
      <c r="B584" s="16" t="str">
        <f aca="false">Purchase_Orders!B581</f>
        <v>V1018</v>
      </c>
      <c r="C584" s="16" t="str">
        <f aca="false">IFERROR(INDEX(Vendor_Master!$B$2:$B$41,MATCH(B584,Vendor_Master!$A$2:$A$41,0)),"Unknown Vendor")</f>
        <v>Underwood LLC</v>
      </c>
      <c r="D584" s="17" t="n">
        <f aca="false">Purchase_Orders!C581</f>
        <v>46050</v>
      </c>
      <c r="E584" s="18" t="n">
        <f aca="false">Purchase_Orders!D581</f>
        <v>354.2</v>
      </c>
      <c r="F584" s="18" t="n">
        <f aca="false">SUMIFS(Goods_Receipt_Notes!$D$2:$D$791,Goods_Receipt_Notes!$B$2:$B$791,A584)</f>
        <v>354.2</v>
      </c>
      <c r="G584" s="18" t="n">
        <f aca="false">SUMIFS(Vendor_Invoices_AP!$E$2:$E$882,Vendor_Invoices_AP!$B$2:$B$882,A584)</f>
        <v>354.2</v>
      </c>
      <c r="H584" s="16" t="str">
        <f aca="false">IF(F584=0,"Not Received","Received")</f>
        <v>Received</v>
      </c>
      <c r="I584" s="16" t="str">
        <f aca="false">IF(G584=0,"Not Invoiced","Invoiced")</f>
        <v>Invoiced</v>
      </c>
      <c r="J584" s="18" t="n">
        <f aca="false">E584-F584</f>
        <v>0</v>
      </c>
      <c r="K584" s="18" t="n">
        <f aca="false">E584-G584</f>
        <v>0</v>
      </c>
      <c r="L584" s="16" t="str">
        <f aca="false">IF(OR(AND(I584="Invoiced",H584="Not Received"),AND(F584&gt;0,ABS(J584)&gt;Assumptions!$B$6),AND(G584&gt;0,ABS(K584)&gt;Assumptions!$B$6)),"EXCEPTION","OK")</f>
        <v>OK</v>
      </c>
    </row>
    <row r="585" customFormat="false" ht="15" hidden="false" customHeight="false" outlineLevel="0" collapsed="false">
      <c r="A585" s="16" t="str">
        <f aca="false">Purchase_Orders!A582</f>
        <v>PO10581</v>
      </c>
      <c r="B585" s="16" t="str">
        <f aca="false">Purchase_Orders!B582</f>
        <v>V1021</v>
      </c>
      <c r="C585" s="16" t="str">
        <f aca="false">IFERROR(INDEX(Vendor_Master!$B$2:$B$41,MATCH(B585,Vendor_Master!$A$2:$A$41,0)),"Unknown Vendor")</f>
        <v>Ellis, Baker and Wright</v>
      </c>
      <c r="D585" s="17" t="n">
        <f aca="false">Purchase_Orders!C582</f>
        <v>46017</v>
      </c>
      <c r="E585" s="18" t="n">
        <f aca="false">Purchase_Orders!D582</f>
        <v>1077.17</v>
      </c>
      <c r="F585" s="18" t="n">
        <f aca="false">SUMIFS(Goods_Receipt_Notes!$D$2:$D$791,Goods_Receipt_Notes!$B$2:$B$791,A585)</f>
        <v>0</v>
      </c>
      <c r="G585" s="18" t="n">
        <f aca="false">SUMIFS(Vendor_Invoices_AP!$E$2:$E$882,Vendor_Invoices_AP!$B$2:$B$882,A585)</f>
        <v>1077.17</v>
      </c>
      <c r="H585" s="16" t="str">
        <f aca="false">IF(F585=0,"Not Received","Received")</f>
        <v>Not Received</v>
      </c>
      <c r="I585" s="16" t="str">
        <f aca="false">IF(G585=0,"Not Invoiced","Invoiced")</f>
        <v>Invoiced</v>
      </c>
      <c r="J585" s="18" t="n">
        <f aca="false">E585-F585</f>
        <v>1077.17</v>
      </c>
      <c r="K585" s="18" t="n">
        <f aca="false">E585-G585</f>
        <v>0</v>
      </c>
      <c r="L585" s="16" t="str">
        <f aca="false">IF(OR(AND(I585="Invoiced",H585="Not Received"),AND(F585&gt;0,ABS(J585)&gt;Assumptions!$B$6),AND(G585&gt;0,ABS(K585)&gt;Assumptions!$B$6)),"EXCEPTION","OK")</f>
        <v>EXCEPTION</v>
      </c>
    </row>
    <row r="586" customFormat="false" ht="15" hidden="false" customHeight="false" outlineLevel="0" collapsed="false">
      <c r="A586" s="16" t="str">
        <f aca="false">Purchase_Orders!A583</f>
        <v>PO10582</v>
      </c>
      <c r="B586" s="16" t="str">
        <f aca="false">Purchase_Orders!B583</f>
        <v>V1015</v>
      </c>
      <c r="C586" s="16" t="str">
        <f aca="false">IFERROR(INDEX(Vendor_Master!$B$2:$B$41,MATCH(B586,Vendor_Master!$A$2:$A$41,0)),"Unknown Vendor")</f>
        <v>Zuniga, Wong and Lynch</v>
      </c>
      <c r="D586" s="17" t="n">
        <f aca="false">Purchase_Orders!C583</f>
        <v>46114</v>
      </c>
      <c r="E586" s="18" t="n">
        <f aca="false">Purchase_Orders!D583</f>
        <v>968.37</v>
      </c>
      <c r="F586" s="18" t="n">
        <f aca="false">SUMIFS(Goods_Receipt_Notes!$D$2:$D$791,Goods_Receipt_Notes!$B$2:$B$791,A586)</f>
        <v>968.37</v>
      </c>
      <c r="G586" s="18" t="n">
        <f aca="false">SUMIFS(Vendor_Invoices_AP!$E$2:$E$882,Vendor_Invoices_AP!$B$2:$B$882,A586)</f>
        <v>968.37</v>
      </c>
      <c r="H586" s="16" t="str">
        <f aca="false">IF(F586=0,"Not Received","Received")</f>
        <v>Received</v>
      </c>
      <c r="I586" s="16" t="str">
        <f aca="false">IF(G586=0,"Not Invoiced","Invoiced")</f>
        <v>Invoiced</v>
      </c>
      <c r="J586" s="18" t="n">
        <f aca="false">E586-F586</f>
        <v>0</v>
      </c>
      <c r="K586" s="18" t="n">
        <f aca="false">E586-G586</f>
        <v>0</v>
      </c>
      <c r="L586" s="16" t="str">
        <f aca="false">IF(OR(AND(I586="Invoiced",H586="Not Received"),AND(F586&gt;0,ABS(J586)&gt;Assumptions!$B$6),AND(G586&gt;0,ABS(K586)&gt;Assumptions!$B$6)),"EXCEPTION","OK")</f>
        <v>OK</v>
      </c>
    </row>
    <row r="587" customFormat="false" ht="15" hidden="false" customHeight="false" outlineLevel="0" collapsed="false">
      <c r="A587" s="16" t="str">
        <f aca="false">Purchase_Orders!A584</f>
        <v>PO10583</v>
      </c>
      <c r="B587" s="16" t="str">
        <f aca="false">Purchase_Orders!B584</f>
        <v>V1005</v>
      </c>
      <c r="C587" s="16" t="str">
        <f aca="false">IFERROR(INDEX(Vendor_Master!$B$2:$B$41,MATCH(B587,Vendor_Master!$A$2:$A$41,0)),"Unknown Vendor")</f>
        <v>Cole LLC</v>
      </c>
      <c r="D587" s="17" t="n">
        <f aca="false">Purchase_Orders!C584</f>
        <v>46000</v>
      </c>
      <c r="E587" s="18" t="n">
        <f aca="false">Purchase_Orders!D584</f>
        <v>1370.11</v>
      </c>
      <c r="F587" s="18" t="n">
        <f aca="false">SUMIFS(Goods_Receipt_Notes!$D$2:$D$791,Goods_Receipt_Notes!$B$2:$B$791,A587)</f>
        <v>1370.11</v>
      </c>
      <c r="G587" s="18" t="n">
        <f aca="false">SUMIFS(Vendor_Invoices_AP!$E$2:$E$882,Vendor_Invoices_AP!$B$2:$B$882,A587)</f>
        <v>1370.11</v>
      </c>
      <c r="H587" s="16" t="str">
        <f aca="false">IF(F587=0,"Not Received","Received")</f>
        <v>Received</v>
      </c>
      <c r="I587" s="16" t="str">
        <f aca="false">IF(G587=0,"Not Invoiced","Invoiced")</f>
        <v>Invoiced</v>
      </c>
      <c r="J587" s="18" t="n">
        <f aca="false">E587-F587</f>
        <v>0</v>
      </c>
      <c r="K587" s="18" t="n">
        <f aca="false">E587-G587</f>
        <v>0</v>
      </c>
      <c r="L587" s="16" t="str">
        <f aca="false">IF(OR(AND(I587="Invoiced",H587="Not Received"),AND(F587&gt;0,ABS(J587)&gt;Assumptions!$B$6),AND(G587&gt;0,ABS(K587)&gt;Assumptions!$B$6)),"EXCEPTION","OK")</f>
        <v>OK</v>
      </c>
    </row>
    <row r="588" customFormat="false" ht="15" hidden="false" customHeight="false" outlineLevel="0" collapsed="false">
      <c r="A588" s="16" t="str">
        <f aca="false">Purchase_Orders!A585</f>
        <v>PO10584</v>
      </c>
      <c r="B588" s="16" t="str">
        <f aca="false">Purchase_Orders!B585</f>
        <v>V1006</v>
      </c>
      <c r="C588" s="16" t="str">
        <f aca="false">IFERROR(INDEX(Vendor_Master!$B$2:$B$41,MATCH(B588,Vendor_Master!$A$2:$A$41,0)),"Unknown Vendor")</f>
        <v>Blake and Sons</v>
      </c>
      <c r="D588" s="17" t="n">
        <f aca="false">Purchase_Orders!C585</f>
        <v>46150</v>
      </c>
      <c r="E588" s="18" t="n">
        <f aca="false">Purchase_Orders!D585</f>
        <v>27454.9</v>
      </c>
      <c r="F588" s="18" t="n">
        <f aca="false">SUMIFS(Goods_Receipt_Notes!$D$2:$D$791,Goods_Receipt_Notes!$B$2:$B$791,A588)</f>
        <v>0</v>
      </c>
      <c r="G588" s="18" t="n">
        <f aca="false">SUMIFS(Vendor_Invoices_AP!$E$2:$E$882,Vendor_Invoices_AP!$B$2:$B$882,A588)</f>
        <v>27454.9</v>
      </c>
      <c r="H588" s="16" t="str">
        <f aca="false">IF(F588=0,"Not Received","Received")</f>
        <v>Not Received</v>
      </c>
      <c r="I588" s="16" t="str">
        <f aca="false">IF(G588=0,"Not Invoiced","Invoiced")</f>
        <v>Invoiced</v>
      </c>
      <c r="J588" s="18" t="n">
        <f aca="false">E588-F588</f>
        <v>27454.9</v>
      </c>
      <c r="K588" s="18" t="n">
        <f aca="false">E588-G588</f>
        <v>0</v>
      </c>
      <c r="L588" s="16" t="str">
        <f aca="false">IF(OR(AND(I588="Invoiced",H588="Not Received"),AND(F588&gt;0,ABS(J588)&gt;Assumptions!$B$6),AND(G588&gt;0,ABS(K588)&gt;Assumptions!$B$6)),"EXCEPTION","OK")</f>
        <v>EXCEPTION</v>
      </c>
    </row>
    <row r="589" customFormat="false" ht="15" hidden="false" customHeight="false" outlineLevel="0" collapsed="false">
      <c r="A589" s="16" t="str">
        <f aca="false">Purchase_Orders!A586</f>
        <v>PO10585</v>
      </c>
      <c r="B589" s="16" t="str">
        <f aca="false">Purchase_Orders!B586</f>
        <v>V1030</v>
      </c>
      <c r="C589" s="16" t="str">
        <f aca="false">IFERROR(INDEX(Vendor_Master!$B$2:$B$41,MATCH(B589,Vendor_Master!$A$2:$A$41,0)),"Unknown Vendor")</f>
        <v>Stanton-Gill</v>
      </c>
      <c r="D589" s="17" t="n">
        <f aca="false">Purchase_Orders!C586</f>
        <v>46010</v>
      </c>
      <c r="E589" s="18" t="n">
        <f aca="false">Purchase_Orders!D586</f>
        <v>3138.5</v>
      </c>
      <c r="F589" s="18" t="n">
        <f aca="false">SUMIFS(Goods_Receipt_Notes!$D$2:$D$791,Goods_Receipt_Notes!$B$2:$B$791,A589)</f>
        <v>3138.5</v>
      </c>
      <c r="G589" s="18" t="n">
        <f aca="false">SUMIFS(Vendor_Invoices_AP!$E$2:$E$882,Vendor_Invoices_AP!$B$2:$B$882,A589)</f>
        <v>3138.5</v>
      </c>
      <c r="H589" s="16" t="str">
        <f aca="false">IF(F589=0,"Not Received","Received")</f>
        <v>Received</v>
      </c>
      <c r="I589" s="16" t="str">
        <f aca="false">IF(G589=0,"Not Invoiced","Invoiced")</f>
        <v>Invoiced</v>
      </c>
      <c r="J589" s="18" t="n">
        <f aca="false">E589-F589</f>
        <v>0</v>
      </c>
      <c r="K589" s="18" t="n">
        <f aca="false">E589-G589</f>
        <v>0</v>
      </c>
      <c r="L589" s="16" t="str">
        <f aca="false">IF(OR(AND(I589="Invoiced",H589="Not Received"),AND(F589&gt;0,ABS(J589)&gt;Assumptions!$B$6),AND(G589&gt;0,ABS(K589)&gt;Assumptions!$B$6)),"EXCEPTION","OK")</f>
        <v>OK</v>
      </c>
    </row>
    <row r="590" customFormat="false" ht="15" hidden="false" customHeight="false" outlineLevel="0" collapsed="false">
      <c r="A590" s="16" t="str">
        <f aca="false">Purchase_Orders!A587</f>
        <v>PO10586</v>
      </c>
      <c r="B590" s="16" t="str">
        <f aca="false">Purchase_Orders!B587</f>
        <v>V1011</v>
      </c>
      <c r="C590" s="16" t="str">
        <f aca="false">IFERROR(INDEX(Vendor_Master!$B$2:$B$41,MATCH(B590,Vendor_Master!$A$2:$A$41,0)),"Unknown Vendor")</f>
        <v>Montgomery, Hensley and Ray</v>
      </c>
      <c r="D590" s="17" t="n">
        <f aca="false">Purchase_Orders!C587</f>
        <v>45826</v>
      </c>
      <c r="E590" s="18" t="n">
        <f aca="false">Purchase_Orders!D587</f>
        <v>4085.56</v>
      </c>
      <c r="F590" s="18" t="n">
        <f aca="false">SUMIFS(Goods_Receipt_Notes!$D$2:$D$791,Goods_Receipt_Notes!$B$2:$B$791,A590)</f>
        <v>4085.56</v>
      </c>
      <c r="G590" s="18" t="n">
        <f aca="false">SUMIFS(Vendor_Invoices_AP!$E$2:$E$882,Vendor_Invoices_AP!$B$2:$B$882,A590)</f>
        <v>4085.56</v>
      </c>
      <c r="H590" s="16" t="str">
        <f aca="false">IF(F590=0,"Not Received","Received")</f>
        <v>Received</v>
      </c>
      <c r="I590" s="16" t="str">
        <f aca="false">IF(G590=0,"Not Invoiced","Invoiced")</f>
        <v>Invoiced</v>
      </c>
      <c r="J590" s="18" t="n">
        <f aca="false">E590-F590</f>
        <v>0</v>
      </c>
      <c r="K590" s="18" t="n">
        <f aca="false">E590-G590</f>
        <v>0</v>
      </c>
      <c r="L590" s="16" t="str">
        <f aca="false">IF(OR(AND(I590="Invoiced",H590="Not Received"),AND(F590&gt;0,ABS(J590)&gt;Assumptions!$B$6),AND(G590&gt;0,ABS(K590)&gt;Assumptions!$B$6)),"EXCEPTION","OK")</f>
        <v>OK</v>
      </c>
    </row>
    <row r="591" customFormat="false" ht="15" hidden="false" customHeight="false" outlineLevel="0" collapsed="false">
      <c r="A591" s="16" t="str">
        <f aca="false">Purchase_Orders!A588</f>
        <v>PO10587</v>
      </c>
      <c r="B591" s="16" t="str">
        <f aca="false">Purchase_Orders!B588</f>
        <v>V1001</v>
      </c>
      <c r="C591" s="16" t="str">
        <f aca="false">IFERROR(INDEX(Vendor_Master!$B$2:$B$41,MATCH(B591,Vendor_Master!$A$2:$A$41,0)),"Unknown Vendor")</f>
        <v>Figueroa and Sons</v>
      </c>
      <c r="D591" s="17" t="n">
        <f aca="false">Purchase_Orders!C588</f>
        <v>45898</v>
      </c>
      <c r="E591" s="18" t="n">
        <f aca="false">Purchase_Orders!D588</f>
        <v>2086.29</v>
      </c>
      <c r="F591" s="18" t="n">
        <f aca="false">SUMIFS(Goods_Receipt_Notes!$D$2:$D$791,Goods_Receipt_Notes!$B$2:$B$791,A591)</f>
        <v>2086.29</v>
      </c>
      <c r="G591" s="18" t="n">
        <f aca="false">SUMIFS(Vendor_Invoices_AP!$E$2:$E$882,Vendor_Invoices_AP!$B$2:$B$882,A591)</f>
        <v>2086.29</v>
      </c>
      <c r="H591" s="16" t="str">
        <f aca="false">IF(F591=0,"Not Received","Received")</f>
        <v>Received</v>
      </c>
      <c r="I591" s="16" t="str">
        <f aca="false">IF(G591=0,"Not Invoiced","Invoiced")</f>
        <v>Invoiced</v>
      </c>
      <c r="J591" s="18" t="n">
        <f aca="false">E591-F591</f>
        <v>0</v>
      </c>
      <c r="K591" s="18" t="n">
        <f aca="false">E591-G591</f>
        <v>0</v>
      </c>
      <c r="L591" s="16" t="str">
        <f aca="false">IF(OR(AND(I591="Invoiced",H591="Not Received"),AND(F591&gt;0,ABS(J591)&gt;Assumptions!$B$6),AND(G591&gt;0,ABS(K591)&gt;Assumptions!$B$6)),"EXCEPTION","OK")</f>
        <v>OK</v>
      </c>
    </row>
    <row r="592" customFormat="false" ht="15" hidden="false" customHeight="false" outlineLevel="0" collapsed="false">
      <c r="A592" s="16" t="str">
        <f aca="false">Purchase_Orders!A589</f>
        <v>PO10588</v>
      </c>
      <c r="B592" s="16" t="str">
        <f aca="false">Purchase_Orders!B589</f>
        <v>V1027</v>
      </c>
      <c r="C592" s="16" t="str">
        <f aca="false">IFERROR(INDEX(Vendor_Master!$B$2:$B$41,MATCH(B592,Vendor_Master!$A$2:$A$41,0)),"Unknown Vendor")</f>
        <v>Valencia, Smith and Le</v>
      </c>
      <c r="D592" s="17" t="n">
        <f aca="false">Purchase_Orders!C589</f>
        <v>45973</v>
      </c>
      <c r="E592" s="18" t="n">
        <f aca="false">Purchase_Orders!D589</f>
        <v>345.65</v>
      </c>
      <c r="F592" s="18" t="n">
        <f aca="false">SUMIFS(Goods_Receipt_Notes!$D$2:$D$791,Goods_Receipt_Notes!$B$2:$B$791,A592)</f>
        <v>345.65</v>
      </c>
      <c r="G592" s="18" t="n">
        <f aca="false">SUMIFS(Vendor_Invoices_AP!$E$2:$E$882,Vendor_Invoices_AP!$B$2:$B$882,A592)</f>
        <v>345.65</v>
      </c>
      <c r="H592" s="16" t="str">
        <f aca="false">IF(F592=0,"Not Received","Received")</f>
        <v>Received</v>
      </c>
      <c r="I592" s="16" t="str">
        <f aca="false">IF(G592=0,"Not Invoiced","Invoiced")</f>
        <v>Invoiced</v>
      </c>
      <c r="J592" s="18" t="n">
        <f aca="false">E592-F592</f>
        <v>0</v>
      </c>
      <c r="K592" s="18" t="n">
        <f aca="false">E592-G592</f>
        <v>0</v>
      </c>
      <c r="L592" s="16" t="str">
        <f aca="false">IF(OR(AND(I592="Invoiced",H592="Not Received"),AND(F592&gt;0,ABS(J592)&gt;Assumptions!$B$6),AND(G592&gt;0,ABS(K592)&gt;Assumptions!$B$6)),"EXCEPTION","OK")</f>
        <v>OK</v>
      </c>
    </row>
    <row r="593" customFormat="false" ht="15" hidden="false" customHeight="false" outlineLevel="0" collapsed="false">
      <c r="A593" s="16" t="str">
        <f aca="false">Purchase_Orders!A590</f>
        <v>PO10589</v>
      </c>
      <c r="B593" s="16" t="str">
        <f aca="false">Purchase_Orders!B590</f>
        <v>V1020</v>
      </c>
      <c r="C593" s="16" t="str">
        <f aca="false">IFERROR(INDEX(Vendor_Master!$B$2:$B$41,MATCH(B593,Vendor_Master!$A$2:$A$41,0)),"Unknown Vendor")</f>
        <v>Lewis-Porter</v>
      </c>
      <c r="D593" s="17" t="n">
        <f aca="false">Purchase_Orders!C590</f>
        <v>46057</v>
      </c>
      <c r="E593" s="18" t="n">
        <f aca="false">Purchase_Orders!D590</f>
        <v>1516.39</v>
      </c>
      <c r="F593" s="18" t="n">
        <f aca="false">SUMIFS(Goods_Receipt_Notes!$D$2:$D$791,Goods_Receipt_Notes!$B$2:$B$791,A593)</f>
        <v>0</v>
      </c>
      <c r="G593" s="18" t="n">
        <f aca="false">SUMIFS(Vendor_Invoices_AP!$E$2:$E$882,Vendor_Invoices_AP!$B$2:$B$882,A593)</f>
        <v>1516.39</v>
      </c>
      <c r="H593" s="16" t="str">
        <f aca="false">IF(F593=0,"Not Received","Received")</f>
        <v>Not Received</v>
      </c>
      <c r="I593" s="16" t="str">
        <f aca="false">IF(G593=0,"Not Invoiced","Invoiced")</f>
        <v>Invoiced</v>
      </c>
      <c r="J593" s="18" t="n">
        <f aca="false">E593-F593</f>
        <v>1516.39</v>
      </c>
      <c r="K593" s="18" t="n">
        <f aca="false">E593-G593</f>
        <v>0</v>
      </c>
      <c r="L593" s="16" t="str">
        <f aca="false">IF(OR(AND(I593="Invoiced",H593="Not Received"),AND(F593&gt;0,ABS(J593)&gt;Assumptions!$B$6),AND(G593&gt;0,ABS(K593)&gt;Assumptions!$B$6)),"EXCEPTION","OK")</f>
        <v>EXCEPTION</v>
      </c>
    </row>
    <row r="594" customFormat="false" ht="15" hidden="false" customHeight="false" outlineLevel="0" collapsed="false">
      <c r="A594" s="16" t="str">
        <f aca="false">Purchase_Orders!A591</f>
        <v>PO10590</v>
      </c>
      <c r="B594" s="16" t="str">
        <f aca="false">Purchase_Orders!B591</f>
        <v>V1001</v>
      </c>
      <c r="C594" s="16" t="str">
        <f aca="false">IFERROR(INDEX(Vendor_Master!$B$2:$B$41,MATCH(B594,Vendor_Master!$A$2:$A$41,0)),"Unknown Vendor")</f>
        <v>Figueroa and Sons</v>
      </c>
      <c r="D594" s="17" t="n">
        <f aca="false">Purchase_Orders!C591</f>
        <v>45707</v>
      </c>
      <c r="E594" s="18" t="n">
        <f aca="false">Purchase_Orders!D591</f>
        <v>19832.55</v>
      </c>
      <c r="F594" s="18" t="n">
        <f aca="false">SUMIFS(Goods_Receipt_Notes!$D$2:$D$791,Goods_Receipt_Notes!$B$2:$B$791,A594)</f>
        <v>19832.55</v>
      </c>
      <c r="G594" s="18" t="n">
        <f aca="false">SUMIFS(Vendor_Invoices_AP!$E$2:$E$882,Vendor_Invoices_AP!$B$2:$B$882,A594)</f>
        <v>19832.55</v>
      </c>
      <c r="H594" s="16" t="str">
        <f aca="false">IF(F594=0,"Not Received","Received")</f>
        <v>Received</v>
      </c>
      <c r="I594" s="16" t="str">
        <f aca="false">IF(G594=0,"Not Invoiced","Invoiced")</f>
        <v>Invoiced</v>
      </c>
      <c r="J594" s="18" t="n">
        <f aca="false">E594-F594</f>
        <v>0</v>
      </c>
      <c r="K594" s="18" t="n">
        <f aca="false">E594-G594</f>
        <v>0</v>
      </c>
      <c r="L594" s="16" t="str">
        <f aca="false">IF(OR(AND(I594="Invoiced",H594="Not Received"),AND(F594&gt;0,ABS(J594)&gt;Assumptions!$B$6),AND(G594&gt;0,ABS(K594)&gt;Assumptions!$B$6)),"EXCEPTION","OK")</f>
        <v>OK</v>
      </c>
    </row>
    <row r="595" customFormat="false" ht="15" hidden="false" customHeight="false" outlineLevel="0" collapsed="false">
      <c r="A595" s="16" t="str">
        <f aca="false">Purchase_Orders!A592</f>
        <v>PO10591</v>
      </c>
      <c r="B595" s="16" t="str">
        <f aca="false">Purchase_Orders!B592</f>
        <v>V1012</v>
      </c>
      <c r="C595" s="16" t="str">
        <f aca="false">IFERROR(INDEX(Vendor_Master!$B$2:$B$41,MATCH(B595,Vendor_Master!$A$2:$A$41,0)),"Unknown Vendor")</f>
        <v>Stanley LLC</v>
      </c>
      <c r="D595" s="17" t="n">
        <f aca="false">Purchase_Orders!C592</f>
        <v>45818</v>
      </c>
      <c r="E595" s="18" t="n">
        <f aca="false">Purchase_Orders!D592</f>
        <v>1703.61</v>
      </c>
      <c r="F595" s="18" t="n">
        <f aca="false">SUMIFS(Goods_Receipt_Notes!$D$2:$D$791,Goods_Receipt_Notes!$B$2:$B$791,A595)</f>
        <v>1703.61</v>
      </c>
      <c r="G595" s="18" t="n">
        <f aca="false">SUMIFS(Vendor_Invoices_AP!$E$2:$E$882,Vendor_Invoices_AP!$B$2:$B$882,A595)</f>
        <v>1703.61</v>
      </c>
      <c r="H595" s="16" t="str">
        <f aca="false">IF(F595=0,"Not Received","Received")</f>
        <v>Received</v>
      </c>
      <c r="I595" s="16" t="str">
        <f aca="false">IF(G595=0,"Not Invoiced","Invoiced")</f>
        <v>Invoiced</v>
      </c>
      <c r="J595" s="18" t="n">
        <f aca="false">E595-F595</f>
        <v>0</v>
      </c>
      <c r="K595" s="18" t="n">
        <f aca="false">E595-G595</f>
        <v>0</v>
      </c>
      <c r="L595" s="16" t="str">
        <f aca="false">IF(OR(AND(I595="Invoiced",H595="Not Received"),AND(F595&gt;0,ABS(J595)&gt;Assumptions!$B$6),AND(G595&gt;0,ABS(K595)&gt;Assumptions!$B$6)),"EXCEPTION","OK")</f>
        <v>OK</v>
      </c>
    </row>
    <row r="596" customFormat="false" ht="15" hidden="false" customHeight="false" outlineLevel="0" collapsed="false">
      <c r="A596" s="16" t="str">
        <f aca="false">Purchase_Orders!A593</f>
        <v>PO10592</v>
      </c>
      <c r="B596" s="16" t="str">
        <f aca="false">Purchase_Orders!B593</f>
        <v>V1009</v>
      </c>
      <c r="C596" s="16" t="str">
        <f aca="false">IFERROR(INDEX(Vendor_Master!$B$2:$B$41,MATCH(B596,Vendor_Master!$A$2:$A$41,0)),"Unknown Vendor")</f>
        <v>Munoz-Roman</v>
      </c>
      <c r="D596" s="17" t="n">
        <f aca="false">Purchase_Orders!C593</f>
        <v>46065</v>
      </c>
      <c r="E596" s="18" t="n">
        <f aca="false">Purchase_Orders!D593</f>
        <v>2360.64</v>
      </c>
      <c r="F596" s="18" t="n">
        <f aca="false">SUMIFS(Goods_Receipt_Notes!$D$2:$D$791,Goods_Receipt_Notes!$B$2:$B$791,A596)</f>
        <v>2360.64</v>
      </c>
      <c r="G596" s="18" t="n">
        <f aca="false">SUMIFS(Vendor_Invoices_AP!$E$2:$E$882,Vendor_Invoices_AP!$B$2:$B$882,A596)</f>
        <v>2360.64</v>
      </c>
      <c r="H596" s="16" t="str">
        <f aca="false">IF(F596=0,"Not Received","Received")</f>
        <v>Received</v>
      </c>
      <c r="I596" s="16" t="str">
        <f aca="false">IF(G596=0,"Not Invoiced","Invoiced")</f>
        <v>Invoiced</v>
      </c>
      <c r="J596" s="18" t="n">
        <f aca="false">E596-F596</f>
        <v>0</v>
      </c>
      <c r="K596" s="18" t="n">
        <f aca="false">E596-G596</f>
        <v>0</v>
      </c>
      <c r="L596" s="16" t="str">
        <f aca="false">IF(OR(AND(I596="Invoiced",H596="Not Received"),AND(F596&gt;0,ABS(J596)&gt;Assumptions!$B$6),AND(G596&gt;0,ABS(K596)&gt;Assumptions!$B$6)),"EXCEPTION","OK")</f>
        <v>OK</v>
      </c>
    </row>
    <row r="597" customFormat="false" ht="15" hidden="false" customHeight="false" outlineLevel="0" collapsed="false">
      <c r="A597" s="16" t="str">
        <f aca="false">Purchase_Orders!A594</f>
        <v>PO10593</v>
      </c>
      <c r="B597" s="16" t="str">
        <f aca="false">Purchase_Orders!B594</f>
        <v>V1009</v>
      </c>
      <c r="C597" s="16" t="str">
        <f aca="false">IFERROR(INDEX(Vendor_Master!$B$2:$B$41,MATCH(B597,Vendor_Master!$A$2:$A$41,0)),"Unknown Vendor")</f>
        <v>Munoz-Roman</v>
      </c>
      <c r="D597" s="17" t="n">
        <f aca="false">Purchase_Orders!C594</f>
        <v>45753</v>
      </c>
      <c r="E597" s="18" t="n">
        <f aca="false">Purchase_Orders!D594</f>
        <v>1484.72</v>
      </c>
      <c r="F597" s="18" t="n">
        <f aca="false">SUMIFS(Goods_Receipt_Notes!$D$2:$D$791,Goods_Receipt_Notes!$B$2:$B$791,A597)</f>
        <v>1484.72</v>
      </c>
      <c r="G597" s="18" t="n">
        <f aca="false">SUMIFS(Vendor_Invoices_AP!$E$2:$E$882,Vendor_Invoices_AP!$B$2:$B$882,A597)</f>
        <v>1484.72</v>
      </c>
      <c r="H597" s="16" t="str">
        <f aca="false">IF(F597=0,"Not Received","Received")</f>
        <v>Received</v>
      </c>
      <c r="I597" s="16" t="str">
        <f aca="false">IF(G597=0,"Not Invoiced","Invoiced")</f>
        <v>Invoiced</v>
      </c>
      <c r="J597" s="18" t="n">
        <f aca="false">E597-F597</f>
        <v>0</v>
      </c>
      <c r="K597" s="18" t="n">
        <f aca="false">E597-G597</f>
        <v>0</v>
      </c>
      <c r="L597" s="16" t="str">
        <f aca="false">IF(OR(AND(I597="Invoiced",H597="Not Received"),AND(F597&gt;0,ABS(J597)&gt;Assumptions!$B$6),AND(G597&gt;0,ABS(K597)&gt;Assumptions!$B$6)),"EXCEPTION","OK")</f>
        <v>OK</v>
      </c>
    </row>
    <row r="598" customFormat="false" ht="15" hidden="false" customHeight="false" outlineLevel="0" collapsed="false">
      <c r="A598" s="16" t="str">
        <f aca="false">Purchase_Orders!A595</f>
        <v>PO10594</v>
      </c>
      <c r="B598" s="16" t="str">
        <f aca="false">Purchase_Orders!B595</f>
        <v>V1018</v>
      </c>
      <c r="C598" s="16" t="str">
        <f aca="false">IFERROR(INDEX(Vendor_Master!$B$2:$B$41,MATCH(B598,Vendor_Master!$A$2:$A$41,0)),"Unknown Vendor")</f>
        <v>Underwood LLC</v>
      </c>
      <c r="D598" s="17" t="n">
        <f aca="false">Purchase_Orders!C595</f>
        <v>45730</v>
      </c>
      <c r="E598" s="18" t="n">
        <f aca="false">Purchase_Orders!D595</f>
        <v>1627.91</v>
      </c>
      <c r="F598" s="18" t="n">
        <f aca="false">SUMIFS(Goods_Receipt_Notes!$D$2:$D$791,Goods_Receipt_Notes!$B$2:$B$791,A598)</f>
        <v>1627.91</v>
      </c>
      <c r="G598" s="18" t="n">
        <f aca="false">SUMIFS(Vendor_Invoices_AP!$E$2:$E$882,Vendor_Invoices_AP!$B$2:$B$882,A598)</f>
        <v>1627.91</v>
      </c>
      <c r="H598" s="16" t="str">
        <f aca="false">IF(F598=0,"Not Received","Received")</f>
        <v>Received</v>
      </c>
      <c r="I598" s="16" t="str">
        <f aca="false">IF(G598=0,"Not Invoiced","Invoiced")</f>
        <v>Invoiced</v>
      </c>
      <c r="J598" s="18" t="n">
        <f aca="false">E598-F598</f>
        <v>0</v>
      </c>
      <c r="K598" s="18" t="n">
        <f aca="false">E598-G598</f>
        <v>0</v>
      </c>
      <c r="L598" s="16" t="str">
        <f aca="false">IF(OR(AND(I598="Invoiced",H598="Not Received"),AND(F598&gt;0,ABS(J598)&gt;Assumptions!$B$6),AND(G598&gt;0,ABS(K598)&gt;Assumptions!$B$6)),"EXCEPTION","OK")</f>
        <v>OK</v>
      </c>
    </row>
    <row r="599" customFormat="false" ht="15" hidden="false" customHeight="false" outlineLevel="0" collapsed="false">
      <c r="A599" s="16" t="str">
        <f aca="false">Purchase_Orders!A596</f>
        <v>PO10595</v>
      </c>
      <c r="B599" s="16" t="str">
        <f aca="false">Purchase_Orders!B596</f>
        <v>V1001</v>
      </c>
      <c r="C599" s="16" t="str">
        <f aca="false">IFERROR(INDEX(Vendor_Master!$B$2:$B$41,MATCH(B599,Vendor_Master!$A$2:$A$41,0)),"Unknown Vendor")</f>
        <v>Figueroa and Sons</v>
      </c>
      <c r="D599" s="17" t="n">
        <f aca="false">Purchase_Orders!C596</f>
        <v>45951</v>
      </c>
      <c r="E599" s="18" t="n">
        <f aca="false">Purchase_Orders!D596</f>
        <v>1090.07</v>
      </c>
      <c r="F599" s="18" t="n">
        <f aca="false">SUMIFS(Goods_Receipt_Notes!$D$2:$D$791,Goods_Receipt_Notes!$B$2:$B$791,A599)</f>
        <v>1090.07</v>
      </c>
      <c r="G599" s="18" t="n">
        <f aca="false">SUMIFS(Vendor_Invoices_AP!$E$2:$E$882,Vendor_Invoices_AP!$B$2:$B$882,A599)</f>
        <v>2401.76</v>
      </c>
      <c r="H599" s="16" t="str">
        <f aca="false">IF(F599=0,"Not Received","Received")</f>
        <v>Received</v>
      </c>
      <c r="I599" s="16" t="str">
        <f aca="false">IF(G599=0,"Not Invoiced","Invoiced")</f>
        <v>Invoiced</v>
      </c>
      <c r="J599" s="18" t="n">
        <f aca="false">E599-F599</f>
        <v>0</v>
      </c>
      <c r="K599" s="18" t="n">
        <f aca="false">E599-G599</f>
        <v>-1311.69</v>
      </c>
      <c r="L599" s="16" t="str">
        <f aca="false">IF(OR(AND(I599="Invoiced",H599="Not Received"),AND(F599&gt;0,ABS(J599)&gt;Assumptions!$B$6),AND(G599&gt;0,ABS(K599)&gt;Assumptions!$B$6)),"EXCEPTION","OK")</f>
        <v>EXCEPTION</v>
      </c>
    </row>
    <row r="600" customFormat="false" ht="15" hidden="false" customHeight="false" outlineLevel="0" collapsed="false">
      <c r="A600" s="16" t="str">
        <f aca="false">Purchase_Orders!A597</f>
        <v>PO10596</v>
      </c>
      <c r="B600" s="16" t="str">
        <f aca="false">Purchase_Orders!B597</f>
        <v>V1036</v>
      </c>
      <c r="C600" s="16" t="str">
        <f aca="false">IFERROR(INDEX(Vendor_Master!$B$2:$B$41,MATCH(B600,Vendor_Master!$A$2:$A$41,0)),"Unknown Vendor")</f>
        <v>Dennis Inc</v>
      </c>
      <c r="D600" s="17" t="n">
        <f aca="false">Purchase_Orders!C597</f>
        <v>46187</v>
      </c>
      <c r="E600" s="18" t="n">
        <f aca="false">Purchase_Orders!D597</f>
        <v>4290.25</v>
      </c>
      <c r="F600" s="18" t="n">
        <f aca="false">SUMIFS(Goods_Receipt_Notes!$D$2:$D$791,Goods_Receipt_Notes!$B$2:$B$791,A600)</f>
        <v>4290.25</v>
      </c>
      <c r="G600" s="18" t="n">
        <f aca="false">SUMIFS(Vendor_Invoices_AP!$E$2:$E$882,Vendor_Invoices_AP!$B$2:$B$882,A600)</f>
        <v>4290.25</v>
      </c>
      <c r="H600" s="16" t="str">
        <f aca="false">IF(F600=0,"Not Received","Received")</f>
        <v>Received</v>
      </c>
      <c r="I600" s="16" t="str">
        <f aca="false">IF(G600=0,"Not Invoiced","Invoiced")</f>
        <v>Invoiced</v>
      </c>
      <c r="J600" s="18" t="n">
        <f aca="false">E600-F600</f>
        <v>0</v>
      </c>
      <c r="K600" s="18" t="n">
        <f aca="false">E600-G600</f>
        <v>0</v>
      </c>
      <c r="L600" s="16" t="str">
        <f aca="false">IF(OR(AND(I600="Invoiced",H600="Not Received"),AND(F600&gt;0,ABS(J600)&gt;Assumptions!$B$6),AND(G600&gt;0,ABS(K600)&gt;Assumptions!$B$6)),"EXCEPTION","OK")</f>
        <v>OK</v>
      </c>
    </row>
    <row r="601" customFormat="false" ht="15" hidden="false" customHeight="false" outlineLevel="0" collapsed="false">
      <c r="A601" s="16" t="str">
        <f aca="false">Purchase_Orders!A598</f>
        <v>PO10597</v>
      </c>
      <c r="B601" s="16" t="str">
        <f aca="false">Purchase_Orders!B598</f>
        <v>V1025</v>
      </c>
      <c r="C601" s="16" t="str">
        <f aca="false">IFERROR(INDEX(Vendor_Master!$B$2:$B$41,MATCH(B601,Vendor_Master!$A$2:$A$41,0)),"Unknown Vendor")</f>
        <v>Conner Group</v>
      </c>
      <c r="D601" s="17" t="n">
        <f aca="false">Purchase_Orders!C598</f>
        <v>45947</v>
      </c>
      <c r="E601" s="18" t="n">
        <f aca="false">Purchase_Orders!D598</f>
        <v>60188.25</v>
      </c>
      <c r="F601" s="18" t="n">
        <f aca="false">SUMIFS(Goods_Receipt_Notes!$D$2:$D$791,Goods_Receipt_Notes!$B$2:$B$791,A601)</f>
        <v>60188.25</v>
      </c>
      <c r="G601" s="18" t="n">
        <f aca="false">SUMIFS(Vendor_Invoices_AP!$E$2:$E$882,Vendor_Invoices_AP!$B$2:$B$882,A601)</f>
        <v>60188.25</v>
      </c>
      <c r="H601" s="16" t="str">
        <f aca="false">IF(F601=0,"Not Received","Received")</f>
        <v>Received</v>
      </c>
      <c r="I601" s="16" t="str">
        <f aca="false">IF(G601=0,"Not Invoiced","Invoiced")</f>
        <v>Invoiced</v>
      </c>
      <c r="J601" s="18" t="n">
        <f aca="false">E601-F601</f>
        <v>0</v>
      </c>
      <c r="K601" s="18" t="n">
        <f aca="false">E601-G601</f>
        <v>0</v>
      </c>
      <c r="L601" s="16" t="str">
        <f aca="false">IF(OR(AND(I601="Invoiced",H601="Not Received"),AND(F601&gt;0,ABS(J601)&gt;Assumptions!$B$6),AND(G601&gt;0,ABS(K601)&gt;Assumptions!$B$6)),"EXCEPTION","OK")</f>
        <v>OK</v>
      </c>
    </row>
    <row r="602" customFormat="false" ht="15" hidden="false" customHeight="false" outlineLevel="0" collapsed="false">
      <c r="A602" s="16" t="str">
        <f aca="false">Purchase_Orders!A599</f>
        <v>PO10598</v>
      </c>
      <c r="B602" s="16" t="str">
        <f aca="false">Purchase_Orders!B599</f>
        <v>V1034</v>
      </c>
      <c r="C602" s="16" t="str">
        <f aca="false">IFERROR(INDEX(Vendor_Master!$B$2:$B$41,MATCH(B602,Vendor_Master!$A$2:$A$41,0)),"Unknown Vendor")</f>
        <v>Koch-Decker</v>
      </c>
      <c r="D602" s="17" t="n">
        <f aca="false">Purchase_Orders!C599</f>
        <v>46155</v>
      </c>
      <c r="E602" s="18" t="n">
        <f aca="false">Purchase_Orders!D599</f>
        <v>7933.72</v>
      </c>
      <c r="F602" s="18" t="n">
        <f aca="false">SUMIFS(Goods_Receipt_Notes!$D$2:$D$791,Goods_Receipt_Notes!$B$2:$B$791,A602)</f>
        <v>7933.72</v>
      </c>
      <c r="G602" s="18" t="n">
        <f aca="false">SUMIFS(Vendor_Invoices_AP!$E$2:$E$882,Vendor_Invoices_AP!$B$2:$B$882,A602)</f>
        <v>7933.72</v>
      </c>
      <c r="H602" s="16" t="str">
        <f aca="false">IF(F602=0,"Not Received","Received")</f>
        <v>Received</v>
      </c>
      <c r="I602" s="16" t="str">
        <f aca="false">IF(G602=0,"Not Invoiced","Invoiced")</f>
        <v>Invoiced</v>
      </c>
      <c r="J602" s="18" t="n">
        <f aca="false">E602-F602</f>
        <v>0</v>
      </c>
      <c r="K602" s="18" t="n">
        <f aca="false">E602-G602</f>
        <v>0</v>
      </c>
      <c r="L602" s="16" t="str">
        <f aca="false">IF(OR(AND(I602="Invoiced",H602="Not Received"),AND(F602&gt;0,ABS(J602)&gt;Assumptions!$B$6),AND(G602&gt;0,ABS(K602)&gt;Assumptions!$B$6)),"EXCEPTION","OK")</f>
        <v>OK</v>
      </c>
    </row>
    <row r="603" customFormat="false" ht="15" hidden="false" customHeight="false" outlineLevel="0" collapsed="false">
      <c r="A603" s="16" t="str">
        <f aca="false">Purchase_Orders!A600</f>
        <v>PO10599</v>
      </c>
      <c r="B603" s="16" t="str">
        <f aca="false">Purchase_Orders!B600</f>
        <v>V1024</v>
      </c>
      <c r="C603" s="16" t="str">
        <f aca="false">IFERROR(INDEX(Vendor_Master!$B$2:$B$41,MATCH(B603,Vendor_Master!$A$2:$A$41,0)),"Unknown Vendor")</f>
        <v>Campos Inc</v>
      </c>
      <c r="D603" s="17" t="n">
        <f aca="false">Purchase_Orders!C600</f>
        <v>46110</v>
      </c>
      <c r="E603" s="18" t="n">
        <f aca="false">Purchase_Orders!D600</f>
        <v>2753.96</v>
      </c>
      <c r="F603" s="18" t="n">
        <f aca="false">SUMIFS(Goods_Receipt_Notes!$D$2:$D$791,Goods_Receipt_Notes!$B$2:$B$791,A603)</f>
        <v>2753.96</v>
      </c>
      <c r="G603" s="18" t="n">
        <f aca="false">SUMIFS(Vendor_Invoices_AP!$E$2:$E$882,Vendor_Invoices_AP!$B$2:$B$882,A603)</f>
        <v>2753.96</v>
      </c>
      <c r="H603" s="16" t="str">
        <f aca="false">IF(F603=0,"Not Received","Received")</f>
        <v>Received</v>
      </c>
      <c r="I603" s="16" t="str">
        <f aca="false">IF(G603=0,"Not Invoiced","Invoiced")</f>
        <v>Invoiced</v>
      </c>
      <c r="J603" s="18" t="n">
        <f aca="false">E603-F603</f>
        <v>0</v>
      </c>
      <c r="K603" s="18" t="n">
        <f aca="false">E603-G603</f>
        <v>0</v>
      </c>
      <c r="L603" s="16" t="str">
        <f aca="false">IF(OR(AND(I603="Invoiced",H603="Not Received"),AND(F603&gt;0,ABS(J603)&gt;Assumptions!$B$6),AND(G603&gt;0,ABS(K603)&gt;Assumptions!$B$6)),"EXCEPTION","OK")</f>
        <v>OK</v>
      </c>
    </row>
    <row r="604" customFormat="false" ht="15" hidden="false" customHeight="false" outlineLevel="0" collapsed="false">
      <c r="A604" s="16" t="str">
        <f aca="false">Purchase_Orders!A601</f>
        <v>PO10600</v>
      </c>
      <c r="B604" s="16" t="str">
        <f aca="false">Purchase_Orders!B601</f>
        <v>V1013</v>
      </c>
      <c r="C604" s="16" t="str">
        <f aca="false">IFERROR(INDEX(Vendor_Master!$B$2:$B$41,MATCH(B604,Vendor_Master!$A$2:$A$41,0)),"Unknown Vendor")</f>
        <v>Delacruz Group</v>
      </c>
      <c r="D604" s="17" t="n">
        <f aca="false">Purchase_Orders!C601</f>
        <v>45798</v>
      </c>
      <c r="E604" s="18" t="n">
        <f aca="false">Purchase_Orders!D601</f>
        <v>5478.24</v>
      </c>
      <c r="F604" s="18" t="n">
        <f aca="false">SUMIFS(Goods_Receipt_Notes!$D$2:$D$791,Goods_Receipt_Notes!$B$2:$B$791,A604)</f>
        <v>4843.97</v>
      </c>
      <c r="G604" s="18" t="n">
        <f aca="false">SUMIFS(Vendor_Invoices_AP!$E$2:$E$882,Vendor_Invoices_AP!$B$2:$B$882,A604)</f>
        <v>5478.24</v>
      </c>
      <c r="H604" s="16" t="str">
        <f aca="false">IF(F604=0,"Not Received","Received")</f>
        <v>Received</v>
      </c>
      <c r="I604" s="16" t="str">
        <f aca="false">IF(G604=0,"Not Invoiced","Invoiced")</f>
        <v>Invoiced</v>
      </c>
      <c r="J604" s="18" t="n">
        <f aca="false">E604-F604</f>
        <v>634.27</v>
      </c>
      <c r="K604" s="18" t="n">
        <f aca="false">E604-G604</f>
        <v>0</v>
      </c>
      <c r="L604" s="16" t="str">
        <f aca="false">IF(OR(AND(I604="Invoiced",H604="Not Received"),AND(F604&gt;0,ABS(J604)&gt;Assumptions!$B$6),AND(G604&gt;0,ABS(K604)&gt;Assumptions!$B$6)),"EXCEPTION","OK")</f>
        <v>EXCEPTION</v>
      </c>
    </row>
    <row r="605" customFormat="false" ht="15" hidden="false" customHeight="false" outlineLevel="0" collapsed="false">
      <c r="A605" s="16" t="str">
        <f aca="false">Purchase_Orders!A602</f>
        <v>PO10601</v>
      </c>
      <c r="B605" s="16" t="str">
        <f aca="false">Purchase_Orders!B602</f>
        <v>V1009</v>
      </c>
      <c r="C605" s="16" t="str">
        <f aca="false">IFERROR(INDEX(Vendor_Master!$B$2:$B$41,MATCH(B605,Vendor_Master!$A$2:$A$41,0)),"Unknown Vendor")</f>
        <v>Munoz-Roman</v>
      </c>
      <c r="D605" s="17" t="n">
        <f aca="false">Purchase_Orders!C602</f>
        <v>46107</v>
      </c>
      <c r="E605" s="18" t="n">
        <f aca="false">Purchase_Orders!D602</f>
        <v>581.73</v>
      </c>
      <c r="F605" s="18" t="n">
        <f aca="false">SUMIFS(Goods_Receipt_Notes!$D$2:$D$791,Goods_Receipt_Notes!$B$2:$B$791,A605)</f>
        <v>581.73</v>
      </c>
      <c r="G605" s="18" t="n">
        <f aca="false">SUMIFS(Vendor_Invoices_AP!$E$2:$E$882,Vendor_Invoices_AP!$B$2:$B$882,A605)</f>
        <v>581.73</v>
      </c>
      <c r="H605" s="16" t="str">
        <f aca="false">IF(F605=0,"Not Received","Received")</f>
        <v>Received</v>
      </c>
      <c r="I605" s="16" t="str">
        <f aca="false">IF(G605=0,"Not Invoiced","Invoiced")</f>
        <v>Invoiced</v>
      </c>
      <c r="J605" s="18" t="n">
        <f aca="false">E605-F605</f>
        <v>0</v>
      </c>
      <c r="K605" s="18" t="n">
        <f aca="false">E605-G605</f>
        <v>0</v>
      </c>
      <c r="L605" s="16" t="str">
        <f aca="false">IF(OR(AND(I605="Invoiced",H605="Not Received"),AND(F605&gt;0,ABS(J605)&gt;Assumptions!$B$6),AND(G605&gt;0,ABS(K605)&gt;Assumptions!$B$6)),"EXCEPTION","OK")</f>
        <v>OK</v>
      </c>
    </row>
    <row r="606" customFormat="false" ht="15" hidden="false" customHeight="false" outlineLevel="0" collapsed="false">
      <c r="A606" s="16" t="str">
        <f aca="false">Purchase_Orders!A603</f>
        <v>PO10602</v>
      </c>
      <c r="B606" s="16" t="str">
        <f aca="false">Purchase_Orders!B603</f>
        <v>V1005</v>
      </c>
      <c r="C606" s="16" t="str">
        <f aca="false">IFERROR(INDEX(Vendor_Master!$B$2:$B$41,MATCH(B606,Vendor_Master!$A$2:$A$41,0)),"Unknown Vendor")</f>
        <v>Cole LLC</v>
      </c>
      <c r="D606" s="17" t="n">
        <f aca="false">Purchase_Orders!C603</f>
        <v>45920</v>
      </c>
      <c r="E606" s="18" t="n">
        <f aca="false">Purchase_Orders!D603</f>
        <v>2739.78</v>
      </c>
      <c r="F606" s="18" t="n">
        <f aca="false">SUMIFS(Goods_Receipt_Notes!$D$2:$D$791,Goods_Receipt_Notes!$B$2:$B$791,A606)</f>
        <v>2739.78</v>
      </c>
      <c r="G606" s="18" t="n">
        <f aca="false">SUMIFS(Vendor_Invoices_AP!$E$2:$E$882,Vendor_Invoices_AP!$B$2:$B$882,A606)</f>
        <v>2739.78</v>
      </c>
      <c r="H606" s="16" t="str">
        <f aca="false">IF(F606=0,"Not Received","Received")</f>
        <v>Received</v>
      </c>
      <c r="I606" s="16" t="str">
        <f aca="false">IF(G606=0,"Not Invoiced","Invoiced")</f>
        <v>Invoiced</v>
      </c>
      <c r="J606" s="18" t="n">
        <f aca="false">E606-F606</f>
        <v>0</v>
      </c>
      <c r="K606" s="18" t="n">
        <f aca="false">E606-G606</f>
        <v>0</v>
      </c>
      <c r="L606" s="16" t="str">
        <f aca="false">IF(OR(AND(I606="Invoiced",H606="Not Received"),AND(F606&gt;0,ABS(J606)&gt;Assumptions!$B$6),AND(G606&gt;0,ABS(K606)&gt;Assumptions!$B$6)),"EXCEPTION","OK")</f>
        <v>OK</v>
      </c>
    </row>
    <row r="607" customFormat="false" ht="15" hidden="false" customHeight="false" outlineLevel="0" collapsed="false">
      <c r="A607" s="16" t="str">
        <f aca="false">Purchase_Orders!A604</f>
        <v>PO10603</v>
      </c>
      <c r="B607" s="16" t="str">
        <f aca="false">Purchase_Orders!B604</f>
        <v>V1011</v>
      </c>
      <c r="C607" s="16" t="str">
        <f aca="false">IFERROR(INDEX(Vendor_Master!$B$2:$B$41,MATCH(B607,Vendor_Master!$A$2:$A$41,0)),"Unknown Vendor")</f>
        <v>Montgomery, Hensley and Ray</v>
      </c>
      <c r="D607" s="17" t="n">
        <f aca="false">Purchase_Orders!C604</f>
        <v>46097</v>
      </c>
      <c r="E607" s="18" t="n">
        <f aca="false">Purchase_Orders!D604</f>
        <v>329.34</v>
      </c>
      <c r="F607" s="18" t="n">
        <f aca="false">SUMIFS(Goods_Receipt_Notes!$D$2:$D$791,Goods_Receipt_Notes!$B$2:$B$791,A607)</f>
        <v>329.34</v>
      </c>
      <c r="G607" s="18" t="n">
        <f aca="false">SUMIFS(Vendor_Invoices_AP!$E$2:$E$882,Vendor_Invoices_AP!$B$2:$B$882,A607)</f>
        <v>329.34</v>
      </c>
      <c r="H607" s="16" t="str">
        <f aca="false">IF(F607=0,"Not Received","Received")</f>
        <v>Received</v>
      </c>
      <c r="I607" s="16" t="str">
        <f aca="false">IF(G607=0,"Not Invoiced","Invoiced")</f>
        <v>Invoiced</v>
      </c>
      <c r="J607" s="18" t="n">
        <f aca="false">E607-F607</f>
        <v>0</v>
      </c>
      <c r="K607" s="18" t="n">
        <f aca="false">E607-G607</f>
        <v>0</v>
      </c>
      <c r="L607" s="16" t="str">
        <f aca="false">IF(OR(AND(I607="Invoiced",H607="Not Received"),AND(F607&gt;0,ABS(J607)&gt;Assumptions!$B$6),AND(G607&gt;0,ABS(K607)&gt;Assumptions!$B$6)),"EXCEPTION","OK")</f>
        <v>OK</v>
      </c>
    </row>
    <row r="608" customFormat="false" ht="15" hidden="false" customHeight="false" outlineLevel="0" collapsed="false">
      <c r="A608" s="16" t="str">
        <f aca="false">Purchase_Orders!A605</f>
        <v>PO10604</v>
      </c>
      <c r="B608" s="16" t="str">
        <f aca="false">Purchase_Orders!B605</f>
        <v>V1027</v>
      </c>
      <c r="C608" s="16" t="str">
        <f aca="false">IFERROR(INDEX(Vendor_Master!$B$2:$B$41,MATCH(B608,Vendor_Master!$A$2:$A$41,0)),"Unknown Vendor")</f>
        <v>Valencia, Smith and Le</v>
      </c>
      <c r="D608" s="17" t="n">
        <f aca="false">Purchase_Orders!C605</f>
        <v>46064</v>
      </c>
      <c r="E608" s="18" t="n">
        <f aca="false">Purchase_Orders!D605</f>
        <v>1253.19</v>
      </c>
      <c r="F608" s="18" t="n">
        <f aca="false">SUMIFS(Goods_Receipt_Notes!$D$2:$D$791,Goods_Receipt_Notes!$B$2:$B$791,A608)</f>
        <v>1253.19</v>
      </c>
      <c r="G608" s="18" t="n">
        <f aca="false">SUMIFS(Vendor_Invoices_AP!$E$2:$E$882,Vendor_Invoices_AP!$B$2:$B$882,A608)</f>
        <v>1253.19</v>
      </c>
      <c r="H608" s="16" t="str">
        <f aca="false">IF(F608=0,"Not Received","Received")</f>
        <v>Received</v>
      </c>
      <c r="I608" s="16" t="str">
        <f aca="false">IF(G608=0,"Not Invoiced","Invoiced")</f>
        <v>Invoiced</v>
      </c>
      <c r="J608" s="18" t="n">
        <f aca="false">E608-F608</f>
        <v>0</v>
      </c>
      <c r="K608" s="18" t="n">
        <f aca="false">E608-G608</f>
        <v>0</v>
      </c>
      <c r="L608" s="16" t="str">
        <f aca="false">IF(OR(AND(I608="Invoiced",H608="Not Received"),AND(F608&gt;0,ABS(J608)&gt;Assumptions!$B$6),AND(G608&gt;0,ABS(K608)&gt;Assumptions!$B$6)),"EXCEPTION","OK")</f>
        <v>OK</v>
      </c>
    </row>
    <row r="609" customFormat="false" ht="15" hidden="false" customHeight="false" outlineLevel="0" collapsed="false">
      <c r="A609" s="16" t="str">
        <f aca="false">Purchase_Orders!A606</f>
        <v>PO10605</v>
      </c>
      <c r="B609" s="16" t="str">
        <f aca="false">Purchase_Orders!B606</f>
        <v>V1024</v>
      </c>
      <c r="C609" s="16" t="str">
        <f aca="false">IFERROR(INDEX(Vendor_Master!$B$2:$B$41,MATCH(B609,Vendor_Master!$A$2:$A$41,0)),"Unknown Vendor")</f>
        <v>Campos Inc</v>
      </c>
      <c r="D609" s="17" t="n">
        <f aca="false">Purchase_Orders!C606</f>
        <v>45842</v>
      </c>
      <c r="E609" s="18" t="n">
        <f aca="false">Purchase_Orders!D606</f>
        <v>5307.07</v>
      </c>
      <c r="F609" s="18" t="n">
        <f aca="false">SUMIFS(Goods_Receipt_Notes!$D$2:$D$791,Goods_Receipt_Notes!$B$2:$B$791,A609)</f>
        <v>5307.07</v>
      </c>
      <c r="G609" s="18" t="n">
        <f aca="false">SUMIFS(Vendor_Invoices_AP!$E$2:$E$882,Vendor_Invoices_AP!$B$2:$B$882,A609)</f>
        <v>5307.07</v>
      </c>
      <c r="H609" s="16" t="str">
        <f aca="false">IF(F609=0,"Not Received","Received")</f>
        <v>Received</v>
      </c>
      <c r="I609" s="16" t="str">
        <f aca="false">IF(G609=0,"Not Invoiced","Invoiced")</f>
        <v>Invoiced</v>
      </c>
      <c r="J609" s="18" t="n">
        <f aca="false">E609-F609</f>
        <v>0</v>
      </c>
      <c r="K609" s="18" t="n">
        <f aca="false">E609-G609</f>
        <v>0</v>
      </c>
      <c r="L609" s="16" t="str">
        <f aca="false">IF(OR(AND(I609="Invoiced",H609="Not Received"),AND(F609&gt;0,ABS(J609)&gt;Assumptions!$B$6),AND(G609&gt;0,ABS(K609)&gt;Assumptions!$B$6)),"EXCEPTION","OK")</f>
        <v>OK</v>
      </c>
    </row>
    <row r="610" customFormat="false" ht="15" hidden="false" customHeight="false" outlineLevel="0" collapsed="false">
      <c r="A610" s="16" t="str">
        <f aca="false">Purchase_Orders!A607</f>
        <v>PO10606</v>
      </c>
      <c r="B610" s="16" t="str">
        <f aca="false">Purchase_Orders!B607</f>
        <v>V1004</v>
      </c>
      <c r="C610" s="16" t="str">
        <f aca="false">IFERROR(INDEX(Vendor_Master!$B$2:$B$41,MATCH(B610,Vendor_Master!$A$2:$A$41,0)),"Unknown Vendor")</f>
        <v>Johnson, Gonzalez and Santos</v>
      </c>
      <c r="D610" s="17" t="n">
        <f aca="false">Purchase_Orders!C607</f>
        <v>45720</v>
      </c>
      <c r="E610" s="18" t="n">
        <f aca="false">Purchase_Orders!D607</f>
        <v>4575.5</v>
      </c>
      <c r="F610" s="18" t="n">
        <f aca="false">SUMIFS(Goods_Receipt_Notes!$D$2:$D$791,Goods_Receipt_Notes!$B$2:$B$791,A610)</f>
        <v>4575.5</v>
      </c>
      <c r="G610" s="18" t="n">
        <f aca="false">SUMIFS(Vendor_Invoices_AP!$E$2:$E$882,Vendor_Invoices_AP!$B$2:$B$882,A610)</f>
        <v>4575.5</v>
      </c>
      <c r="H610" s="16" t="str">
        <f aca="false">IF(F610=0,"Not Received","Received")</f>
        <v>Received</v>
      </c>
      <c r="I610" s="16" t="str">
        <f aca="false">IF(G610=0,"Not Invoiced","Invoiced")</f>
        <v>Invoiced</v>
      </c>
      <c r="J610" s="18" t="n">
        <f aca="false">E610-F610</f>
        <v>0</v>
      </c>
      <c r="K610" s="18" t="n">
        <f aca="false">E610-G610</f>
        <v>0</v>
      </c>
      <c r="L610" s="16" t="str">
        <f aca="false">IF(OR(AND(I610="Invoiced",H610="Not Received"),AND(F610&gt;0,ABS(J610)&gt;Assumptions!$B$6),AND(G610&gt;0,ABS(K610)&gt;Assumptions!$B$6)),"EXCEPTION","OK")</f>
        <v>OK</v>
      </c>
    </row>
    <row r="611" customFormat="false" ht="15" hidden="false" customHeight="false" outlineLevel="0" collapsed="false">
      <c r="A611" s="16" t="str">
        <f aca="false">Purchase_Orders!A608</f>
        <v>PO10607</v>
      </c>
      <c r="B611" s="16" t="str">
        <f aca="false">Purchase_Orders!B608</f>
        <v>V1013</v>
      </c>
      <c r="C611" s="16" t="str">
        <f aca="false">IFERROR(INDEX(Vendor_Master!$B$2:$B$41,MATCH(B611,Vendor_Master!$A$2:$A$41,0)),"Unknown Vendor")</f>
        <v>Delacruz Group</v>
      </c>
      <c r="D611" s="17" t="n">
        <f aca="false">Purchase_Orders!C608</f>
        <v>46182</v>
      </c>
      <c r="E611" s="18" t="n">
        <f aca="false">Purchase_Orders!D608</f>
        <v>9603.81</v>
      </c>
      <c r="F611" s="18" t="n">
        <f aca="false">SUMIFS(Goods_Receipt_Notes!$D$2:$D$791,Goods_Receipt_Notes!$B$2:$B$791,A611)</f>
        <v>9603.81</v>
      </c>
      <c r="G611" s="18" t="n">
        <f aca="false">SUMIFS(Vendor_Invoices_AP!$E$2:$E$882,Vendor_Invoices_AP!$B$2:$B$882,A611)</f>
        <v>9603.81</v>
      </c>
      <c r="H611" s="16" t="str">
        <f aca="false">IF(F611=0,"Not Received","Received")</f>
        <v>Received</v>
      </c>
      <c r="I611" s="16" t="str">
        <f aca="false">IF(G611=0,"Not Invoiced","Invoiced")</f>
        <v>Invoiced</v>
      </c>
      <c r="J611" s="18" t="n">
        <f aca="false">E611-F611</f>
        <v>0</v>
      </c>
      <c r="K611" s="18" t="n">
        <f aca="false">E611-G611</f>
        <v>0</v>
      </c>
      <c r="L611" s="16" t="str">
        <f aca="false">IF(OR(AND(I611="Invoiced",H611="Not Received"),AND(F611&gt;0,ABS(J611)&gt;Assumptions!$B$6),AND(G611&gt;0,ABS(K611)&gt;Assumptions!$B$6)),"EXCEPTION","OK")</f>
        <v>OK</v>
      </c>
    </row>
    <row r="612" customFormat="false" ht="15" hidden="false" customHeight="false" outlineLevel="0" collapsed="false">
      <c r="A612" s="16" t="str">
        <f aca="false">Purchase_Orders!A609</f>
        <v>PO10608</v>
      </c>
      <c r="B612" s="16" t="str">
        <f aca="false">Purchase_Orders!B609</f>
        <v>V1024</v>
      </c>
      <c r="C612" s="16" t="str">
        <f aca="false">IFERROR(INDEX(Vendor_Master!$B$2:$B$41,MATCH(B612,Vendor_Master!$A$2:$A$41,0)),"Unknown Vendor")</f>
        <v>Campos Inc</v>
      </c>
      <c r="D612" s="17" t="n">
        <f aca="false">Purchase_Orders!C609</f>
        <v>45734</v>
      </c>
      <c r="E612" s="18" t="n">
        <f aca="false">Purchase_Orders!D609</f>
        <v>4978.47</v>
      </c>
      <c r="F612" s="18" t="n">
        <f aca="false">SUMIFS(Goods_Receipt_Notes!$D$2:$D$791,Goods_Receipt_Notes!$B$2:$B$791,A612)</f>
        <v>4978.47</v>
      </c>
      <c r="G612" s="18" t="n">
        <f aca="false">SUMIFS(Vendor_Invoices_AP!$E$2:$E$882,Vendor_Invoices_AP!$B$2:$B$882,A612)</f>
        <v>4978.47</v>
      </c>
      <c r="H612" s="16" t="str">
        <f aca="false">IF(F612=0,"Not Received","Received")</f>
        <v>Received</v>
      </c>
      <c r="I612" s="16" t="str">
        <f aca="false">IF(G612=0,"Not Invoiced","Invoiced")</f>
        <v>Invoiced</v>
      </c>
      <c r="J612" s="18" t="n">
        <f aca="false">E612-F612</f>
        <v>0</v>
      </c>
      <c r="K612" s="18" t="n">
        <f aca="false">E612-G612</f>
        <v>0</v>
      </c>
      <c r="L612" s="16" t="str">
        <f aca="false">IF(OR(AND(I612="Invoiced",H612="Not Received"),AND(F612&gt;0,ABS(J612)&gt;Assumptions!$B$6),AND(G612&gt;0,ABS(K612)&gt;Assumptions!$B$6)),"EXCEPTION","OK")</f>
        <v>OK</v>
      </c>
    </row>
    <row r="613" customFormat="false" ht="15" hidden="false" customHeight="false" outlineLevel="0" collapsed="false">
      <c r="A613" s="16" t="str">
        <f aca="false">Purchase_Orders!A610</f>
        <v>PO10609</v>
      </c>
      <c r="B613" s="16" t="str">
        <f aca="false">Purchase_Orders!B610</f>
        <v>V1031</v>
      </c>
      <c r="C613" s="16" t="str">
        <f aca="false">IFERROR(INDEX(Vendor_Master!$B$2:$B$41,MATCH(B613,Vendor_Master!$A$2:$A$41,0)),"Unknown Vendor")</f>
        <v>Harrell LLC</v>
      </c>
      <c r="D613" s="17" t="n">
        <f aca="false">Purchase_Orders!C610</f>
        <v>46184</v>
      </c>
      <c r="E613" s="18" t="n">
        <f aca="false">Purchase_Orders!D610</f>
        <v>4144.18</v>
      </c>
      <c r="F613" s="18" t="n">
        <f aca="false">SUMIFS(Goods_Receipt_Notes!$D$2:$D$791,Goods_Receipt_Notes!$B$2:$B$791,A613)</f>
        <v>4144.18</v>
      </c>
      <c r="G613" s="18" t="n">
        <f aca="false">SUMIFS(Vendor_Invoices_AP!$E$2:$E$882,Vendor_Invoices_AP!$B$2:$B$882,A613)</f>
        <v>4144.18</v>
      </c>
      <c r="H613" s="16" t="str">
        <f aca="false">IF(F613=0,"Not Received","Received")</f>
        <v>Received</v>
      </c>
      <c r="I613" s="16" t="str">
        <f aca="false">IF(G613=0,"Not Invoiced","Invoiced")</f>
        <v>Invoiced</v>
      </c>
      <c r="J613" s="18" t="n">
        <f aca="false">E613-F613</f>
        <v>0</v>
      </c>
      <c r="K613" s="18" t="n">
        <f aca="false">E613-G613</f>
        <v>0</v>
      </c>
      <c r="L613" s="16" t="str">
        <f aca="false">IF(OR(AND(I613="Invoiced",H613="Not Received"),AND(F613&gt;0,ABS(J613)&gt;Assumptions!$B$6),AND(G613&gt;0,ABS(K613)&gt;Assumptions!$B$6)),"EXCEPTION","OK")</f>
        <v>OK</v>
      </c>
    </row>
    <row r="614" customFormat="false" ht="15" hidden="false" customHeight="false" outlineLevel="0" collapsed="false">
      <c r="A614" s="16" t="str">
        <f aca="false">Purchase_Orders!A611</f>
        <v>PO10610</v>
      </c>
      <c r="B614" s="16" t="str">
        <f aca="false">Purchase_Orders!B611</f>
        <v>V1024</v>
      </c>
      <c r="C614" s="16" t="str">
        <f aca="false">IFERROR(INDEX(Vendor_Master!$B$2:$B$41,MATCH(B614,Vendor_Master!$A$2:$A$41,0)),"Unknown Vendor")</f>
        <v>Campos Inc</v>
      </c>
      <c r="D614" s="17" t="n">
        <f aca="false">Purchase_Orders!C611</f>
        <v>46126</v>
      </c>
      <c r="E614" s="18" t="n">
        <f aca="false">Purchase_Orders!D611</f>
        <v>4005.11</v>
      </c>
      <c r="F614" s="18" t="n">
        <f aca="false">SUMIFS(Goods_Receipt_Notes!$D$2:$D$791,Goods_Receipt_Notes!$B$2:$B$791,A614)</f>
        <v>4005.11</v>
      </c>
      <c r="G614" s="18" t="n">
        <f aca="false">SUMIFS(Vendor_Invoices_AP!$E$2:$E$882,Vendor_Invoices_AP!$B$2:$B$882,A614)</f>
        <v>4005.11</v>
      </c>
      <c r="H614" s="16" t="str">
        <f aca="false">IF(F614=0,"Not Received","Received")</f>
        <v>Received</v>
      </c>
      <c r="I614" s="16" t="str">
        <f aca="false">IF(G614=0,"Not Invoiced","Invoiced")</f>
        <v>Invoiced</v>
      </c>
      <c r="J614" s="18" t="n">
        <f aca="false">E614-F614</f>
        <v>0</v>
      </c>
      <c r="K614" s="18" t="n">
        <f aca="false">E614-G614</f>
        <v>0</v>
      </c>
      <c r="L614" s="16" t="str">
        <f aca="false">IF(OR(AND(I614="Invoiced",H614="Not Received"),AND(F614&gt;0,ABS(J614)&gt;Assumptions!$B$6),AND(G614&gt;0,ABS(K614)&gt;Assumptions!$B$6)),"EXCEPTION","OK")</f>
        <v>OK</v>
      </c>
    </row>
    <row r="615" customFormat="false" ht="15" hidden="false" customHeight="false" outlineLevel="0" collapsed="false">
      <c r="A615" s="16" t="str">
        <f aca="false">Purchase_Orders!A612</f>
        <v>PO10611</v>
      </c>
      <c r="B615" s="16" t="str">
        <f aca="false">Purchase_Orders!B612</f>
        <v>V1003</v>
      </c>
      <c r="C615" s="16" t="str">
        <f aca="false">IFERROR(INDEX(Vendor_Master!$B$2:$B$41,MATCH(B615,Vendor_Master!$A$2:$A$41,0)),"Unknown Vendor")</f>
        <v>Johnson and Sons</v>
      </c>
      <c r="D615" s="17" t="n">
        <f aca="false">Purchase_Orders!C612</f>
        <v>46052</v>
      </c>
      <c r="E615" s="18" t="n">
        <f aca="false">Purchase_Orders!D612</f>
        <v>1866.99</v>
      </c>
      <c r="F615" s="18" t="n">
        <f aca="false">SUMIFS(Goods_Receipt_Notes!$D$2:$D$791,Goods_Receipt_Notes!$B$2:$B$791,A615)</f>
        <v>1866.99</v>
      </c>
      <c r="G615" s="18" t="n">
        <f aca="false">SUMIFS(Vendor_Invoices_AP!$E$2:$E$882,Vendor_Invoices_AP!$B$2:$B$882,A615)</f>
        <v>1866.99</v>
      </c>
      <c r="H615" s="16" t="str">
        <f aca="false">IF(F615=0,"Not Received","Received")</f>
        <v>Received</v>
      </c>
      <c r="I615" s="16" t="str">
        <f aca="false">IF(G615=0,"Not Invoiced","Invoiced")</f>
        <v>Invoiced</v>
      </c>
      <c r="J615" s="18" t="n">
        <f aca="false">E615-F615</f>
        <v>0</v>
      </c>
      <c r="K615" s="18" t="n">
        <f aca="false">E615-G615</f>
        <v>0</v>
      </c>
      <c r="L615" s="16" t="str">
        <f aca="false">IF(OR(AND(I615="Invoiced",H615="Not Received"),AND(F615&gt;0,ABS(J615)&gt;Assumptions!$B$6),AND(G615&gt;0,ABS(K615)&gt;Assumptions!$B$6)),"EXCEPTION","OK")</f>
        <v>OK</v>
      </c>
    </row>
    <row r="616" customFormat="false" ht="15" hidden="false" customHeight="false" outlineLevel="0" collapsed="false">
      <c r="A616" s="16" t="str">
        <f aca="false">Purchase_Orders!A613</f>
        <v>PO10612</v>
      </c>
      <c r="B616" s="16" t="str">
        <f aca="false">Purchase_Orders!B613</f>
        <v>V1031</v>
      </c>
      <c r="C616" s="16" t="str">
        <f aca="false">IFERROR(INDEX(Vendor_Master!$B$2:$B$41,MATCH(B616,Vendor_Master!$A$2:$A$41,0)),"Unknown Vendor")</f>
        <v>Harrell LLC</v>
      </c>
      <c r="D616" s="17" t="n">
        <f aca="false">Purchase_Orders!C613</f>
        <v>46192</v>
      </c>
      <c r="E616" s="18" t="n">
        <f aca="false">Purchase_Orders!D613</f>
        <v>21270.63</v>
      </c>
      <c r="F616" s="18" t="n">
        <f aca="false">SUMIFS(Goods_Receipt_Notes!$D$2:$D$791,Goods_Receipt_Notes!$B$2:$B$791,A616)</f>
        <v>21270.63</v>
      </c>
      <c r="G616" s="18" t="n">
        <f aca="false">SUMIFS(Vendor_Invoices_AP!$E$2:$E$882,Vendor_Invoices_AP!$B$2:$B$882,A616)</f>
        <v>21270.63</v>
      </c>
      <c r="H616" s="16" t="str">
        <f aca="false">IF(F616=0,"Not Received","Received")</f>
        <v>Received</v>
      </c>
      <c r="I616" s="16" t="str">
        <f aca="false">IF(G616=0,"Not Invoiced","Invoiced")</f>
        <v>Invoiced</v>
      </c>
      <c r="J616" s="18" t="n">
        <f aca="false">E616-F616</f>
        <v>0</v>
      </c>
      <c r="K616" s="18" t="n">
        <f aca="false">E616-G616</f>
        <v>0</v>
      </c>
      <c r="L616" s="16" t="str">
        <f aca="false">IF(OR(AND(I616="Invoiced",H616="Not Received"),AND(F616&gt;0,ABS(J616)&gt;Assumptions!$B$6),AND(G616&gt;0,ABS(K616)&gt;Assumptions!$B$6)),"EXCEPTION","OK")</f>
        <v>OK</v>
      </c>
    </row>
    <row r="617" customFormat="false" ht="15" hidden="false" customHeight="false" outlineLevel="0" collapsed="false">
      <c r="A617" s="16" t="str">
        <f aca="false">Purchase_Orders!A614</f>
        <v>PO10613</v>
      </c>
      <c r="B617" s="16" t="str">
        <f aca="false">Purchase_Orders!B614</f>
        <v>V1031</v>
      </c>
      <c r="C617" s="16" t="str">
        <f aca="false">IFERROR(INDEX(Vendor_Master!$B$2:$B$41,MATCH(B617,Vendor_Master!$A$2:$A$41,0)),"Unknown Vendor")</f>
        <v>Harrell LLC</v>
      </c>
      <c r="D617" s="17" t="n">
        <f aca="false">Purchase_Orders!C614</f>
        <v>46185</v>
      </c>
      <c r="E617" s="18" t="n">
        <f aca="false">Purchase_Orders!D614</f>
        <v>10172.24</v>
      </c>
      <c r="F617" s="18" t="n">
        <f aca="false">SUMIFS(Goods_Receipt_Notes!$D$2:$D$791,Goods_Receipt_Notes!$B$2:$B$791,A617)</f>
        <v>10172.24</v>
      </c>
      <c r="G617" s="18" t="n">
        <f aca="false">SUMIFS(Vendor_Invoices_AP!$E$2:$E$882,Vendor_Invoices_AP!$B$2:$B$882,A617)</f>
        <v>10172.24</v>
      </c>
      <c r="H617" s="16" t="str">
        <f aca="false">IF(F617=0,"Not Received","Received")</f>
        <v>Received</v>
      </c>
      <c r="I617" s="16" t="str">
        <f aca="false">IF(G617=0,"Not Invoiced","Invoiced")</f>
        <v>Invoiced</v>
      </c>
      <c r="J617" s="18" t="n">
        <f aca="false">E617-F617</f>
        <v>0</v>
      </c>
      <c r="K617" s="18" t="n">
        <f aca="false">E617-G617</f>
        <v>0</v>
      </c>
      <c r="L617" s="16" t="str">
        <f aca="false">IF(OR(AND(I617="Invoiced",H617="Not Received"),AND(F617&gt;0,ABS(J617)&gt;Assumptions!$B$6),AND(G617&gt;0,ABS(K617)&gt;Assumptions!$B$6)),"EXCEPTION","OK")</f>
        <v>OK</v>
      </c>
    </row>
    <row r="618" customFormat="false" ht="15" hidden="false" customHeight="false" outlineLevel="0" collapsed="false">
      <c r="A618" s="16" t="str">
        <f aca="false">Purchase_Orders!A615</f>
        <v>PO10614</v>
      </c>
      <c r="B618" s="16" t="str">
        <f aca="false">Purchase_Orders!B615</f>
        <v>V1032</v>
      </c>
      <c r="C618" s="16" t="str">
        <f aca="false">IFERROR(INDEX(Vendor_Master!$B$2:$B$41,MATCH(B618,Vendor_Master!$A$2:$A$41,0)),"Unknown Vendor")</f>
        <v>Lynch, Hernandez and Farmer</v>
      </c>
      <c r="D618" s="17" t="n">
        <f aca="false">Purchase_Orders!C615</f>
        <v>46096</v>
      </c>
      <c r="E618" s="18" t="n">
        <f aca="false">Purchase_Orders!D615</f>
        <v>718.68</v>
      </c>
      <c r="F618" s="18" t="n">
        <f aca="false">SUMIFS(Goods_Receipt_Notes!$D$2:$D$791,Goods_Receipt_Notes!$B$2:$B$791,A618)</f>
        <v>718.68</v>
      </c>
      <c r="G618" s="18" t="n">
        <f aca="false">SUMIFS(Vendor_Invoices_AP!$E$2:$E$882,Vendor_Invoices_AP!$B$2:$B$882,A618)</f>
        <v>718.68</v>
      </c>
      <c r="H618" s="16" t="str">
        <f aca="false">IF(F618=0,"Not Received","Received")</f>
        <v>Received</v>
      </c>
      <c r="I618" s="16" t="str">
        <f aca="false">IF(G618=0,"Not Invoiced","Invoiced")</f>
        <v>Invoiced</v>
      </c>
      <c r="J618" s="18" t="n">
        <f aca="false">E618-F618</f>
        <v>0</v>
      </c>
      <c r="K618" s="18" t="n">
        <f aca="false">E618-G618</f>
        <v>0</v>
      </c>
      <c r="L618" s="16" t="str">
        <f aca="false">IF(OR(AND(I618="Invoiced",H618="Not Received"),AND(F618&gt;0,ABS(J618)&gt;Assumptions!$B$6),AND(G618&gt;0,ABS(K618)&gt;Assumptions!$B$6)),"EXCEPTION","OK")</f>
        <v>OK</v>
      </c>
    </row>
    <row r="619" customFormat="false" ht="15" hidden="false" customHeight="false" outlineLevel="0" collapsed="false">
      <c r="A619" s="16" t="str">
        <f aca="false">Purchase_Orders!A616</f>
        <v>PO10615</v>
      </c>
      <c r="B619" s="16" t="str">
        <f aca="false">Purchase_Orders!B616</f>
        <v>V1033</v>
      </c>
      <c r="C619" s="16" t="str">
        <f aca="false">IFERROR(INDEX(Vendor_Master!$B$2:$B$41,MATCH(B619,Vendor_Master!$A$2:$A$41,0)),"Unknown Vendor")</f>
        <v>Sellers, George and Burns</v>
      </c>
      <c r="D619" s="17" t="n">
        <f aca="false">Purchase_Orders!C616</f>
        <v>45857</v>
      </c>
      <c r="E619" s="18" t="n">
        <f aca="false">Purchase_Orders!D616</f>
        <v>666.83</v>
      </c>
      <c r="F619" s="18" t="n">
        <f aca="false">SUMIFS(Goods_Receipt_Notes!$D$2:$D$791,Goods_Receipt_Notes!$B$2:$B$791,A619)</f>
        <v>666.83</v>
      </c>
      <c r="G619" s="18" t="n">
        <f aca="false">SUMIFS(Vendor_Invoices_AP!$E$2:$E$882,Vendor_Invoices_AP!$B$2:$B$882,A619)</f>
        <v>666.83</v>
      </c>
      <c r="H619" s="16" t="str">
        <f aca="false">IF(F619=0,"Not Received","Received")</f>
        <v>Received</v>
      </c>
      <c r="I619" s="16" t="str">
        <f aca="false">IF(G619=0,"Not Invoiced","Invoiced")</f>
        <v>Invoiced</v>
      </c>
      <c r="J619" s="18" t="n">
        <f aca="false">E619-F619</f>
        <v>0</v>
      </c>
      <c r="K619" s="18" t="n">
        <f aca="false">E619-G619</f>
        <v>0</v>
      </c>
      <c r="L619" s="16" t="str">
        <f aca="false">IF(OR(AND(I619="Invoiced",H619="Not Received"),AND(F619&gt;0,ABS(J619)&gt;Assumptions!$B$6),AND(G619&gt;0,ABS(K619)&gt;Assumptions!$B$6)),"EXCEPTION","OK")</f>
        <v>OK</v>
      </c>
    </row>
    <row r="620" customFormat="false" ht="15" hidden="false" customHeight="false" outlineLevel="0" collapsed="false">
      <c r="A620" s="16" t="str">
        <f aca="false">Purchase_Orders!A617</f>
        <v>PO10616</v>
      </c>
      <c r="B620" s="16" t="str">
        <f aca="false">Purchase_Orders!B617</f>
        <v>V1003</v>
      </c>
      <c r="C620" s="16" t="str">
        <f aca="false">IFERROR(INDEX(Vendor_Master!$B$2:$B$41,MATCH(B620,Vendor_Master!$A$2:$A$41,0)),"Unknown Vendor")</f>
        <v>Johnson and Sons</v>
      </c>
      <c r="D620" s="17" t="n">
        <f aca="false">Purchase_Orders!C617</f>
        <v>46088</v>
      </c>
      <c r="E620" s="18" t="n">
        <f aca="false">Purchase_Orders!D617</f>
        <v>1590.48</v>
      </c>
      <c r="F620" s="18" t="n">
        <f aca="false">SUMIFS(Goods_Receipt_Notes!$D$2:$D$791,Goods_Receipt_Notes!$B$2:$B$791,A620)</f>
        <v>1590.48</v>
      </c>
      <c r="G620" s="18" t="n">
        <f aca="false">SUMIFS(Vendor_Invoices_AP!$E$2:$E$882,Vendor_Invoices_AP!$B$2:$B$882,A620)</f>
        <v>1590.48</v>
      </c>
      <c r="H620" s="16" t="str">
        <f aca="false">IF(F620=0,"Not Received","Received")</f>
        <v>Received</v>
      </c>
      <c r="I620" s="16" t="str">
        <f aca="false">IF(G620=0,"Not Invoiced","Invoiced")</f>
        <v>Invoiced</v>
      </c>
      <c r="J620" s="18" t="n">
        <f aca="false">E620-F620</f>
        <v>0</v>
      </c>
      <c r="K620" s="18" t="n">
        <f aca="false">E620-G620</f>
        <v>0</v>
      </c>
      <c r="L620" s="16" t="str">
        <f aca="false">IF(OR(AND(I620="Invoiced",H620="Not Received"),AND(F620&gt;0,ABS(J620)&gt;Assumptions!$B$6),AND(G620&gt;0,ABS(K620)&gt;Assumptions!$B$6)),"EXCEPTION","OK")</f>
        <v>OK</v>
      </c>
    </row>
    <row r="621" customFormat="false" ht="15" hidden="false" customHeight="false" outlineLevel="0" collapsed="false">
      <c r="A621" s="16" t="str">
        <f aca="false">Purchase_Orders!A618</f>
        <v>PO10617</v>
      </c>
      <c r="B621" s="16" t="str">
        <f aca="false">Purchase_Orders!B618</f>
        <v>V1007</v>
      </c>
      <c r="C621" s="16" t="str">
        <f aca="false">IFERROR(INDEX(Vendor_Master!$B$2:$B$41,MATCH(B621,Vendor_Master!$A$2:$A$41,0)),"Unknown Vendor")</f>
        <v>Ramirez-Lewis</v>
      </c>
      <c r="D621" s="17" t="n">
        <f aca="false">Purchase_Orders!C618</f>
        <v>45665</v>
      </c>
      <c r="E621" s="18" t="n">
        <f aca="false">Purchase_Orders!D618</f>
        <v>4880.22</v>
      </c>
      <c r="F621" s="18" t="n">
        <f aca="false">SUMIFS(Goods_Receipt_Notes!$D$2:$D$791,Goods_Receipt_Notes!$B$2:$B$791,A621)</f>
        <v>4880.22</v>
      </c>
      <c r="G621" s="18" t="n">
        <f aca="false">SUMIFS(Vendor_Invoices_AP!$E$2:$E$882,Vendor_Invoices_AP!$B$2:$B$882,A621)</f>
        <v>4880.22</v>
      </c>
      <c r="H621" s="16" t="str">
        <f aca="false">IF(F621=0,"Not Received","Received")</f>
        <v>Received</v>
      </c>
      <c r="I621" s="16" t="str">
        <f aca="false">IF(G621=0,"Not Invoiced","Invoiced")</f>
        <v>Invoiced</v>
      </c>
      <c r="J621" s="18" t="n">
        <f aca="false">E621-F621</f>
        <v>0</v>
      </c>
      <c r="K621" s="18" t="n">
        <f aca="false">E621-G621</f>
        <v>0</v>
      </c>
      <c r="L621" s="16" t="str">
        <f aca="false">IF(OR(AND(I621="Invoiced",H621="Not Received"),AND(F621&gt;0,ABS(J621)&gt;Assumptions!$B$6),AND(G621&gt;0,ABS(K621)&gt;Assumptions!$B$6)),"EXCEPTION","OK")</f>
        <v>OK</v>
      </c>
    </row>
    <row r="622" customFormat="false" ht="15" hidden="false" customHeight="false" outlineLevel="0" collapsed="false">
      <c r="A622" s="16" t="str">
        <f aca="false">Purchase_Orders!A619</f>
        <v>PO10618</v>
      </c>
      <c r="B622" s="16" t="str">
        <f aca="false">Purchase_Orders!B619</f>
        <v>V1024</v>
      </c>
      <c r="C622" s="16" t="str">
        <f aca="false">IFERROR(INDEX(Vendor_Master!$B$2:$B$41,MATCH(B622,Vendor_Master!$A$2:$A$41,0)),"Unknown Vendor")</f>
        <v>Campos Inc</v>
      </c>
      <c r="D622" s="17" t="n">
        <f aca="false">Purchase_Orders!C619</f>
        <v>45950</v>
      </c>
      <c r="E622" s="18" t="n">
        <f aca="false">Purchase_Orders!D619</f>
        <v>2581.16</v>
      </c>
      <c r="F622" s="18" t="n">
        <f aca="false">SUMIFS(Goods_Receipt_Notes!$D$2:$D$791,Goods_Receipt_Notes!$B$2:$B$791,A622)</f>
        <v>2581.16</v>
      </c>
      <c r="G622" s="18" t="n">
        <f aca="false">SUMIFS(Vendor_Invoices_AP!$E$2:$E$882,Vendor_Invoices_AP!$B$2:$B$882,A622)</f>
        <v>2581.16</v>
      </c>
      <c r="H622" s="16" t="str">
        <f aca="false">IF(F622=0,"Not Received","Received")</f>
        <v>Received</v>
      </c>
      <c r="I622" s="16" t="str">
        <f aca="false">IF(G622=0,"Not Invoiced","Invoiced")</f>
        <v>Invoiced</v>
      </c>
      <c r="J622" s="18" t="n">
        <f aca="false">E622-F622</f>
        <v>0</v>
      </c>
      <c r="K622" s="18" t="n">
        <f aca="false">E622-G622</f>
        <v>0</v>
      </c>
      <c r="L622" s="16" t="str">
        <f aca="false">IF(OR(AND(I622="Invoiced",H622="Not Received"),AND(F622&gt;0,ABS(J622)&gt;Assumptions!$B$6),AND(G622&gt;0,ABS(K622)&gt;Assumptions!$B$6)),"EXCEPTION","OK")</f>
        <v>OK</v>
      </c>
    </row>
    <row r="623" customFormat="false" ht="15" hidden="false" customHeight="false" outlineLevel="0" collapsed="false">
      <c r="A623" s="16" t="str">
        <f aca="false">Purchase_Orders!A620</f>
        <v>PO10619</v>
      </c>
      <c r="B623" s="16" t="str">
        <f aca="false">Purchase_Orders!B620</f>
        <v>V1037</v>
      </c>
      <c r="C623" s="16" t="str">
        <f aca="false">IFERROR(INDEX(Vendor_Master!$B$2:$B$41,MATCH(B623,Vendor_Master!$A$2:$A$41,0)),"Unknown Vendor")</f>
        <v>Cannon, Anderson and Alvarez</v>
      </c>
      <c r="D623" s="17" t="n">
        <f aca="false">Purchase_Orders!C620</f>
        <v>45905</v>
      </c>
      <c r="E623" s="18" t="n">
        <f aca="false">Purchase_Orders!D620</f>
        <v>2022.62</v>
      </c>
      <c r="F623" s="18" t="n">
        <f aca="false">SUMIFS(Goods_Receipt_Notes!$D$2:$D$791,Goods_Receipt_Notes!$B$2:$B$791,A623)</f>
        <v>1261.99</v>
      </c>
      <c r="G623" s="18" t="n">
        <f aca="false">SUMIFS(Vendor_Invoices_AP!$E$2:$E$882,Vendor_Invoices_AP!$B$2:$B$882,A623)</f>
        <v>2022.62</v>
      </c>
      <c r="H623" s="16" t="str">
        <f aca="false">IF(F623=0,"Not Received","Received")</f>
        <v>Received</v>
      </c>
      <c r="I623" s="16" t="str">
        <f aca="false">IF(G623=0,"Not Invoiced","Invoiced")</f>
        <v>Invoiced</v>
      </c>
      <c r="J623" s="18" t="n">
        <f aca="false">E623-F623</f>
        <v>760.63</v>
      </c>
      <c r="K623" s="18" t="n">
        <f aca="false">E623-G623</f>
        <v>0</v>
      </c>
      <c r="L623" s="16" t="str">
        <f aca="false">IF(OR(AND(I623="Invoiced",H623="Not Received"),AND(F623&gt;0,ABS(J623)&gt;Assumptions!$B$6),AND(G623&gt;0,ABS(K623)&gt;Assumptions!$B$6)),"EXCEPTION","OK")</f>
        <v>EXCEPTION</v>
      </c>
    </row>
    <row r="624" customFormat="false" ht="15" hidden="false" customHeight="false" outlineLevel="0" collapsed="false">
      <c r="A624" s="16" t="str">
        <f aca="false">Purchase_Orders!A621</f>
        <v>PO10620</v>
      </c>
      <c r="B624" s="16" t="str">
        <f aca="false">Purchase_Orders!B621</f>
        <v>V1032</v>
      </c>
      <c r="C624" s="16" t="str">
        <f aca="false">IFERROR(INDEX(Vendor_Master!$B$2:$B$41,MATCH(B624,Vendor_Master!$A$2:$A$41,0)),"Unknown Vendor")</f>
        <v>Lynch, Hernandez and Farmer</v>
      </c>
      <c r="D624" s="17" t="n">
        <f aca="false">Purchase_Orders!C621</f>
        <v>46024</v>
      </c>
      <c r="E624" s="18" t="n">
        <f aca="false">Purchase_Orders!D621</f>
        <v>2330.25</v>
      </c>
      <c r="F624" s="18" t="n">
        <f aca="false">SUMIFS(Goods_Receipt_Notes!$D$2:$D$791,Goods_Receipt_Notes!$B$2:$B$791,A624)</f>
        <v>2330.25</v>
      </c>
      <c r="G624" s="18" t="n">
        <f aca="false">SUMIFS(Vendor_Invoices_AP!$E$2:$E$882,Vendor_Invoices_AP!$B$2:$B$882,A624)</f>
        <v>2330.25</v>
      </c>
      <c r="H624" s="16" t="str">
        <f aca="false">IF(F624=0,"Not Received","Received")</f>
        <v>Received</v>
      </c>
      <c r="I624" s="16" t="str">
        <f aca="false">IF(G624=0,"Not Invoiced","Invoiced")</f>
        <v>Invoiced</v>
      </c>
      <c r="J624" s="18" t="n">
        <f aca="false">E624-F624</f>
        <v>0</v>
      </c>
      <c r="K624" s="18" t="n">
        <f aca="false">E624-G624</f>
        <v>0</v>
      </c>
      <c r="L624" s="16" t="str">
        <f aca="false">IF(OR(AND(I624="Invoiced",H624="Not Received"),AND(F624&gt;0,ABS(J624)&gt;Assumptions!$B$6),AND(G624&gt;0,ABS(K624)&gt;Assumptions!$B$6)),"EXCEPTION","OK")</f>
        <v>OK</v>
      </c>
    </row>
    <row r="625" customFormat="false" ht="15" hidden="false" customHeight="false" outlineLevel="0" collapsed="false">
      <c r="A625" s="16" t="str">
        <f aca="false">Purchase_Orders!A622</f>
        <v>PO10621</v>
      </c>
      <c r="B625" s="16" t="str">
        <f aca="false">Purchase_Orders!B622</f>
        <v>V1029</v>
      </c>
      <c r="C625" s="16" t="str">
        <f aca="false">IFERROR(INDEX(Vendor_Master!$B$2:$B$41,MATCH(B625,Vendor_Master!$A$2:$A$41,0)),"Unknown Vendor")</f>
        <v>Chavez Ltd</v>
      </c>
      <c r="D625" s="17" t="n">
        <f aca="false">Purchase_Orders!C622</f>
        <v>46024</v>
      </c>
      <c r="E625" s="18" t="n">
        <f aca="false">Purchase_Orders!D622</f>
        <v>1142.31</v>
      </c>
      <c r="F625" s="18" t="n">
        <f aca="false">SUMIFS(Goods_Receipt_Notes!$D$2:$D$791,Goods_Receipt_Notes!$B$2:$B$791,A625)</f>
        <v>1142.31</v>
      </c>
      <c r="G625" s="18" t="n">
        <f aca="false">SUMIFS(Vendor_Invoices_AP!$E$2:$E$882,Vendor_Invoices_AP!$B$2:$B$882,A625)</f>
        <v>1142.31</v>
      </c>
      <c r="H625" s="16" t="str">
        <f aca="false">IF(F625=0,"Not Received","Received")</f>
        <v>Received</v>
      </c>
      <c r="I625" s="16" t="str">
        <f aca="false">IF(G625=0,"Not Invoiced","Invoiced")</f>
        <v>Invoiced</v>
      </c>
      <c r="J625" s="18" t="n">
        <f aca="false">E625-F625</f>
        <v>0</v>
      </c>
      <c r="K625" s="18" t="n">
        <f aca="false">E625-G625</f>
        <v>0</v>
      </c>
      <c r="L625" s="16" t="str">
        <f aca="false">IF(OR(AND(I625="Invoiced",H625="Not Received"),AND(F625&gt;0,ABS(J625)&gt;Assumptions!$B$6),AND(G625&gt;0,ABS(K625)&gt;Assumptions!$B$6)),"EXCEPTION","OK")</f>
        <v>OK</v>
      </c>
    </row>
    <row r="626" customFormat="false" ht="15" hidden="false" customHeight="false" outlineLevel="0" collapsed="false">
      <c r="A626" s="16" t="str">
        <f aca="false">Purchase_Orders!A623</f>
        <v>PO10622</v>
      </c>
      <c r="B626" s="16" t="str">
        <f aca="false">Purchase_Orders!B623</f>
        <v>V1030</v>
      </c>
      <c r="C626" s="16" t="str">
        <f aca="false">IFERROR(INDEX(Vendor_Master!$B$2:$B$41,MATCH(B626,Vendor_Master!$A$2:$A$41,0)),"Unknown Vendor")</f>
        <v>Stanton-Gill</v>
      </c>
      <c r="D626" s="17" t="n">
        <f aca="false">Purchase_Orders!C623</f>
        <v>45976</v>
      </c>
      <c r="E626" s="18" t="n">
        <f aca="false">Purchase_Orders!D623</f>
        <v>5378.13</v>
      </c>
      <c r="F626" s="18" t="n">
        <f aca="false">SUMIFS(Goods_Receipt_Notes!$D$2:$D$791,Goods_Receipt_Notes!$B$2:$B$791,A626)</f>
        <v>0</v>
      </c>
      <c r="G626" s="18" t="n">
        <f aca="false">SUMIFS(Vendor_Invoices_AP!$E$2:$E$882,Vendor_Invoices_AP!$B$2:$B$882,A626)</f>
        <v>5378.13</v>
      </c>
      <c r="H626" s="16" t="str">
        <f aca="false">IF(F626=0,"Not Received","Received")</f>
        <v>Not Received</v>
      </c>
      <c r="I626" s="16" t="str">
        <f aca="false">IF(G626=0,"Not Invoiced","Invoiced")</f>
        <v>Invoiced</v>
      </c>
      <c r="J626" s="18" t="n">
        <f aca="false">E626-F626</f>
        <v>5378.13</v>
      </c>
      <c r="K626" s="18" t="n">
        <f aca="false">E626-G626</f>
        <v>0</v>
      </c>
      <c r="L626" s="16" t="str">
        <f aca="false">IF(OR(AND(I626="Invoiced",H626="Not Received"),AND(F626&gt;0,ABS(J626)&gt;Assumptions!$B$6),AND(G626&gt;0,ABS(K626)&gt;Assumptions!$B$6)),"EXCEPTION","OK")</f>
        <v>EXCEPTION</v>
      </c>
    </row>
    <row r="627" customFormat="false" ht="15" hidden="false" customHeight="false" outlineLevel="0" collapsed="false">
      <c r="A627" s="16" t="str">
        <f aca="false">Purchase_Orders!A624</f>
        <v>PO10623</v>
      </c>
      <c r="B627" s="16" t="str">
        <f aca="false">Purchase_Orders!B624</f>
        <v>V1002</v>
      </c>
      <c r="C627" s="16" t="str">
        <f aca="false">IFERROR(INDEX(Vendor_Master!$B$2:$B$41,MATCH(B627,Vendor_Master!$A$2:$A$41,0)),"Unknown Vendor")</f>
        <v>Garcia, Yang and Gardner</v>
      </c>
      <c r="D627" s="17" t="n">
        <f aca="false">Purchase_Orders!C624</f>
        <v>46106</v>
      </c>
      <c r="E627" s="18" t="n">
        <f aca="false">Purchase_Orders!D624</f>
        <v>1479.77</v>
      </c>
      <c r="F627" s="18" t="n">
        <f aca="false">SUMIFS(Goods_Receipt_Notes!$D$2:$D$791,Goods_Receipt_Notes!$B$2:$B$791,A627)</f>
        <v>1479.77</v>
      </c>
      <c r="G627" s="18" t="n">
        <f aca="false">SUMIFS(Vendor_Invoices_AP!$E$2:$E$882,Vendor_Invoices_AP!$B$2:$B$882,A627)</f>
        <v>2959.54</v>
      </c>
      <c r="H627" s="16" t="str">
        <f aca="false">IF(F627=0,"Not Received","Received")</f>
        <v>Received</v>
      </c>
      <c r="I627" s="16" t="str">
        <f aca="false">IF(G627=0,"Not Invoiced","Invoiced")</f>
        <v>Invoiced</v>
      </c>
      <c r="J627" s="18" t="n">
        <f aca="false">E627-F627</f>
        <v>0</v>
      </c>
      <c r="K627" s="18" t="n">
        <f aca="false">E627-G627</f>
        <v>-1479.77</v>
      </c>
      <c r="L627" s="16" t="str">
        <f aca="false">IF(OR(AND(I627="Invoiced",H627="Not Received"),AND(F627&gt;0,ABS(J627)&gt;Assumptions!$B$6),AND(G627&gt;0,ABS(K627)&gt;Assumptions!$B$6)),"EXCEPTION","OK")</f>
        <v>EXCEPTION</v>
      </c>
    </row>
    <row r="628" customFormat="false" ht="15" hidden="false" customHeight="false" outlineLevel="0" collapsed="false">
      <c r="A628" s="16" t="str">
        <f aca="false">Purchase_Orders!A625</f>
        <v>PO10624</v>
      </c>
      <c r="B628" s="16" t="str">
        <f aca="false">Purchase_Orders!B625</f>
        <v>V1011</v>
      </c>
      <c r="C628" s="16" t="str">
        <f aca="false">IFERROR(INDEX(Vendor_Master!$B$2:$B$41,MATCH(B628,Vendor_Master!$A$2:$A$41,0)),"Unknown Vendor")</f>
        <v>Montgomery, Hensley and Ray</v>
      </c>
      <c r="D628" s="17" t="n">
        <f aca="false">Purchase_Orders!C625</f>
        <v>46170</v>
      </c>
      <c r="E628" s="18" t="n">
        <f aca="false">Purchase_Orders!D625</f>
        <v>2544.31</v>
      </c>
      <c r="F628" s="18" t="n">
        <f aca="false">SUMIFS(Goods_Receipt_Notes!$D$2:$D$791,Goods_Receipt_Notes!$B$2:$B$791,A628)</f>
        <v>2544.31</v>
      </c>
      <c r="G628" s="18" t="n">
        <f aca="false">SUMIFS(Vendor_Invoices_AP!$E$2:$E$882,Vendor_Invoices_AP!$B$2:$B$882,A628)</f>
        <v>2544.31</v>
      </c>
      <c r="H628" s="16" t="str">
        <f aca="false">IF(F628=0,"Not Received","Received")</f>
        <v>Received</v>
      </c>
      <c r="I628" s="16" t="str">
        <f aca="false">IF(G628=0,"Not Invoiced","Invoiced")</f>
        <v>Invoiced</v>
      </c>
      <c r="J628" s="18" t="n">
        <f aca="false">E628-F628</f>
        <v>0</v>
      </c>
      <c r="K628" s="18" t="n">
        <f aca="false">E628-G628</f>
        <v>0</v>
      </c>
      <c r="L628" s="16" t="str">
        <f aca="false">IF(OR(AND(I628="Invoiced",H628="Not Received"),AND(F628&gt;0,ABS(J628)&gt;Assumptions!$B$6),AND(G628&gt;0,ABS(K628)&gt;Assumptions!$B$6)),"EXCEPTION","OK")</f>
        <v>OK</v>
      </c>
    </row>
    <row r="629" customFormat="false" ht="15" hidden="false" customHeight="false" outlineLevel="0" collapsed="false">
      <c r="A629" s="16" t="str">
        <f aca="false">Purchase_Orders!A626</f>
        <v>PO10625</v>
      </c>
      <c r="B629" s="16" t="str">
        <f aca="false">Purchase_Orders!B626</f>
        <v>V1007</v>
      </c>
      <c r="C629" s="16" t="str">
        <f aca="false">IFERROR(INDEX(Vendor_Master!$B$2:$B$41,MATCH(B629,Vendor_Master!$A$2:$A$41,0)),"Unknown Vendor")</f>
        <v>Ramirez-Lewis</v>
      </c>
      <c r="D629" s="17" t="n">
        <f aca="false">Purchase_Orders!C626</f>
        <v>45717</v>
      </c>
      <c r="E629" s="18" t="n">
        <f aca="false">Purchase_Orders!D626</f>
        <v>1679.49</v>
      </c>
      <c r="F629" s="18" t="n">
        <f aca="false">SUMIFS(Goods_Receipt_Notes!$D$2:$D$791,Goods_Receipt_Notes!$B$2:$B$791,A629)</f>
        <v>1679.49</v>
      </c>
      <c r="G629" s="18" t="n">
        <f aca="false">SUMIFS(Vendor_Invoices_AP!$E$2:$E$882,Vendor_Invoices_AP!$B$2:$B$882,A629)</f>
        <v>3358.98</v>
      </c>
      <c r="H629" s="16" t="str">
        <f aca="false">IF(F629=0,"Not Received","Received")</f>
        <v>Received</v>
      </c>
      <c r="I629" s="16" t="str">
        <f aca="false">IF(G629=0,"Not Invoiced","Invoiced")</f>
        <v>Invoiced</v>
      </c>
      <c r="J629" s="18" t="n">
        <f aca="false">E629-F629</f>
        <v>0</v>
      </c>
      <c r="K629" s="18" t="n">
        <f aca="false">E629-G629</f>
        <v>-1679.49</v>
      </c>
      <c r="L629" s="16" t="str">
        <f aca="false">IF(OR(AND(I629="Invoiced",H629="Not Received"),AND(F629&gt;0,ABS(J629)&gt;Assumptions!$B$6),AND(G629&gt;0,ABS(K629)&gt;Assumptions!$B$6)),"EXCEPTION","OK")</f>
        <v>EXCEPTION</v>
      </c>
    </row>
    <row r="630" customFormat="false" ht="15" hidden="false" customHeight="false" outlineLevel="0" collapsed="false">
      <c r="A630" s="16" t="str">
        <f aca="false">Purchase_Orders!A627</f>
        <v>PO10626</v>
      </c>
      <c r="B630" s="16" t="str">
        <f aca="false">Purchase_Orders!B627</f>
        <v>V1034</v>
      </c>
      <c r="C630" s="16" t="str">
        <f aca="false">IFERROR(INDEX(Vendor_Master!$B$2:$B$41,MATCH(B630,Vendor_Master!$A$2:$A$41,0)),"Unknown Vendor")</f>
        <v>Koch-Decker</v>
      </c>
      <c r="D630" s="17" t="n">
        <f aca="false">Purchase_Orders!C627</f>
        <v>45785</v>
      </c>
      <c r="E630" s="18" t="n">
        <f aca="false">Purchase_Orders!D627</f>
        <v>2035.58</v>
      </c>
      <c r="F630" s="18" t="n">
        <f aca="false">SUMIFS(Goods_Receipt_Notes!$D$2:$D$791,Goods_Receipt_Notes!$B$2:$B$791,A630)</f>
        <v>2035.58</v>
      </c>
      <c r="G630" s="18" t="n">
        <f aca="false">SUMIFS(Vendor_Invoices_AP!$E$2:$E$882,Vendor_Invoices_AP!$B$2:$B$882,A630)</f>
        <v>2035.58</v>
      </c>
      <c r="H630" s="16" t="str">
        <f aca="false">IF(F630=0,"Not Received","Received")</f>
        <v>Received</v>
      </c>
      <c r="I630" s="16" t="str">
        <f aca="false">IF(G630=0,"Not Invoiced","Invoiced")</f>
        <v>Invoiced</v>
      </c>
      <c r="J630" s="18" t="n">
        <f aca="false">E630-F630</f>
        <v>0</v>
      </c>
      <c r="K630" s="18" t="n">
        <f aca="false">E630-G630</f>
        <v>0</v>
      </c>
      <c r="L630" s="16" t="str">
        <f aca="false">IF(OR(AND(I630="Invoiced",H630="Not Received"),AND(F630&gt;0,ABS(J630)&gt;Assumptions!$B$6),AND(G630&gt;0,ABS(K630)&gt;Assumptions!$B$6)),"EXCEPTION","OK")</f>
        <v>OK</v>
      </c>
    </row>
    <row r="631" customFormat="false" ht="15" hidden="false" customHeight="false" outlineLevel="0" collapsed="false">
      <c r="A631" s="16" t="str">
        <f aca="false">Purchase_Orders!A628</f>
        <v>PO10627</v>
      </c>
      <c r="B631" s="16" t="str">
        <f aca="false">Purchase_Orders!B628</f>
        <v>V1025</v>
      </c>
      <c r="C631" s="16" t="str">
        <f aca="false">IFERROR(INDEX(Vendor_Master!$B$2:$B$41,MATCH(B631,Vendor_Master!$A$2:$A$41,0)),"Unknown Vendor")</f>
        <v>Conner Group</v>
      </c>
      <c r="D631" s="17" t="n">
        <f aca="false">Purchase_Orders!C628</f>
        <v>45671</v>
      </c>
      <c r="E631" s="18" t="n">
        <f aca="false">Purchase_Orders!D628</f>
        <v>1499.87</v>
      </c>
      <c r="F631" s="18" t="n">
        <f aca="false">SUMIFS(Goods_Receipt_Notes!$D$2:$D$791,Goods_Receipt_Notes!$B$2:$B$791,A631)</f>
        <v>1499.87</v>
      </c>
      <c r="G631" s="18" t="n">
        <f aca="false">SUMIFS(Vendor_Invoices_AP!$E$2:$E$882,Vendor_Invoices_AP!$B$2:$B$882,A631)</f>
        <v>1499.87</v>
      </c>
      <c r="H631" s="16" t="str">
        <f aca="false">IF(F631=0,"Not Received","Received")</f>
        <v>Received</v>
      </c>
      <c r="I631" s="16" t="str">
        <f aca="false">IF(G631=0,"Not Invoiced","Invoiced")</f>
        <v>Invoiced</v>
      </c>
      <c r="J631" s="18" t="n">
        <f aca="false">E631-F631</f>
        <v>0</v>
      </c>
      <c r="K631" s="18" t="n">
        <f aca="false">E631-G631</f>
        <v>0</v>
      </c>
      <c r="L631" s="16" t="str">
        <f aca="false">IF(OR(AND(I631="Invoiced",H631="Not Received"),AND(F631&gt;0,ABS(J631)&gt;Assumptions!$B$6),AND(G631&gt;0,ABS(K631)&gt;Assumptions!$B$6)),"EXCEPTION","OK")</f>
        <v>OK</v>
      </c>
    </row>
    <row r="632" customFormat="false" ht="15" hidden="false" customHeight="false" outlineLevel="0" collapsed="false">
      <c r="A632" s="16" t="str">
        <f aca="false">Purchase_Orders!A629</f>
        <v>PO10628</v>
      </c>
      <c r="B632" s="16" t="str">
        <f aca="false">Purchase_Orders!B629</f>
        <v>V1005</v>
      </c>
      <c r="C632" s="16" t="str">
        <f aca="false">IFERROR(INDEX(Vendor_Master!$B$2:$B$41,MATCH(B632,Vendor_Master!$A$2:$A$41,0)),"Unknown Vendor")</f>
        <v>Cole LLC</v>
      </c>
      <c r="D632" s="17" t="n">
        <f aca="false">Purchase_Orders!C629</f>
        <v>46139</v>
      </c>
      <c r="E632" s="18" t="n">
        <f aca="false">Purchase_Orders!D629</f>
        <v>2691.6</v>
      </c>
      <c r="F632" s="18" t="n">
        <f aca="false">SUMIFS(Goods_Receipt_Notes!$D$2:$D$791,Goods_Receipt_Notes!$B$2:$B$791,A632)</f>
        <v>0</v>
      </c>
      <c r="G632" s="18" t="n">
        <f aca="false">SUMIFS(Vendor_Invoices_AP!$E$2:$E$882,Vendor_Invoices_AP!$B$2:$B$882,A632)</f>
        <v>2691.6</v>
      </c>
      <c r="H632" s="16" t="str">
        <f aca="false">IF(F632=0,"Not Received","Received")</f>
        <v>Not Received</v>
      </c>
      <c r="I632" s="16" t="str">
        <f aca="false">IF(G632=0,"Not Invoiced","Invoiced")</f>
        <v>Invoiced</v>
      </c>
      <c r="J632" s="18" t="n">
        <f aca="false">E632-F632</f>
        <v>2691.6</v>
      </c>
      <c r="K632" s="18" t="n">
        <f aca="false">E632-G632</f>
        <v>0</v>
      </c>
      <c r="L632" s="16" t="str">
        <f aca="false">IF(OR(AND(I632="Invoiced",H632="Not Received"),AND(F632&gt;0,ABS(J632)&gt;Assumptions!$B$6),AND(G632&gt;0,ABS(K632)&gt;Assumptions!$B$6)),"EXCEPTION","OK")</f>
        <v>EXCEPTION</v>
      </c>
    </row>
    <row r="633" customFormat="false" ht="15" hidden="false" customHeight="false" outlineLevel="0" collapsed="false">
      <c r="A633" s="16" t="str">
        <f aca="false">Purchase_Orders!A630</f>
        <v>PO10629</v>
      </c>
      <c r="B633" s="16" t="str">
        <f aca="false">Purchase_Orders!B630</f>
        <v>V1008</v>
      </c>
      <c r="C633" s="16" t="str">
        <f aca="false">IFERROR(INDEX(Vendor_Master!$B$2:$B$41,MATCH(B633,Vendor_Master!$A$2:$A$41,0)),"Unknown Vendor")</f>
        <v>Davis Inc</v>
      </c>
      <c r="D633" s="17" t="n">
        <f aca="false">Purchase_Orders!C630</f>
        <v>45963</v>
      </c>
      <c r="E633" s="18" t="n">
        <f aca="false">Purchase_Orders!D630</f>
        <v>687.41</v>
      </c>
      <c r="F633" s="18" t="n">
        <f aca="false">SUMIFS(Goods_Receipt_Notes!$D$2:$D$791,Goods_Receipt_Notes!$B$2:$B$791,A633)</f>
        <v>687.41</v>
      </c>
      <c r="G633" s="18" t="n">
        <f aca="false">SUMIFS(Vendor_Invoices_AP!$E$2:$E$882,Vendor_Invoices_AP!$B$2:$B$882,A633)</f>
        <v>687.41</v>
      </c>
      <c r="H633" s="16" t="str">
        <f aca="false">IF(F633=0,"Not Received","Received")</f>
        <v>Received</v>
      </c>
      <c r="I633" s="16" t="str">
        <f aca="false">IF(G633=0,"Not Invoiced","Invoiced")</f>
        <v>Invoiced</v>
      </c>
      <c r="J633" s="18" t="n">
        <f aca="false">E633-F633</f>
        <v>0</v>
      </c>
      <c r="K633" s="18" t="n">
        <f aca="false">E633-G633</f>
        <v>0</v>
      </c>
      <c r="L633" s="16" t="str">
        <f aca="false">IF(OR(AND(I633="Invoiced",H633="Not Received"),AND(F633&gt;0,ABS(J633)&gt;Assumptions!$B$6),AND(G633&gt;0,ABS(K633)&gt;Assumptions!$B$6)),"EXCEPTION","OK")</f>
        <v>OK</v>
      </c>
    </row>
    <row r="634" customFormat="false" ht="15" hidden="false" customHeight="false" outlineLevel="0" collapsed="false">
      <c r="A634" s="16" t="str">
        <f aca="false">Purchase_Orders!A631</f>
        <v>PO10630</v>
      </c>
      <c r="B634" s="16" t="str">
        <f aca="false">Purchase_Orders!B631</f>
        <v>V1031</v>
      </c>
      <c r="C634" s="16" t="str">
        <f aca="false">IFERROR(INDEX(Vendor_Master!$B$2:$B$41,MATCH(B634,Vendor_Master!$A$2:$A$41,0)),"Unknown Vendor")</f>
        <v>Harrell LLC</v>
      </c>
      <c r="D634" s="17" t="n">
        <f aca="false">Purchase_Orders!C631</f>
        <v>46156</v>
      </c>
      <c r="E634" s="18" t="n">
        <f aca="false">Purchase_Orders!D631</f>
        <v>824.85</v>
      </c>
      <c r="F634" s="18" t="n">
        <f aca="false">SUMIFS(Goods_Receipt_Notes!$D$2:$D$791,Goods_Receipt_Notes!$B$2:$B$791,A634)</f>
        <v>824.85</v>
      </c>
      <c r="G634" s="18" t="n">
        <f aca="false">SUMIFS(Vendor_Invoices_AP!$E$2:$E$882,Vendor_Invoices_AP!$B$2:$B$882,A634)</f>
        <v>915.68</v>
      </c>
      <c r="H634" s="16" t="str">
        <f aca="false">IF(F634=0,"Not Received","Received")</f>
        <v>Received</v>
      </c>
      <c r="I634" s="16" t="str">
        <f aca="false">IF(G634=0,"Not Invoiced","Invoiced")</f>
        <v>Invoiced</v>
      </c>
      <c r="J634" s="18" t="n">
        <f aca="false">E634-F634</f>
        <v>0</v>
      </c>
      <c r="K634" s="18" t="n">
        <f aca="false">E634-G634</f>
        <v>-90.8299999999999</v>
      </c>
      <c r="L634" s="16" t="str">
        <f aca="false">IF(OR(AND(I634="Invoiced",H634="Not Received"),AND(F634&gt;0,ABS(J634)&gt;Assumptions!$B$6),AND(G634&gt;0,ABS(K634)&gt;Assumptions!$B$6)),"EXCEPTION","OK")</f>
        <v>EXCEPTION</v>
      </c>
    </row>
    <row r="635" customFormat="false" ht="15" hidden="false" customHeight="false" outlineLevel="0" collapsed="false">
      <c r="A635" s="16" t="str">
        <f aca="false">Purchase_Orders!A632</f>
        <v>PO10631</v>
      </c>
      <c r="B635" s="16" t="str">
        <f aca="false">Purchase_Orders!B632</f>
        <v>V1017</v>
      </c>
      <c r="C635" s="16" t="str">
        <f aca="false">IFERROR(INDEX(Vendor_Master!$B$2:$B$41,MATCH(B635,Vendor_Master!$A$2:$A$41,0)),"Unknown Vendor")</f>
        <v>Hawkins, Cohen and Cameron</v>
      </c>
      <c r="D635" s="17" t="n">
        <f aca="false">Purchase_Orders!C632</f>
        <v>45778</v>
      </c>
      <c r="E635" s="18" t="n">
        <f aca="false">Purchase_Orders!D632</f>
        <v>1560.82</v>
      </c>
      <c r="F635" s="18" t="n">
        <f aca="false">SUMIFS(Goods_Receipt_Notes!$D$2:$D$791,Goods_Receipt_Notes!$B$2:$B$791,A635)</f>
        <v>1560.82</v>
      </c>
      <c r="G635" s="18" t="n">
        <f aca="false">SUMIFS(Vendor_Invoices_AP!$E$2:$E$882,Vendor_Invoices_AP!$B$2:$B$882,A635)</f>
        <v>1560.82</v>
      </c>
      <c r="H635" s="16" t="str">
        <f aca="false">IF(F635=0,"Not Received","Received")</f>
        <v>Received</v>
      </c>
      <c r="I635" s="16" t="str">
        <f aca="false">IF(G635=0,"Not Invoiced","Invoiced")</f>
        <v>Invoiced</v>
      </c>
      <c r="J635" s="18" t="n">
        <f aca="false">E635-F635</f>
        <v>0</v>
      </c>
      <c r="K635" s="18" t="n">
        <f aca="false">E635-G635</f>
        <v>0</v>
      </c>
      <c r="L635" s="16" t="str">
        <f aca="false">IF(OR(AND(I635="Invoiced",H635="Not Received"),AND(F635&gt;0,ABS(J635)&gt;Assumptions!$B$6),AND(G635&gt;0,ABS(K635)&gt;Assumptions!$B$6)),"EXCEPTION","OK")</f>
        <v>OK</v>
      </c>
    </row>
    <row r="636" customFormat="false" ht="15" hidden="false" customHeight="false" outlineLevel="0" collapsed="false">
      <c r="A636" s="16" t="str">
        <f aca="false">Purchase_Orders!A633</f>
        <v>PO10632</v>
      </c>
      <c r="B636" s="16" t="str">
        <f aca="false">Purchase_Orders!B633</f>
        <v>V1001</v>
      </c>
      <c r="C636" s="16" t="str">
        <f aca="false">IFERROR(INDEX(Vendor_Master!$B$2:$B$41,MATCH(B636,Vendor_Master!$A$2:$A$41,0)),"Unknown Vendor")</f>
        <v>Figueroa and Sons</v>
      </c>
      <c r="D636" s="17" t="n">
        <f aca="false">Purchase_Orders!C633</f>
        <v>45692</v>
      </c>
      <c r="E636" s="18" t="n">
        <f aca="false">Purchase_Orders!D633</f>
        <v>113.06</v>
      </c>
      <c r="F636" s="18" t="n">
        <f aca="false">SUMIFS(Goods_Receipt_Notes!$D$2:$D$791,Goods_Receipt_Notes!$B$2:$B$791,A636)</f>
        <v>113.06</v>
      </c>
      <c r="G636" s="18" t="n">
        <f aca="false">SUMIFS(Vendor_Invoices_AP!$E$2:$E$882,Vendor_Invoices_AP!$B$2:$B$882,A636)</f>
        <v>134.87</v>
      </c>
      <c r="H636" s="16" t="str">
        <f aca="false">IF(F636=0,"Not Received","Received")</f>
        <v>Received</v>
      </c>
      <c r="I636" s="16" t="str">
        <f aca="false">IF(G636=0,"Not Invoiced","Invoiced")</f>
        <v>Invoiced</v>
      </c>
      <c r="J636" s="18" t="n">
        <f aca="false">E636-F636</f>
        <v>0</v>
      </c>
      <c r="K636" s="18" t="n">
        <f aca="false">E636-G636</f>
        <v>-21.81</v>
      </c>
      <c r="L636" s="16" t="str">
        <f aca="false">IF(OR(AND(I636="Invoiced",H636="Not Received"),AND(F636&gt;0,ABS(J636)&gt;Assumptions!$B$6),AND(G636&gt;0,ABS(K636)&gt;Assumptions!$B$6)),"EXCEPTION","OK")</f>
        <v>EXCEPTION</v>
      </c>
    </row>
    <row r="637" customFormat="false" ht="15" hidden="false" customHeight="false" outlineLevel="0" collapsed="false">
      <c r="A637" s="16" t="str">
        <f aca="false">Purchase_Orders!A634</f>
        <v>PO10633</v>
      </c>
      <c r="B637" s="16" t="str">
        <f aca="false">Purchase_Orders!B634</f>
        <v>V1032</v>
      </c>
      <c r="C637" s="16" t="str">
        <f aca="false">IFERROR(INDEX(Vendor_Master!$B$2:$B$41,MATCH(B637,Vendor_Master!$A$2:$A$41,0)),"Unknown Vendor")</f>
        <v>Lynch, Hernandez and Farmer</v>
      </c>
      <c r="D637" s="17" t="n">
        <f aca="false">Purchase_Orders!C634</f>
        <v>46107</v>
      </c>
      <c r="E637" s="18" t="n">
        <f aca="false">Purchase_Orders!D634</f>
        <v>827.43</v>
      </c>
      <c r="F637" s="18" t="n">
        <f aca="false">SUMIFS(Goods_Receipt_Notes!$D$2:$D$791,Goods_Receipt_Notes!$B$2:$B$791,A637)</f>
        <v>827.43</v>
      </c>
      <c r="G637" s="18" t="n">
        <f aca="false">SUMIFS(Vendor_Invoices_AP!$E$2:$E$882,Vendor_Invoices_AP!$B$2:$B$882,A637)</f>
        <v>827.43</v>
      </c>
      <c r="H637" s="16" t="str">
        <f aca="false">IF(F637=0,"Not Received","Received")</f>
        <v>Received</v>
      </c>
      <c r="I637" s="16" t="str">
        <f aca="false">IF(G637=0,"Not Invoiced","Invoiced")</f>
        <v>Invoiced</v>
      </c>
      <c r="J637" s="18" t="n">
        <f aca="false">E637-F637</f>
        <v>0</v>
      </c>
      <c r="K637" s="18" t="n">
        <f aca="false">E637-G637</f>
        <v>0</v>
      </c>
      <c r="L637" s="16" t="str">
        <f aca="false">IF(OR(AND(I637="Invoiced",H637="Not Received"),AND(F637&gt;0,ABS(J637)&gt;Assumptions!$B$6),AND(G637&gt;0,ABS(K637)&gt;Assumptions!$B$6)),"EXCEPTION","OK")</f>
        <v>OK</v>
      </c>
    </row>
    <row r="638" customFormat="false" ht="15" hidden="false" customHeight="false" outlineLevel="0" collapsed="false">
      <c r="A638" s="16" t="str">
        <f aca="false">Purchase_Orders!A635</f>
        <v>PO10634</v>
      </c>
      <c r="B638" s="16" t="str">
        <f aca="false">Purchase_Orders!B635</f>
        <v>V1036</v>
      </c>
      <c r="C638" s="16" t="str">
        <f aca="false">IFERROR(INDEX(Vendor_Master!$B$2:$B$41,MATCH(B638,Vendor_Master!$A$2:$A$41,0)),"Unknown Vendor")</f>
        <v>Dennis Inc</v>
      </c>
      <c r="D638" s="17" t="n">
        <f aca="false">Purchase_Orders!C635</f>
        <v>46153</v>
      </c>
      <c r="E638" s="18" t="n">
        <f aca="false">Purchase_Orders!D635</f>
        <v>11648.06</v>
      </c>
      <c r="F638" s="18" t="n">
        <f aca="false">SUMIFS(Goods_Receipt_Notes!$D$2:$D$791,Goods_Receipt_Notes!$B$2:$B$791,A638)</f>
        <v>0</v>
      </c>
      <c r="G638" s="18" t="n">
        <f aca="false">SUMIFS(Vendor_Invoices_AP!$E$2:$E$882,Vendor_Invoices_AP!$B$2:$B$882,A638)</f>
        <v>23296.12</v>
      </c>
      <c r="H638" s="16" t="str">
        <f aca="false">IF(F638=0,"Not Received","Received")</f>
        <v>Not Received</v>
      </c>
      <c r="I638" s="16" t="str">
        <f aca="false">IF(G638=0,"Not Invoiced","Invoiced")</f>
        <v>Invoiced</v>
      </c>
      <c r="J638" s="18" t="n">
        <f aca="false">E638-F638</f>
        <v>11648.06</v>
      </c>
      <c r="K638" s="18" t="n">
        <f aca="false">E638-G638</f>
        <v>-11648.06</v>
      </c>
      <c r="L638" s="16" t="str">
        <f aca="false">IF(OR(AND(I638="Invoiced",H638="Not Received"),AND(F638&gt;0,ABS(J638)&gt;Assumptions!$B$6),AND(G638&gt;0,ABS(K638)&gt;Assumptions!$B$6)),"EXCEPTION","OK")</f>
        <v>EXCEPTION</v>
      </c>
    </row>
    <row r="639" customFormat="false" ht="15" hidden="false" customHeight="false" outlineLevel="0" collapsed="false">
      <c r="A639" s="16" t="str">
        <f aca="false">Purchase_Orders!A636</f>
        <v>PO10635</v>
      </c>
      <c r="B639" s="16" t="str">
        <f aca="false">Purchase_Orders!B636</f>
        <v>V1012</v>
      </c>
      <c r="C639" s="16" t="str">
        <f aca="false">IFERROR(INDEX(Vendor_Master!$B$2:$B$41,MATCH(B639,Vendor_Master!$A$2:$A$41,0)),"Unknown Vendor")</f>
        <v>Stanley LLC</v>
      </c>
      <c r="D639" s="17" t="n">
        <f aca="false">Purchase_Orders!C636</f>
        <v>45822</v>
      </c>
      <c r="E639" s="18" t="n">
        <f aca="false">Purchase_Orders!D636</f>
        <v>12577.05</v>
      </c>
      <c r="F639" s="18" t="n">
        <f aca="false">SUMIFS(Goods_Receipt_Notes!$D$2:$D$791,Goods_Receipt_Notes!$B$2:$B$791,A639)</f>
        <v>12577.05</v>
      </c>
      <c r="G639" s="18" t="n">
        <f aca="false">SUMIFS(Vendor_Invoices_AP!$E$2:$E$882,Vendor_Invoices_AP!$B$2:$B$882,A639)</f>
        <v>12577.05</v>
      </c>
      <c r="H639" s="16" t="str">
        <f aca="false">IF(F639=0,"Not Received","Received")</f>
        <v>Received</v>
      </c>
      <c r="I639" s="16" t="str">
        <f aca="false">IF(G639=0,"Not Invoiced","Invoiced")</f>
        <v>Invoiced</v>
      </c>
      <c r="J639" s="18" t="n">
        <f aca="false">E639-F639</f>
        <v>0</v>
      </c>
      <c r="K639" s="18" t="n">
        <f aca="false">E639-G639</f>
        <v>0</v>
      </c>
      <c r="L639" s="16" t="str">
        <f aca="false">IF(OR(AND(I639="Invoiced",H639="Not Received"),AND(F639&gt;0,ABS(J639)&gt;Assumptions!$B$6),AND(G639&gt;0,ABS(K639)&gt;Assumptions!$B$6)),"EXCEPTION","OK")</f>
        <v>OK</v>
      </c>
    </row>
    <row r="640" customFormat="false" ht="15" hidden="false" customHeight="false" outlineLevel="0" collapsed="false">
      <c r="A640" s="16" t="str">
        <f aca="false">Purchase_Orders!A637</f>
        <v>PO10636</v>
      </c>
      <c r="B640" s="16" t="str">
        <f aca="false">Purchase_Orders!B637</f>
        <v>V1010</v>
      </c>
      <c r="C640" s="16" t="str">
        <f aca="false">IFERROR(INDEX(Vendor_Master!$B$2:$B$41,MATCH(B640,Vendor_Master!$A$2:$A$41,0)),"Unknown Vendor")</f>
        <v>Martinez, Nielsen and Miller</v>
      </c>
      <c r="D640" s="17" t="n">
        <f aca="false">Purchase_Orders!C637</f>
        <v>45880</v>
      </c>
      <c r="E640" s="18" t="n">
        <f aca="false">Purchase_Orders!D637</f>
        <v>1362.33</v>
      </c>
      <c r="F640" s="18" t="n">
        <f aca="false">SUMIFS(Goods_Receipt_Notes!$D$2:$D$791,Goods_Receipt_Notes!$B$2:$B$791,A640)</f>
        <v>1362.33</v>
      </c>
      <c r="G640" s="18" t="n">
        <f aca="false">SUMIFS(Vendor_Invoices_AP!$E$2:$E$882,Vendor_Invoices_AP!$B$2:$B$882,A640)</f>
        <v>1362.33</v>
      </c>
      <c r="H640" s="16" t="str">
        <f aca="false">IF(F640=0,"Not Received","Received")</f>
        <v>Received</v>
      </c>
      <c r="I640" s="16" t="str">
        <f aca="false">IF(G640=0,"Not Invoiced","Invoiced")</f>
        <v>Invoiced</v>
      </c>
      <c r="J640" s="18" t="n">
        <f aca="false">E640-F640</f>
        <v>0</v>
      </c>
      <c r="K640" s="18" t="n">
        <f aca="false">E640-G640</f>
        <v>0</v>
      </c>
      <c r="L640" s="16" t="str">
        <f aca="false">IF(OR(AND(I640="Invoiced",H640="Not Received"),AND(F640&gt;0,ABS(J640)&gt;Assumptions!$B$6),AND(G640&gt;0,ABS(K640)&gt;Assumptions!$B$6)),"EXCEPTION","OK")</f>
        <v>OK</v>
      </c>
    </row>
    <row r="641" customFormat="false" ht="15" hidden="false" customHeight="false" outlineLevel="0" collapsed="false">
      <c r="A641" s="16" t="str">
        <f aca="false">Purchase_Orders!A638</f>
        <v>PO10637</v>
      </c>
      <c r="B641" s="16" t="str">
        <f aca="false">Purchase_Orders!B638</f>
        <v>V1034</v>
      </c>
      <c r="C641" s="16" t="str">
        <f aca="false">IFERROR(INDEX(Vendor_Master!$B$2:$B$41,MATCH(B641,Vendor_Master!$A$2:$A$41,0)),"Unknown Vendor")</f>
        <v>Koch-Decker</v>
      </c>
      <c r="D641" s="17" t="n">
        <f aca="false">Purchase_Orders!C638</f>
        <v>45734</v>
      </c>
      <c r="E641" s="18" t="n">
        <f aca="false">Purchase_Orders!D638</f>
        <v>2061.29</v>
      </c>
      <c r="F641" s="18" t="n">
        <f aca="false">SUMIFS(Goods_Receipt_Notes!$D$2:$D$791,Goods_Receipt_Notes!$B$2:$B$791,A641)</f>
        <v>2061.29</v>
      </c>
      <c r="G641" s="18" t="n">
        <f aca="false">SUMIFS(Vendor_Invoices_AP!$E$2:$E$882,Vendor_Invoices_AP!$B$2:$B$882,A641)</f>
        <v>2061.29</v>
      </c>
      <c r="H641" s="16" t="str">
        <f aca="false">IF(F641=0,"Not Received","Received")</f>
        <v>Received</v>
      </c>
      <c r="I641" s="16" t="str">
        <f aca="false">IF(G641=0,"Not Invoiced","Invoiced")</f>
        <v>Invoiced</v>
      </c>
      <c r="J641" s="18" t="n">
        <f aca="false">E641-F641</f>
        <v>0</v>
      </c>
      <c r="K641" s="18" t="n">
        <f aca="false">E641-G641</f>
        <v>0</v>
      </c>
      <c r="L641" s="16" t="str">
        <f aca="false">IF(OR(AND(I641="Invoiced",H641="Not Received"),AND(F641&gt;0,ABS(J641)&gt;Assumptions!$B$6),AND(G641&gt;0,ABS(K641)&gt;Assumptions!$B$6)),"EXCEPTION","OK")</f>
        <v>OK</v>
      </c>
    </row>
    <row r="642" customFormat="false" ht="15" hidden="false" customHeight="false" outlineLevel="0" collapsed="false">
      <c r="A642" s="16" t="str">
        <f aca="false">Purchase_Orders!A639</f>
        <v>PO10638</v>
      </c>
      <c r="B642" s="16" t="str">
        <f aca="false">Purchase_Orders!B639</f>
        <v>V1002</v>
      </c>
      <c r="C642" s="16" t="str">
        <f aca="false">IFERROR(INDEX(Vendor_Master!$B$2:$B$41,MATCH(B642,Vendor_Master!$A$2:$A$41,0)),"Unknown Vendor")</f>
        <v>Garcia, Yang and Gardner</v>
      </c>
      <c r="D642" s="17" t="n">
        <f aca="false">Purchase_Orders!C639</f>
        <v>46173</v>
      </c>
      <c r="E642" s="18" t="n">
        <f aca="false">Purchase_Orders!D639</f>
        <v>1760.94</v>
      </c>
      <c r="F642" s="18" t="n">
        <f aca="false">SUMIFS(Goods_Receipt_Notes!$D$2:$D$791,Goods_Receipt_Notes!$B$2:$B$791,A642)</f>
        <v>1058.23</v>
      </c>
      <c r="G642" s="18" t="n">
        <f aca="false">SUMIFS(Vendor_Invoices_AP!$E$2:$E$882,Vendor_Invoices_AP!$B$2:$B$882,A642)</f>
        <v>1760.94</v>
      </c>
      <c r="H642" s="16" t="str">
        <f aca="false">IF(F642=0,"Not Received","Received")</f>
        <v>Received</v>
      </c>
      <c r="I642" s="16" t="str">
        <f aca="false">IF(G642=0,"Not Invoiced","Invoiced")</f>
        <v>Invoiced</v>
      </c>
      <c r="J642" s="18" t="n">
        <f aca="false">E642-F642</f>
        <v>702.71</v>
      </c>
      <c r="K642" s="18" t="n">
        <f aca="false">E642-G642</f>
        <v>0</v>
      </c>
      <c r="L642" s="16" t="str">
        <f aca="false">IF(OR(AND(I642="Invoiced",H642="Not Received"),AND(F642&gt;0,ABS(J642)&gt;Assumptions!$B$6),AND(G642&gt;0,ABS(K642)&gt;Assumptions!$B$6)),"EXCEPTION","OK")</f>
        <v>EXCEPTION</v>
      </c>
    </row>
    <row r="643" customFormat="false" ht="15" hidden="false" customHeight="false" outlineLevel="0" collapsed="false">
      <c r="A643" s="16" t="str">
        <f aca="false">Purchase_Orders!A640</f>
        <v>PO10639</v>
      </c>
      <c r="B643" s="16" t="str">
        <f aca="false">Purchase_Orders!B640</f>
        <v>V1009</v>
      </c>
      <c r="C643" s="16" t="str">
        <f aca="false">IFERROR(INDEX(Vendor_Master!$B$2:$B$41,MATCH(B643,Vendor_Master!$A$2:$A$41,0)),"Unknown Vendor")</f>
        <v>Munoz-Roman</v>
      </c>
      <c r="D643" s="17" t="n">
        <f aca="false">Purchase_Orders!C640</f>
        <v>45823</v>
      </c>
      <c r="E643" s="18" t="n">
        <f aca="false">Purchase_Orders!D640</f>
        <v>4559.69</v>
      </c>
      <c r="F643" s="18" t="n">
        <f aca="false">SUMIFS(Goods_Receipt_Notes!$D$2:$D$791,Goods_Receipt_Notes!$B$2:$B$791,A643)</f>
        <v>4559.69</v>
      </c>
      <c r="G643" s="18" t="n">
        <f aca="false">SUMIFS(Vendor_Invoices_AP!$E$2:$E$882,Vendor_Invoices_AP!$B$2:$B$882,A643)</f>
        <v>4559.69</v>
      </c>
      <c r="H643" s="16" t="str">
        <f aca="false">IF(F643=0,"Not Received","Received")</f>
        <v>Received</v>
      </c>
      <c r="I643" s="16" t="str">
        <f aca="false">IF(G643=0,"Not Invoiced","Invoiced")</f>
        <v>Invoiced</v>
      </c>
      <c r="J643" s="18" t="n">
        <f aca="false">E643-F643</f>
        <v>0</v>
      </c>
      <c r="K643" s="18" t="n">
        <f aca="false">E643-G643</f>
        <v>0</v>
      </c>
      <c r="L643" s="16" t="str">
        <f aca="false">IF(OR(AND(I643="Invoiced",H643="Not Received"),AND(F643&gt;0,ABS(J643)&gt;Assumptions!$B$6),AND(G643&gt;0,ABS(K643)&gt;Assumptions!$B$6)),"EXCEPTION","OK")</f>
        <v>OK</v>
      </c>
    </row>
    <row r="644" customFormat="false" ht="15" hidden="false" customHeight="false" outlineLevel="0" collapsed="false">
      <c r="A644" s="16" t="str">
        <f aca="false">Purchase_Orders!A641</f>
        <v>PO10640</v>
      </c>
      <c r="B644" s="16" t="str">
        <f aca="false">Purchase_Orders!B641</f>
        <v>V1032</v>
      </c>
      <c r="C644" s="16" t="str">
        <f aca="false">IFERROR(INDEX(Vendor_Master!$B$2:$B$41,MATCH(B644,Vendor_Master!$A$2:$A$41,0)),"Unknown Vendor")</f>
        <v>Lynch, Hernandez and Farmer</v>
      </c>
      <c r="D644" s="17" t="n">
        <f aca="false">Purchase_Orders!C641</f>
        <v>45926</v>
      </c>
      <c r="E644" s="18" t="n">
        <f aca="false">Purchase_Orders!D641</f>
        <v>285.04</v>
      </c>
      <c r="F644" s="18" t="n">
        <f aca="false">SUMIFS(Goods_Receipt_Notes!$D$2:$D$791,Goods_Receipt_Notes!$B$2:$B$791,A644)</f>
        <v>285.04</v>
      </c>
      <c r="G644" s="18" t="n">
        <f aca="false">SUMIFS(Vendor_Invoices_AP!$E$2:$E$882,Vendor_Invoices_AP!$B$2:$B$882,A644)</f>
        <v>285.04</v>
      </c>
      <c r="H644" s="16" t="str">
        <f aca="false">IF(F644=0,"Not Received","Received")</f>
        <v>Received</v>
      </c>
      <c r="I644" s="16" t="str">
        <f aca="false">IF(G644=0,"Not Invoiced","Invoiced")</f>
        <v>Invoiced</v>
      </c>
      <c r="J644" s="18" t="n">
        <f aca="false">E644-F644</f>
        <v>0</v>
      </c>
      <c r="K644" s="18" t="n">
        <f aca="false">E644-G644</f>
        <v>0</v>
      </c>
      <c r="L644" s="16" t="str">
        <f aca="false">IF(OR(AND(I644="Invoiced",H644="Not Received"),AND(F644&gt;0,ABS(J644)&gt;Assumptions!$B$6),AND(G644&gt;0,ABS(K644)&gt;Assumptions!$B$6)),"EXCEPTION","OK")</f>
        <v>OK</v>
      </c>
    </row>
    <row r="645" customFormat="false" ht="15" hidden="false" customHeight="false" outlineLevel="0" collapsed="false">
      <c r="A645" s="16" t="str">
        <f aca="false">Purchase_Orders!A642</f>
        <v>PO10641</v>
      </c>
      <c r="B645" s="16" t="str">
        <f aca="false">Purchase_Orders!B642</f>
        <v>V1028</v>
      </c>
      <c r="C645" s="16" t="str">
        <f aca="false">IFERROR(INDEX(Vendor_Master!$B$2:$B$41,MATCH(B645,Vendor_Master!$A$2:$A$41,0)),"Unknown Vendor")</f>
        <v>Potter, Mack and Peterson</v>
      </c>
      <c r="D645" s="17" t="n">
        <f aca="false">Purchase_Orders!C642</f>
        <v>45710</v>
      </c>
      <c r="E645" s="18" t="n">
        <f aca="false">Purchase_Orders!D642</f>
        <v>2954.28</v>
      </c>
      <c r="F645" s="18" t="n">
        <f aca="false">SUMIFS(Goods_Receipt_Notes!$D$2:$D$791,Goods_Receipt_Notes!$B$2:$B$791,A645)</f>
        <v>2954.28</v>
      </c>
      <c r="G645" s="18" t="n">
        <f aca="false">SUMIFS(Vendor_Invoices_AP!$E$2:$E$882,Vendor_Invoices_AP!$B$2:$B$882,A645)</f>
        <v>2954.28</v>
      </c>
      <c r="H645" s="16" t="str">
        <f aca="false">IF(F645=0,"Not Received","Received")</f>
        <v>Received</v>
      </c>
      <c r="I645" s="16" t="str">
        <f aca="false">IF(G645=0,"Not Invoiced","Invoiced")</f>
        <v>Invoiced</v>
      </c>
      <c r="J645" s="18" t="n">
        <f aca="false">E645-F645</f>
        <v>0</v>
      </c>
      <c r="K645" s="18" t="n">
        <f aca="false">E645-G645</f>
        <v>0</v>
      </c>
      <c r="L645" s="16" t="str">
        <f aca="false">IF(OR(AND(I645="Invoiced",H645="Not Received"),AND(F645&gt;0,ABS(J645)&gt;Assumptions!$B$6),AND(G645&gt;0,ABS(K645)&gt;Assumptions!$B$6)),"EXCEPTION","OK")</f>
        <v>OK</v>
      </c>
    </row>
    <row r="646" customFormat="false" ht="15" hidden="false" customHeight="false" outlineLevel="0" collapsed="false">
      <c r="A646" s="16" t="str">
        <f aca="false">Purchase_Orders!A643</f>
        <v>PO10642</v>
      </c>
      <c r="B646" s="16" t="str">
        <f aca="false">Purchase_Orders!B643</f>
        <v>V1040</v>
      </c>
      <c r="C646" s="16" t="str">
        <f aca="false">IFERROR(INDEX(Vendor_Master!$B$2:$B$41,MATCH(B646,Vendor_Master!$A$2:$A$41,0)),"Unknown Vendor")</f>
        <v>Santos, Kim and Holmes</v>
      </c>
      <c r="D646" s="17" t="n">
        <f aca="false">Purchase_Orders!C643</f>
        <v>46141</v>
      </c>
      <c r="E646" s="18" t="n">
        <f aca="false">Purchase_Orders!D643</f>
        <v>894.04</v>
      </c>
      <c r="F646" s="18" t="n">
        <f aca="false">SUMIFS(Goods_Receipt_Notes!$D$2:$D$791,Goods_Receipt_Notes!$B$2:$B$791,A646)</f>
        <v>894.04</v>
      </c>
      <c r="G646" s="18" t="n">
        <f aca="false">SUMIFS(Vendor_Invoices_AP!$E$2:$E$882,Vendor_Invoices_AP!$B$2:$B$882,A646)</f>
        <v>894.04</v>
      </c>
      <c r="H646" s="16" t="str">
        <f aca="false">IF(F646=0,"Not Received","Received")</f>
        <v>Received</v>
      </c>
      <c r="I646" s="16" t="str">
        <f aca="false">IF(G646=0,"Not Invoiced","Invoiced")</f>
        <v>Invoiced</v>
      </c>
      <c r="J646" s="18" t="n">
        <f aca="false">E646-F646</f>
        <v>0</v>
      </c>
      <c r="K646" s="18" t="n">
        <f aca="false">E646-G646</f>
        <v>0</v>
      </c>
      <c r="L646" s="16" t="str">
        <f aca="false">IF(OR(AND(I646="Invoiced",H646="Not Received"),AND(F646&gt;0,ABS(J646)&gt;Assumptions!$B$6),AND(G646&gt;0,ABS(K646)&gt;Assumptions!$B$6)),"EXCEPTION","OK")</f>
        <v>OK</v>
      </c>
    </row>
    <row r="647" customFormat="false" ht="15" hidden="false" customHeight="false" outlineLevel="0" collapsed="false">
      <c r="A647" s="16" t="str">
        <f aca="false">Purchase_Orders!A644</f>
        <v>PO10643</v>
      </c>
      <c r="B647" s="16" t="str">
        <f aca="false">Purchase_Orders!B644</f>
        <v>V1028</v>
      </c>
      <c r="C647" s="16" t="str">
        <f aca="false">IFERROR(INDEX(Vendor_Master!$B$2:$B$41,MATCH(B647,Vendor_Master!$A$2:$A$41,0)),"Unknown Vendor")</f>
        <v>Potter, Mack and Peterson</v>
      </c>
      <c r="D647" s="17" t="n">
        <f aca="false">Purchase_Orders!C644</f>
        <v>45731</v>
      </c>
      <c r="E647" s="18" t="n">
        <f aca="false">Purchase_Orders!D644</f>
        <v>603.77</v>
      </c>
      <c r="F647" s="18" t="n">
        <f aca="false">SUMIFS(Goods_Receipt_Notes!$D$2:$D$791,Goods_Receipt_Notes!$B$2:$B$791,A647)</f>
        <v>603.77</v>
      </c>
      <c r="G647" s="18" t="n">
        <f aca="false">SUMIFS(Vendor_Invoices_AP!$E$2:$E$882,Vendor_Invoices_AP!$B$2:$B$882,A647)</f>
        <v>603.77</v>
      </c>
      <c r="H647" s="16" t="str">
        <f aca="false">IF(F647=0,"Not Received","Received")</f>
        <v>Received</v>
      </c>
      <c r="I647" s="16" t="str">
        <f aca="false">IF(G647=0,"Not Invoiced","Invoiced")</f>
        <v>Invoiced</v>
      </c>
      <c r="J647" s="18" t="n">
        <f aca="false">E647-F647</f>
        <v>0</v>
      </c>
      <c r="K647" s="18" t="n">
        <f aca="false">E647-G647</f>
        <v>0</v>
      </c>
      <c r="L647" s="16" t="str">
        <f aca="false">IF(OR(AND(I647="Invoiced",H647="Not Received"),AND(F647&gt;0,ABS(J647)&gt;Assumptions!$B$6),AND(G647&gt;0,ABS(K647)&gt;Assumptions!$B$6)),"EXCEPTION","OK")</f>
        <v>OK</v>
      </c>
    </row>
    <row r="648" customFormat="false" ht="15" hidden="false" customHeight="false" outlineLevel="0" collapsed="false">
      <c r="A648" s="16" t="str">
        <f aca="false">Purchase_Orders!A645</f>
        <v>PO10644</v>
      </c>
      <c r="B648" s="16" t="str">
        <f aca="false">Purchase_Orders!B645</f>
        <v>V1027</v>
      </c>
      <c r="C648" s="16" t="str">
        <f aca="false">IFERROR(INDEX(Vendor_Master!$B$2:$B$41,MATCH(B648,Vendor_Master!$A$2:$A$41,0)),"Unknown Vendor")</f>
        <v>Valencia, Smith and Le</v>
      </c>
      <c r="D648" s="17" t="n">
        <f aca="false">Purchase_Orders!C645</f>
        <v>45905</v>
      </c>
      <c r="E648" s="18" t="n">
        <f aca="false">Purchase_Orders!D645</f>
        <v>2681.96</v>
      </c>
      <c r="F648" s="18" t="n">
        <f aca="false">SUMIFS(Goods_Receipt_Notes!$D$2:$D$791,Goods_Receipt_Notes!$B$2:$B$791,A648)</f>
        <v>2681.96</v>
      </c>
      <c r="G648" s="18" t="n">
        <f aca="false">SUMIFS(Vendor_Invoices_AP!$E$2:$E$882,Vendor_Invoices_AP!$B$2:$B$882,A648)</f>
        <v>2681.96</v>
      </c>
      <c r="H648" s="16" t="str">
        <f aca="false">IF(F648=0,"Not Received","Received")</f>
        <v>Received</v>
      </c>
      <c r="I648" s="16" t="str">
        <f aca="false">IF(G648=0,"Not Invoiced","Invoiced")</f>
        <v>Invoiced</v>
      </c>
      <c r="J648" s="18" t="n">
        <f aca="false">E648-F648</f>
        <v>0</v>
      </c>
      <c r="K648" s="18" t="n">
        <f aca="false">E648-G648</f>
        <v>0</v>
      </c>
      <c r="L648" s="16" t="str">
        <f aca="false">IF(OR(AND(I648="Invoiced",H648="Not Received"),AND(F648&gt;0,ABS(J648)&gt;Assumptions!$B$6),AND(G648&gt;0,ABS(K648)&gt;Assumptions!$B$6)),"EXCEPTION","OK")</f>
        <v>OK</v>
      </c>
    </row>
    <row r="649" customFormat="false" ht="15" hidden="false" customHeight="false" outlineLevel="0" collapsed="false">
      <c r="A649" s="16" t="str">
        <f aca="false">Purchase_Orders!A646</f>
        <v>PO10645</v>
      </c>
      <c r="B649" s="16" t="str">
        <f aca="false">Purchase_Orders!B646</f>
        <v>V1040</v>
      </c>
      <c r="C649" s="16" t="str">
        <f aca="false">IFERROR(INDEX(Vendor_Master!$B$2:$B$41,MATCH(B649,Vendor_Master!$A$2:$A$41,0)),"Unknown Vendor")</f>
        <v>Santos, Kim and Holmes</v>
      </c>
      <c r="D649" s="17" t="n">
        <f aca="false">Purchase_Orders!C646</f>
        <v>46023</v>
      </c>
      <c r="E649" s="18" t="n">
        <f aca="false">Purchase_Orders!D646</f>
        <v>767.92</v>
      </c>
      <c r="F649" s="18" t="n">
        <f aca="false">SUMIFS(Goods_Receipt_Notes!$D$2:$D$791,Goods_Receipt_Notes!$B$2:$B$791,A649)</f>
        <v>767.92</v>
      </c>
      <c r="G649" s="18" t="n">
        <f aca="false">SUMIFS(Vendor_Invoices_AP!$E$2:$E$882,Vendor_Invoices_AP!$B$2:$B$882,A649)</f>
        <v>767.92</v>
      </c>
      <c r="H649" s="16" t="str">
        <f aca="false">IF(F649=0,"Not Received","Received")</f>
        <v>Received</v>
      </c>
      <c r="I649" s="16" t="str">
        <f aca="false">IF(G649=0,"Not Invoiced","Invoiced")</f>
        <v>Invoiced</v>
      </c>
      <c r="J649" s="18" t="n">
        <f aca="false">E649-F649</f>
        <v>0</v>
      </c>
      <c r="K649" s="18" t="n">
        <f aca="false">E649-G649</f>
        <v>0</v>
      </c>
      <c r="L649" s="16" t="str">
        <f aca="false">IF(OR(AND(I649="Invoiced",H649="Not Received"),AND(F649&gt;0,ABS(J649)&gt;Assumptions!$B$6),AND(G649&gt;0,ABS(K649)&gt;Assumptions!$B$6)),"EXCEPTION","OK")</f>
        <v>OK</v>
      </c>
    </row>
    <row r="650" customFormat="false" ht="15" hidden="false" customHeight="false" outlineLevel="0" collapsed="false">
      <c r="A650" s="16" t="str">
        <f aca="false">Purchase_Orders!A647</f>
        <v>PO10646</v>
      </c>
      <c r="B650" s="16" t="str">
        <f aca="false">Purchase_Orders!B647</f>
        <v>V1010</v>
      </c>
      <c r="C650" s="16" t="str">
        <f aca="false">IFERROR(INDEX(Vendor_Master!$B$2:$B$41,MATCH(B650,Vendor_Master!$A$2:$A$41,0)),"Unknown Vendor")</f>
        <v>Martinez, Nielsen and Miller</v>
      </c>
      <c r="D650" s="17" t="n">
        <f aca="false">Purchase_Orders!C647</f>
        <v>46063</v>
      </c>
      <c r="E650" s="18" t="n">
        <f aca="false">Purchase_Orders!D647</f>
        <v>2186.62</v>
      </c>
      <c r="F650" s="18" t="n">
        <f aca="false">SUMIFS(Goods_Receipt_Notes!$D$2:$D$791,Goods_Receipt_Notes!$B$2:$B$791,A650)</f>
        <v>0</v>
      </c>
      <c r="G650" s="18" t="n">
        <f aca="false">SUMIFS(Vendor_Invoices_AP!$E$2:$E$882,Vendor_Invoices_AP!$B$2:$B$882,A650)</f>
        <v>2186.62</v>
      </c>
      <c r="H650" s="16" t="str">
        <f aca="false">IF(F650=0,"Not Received","Received")</f>
        <v>Not Received</v>
      </c>
      <c r="I650" s="16" t="str">
        <f aca="false">IF(G650=0,"Not Invoiced","Invoiced")</f>
        <v>Invoiced</v>
      </c>
      <c r="J650" s="18" t="n">
        <f aca="false">E650-F650</f>
        <v>2186.62</v>
      </c>
      <c r="K650" s="18" t="n">
        <f aca="false">E650-G650</f>
        <v>0</v>
      </c>
      <c r="L650" s="16" t="str">
        <f aca="false">IF(OR(AND(I650="Invoiced",H650="Not Received"),AND(F650&gt;0,ABS(J650)&gt;Assumptions!$B$6),AND(G650&gt;0,ABS(K650)&gt;Assumptions!$B$6)),"EXCEPTION","OK")</f>
        <v>EXCEPTION</v>
      </c>
    </row>
    <row r="651" customFormat="false" ht="15" hidden="false" customHeight="false" outlineLevel="0" collapsed="false">
      <c r="A651" s="16" t="str">
        <f aca="false">Purchase_Orders!A648</f>
        <v>PO10647</v>
      </c>
      <c r="B651" s="16" t="str">
        <f aca="false">Purchase_Orders!B648</f>
        <v>V1022</v>
      </c>
      <c r="C651" s="16" t="str">
        <f aca="false">IFERROR(INDEX(Vendor_Master!$B$2:$B$41,MATCH(B651,Vendor_Master!$A$2:$A$41,0)),"Unknown Vendor")</f>
        <v>Burgess-Patterson</v>
      </c>
      <c r="D651" s="17" t="n">
        <f aca="false">Purchase_Orders!C648</f>
        <v>46173</v>
      </c>
      <c r="E651" s="18" t="n">
        <f aca="false">Purchase_Orders!D648</f>
        <v>2778.4</v>
      </c>
      <c r="F651" s="18" t="n">
        <f aca="false">SUMIFS(Goods_Receipt_Notes!$D$2:$D$791,Goods_Receipt_Notes!$B$2:$B$791,A651)</f>
        <v>2778.4</v>
      </c>
      <c r="G651" s="18" t="n">
        <f aca="false">SUMIFS(Vendor_Invoices_AP!$E$2:$E$882,Vendor_Invoices_AP!$B$2:$B$882,A651)</f>
        <v>2778.4</v>
      </c>
      <c r="H651" s="16" t="str">
        <f aca="false">IF(F651=0,"Not Received","Received")</f>
        <v>Received</v>
      </c>
      <c r="I651" s="16" t="str">
        <f aca="false">IF(G651=0,"Not Invoiced","Invoiced")</f>
        <v>Invoiced</v>
      </c>
      <c r="J651" s="18" t="n">
        <f aca="false">E651-F651</f>
        <v>0</v>
      </c>
      <c r="K651" s="18" t="n">
        <f aca="false">E651-G651</f>
        <v>0</v>
      </c>
      <c r="L651" s="16" t="str">
        <f aca="false">IF(OR(AND(I651="Invoiced",H651="Not Received"),AND(F651&gt;0,ABS(J651)&gt;Assumptions!$B$6),AND(G651&gt;0,ABS(K651)&gt;Assumptions!$B$6)),"EXCEPTION","OK")</f>
        <v>OK</v>
      </c>
    </row>
    <row r="652" customFormat="false" ht="15" hidden="false" customHeight="false" outlineLevel="0" collapsed="false">
      <c r="A652" s="16" t="str">
        <f aca="false">Purchase_Orders!A649</f>
        <v>PO10648</v>
      </c>
      <c r="B652" s="16" t="str">
        <f aca="false">Purchase_Orders!B649</f>
        <v>V1037</v>
      </c>
      <c r="C652" s="16" t="str">
        <f aca="false">IFERROR(INDEX(Vendor_Master!$B$2:$B$41,MATCH(B652,Vendor_Master!$A$2:$A$41,0)),"Unknown Vendor")</f>
        <v>Cannon, Anderson and Alvarez</v>
      </c>
      <c r="D652" s="17" t="n">
        <f aca="false">Purchase_Orders!C649</f>
        <v>45886</v>
      </c>
      <c r="E652" s="18" t="n">
        <f aca="false">Purchase_Orders!D649</f>
        <v>989.27</v>
      </c>
      <c r="F652" s="18" t="n">
        <f aca="false">SUMIFS(Goods_Receipt_Notes!$D$2:$D$791,Goods_Receipt_Notes!$B$2:$B$791,A652)</f>
        <v>989.27</v>
      </c>
      <c r="G652" s="18" t="n">
        <f aca="false">SUMIFS(Vendor_Invoices_AP!$E$2:$E$882,Vendor_Invoices_AP!$B$2:$B$882,A652)</f>
        <v>989.27</v>
      </c>
      <c r="H652" s="16" t="str">
        <f aca="false">IF(F652=0,"Not Received","Received")</f>
        <v>Received</v>
      </c>
      <c r="I652" s="16" t="str">
        <f aca="false">IF(G652=0,"Not Invoiced","Invoiced")</f>
        <v>Invoiced</v>
      </c>
      <c r="J652" s="18" t="n">
        <f aca="false">E652-F652</f>
        <v>0</v>
      </c>
      <c r="K652" s="18" t="n">
        <f aca="false">E652-G652</f>
        <v>0</v>
      </c>
      <c r="L652" s="16" t="str">
        <f aca="false">IF(OR(AND(I652="Invoiced",H652="Not Received"),AND(F652&gt;0,ABS(J652)&gt;Assumptions!$B$6),AND(G652&gt;0,ABS(K652)&gt;Assumptions!$B$6)),"EXCEPTION","OK")</f>
        <v>OK</v>
      </c>
    </row>
    <row r="653" customFormat="false" ht="15" hidden="false" customHeight="false" outlineLevel="0" collapsed="false">
      <c r="A653" s="16" t="str">
        <f aca="false">Purchase_Orders!A650</f>
        <v>PO10649</v>
      </c>
      <c r="B653" s="16" t="str">
        <f aca="false">Purchase_Orders!B650</f>
        <v>V1032</v>
      </c>
      <c r="C653" s="16" t="str">
        <f aca="false">IFERROR(INDEX(Vendor_Master!$B$2:$B$41,MATCH(B653,Vendor_Master!$A$2:$A$41,0)),"Unknown Vendor")</f>
        <v>Lynch, Hernandez and Farmer</v>
      </c>
      <c r="D653" s="17" t="n">
        <f aca="false">Purchase_Orders!C650</f>
        <v>46062</v>
      </c>
      <c r="E653" s="18" t="n">
        <f aca="false">Purchase_Orders!D650</f>
        <v>1556.9</v>
      </c>
      <c r="F653" s="18" t="n">
        <f aca="false">SUMIFS(Goods_Receipt_Notes!$D$2:$D$791,Goods_Receipt_Notes!$B$2:$B$791,A653)</f>
        <v>1556.9</v>
      </c>
      <c r="G653" s="18" t="n">
        <f aca="false">SUMIFS(Vendor_Invoices_AP!$E$2:$E$882,Vendor_Invoices_AP!$B$2:$B$882,A653)</f>
        <v>1556.9</v>
      </c>
      <c r="H653" s="16" t="str">
        <f aca="false">IF(F653=0,"Not Received","Received")</f>
        <v>Received</v>
      </c>
      <c r="I653" s="16" t="str">
        <f aca="false">IF(G653=0,"Not Invoiced","Invoiced")</f>
        <v>Invoiced</v>
      </c>
      <c r="J653" s="18" t="n">
        <f aca="false">E653-F653</f>
        <v>0</v>
      </c>
      <c r="K653" s="18" t="n">
        <f aca="false">E653-G653</f>
        <v>0</v>
      </c>
      <c r="L653" s="16" t="str">
        <f aca="false">IF(OR(AND(I653="Invoiced",H653="Not Received"),AND(F653&gt;0,ABS(J653)&gt;Assumptions!$B$6),AND(G653&gt;0,ABS(K653)&gt;Assumptions!$B$6)),"EXCEPTION","OK")</f>
        <v>OK</v>
      </c>
    </row>
    <row r="654" customFormat="false" ht="15" hidden="false" customHeight="false" outlineLevel="0" collapsed="false">
      <c r="A654" s="16" t="str">
        <f aca="false">Purchase_Orders!A651</f>
        <v>PO10650</v>
      </c>
      <c r="B654" s="16" t="str">
        <f aca="false">Purchase_Orders!B651</f>
        <v>V1011</v>
      </c>
      <c r="C654" s="16" t="str">
        <f aca="false">IFERROR(INDEX(Vendor_Master!$B$2:$B$41,MATCH(B654,Vendor_Master!$A$2:$A$41,0)),"Unknown Vendor")</f>
        <v>Montgomery, Hensley and Ray</v>
      </c>
      <c r="D654" s="17" t="n">
        <f aca="false">Purchase_Orders!C651</f>
        <v>45742</v>
      </c>
      <c r="E654" s="18" t="n">
        <f aca="false">Purchase_Orders!D651</f>
        <v>6662.15</v>
      </c>
      <c r="F654" s="18" t="n">
        <f aca="false">SUMIFS(Goods_Receipt_Notes!$D$2:$D$791,Goods_Receipt_Notes!$B$2:$B$791,A654)</f>
        <v>6662.15</v>
      </c>
      <c r="G654" s="18" t="n">
        <f aca="false">SUMIFS(Vendor_Invoices_AP!$E$2:$E$882,Vendor_Invoices_AP!$B$2:$B$882,A654)</f>
        <v>6662.15</v>
      </c>
      <c r="H654" s="16" t="str">
        <f aca="false">IF(F654=0,"Not Received","Received")</f>
        <v>Received</v>
      </c>
      <c r="I654" s="16" t="str">
        <f aca="false">IF(G654=0,"Not Invoiced","Invoiced")</f>
        <v>Invoiced</v>
      </c>
      <c r="J654" s="18" t="n">
        <f aca="false">E654-F654</f>
        <v>0</v>
      </c>
      <c r="K654" s="18" t="n">
        <f aca="false">E654-G654</f>
        <v>0</v>
      </c>
      <c r="L654" s="16" t="str">
        <f aca="false">IF(OR(AND(I654="Invoiced",H654="Not Received"),AND(F654&gt;0,ABS(J654)&gt;Assumptions!$B$6),AND(G654&gt;0,ABS(K654)&gt;Assumptions!$B$6)),"EXCEPTION","OK")</f>
        <v>OK</v>
      </c>
    </row>
    <row r="655" customFormat="false" ht="15" hidden="false" customHeight="false" outlineLevel="0" collapsed="false">
      <c r="A655" s="16" t="str">
        <f aca="false">Purchase_Orders!A652</f>
        <v>PO10651</v>
      </c>
      <c r="B655" s="16" t="str">
        <f aca="false">Purchase_Orders!B652</f>
        <v>V1039</v>
      </c>
      <c r="C655" s="16" t="str">
        <f aca="false">IFERROR(INDEX(Vendor_Master!$B$2:$B$41,MATCH(B655,Vendor_Master!$A$2:$A$41,0)),"Unknown Vendor")</f>
        <v>Campos, Vaughn and Marquez</v>
      </c>
      <c r="D655" s="17" t="n">
        <f aca="false">Purchase_Orders!C652</f>
        <v>45884</v>
      </c>
      <c r="E655" s="18" t="n">
        <f aca="false">Purchase_Orders!D652</f>
        <v>5757.86</v>
      </c>
      <c r="F655" s="18" t="n">
        <f aca="false">SUMIFS(Goods_Receipt_Notes!$D$2:$D$791,Goods_Receipt_Notes!$B$2:$B$791,A655)</f>
        <v>5757.86</v>
      </c>
      <c r="G655" s="18" t="n">
        <f aca="false">SUMIFS(Vendor_Invoices_AP!$E$2:$E$882,Vendor_Invoices_AP!$B$2:$B$882,A655)</f>
        <v>5757.86</v>
      </c>
      <c r="H655" s="16" t="str">
        <f aca="false">IF(F655=0,"Not Received","Received")</f>
        <v>Received</v>
      </c>
      <c r="I655" s="16" t="str">
        <f aca="false">IF(G655=0,"Not Invoiced","Invoiced")</f>
        <v>Invoiced</v>
      </c>
      <c r="J655" s="18" t="n">
        <f aca="false">E655-F655</f>
        <v>0</v>
      </c>
      <c r="K655" s="18" t="n">
        <f aca="false">E655-G655</f>
        <v>0</v>
      </c>
      <c r="L655" s="16" t="str">
        <f aca="false">IF(OR(AND(I655="Invoiced",H655="Not Received"),AND(F655&gt;0,ABS(J655)&gt;Assumptions!$B$6),AND(G655&gt;0,ABS(K655)&gt;Assumptions!$B$6)),"EXCEPTION","OK")</f>
        <v>OK</v>
      </c>
    </row>
    <row r="656" customFormat="false" ht="15" hidden="false" customHeight="false" outlineLevel="0" collapsed="false">
      <c r="A656" s="16" t="str">
        <f aca="false">Purchase_Orders!A653</f>
        <v>PO10652</v>
      </c>
      <c r="B656" s="16" t="str">
        <f aca="false">Purchase_Orders!B653</f>
        <v>V1030</v>
      </c>
      <c r="C656" s="16" t="str">
        <f aca="false">IFERROR(INDEX(Vendor_Master!$B$2:$B$41,MATCH(B656,Vendor_Master!$A$2:$A$41,0)),"Unknown Vendor")</f>
        <v>Stanton-Gill</v>
      </c>
      <c r="D656" s="17" t="n">
        <f aca="false">Purchase_Orders!C653</f>
        <v>45711</v>
      </c>
      <c r="E656" s="18" t="n">
        <f aca="false">Purchase_Orders!D653</f>
        <v>6110.21</v>
      </c>
      <c r="F656" s="18" t="n">
        <f aca="false">SUMIFS(Goods_Receipt_Notes!$D$2:$D$791,Goods_Receipt_Notes!$B$2:$B$791,A656)</f>
        <v>6110.21</v>
      </c>
      <c r="G656" s="18" t="n">
        <f aca="false">SUMIFS(Vendor_Invoices_AP!$E$2:$E$882,Vendor_Invoices_AP!$B$2:$B$882,A656)</f>
        <v>6869</v>
      </c>
      <c r="H656" s="16" t="str">
        <f aca="false">IF(F656=0,"Not Received","Received")</f>
        <v>Received</v>
      </c>
      <c r="I656" s="16" t="str">
        <f aca="false">IF(G656=0,"Not Invoiced","Invoiced")</f>
        <v>Invoiced</v>
      </c>
      <c r="J656" s="18" t="n">
        <f aca="false">E656-F656</f>
        <v>0</v>
      </c>
      <c r="K656" s="18" t="n">
        <f aca="false">E656-G656</f>
        <v>-758.79</v>
      </c>
      <c r="L656" s="16" t="str">
        <f aca="false">IF(OR(AND(I656="Invoiced",H656="Not Received"),AND(F656&gt;0,ABS(J656)&gt;Assumptions!$B$6),AND(G656&gt;0,ABS(K656)&gt;Assumptions!$B$6)),"EXCEPTION","OK")</f>
        <v>EXCEPTION</v>
      </c>
    </row>
    <row r="657" customFormat="false" ht="15" hidden="false" customHeight="false" outlineLevel="0" collapsed="false">
      <c r="A657" s="16" t="str">
        <f aca="false">Purchase_Orders!A654</f>
        <v>PO10653</v>
      </c>
      <c r="B657" s="16" t="str">
        <f aca="false">Purchase_Orders!B654</f>
        <v>V1029</v>
      </c>
      <c r="C657" s="16" t="str">
        <f aca="false">IFERROR(INDEX(Vendor_Master!$B$2:$B$41,MATCH(B657,Vendor_Master!$A$2:$A$41,0)),"Unknown Vendor")</f>
        <v>Chavez Ltd</v>
      </c>
      <c r="D657" s="17" t="n">
        <f aca="false">Purchase_Orders!C654</f>
        <v>45924</v>
      </c>
      <c r="E657" s="18" t="n">
        <f aca="false">Purchase_Orders!D654</f>
        <v>228.89</v>
      </c>
      <c r="F657" s="18" t="n">
        <f aca="false">SUMIFS(Goods_Receipt_Notes!$D$2:$D$791,Goods_Receipt_Notes!$B$2:$B$791,A657)</f>
        <v>228.89</v>
      </c>
      <c r="G657" s="18" t="n">
        <f aca="false">SUMIFS(Vendor_Invoices_AP!$E$2:$E$882,Vendor_Invoices_AP!$B$2:$B$882,A657)</f>
        <v>228.89</v>
      </c>
      <c r="H657" s="16" t="str">
        <f aca="false">IF(F657=0,"Not Received","Received")</f>
        <v>Received</v>
      </c>
      <c r="I657" s="16" t="str">
        <f aca="false">IF(G657=0,"Not Invoiced","Invoiced")</f>
        <v>Invoiced</v>
      </c>
      <c r="J657" s="18" t="n">
        <f aca="false">E657-F657</f>
        <v>0</v>
      </c>
      <c r="K657" s="18" t="n">
        <f aca="false">E657-G657</f>
        <v>0</v>
      </c>
      <c r="L657" s="16" t="str">
        <f aca="false">IF(OR(AND(I657="Invoiced",H657="Not Received"),AND(F657&gt;0,ABS(J657)&gt;Assumptions!$B$6),AND(G657&gt;0,ABS(K657)&gt;Assumptions!$B$6)),"EXCEPTION","OK")</f>
        <v>OK</v>
      </c>
    </row>
    <row r="658" customFormat="false" ht="15" hidden="false" customHeight="false" outlineLevel="0" collapsed="false">
      <c r="A658" s="16" t="str">
        <f aca="false">Purchase_Orders!A655</f>
        <v>PO10654</v>
      </c>
      <c r="B658" s="16" t="str">
        <f aca="false">Purchase_Orders!B655</f>
        <v>V1020</v>
      </c>
      <c r="C658" s="16" t="str">
        <f aca="false">IFERROR(INDEX(Vendor_Master!$B$2:$B$41,MATCH(B658,Vendor_Master!$A$2:$A$41,0)),"Unknown Vendor")</f>
        <v>Lewis-Porter</v>
      </c>
      <c r="D658" s="17" t="n">
        <f aca="false">Purchase_Orders!C655</f>
        <v>45880</v>
      </c>
      <c r="E658" s="18" t="n">
        <f aca="false">Purchase_Orders!D655</f>
        <v>887.06</v>
      </c>
      <c r="F658" s="18" t="n">
        <f aca="false">SUMIFS(Goods_Receipt_Notes!$D$2:$D$791,Goods_Receipt_Notes!$B$2:$B$791,A658)</f>
        <v>0</v>
      </c>
      <c r="G658" s="18" t="n">
        <f aca="false">SUMIFS(Vendor_Invoices_AP!$E$2:$E$882,Vendor_Invoices_AP!$B$2:$B$882,A658)</f>
        <v>887.06</v>
      </c>
      <c r="H658" s="16" t="str">
        <f aca="false">IF(F658=0,"Not Received","Received")</f>
        <v>Not Received</v>
      </c>
      <c r="I658" s="16" t="str">
        <f aca="false">IF(G658=0,"Not Invoiced","Invoiced")</f>
        <v>Invoiced</v>
      </c>
      <c r="J658" s="18" t="n">
        <f aca="false">E658-F658</f>
        <v>887.06</v>
      </c>
      <c r="K658" s="18" t="n">
        <f aca="false">E658-G658</f>
        <v>0</v>
      </c>
      <c r="L658" s="16" t="str">
        <f aca="false">IF(OR(AND(I658="Invoiced",H658="Not Received"),AND(F658&gt;0,ABS(J658)&gt;Assumptions!$B$6),AND(G658&gt;0,ABS(K658)&gt;Assumptions!$B$6)),"EXCEPTION","OK")</f>
        <v>EXCEPTION</v>
      </c>
    </row>
    <row r="659" customFormat="false" ht="15" hidden="false" customHeight="false" outlineLevel="0" collapsed="false">
      <c r="A659" s="16" t="str">
        <f aca="false">Purchase_Orders!A656</f>
        <v>PO10655</v>
      </c>
      <c r="B659" s="16" t="str">
        <f aca="false">Purchase_Orders!B656</f>
        <v>V1002</v>
      </c>
      <c r="C659" s="16" t="str">
        <f aca="false">IFERROR(INDEX(Vendor_Master!$B$2:$B$41,MATCH(B659,Vendor_Master!$A$2:$A$41,0)),"Unknown Vendor")</f>
        <v>Garcia, Yang and Gardner</v>
      </c>
      <c r="D659" s="17" t="n">
        <f aca="false">Purchase_Orders!C656</f>
        <v>46176</v>
      </c>
      <c r="E659" s="18" t="n">
        <f aca="false">Purchase_Orders!D656</f>
        <v>2875.96</v>
      </c>
      <c r="F659" s="18" t="n">
        <f aca="false">SUMIFS(Goods_Receipt_Notes!$D$2:$D$791,Goods_Receipt_Notes!$B$2:$B$791,A659)</f>
        <v>2875.96</v>
      </c>
      <c r="G659" s="18" t="n">
        <f aca="false">SUMIFS(Vendor_Invoices_AP!$E$2:$E$882,Vendor_Invoices_AP!$B$2:$B$882,A659)</f>
        <v>2875.96</v>
      </c>
      <c r="H659" s="16" t="str">
        <f aca="false">IF(F659=0,"Not Received","Received")</f>
        <v>Received</v>
      </c>
      <c r="I659" s="16" t="str">
        <f aca="false">IF(G659=0,"Not Invoiced","Invoiced")</f>
        <v>Invoiced</v>
      </c>
      <c r="J659" s="18" t="n">
        <f aca="false">E659-F659</f>
        <v>0</v>
      </c>
      <c r="K659" s="18" t="n">
        <f aca="false">E659-G659</f>
        <v>0</v>
      </c>
      <c r="L659" s="16" t="str">
        <f aca="false">IF(OR(AND(I659="Invoiced",H659="Not Received"),AND(F659&gt;0,ABS(J659)&gt;Assumptions!$B$6),AND(G659&gt;0,ABS(K659)&gt;Assumptions!$B$6)),"EXCEPTION","OK")</f>
        <v>OK</v>
      </c>
    </row>
    <row r="660" customFormat="false" ht="15" hidden="false" customHeight="false" outlineLevel="0" collapsed="false">
      <c r="A660" s="16" t="str">
        <f aca="false">Purchase_Orders!A657</f>
        <v>PO10656</v>
      </c>
      <c r="B660" s="16" t="str">
        <f aca="false">Purchase_Orders!B657</f>
        <v>V1004</v>
      </c>
      <c r="C660" s="16" t="str">
        <f aca="false">IFERROR(INDEX(Vendor_Master!$B$2:$B$41,MATCH(B660,Vendor_Master!$A$2:$A$41,0)),"Unknown Vendor")</f>
        <v>Johnson, Gonzalez and Santos</v>
      </c>
      <c r="D660" s="17" t="n">
        <f aca="false">Purchase_Orders!C657</f>
        <v>45675</v>
      </c>
      <c r="E660" s="18" t="n">
        <f aca="false">Purchase_Orders!D657</f>
        <v>3337.25</v>
      </c>
      <c r="F660" s="18" t="n">
        <f aca="false">SUMIFS(Goods_Receipt_Notes!$D$2:$D$791,Goods_Receipt_Notes!$B$2:$B$791,A660)</f>
        <v>3337.25</v>
      </c>
      <c r="G660" s="18" t="n">
        <f aca="false">SUMIFS(Vendor_Invoices_AP!$E$2:$E$882,Vendor_Invoices_AP!$B$2:$B$882,A660)</f>
        <v>3337.25</v>
      </c>
      <c r="H660" s="16" t="str">
        <f aca="false">IF(F660=0,"Not Received","Received")</f>
        <v>Received</v>
      </c>
      <c r="I660" s="16" t="str">
        <f aca="false">IF(G660=0,"Not Invoiced","Invoiced")</f>
        <v>Invoiced</v>
      </c>
      <c r="J660" s="18" t="n">
        <f aca="false">E660-F660</f>
        <v>0</v>
      </c>
      <c r="K660" s="18" t="n">
        <f aca="false">E660-G660</f>
        <v>0</v>
      </c>
      <c r="L660" s="16" t="str">
        <f aca="false">IF(OR(AND(I660="Invoiced",H660="Not Received"),AND(F660&gt;0,ABS(J660)&gt;Assumptions!$B$6),AND(G660&gt;0,ABS(K660)&gt;Assumptions!$B$6)),"EXCEPTION","OK")</f>
        <v>OK</v>
      </c>
    </row>
    <row r="661" customFormat="false" ht="15" hidden="false" customHeight="false" outlineLevel="0" collapsed="false">
      <c r="A661" s="16" t="str">
        <f aca="false">Purchase_Orders!A658</f>
        <v>PO10657</v>
      </c>
      <c r="B661" s="16" t="str">
        <f aca="false">Purchase_Orders!B658</f>
        <v>V1038</v>
      </c>
      <c r="C661" s="16" t="str">
        <f aca="false">IFERROR(INDEX(Vendor_Master!$B$2:$B$41,MATCH(B661,Vendor_Master!$A$2:$A$41,0)),"Unknown Vendor")</f>
        <v>Rose-Obrien</v>
      </c>
      <c r="D661" s="17" t="n">
        <f aca="false">Purchase_Orders!C658</f>
        <v>45859</v>
      </c>
      <c r="E661" s="18" t="n">
        <f aca="false">Purchase_Orders!D658</f>
        <v>3555.6</v>
      </c>
      <c r="F661" s="18" t="n">
        <f aca="false">SUMIFS(Goods_Receipt_Notes!$D$2:$D$791,Goods_Receipt_Notes!$B$2:$B$791,A661)</f>
        <v>3555.6</v>
      </c>
      <c r="G661" s="18" t="n">
        <f aca="false">SUMIFS(Vendor_Invoices_AP!$E$2:$E$882,Vendor_Invoices_AP!$B$2:$B$882,A661)</f>
        <v>3555.6</v>
      </c>
      <c r="H661" s="16" t="str">
        <f aca="false">IF(F661=0,"Not Received","Received")</f>
        <v>Received</v>
      </c>
      <c r="I661" s="16" t="str">
        <f aca="false">IF(G661=0,"Not Invoiced","Invoiced")</f>
        <v>Invoiced</v>
      </c>
      <c r="J661" s="18" t="n">
        <f aca="false">E661-F661</f>
        <v>0</v>
      </c>
      <c r="K661" s="18" t="n">
        <f aca="false">E661-G661</f>
        <v>0</v>
      </c>
      <c r="L661" s="16" t="str">
        <f aca="false">IF(OR(AND(I661="Invoiced",H661="Not Received"),AND(F661&gt;0,ABS(J661)&gt;Assumptions!$B$6),AND(G661&gt;0,ABS(K661)&gt;Assumptions!$B$6)),"EXCEPTION","OK")</f>
        <v>OK</v>
      </c>
    </row>
    <row r="662" customFormat="false" ht="15" hidden="false" customHeight="false" outlineLevel="0" collapsed="false">
      <c r="A662" s="16" t="str">
        <f aca="false">Purchase_Orders!A659</f>
        <v>PO10658</v>
      </c>
      <c r="B662" s="16" t="str">
        <f aca="false">Purchase_Orders!B659</f>
        <v>V1012</v>
      </c>
      <c r="C662" s="16" t="str">
        <f aca="false">IFERROR(INDEX(Vendor_Master!$B$2:$B$41,MATCH(B662,Vendor_Master!$A$2:$A$41,0)),"Unknown Vendor")</f>
        <v>Stanley LLC</v>
      </c>
      <c r="D662" s="17" t="n">
        <f aca="false">Purchase_Orders!C659</f>
        <v>45899</v>
      </c>
      <c r="E662" s="18" t="n">
        <f aca="false">Purchase_Orders!D659</f>
        <v>313.22</v>
      </c>
      <c r="F662" s="18" t="n">
        <f aca="false">SUMIFS(Goods_Receipt_Notes!$D$2:$D$791,Goods_Receipt_Notes!$B$2:$B$791,A662)</f>
        <v>313.22</v>
      </c>
      <c r="G662" s="18" t="n">
        <f aca="false">SUMIFS(Vendor_Invoices_AP!$E$2:$E$882,Vendor_Invoices_AP!$B$2:$B$882,A662)</f>
        <v>313.22</v>
      </c>
      <c r="H662" s="16" t="str">
        <f aca="false">IF(F662=0,"Not Received","Received")</f>
        <v>Received</v>
      </c>
      <c r="I662" s="16" t="str">
        <f aca="false">IF(G662=0,"Not Invoiced","Invoiced")</f>
        <v>Invoiced</v>
      </c>
      <c r="J662" s="18" t="n">
        <f aca="false">E662-F662</f>
        <v>0</v>
      </c>
      <c r="K662" s="18" t="n">
        <f aca="false">E662-G662</f>
        <v>0</v>
      </c>
      <c r="L662" s="16" t="str">
        <f aca="false">IF(OR(AND(I662="Invoiced",H662="Not Received"),AND(F662&gt;0,ABS(J662)&gt;Assumptions!$B$6),AND(G662&gt;0,ABS(K662)&gt;Assumptions!$B$6)),"EXCEPTION","OK")</f>
        <v>OK</v>
      </c>
    </row>
    <row r="663" customFormat="false" ht="15" hidden="false" customHeight="false" outlineLevel="0" collapsed="false">
      <c r="A663" s="16" t="str">
        <f aca="false">Purchase_Orders!A660</f>
        <v>PO10659</v>
      </c>
      <c r="B663" s="16" t="str">
        <f aca="false">Purchase_Orders!B660</f>
        <v>V1001</v>
      </c>
      <c r="C663" s="16" t="str">
        <f aca="false">IFERROR(INDEX(Vendor_Master!$B$2:$B$41,MATCH(B663,Vendor_Master!$A$2:$A$41,0)),"Unknown Vendor")</f>
        <v>Figueroa and Sons</v>
      </c>
      <c r="D663" s="17" t="n">
        <f aca="false">Purchase_Orders!C660</f>
        <v>46176</v>
      </c>
      <c r="E663" s="18" t="n">
        <f aca="false">Purchase_Orders!D660</f>
        <v>36063.86</v>
      </c>
      <c r="F663" s="18" t="n">
        <f aca="false">SUMIFS(Goods_Receipt_Notes!$D$2:$D$791,Goods_Receipt_Notes!$B$2:$B$791,A663)</f>
        <v>36063.86</v>
      </c>
      <c r="G663" s="18" t="n">
        <f aca="false">SUMIFS(Vendor_Invoices_AP!$E$2:$E$882,Vendor_Invoices_AP!$B$2:$B$882,A663)</f>
        <v>36063.86</v>
      </c>
      <c r="H663" s="16" t="str">
        <f aca="false">IF(F663=0,"Not Received","Received")</f>
        <v>Received</v>
      </c>
      <c r="I663" s="16" t="str">
        <f aca="false">IF(G663=0,"Not Invoiced","Invoiced")</f>
        <v>Invoiced</v>
      </c>
      <c r="J663" s="18" t="n">
        <f aca="false">E663-F663</f>
        <v>0</v>
      </c>
      <c r="K663" s="18" t="n">
        <f aca="false">E663-G663</f>
        <v>0</v>
      </c>
      <c r="L663" s="16" t="str">
        <f aca="false">IF(OR(AND(I663="Invoiced",H663="Not Received"),AND(F663&gt;0,ABS(J663)&gt;Assumptions!$B$6),AND(G663&gt;0,ABS(K663)&gt;Assumptions!$B$6)),"EXCEPTION","OK")</f>
        <v>OK</v>
      </c>
    </row>
    <row r="664" customFormat="false" ht="15" hidden="false" customHeight="false" outlineLevel="0" collapsed="false">
      <c r="A664" s="16" t="str">
        <f aca="false">Purchase_Orders!A661</f>
        <v>PO10660</v>
      </c>
      <c r="B664" s="16" t="str">
        <f aca="false">Purchase_Orders!B661</f>
        <v>V1007</v>
      </c>
      <c r="C664" s="16" t="str">
        <f aca="false">IFERROR(INDEX(Vendor_Master!$B$2:$B$41,MATCH(B664,Vendor_Master!$A$2:$A$41,0)),"Unknown Vendor")</f>
        <v>Ramirez-Lewis</v>
      </c>
      <c r="D664" s="17" t="n">
        <f aca="false">Purchase_Orders!C661</f>
        <v>46124</v>
      </c>
      <c r="E664" s="18" t="n">
        <f aca="false">Purchase_Orders!D661</f>
        <v>1139.17</v>
      </c>
      <c r="F664" s="18" t="n">
        <f aca="false">SUMIFS(Goods_Receipt_Notes!$D$2:$D$791,Goods_Receipt_Notes!$B$2:$B$791,A664)</f>
        <v>1139.17</v>
      </c>
      <c r="G664" s="18" t="n">
        <f aca="false">SUMIFS(Vendor_Invoices_AP!$E$2:$E$882,Vendor_Invoices_AP!$B$2:$B$882,A664)</f>
        <v>1139.17</v>
      </c>
      <c r="H664" s="16" t="str">
        <f aca="false">IF(F664=0,"Not Received","Received")</f>
        <v>Received</v>
      </c>
      <c r="I664" s="16" t="str">
        <f aca="false">IF(G664=0,"Not Invoiced","Invoiced")</f>
        <v>Invoiced</v>
      </c>
      <c r="J664" s="18" t="n">
        <f aca="false">E664-F664</f>
        <v>0</v>
      </c>
      <c r="K664" s="18" t="n">
        <f aca="false">E664-G664</f>
        <v>0</v>
      </c>
      <c r="L664" s="16" t="str">
        <f aca="false">IF(OR(AND(I664="Invoiced",H664="Not Received"),AND(F664&gt;0,ABS(J664)&gt;Assumptions!$B$6),AND(G664&gt;0,ABS(K664)&gt;Assumptions!$B$6)),"EXCEPTION","OK")</f>
        <v>OK</v>
      </c>
    </row>
    <row r="665" customFormat="false" ht="15" hidden="false" customHeight="false" outlineLevel="0" collapsed="false">
      <c r="A665" s="16" t="str">
        <f aca="false">Purchase_Orders!A662</f>
        <v>PO10661</v>
      </c>
      <c r="B665" s="16" t="str">
        <f aca="false">Purchase_Orders!B662</f>
        <v>V1025</v>
      </c>
      <c r="C665" s="16" t="str">
        <f aca="false">IFERROR(INDEX(Vendor_Master!$B$2:$B$41,MATCH(B665,Vendor_Master!$A$2:$A$41,0)),"Unknown Vendor")</f>
        <v>Conner Group</v>
      </c>
      <c r="D665" s="17" t="n">
        <f aca="false">Purchase_Orders!C662</f>
        <v>45712</v>
      </c>
      <c r="E665" s="18" t="n">
        <f aca="false">Purchase_Orders!D662</f>
        <v>989.07</v>
      </c>
      <c r="F665" s="18" t="n">
        <f aca="false">SUMIFS(Goods_Receipt_Notes!$D$2:$D$791,Goods_Receipt_Notes!$B$2:$B$791,A665)</f>
        <v>989.07</v>
      </c>
      <c r="G665" s="18" t="n">
        <f aca="false">SUMIFS(Vendor_Invoices_AP!$E$2:$E$882,Vendor_Invoices_AP!$B$2:$B$882,A665)</f>
        <v>989.07</v>
      </c>
      <c r="H665" s="16" t="str">
        <f aca="false">IF(F665=0,"Not Received","Received")</f>
        <v>Received</v>
      </c>
      <c r="I665" s="16" t="str">
        <f aca="false">IF(G665=0,"Not Invoiced","Invoiced")</f>
        <v>Invoiced</v>
      </c>
      <c r="J665" s="18" t="n">
        <f aca="false">E665-F665</f>
        <v>0</v>
      </c>
      <c r="K665" s="18" t="n">
        <f aca="false">E665-G665</f>
        <v>0</v>
      </c>
      <c r="L665" s="16" t="str">
        <f aca="false">IF(OR(AND(I665="Invoiced",H665="Not Received"),AND(F665&gt;0,ABS(J665)&gt;Assumptions!$B$6),AND(G665&gt;0,ABS(K665)&gt;Assumptions!$B$6)),"EXCEPTION","OK")</f>
        <v>OK</v>
      </c>
    </row>
    <row r="666" customFormat="false" ht="15" hidden="false" customHeight="false" outlineLevel="0" collapsed="false">
      <c r="A666" s="16" t="str">
        <f aca="false">Purchase_Orders!A663</f>
        <v>PO10662</v>
      </c>
      <c r="B666" s="16" t="str">
        <f aca="false">Purchase_Orders!B663</f>
        <v>V1039</v>
      </c>
      <c r="C666" s="16" t="str">
        <f aca="false">IFERROR(INDEX(Vendor_Master!$B$2:$B$41,MATCH(B666,Vendor_Master!$A$2:$A$41,0)),"Unknown Vendor")</f>
        <v>Campos, Vaughn and Marquez</v>
      </c>
      <c r="D666" s="17" t="n">
        <f aca="false">Purchase_Orders!C663</f>
        <v>46031</v>
      </c>
      <c r="E666" s="18" t="n">
        <f aca="false">Purchase_Orders!D663</f>
        <v>2423.18</v>
      </c>
      <c r="F666" s="18" t="n">
        <f aca="false">SUMIFS(Goods_Receipt_Notes!$D$2:$D$791,Goods_Receipt_Notes!$B$2:$B$791,A666)</f>
        <v>2423.18</v>
      </c>
      <c r="G666" s="18" t="n">
        <f aca="false">SUMIFS(Vendor_Invoices_AP!$E$2:$E$882,Vendor_Invoices_AP!$B$2:$B$882,A666)</f>
        <v>2852.54</v>
      </c>
      <c r="H666" s="16" t="str">
        <f aca="false">IF(F666=0,"Not Received","Received")</f>
        <v>Received</v>
      </c>
      <c r="I666" s="16" t="str">
        <f aca="false">IF(G666=0,"Not Invoiced","Invoiced")</f>
        <v>Invoiced</v>
      </c>
      <c r="J666" s="18" t="n">
        <f aca="false">E666-F666</f>
        <v>0</v>
      </c>
      <c r="K666" s="18" t="n">
        <f aca="false">E666-G666</f>
        <v>-429.36</v>
      </c>
      <c r="L666" s="16" t="str">
        <f aca="false">IF(OR(AND(I666="Invoiced",H666="Not Received"),AND(F666&gt;0,ABS(J666)&gt;Assumptions!$B$6),AND(G666&gt;0,ABS(K666)&gt;Assumptions!$B$6)),"EXCEPTION","OK")</f>
        <v>EXCEPTION</v>
      </c>
    </row>
    <row r="667" customFormat="false" ht="15" hidden="false" customHeight="false" outlineLevel="0" collapsed="false">
      <c r="A667" s="16" t="str">
        <f aca="false">Purchase_Orders!A664</f>
        <v>PO10663</v>
      </c>
      <c r="B667" s="16" t="str">
        <f aca="false">Purchase_Orders!B664</f>
        <v>V1032</v>
      </c>
      <c r="C667" s="16" t="str">
        <f aca="false">IFERROR(INDEX(Vendor_Master!$B$2:$B$41,MATCH(B667,Vendor_Master!$A$2:$A$41,0)),"Unknown Vendor")</f>
        <v>Lynch, Hernandez and Farmer</v>
      </c>
      <c r="D667" s="17" t="n">
        <f aca="false">Purchase_Orders!C664</f>
        <v>45954</v>
      </c>
      <c r="E667" s="18" t="n">
        <f aca="false">Purchase_Orders!D664</f>
        <v>2408.69</v>
      </c>
      <c r="F667" s="18" t="n">
        <f aca="false">SUMIFS(Goods_Receipt_Notes!$D$2:$D$791,Goods_Receipt_Notes!$B$2:$B$791,A667)</f>
        <v>2408.69</v>
      </c>
      <c r="G667" s="18" t="n">
        <f aca="false">SUMIFS(Vendor_Invoices_AP!$E$2:$E$882,Vendor_Invoices_AP!$B$2:$B$882,A667)</f>
        <v>2408.69</v>
      </c>
      <c r="H667" s="16" t="str">
        <f aca="false">IF(F667=0,"Not Received","Received")</f>
        <v>Received</v>
      </c>
      <c r="I667" s="16" t="str">
        <f aca="false">IF(G667=0,"Not Invoiced","Invoiced")</f>
        <v>Invoiced</v>
      </c>
      <c r="J667" s="18" t="n">
        <f aca="false">E667-F667</f>
        <v>0</v>
      </c>
      <c r="K667" s="18" t="n">
        <f aca="false">E667-G667</f>
        <v>0</v>
      </c>
      <c r="L667" s="16" t="str">
        <f aca="false">IF(OR(AND(I667="Invoiced",H667="Not Received"),AND(F667&gt;0,ABS(J667)&gt;Assumptions!$B$6),AND(G667&gt;0,ABS(K667)&gt;Assumptions!$B$6)),"EXCEPTION","OK")</f>
        <v>OK</v>
      </c>
    </row>
    <row r="668" customFormat="false" ht="15" hidden="false" customHeight="false" outlineLevel="0" collapsed="false">
      <c r="A668" s="16" t="str">
        <f aca="false">Purchase_Orders!A665</f>
        <v>PO10664</v>
      </c>
      <c r="B668" s="16" t="str">
        <f aca="false">Purchase_Orders!B665</f>
        <v>V1001</v>
      </c>
      <c r="C668" s="16" t="str">
        <f aca="false">IFERROR(INDEX(Vendor_Master!$B$2:$B$41,MATCH(B668,Vendor_Master!$A$2:$A$41,0)),"Unknown Vendor")</f>
        <v>Figueroa and Sons</v>
      </c>
      <c r="D668" s="17" t="n">
        <f aca="false">Purchase_Orders!C665</f>
        <v>46190</v>
      </c>
      <c r="E668" s="18" t="n">
        <f aca="false">Purchase_Orders!D665</f>
        <v>1303.38</v>
      </c>
      <c r="F668" s="18" t="n">
        <f aca="false">SUMIFS(Goods_Receipt_Notes!$D$2:$D$791,Goods_Receipt_Notes!$B$2:$B$791,A668)</f>
        <v>1303.38</v>
      </c>
      <c r="G668" s="18" t="n">
        <f aca="false">SUMIFS(Vendor_Invoices_AP!$E$2:$E$882,Vendor_Invoices_AP!$B$2:$B$882,A668)</f>
        <v>1303.38</v>
      </c>
      <c r="H668" s="16" t="str">
        <f aca="false">IF(F668=0,"Not Received","Received")</f>
        <v>Received</v>
      </c>
      <c r="I668" s="16" t="str">
        <f aca="false">IF(G668=0,"Not Invoiced","Invoiced")</f>
        <v>Invoiced</v>
      </c>
      <c r="J668" s="18" t="n">
        <f aca="false">E668-F668</f>
        <v>0</v>
      </c>
      <c r="K668" s="18" t="n">
        <f aca="false">E668-G668</f>
        <v>0</v>
      </c>
      <c r="L668" s="16" t="str">
        <f aca="false">IF(OR(AND(I668="Invoiced",H668="Not Received"),AND(F668&gt;0,ABS(J668)&gt;Assumptions!$B$6),AND(G668&gt;0,ABS(K668)&gt;Assumptions!$B$6)),"EXCEPTION","OK")</f>
        <v>OK</v>
      </c>
    </row>
    <row r="669" customFormat="false" ht="15" hidden="false" customHeight="false" outlineLevel="0" collapsed="false">
      <c r="A669" s="16" t="str">
        <f aca="false">Purchase_Orders!A666</f>
        <v>PO10665</v>
      </c>
      <c r="B669" s="16" t="str">
        <f aca="false">Purchase_Orders!B666</f>
        <v>V1019</v>
      </c>
      <c r="C669" s="16" t="str">
        <f aca="false">IFERROR(INDEX(Vendor_Master!$B$2:$B$41,MATCH(B669,Vendor_Master!$A$2:$A$41,0)),"Unknown Vendor")</f>
        <v>Clark PLC</v>
      </c>
      <c r="D669" s="17" t="n">
        <f aca="false">Purchase_Orders!C666</f>
        <v>45853</v>
      </c>
      <c r="E669" s="18" t="n">
        <f aca="false">Purchase_Orders!D666</f>
        <v>414.94</v>
      </c>
      <c r="F669" s="18" t="n">
        <f aca="false">SUMIFS(Goods_Receipt_Notes!$D$2:$D$791,Goods_Receipt_Notes!$B$2:$B$791,A669)</f>
        <v>414.94</v>
      </c>
      <c r="G669" s="18" t="n">
        <f aca="false">SUMIFS(Vendor_Invoices_AP!$E$2:$E$882,Vendor_Invoices_AP!$B$2:$B$882,A669)</f>
        <v>414.94</v>
      </c>
      <c r="H669" s="16" t="str">
        <f aca="false">IF(F669=0,"Not Received","Received")</f>
        <v>Received</v>
      </c>
      <c r="I669" s="16" t="str">
        <f aca="false">IF(G669=0,"Not Invoiced","Invoiced")</f>
        <v>Invoiced</v>
      </c>
      <c r="J669" s="18" t="n">
        <f aca="false">E669-F669</f>
        <v>0</v>
      </c>
      <c r="K669" s="18" t="n">
        <f aca="false">E669-G669</f>
        <v>0</v>
      </c>
      <c r="L669" s="16" t="str">
        <f aca="false">IF(OR(AND(I669="Invoiced",H669="Not Received"),AND(F669&gt;0,ABS(J669)&gt;Assumptions!$B$6),AND(G669&gt;0,ABS(K669)&gt;Assumptions!$B$6)),"EXCEPTION","OK")</f>
        <v>OK</v>
      </c>
    </row>
    <row r="670" customFormat="false" ht="15" hidden="false" customHeight="false" outlineLevel="0" collapsed="false">
      <c r="A670" s="16" t="str">
        <f aca="false">Purchase_Orders!A667</f>
        <v>PO10666</v>
      </c>
      <c r="B670" s="16" t="str">
        <f aca="false">Purchase_Orders!B667</f>
        <v>V1030</v>
      </c>
      <c r="C670" s="16" t="str">
        <f aca="false">IFERROR(INDEX(Vendor_Master!$B$2:$B$41,MATCH(B670,Vendor_Master!$A$2:$A$41,0)),"Unknown Vendor")</f>
        <v>Stanton-Gill</v>
      </c>
      <c r="D670" s="17" t="n">
        <f aca="false">Purchase_Orders!C667</f>
        <v>45874</v>
      </c>
      <c r="E670" s="18" t="n">
        <f aca="false">Purchase_Orders!D667</f>
        <v>526.61</v>
      </c>
      <c r="F670" s="18" t="n">
        <f aca="false">SUMIFS(Goods_Receipt_Notes!$D$2:$D$791,Goods_Receipt_Notes!$B$2:$B$791,A670)</f>
        <v>526.61</v>
      </c>
      <c r="G670" s="18" t="n">
        <f aca="false">SUMIFS(Vendor_Invoices_AP!$E$2:$E$882,Vendor_Invoices_AP!$B$2:$B$882,A670)</f>
        <v>526.61</v>
      </c>
      <c r="H670" s="16" t="str">
        <f aca="false">IF(F670=0,"Not Received","Received")</f>
        <v>Received</v>
      </c>
      <c r="I670" s="16" t="str">
        <f aca="false">IF(G670=0,"Not Invoiced","Invoiced")</f>
        <v>Invoiced</v>
      </c>
      <c r="J670" s="18" t="n">
        <f aca="false">E670-F670</f>
        <v>0</v>
      </c>
      <c r="K670" s="18" t="n">
        <f aca="false">E670-G670</f>
        <v>0</v>
      </c>
      <c r="L670" s="16" t="str">
        <f aca="false">IF(OR(AND(I670="Invoiced",H670="Not Received"),AND(F670&gt;0,ABS(J670)&gt;Assumptions!$B$6),AND(G670&gt;0,ABS(K670)&gt;Assumptions!$B$6)),"EXCEPTION","OK")</f>
        <v>OK</v>
      </c>
    </row>
    <row r="671" customFormat="false" ht="15" hidden="false" customHeight="false" outlineLevel="0" collapsed="false">
      <c r="A671" s="16" t="str">
        <f aca="false">Purchase_Orders!A668</f>
        <v>PO10667</v>
      </c>
      <c r="B671" s="16" t="str">
        <f aca="false">Purchase_Orders!B668</f>
        <v>V1008</v>
      </c>
      <c r="C671" s="16" t="str">
        <f aca="false">IFERROR(INDEX(Vendor_Master!$B$2:$B$41,MATCH(B671,Vendor_Master!$A$2:$A$41,0)),"Unknown Vendor")</f>
        <v>Davis Inc</v>
      </c>
      <c r="D671" s="17" t="n">
        <f aca="false">Purchase_Orders!C668</f>
        <v>45761</v>
      </c>
      <c r="E671" s="18" t="n">
        <f aca="false">Purchase_Orders!D668</f>
        <v>1428.02</v>
      </c>
      <c r="F671" s="18" t="n">
        <f aca="false">SUMIFS(Goods_Receipt_Notes!$D$2:$D$791,Goods_Receipt_Notes!$B$2:$B$791,A671)</f>
        <v>1428.02</v>
      </c>
      <c r="G671" s="18" t="n">
        <f aca="false">SUMIFS(Vendor_Invoices_AP!$E$2:$E$882,Vendor_Invoices_AP!$B$2:$B$882,A671)</f>
        <v>1428.02</v>
      </c>
      <c r="H671" s="16" t="str">
        <f aca="false">IF(F671=0,"Not Received","Received")</f>
        <v>Received</v>
      </c>
      <c r="I671" s="16" t="str">
        <f aca="false">IF(G671=0,"Not Invoiced","Invoiced")</f>
        <v>Invoiced</v>
      </c>
      <c r="J671" s="18" t="n">
        <f aca="false">E671-F671</f>
        <v>0</v>
      </c>
      <c r="K671" s="18" t="n">
        <f aca="false">E671-G671</f>
        <v>0</v>
      </c>
      <c r="L671" s="16" t="str">
        <f aca="false">IF(OR(AND(I671="Invoiced",H671="Not Received"),AND(F671&gt;0,ABS(J671)&gt;Assumptions!$B$6),AND(G671&gt;0,ABS(K671)&gt;Assumptions!$B$6)),"EXCEPTION","OK")</f>
        <v>OK</v>
      </c>
    </row>
    <row r="672" customFormat="false" ht="15" hidden="false" customHeight="false" outlineLevel="0" collapsed="false">
      <c r="A672" s="16" t="str">
        <f aca="false">Purchase_Orders!A669</f>
        <v>PO10668</v>
      </c>
      <c r="B672" s="16" t="str">
        <f aca="false">Purchase_Orders!B669</f>
        <v>V1008</v>
      </c>
      <c r="C672" s="16" t="str">
        <f aca="false">IFERROR(INDEX(Vendor_Master!$B$2:$B$41,MATCH(B672,Vendor_Master!$A$2:$A$41,0)),"Unknown Vendor")</f>
        <v>Davis Inc</v>
      </c>
      <c r="D672" s="17" t="n">
        <f aca="false">Purchase_Orders!C669</f>
        <v>45724</v>
      </c>
      <c r="E672" s="18" t="n">
        <f aca="false">Purchase_Orders!D669</f>
        <v>3315.09</v>
      </c>
      <c r="F672" s="18" t="n">
        <f aca="false">SUMIFS(Goods_Receipt_Notes!$D$2:$D$791,Goods_Receipt_Notes!$B$2:$B$791,A672)</f>
        <v>3315.09</v>
      </c>
      <c r="G672" s="18" t="n">
        <f aca="false">SUMIFS(Vendor_Invoices_AP!$E$2:$E$882,Vendor_Invoices_AP!$B$2:$B$882,A672)</f>
        <v>3315.09</v>
      </c>
      <c r="H672" s="16" t="str">
        <f aca="false">IF(F672=0,"Not Received","Received")</f>
        <v>Received</v>
      </c>
      <c r="I672" s="16" t="str">
        <f aca="false">IF(G672=0,"Not Invoiced","Invoiced")</f>
        <v>Invoiced</v>
      </c>
      <c r="J672" s="18" t="n">
        <f aca="false">E672-F672</f>
        <v>0</v>
      </c>
      <c r="K672" s="18" t="n">
        <f aca="false">E672-G672</f>
        <v>0</v>
      </c>
      <c r="L672" s="16" t="str">
        <f aca="false">IF(OR(AND(I672="Invoiced",H672="Not Received"),AND(F672&gt;0,ABS(J672)&gt;Assumptions!$B$6),AND(G672&gt;0,ABS(K672)&gt;Assumptions!$B$6)),"EXCEPTION","OK")</f>
        <v>OK</v>
      </c>
    </row>
    <row r="673" customFormat="false" ht="15" hidden="false" customHeight="false" outlineLevel="0" collapsed="false">
      <c r="A673" s="16" t="str">
        <f aca="false">Purchase_Orders!A670</f>
        <v>PO10669</v>
      </c>
      <c r="B673" s="16" t="str">
        <f aca="false">Purchase_Orders!B670</f>
        <v>V1009</v>
      </c>
      <c r="C673" s="16" t="str">
        <f aca="false">IFERROR(INDEX(Vendor_Master!$B$2:$B$41,MATCH(B673,Vendor_Master!$A$2:$A$41,0)),"Unknown Vendor")</f>
        <v>Munoz-Roman</v>
      </c>
      <c r="D673" s="17" t="n">
        <f aca="false">Purchase_Orders!C670</f>
        <v>46120</v>
      </c>
      <c r="E673" s="18" t="n">
        <f aca="false">Purchase_Orders!D670</f>
        <v>1645.78</v>
      </c>
      <c r="F673" s="18" t="n">
        <f aca="false">SUMIFS(Goods_Receipt_Notes!$D$2:$D$791,Goods_Receipt_Notes!$B$2:$B$791,A673)</f>
        <v>0</v>
      </c>
      <c r="G673" s="18" t="n">
        <f aca="false">SUMIFS(Vendor_Invoices_AP!$E$2:$E$882,Vendor_Invoices_AP!$B$2:$B$882,A673)</f>
        <v>3291.56</v>
      </c>
      <c r="H673" s="16" t="str">
        <f aca="false">IF(F673=0,"Not Received","Received")</f>
        <v>Not Received</v>
      </c>
      <c r="I673" s="16" t="str">
        <f aca="false">IF(G673=0,"Not Invoiced","Invoiced")</f>
        <v>Invoiced</v>
      </c>
      <c r="J673" s="18" t="n">
        <f aca="false">E673-F673</f>
        <v>1645.78</v>
      </c>
      <c r="K673" s="18" t="n">
        <f aca="false">E673-G673</f>
        <v>-1645.78</v>
      </c>
      <c r="L673" s="16" t="str">
        <f aca="false">IF(OR(AND(I673="Invoiced",H673="Not Received"),AND(F673&gt;0,ABS(J673)&gt;Assumptions!$B$6),AND(G673&gt;0,ABS(K673)&gt;Assumptions!$B$6)),"EXCEPTION","OK")</f>
        <v>EXCEPTION</v>
      </c>
    </row>
    <row r="674" customFormat="false" ht="15" hidden="false" customHeight="false" outlineLevel="0" collapsed="false">
      <c r="A674" s="16" t="str">
        <f aca="false">Purchase_Orders!A671</f>
        <v>PO10670</v>
      </c>
      <c r="B674" s="16" t="str">
        <f aca="false">Purchase_Orders!B671</f>
        <v>V1009</v>
      </c>
      <c r="C674" s="16" t="str">
        <f aca="false">IFERROR(INDEX(Vendor_Master!$B$2:$B$41,MATCH(B674,Vendor_Master!$A$2:$A$41,0)),"Unknown Vendor")</f>
        <v>Munoz-Roman</v>
      </c>
      <c r="D674" s="17" t="n">
        <f aca="false">Purchase_Orders!C671</f>
        <v>45905</v>
      </c>
      <c r="E674" s="18" t="n">
        <f aca="false">Purchase_Orders!D671</f>
        <v>2048.02</v>
      </c>
      <c r="F674" s="18" t="n">
        <f aca="false">SUMIFS(Goods_Receipt_Notes!$D$2:$D$791,Goods_Receipt_Notes!$B$2:$B$791,A674)</f>
        <v>2048.02</v>
      </c>
      <c r="G674" s="18" t="n">
        <f aca="false">SUMIFS(Vendor_Invoices_AP!$E$2:$E$882,Vendor_Invoices_AP!$B$2:$B$882,A674)</f>
        <v>2048.02</v>
      </c>
      <c r="H674" s="16" t="str">
        <f aca="false">IF(F674=0,"Not Received","Received")</f>
        <v>Received</v>
      </c>
      <c r="I674" s="16" t="str">
        <f aca="false">IF(G674=0,"Not Invoiced","Invoiced")</f>
        <v>Invoiced</v>
      </c>
      <c r="J674" s="18" t="n">
        <f aca="false">E674-F674</f>
        <v>0</v>
      </c>
      <c r="K674" s="18" t="n">
        <f aca="false">E674-G674</f>
        <v>0</v>
      </c>
      <c r="L674" s="16" t="str">
        <f aca="false">IF(OR(AND(I674="Invoiced",H674="Not Received"),AND(F674&gt;0,ABS(J674)&gt;Assumptions!$B$6),AND(G674&gt;0,ABS(K674)&gt;Assumptions!$B$6)),"EXCEPTION","OK")</f>
        <v>OK</v>
      </c>
    </row>
    <row r="675" customFormat="false" ht="15" hidden="false" customHeight="false" outlineLevel="0" collapsed="false">
      <c r="A675" s="16" t="str">
        <f aca="false">Purchase_Orders!A672</f>
        <v>PO10671</v>
      </c>
      <c r="B675" s="16" t="str">
        <f aca="false">Purchase_Orders!B672</f>
        <v>V1025</v>
      </c>
      <c r="C675" s="16" t="str">
        <f aca="false">IFERROR(INDEX(Vendor_Master!$B$2:$B$41,MATCH(B675,Vendor_Master!$A$2:$A$41,0)),"Unknown Vendor")</f>
        <v>Conner Group</v>
      </c>
      <c r="D675" s="17" t="n">
        <f aca="false">Purchase_Orders!C672</f>
        <v>46019</v>
      </c>
      <c r="E675" s="18" t="n">
        <f aca="false">Purchase_Orders!D672</f>
        <v>1796.9</v>
      </c>
      <c r="F675" s="18" t="n">
        <f aca="false">SUMIFS(Goods_Receipt_Notes!$D$2:$D$791,Goods_Receipt_Notes!$B$2:$B$791,A675)</f>
        <v>1796.9</v>
      </c>
      <c r="G675" s="18" t="n">
        <f aca="false">SUMIFS(Vendor_Invoices_AP!$E$2:$E$882,Vendor_Invoices_AP!$B$2:$B$882,A675)</f>
        <v>1796.9</v>
      </c>
      <c r="H675" s="16" t="str">
        <f aca="false">IF(F675=0,"Not Received","Received")</f>
        <v>Received</v>
      </c>
      <c r="I675" s="16" t="str">
        <f aca="false">IF(G675=0,"Not Invoiced","Invoiced")</f>
        <v>Invoiced</v>
      </c>
      <c r="J675" s="18" t="n">
        <f aca="false">E675-F675</f>
        <v>0</v>
      </c>
      <c r="K675" s="18" t="n">
        <f aca="false">E675-G675</f>
        <v>0</v>
      </c>
      <c r="L675" s="16" t="str">
        <f aca="false">IF(OR(AND(I675="Invoiced",H675="Not Received"),AND(F675&gt;0,ABS(J675)&gt;Assumptions!$B$6),AND(G675&gt;0,ABS(K675)&gt;Assumptions!$B$6)),"EXCEPTION","OK")</f>
        <v>OK</v>
      </c>
    </row>
    <row r="676" customFormat="false" ht="15" hidden="false" customHeight="false" outlineLevel="0" collapsed="false">
      <c r="A676" s="16" t="str">
        <f aca="false">Purchase_Orders!A673</f>
        <v>PO10672</v>
      </c>
      <c r="B676" s="16" t="str">
        <f aca="false">Purchase_Orders!B673</f>
        <v>V1012</v>
      </c>
      <c r="C676" s="16" t="str">
        <f aca="false">IFERROR(INDEX(Vendor_Master!$B$2:$B$41,MATCH(B676,Vendor_Master!$A$2:$A$41,0)),"Unknown Vendor")</f>
        <v>Stanley LLC</v>
      </c>
      <c r="D676" s="17" t="n">
        <f aca="false">Purchase_Orders!C673</f>
        <v>46007</v>
      </c>
      <c r="E676" s="18" t="n">
        <f aca="false">Purchase_Orders!D673</f>
        <v>2764.38</v>
      </c>
      <c r="F676" s="18" t="n">
        <f aca="false">SUMIFS(Goods_Receipt_Notes!$D$2:$D$791,Goods_Receipt_Notes!$B$2:$B$791,A676)</f>
        <v>2764.38</v>
      </c>
      <c r="G676" s="18" t="n">
        <f aca="false">SUMIFS(Vendor_Invoices_AP!$E$2:$E$882,Vendor_Invoices_AP!$B$2:$B$882,A676)</f>
        <v>2764.38</v>
      </c>
      <c r="H676" s="16" t="str">
        <f aca="false">IF(F676=0,"Not Received","Received")</f>
        <v>Received</v>
      </c>
      <c r="I676" s="16" t="str">
        <f aca="false">IF(G676=0,"Not Invoiced","Invoiced")</f>
        <v>Invoiced</v>
      </c>
      <c r="J676" s="18" t="n">
        <f aca="false">E676-F676</f>
        <v>0</v>
      </c>
      <c r="K676" s="18" t="n">
        <f aca="false">E676-G676</f>
        <v>0</v>
      </c>
      <c r="L676" s="16" t="str">
        <f aca="false">IF(OR(AND(I676="Invoiced",H676="Not Received"),AND(F676&gt;0,ABS(J676)&gt;Assumptions!$B$6),AND(G676&gt;0,ABS(K676)&gt;Assumptions!$B$6)),"EXCEPTION","OK")</f>
        <v>OK</v>
      </c>
    </row>
    <row r="677" customFormat="false" ht="15" hidden="false" customHeight="false" outlineLevel="0" collapsed="false">
      <c r="A677" s="16" t="str">
        <f aca="false">Purchase_Orders!A674</f>
        <v>PO10673</v>
      </c>
      <c r="B677" s="16" t="str">
        <f aca="false">Purchase_Orders!B674</f>
        <v>V1012</v>
      </c>
      <c r="C677" s="16" t="str">
        <f aca="false">IFERROR(INDEX(Vendor_Master!$B$2:$B$41,MATCH(B677,Vendor_Master!$A$2:$A$41,0)),"Unknown Vendor")</f>
        <v>Stanley LLC</v>
      </c>
      <c r="D677" s="17" t="n">
        <f aca="false">Purchase_Orders!C674</f>
        <v>45983</v>
      </c>
      <c r="E677" s="18" t="n">
        <f aca="false">Purchase_Orders!D674</f>
        <v>3596.65</v>
      </c>
      <c r="F677" s="18" t="n">
        <f aca="false">SUMIFS(Goods_Receipt_Notes!$D$2:$D$791,Goods_Receipt_Notes!$B$2:$B$791,A677)</f>
        <v>3596.65</v>
      </c>
      <c r="G677" s="18" t="n">
        <f aca="false">SUMIFS(Vendor_Invoices_AP!$E$2:$E$882,Vendor_Invoices_AP!$B$2:$B$882,A677)</f>
        <v>3596.65</v>
      </c>
      <c r="H677" s="16" t="str">
        <f aca="false">IF(F677=0,"Not Received","Received")</f>
        <v>Received</v>
      </c>
      <c r="I677" s="16" t="str">
        <f aca="false">IF(G677=0,"Not Invoiced","Invoiced")</f>
        <v>Invoiced</v>
      </c>
      <c r="J677" s="18" t="n">
        <f aca="false">E677-F677</f>
        <v>0</v>
      </c>
      <c r="K677" s="18" t="n">
        <f aca="false">E677-G677</f>
        <v>0</v>
      </c>
      <c r="L677" s="16" t="str">
        <f aca="false">IF(OR(AND(I677="Invoiced",H677="Not Received"),AND(F677&gt;0,ABS(J677)&gt;Assumptions!$B$6),AND(G677&gt;0,ABS(K677)&gt;Assumptions!$B$6)),"EXCEPTION","OK")</f>
        <v>OK</v>
      </c>
    </row>
    <row r="678" customFormat="false" ht="15" hidden="false" customHeight="false" outlineLevel="0" collapsed="false">
      <c r="A678" s="16" t="str">
        <f aca="false">Purchase_Orders!A675</f>
        <v>PO10674</v>
      </c>
      <c r="B678" s="16" t="str">
        <f aca="false">Purchase_Orders!B675</f>
        <v>V1007</v>
      </c>
      <c r="C678" s="16" t="str">
        <f aca="false">IFERROR(INDEX(Vendor_Master!$B$2:$B$41,MATCH(B678,Vendor_Master!$A$2:$A$41,0)),"Unknown Vendor")</f>
        <v>Ramirez-Lewis</v>
      </c>
      <c r="D678" s="17" t="n">
        <f aca="false">Purchase_Orders!C675</f>
        <v>45669</v>
      </c>
      <c r="E678" s="18" t="n">
        <f aca="false">Purchase_Orders!D675</f>
        <v>3806.21</v>
      </c>
      <c r="F678" s="18" t="n">
        <f aca="false">SUMIFS(Goods_Receipt_Notes!$D$2:$D$791,Goods_Receipt_Notes!$B$2:$B$791,A678)</f>
        <v>3806.21</v>
      </c>
      <c r="G678" s="18" t="n">
        <f aca="false">SUMIFS(Vendor_Invoices_AP!$E$2:$E$882,Vendor_Invoices_AP!$B$2:$B$882,A678)</f>
        <v>3806.21</v>
      </c>
      <c r="H678" s="16" t="str">
        <f aca="false">IF(F678=0,"Not Received","Received")</f>
        <v>Received</v>
      </c>
      <c r="I678" s="16" t="str">
        <f aca="false">IF(G678=0,"Not Invoiced","Invoiced")</f>
        <v>Invoiced</v>
      </c>
      <c r="J678" s="18" t="n">
        <f aca="false">E678-F678</f>
        <v>0</v>
      </c>
      <c r="K678" s="18" t="n">
        <f aca="false">E678-G678</f>
        <v>0</v>
      </c>
      <c r="L678" s="16" t="str">
        <f aca="false">IF(OR(AND(I678="Invoiced",H678="Not Received"),AND(F678&gt;0,ABS(J678)&gt;Assumptions!$B$6),AND(G678&gt;0,ABS(K678)&gt;Assumptions!$B$6)),"EXCEPTION","OK")</f>
        <v>OK</v>
      </c>
    </row>
    <row r="679" customFormat="false" ht="15" hidden="false" customHeight="false" outlineLevel="0" collapsed="false">
      <c r="A679" s="16" t="str">
        <f aca="false">Purchase_Orders!A676</f>
        <v>PO10675</v>
      </c>
      <c r="B679" s="16" t="str">
        <f aca="false">Purchase_Orders!B676</f>
        <v>V1039</v>
      </c>
      <c r="C679" s="16" t="str">
        <f aca="false">IFERROR(INDEX(Vendor_Master!$B$2:$B$41,MATCH(B679,Vendor_Master!$A$2:$A$41,0)),"Unknown Vendor")</f>
        <v>Campos, Vaughn and Marquez</v>
      </c>
      <c r="D679" s="17" t="n">
        <f aca="false">Purchase_Orders!C676</f>
        <v>46086</v>
      </c>
      <c r="E679" s="18" t="n">
        <f aca="false">Purchase_Orders!D676</f>
        <v>2397.02</v>
      </c>
      <c r="F679" s="18" t="n">
        <f aca="false">SUMIFS(Goods_Receipt_Notes!$D$2:$D$791,Goods_Receipt_Notes!$B$2:$B$791,A679)</f>
        <v>2397.02</v>
      </c>
      <c r="G679" s="18" t="n">
        <f aca="false">SUMIFS(Vendor_Invoices_AP!$E$2:$E$882,Vendor_Invoices_AP!$B$2:$B$882,A679)</f>
        <v>2397.02</v>
      </c>
      <c r="H679" s="16" t="str">
        <f aca="false">IF(F679=0,"Not Received","Received")</f>
        <v>Received</v>
      </c>
      <c r="I679" s="16" t="str">
        <f aca="false">IF(G679=0,"Not Invoiced","Invoiced")</f>
        <v>Invoiced</v>
      </c>
      <c r="J679" s="18" t="n">
        <f aca="false">E679-F679</f>
        <v>0</v>
      </c>
      <c r="K679" s="18" t="n">
        <f aca="false">E679-G679</f>
        <v>0</v>
      </c>
      <c r="L679" s="16" t="str">
        <f aca="false">IF(OR(AND(I679="Invoiced",H679="Not Received"),AND(F679&gt;0,ABS(J679)&gt;Assumptions!$B$6),AND(G679&gt;0,ABS(K679)&gt;Assumptions!$B$6)),"EXCEPTION","OK")</f>
        <v>OK</v>
      </c>
    </row>
    <row r="680" customFormat="false" ht="15" hidden="false" customHeight="false" outlineLevel="0" collapsed="false">
      <c r="A680" s="16" t="str">
        <f aca="false">Purchase_Orders!A677</f>
        <v>PO10676</v>
      </c>
      <c r="B680" s="16" t="str">
        <f aca="false">Purchase_Orders!B677</f>
        <v>V1035</v>
      </c>
      <c r="C680" s="16" t="str">
        <f aca="false">IFERROR(INDEX(Vendor_Master!$B$2:$B$41,MATCH(B680,Vendor_Master!$A$2:$A$41,0)),"Unknown Vendor")</f>
        <v>Allen PLC</v>
      </c>
      <c r="D680" s="17" t="n">
        <f aca="false">Purchase_Orders!C677</f>
        <v>45790</v>
      </c>
      <c r="E680" s="18" t="n">
        <f aca="false">Purchase_Orders!D677</f>
        <v>15935.12</v>
      </c>
      <c r="F680" s="18" t="n">
        <f aca="false">SUMIFS(Goods_Receipt_Notes!$D$2:$D$791,Goods_Receipt_Notes!$B$2:$B$791,A680)</f>
        <v>15935.12</v>
      </c>
      <c r="G680" s="18" t="n">
        <f aca="false">SUMIFS(Vendor_Invoices_AP!$E$2:$E$882,Vendor_Invoices_AP!$B$2:$B$882,A680)</f>
        <v>15935.12</v>
      </c>
      <c r="H680" s="16" t="str">
        <f aca="false">IF(F680=0,"Not Received","Received")</f>
        <v>Received</v>
      </c>
      <c r="I680" s="16" t="str">
        <f aca="false">IF(G680=0,"Not Invoiced","Invoiced")</f>
        <v>Invoiced</v>
      </c>
      <c r="J680" s="18" t="n">
        <f aca="false">E680-F680</f>
        <v>0</v>
      </c>
      <c r="K680" s="18" t="n">
        <f aca="false">E680-G680</f>
        <v>0</v>
      </c>
      <c r="L680" s="16" t="str">
        <f aca="false">IF(OR(AND(I680="Invoiced",H680="Not Received"),AND(F680&gt;0,ABS(J680)&gt;Assumptions!$B$6),AND(G680&gt;0,ABS(K680)&gt;Assumptions!$B$6)),"EXCEPTION","OK")</f>
        <v>OK</v>
      </c>
    </row>
    <row r="681" customFormat="false" ht="15" hidden="false" customHeight="false" outlineLevel="0" collapsed="false">
      <c r="A681" s="16" t="str">
        <f aca="false">Purchase_Orders!A678</f>
        <v>PO10677</v>
      </c>
      <c r="B681" s="16" t="str">
        <f aca="false">Purchase_Orders!B678</f>
        <v>V1028</v>
      </c>
      <c r="C681" s="16" t="str">
        <f aca="false">IFERROR(INDEX(Vendor_Master!$B$2:$B$41,MATCH(B681,Vendor_Master!$A$2:$A$41,0)),"Unknown Vendor")</f>
        <v>Potter, Mack and Peterson</v>
      </c>
      <c r="D681" s="17" t="n">
        <f aca="false">Purchase_Orders!C678</f>
        <v>45726</v>
      </c>
      <c r="E681" s="18" t="n">
        <f aca="false">Purchase_Orders!D678</f>
        <v>524.67</v>
      </c>
      <c r="F681" s="18" t="n">
        <f aca="false">SUMIFS(Goods_Receipt_Notes!$D$2:$D$791,Goods_Receipt_Notes!$B$2:$B$791,A681)</f>
        <v>524.67</v>
      </c>
      <c r="G681" s="18" t="n">
        <f aca="false">SUMIFS(Vendor_Invoices_AP!$E$2:$E$882,Vendor_Invoices_AP!$B$2:$B$882,A681)</f>
        <v>524.67</v>
      </c>
      <c r="H681" s="16" t="str">
        <f aca="false">IF(F681=0,"Not Received","Received")</f>
        <v>Received</v>
      </c>
      <c r="I681" s="16" t="str">
        <f aca="false">IF(G681=0,"Not Invoiced","Invoiced")</f>
        <v>Invoiced</v>
      </c>
      <c r="J681" s="18" t="n">
        <f aca="false">E681-F681</f>
        <v>0</v>
      </c>
      <c r="K681" s="18" t="n">
        <f aca="false">E681-G681</f>
        <v>0</v>
      </c>
      <c r="L681" s="16" t="str">
        <f aca="false">IF(OR(AND(I681="Invoiced",H681="Not Received"),AND(F681&gt;0,ABS(J681)&gt;Assumptions!$B$6),AND(G681&gt;0,ABS(K681)&gt;Assumptions!$B$6)),"EXCEPTION","OK")</f>
        <v>OK</v>
      </c>
    </row>
    <row r="682" customFormat="false" ht="15" hidden="false" customHeight="false" outlineLevel="0" collapsed="false">
      <c r="A682" s="16" t="str">
        <f aca="false">Purchase_Orders!A679</f>
        <v>PO10678</v>
      </c>
      <c r="B682" s="16" t="str">
        <f aca="false">Purchase_Orders!B679</f>
        <v>V1036</v>
      </c>
      <c r="C682" s="16" t="str">
        <f aca="false">IFERROR(INDEX(Vendor_Master!$B$2:$B$41,MATCH(B682,Vendor_Master!$A$2:$A$41,0)),"Unknown Vendor")</f>
        <v>Dennis Inc</v>
      </c>
      <c r="D682" s="17" t="n">
        <f aca="false">Purchase_Orders!C679</f>
        <v>45965</v>
      </c>
      <c r="E682" s="18" t="n">
        <f aca="false">Purchase_Orders!D679</f>
        <v>331.41</v>
      </c>
      <c r="F682" s="18" t="n">
        <f aca="false">SUMIFS(Goods_Receipt_Notes!$D$2:$D$791,Goods_Receipt_Notes!$B$2:$B$791,A682)</f>
        <v>331.41</v>
      </c>
      <c r="G682" s="18" t="n">
        <f aca="false">SUMIFS(Vendor_Invoices_AP!$E$2:$E$882,Vendor_Invoices_AP!$B$2:$B$882,A682)</f>
        <v>331.41</v>
      </c>
      <c r="H682" s="16" t="str">
        <f aca="false">IF(F682=0,"Not Received","Received")</f>
        <v>Received</v>
      </c>
      <c r="I682" s="16" t="str">
        <f aca="false">IF(G682=0,"Not Invoiced","Invoiced")</f>
        <v>Invoiced</v>
      </c>
      <c r="J682" s="18" t="n">
        <f aca="false">E682-F682</f>
        <v>0</v>
      </c>
      <c r="K682" s="18" t="n">
        <f aca="false">E682-G682</f>
        <v>0</v>
      </c>
      <c r="L682" s="16" t="str">
        <f aca="false">IF(OR(AND(I682="Invoiced",H682="Not Received"),AND(F682&gt;0,ABS(J682)&gt;Assumptions!$B$6),AND(G682&gt;0,ABS(K682)&gt;Assumptions!$B$6)),"EXCEPTION","OK")</f>
        <v>OK</v>
      </c>
    </row>
    <row r="683" customFormat="false" ht="15" hidden="false" customHeight="false" outlineLevel="0" collapsed="false">
      <c r="A683" s="16" t="str">
        <f aca="false">Purchase_Orders!A680</f>
        <v>PO10679</v>
      </c>
      <c r="B683" s="16" t="str">
        <f aca="false">Purchase_Orders!B680</f>
        <v>V1040</v>
      </c>
      <c r="C683" s="16" t="str">
        <f aca="false">IFERROR(INDEX(Vendor_Master!$B$2:$B$41,MATCH(B683,Vendor_Master!$A$2:$A$41,0)),"Unknown Vendor")</f>
        <v>Santos, Kim and Holmes</v>
      </c>
      <c r="D683" s="17" t="n">
        <f aca="false">Purchase_Orders!C680</f>
        <v>45695</v>
      </c>
      <c r="E683" s="18" t="n">
        <f aca="false">Purchase_Orders!D680</f>
        <v>979.13</v>
      </c>
      <c r="F683" s="18" t="n">
        <f aca="false">SUMIFS(Goods_Receipt_Notes!$D$2:$D$791,Goods_Receipt_Notes!$B$2:$B$791,A683)</f>
        <v>979.13</v>
      </c>
      <c r="G683" s="18" t="n">
        <f aca="false">SUMIFS(Vendor_Invoices_AP!$E$2:$E$882,Vendor_Invoices_AP!$B$2:$B$882,A683)</f>
        <v>979.13</v>
      </c>
      <c r="H683" s="16" t="str">
        <f aca="false">IF(F683=0,"Not Received","Received")</f>
        <v>Received</v>
      </c>
      <c r="I683" s="16" t="str">
        <f aca="false">IF(G683=0,"Not Invoiced","Invoiced")</f>
        <v>Invoiced</v>
      </c>
      <c r="J683" s="18" t="n">
        <f aca="false">E683-F683</f>
        <v>0</v>
      </c>
      <c r="K683" s="18" t="n">
        <f aca="false">E683-G683</f>
        <v>0</v>
      </c>
      <c r="L683" s="16" t="str">
        <f aca="false">IF(OR(AND(I683="Invoiced",H683="Not Received"),AND(F683&gt;0,ABS(J683)&gt;Assumptions!$B$6),AND(G683&gt;0,ABS(K683)&gt;Assumptions!$B$6)),"EXCEPTION","OK")</f>
        <v>OK</v>
      </c>
    </row>
    <row r="684" customFormat="false" ht="15" hidden="false" customHeight="false" outlineLevel="0" collapsed="false">
      <c r="A684" s="16" t="str">
        <f aca="false">Purchase_Orders!A681</f>
        <v>PO10680</v>
      </c>
      <c r="B684" s="16" t="str">
        <f aca="false">Purchase_Orders!B681</f>
        <v>V1006</v>
      </c>
      <c r="C684" s="16" t="str">
        <f aca="false">IFERROR(INDEX(Vendor_Master!$B$2:$B$41,MATCH(B684,Vendor_Master!$A$2:$A$41,0)),"Unknown Vendor")</f>
        <v>Blake and Sons</v>
      </c>
      <c r="D684" s="17" t="n">
        <f aca="false">Purchase_Orders!C681</f>
        <v>46075</v>
      </c>
      <c r="E684" s="18" t="n">
        <f aca="false">Purchase_Orders!D681</f>
        <v>3602.11</v>
      </c>
      <c r="F684" s="18" t="n">
        <f aca="false">SUMIFS(Goods_Receipt_Notes!$D$2:$D$791,Goods_Receipt_Notes!$B$2:$B$791,A684)</f>
        <v>3602.11</v>
      </c>
      <c r="G684" s="18" t="n">
        <f aca="false">SUMIFS(Vendor_Invoices_AP!$E$2:$E$882,Vendor_Invoices_AP!$B$2:$B$882,A684)</f>
        <v>3602.11</v>
      </c>
      <c r="H684" s="16" t="str">
        <f aca="false">IF(F684=0,"Not Received","Received")</f>
        <v>Received</v>
      </c>
      <c r="I684" s="16" t="str">
        <f aca="false">IF(G684=0,"Not Invoiced","Invoiced")</f>
        <v>Invoiced</v>
      </c>
      <c r="J684" s="18" t="n">
        <f aca="false">E684-F684</f>
        <v>0</v>
      </c>
      <c r="K684" s="18" t="n">
        <f aca="false">E684-G684</f>
        <v>0</v>
      </c>
      <c r="L684" s="16" t="str">
        <f aca="false">IF(OR(AND(I684="Invoiced",H684="Not Received"),AND(F684&gt;0,ABS(J684)&gt;Assumptions!$B$6),AND(G684&gt;0,ABS(K684)&gt;Assumptions!$B$6)),"EXCEPTION","OK")</f>
        <v>OK</v>
      </c>
    </row>
    <row r="685" customFormat="false" ht="15" hidden="false" customHeight="false" outlineLevel="0" collapsed="false">
      <c r="A685" s="16" t="str">
        <f aca="false">Purchase_Orders!A682</f>
        <v>PO10681</v>
      </c>
      <c r="B685" s="16" t="str">
        <f aca="false">Purchase_Orders!B682</f>
        <v>V1015</v>
      </c>
      <c r="C685" s="16" t="str">
        <f aca="false">IFERROR(INDEX(Vendor_Master!$B$2:$B$41,MATCH(B685,Vendor_Master!$A$2:$A$41,0)),"Unknown Vendor")</f>
        <v>Zuniga, Wong and Lynch</v>
      </c>
      <c r="D685" s="17" t="n">
        <f aca="false">Purchase_Orders!C682</f>
        <v>45770</v>
      </c>
      <c r="E685" s="18" t="n">
        <f aca="false">Purchase_Orders!D682</f>
        <v>579.61</v>
      </c>
      <c r="F685" s="18" t="n">
        <f aca="false">SUMIFS(Goods_Receipt_Notes!$D$2:$D$791,Goods_Receipt_Notes!$B$2:$B$791,A685)</f>
        <v>549.24</v>
      </c>
      <c r="G685" s="18" t="n">
        <f aca="false">SUMIFS(Vendor_Invoices_AP!$E$2:$E$882,Vendor_Invoices_AP!$B$2:$B$882,A685)</f>
        <v>579.61</v>
      </c>
      <c r="H685" s="16" t="str">
        <f aca="false">IF(F685=0,"Not Received","Received")</f>
        <v>Received</v>
      </c>
      <c r="I685" s="16" t="str">
        <f aca="false">IF(G685=0,"Not Invoiced","Invoiced")</f>
        <v>Invoiced</v>
      </c>
      <c r="J685" s="18" t="n">
        <f aca="false">E685-F685</f>
        <v>30.37</v>
      </c>
      <c r="K685" s="18" t="n">
        <f aca="false">E685-G685</f>
        <v>0</v>
      </c>
      <c r="L685" s="16" t="str">
        <f aca="false">IF(OR(AND(I685="Invoiced",H685="Not Received"),AND(F685&gt;0,ABS(J685)&gt;Assumptions!$B$6),AND(G685&gt;0,ABS(K685)&gt;Assumptions!$B$6)),"EXCEPTION","OK")</f>
        <v>EXCEPTION</v>
      </c>
    </row>
    <row r="686" customFormat="false" ht="15" hidden="false" customHeight="false" outlineLevel="0" collapsed="false">
      <c r="A686" s="16" t="str">
        <f aca="false">Purchase_Orders!A683</f>
        <v>PO10682</v>
      </c>
      <c r="B686" s="16" t="str">
        <f aca="false">Purchase_Orders!B683</f>
        <v>V1018</v>
      </c>
      <c r="C686" s="16" t="str">
        <f aca="false">IFERROR(INDEX(Vendor_Master!$B$2:$B$41,MATCH(B686,Vendor_Master!$A$2:$A$41,0)),"Unknown Vendor")</f>
        <v>Underwood LLC</v>
      </c>
      <c r="D686" s="17" t="n">
        <f aca="false">Purchase_Orders!C683</f>
        <v>45775</v>
      </c>
      <c r="E686" s="18" t="n">
        <f aca="false">Purchase_Orders!D683</f>
        <v>2463.86</v>
      </c>
      <c r="F686" s="18" t="n">
        <f aca="false">SUMIFS(Goods_Receipt_Notes!$D$2:$D$791,Goods_Receipt_Notes!$B$2:$B$791,A686)</f>
        <v>2463.86</v>
      </c>
      <c r="G686" s="18" t="n">
        <f aca="false">SUMIFS(Vendor_Invoices_AP!$E$2:$E$882,Vendor_Invoices_AP!$B$2:$B$882,A686)</f>
        <v>2463.86</v>
      </c>
      <c r="H686" s="16" t="str">
        <f aca="false">IF(F686=0,"Not Received","Received")</f>
        <v>Received</v>
      </c>
      <c r="I686" s="16" t="str">
        <f aca="false">IF(G686=0,"Not Invoiced","Invoiced")</f>
        <v>Invoiced</v>
      </c>
      <c r="J686" s="18" t="n">
        <f aca="false">E686-F686</f>
        <v>0</v>
      </c>
      <c r="K686" s="18" t="n">
        <f aca="false">E686-G686</f>
        <v>0</v>
      </c>
      <c r="L686" s="16" t="str">
        <f aca="false">IF(OR(AND(I686="Invoiced",H686="Not Received"),AND(F686&gt;0,ABS(J686)&gt;Assumptions!$B$6),AND(G686&gt;0,ABS(K686)&gt;Assumptions!$B$6)),"EXCEPTION","OK")</f>
        <v>OK</v>
      </c>
    </row>
    <row r="687" customFormat="false" ht="15" hidden="false" customHeight="false" outlineLevel="0" collapsed="false">
      <c r="A687" s="16" t="str">
        <f aca="false">Purchase_Orders!A684</f>
        <v>PO10683</v>
      </c>
      <c r="B687" s="16" t="str">
        <f aca="false">Purchase_Orders!B684</f>
        <v>V1020</v>
      </c>
      <c r="C687" s="16" t="str">
        <f aca="false">IFERROR(INDEX(Vendor_Master!$B$2:$B$41,MATCH(B687,Vendor_Master!$A$2:$A$41,0)),"Unknown Vendor")</f>
        <v>Lewis-Porter</v>
      </c>
      <c r="D687" s="17" t="n">
        <f aca="false">Purchase_Orders!C684</f>
        <v>46131</v>
      </c>
      <c r="E687" s="18" t="n">
        <f aca="false">Purchase_Orders!D684</f>
        <v>2741.68</v>
      </c>
      <c r="F687" s="18" t="n">
        <f aca="false">SUMIFS(Goods_Receipt_Notes!$D$2:$D$791,Goods_Receipt_Notes!$B$2:$B$791,A687)</f>
        <v>2741.68</v>
      </c>
      <c r="G687" s="18" t="n">
        <f aca="false">SUMIFS(Vendor_Invoices_AP!$E$2:$E$882,Vendor_Invoices_AP!$B$2:$B$882,A687)</f>
        <v>2741.68</v>
      </c>
      <c r="H687" s="16" t="str">
        <f aca="false">IF(F687=0,"Not Received","Received")</f>
        <v>Received</v>
      </c>
      <c r="I687" s="16" t="str">
        <f aca="false">IF(G687=0,"Not Invoiced","Invoiced")</f>
        <v>Invoiced</v>
      </c>
      <c r="J687" s="18" t="n">
        <f aca="false">E687-F687</f>
        <v>0</v>
      </c>
      <c r="K687" s="18" t="n">
        <f aca="false">E687-G687</f>
        <v>0</v>
      </c>
      <c r="L687" s="16" t="str">
        <f aca="false">IF(OR(AND(I687="Invoiced",H687="Not Received"),AND(F687&gt;0,ABS(J687)&gt;Assumptions!$B$6),AND(G687&gt;0,ABS(K687)&gt;Assumptions!$B$6)),"EXCEPTION","OK")</f>
        <v>OK</v>
      </c>
    </row>
    <row r="688" customFormat="false" ht="15" hidden="false" customHeight="false" outlineLevel="0" collapsed="false">
      <c r="A688" s="16" t="str">
        <f aca="false">Purchase_Orders!A685</f>
        <v>PO10684</v>
      </c>
      <c r="B688" s="16" t="str">
        <f aca="false">Purchase_Orders!B685</f>
        <v>V1022</v>
      </c>
      <c r="C688" s="16" t="str">
        <f aca="false">IFERROR(INDEX(Vendor_Master!$B$2:$B$41,MATCH(B688,Vendor_Master!$A$2:$A$41,0)),"Unknown Vendor")</f>
        <v>Burgess-Patterson</v>
      </c>
      <c r="D688" s="17" t="n">
        <f aca="false">Purchase_Orders!C685</f>
        <v>45837</v>
      </c>
      <c r="E688" s="18" t="n">
        <f aca="false">Purchase_Orders!D685</f>
        <v>683.18</v>
      </c>
      <c r="F688" s="18" t="n">
        <f aca="false">SUMIFS(Goods_Receipt_Notes!$D$2:$D$791,Goods_Receipt_Notes!$B$2:$B$791,A688)</f>
        <v>683.18</v>
      </c>
      <c r="G688" s="18" t="n">
        <f aca="false">SUMIFS(Vendor_Invoices_AP!$E$2:$E$882,Vendor_Invoices_AP!$B$2:$B$882,A688)</f>
        <v>683.18</v>
      </c>
      <c r="H688" s="16" t="str">
        <f aca="false">IF(F688=0,"Not Received","Received")</f>
        <v>Received</v>
      </c>
      <c r="I688" s="16" t="str">
        <f aca="false">IF(G688=0,"Not Invoiced","Invoiced")</f>
        <v>Invoiced</v>
      </c>
      <c r="J688" s="18" t="n">
        <f aca="false">E688-F688</f>
        <v>0</v>
      </c>
      <c r="K688" s="18" t="n">
        <f aca="false">E688-G688</f>
        <v>0</v>
      </c>
      <c r="L688" s="16" t="str">
        <f aca="false">IF(OR(AND(I688="Invoiced",H688="Not Received"),AND(F688&gt;0,ABS(J688)&gt;Assumptions!$B$6),AND(G688&gt;0,ABS(K688)&gt;Assumptions!$B$6)),"EXCEPTION","OK")</f>
        <v>OK</v>
      </c>
    </row>
    <row r="689" customFormat="false" ht="15" hidden="false" customHeight="false" outlineLevel="0" collapsed="false">
      <c r="A689" s="16" t="str">
        <f aca="false">Purchase_Orders!A686</f>
        <v>PO10685</v>
      </c>
      <c r="B689" s="16" t="str">
        <f aca="false">Purchase_Orders!B686</f>
        <v>V1029</v>
      </c>
      <c r="C689" s="16" t="str">
        <f aca="false">IFERROR(INDEX(Vendor_Master!$B$2:$B$41,MATCH(B689,Vendor_Master!$A$2:$A$41,0)),"Unknown Vendor")</f>
        <v>Chavez Ltd</v>
      </c>
      <c r="D689" s="17" t="n">
        <f aca="false">Purchase_Orders!C686</f>
        <v>45738</v>
      </c>
      <c r="E689" s="18" t="n">
        <f aca="false">Purchase_Orders!D686</f>
        <v>1624.72</v>
      </c>
      <c r="F689" s="18" t="n">
        <f aca="false">SUMIFS(Goods_Receipt_Notes!$D$2:$D$791,Goods_Receipt_Notes!$B$2:$B$791,A689)</f>
        <v>1624.72</v>
      </c>
      <c r="G689" s="18" t="n">
        <f aca="false">SUMIFS(Vendor_Invoices_AP!$E$2:$E$882,Vendor_Invoices_AP!$B$2:$B$882,A689)</f>
        <v>1624.72</v>
      </c>
      <c r="H689" s="16" t="str">
        <f aca="false">IF(F689=0,"Not Received","Received")</f>
        <v>Received</v>
      </c>
      <c r="I689" s="16" t="str">
        <f aca="false">IF(G689=0,"Not Invoiced","Invoiced")</f>
        <v>Invoiced</v>
      </c>
      <c r="J689" s="18" t="n">
        <f aca="false">E689-F689</f>
        <v>0</v>
      </c>
      <c r="K689" s="18" t="n">
        <f aca="false">E689-G689</f>
        <v>0</v>
      </c>
      <c r="L689" s="16" t="str">
        <f aca="false">IF(OR(AND(I689="Invoiced",H689="Not Received"),AND(F689&gt;0,ABS(J689)&gt;Assumptions!$B$6),AND(G689&gt;0,ABS(K689)&gt;Assumptions!$B$6)),"EXCEPTION","OK")</f>
        <v>OK</v>
      </c>
    </row>
    <row r="690" customFormat="false" ht="15" hidden="false" customHeight="false" outlineLevel="0" collapsed="false">
      <c r="A690" s="16" t="str">
        <f aca="false">Purchase_Orders!A687</f>
        <v>PO10686</v>
      </c>
      <c r="B690" s="16" t="str">
        <f aca="false">Purchase_Orders!B687</f>
        <v>V1018</v>
      </c>
      <c r="C690" s="16" t="str">
        <f aca="false">IFERROR(INDEX(Vendor_Master!$B$2:$B$41,MATCH(B690,Vendor_Master!$A$2:$A$41,0)),"Unknown Vendor")</f>
        <v>Underwood LLC</v>
      </c>
      <c r="D690" s="17" t="n">
        <f aca="false">Purchase_Orders!C687</f>
        <v>46148</v>
      </c>
      <c r="E690" s="18" t="n">
        <f aca="false">Purchase_Orders!D687</f>
        <v>1846.75</v>
      </c>
      <c r="F690" s="18" t="n">
        <f aca="false">SUMIFS(Goods_Receipt_Notes!$D$2:$D$791,Goods_Receipt_Notes!$B$2:$B$791,A690)</f>
        <v>1846.75</v>
      </c>
      <c r="G690" s="18" t="n">
        <f aca="false">SUMIFS(Vendor_Invoices_AP!$E$2:$E$882,Vendor_Invoices_AP!$B$2:$B$882,A690)</f>
        <v>1846.75</v>
      </c>
      <c r="H690" s="16" t="str">
        <f aca="false">IF(F690=0,"Not Received","Received")</f>
        <v>Received</v>
      </c>
      <c r="I690" s="16" t="str">
        <f aca="false">IF(G690=0,"Not Invoiced","Invoiced")</f>
        <v>Invoiced</v>
      </c>
      <c r="J690" s="18" t="n">
        <f aca="false">E690-F690</f>
        <v>0</v>
      </c>
      <c r="K690" s="18" t="n">
        <f aca="false">E690-G690</f>
        <v>0</v>
      </c>
      <c r="L690" s="16" t="str">
        <f aca="false">IF(OR(AND(I690="Invoiced",H690="Not Received"),AND(F690&gt;0,ABS(J690)&gt;Assumptions!$B$6),AND(G690&gt;0,ABS(K690)&gt;Assumptions!$B$6)),"EXCEPTION","OK")</f>
        <v>OK</v>
      </c>
    </row>
    <row r="691" customFormat="false" ht="15" hidden="false" customHeight="false" outlineLevel="0" collapsed="false">
      <c r="A691" s="16" t="str">
        <f aca="false">Purchase_Orders!A688</f>
        <v>PO10687</v>
      </c>
      <c r="B691" s="16" t="str">
        <f aca="false">Purchase_Orders!B688</f>
        <v>V1034</v>
      </c>
      <c r="C691" s="16" t="str">
        <f aca="false">IFERROR(INDEX(Vendor_Master!$B$2:$B$41,MATCH(B691,Vendor_Master!$A$2:$A$41,0)),"Unknown Vendor")</f>
        <v>Koch-Decker</v>
      </c>
      <c r="D691" s="17" t="n">
        <f aca="false">Purchase_Orders!C688</f>
        <v>45659</v>
      </c>
      <c r="E691" s="18" t="n">
        <f aca="false">Purchase_Orders!D688</f>
        <v>1307.64</v>
      </c>
      <c r="F691" s="18" t="n">
        <f aca="false">SUMIFS(Goods_Receipt_Notes!$D$2:$D$791,Goods_Receipt_Notes!$B$2:$B$791,A691)</f>
        <v>1307.64</v>
      </c>
      <c r="G691" s="18" t="n">
        <f aca="false">SUMIFS(Vendor_Invoices_AP!$E$2:$E$882,Vendor_Invoices_AP!$B$2:$B$882,A691)</f>
        <v>1307.64</v>
      </c>
      <c r="H691" s="16" t="str">
        <f aca="false">IF(F691=0,"Not Received","Received")</f>
        <v>Received</v>
      </c>
      <c r="I691" s="16" t="str">
        <f aca="false">IF(G691=0,"Not Invoiced","Invoiced")</f>
        <v>Invoiced</v>
      </c>
      <c r="J691" s="18" t="n">
        <f aca="false">E691-F691</f>
        <v>0</v>
      </c>
      <c r="K691" s="18" t="n">
        <f aca="false">E691-G691</f>
        <v>0</v>
      </c>
      <c r="L691" s="16" t="str">
        <f aca="false">IF(OR(AND(I691="Invoiced",H691="Not Received"),AND(F691&gt;0,ABS(J691)&gt;Assumptions!$B$6),AND(G691&gt;0,ABS(K691)&gt;Assumptions!$B$6)),"EXCEPTION","OK")</f>
        <v>OK</v>
      </c>
    </row>
    <row r="692" customFormat="false" ht="15" hidden="false" customHeight="false" outlineLevel="0" collapsed="false">
      <c r="A692" s="16" t="str">
        <f aca="false">Purchase_Orders!A689</f>
        <v>PO10688</v>
      </c>
      <c r="B692" s="16" t="str">
        <f aca="false">Purchase_Orders!B689</f>
        <v>V1033</v>
      </c>
      <c r="C692" s="16" t="str">
        <f aca="false">IFERROR(INDEX(Vendor_Master!$B$2:$B$41,MATCH(B692,Vendor_Master!$A$2:$A$41,0)),"Unknown Vendor")</f>
        <v>Sellers, George and Burns</v>
      </c>
      <c r="D692" s="17" t="n">
        <f aca="false">Purchase_Orders!C689</f>
        <v>46125</v>
      </c>
      <c r="E692" s="18" t="n">
        <f aca="false">Purchase_Orders!D689</f>
        <v>1035.87</v>
      </c>
      <c r="F692" s="18" t="n">
        <f aca="false">SUMIFS(Goods_Receipt_Notes!$D$2:$D$791,Goods_Receipt_Notes!$B$2:$B$791,A692)</f>
        <v>1035.87</v>
      </c>
      <c r="G692" s="18" t="n">
        <f aca="false">SUMIFS(Vendor_Invoices_AP!$E$2:$E$882,Vendor_Invoices_AP!$B$2:$B$882,A692)</f>
        <v>1035.87</v>
      </c>
      <c r="H692" s="16" t="str">
        <f aca="false">IF(F692=0,"Not Received","Received")</f>
        <v>Received</v>
      </c>
      <c r="I692" s="16" t="str">
        <f aca="false">IF(G692=0,"Not Invoiced","Invoiced")</f>
        <v>Invoiced</v>
      </c>
      <c r="J692" s="18" t="n">
        <f aca="false">E692-F692</f>
        <v>0</v>
      </c>
      <c r="K692" s="18" t="n">
        <f aca="false">E692-G692</f>
        <v>0</v>
      </c>
      <c r="L692" s="16" t="str">
        <f aca="false">IF(OR(AND(I692="Invoiced",H692="Not Received"),AND(F692&gt;0,ABS(J692)&gt;Assumptions!$B$6),AND(G692&gt;0,ABS(K692)&gt;Assumptions!$B$6)),"EXCEPTION","OK")</f>
        <v>OK</v>
      </c>
    </row>
    <row r="693" customFormat="false" ht="15" hidden="false" customHeight="false" outlineLevel="0" collapsed="false">
      <c r="A693" s="16" t="str">
        <f aca="false">Purchase_Orders!A690</f>
        <v>PO10689</v>
      </c>
      <c r="B693" s="16" t="str">
        <f aca="false">Purchase_Orders!B690</f>
        <v>V1037</v>
      </c>
      <c r="C693" s="16" t="str">
        <f aca="false">IFERROR(INDEX(Vendor_Master!$B$2:$B$41,MATCH(B693,Vendor_Master!$A$2:$A$41,0)),"Unknown Vendor")</f>
        <v>Cannon, Anderson and Alvarez</v>
      </c>
      <c r="D693" s="17" t="n">
        <f aca="false">Purchase_Orders!C690</f>
        <v>45736</v>
      </c>
      <c r="E693" s="18" t="n">
        <f aca="false">Purchase_Orders!D690</f>
        <v>7340.64</v>
      </c>
      <c r="F693" s="18" t="n">
        <f aca="false">SUMIFS(Goods_Receipt_Notes!$D$2:$D$791,Goods_Receipt_Notes!$B$2:$B$791,A693)</f>
        <v>7340.64</v>
      </c>
      <c r="G693" s="18" t="n">
        <f aca="false">SUMIFS(Vendor_Invoices_AP!$E$2:$E$882,Vendor_Invoices_AP!$B$2:$B$882,A693)</f>
        <v>7340.64</v>
      </c>
      <c r="H693" s="16" t="str">
        <f aca="false">IF(F693=0,"Not Received","Received")</f>
        <v>Received</v>
      </c>
      <c r="I693" s="16" t="str">
        <f aca="false">IF(G693=0,"Not Invoiced","Invoiced")</f>
        <v>Invoiced</v>
      </c>
      <c r="J693" s="18" t="n">
        <f aca="false">E693-F693</f>
        <v>0</v>
      </c>
      <c r="K693" s="18" t="n">
        <f aca="false">E693-G693</f>
        <v>0</v>
      </c>
      <c r="L693" s="16" t="str">
        <f aca="false">IF(OR(AND(I693="Invoiced",H693="Not Received"),AND(F693&gt;0,ABS(J693)&gt;Assumptions!$B$6),AND(G693&gt;0,ABS(K693)&gt;Assumptions!$B$6)),"EXCEPTION","OK")</f>
        <v>OK</v>
      </c>
    </row>
    <row r="694" customFormat="false" ht="15" hidden="false" customHeight="false" outlineLevel="0" collapsed="false">
      <c r="A694" s="16" t="str">
        <f aca="false">Purchase_Orders!A691</f>
        <v>PO10690</v>
      </c>
      <c r="B694" s="16" t="str">
        <f aca="false">Purchase_Orders!B691</f>
        <v>V1011</v>
      </c>
      <c r="C694" s="16" t="str">
        <f aca="false">IFERROR(INDEX(Vendor_Master!$B$2:$B$41,MATCH(B694,Vendor_Master!$A$2:$A$41,0)),"Unknown Vendor")</f>
        <v>Montgomery, Hensley and Ray</v>
      </c>
      <c r="D694" s="17" t="n">
        <f aca="false">Purchase_Orders!C691</f>
        <v>45728</v>
      </c>
      <c r="E694" s="18" t="n">
        <f aca="false">Purchase_Orders!D691</f>
        <v>957.43</v>
      </c>
      <c r="F694" s="18" t="n">
        <f aca="false">SUMIFS(Goods_Receipt_Notes!$D$2:$D$791,Goods_Receipt_Notes!$B$2:$B$791,A694)</f>
        <v>957.43</v>
      </c>
      <c r="G694" s="18" t="n">
        <f aca="false">SUMIFS(Vendor_Invoices_AP!$E$2:$E$882,Vendor_Invoices_AP!$B$2:$B$882,A694)</f>
        <v>957.43</v>
      </c>
      <c r="H694" s="16" t="str">
        <f aca="false">IF(F694=0,"Not Received","Received")</f>
        <v>Received</v>
      </c>
      <c r="I694" s="16" t="str">
        <f aca="false">IF(G694=0,"Not Invoiced","Invoiced")</f>
        <v>Invoiced</v>
      </c>
      <c r="J694" s="18" t="n">
        <f aca="false">E694-F694</f>
        <v>0</v>
      </c>
      <c r="K694" s="18" t="n">
        <f aca="false">E694-G694</f>
        <v>0</v>
      </c>
      <c r="L694" s="16" t="str">
        <f aca="false">IF(OR(AND(I694="Invoiced",H694="Not Received"),AND(F694&gt;0,ABS(J694)&gt;Assumptions!$B$6),AND(G694&gt;0,ABS(K694)&gt;Assumptions!$B$6)),"EXCEPTION","OK")</f>
        <v>OK</v>
      </c>
    </row>
    <row r="695" customFormat="false" ht="15" hidden="false" customHeight="false" outlineLevel="0" collapsed="false">
      <c r="A695" s="16" t="str">
        <f aca="false">Purchase_Orders!A692</f>
        <v>PO10691</v>
      </c>
      <c r="B695" s="16" t="str">
        <f aca="false">Purchase_Orders!B692</f>
        <v>V1010</v>
      </c>
      <c r="C695" s="16" t="str">
        <f aca="false">IFERROR(INDEX(Vendor_Master!$B$2:$B$41,MATCH(B695,Vendor_Master!$A$2:$A$41,0)),"Unknown Vendor")</f>
        <v>Martinez, Nielsen and Miller</v>
      </c>
      <c r="D695" s="17" t="n">
        <f aca="false">Purchase_Orders!C692</f>
        <v>45794</v>
      </c>
      <c r="E695" s="18" t="n">
        <f aca="false">Purchase_Orders!D692</f>
        <v>2237.12</v>
      </c>
      <c r="F695" s="18" t="n">
        <f aca="false">SUMIFS(Goods_Receipt_Notes!$D$2:$D$791,Goods_Receipt_Notes!$B$2:$B$791,A695)</f>
        <v>2237.12</v>
      </c>
      <c r="G695" s="18" t="n">
        <f aca="false">SUMIFS(Vendor_Invoices_AP!$E$2:$E$882,Vendor_Invoices_AP!$B$2:$B$882,A695)</f>
        <v>2509.24</v>
      </c>
      <c r="H695" s="16" t="str">
        <f aca="false">IF(F695=0,"Not Received","Received")</f>
        <v>Received</v>
      </c>
      <c r="I695" s="16" t="str">
        <f aca="false">IF(G695=0,"Not Invoiced","Invoiced")</f>
        <v>Invoiced</v>
      </c>
      <c r="J695" s="18" t="n">
        <f aca="false">E695-F695</f>
        <v>0</v>
      </c>
      <c r="K695" s="18" t="n">
        <f aca="false">E695-G695</f>
        <v>-272.12</v>
      </c>
      <c r="L695" s="16" t="str">
        <f aca="false">IF(OR(AND(I695="Invoiced",H695="Not Received"),AND(F695&gt;0,ABS(J695)&gt;Assumptions!$B$6),AND(G695&gt;0,ABS(K695)&gt;Assumptions!$B$6)),"EXCEPTION","OK")</f>
        <v>EXCEPTION</v>
      </c>
    </row>
    <row r="696" customFormat="false" ht="15" hidden="false" customHeight="false" outlineLevel="0" collapsed="false">
      <c r="A696" s="16" t="str">
        <f aca="false">Purchase_Orders!A693</f>
        <v>PO10692</v>
      </c>
      <c r="B696" s="16" t="str">
        <f aca="false">Purchase_Orders!B693</f>
        <v>V1039</v>
      </c>
      <c r="C696" s="16" t="str">
        <f aca="false">IFERROR(INDEX(Vendor_Master!$B$2:$B$41,MATCH(B696,Vendor_Master!$A$2:$A$41,0)),"Unknown Vendor")</f>
        <v>Campos, Vaughn and Marquez</v>
      </c>
      <c r="D696" s="17" t="n">
        <f aca="false">Purchase_Orders!C693</f>
        <v>45753</v>
      </c>
      <c r="E696" s="18" t="n">
        <f aca="false">Purchase_Orders!D693</f>
        <v>370.92</v>
      </c>
      <c r="F696" s="18" t="n">
        <f aca="false">SUMIFS(Goods_Receipt_Notes!$D$2:$D$791,Goods_Receipt_Notes!$B$2:$B$791,A696)</f>
        <v>370.92</v>
      </c>
      <c r="G696" s="18" t="n">
        <f aca="false">SUMIFS(Vendor_Invoices_AP!$E$2:$E$882,Vendor_Invoices_AP!$B$2:$B$882,A696)</f>
        <v>370.92</v>
      </c>
      <c r="H696" s="16" t="str">
        <f aca="false">IF(F696=0,"Not Received","Received")</f>
        <v>Received</v>
      </c>
      <c r="I696" s="16" t="str">
        <f aca="false">IF(G696=0,"Not Invoiced","Invoiced")</f>
        <v>Invoiced</v>
      </c>
      <c r="J696" s="18" t="n">
        <f aca="false">E696-F696</f>
        <v>0</v>
      </c>
      <c r="K696" s="18" t="n">
        <f aca="false">E696-G696</f>
        <v>0</v>
      </c>
      <c r="L696" s="16" t="str">
        <f aca="false">IF(OR(AND(I696="Invoiced",H696="Not Received"),AND(F696&gt;0,ABS(J696)&gt;Assumptions!$B$6),AND(G696&gt;0,ABS(K696)&gt;Assumptions!$B$6)),"EXCEPTION","OK")</f>
        <v>OK</v>
      </c>
    </row>
    <row r="697" customFormat="false" ht="15" hidden="false" customHeight="false" outlineLevel="0" collapsed="false">
      <c r="A697" s="16" t="str">
        <f aca="false">Purchase_Orders!A694</f>
        <v>PO10693</v>
      </c>
      <c r="B697" s="16" t="str">
        <f aca="false">Purchase_Orders!B694</f>
        <v>V1039</v>
      </c>
      <c r="C697" s="16" t="str">
        <f aca="false">IFERROR(INDEX(Vendor_Master!$B$2:$B$41,MATCH(B697,Vendor_Master!$A$2:$A$41,0)),"Unknown Vendor")</f>
        <v>Campos, Vaughn and Marquez</v>
      </c>
      <c r="D697" s="17" t="n">
        <f aca="false">Purchase_Orders!C694</f>
        <v>46018</v>
      </c>
      <c r="E697" s="18" t="n">
        <f aca="false">Purchase_Orders!D694</f>
        <v>629.25</v>
      </c>
      <c r="F697" s="18" t="n">
        <f aca="false">SUMIFS(Goods_Receipt_Notes!$D$2:$D$791,Goods_Receipt_Notes!$B$2:$B$791,A697)</f>
        <v>629.25</v>
      </c>
      <c r="G697" s="18" t="n">
        <f aca="false">SUMIFS(Vendor_Invoices_AP!$E$2:$E$882,Vendor_Invoices_AP!$B$2:$B$882,A697)</f>
        <v>629.25</v>
      </c>
      <c r="H697" s="16" t="str">
        <f aca="false">IF(F697=0,"Not Received","Received")</f>
        <v>Received</v>
      </c>
      <c r="I697" s="16" t="str">
        <f aca="false">IF(G697=0,"Not Invoiced","Invoiced")</f>
        <v>Invoiced</v>
      </c>
      <c r="J697" s="18" t="n">
        <f aca="false">E697-F697</f>
        <v>0</v>
      </c>
      <c r="K697" s="18" t="n">
        <f aca="false">E697-G697</f>
        <v>0</v>
      </c>
      <c r="L697" s="16" t="str">
        <f aca="false">IF(OR(AND(I697="Invoiced",H697="Not Received"),AND(F697&gt;0,ABS(J697)&gt;Assumptions!$B$6),AND(G697&gt;0,ABS(K697)&gt;Assumptions!$B$6)),"EXCEPTION","OK")</f>
        <v>OK</v>
      </c>
    </row>
    <row r="698" customFormat="false" ht="15" hidden="false" customHeight="false" outlineLevel="0" collapsed="false">
      <c r="A698" s="16" t="str">
        <f aca="false">Purchase_Orders!A695</f>
        <v>PO10694</v>
      </c>
      <c r="B698" s="16" t="str">
        <f aca="false">Purchase_Orders!B695</f>
        <v>V1029</v>
      </c>
      <c r="C698" s="16" t="str">
        <f aca="false">IFERROR(INDEX(Vendor_Master!$B$2:$B$41,MATCH(B698,Vendor_Master!$A$2:$A$41,0)),"Unknown Vendor")</f>
        <v>Chavez Ltd</v>
      </c>
      <c r="D698" s="17" t="n">
        <f aca="false">Purchase_Orders!C695</f>
        <v>45672</v>
      </c>
      <c r="E698" s="18" t="n">
        <f aca="false">Purchase_Orders!D695</f>
        <v>20520.56</v>
      </c>
      <c r="F698" s="18" t="n">
        <f aca="false">SUMIFS(Goods_Receipt_Notes!$D$2:$D$791,Goods_Receipt_Notes!$B$2:$B$791,A698)</f>
        <v>20520.56</v>
      </c>
      <c r="G698" s="18" t="n">
        <f aca="false">SUMIFS(Vendor_Invoices_AP!$E$2:$E$882,Vendor_Invoices_AP!$B$2:$B$882,A698)</f>
        <v>24756.78</v>
      </c>
      <c r="H698" s="16" t="str">
        <f aca="false">IF(F698=0,"Not Received","Received")</f>
        <v>Received</v>
      </c>
      <c r="I698" s="16" t="str">
        <f aca="false">IF(G698=0,"Not Invoiced","Invoiced")</f>
        <v>Invoiced</v>
      </c>
      <c r="J698" s="18" t="n">
        <f aca="false">E698-F698</f>
        <v>0</v>
      </c>
      <c r="K698" s="18" t="n">
        <f aca="false">E698-G698</f>
        <v>-4236.22</v>
      </c>
      <c r="L698" s="16" t="str">
        <f aca="false">IF(OR(AND(I698="Invoiced",H698="Not Received"),AND(F698&gt;0,ABS(J698)&gt;Assumptions!$B$6),AND(G698&gt;0,ABS(K698)&gt;Assumptions!$B$6)),"EXCEPTION","OK")</f>
        <v>EXCEPTION</v>
      </c>
    </row>
    <row r="699" customFormat="false" ht="15" hidden="false" customHeight="false" outlineLevel="0" collapsed="false">
      <c r="A699" s="16" t="str">
        <f aca="false">Purchase_Orders!A696</f>
        <v>PO10695</v>
      </c>
      <c r="B699" s="16" t="str">
        <f aca="false">Purchase_Orders!B696</f>
        <v>V1017</v>
      </c>
      <c r="C699" s="16" t="str">
        <f aca="false">IFERROR(INDEX(Vendor_Master!$B$2:$B$41,MATCH(B699,Vendor_Master!$A$2:$A$41,0)),"Unknown Vendor")</f>
        <v>Hawkins, Cohen and Cameron</v>
      </c>
      <c r="D699" s="17" t="n">
        <f aca="false">Purchase_Orders!C696</f>
        <v>45666</v>
      </c>
      <c r="E699" s="18" t="n">
        <f aca="false">Purchase_Orders!D696</f>
        <v>2964.49</v>
      </c>
      <c r="F699" s="18" t="n">
        <f aca="false">SUMIFS(Goods_Receipt_Notes!$D$2:$D$791,Goods_Receipt_Notes!$B$2:$B$791,A699)</f>
        <v>2964.49</v>
      </c>
      <c r="G699" s="18" t="n">
        <f aca="false">SUMIFS(Vendor_Invoices_AP!$E$2:$E$882,Vendor_Invoices_AP!$B$2:$B$882,A699)</f>
        <v>2964.49</v>
      </c>
      <c r="H699" s="16" t="str">
        <f aca="false">IF(F699=0,"Not Received","Received")</f>
        <v>Received</v>
      </c>
      <c r="I699" s="16" t="str">
        <f aca="false">IF(G699=0,"Not Invoiced","Invoiced")</f>
        <v>Invoiced</v>
      </c>
      <c r="J699" s="18" t="n">
        <f aca="false">E699-F699</f>
        <v>0</v>
      </c>
      <c r="K699" s="18" t="n">
        <f aca="false">E699-G699</f>
        <v>0</v>
      </c>
      <c r="L699" s="16" t="str">
        <f aca="false">IF(OR(AND(I699="Invoiced",H699="Not Received"),AND(F699&gt;0,ABS(J699)&gt;Assumptions!$B$6),AND(G699&gt;0,ABS(K699)&gt;Assumptions!$B$6)),"EXCEPTION","OK")</f>
        <v>OK</v>
      </c>
    </row>
    <row r="700" customFormat="false" ht="15" hidden="false" customHeight="false" outlineLevel="0" collapsed="false">
      <c r="A700" s="16" t="str">
        <f aca="false">Purchase_Orders!A697</f>
        <v>PO10696</v>
      </c>
      <c r="B700" s="16" t="str">
        <f aca="false">Purchase_Orders!B697</f>
        <v>V1010</v>
      </c>
      <c r="C700" s="16" t="str">
        <f aca="false">IFERROR(INDEX(Vendor_Master!$B$2:$B$41,MATCH(B700,Vendor_Master!$A$2:$A$41,0)),"Unknown Vendor")</f>
        <v>Martinez, Nielsen and Miller</v>
      </c>
      <c r="D700" s="17" t="n">
        <f aca="false">Purchase_Orders!C697</f>
        <v>46088</v>
      </c>
      <c r="E700" s="18" t="n">
        <f aca="false">Purchase_Orders!D697</f>
        <v>3993.23</v>
      </c>
      <c r="F700" s="18" t="n">
        <f aca="false">SUMIFS(Goods_Receipt_Notes!$D$2:$D$791,Goods_Receipt_Notes!$B$2:$B$791,A700)</f>
        <v>3993.23</v>
      </c>
      <c r="G700" s="18" t="n">
        <f aca="false">SUMIFS(Vendor_Invoices_AP!$E$2:$E$882,Vendor_Invoices_AP!$B$2:$B$882,A700)</f>
        <v>3993.23</v>
      </c>
      <c r="H700" s="16" t="str">
        <f aca="false">IF(F700=0,"Not Received","Received")</f>
        <v>Received</v>
      </c>
      <c r="I700" s="16" t="str">
        <f aca="false">IF(G700=0,"Not Invoiced","Invoiced")</f>
        <v>Invoiced</v>
      </c>
      <c r="J700" s="18" t="n">
        <f aca="false">E700-F700</f>
        <v>0</v>
      </c>
      <c r="K700" s="18" t="n">
        <f aca="false">E700-G700</f>
        <v>0</v>
      </c>
      <c r="L700" s="16" t="str">
        <f aca="false">IF(OR(AND(I700="Invoiced",H700="Not Received"),AND(F700&gt;0,ABS(J700)&gt;Assumptions!$B$6),AND(G700&gt;0,ABS(K700)&gt;Assumptions!$B$6)),"EXCEPTION","OK")</f>
        <v>OK</v>
      </c>
    </row>
    <row r="701" customFormat="false" ht="15" hidden="false" customHeight="false" outlineLevel="0" collapsed="false">
      <c r="A701" s="16" t="str">
        <f aca="false">Purchase_Orders!A698</f>
        <v>PO10697</v>
      </c>
      <c r="B701" s="16" t="str">
        <f aca="false">Purchase_Orders!B698</f>
        <v>V1035</v>
      </c>
      <c r="C701" s="16" t="str">
        <f aca="false">IFERROR(INDEX(Vendor_Master!$B$2:$B$41,MATCH(B701,Vendor_Master!$A$2:$A$41,0)),"Unknown Vendor")</f>
        <v>Allen PLC</v>
      </c>
      <c r="D701" s="17" t="n">
        <f aca="false">Purchase_Orders!C698</f>
        <v>45787</v>
      </c>
      <c r="E701" s="18" t="n">
        <f aca="false">Purchase_Orders!D698</f>
        <v>1604.06</v>
      </c>
      <c r="F701" s="18" t="n">
        <f aca="false">SUMIFS(Goods_Receipt_Notes!$D$2:$D$791,Goods_Receipt_Notes!$B$2:$B$791,A701)</f>
        <v>1604.06</v>
      </c>
      <c r="G701" s="18" t="n">
        <f aca="false">SUMIFS(Vendor_Invoices_AP!$E$2:$E$882,Vendor_Invoices_AP!$B$2:$B$882,A701)</f>
        <v>1604.06</v>
      </c>
      <c r="H701" s="16" t="str">
        <f aca="false">IF(F701=0,"Not Received","Received")</f>
        <v>Received</v>
      </c>
      <c r="I701" s="16" t="str">
        <f aca="false">IF(G701=0,"Not Invoiced","Invoiced")</f>
        <v>Invoiced</v>
      </c>
      <c r="J701" s="18" t="n">
        <f aca="false">E701-F701</f>
        <v>0</v>
      </c>
      <c r="K701" s="18" t="n">
        <f aca="false">E701-G701</f>
        <v>0</v>
      </c>
      <c r="L701" s="16" t="str">
        <f aca="false">IF(OR(AND(I701="Invoiced",H701="Not Received"),AND(F701&gt;0,ABS(J701)&gt;Assumptions!$B$6),AND(G701&gt;0,ABS(K701)&gt;Assumptions!$B$6)),"EXCEPTION","OK")</f>
        <v>OK</v>
      </c>
    </row>
    <row r="702" customFormat="false" ht="15" hidden="false" customHeight="false" outlineLevel="0" collapsed="false">
      <c r="A702" s="16" t="str">
        <f aca="false">Purchase_Orders!A699</f>
        <v>PO10698</v>
      </c>
      <c r="B702" s="16" t="str">
        <f aca="false">Purchase_Orders!B699</f>
        <v>V1039</v>
      </c>
      <c r="C702" s="16" t="str">
        <f aca="false">IFERROR(INDEX(Vendor_Master!$B$2:$B$41,MATCH(B702,Vendor_Master!$A$2:$A$41,0)),"Unknown Vendor")</f>
        <v>Campos, Vaughn and Marquez</v>
      </c>
      <c r="D702" s="17" t="n">
        <f aca="false">Purchase_Orders!C699</f>
        <v>45834</v>
      </c>
      <c r="E702" s="18" t="n">
        <f aca="false">Purchase_Orders!D699</f>
        <v>2211.07</v>
      </c>
      <c r="F702" s="18" t="n">
        <f aca="false">SUMIFS(Goods_Receipt_Notes!$D$2:$D$791,Goods_Receipt_Notes!$B$2:$B$791,A702)</f>
        <v>2211.07</v>
      </c>
      <c r="G702" s="18" t="n">
        <f aca="false">SUMIFS(Vendor_Invoices_AP!$E$2:$E$882,Vendor_Invoices_AP!$B$2:$B$882,A702)</f>
        <v>2211.07</v>
      </c>
      <c r="H702" s="16" t="str">
        <f aca="false">IF(F702=0,"Not Received","Received")</f>
        <v>Received</v>
      </c>
      <c r="I702" s="16" t="str">
        <f aca="false">IF(G702=0,"Not Invoiced","Invoiced")</f>
        <v>Invoiced</v>
      </c>
      <c r="J702" s="18" t="n">
        <f aca="false">E702-F702</f>
        <v>0</v>
      </c>
      <c r="K702" s="18" t="n">
        <f aca="false">E702-G702</f>
        <v>0</v>
      </c>
      <c r="L702" s="16" t="str">
        <f aca="false">IF(OR(AND(I702="Invoiced",H702="Not Received"),AND(F702&gt;0,ABS(J702)&gt;Assumptions!$B$6),AND(G702&gt;0,ABS(K702)&gt;Assumptions!$B$6)),"EXCEPTION","OK")</f>
        <v>OK</v>
      </c>
    </row>
    <row r="703" customFormat="false" ht="15" hidden="false" customHeight="false" outlineLevel="0" collapsed="false">
      <c r="A703" s="16" t="str">
        <f aca="false">Purchase_Orders!A700</f>
        <v>PO10699</v>
      </c>
      <c r="B703" s="16" t="str">
        <f aca="false">Purchase_Orders!B700</f>
        <v>V1010</v>
      </c>
      <c r="C703" s="16" t="str">
        <f aca="false">IFERROR(INDEX(Vendor_Master!$B$2:$B$41,MATCH(B703,Vendor_Master!$A$2:$A$41,0)),"Unknown Vendor")</f>
        <v>Martinez, Nielsen and Miller</v>
      </c>
      <c r="D703" s="17" t="n">
        <f aca="false">Purchase_Orders!C700</f>
        <v>45752</v>
      </c>
      <c r="E703" s="18" t="n">
        <f aca="false">Purchase_Orders!D700</f>
        <v>1034.65</v>
      </c>
      <c r="F703" s="18" t="n">
        <f aca="false">SUMIFS(Goods_Receipt_Notes!$D$2:$D$791,Goods_Receipt_Notes!$B$2:$B$791,A703)</f>
        <v>1034.65</v>
      </c>
      <c r="G703" s="18" t="n">
        <f aca="false">SUMIFS(Vendor_Invoices_AP!$E$2:$E$882,Vendor_Invoices_AP!$B$2:$B$882,A703)</f>
        <v>1034.65</v>
      </c>
      <c r="H703" s="16" t="str">
        <f aca="false">IF(F703=0,"Not Received","Received")</f>
        <v>Received</v>
      </c>
      <c r="I703" s="16" t="str">
        <f aca="false">IF(G703=0,"Not Invoiced","Invoiced")</f>
        <v>Invoiced</v>
      </c>
      <c r="J703" s="18" t="n">
        <f aca="false">E703-F703</f>
        <v>0</v>
      </c>
      <c r="K703" s="18" t="n">
        <f aca="false">E703-G703</f>
        <v>0</v>
      </c>
      <c r="L703" s="16" t="str">
        <f aca="false">IF(OR(AND(I703="Invoiced",H703="Not Received"),AND(F703&gt;0,ABS(J703)&gt;Assumptions!$B$6),AND(G703&gt;0,ABS(K703)&gt;Assumptions!$B$6)),"EXCEPTION","OK")</f>
        <v>OK</v>
      </c>
    </row>
    <row r="704" customFormat="false" ht="15" hidden="false" customHeight="false" outlineLevel="0" collapsed="false">
      <c r="A704" s="16" t="str">
        <f aca="false">Purchase_Orders!A701</f>
        <v>PO10700</v>
      </c>
      <c r="B704" s="16" t="str">
        <f aca="false">Purchase_Orders!B701</f>
        <v>V1014</v>
      </c>
      <c r="C704" s="16" t="str">
        <f aca="false">IFERROR(INDEX(Vendor_Master!$B$2:$B$41,MATCH(B704,Vendor_Master!$A$2:$A$41,0)),"Unknown Vendor")</f>
        <v>Flowers, Martin and Kelly</v>
      </c>
      <c r="D704" s="17" t="n">
        <f aca="false">Purchase_Orders!C701</f>
        <v>45686</v>
      </c>
      <c r="E704" s="18" t="n">
        <f aca="false">Purchase_Orders!D701</f>
        <v>6197.2</v>
      </c>
      <c r="F704" s="18" t="n">
        <f aca="false">SUMIFS(Goods_Receipt_Notes!$D$2:$D$791,Goods_Receipt_Notes!$B$2:$B$791,A704)</f>
        <v>6197.2</v>
      </c>
      <c r="G704" s="18" t="n">
        <f aca="false">SUMIFS(Vendor_Invoices_AP!$E$2:$E$882,Vendor_Invoices_AP!$B$2:$B$882,A704)</f>
        <v>6197.2</v>
      </c>
      <c r="H704" s="16" t="str">
        <f aca="false">IF(F704=0,"Not Received","Received")</f>
        <v>Received</v>
      </c>
      <c r="I704" s="16" t="str">
        <f aca="false">IF(G704=0,"Not Invoiced","Invoiced")</f>
        <v>Invoiced</v>
      </c>
      <c r="J704" s="18" t="n">
        <f aca="false">E704-F704</f>
        <v>0</v>
      </c>
      <c r="K704" s="18" t="n">
        <f aca="false">E704-G704</f>
        <v>0</v>
      </c>
      <c r="L704" s="16" t="str">
        <f aca="false">IF(OR(AND(I704="Invoiced",H704="Not Received"),AND(F704&gt;0,ABS(J704)&gt;Assumptions!$B$6),AND(G704&gt;0,ABS(K704)&gt;Assumptions!$B$6)),"EXCEPTION","OK")</f>
        <v>OK</v>
      </c>
    </row>
    <row r="705" customFormat="false" ht="15" hidden="false" customHeight="false" outlineLevel="0" collapsed="false">
      <c r="A705" s="16" t="str">
        <f aca="false">Purchase_Orders!A702</f>
        <v>PO10701</v>
      </c>
      <c r="B705" s="16" t="str">
        <f aca="false">Purchase_Orders!B702</f>
        <v>V1032</v>
      </c>
      <c r="C705" s="16" t="str">
        <f aca="false">IFERROR(INDEX(Vendor_Master!$B$2:$B$41,MATCH(B705,Vendor_Master!$A$2:$A$41,0)),"Unknown Vendor")</f>
        <v>Lynch, Hernandez and Farmer</v>
      </c>
      <c r="D705" s="17" t="n">
        <f aca="false">Purchase_Orders!C702</f>
        <v>46062</v>
      </c>
      <c r="E705" s="18" t="n">
        <f aca="false">Purchase_Orders!D702</f>
        <v>1848.76</v>
      </c>
      <c r="F705" s="18" t="n">
        <f aca="false">SUMIFS(Goods_Receipt_Notes!$D$2:$D$791,Goods_Receipt_Notes!$B$2:$B$791,A705)</f>
        <v>1848.76</v>
      </c>
      <c r="G705" s="18" t="n">
        <f aca="false">SUMIFS(Vendor_Invoices_AP!$E$2:$E$882,Vendor_Invoices_AP!$B$2:$B$882,A705)</f>
        <v>1848.76</v>
      </c>
      <c r="H705" s="16" t="str">
        <f aca="false">IF(F705=0,"Not Received","Received")</f>
        <v>Received</v>
      </c>
      <c r="I705" s="16" t="str">
        <f aca="false">IF(G705=0,"Not Invoiced","Invoiced")</f>
        <v>Invoiced</v>
      </c>
      <c r="J705" s="18" t="n">
        <f aca="false">E705-F705</f>
        <v>0</v>
      </c>
      <c r="K705" s="18" t="n">
        <f aca="false">E705-G705</f>
        <v>0</v>
      </c>
      <c r="L705" s="16" t="str">
        <f aca="false">IF(OR(AND(I705="Invoiced",H705="Not Received"),AND(F705&gt;0,ABS(J705)&gt;Assumptions!$B$6),AND(G705&gt;0,ABS(K705)&gt;Assumptions!$B$6)),"EXCEPTION","OK")</f>
        <v>OK</v>
      </c>
    </row>
    <row r="706" customFormat="false" ht="15" hidden="false" customHeight="false" outlineLevel="0" collapsed="false">
      <c r="A706" s="16" t="str">
        <f aca="false">Purchase_Orders!A703</f>
        <v>PO10702</v>
      </c>
      <c r="B706" s="16" t="str">
        <f aca="false">Purchase_Orders!B703</f>
        <v>V1039</v>
      </c>
      <c r="C706" s="16" t="str">
        <f aca="false">IFERROR(INDEX(Vendor_Master!$B$2:$B$41,MATCH(B706,Vendor_Master!$A$2:$A$41,0)),"Unknown Vendor")</f>
        <v>Campos, Vaughn and Marquez</v>
      </c>
      <c r="D706" s="17" t="n">
        <f aca="false">Purchase_Orders!C703</f>
        <v>45944</v>
      </c>
      <c r="E706" s="18" t="n">
        <f aca="false">Purchase_Orders!D703</f>
        <v>2842.44</v>
      </c>
      <c r="F706" s="18" t="n">
        <f aca="false">SUMIFS(Goods_Receipt_Notes!$D$2:$D$791,Goods_Receipt_Notes!$B$2:$B$791,A706)</f>
        <v>2842.44</v>
      </c>
      <c r="G706" s="18" t="n">
        <f aca="false">SUMIFS(Vendor_Invoices_AP!$E$2:$E$882,Vendor_Invoices_AP!$B$2:$B$882,A706)</f>
        <v>2842.44</v>
      </c>
      <c r="H706" s="16" t="str">
        <f aca="false">IF(F706=0,"Not Received","Received")</f>
        <v>Received</v>
      </c>
      <c r="I706" s="16" t="str">
        <f aca="false">IF(G706=0,"Not Invoiced","Invoiced")</f>
        <v>Invoiced</v>
      </c>
      <c r="J706" s="18" t="n">
        <f aca="false">E706-F706</f>
        <v>0</v>
      </c>
      <c r="K706" s="18" t="n">
        <f aca="false">E706-G706</f>
        <v>0</v>
      </c>
      <c r="L706" s="16" t="str">
        <f aca="false">IF(OR(AND(I706="Invoiced",H706="Not Received"),AND(F706&gt;0,ABS(J706)&gt;Assumptions!$B$6),AND(G706&gt;0,ABS(K706)&gt;Assumptions!$B$6)),"EXCEPTION","OK")</f>
        <v>OK</v>
      </c>
    </row>
    <row r="707" customFormat="false" ht="15" hidden="false" customHeight="false" outlineLevel="0" collapsed="false">
      <c r="A707" s="16" t="str">
        <f aca="false">Purchase_Orders!A704</f>
        <v>PO10703</v>
      </c>
      <c r="B707" s="16" t="str">
        <f aca="false">Purchase_Orders!B704</f>
        <v>V1018</v>
      </c>
      <c r="C707" s="16" t="str">
        <f aca="false">IFERROR(INDEX(Vendor_Master!$B$2:$B$41,MATCH(B707,Vendor_Master!$A$2:$A$41,0)),"Unknown Vendor")</f>
        <v>Underwood LLC</v>
      </c>
      <c r="D707" s="17" t="n">
        <f aca="false">Purchase_Orders!C704</f>
        <v>46064</v>
      </c>
      <c r="E707" s="18" t="n">
        <f aca="false">Purchase_Orders!D704</f>
        <v>2826.44</v>
      </c>
      <c r="F707" s="18" t="n">
        <f aca="false">SUMIFS(Goods_Receipt_Notes!$D$2:$D$791,Goods_Receipt_Notes!$B$2:$B$791,A707)</f>
        <v>2826.44</v>
      </c>
      <c r="G707" s="18" t="n">
        <f aca="false">SUMIFS(Vendor_Invoices_AP!$E$2:$E$882,Vendor_Invoices_AP!$B$2:$B$882,A707)</f>
        <v>2826.44</v>
      </c>
      <c r="H707" s="16" t="str">
        <f aca="false">IF(F707=0,"Not Received","Received")</f>
        <v>Received</v>
      </c>
      <c r="I707" s="16" t="str">
        <f aca="false">IF(G707=0,"Not Invoiced","Invoiced")</f>
        <v>Invoiced</v>
      </c>
      <c r="J707" s="18" t="n">
        <f aca="false">E707-F707</f>
        <v>0</v>
      </c>
      <c r="K707" s="18" t="n">
        <f aca="false">E707-G707</f>
        <v>0</v>
      </c>
      <c r="L707" s="16" t="str">
        <f aca="false">IF(OR(AND(I707="Invoiced",H707="Not Received"),AND(F707&gt;0,ABS(J707)&gt;Assumptions!$B$6),AND(G707&gt;0,ABS(K707)&gt;Assumptions!$B$6)),"EXCEPTION","OK")</f>
        <v>OK</v>
      </c>
    </row>
    <row r="708" customFormat="false" ht="15" hidden="false" customHeight="false" outlineLevel="0" collapsed="false">
      <c r="A708" s="16" t="str">
        <f aca="false">Purchase_Orders!A705</f>
        <v>PO10704</v>
      </c>
      <c r="B708" s="16" t="str">
        <f aca="false">Purchase_Orders!B705</f>
        <v>V1040</v>
      </c>
      <c r="C708" s="16" t="str">
        <f aca="false">IFERROR(INDEX(Vendor_Master!$B$2:$B$41,MATCH(B708,Vendor_Master!$A$2:$A$41,0)),"Unknown Vendor")</f>
        <v>Santos, Kim and Holmes</v>
      </c>
      <c r="D708" s="17" t="n">
        <f aca="false">Purchase_Orders!C705</f>
        <v>45917</v>
      </c>
      <c r="E708" s="18" t="n">
        <f aca="false">Purchase_Orders!D705</f>
        <v>9307.71</v>
      </c>
      <c r="F708" s="18" t="n">
        <f aca="false">SUMIFS(Goods_Receipt_Notes!$D$2:$D$791,Goods_Receipt_Notes!$B$2:$B$791,A708)</f>
        <v>9307.71</v>
      </c>
      <c r="G708" s="18" t="n">
        <f aca="false">SUMIFS(Vendor_Invoices_AP!$E$2:$E$882,Vendor_Invoices_AP!$B$2:$B$882,A708)</f>
        <v>9307.71</v>
      </c>
      <c r="H708" s="16" t="str">
        <f aca="false">IF(F708=0,"Not Received","Received")</f>
        <v>Received</v>
      </c>
      <c r="I708" s="16" t="str">
        <f aca="false">IF(G708=0,"Not Invoiced","Invoiced")</f>
        <v>Invoiced</v>
      </c>
      <c r="J708" s="18" t="n">
        <f aca="false">E708-F708</f>
        <v>0</v>
      </c>
      <c r="K708" s="18" t="n">
        <f aca="false">E708-G708</f>
        <v>0</v>
      </c>
      <c r="L708" s="16" t="str">
        <f aca="false">IF(OR(AND(I708="Invoiced",H708="Not Received"),AND(F708&gt;0,ABS(J708)&gt;Assumptions!$B$6),AND(G708&gt;0,ABS(K708)&gt;Assumptions!$B$6)),"EXCEPTION","OK")</f>
        <v>OK</v>
      </c>
    </row>
    <row r="709" customFormat="false" ht="15" hidden="false" customHeight="false" outlineLevel="0" collapsed="false">
      <c r="A709" s="16" t="str">
        <f aca="false">Purchase_Orders!A706</f>
        <v>PO10705</v>
      </c>
      <c r="B709" s="16" t="str">
        <f aca="false">Purchase_Orders!B706</f>
        <v>V1038</v>
      </c>
      <c r="C709" s="16" t="str">
        <f aca="false">IFERROR(INDEX(Vendor_Master!$B$2:$B$41,MATCH(B709,Vendor_Master!$A$2:$A$41,0)),"Unknown Vendor")</f>
        <v>Rose-Obrien</v>
      </c>
      <c r="D709" s="17" t="n">
        <f aca="false">Purchase_Orders!C706</f>
        <v>46082</v>
      </c>
      <c r="E709" s="18" t="n">
        <f aca="false">Purchase_Orders!D706</f>
        <v>4662.39</v>
      </c>
      <c r="F709" s="18" t="n">
        <f aca="false">SUMIFS(Goods_Receipt_Notes!$D$2:$D$791,Goods_Receipt_Notes!$B$2:$B$791,A709)</f>
        <v>4662.39</v>
      </c>
      <c r="G709" s="18" t="n">
        <f aca="false">SUMIFS(Vendor_Invoices_AP!$E$2:$E$882,Vendor_Invoices_AP!$B$2:$B$882,A709)</f>
        <v>4662.39</v>
      </c>
      <c r="H709" s="16" t="str">
        <f aca="false">IF(F709=0,"Not Received","Received")</f>
        <v>Received</v>
      </c>
      <c r="I709" s="16" t="str">
        <f aca="false">IF(G709=0,"Not Invoiced","Invoiced")</f>
        <v>Invoiced</v>
      </c>
      <c r="J709" s="18" t="n">
        <f aca="false">E709-F709</f>
        <v>0</v>
      </c>
      <c r="K709" s="18" t="n">
        <f aca="false">E709-G709</f>
        <v>0</v>
      </c>
      <c r="L709" s="16" t="str">
        <f aca="false">IF(OR(AND(I709="Invoiced",H709="Not Received"),AND(F709&gt;0,ABS(J709)&gt;Assumptions!$B$6),AND(G709&gt;0,ABS(K709)&gt;Assumptions!$B$6)),"EXCEPTION","OK")</f>
        <v>OK</v>
      </c>
    </row>
    <row r="710" customFormat="false" ht="15" hidden="false" customHeight="false" outlineLevel="0" collapsed="false">
      <c r="A710" s="16" t="str">
        <f aca="false">Purchase_Orders!A707</f>
        <v>PO10706</v>
      </c>
      <c r="B710" s="16" t="str">
        <f aca="false">Purchase_Orders!B707</f>
        <v>V1040</v>
      </c>
      <c r="C710" s="16" t="str">
        <f aca="false">IFERROR(INDEX(Vendor_Master!$B$2:$B$41,MATCH(B710,Vendor_Master!$A$2:$A$41,0)),"Unknown Vendor")</f>
        <v>Santos, Kim and Holmes</v>
      </c>
      <c r="D710" s="17" t="n">
        <f aca="false">Purchase_Orders!C707</f>
        <v>45937</v>
      </c>
      <c r="E710" s="18" t="n">
        <f aca="false">Purchase_Orders!D707</f>
        <v>369.39</v>
      </c>
      <c r="F710" s="18" t="n">
        <f aca="false">SUMIFS(Goods_Receipt_Notes!$D$2:$D$791,Goods_Receipt_Notes!$B$2:$B$791,A710)</f>
        <v>369.39</v>
      </c>
      <c r="G710" s="18" t="n">
        <f aca="false">SUMIFS(Vendor_Invoices_AP!$E$2:$E$882,Vendor_Invoices_AP!$B$2:$B$882,A710)</f>
        <v>369.39</v>
      </c>
      <c r="H710" s="16" t="str">
        <f aca="false">IF(F710=0,"Not Received","Received")</f>
        <v>Received</v>
      </c>
      <c r="I710" s="16" t="str">
        <f aca="false">IF(G710=0,"Not Invoiced","Invoiced")</f>
        <v>Invoiced</v>
      </c>
      <c r="J710" s="18" t="n">
        <f aca="false">E710-F710</f>
        <v>0</v>
      </c>
      <c r="K710" s="18" t="n">
        <f aca="false">E710-G710</f>
        <v>0</v>
      </c>
      <c r="L710" s="16" t="str">
        <f aca="false">IF(OR(AND(I710="Invoiced",H710="Not Received"),AND(F710&gt;0,ABS(J710)&gt;Assumptions!$B$6),AND(G710&gt;0,ABS(K710)&gt;Assumptions!$B$6)),"EXCEPTION","OK")</f>
        <v>OK</v>
      </c>
    </row>
    <row r="711" customFormat="false" ht="15" hidden="false" customHeight="false" outlineLevel="0" collapsed="false">
      <c r="A711" s="16" t="str">
        <f aca="false">Purchase_Orders!A708</f>
        <v>PO10707</v>
      </c>
      <c r="B711" s="16" t="str">
        <f aca="false">Purchase_Orders!B708</f>
        <v>V1035</v>
      </c>
      <c r="C711" s="16" t="str">
        <f aca="false">IFERROR(INDEX(Vendor_Master!$B$2:$B$41,MATCH(B711,Vendor_Master!$A$2:$A$41,0)),"Unknown Vendor")</f>
        <v>Allen PLC</v>
      </c>
      <c r="D711" s="17" t="n">
        <f aca="false">Purchase_Orders!C708</f>
        <v>45717</v>
      </c>
      <c r="E711" s="18" t="n">
        <f aca="false">Purchase_Orders!D708</f>
        <v>21261.93</v>
      </c>
      <c r="F711" s="18" t="n">
        <f aca="false">SUMIFS(Goods_Receipt_Notes!$D$2:$D$791,Goods_Receipt_Notes!$B$2:$B$791,A711)</f>
        <v>21261.93</v>
      </c>
      <c r="G711" s="18" t="n">
        <f aca="false">SUMIFS(Vendor_Invoices_AP!$E$2:$E$882,Vendor_Invoices_AP!$B$2:$B$882,A711)</f>
        <v>21261.93</v>
      </c>
      <c r="H711" s="16" t="str">
        <f aca="false">IF(F711=0,"Not Received","Received")</f>
        <v>Received</v>
      </c>
      <c r="I711" s="16" t="str">
        <f aca="false">IF(G711=0,"Not Invoiced","Invoiced")</f>
        <v>Invoiced</v>
      </c>
      <c r="J711" s="18" t="n">
        <f aca="false">E711-F711</f>
        <v>0</v>
      </c>
      <c r="K711" s="18" t="n">
        <f aca="false">E711-G711</f>
        <v>0</v>
      </c>
      <c r="L711" s="16" t="str">
        <f aca="false">IF(OR(AND(I711="Invoiced",H711="Not Received"),AND(F711&gt;0,ABS(J711)&gt;Assumptions!$B$6),AND(G711&gt;0,ABS(K711)&gt;Assumptions!$B$6)),"EXCEPTION","OK")</f>
        <v>OK</v>
      </c>
    </row>
    <row r="712" customFormat="false" ht="15" hidden="false" customHeight="false" outlineLevel="0" collapsed="false">
      <c r="A712" s="16" t="str">
        <f aca="false">Purchase_Orders!A709</f>
        <v>PO10708</v>
      </c>
      <c r="B712" s="16" t="str">
        <f aca="false">Purchase_Orders!B709</f>
        <v>V1027</v>
      </c>
      <c r="C712" s="16" t="str">
        <f aca="false">IFERROR(INDEX(Vendor_Master!$B$2:$B$41,MATCH(B712,Vendor_Master!$A$2:$A$41,0)),"Unknown Vendor")</f>
        <v>Valencia, Smith and Le</v>
      </c>
      <c r="D712" s="17" t="n">
        <f aca="false">Purchase_Orders!C709</f>
        <v>45932</v>
      </c>
      <c r="E712" s="18" t="n">
        <f aca="false">Purchase_Orders!D709</f>
        <v>739.64</v>
      </c>
      <c r="F712" s="18" t="n">
        <f aca="false">SUMIFS(Goods_Receipt_Notes!$D$2:$D$791,Goods_Receipt_Notes!$B$2:$B$791,A712)</f>
        <v>739.64</v>
      </c>
      <c r="G712" s="18" t="n">
        <f aca="false">SUMIFS(Vendor_Invoices_AP!$E$2:$E$882,Vendor_Invoices_AP!$B$2:$B$882,A712)</f>
        <v>739.64</v>
      </c>
      <c r="H712" s="16" t="str">
        <f aca="false">IF(F712=0,"Not Received","Received")</f>
        <v>Received</v>
      </c>
      <c r="I712" s="16" t="str">
        <f aca="false">IF(G712=0,"Not Invoiced","Invoiced")</f>
        <v>Invoiced</v>
      </c>
      <c r="J712" s="18" t="n">
        <f aca="false">E712-F712</f>
        <v>0</v>
      </c>
      <c r="K712" s="18" t="n">
        <f aca="false">E712-G712</f>
        <v>0</v>
      </c>
      <c r="L712" s="16" t="str">
        <f aca="false">IF(OR(AND(I712="Invoiced",H712="Not Received"),AND(F712&gt;0,ABS(J712)&gt;Assumptions!$B$6),AND(G712&gt;0,ABS(K712)&gt;Assumptions!$B$6)),"EXCEPTION","OK")</f>
        <v>OK</v>
      </c>
    </row>
    <row r="713" customFormat="false" ht="15" hidden="false" customHeight="false" outlineLevel="0" collapsed="false">
      <c r="A713" s="16" t="str">
        <f aca="false">Purchase_Orders!A710</f>
        <v>PO10709</v>
      </c>
      <c r="B713" s="16" t="str">
        <f aca="false">Purchase_Orders!B710</f>
        <v>V1020</v>
      </c>
      <c r="C713" s="16" t="str">
        <f aca="false">IFERROR(INDEX(Vendor_Master!$B$2:$B$41,MATCH(B713,Vendor_Master!$A$2:$A$41,0)),"Unknown Vendor")</f>
        <v>Lewis-Porter</v>
      </c>
      <c r="D713" s="17" t="n">
        <f aca="false">Purchase_Orders!C710</f>
        <v>46173</v>
      </c>
      <c r="E713" s="18" t="n">
        <f aca="false">Purchase_Orders!D710</f>
        <v>5478.42</v>
      </c>
      <c r="F713" s="18" t="n">
        <f aca="false">SUMIFS(Goods_Receipt_Notes!$D$2:$D$791,Goods_Receipt_Notes!$B$2:$B$791,A713)</f>
        <v>5478.42</v>
      </c>
      <c r="G713" s="18" t="n">
        <f aca="false">SUMIFS(Vendor_Invoices_AP!$E$2:$E$882,Vendor_Invoices_AP!$B$2:$B$882,A713)</f>
        <v>5478.42</v>
      </c>
      <c r="H713" s="16" t="str">
        <f aca="false">IF(F713=0,"Not Received","Received")</f>
        <v>Received</v>
      </c>
      <c r="I713" s="16" t="str">
        <f aca="false">IF(G713=0,"Not Invoiced","Invoiced")</f>
        <v>Invoiced</v>
      </c>
      <c r="J713" s="18" t="n">
        <f aca="false">E713-F713</f>
        <v>0</v>
      </c>
      <c r="K713" s="18" t="n">
        <f aca="false">E713-G713</f>
        <v>0</v>
      </c>
      <c r="L713" s="16" t="str">
        <f aca="false">IF(OR(AND(I713="Invoiced",H713="Not Received"),AND(F713&gt;0,ABS(J713)&gt;Assumptions!$B$6),AND(G713&gt;0,ABS(K713)&gt;Assumptions!$B$6)),"EXCEPTION","OK")</f>
        <v>OK</v>
      </c>
    </row>
    <row r="714" customFormat="false" ht="15" hidden="false" customHeight="false" outlineLevel="0" collapsed="false">
      <c r="A714" s="16" t="str">
        <f aca="false">Purchase_Orders!A711</f>
        <v>PO10710</v>
      </c>
      <c r="B714" s="16" t="str">
        <f aca="false">Purchase_Orders!B711</f>
        <v>V1030</v>
      </c>
      <c r="C714" s="16" t="str">
        <f aca="false">IFERROR(INDEX(Vendor_Master!$B$2:$B$41,MATCH(B714,Vendor_Master!$A$2:$A$41,0)),"Unknown Vendor")</f>
        <v>Stanton-Gill</v>
      </c>
      <c r="D714" s="17" t="n">
        <f aca="false">Purchase_Orders!C711</f>
        <v>45681</v>
      </c>
      <c r="E714" s="18" t="n">
        <f aca="false">Purchase_Orders!D711</f>
        <v>1081.06</v>
      </c>
      <c r="F714" s="18" t="n">
        <f aca="false">SUMIFS(Goods_Receipt_Notes!$D$2:$D$791,Goods_Receipt_Notes!$B$2:$B$791,A714)</f>
        <v>1081.06</v>
      </c>
      <c r="G714" s="18" t="n">
        <f aca="false">SUMIFS(Vendor_Invoices_AP!$E$2:$E$882,Vendor_Invoices_AP!$B$2:$B$882,A714)</f>
        <v>1081.06</v>
      </c>
      <c r="H714" s="16" t="str">
        <f aca="false">IF(F714=0,"Not Received","Received")</f>
        <v>Received</v>
      </c>
      <c r="I714" s="16" t="str">
        <f aca="false">IF(G714=0,"Not Invoiced","Invoiced")</f>
        <v>Invoiced</v>
      </c>
      <c r="J714" s="18" t="n">
        <f aca="false">E714-F714</f>
        <v>0</v>
      </c>
      <c r="K714" s="18" t="n">
        <f aca="false">E714-G714</f>
        <v>0</v>
      </c>
      <c r="L714" s="16" t="str">
        <f aca="false">IF(OR(AND(I714="Invoiced",H714="Not Received"),AND(F714&gt;0,ABS(J714)&gt;Assumptions!$B$6),AND(G714&gt;0,ABS(K714)&gt;Assumptions!$B$6)),"EXCEPTION","OK")</f>
        <v>OK</v>
      </c>
    </row>
    <row r="715" customFormat="false" ht="15" hidden="false" customHeight="false" outlineLevel="0" collapsed="false">
      <c r="A715" s="16" t="str">
        <f aca="false">Purchase_Orders!A712</f>
        <v>PO10711</v>
      </c>
      <c r="B715" s="16" t="str">
        <f aca="false">Purchase_Orders!B712</f>
        <v>V1023</v>
      </c>
      <c r="C715" s="16" t="str">
        <f aca="false">IFERROR(INDEX(Vendor_Master!$B$2:$B$41,MATCH(B715,Vendor_Master!$A$2:$A$41,0)),"Unknown Vendor")</f>
        <v>Robinson-Bright</v>
      </c>
      <c r="D715" s="17" t="n">
        <f aca="false">Purchase_Orders!C712</f>
        <v>46084</v>
      </c>
      <c r="E715" s="18" t="n">
        <f aca="false">Purchase_Orders!D712</f>
        <v>199.69</v>
      </c>
      <c r="F715" s="18" t="n">
        <f aca="false">SUMIFS(Goods_Receipt_Notes!$D$2:$D$791,Goods_Receipt_Notes!$B$2:$B$791,A715)</f>
        <v>199.69</v>
      </c>
      <c r="G715" s="18" t="n">
        <f aca="false">SUMIFS(Vendor_Invoices_AP!$E$2:$E$882,Vendor_Invoices_AP!$B$2:$B$882,A715)</f>
        <v>199.69</v>
      </c>
      <c r="H715" s="16" t="str">
        <f aca="false">IF(F715=0,"Not Received","Received")</f>
        <v>Received</v>
      </c>
      <c r="I715" s="16" t="str">
        <f aca="false">IF(G715=0,"Not Invoiced","Invoiced")</f>
        <v>Invoiced</v>
      </c>
      <c r="J715" s="18" t="n">
        <f aca="false">E715-F715</f>
        <v>0</v>
      </c>
      <c r="K715" s="18" t="n">
        <f aca="false">E715-G715</f>
        <v>0</v>
      </c>
      <c r="L715" s="16" t="str">
        <f aca="false">IF(OR(AND(I715="Invoiced",H715="Not Received"),AND(F715&gt;0,ABS(J715)&gt;Assumptions!$B$6),AND(G715&gt;0,ABS(K715)&gt;Assumptions!$B$6)),"EXCEPTION","OK")</f>
        <v>OK</v>
      </c>
    </row>
    <row r="716" customFormat="false" ht="15" hidden="false" customHeight="false" outlineLevel="0" collapsed="false">
      <c r="A716" s="16" t="str">
        <f aca="false">Purchase_Orders!A713</f>
        <v>PO10712</v>
      </c>
      <c r="B716" s="16" t="str">
        <f aca="false">Purchase_Orders!B713</f>
        <v>V1039</v>
      </c>
      <c r="C716" s="16" t="str">
        <f aca="false">IFERROR(INDEX(Vendor_Master!$B$2:$B$41,MATCH(B716,Vendor_Master!$A$2:$A$41,0)),"Unknown Vendor")</f>
        <v>Campos, Vaughn and Marquez</v>
      </c>
      <c r="D716" s="17" t="n">
        <f aca="false">Purchase_Orders!C713</f>
        <v>46130</v>
      </c>
      <c r="E716" s="18" t="n">
        <f aca="false">Purchase_Orders!D713</f>
        <v>1143.13</v>
      </c>
      <c r="F716" s="18" t="n">
        <f aca="false">SUMIFS(Goods_Receipt_Notes!$D$2:$D$791,Goods_Receipt_Notes!$B$2:$B$791,A716)</f>
        <v>1143.13</v>
      </c>
      <c r="G716" s="18" t="n">
        <f aca="false">SUMIFS(Vendor_Invoices_AP!$E$2:$E$882,Vendor_Invoices_AP!$B$2:$B$882,A716)</f>
        <v>1143.13</v>
      </c>
      <c r="H716" s="16" t="str">
        <f aca="false">IF(F716=0,"Not Received","Received")</f>
        <v>Received</v>
      </c>
      <c r="I716" s="16" t="str">
        <f aca="false">IF(G716=0,"Not Invoiced","Invoiced")</f>
        <v>Invoiced</v>
      </c>
      <c r="J716" s="18" t="n">
        <f aca="false">E716-F716</f>
        <v>0</v>
      </c>
      <c r="K716" s="18" t="n">
        <f aca="false">E716-G716</f>
        <v>0</v>
      </c>
      <c r="L716" s="16" t="str">
        <f aca="false">IF(OR(AND(I716="Invoiced",H716="Not Received"),AND(F716&gt;0,ABS(J716)&gt;Assumptions!$B$6),AND(G716&gt;0,ABS(K716)&gt;Assumptions!$B$6)),"EXCEPTION","OK")</f>
        <v>OK</v>
      </c>
    </row>
    <row r="717" customFormat="false" ht="15" hidden="false" customHeight="false" outlineLevel="0" collapsed="false">
      <c r="A717" s="16" t="str">
        <f aca="false">Purchase_Orders!A714</f>
        <v>PO10713</v>
      </c>
      <c r="B717" s="16" t="str">
        <f aca="false">Purchase_Orders!B714</f>
        <v>V1033</v>
      </c>
      <c r="C717" s="16" t="str">
        <f aca="false">IFERROR(INDEX(Vendor_Master!$B$2:$B$41,MATCH(B717,Vendor_Master!$A$2:$A$41,0)),"Unknown Vendor")</f>
        <v>Sellers, George and Burns</v>
      </c>
      <c r="D717" s="17" t="n">
        <f aca="false">Purchase_Orders!C714</f>
        <v>45942</v>
      </c>
      <c r="E717" s="18" t="n">
        <f aca="false">Purchase_Orders!D714</f>
        <v>3047.46</v>
      </c>
      <c r="F717" s="18" t="n">
        <f aca="false">SUMIFS(Goods_Receipt_Notes!$D$2:$D$791,Goods_Receipt_Notes!$B$2:$B$791,A717)</f>
        <v>3047.46</v>
      </c>
      <c r="G717" s="18" t="n">
        <f aca="false">SUMIFS(Vendor_Invoices_AP!$E$2:$E$882,Vendor_Invoices_AP!$B$2:$B$882,A717)</f>
        <v>3047.46</v>
      </c>
      <c r="H717" s="16" t="str">
        <f aca="false">IF(F717=0,"Not Received","Received")</f>
        <v>Received</v>
      </c>
      <c r="I717" s="16" t="str">
        <f aca="false">IF(G717=0,"Not Invoiced","Invoiced")</f>
        <v>Invoiced</v>
      </c>
      <c r="J717" s="18" t="n">
        <f aca="false">E717-F717</f>
        <v>0</v>
      </c>
      <c r="K717" s="18" t="n">
        <f aca="false">E717-G717</f>
        <v>0</v>
      </c>
      <c r="L717" s="16" t="str">
        <f aca="false">IF(OR(AND(I717="Invoiced",H717="Not Received"),AND(F717&gt;0,ABS(J717)&gt;Assumptions!$B$6),AND(G717&gt;0,ABS(K717)&gt;Assumptions!$B$6)),"EXCEPTION","OK")</f>
        <v>OK</v>
      </c>
    </row>
    <row r="718" customFormat="false" ht="15" hidden="false" customHeight="false" outlineLevel="0" collapsed="false">
      <c r="A718" s="16" t="str">
        <f aca="false">Purchase_Orders!A715</f>
        <v>PO10714</v>
      </c>
      <c r="B718" s="16" t="str">
        <f aca="false">Purchase_Orders!B715</f>
        <v>V1011</v>
      </c>
      <c r="C718" s="16" t="str">
        <f aca="false">IFERROR(INDEX(Vendor_Master!$B$2:$B$41,MATCH(B718,Vendor_Master!$A$2:$A$41,0)),"Unknown Vendor")</f>
        <v>Montgomery, Hensley and Ray</v>
      </c>
      <c r="D718" s="17" t="n">
        <f aca="false">Purchase_Orders!C715</f>
        <v>45907</v>
      </c>
      <c r="E718" s="18" t="n">
        <f aca="false">Purchase_Orders!D715</f>
        <v>1913.88</v>
      </c>
      <c r="F718" s="18" t="n">
        <f aca="false">SUMIFS(Goods_Receipt_Notes!$D$2:$D$791,Goods_Receipt_Notes!$B$2:$B$791,A718)</f>
        <v>1913.88</v>
      </c>
      <c r="G718" s="18" t="n">
        <f aca="false">SUMIFS(Vendor_Invoices_AP!$E$2:$E$882,Vendor_Invoices_AP!$B$2:$B$882,A718)</f>
        <v>2282.24</v>
      </c>
      <c r="H718" s="16" t="str">
        <f aca="false">IF(F718=0,"Not Received","Received")</f>
        <v>Received</v>
      </c>
      <c r="I718" s="16" t="str">
        <f aca="false">IF(G718=0,"Not Invoiced","Invoiced")</f>
        <v>Invoiced</v>
      </c>
      <c r="J718" s="18" t="n">
        <f aca="false">E718-F718</f>
        <v>0</v>
      </c>
      <c r="K718" s="18" t="n">
        <f aca="false">E718-G718</f>
        <v>-368.36</v>
      </c>
      <c r="L718" s="16" t="str">
        <f aca="false">IF(OR(AND(I718="Invoiced",H718="Not Received"),AND(F718&gt;0,ABS(J718)&gt;Assumptions!$B$6),AND(G718&gt;0,ABS(K718)&gt;Assumptions!$B$6)),"EXCEPTION","OK")</f>
        <v>EXCEPTION</v>
      </c>
    </row>
    <row r="719" customFormat="false" ht="15" hidden="false" customHeight="false" outlineLevel="0" collapsed="false">
      <c r="A719" s="16" t="str">
        <f aca="false">Purchase_Orders!A716</f>
        <v>PO10715</v>
      </c>
      <c r="B719" s="16" t="str">
        <f aca="false">Purchase_Orders!B716</f>
        <v>V1008</v>
      </c>
      <c r="C719" s="16" t="str">
        <f aca="false">IFERROR(INDEX(Vendor_Master!$B$2:$B$41,MATCH(B719,Vendor_Master!$A$2:$A$41,0)),"Unknown Vendor")</f>
        <v>Davis Inc</v>
      </c>
      <c r="D719" s="17" t="n">
        <f aca="false">Purchase_Orders!C716</f>
        <v>46183</v>
      </c>
      <c r="E719" s="18" t="n">
        <f aca="false">Purchase_Orders!D716</f>
        <v>866.83</v>
      </c>
      <c r="F719" s="18" t="n">
        <f aca="false">SUMIFS(Goods_Receipt_Notes!$D$2:$D$791,Goods_Receipt_Notes!$B$2:$B$791,A719)</f>
        <v>866.83</v>
      </c>
      <c r="G719" s="18" t="n">
        <f aca="false">SUMIFS(Vendor_Invoices_AP!$E$2:$E$882,Vendor_Invoices_AP!$B$2:$B$882,A719)</f>
        <v>866.83</v>
      </c>
      <c r="H719" s="16" t="str">
        <f aca="false">IF(F719=0,"Not Received","Received")</f>
        <v>Received</v>
      </c>
      <c r="I719" s="16" t="str">
        <f aca="false">IF(G719=0,"Not Invoiced","Invoiced")</f>
        <v>Invoiced</v>
      </c>
      <c r="J719" s="18" t="n">
        <f aca="false">E719-F719</f>
        <v>0</v>
      </c>
      <c r="K719" s="18" t="n">
        <f aca="false">E719-G719</f>
        <v>0</v>
      </c>
      <c r="L719" s="16" t="str">
        <f aca="false">IF(OR(AND(I719="Invoiced",H719="Not Received"),AND(F719&gt;0,ABS(J719)&gt;Assumptions!$B$6),AND(G719&gt;0,ABS(K719)&gt;Assumptions!$B$6)),"EXCEPTION","OK")</f>
        <v>OK</v>
      </c>
    </row>
    <row r="720" customFormat="false" ht="15" hidden="false" customHeight="false" outlineLevel="0" collapsed="false">
      <c r="A720" s="16" t="str">
        <f aca="false">Purchase_Orders!A717</f>
        <v>PO10716</v>
      </c>
      <c r="B720" s="16" t="str">
        <f aca="false">Purchase_Orders!B717</f>
        <v>V1021</v>
      </c>
      <c r="C720" s="16" t="str">
        <f aca="false">IFERROR(INDEX(Vendor_Master!$B$2:$B$41,MATCH(B720,Vendor_Master!$A$2:$A$41,0)),"Unknown Vendor")</f>
        <v>Ellis, Baker and Wright</v>
      </c>
      <c r="D720" s="17" t="n">
        <f aca="false">Purchase_Orders!C717</f>
        <v>45691</v>
      </c>
      <c r="E720" s="18" t="n">
        <f aca="false">Purchase_Orders!D717</f>
        <v>9584.39</v>
      </c>
      <c r="F720" s="18" t="n">
        <f aca="false">SUMIFS(Goods_Receipt_Notes!$D$2:$D$791,Goods_Receipt_Notes!$B$2:$B$791,A720)</f>
        <v>0</v>
      </c>
      <c r="G720" s="18" t="n">
        <f aca="false">SUMIFS(Vendor_Invoices_AP!$E$2:$E$882,Vendor_Invoices_AP!$B$2:$B$882,A720)</f>
        <v>9584.39</v>
      </c>
      <c r="H720" s="16" t="str">
        <f aca="false">IF(F720=0,"Not Received","Received")</f>
        <v>Not Received</v>
      </c>
      <c r="I720" s="16" t="str">
        <f aca="false">IF(G720=0,"Not Invoiced","Invoiced")</f>
        <v>Invoiced</v>
      </c>
      <c r="J720" s="18" t="n">
        <f aca="false">E720-F720</f>
        <v>9584.39</v>
      </c>
      <c r="K720" s="18" t="n">
        <f aca="false">E720-G720</f>
        <v>0</v>
      </c>
      <c r="L720" s="16" t="str">
        <f aca="false">IF(OR(AND(I720="Invoiced",H720="Not Received"),AND(F720&gt;0,ABS(J720)&gt;Assumptions!$B$6),AND(G720&gt;0,ABS(K720)&gt;Assumptions!$B$6)),"EXCEPTION","OK")</f>
        <v>EXCEPTION</v>
      </c>
    </row>
    <row r="721" customFormat="false" ht="15" hidden="false" customHeight="false" outlineLevel="0" collapsed="false">
      <c r="A721" s="16" t="str">
        <f aca="false">Purchase_Orders!A718</f>
        <v>PO10717</v>
      </c>
      <c r="B721" s="16" t="str">
        <f aca="false">Purchase_Orders!B718</f>
        <v>V1007</v>
      </c>
      <c r="C721" s="16" t="str">
        <f aca="false">IFERROR(INDEX(Vendor_Master!$B$2:$B$41,MATCH(B721,Vendor_Master!$A$2:$A$41,0)),"Unknown Vendor")</f>
        <v>Ramirez-Lewis</v>
      </c>
      <c r="D721" s="17" t="n">
        <f aca="false">Purchase_Orders!C718</f>
        <v>45919</v>
      </c>
      <c r="E721" s="18" t="n">
        <f aca="false">Purchase_Orders!D718</f>
        <v>1413.3</v>
      </c>
      <c r="F721" s="18" t="n">
        <f aca="false">SUMIFS(Goods_Receipt_Notes!$D$2:$D$791,Goods_Receipt_Notes!$B$2:$B$791,A721)</f>
        <v>1413.3</v>
      </c>
      <c r="G721" s="18" t="n">
        <f aca="false">SUMIFS(Vendor_Invoices_AP!$E$2:$E$882,Vendor_Invoices_AP!$B$2:$B$882,A721)</f>
        <v>1413.3</v>
      </c>
      <c r="H721" s="16" t="str">
        <f aca="false">IF(F721=0,"Not Received","Received")</f>
        <v>Received</v>
      </c>
      <c r="I721" s="16" t="str">
        <f aca="false">IF(G721=0,"Not Invoiced","Invoiced")</f>
        <v>Invoiced</v>
      </c>
      <c r="J721" s="18" t="n">
        <f aca="false">E721-F721</f>
        <v>0</v>
      </c>
      <c r="K721" s="18" t="n">
        <f aca="false">E721-G721</f>
        <v>0</v>
      </c>
      <c r="L721" s="16" t="str">
        <f aca="false">IF(OR(AND(I721="Invoiced",H721="Not Received"),AND(F721&gt;0,ABS(J721)&gt;Assumptions!$B$6),AND(G721&gt;0,ABS(K721)&gt;Assumptions!$B$6)),"EXCEPTION","OK")</f>
        <v>OK</v>
      </c>
    </row>
    <row r="722" customFormat="false" ht="15" hidden="false" customHeight="false" outlineLevel="0" collapsed="false">
      <c r="A722" s="16" t="str">
        <f aca="false">Purchase_Orders!A719</f>
        <v>PO10718</v>
      </c>
      <c r="B722" s="16" t="str">
        <f aca="false">Purchase_Orders!B719</f>
        <v>V1035</v>
      </c>
      <c r="C722" s="16" t="str">
        <f aca="false">IFERROR(INDEX(Vendor_Master!$B$2:$B$41,MATCH(B722,Vendor_Master!$A$2:$A$41,0)),"Unknown Vendor")</f>
        <v>Allen PLC</v>
      </c>
      <c r="D722" s="17" t="n">
        <f aca="false">Purchase_Orders!C719</f>
        <v>45876</v>
      </c>
      <c r="E722" s="18" t="n">
        <f aca="false">Purchase_Orders!D719</f>
        <v>9255.12</v>
      </c>
      <c r="F722" s="18" t="n">
        <f aca="false">SUMIFS(Goods_Receipt_Notes!$D$2:$D$791,Goods_Receipt_Notes!$B$2:$B$791,A722)</f>
        <v>9255.12</v>
      </c>
      <c r="G722" s="18" t="n">
        <f aca="false">SUMIFS(Vendor_Invoices_AP!$E$2:$E$882,Vendor_Invoices_AP!$B$2:$B$882,A722)</f>
        <v>9255.12</v>
      </c>
      <c r="H722" s="16" t="str">
        <f aca="false">IF(F722=0,"Not Received","Received")</f>
        <v>Received</v>
      </c>
      <c r="I722" s="16" t="str">
        <f aca="false">IF(G722=0,"Not Invoiced","Invoiced")</f>
        <v>Invoiced</v>
      </c>
      <c r="J722" s="18" t="n">
        <f aca="false">E722-F722</f>
        <v>0</v>
      </c>
      <c r="K722" s="18" t="n">
        <f aca="false">E722-G722</f>
        <v>0</v>
      </c>
      <c r="L722" s="16" t="str">
        <f aca="false">IF(OR(AND(I722="Invoiced",H722="Not Received"),AND(F722&gt;0,ABS(J722)&gt;Assumptions!$B$6),AND(G722&gt;0,ABS(K722)&gt;Assumptions!$B$6)),"EXCEPTION","OK")</f>
        <v>OK</v>
      </c>
    </row>
    <row r="723" customFormat="false" ht="15" hidden="false" customHeight="false" outlineLevel="0" collapsed="false">
      <c r="A723" s="16" t="str">
        <f aca="false">Purchase_Orders!A720</f>
        <v>PO10719</v>
      </c>
      <c r="B723" s="16" t="str">
        <f aca="false">Purchase_Orders!B720</f>
        <v>V1030</v>
      </c>
      <c r="C723" s="16" t="str">
        <f aca="false">IFERROR(INDEX(Vendor_Master!$B$2:$B$41,MATCH(B723,Vendor_Master!$A$2:$A$41,0)),"Unknown Vendor")</f>
        <v>Stanton-Gill</v>
      </c>
      <c r="D723" s="17" t="n">
        <f aca="false">Purchase_Orders!C720</f>
        <v>46031</v>
      </c>
      <c r="E723" s="18" t="n">
        <f aca="false">Purchase_Orders!D720</f>
        <v>363.94</v>
      </c>
      <c r="F723" s="18" t="n">
        <f aca="false">SUMIFS(Goods_Receipt_Notes!$D$2:$D$791,Goods_Receipt_Notes!$B$2:$B$791,A723)</f>
        <v>363.94</v>
      </c>
      <c r="G723" s="18" t="n">
        <f aca="false">SUMIFS(Vendor_Invoices_AP!$E$2:$E$882,Vendor_Invoices_AP!$B$2:$B$882,A723)</f>
        <v>363.94</v>
      </c>
      <c r="H723" s="16" t="str">
        <f aca="false">IF(F723=0,"Not Received","Received")</f>
        <v>Received</v>
      </c>
      <c r="I723" s="16" t="str">
        <f aca="false">IF(G723=0,"Not Invoiced","Invoiced")</f>
        <v>Invoiced</v>
      </c>
      <c r="J723" s="18" t="n">
        <f aca="false">E723-F723</f>
        <v>0</v>
      </c>
      <c r="K723" s="18" t="n">
        <f aca="false">E723-G723</f>
        <v>0</v>
      </c>
      <c r="L723" s="16" t="str">
        <f aca="false">IF(OR(AND(I723="Invoiced",H723="Not Received"),AND(F723&gt;0,ABS(J723)&gt;Assumptions!$B$6),AND(G723&gt;0,ABS(K723)&gt;Assumptions!$B$6)),"EXCEPTION","OK")</f>
        <v>OK</v>
      </c>
    </row>
    <row r="724" customFormat="false" ht="15" hidden="false" customHeight="false" outlineLevel="0" collapsed="false">
      <c r="A724" s="16" t="str">
        <f aca="false">Purchase_Orders!A721</f>
        <v>PO10720</v>
      </c>
      <c r="B724" s="16" t="str">
        <f aca="false">Purchase_Orders!B721</f>
        <v>V1009</v>
      </c>
      <c r="C724" s="16" t="str">
        <f aca="false">IFERROR(INDEX(Vendor_Master!$B$2:$B$41,MATCH(B724,Vendor_Master!$A$2:$A$41,0)),"Unknown Vendor")</f>
        <v>Munoz-Roman</v>
      </c>
      <c r="D724" s="17" t="n">
        <f aca="false">Purchase_Orders!C721</f>
        <v>45925</v>
      </c>
      <c r="E724" s="18" t="n">
        <f aca="false">Purchase_Orders!D721</f>
        <v>12071.44</v>
      </c>
      <c r="F724" s="18" t="n">
        <f aca="false">SUMIFS(Goods_Receipt_Notes!$D$2:$D$791,Goods_Receipt_Notes!$B$2:$B$791,A724)</f>
        <v>12071.44</v>
      </c>
      <c r="G724" s="18" t="n">
        <f aca="false">SUMIFS(Vendor_Invoices_AP!$E$2:$E$882,Vendor_Invoices_AP!$B$2:$B$882,A724)</f>
        <v>12071.44</v>
      </c>
      <c r="H724" s="16" t="str">
        <f aca="false">IF(F724=0,"Not Received","Received")</f>
        <v>Received</v>
      </c>
      <c r="I724" s="16" t="str">
        <f aca="false">IF(G724=0,"Not Invoiced","Invoiced")</f>
        <v>Invoiced</v>
      </c>
      <c r="J724" s="18" t="n">
        <f aca="false">E724-F724</f>
        <v>0</v>
      </c>
      <c r="K724" s="18" t="n">
        <f aca="false">E724-G724</f>
        <v>0</v>
      </c>
      <c r="L724" s="16" t="str">
        <f aca="false">IF(OR(AND(I724="Invoiced",H724="Not Received"),AND(F724&gt;0,ABS(J724)&gt;Assumptions!$B$6),AND(G724&gt;0,ABS(K724)&gt;Assumptions!$B$6)),"EXCEPTION","OK")</f>
        <v>OK</v>
      </c>
    </row>
    <row r="725" customFormat="false" ht="15" hidden="false" customHeight="false" outlineLevel="0" collapsed="false">
      <c r="A725" s="16" t="str">
        <f aca="false">Purchase_Orders!A722</f>
        <v>PO10721</v>
      </c>
      <c r="B725" s="16" t="str">
        <f aca="false">Purchase_Orders!B722</f>
        <v>V1006</v>
      </c>
      <c r="C725" s="16" t="str">
        <f aca="false">IFERROR(INDEX(Vendor_Master!$B$2:$B$41,MATCH(B725,Vendor_Master!$A$2:$A$41,0)),"Unknown Vendor")</f>
        <v>Blake and Sons</v>
      </c>
      <c r="D725" s="17" t="n">
        <f aca="false">Purchase_Orders!C722</f>
        <v>46153</v>
      </c>
      <c r="E725" s="18" t="n">
        <f aca="false">Purchase_Orders!D722</f>
        <v>296.66</v>
      </c>
      <c r="F725" s="18" t="n">
        <f aca="false">SUMIFS(Goods_Receipt_Notes!$D$2:$D$791,Goods_Receipt_Notes!$B$2:$B$791,A725)</f>
        <v>296.66</v>
      </c>
      <c r="G725" s="18" t="n">
        <f aca="false">SUMIFS(Vendor_Invoices_AP!$E$2:$E$882,Vendor_Invoices_AP!$B$2:$B$882,A725)</f>
        <v>345.86</v>
      </c>
      <c r="H725" s="16" t="str">
        <f aca="false">IF(F725=0,"Not Received","Received")</f>
        <v>Received</v>
      </c>
      <c r="I725" s="16" t="str">
        <f aca="false">IF(G725=0,"Not Invoiced","Invoiced")</f>
        <v>Invoiced</v>
      </c>
      <c r="J725" s="18" t="n">
        <f aca="false">E725-F725</f>
        <v>0</v>
      </c>
      <c r="K725" s="18" t="n">
        <f aca="false">E725-G725</f>
        <v>-49.2</v>
      </c>
      <c r="L725" s="16" t="str">
        <f aca="false">IF(OR(AND(I725="Invoiced",H725="Not Received"),AND(F725&gt;0,ABS(J725)&gt;Assumptions!$B$6),AND(G725&gt;0,ABS(K725)&gt;Assumptions!$B$6)),"EXCEPTION","OK")</f>
        <v>EXCEPTION</v>
      </c>
    </row>
    <row r="726" customFormat="false" ht="15" hidden="false" customHeight="false" outlineLevel="0" collapsed="false">
      <c r="A726" s="16" t="str">
        <f aca="false">Purchase_Orders!A723</f>
        <v>PO10722</v>
      </c>
      <c r="B726" s="16" t="str">
        <f aca="false">Purchase_Orders!B723</f>
        <v>V1039</v>
      </c>
      <c r="C726" s="16" t="str">
        <f aca="false">IFERROR(INDEX(Vendor_Master!$B$2:$B$41,MATCH(B726,Vendor_Master!$A$2:$A$41,0)),"Unknown Vendor")</f>
        <v>Campos, Vaughn and Marquez</v>
      </c>
      <c r="D726" s="17" t="n">
        <f aca="false">Purchase_Orders!C723</f>
        <v>45698</v>
      </c>
      <c r="E726" s="18" t="n">
        <f aca="false">Purchase_Orders!D723</f>
        <v>146.21</v>
      </c>
      <c r="F726" s="18" t="n">
        <f aca="false">SUMIFS(Goods_Receipt_Notes!$D$2:$D$791,Goods_Receipt_Notes!$B$2:$B$791,A726)</f>
        <v>146.21</v>
      </c>
      <c r="G726" s="18" t="n">
        <f aca="false">SUMIFS(Vendor_Invoices_AP!$E$2:$E$882,Vendor_Invoices_AP!$B$2:$B$882,A726)</f>
        <v>146.21</v>
      </c>
      <c r="H726" s="16" t="str">
        <f aca="false">IF(F726=0,"Not Received","Received")</f>
        <v>Received</v>
      </c>
      <c r="I726" s="16" t="str">
        <f aca="false">IF(G726=0,"Not Invoiced","Invoiced")</f>
        <v>Invoiced</v>
      </c>
      <c r="J726" s="18" t="n">
        <f aca="false">E726-F726</f>
        <v>0</v>
      </c>
      <c r="K726" s="18" t="n">
        <f aca="false">E726-G726</f>
        <v>0</v>
      </c>
      <c r="L726" s="16" t="str">
        <f aca="false">IF(OR(AND(I726="Invoiced",H726="Not Received"),AND(F726&gt;0,ABS(J726)&gt;Assumptions!$B$6),AND(G726&gt;0,ABS(K726)&gt;Assumptions!$B$6)),"EXCEPTION","OK")</f>
        <v>OK</v>
      </c>
    </row>
    <row r="727" customFormat="false" ht="15" hidden="false" customHeight="false" outlineLevel="0" collapsed="false">
      <c r="A727" s="16" t="str">
        <f aca="false">Purchase_Orders!A724</f>
        <v>PO10723</v>
      </c>
      <c r="B727" s="16" t="str">
        <f aca="false">Purchase_Orders!B724</f>
        <v>V1015</v>
      </c>
      <c r="C727" s="16" t="str">
        <f aca="false">IFERROR(INDEX(Vendor_Master!$B$2:$B$41,MATCH(B727,Vendor_Master!$A$2:$A$41,0)),"Unknown Vendor")</f>
        <v>Zuniga, Wong and Lynch</v>
      </c>
      <c r="D727" s="17" t="n">
        <f aca="false">Purchase_Orders!C724</f>
        <v>45702</v>
      </c>
      <c r="E727" s="18" t="n">
        <f aca="false">Purchase_Orders!D724</f>
        <v>2671.57</v>
      </c>
      <c r="F727" s="18" t="n">
        <f aca="false">SUMIFS(Goods_Receipt_Notes!$D$2:$D$791,Goods_Receipt_Notes!$B$2:$B$791,A727)</f>
        <v>2671.57</v>
      </c>
      <c r="G727" s="18" t="n">
        <f aca="false">SUMIFS(Vendor_Invoices_AP!$E$2:$E$882,Vendor_Invoices_AP!$B$2:$B$882,A727)</f>
        <v>2671.57</v>
      </c>
      <c r="H727" s="16" t="str">
        <f aca="false">IF(F727=0,"Not Received","Received")</f>
        <v>Received</v>
      </c>
      <c r="I727" s="16" t="str">
        <f aca="false">IF(G727=0,"Not Invoiced","Invoiced")</f>
        <v>Invoiced</v>
      </c>
      <c r="J727" s="18" t="n">
        <f aca="false">E727-F727</f>
        <v>0</v>
      </c>
      <c r="K727" s="18" t="n">
        <f aca="false">E727-G727</f>
        <v>0</v>
      </c>
      <c r="L727" s="16" t="str">
        <f aca="false">IF(OR(AND(I727="Invoiced",H727="Not Received"),AND(F727&gt;0,ABS(J727)&gt;Assumptions!$B$6),AND(G727&gt;0,ABS(K727)&gt;Assumptions!$B$6)),"EXCEPTION","OK")</f>
        <v>OK</v>
      </c>
    </row>
    <row r="728" customFormat="false" ht="15" hidden="false" customHeight="false" outlineLevel="0" collapsed="false">
      <c r="A728" s="16" t="str">
        <f aca="false">Purchase_Orders!A725</f>
        <v>PO10724</v>
      </c>
      <c r="B728" s="16" t="str">
        <f aca="false">Purchase_Orders!B725</f>
        <v>V1021</v>
      </c>
      <c r="C728" s="16" t="str">
        <f aca="false">IFERROR(INDEX(Vendor_Master!$B$2:$B$41,MATCH(B728,Vendor_Master!$A$2:$A$41,0)),"Unknown Vendor")</f>
        <v>Ellis, Baker and Wright</v>
      </c>
      <c r="D728" s="17" t="n">
        <f aca="false">Purchase_Orders!C725</f>
        <v>45989</v>
      </c>
      <c r="E728" s="18" t="n">
        <f aca="false">Purchase_Orders!D725</f>
        <v>1652.24</v>
      </c>
      <c r="F728" s="18" t="n">
        <f aca="false">SUMIFS(Goods_Receipt_Notes!$D$2:$D$791,Goods_Receipt_Notes!$B$2:$B$791,A728)</f>
        <v>1652.24</v>
      </c>
      <c r="G728" s="18" t="n">
        <f aca="false">SUMIFS(Vendor_Invoices_AP!$E$2:$E$882,Vendor_Invoices_AP!$B$2:$B$882,A728)</f>
        <v>1652.24</v>
      </c>
      <c r="H728" s="16" t="str">
        <f aca="false">IF(F728=0,"Not Received","Received")</f>
        <v>Received</v>
      </c>
      <c r="I728" s="16" t="str">
        <f aca="false">IF(G728=0,"Not Invoiced","Invoiced")</f>
        <v>Invoiced</v>
      </c>
      <c r="J728" s="18" t="n">
        <f aca="false">E728-F728</f>
        <v>0</v>
      </c>
      <c r="K728" s="18" t="n">
        <f aca="false">E728-G728</f>
        <v>0</v>
      </c>
      <c r="L728" s="16" t="str">
        <f aca="false">IF(OR(AND(I728="Invoiced",H728="Not Received"),AND(F728&gt;0,ABS(J728)&gt;Assumptions!$B$6),AND(G728&gt;0,ABS(K728)&gt;Assumptions!$B$6)),"EXCEPTION","OK")</f>
        <v>OK</v>
      </c>
    </row>
    <row r="729" customFormat="false" ht="15" hidden="false" customHeight="false" outlineLevel="0" collapsed="false">
      <c r="A729" s="16" t="str">
        <f aca="false">Purchase_Orders!A726</f>
        <v>PO10725</v>
      </c>
      <c r="B729" s="16" t="str">
        <f aca="false">Purchase_Orders!B726</f>
        <v>V1006</v>
      </c>
      <c r="C729" s="16" t="str">
        <f aca="false">IFERROR(INDEX(Vendor_Master!$B$2:$B$41,MATCH(B729,Vendor_Master!$A$2:$A$41,0)),"Unknown Vendor")</f>
        <v>Blake and Sons</v>
      </c>
      <c r="D729" s="17" t="n">
        <f aca="false">Purchase_Orders!C726</f>
        <v>45693</v>
      </c>
      <c r="E729" s="18" t="n">
        <f aca="false">Purchase_Orders!D726</f>
        <v>2766.5</v>
      </c>
      <c r="F729" s="18" t="n">
        <f aca="false">SUMIFS(Goods_Receipt_Notes!$D$2:$D$791,Goods_Receipt_Notes!$B$2:$B$791,A729)</f>
        <v>2766.5</v>
      </c>
      <c r="G729" s="18" t="n">
        <f aca="false">SUMIFS(Vendor_Invoices_AP!$E$2:$E$882,Vendor_Invoices_AP!$B$2:$B$882,A729)</f>
        <v>2766.5</v>
      </c>
      <c r="H729" s="16" t="str">
        <f aca="false">IF(F729=0,"Not Received","Received")</f>
        <v>Received</v>
      </c>
      <c r="I729" s="16" t="str">
        <f aca="false">IF(G729=0,"Not Invoiced","Invoiced")</f>
        <v>Invoiced</v>
      </c>
      <c r="J729" s="18" t="n">
        <f aca="false">E729-F729</f>
        <v>0</v>
      </c>
      <c r="K729" s="18" t="n">
        <f aca="false">E729-G729</f>
        <v>0</v>
      </c>
      <c r="L729" s="16" t="str">
        <f aca="false">IF(OR(AND(I729="Invoiced",H729="Not Received"),AND(F729&gt;0,ABS(J729)&gt;Assumptions!$B$6),AND(G729&gt;0,ABS(K729)&gt;Assumptions!$B$6)),"EXCEPTION","OK")</f>
        <v>OK</v>
      </c>
    </row>
    <row r="730" customFormat="false" ht="15" hidden="false" customHeight="false" outlineLevel="0" collapsed="false">
      <c r="A730" s="16" t="str">
        <f aca="false">Purchase_Orders!A727</f>
        <v>PO10726</v>
      </c>
      <c r="B730" s="16" t="str">
        <f aca="false">Purchase_Orders!B727</f>
        <v>V1029</v>
      </c>
      <c r="C730" s="16" t="str">
        <f aca="false">IFERROR(INDEX(Vendor_Master!$B$2:$B$41,MATCH(B730,Vendor_Master!$A$2:$A$41,0)),"Unknown Vendor")</f>
        <v>Chavez Ltd</v>
      </c>
      <c r="D730" s="17" t="n">
        <f aca="false">Purchase_Orders!C727</f>
        <v>45807</v>
      </c>
      <c r="E730" s="18" t="n">
        <f aca="false">Purchase_Orders!D727</f>
        <v>5537.55</v>
      </c>
      <c r="F730" s="18" t="n">
        <f aca="false">SUMIFS(Goods_Receipt_Notes!$D$2:$D$791,Goods_Receipt_Notes!$B$2:$B$791,A730)</f>
        <v>5537.55</v>
      </c>
      <c r="G730" s="18" t="n">
        <f aca="false">SUMIFS(Vendor_Invoices_AP!$E$2:$E$882,Vendor_Invoices_AP!$B$2:$B$882,A730)</f>
        <v>5537.55</v>
      </c>
      <c r="H730" s="16" t="str">
        <f aca="false">IF(F730=0,"Not Received","Received")</f>
        <v>Received</v>
      </c>
      <c r="I730" s="16" t="str">
        <f aca="false">IF(G730=0,"Not Invoiced","Invoiced")</f>
        <v>Invoiced</v>
      </c>
      <c r="J730" s="18" t="n">
        <f aca="false">E730-F730</f>
        <v>0</v>
      </c>
      <c r="K730" s="18" t="n">
        <f aca="false">E730-G730</f>
        <v>0</v>
      </c>
      <c r="L730" s="16" t="str">
        <f aca="false">IF(OR(AND(I730="Invoiced",H730="Not Received"),AND(F730&gt;0,ABS(J730)&gt;Assumptions!$B$6),AND(G730&gt;0,ABS(K730)&gt;Assumptions!$B$6)),"EXCEPTION","OK")</f>
        <v>OK</v>
      </c>
    </row>
    <row r="731" customFormat="false" ht="15" hidden="false" customHeight="false" outlineLevel="0" collapsed="false">
      <c r="A731" s="16" t="str">
        <f aca="false">Purchase_Orders!A728</f>
        <v>PO10727</v>
      </c>
      <c r="B731" s="16" t="str">
        <f aca="false">Purchase_Orders!B728</f>
        <v>V1031</v>
      </c>
      <c r="C731" s="16" t="str">
        <f aca="false">IFERROR(INDEX(Vendor_Master!$B$2:$B$41,MATCH(B731,Vendor_Master!$A$2:$A$41,0)),"Unknown Vendor")</f>
        <v>Harrell LLC</v>
      </c>
      <c r="D731" s="17" t="n">
        <f aca="false">Purchase_Orders!C728</f>
        <v>46003</v>
      </c>
      <c r="E731" s="18" t="n">
        <f aca="false">Purchase_Orders!D728</f>
        <v>4823.29</v>
      </c>
      <c r="F731" s="18" t="n">
        <f aca="false">SUMIFS(Goods_Receipt_Notes!$D$2:$D$791,Goods_Receipt_Notes!$B$2:$B$791,A731)</f>
        <v>4823.29</v>
      </c>
      <c r="G731" s="18" t="n">
        <f aca="false">SUMIFS(Vendor_Invoices_AP!$E$2:$E$882,Vendor_Invoices_AP!$B$2:$B$882,A731)</f>
        <v>4823.29</v>
      </c>
      <c r="H731" s="16" t="str">
        <f aca="false">IF(F731=0,"Not Received","Received")</f>
        <v>Received</v>
      </c>
      <c r="I731" s="16" t="str">
        <f aca="false">IF(G731=0,"Not Invoiced","Invoiced")</f>
        <v>Invoiced</v>
      </c>
      <c r="J731" s="18" t="n">
        <f aca="false">E731-F731</f>
        <v>0</v>
      </c>
      <c r="K731" s="18" t="n">
        <f aca="false">E731-G731</f>
        <v>0</v>
      </c>
      <c r="L731" s="16" t="str">
        <f aca="false">IF(OR(AND(I731="Invoiced",H731="Not Received"),AND(F731&gt;0,ABS(J731)&gt;Assumptions!$B$6),AND(G731&gt;0,ABS(K731)&gt;Assumptions!$B$6)),"EXCEPTION","OK")</f>
        <v>OK</v>
      </c>
    </row>
    <row r="732" customFormat="false" ht="15" hidden="false" customHeight="false" outlineLevel="0" collapsed="false">
      <c r="A732" s="16" t="str">
        <f aca="false">Purchase_Orders!A729</f>
        <v>PO10728</v>
      </c>
      <c r="B732" s="16" t="str">
        <f aca="false">Purchase_Orders!B729</f>
        <v>V1013</v>
      </c>
      <c r="C732" s="16" t="str">
        <f aca="false">IFERROR(INDEX(Vendor_Master!$B$2:$B$41,MATCH(B732,Vendor_Master!$A$2:$A$41,0)),"Unknown Vendor")</f>
        <v>Delacruz Group</v>
      </c>
      <c r="D732" s="17" t="n">
        <f aca="false">Purchase_Orders!C729</f>
        <v>45956</v>
      </c>
      <c r="E732" s="18" t="n">
        <f aca="false">Purchase_Orders!D729</f>
        <v>2004.87</v>
      </c>
      <c r="F732" s="18" t="n">
        <f aca="false">SUMIFS(Goods_Receipt_Notes!$D$2:$D$791,Goods_Receipt_Notes!$B$2:$B$791,A732)</f>
        <v>2004.87</v>
      </c>
      <c r="G732" s="18" t="n">
        <f aca="false">SUMIFS(Vendor_Invoices_AP!$E$2:$E$882,Vendor_Invoices_AP!$B$2:$B$882,A732)</f>
        <v>2004.87</v>
      </c>
      <c r="H732" s="16" t="str">
        <f aca="false">IF(F732=0,"Not Received","Received")</f>
        <v>Received</v>
      </c>
      <c r="I732" s="16" t="str">
        <f aca="false">IF(G732=0,"Not Invoiced","Invoiced")</f>
        <v>Invoiced</v>
      </c>
      <c r="J732" s="18" t="n">
        <f aca="false">E732-F732</f>
        <v>0</v>
      </c>
      <c r="K732" s="18" t="n">
        <f aca="false">E732-G732</f>
        <v>0</v>
      </c>
      <c r="L732" s="16" t="str">
        <f aca="false">IF(OR(AND(I732="Invoiced",H732="Not Received"),AND(F732&gt;0,ABS(J732)&gt;Assumptions!$B$6),AND(G732&gt;0,ABS(K732)&gt;Assumptions!$B$6)),"EXCEPTION","OK")</f>
        <v>OK</v>
      </c>
    </row>
    <row r="733" customFormat="false" ht="15" hidden="false" customHeight="false" outlineLevel="0" collapsed="false">
      <c r="A733" s="16" t="str">
        <f aca="false">Purchase_Orders!A730</f>
        <v>PO10729</v>
      </c>
      <c r="B733" s="16" t="str">
        <f aca="false">Purchase_Orders!B730</f>
        <v>V1023</v>
      </c>
      <c r="C733" s="16" t="str">
        <f aca="false">IFERROR(INDEX(Vendor_Master!$B$2:$B$41,MATCH(B733,Vendor_Master!$A$2:$A$41,0)),"Unknown Vendor")</f>
        <v>Robinson-Bright</v>
      </c>
      <c r="D733" s="17" t="n">
        <f aca="false">Purchase_Orders!C730</f>
        <v>45835</v>
      </c>
      <c r="E733" s="18" t="n">
        <f aca="false">Purchase_Orders!D730</f>
        <v>368.64</v>
      </c>
      <c r="F733" s="18" t="n">
        <f aca="false">SUMIFS(Goods_Receipt_Notes!$D$2:$D$791,Goods_Receipt_Notes!$B$2:$B$791,A733)</f>
        <v>0</v>
      </c>
      <c r="G733" s="18" t="n">
        <f aca="false">SUMIFS(Vendor_Invoices_AP!$E$2:$E$882,Vendor_Invoices_AP!$B$2:$B$882,A733)</f>
        <v>368.64</v>
      </c>
      <c r="H733" s="16" t="str">
        <f aca="false">IF(F733=0,"Not Received","Received")</f>
        <v>Not Received</v>
      </c>
      <c r="I733" s="16" t="str">
        <f aca="false">IF(G733=0,"Not Invoiced","Invoiced")</f>
        <v>Invoiced</v>
      </c>
      <c r="J733" s="18" t="n">
        <f aca="false">E733-F733</f>
        <v>368.64</v>
      </c>
      <c r="K733" s="18" t="n">
        <f aca="false">E733-G733</f>
        <v>0</v>
      </c>
      <c r="L733" s="16" t="str">
        <f aca="false">IF(OR(AND(I733="Invoiced",H733="Not Received"),AND(F733&gt;0,ABS(J733)&gt;Assumptions!$B$6),AND(G733&gt;0,ABS(K733)&gt;Assumptions!$B$6)),"EXCEPTION","OK")</f>
        <v>EXCEPTION</v>
      </c>
    </row>
    <row r="734" customFormat="false" ht="15" hidden="false" customHeight="false" outlineLevel="0" collapsed="false">
      <c r="A734" s="16" t="str">
        <f aca="false">Purchase_Orders!A731</f>
        <v>PO10730</v>
      </c>
      <c r="B734" s="16" t="str">
        <f aca="false">Purchase_Orders!B731</f>
        <v>V1033</v>
      </c>
      <c r="C734" s="16" t="str">
        <f aca="false">IFERROR(INDEX(Vendor_Master!$B$2:$B$41,MATCH(B734,Vendor_Master!$A$2:$A$41,0)),"Unknown Vendor")</f>
        <v>Sellers, George and Burns</v>
      </c>
      <c r="D734" s="17" t="n">
        <f aca="false">Purchase_Orders!C731</f>
        <v>46200</v>
      </c>
      <c r="E734" s="18" t="n">
        <f aca="false">Purchase_Orders!D731</f>
        <v>687.31</v>
      </c>
      <c r="F734" s="18" t="n">
        <f aca="false">SUMIFS(Goods_Receipt_Notes!$D$2:$D$791,Goods_Receipt_Notes!$B$2:$B$791,A734)</f>
        <v>687.31</v>
      </c>
      <c r="G734" s="18" t="n">
        <f aca="false">SUMIFS(Vendor_Invoices_AP!$E$2:$E$882,Vendor_Invoices_AP!$B$2:$B$882,A734)</f>
        <v>687.31</v>
      </c>
      <c r="H734" s="16" t="str">
        <f aca="false">IF(F734=0,"Not Received","Received")</f>
        <v>Received</v>
      </c>
      <c r="I734" s="16" t="str">
        <f aca="false">IF(G734=0,"Not Invoiced","Invoiced")</f>
        <v>Invoiced</v>
      </c>
      <c r="J734" s="18" t="n">
        <f aca="false">E734-F734</f>
        <v>0</v>
      </c>
      <c r="K734" s="18" t="n">
        <f aca="false">E734-G734</f>
        <v>0</v>
      </c>
      <c r="L734" s="16" t="str">
        <f aca="false">IF(OR(AND(I734="Invoiced",H734="Not Received"),AND(F734&gt;0,ABS(J734)&gt;Assumptions!$B$6),AND(G734&gt;0,ABS(K734)&gt;Assumptions!$B$6)),"EXCEPTION","OK")</f>
        <v>OK</v>
      </c>
    </row>
    <row r="735" customFormat="false" ht="15" hidden="false" customHeight="false" outlineLevel="0" collapsed="false">
      <c r="A735" s="16" t="str">
        <f aca="false">Purchase_Orders!A732</f>
        <v>PO10731</v>
      </c>
      <c r="B735" s="16" t="str">
        <f aca="false">Purchase_Orders!B732</f>
        <v>V1011</v>
      </c>
      <c r="C735" s="16" t="str">
        <f aca="false">IFERROR(INDEX(Vendor_Master!$B$2:$B$41,MATCH(B735,Vendor_Master!$A$2:$A$41,0)),"Unknown Vendor")</f>
        <v>Montgomery, Hensley and Ray</v>
      </c>
      <c r="D735" s="17" t="n">
        <f aca="false">Purchase_Orders!C732</f>
        <v>45947</v>
      </c>
      <c r="E735" s="18" t="n">
        <f aca="false">Purchase_Orders!D732</f>
        <v>18808.64</v>
      </c>
      <c r="F735" s="18" t="n">
        <f aca="false">SUMIFS(Goods_Receipt_Notes!$D$2:$D$791,Goods_Receipt_Notes!$B$2:$B$791,A735)</f>
        <v>18808.64</v>
      </c>
      <c r="G735" s="18" t="n">
        <f aca="false">SUMIFS(Vendor_Invoices_AP!$E$2:$E$882,Vendor_Invoices_AP!$B$2:$B$882,A735)</f>
        <v>18808.64</v>
      </c>
      <c r="H735" s="16" t="str">
        <f aca="false">IF(F735=0,"Not Received","Received")</f>
        <v>Received</v>
      </c>
      <c r="I735" s="16" t="str">
        <f aca="false">IF(G735=0,"Not Invoiced","Invoiced")</f>
        <v>Invoiced</v>
      </c>
      <c r="J735" s="18" t="n">
        <f aca="false">E735-F735</f>
        <v>0</v>
      </c>
      <c r="K735" s="18" t="n">
        <f aca="false">E735-G735</f>
        <v>0</v>
      </c>
      <c r="L735" s="16" t="str">
        <f aca="false">IF(OR(AND(I735="Invoiced",H735="Not Received"),AND(F735&gt;0,ABS(J735)&gt;Assumptions!$B$6),AND(G735&gt;0,ABS(K735)&gt;Assumptions!$B$6)),"EXCEPTION","OK")</f>
        <v>OK</v>
      </c>
    </row>
    <row r="736" customFormat="false" ht="15" hidden="false" customHeight="false" outlineLevel="0" collapsed="false">
      <c r="A736" s="16" t="str">
        <f aca="false">Purchase_Orders!A733</f>
        <v>PO10732</v>
      </c>
      <c r="B736" s="16" t="str">
        <f aca="false">Purchase_Orders!B733</f>
        <v>V1003</v>
      </c>
      <c r="C736" s="16" t="str">
        <f aca="false">IFERROR(INDEX(Vendor_Master!$B$2:$B$41,MATCH(B736,Vendor_Master!$A$2:$A$41,0)),"Unknown Vendor")</f>
        <v>Johnson and Sons</v>
      </c>
      <c r="D736" s="17" t="n">
        <f aca="false">Purchase_Orders!C733</f>
        <v>45905</v>
      </c>
      <c r="E736" s="18" t="n">
        <f aca="false">Purchase_Orders!D733</f>
        <v>2123.75</v>
      </c>
      <c r="F736" s="18" t="n">
        <f aca="false">SUMIFS(Goods_Receipt_Notes!$D$2:$D$791,Goods_Receipt_Notes!$B$2:$B$791,A736)</f>
        <v>1891.73</v>
      </c>
      <c r="G736" s="18" t="n">
        <f aca="false">SUMIFS(Vendor_Invoices_AP!$E$2:$E$882,Vendor_Invoices_AP!$B$2:$B$882,A736)</f>
        <v>2123.75</v>
      </c>
      <c r="H736" s="16" t="str">
        <f aca="false">IF(F736=0,"Not Received","Received")</f>
        <v>Received</v>
      </c>
      <c r="I736" s="16" t="str">
        <f aca="false">IF(G736=0,"Not Invoiced","Invoiced")</f>
        <v>Invoiced</v>
      </c>
      <c r="J736" s="18" t="n">
        <f aca="false">E736-F736</f>
        <v>232.02</v>
      </c>
      <c r="K736" s="18" t="n">
        <f aca="false">E736-G736</f>
        <v>0</v>
      </c>
      <c r="L736" s="16" t="str">
        <f aca="false">IF(OR(AND(I736="Invoiced",H736="Not Received"),AND(F736&gt;0,ABS(J736)&gt;Assumptions!$B$6),AND(G736&gt;0,ABS(K736)&gt;Assumptions!$B$6)),"EXCEPTION","OK")</f>
        <v>EXCEPTION</v>
      </c>
    </row>
    <row r="737" customFormat="false" ht="15" hidden="false" customHeight="false" outlineLevel="0" collapsed="false">
      <c r="A737" s="16" t="str">
        <f aca="false">Purchase_Orders!A734</f>
        <v>PO10733</v>
      </c>
      <c r="B737" s="16" t="str">
        <f aca="false">Purchase_Orders!B734</f>
        <v>V1010</v>
      </c>
      <c r="C737" s="16" t="str">
        <f aca="false">IFERROR(INDEX(Vendor_Master!$B$2:$B$41,MATCH(B737,Vendor_Master!$A$2:$A$41,0)),"Unknown Vendor")</f>
        <v>Martinez, Nielsen and Miller</v>
      </c>
      <c r="D737" s="17" t="n">
        <f aca="false">Purchase_Orders!C734</f>
        <v>45987</v>
      </c>
      <c r="E737" s="18" t="n">
        <f aca="false">Purchase_Orders!D734</f>
        <v>2641.8</v>
      </c>
      <c r="F737" s="18" t="n">
        <f aca="false">SUMIFS(Goods_Receipt_Notes!$D$2:$D$791,Goods_Receipt_Notes!$B$2:$B$791,A737)</f>
        <v>2641.8</v>
      </c>
      <c r="G737" s="18" t="n">
        <f aca="false">SUMIFS(Vendor_Invoices_AP!$E$2:$E$882,Vendor_Invoices_AP!$B$2:$B$882,A737)</f>
        <v>2641.8</v>
      </c>
      <c r="H737" s="16" t="str">
        <f aca="false">IF(F737=0,"Not Received","Received")</f>
        <v>Received</v>
      </c>
      <c r="I737" s="16" t="str">
        <f aca="false">IF(G737=0,"Not Invoiced","Invoiced")</f>
        <v>Invoiced</v>
      </c>
      <c r="J737" s="18" t="n">
        <f aca="false">E737-F737</f>
        <v>0</v>
      </c>
      <c r="K737" s="18" t="n">
        <f aca="false">E737-G737</f>
        <v>0</v>
      </c>
      <c r="L737" s="16" t="str">
        <f aca="false">IF(OR(AND(I737="Invoiced",H737="Not Received"),AND(F737&gt;0,ABS(J737)&gt;Assumptions!$B$6),AND(G737&gt;0,ABS(K737)&gt;Assumptions!$B$6)),"EXCEPTION","OK")</f>
        <v>OK</v>
      </c>
    </row>
    <row r="738" customFormat="false" ht="15" hidden="false" customHeight="false" outlineLevel="0" collapsed="false">
      <c r="A738" s="16" t="str">
        <f aca="false">Purchase_Orders!A735</f>
        <v>PO10734</v>
      </c>
      <c r="B738" s="16" t="str">
        <f aca="false">Purchase_Orders!B735</f>
        <v>V1015</v>
      </c>
      <c r="C738" s="16" t="str">
        <f aca="false">IFERROR(INDEX(Vendor_Master!$B$2:$B$41,MATCH(B738,Vendor_Master!$A$2:$A$41,0)),"Unknown Vendor")</f>
        <v>Zuniga, Wong and Lynch</v>
      </c>
      <c r="D738" s="17" t="n">
        <f aca="false">Purchase_Orders!C735</f>
        <v>45712</v>
      </c>
      <c r="E738" s="18" t="n">
        <f aca="false">Purchase_Orders!D735</f>
        <v>2661.22</v>
      </c>
      <c r="F738" s="18" t="n">
        <f aca="false">SUMIFS(Goods_Receipt_Notes!$D$2:$D$791,Goods_Receipt_Notes!$B$2:$B$791,A738)</f>
        <v>2661.22</v>
      </c>
      <c r="G738" s="18" t="n">
        <f aca="false">SUMIFS(Vendor_Invoices_AP!$E$2:$E$882,Vendor_Invoices_AP!$B$2:$B$882,A738)</f>
        <v>2661.22</v>
      </c>
      <c r="H738" s="16" t="str">
        <f aca="false">IF(F738=0,"Not Received","Received")</f>
        <v>Received</v>
      </c>
      <c r="I738" s="16" t="str">
        <f aca="false">IF(G738=0,"Not Invoiced","Invoiced")</f>
        <v>Invoiced</v>
      </c>
      <c r="J738" s="18" t="n">
        <f aca="false">E738-F738</f>
        <v>0</v>
      </c>
      <c r="K738" s="18" t="n">
        <f aca="false">E738-G738</f>
        <v>0</v>
      </c>
      <c r="L738" s="16" t="str">
        <f aca="false">IF(OR(AND(I738="Invoiced",H738="Not Received"),AND(F738&gt;0,ABS(J738)&gt;Assumptions!$B$6),AND(G738&gt;0,ABS(K738)&gt;Assumptions!$B$6)),"EXCEPTION","OK")</f>
        <v>OK</v>
      </c>
    </row>
    <row r="739" customFormat="false" ht="15" hidden="false" customHeight="false" outlineLevel="0" collapsed="false">
      <c r="A739" s="16" t="str">
        <f aca="false">Purchase_Orders!A736</f>
        <v>PO10735</v>
      </c>
      <c r="B739" s="16" t="str">
        <f aca="false">Purchase_Orders!B736</f>
        <v>V1022</v>
      </c>
      <c r="C739" s="16" t="str">
        <f aca="false">IFERROR(INDEX(Vendor_Master!$B$2:$B$41,MATCH(B739,Vendor_Master!$A$2:$A$41,0)),"Unknown Vendor")</f>
        <v>Burgess-Patterson</v>
      </c>
      <c r="D739" s="17" t="n">
        <f aca="false">Purchase_Orders!C736</f>
        <v>46040</v>
      </c>
      <c r="E739" s="18" t="n">
        <f aca="false">Purchase_Orders!D736</f>
        <v>2608</v>
      </c>
      <c r="F739" s="18" t="n">
        <f aca="false">SUMIFS(Goods_Receipt_Notes!$D$2:$D$791,Goods_Receipt_Notes!$B$2:$B$791,A739)</f>
        <v>2608</v>
      </c>
      <c r="G739" s="18" t="n">
        <f aca="false">SUMIFS(Vendor_Invoices_AP!$E$2:$E$882,Vendor_Invoices_AP!$B$2:$B$882,A739)</f>
        <v>2608</v>
      </c>
      <c r="H739" s="16" t="str">
        <f aca="false">IF(F739=0,"Not Received","Received")</f>
        <v>Received</v>
      </c>
      <c r="I739" s="16" t="str">
        <f aca="false">IF(G739=0,"Not Invoiced","Invoiced")</f>
        <v>Invoiced</v>
      </c>
      <c r="J739" s="18" t="n">
        <f aca="false">E739-F739</f>
        <v>0</v>
      </c>
      <c r="K739" s="18" t="n">
        <f aca="false">E739-G739</f>
        <v>0</v>
      </c>
      <c r="L739" s="16" t="str">
        <f aca="false">IF(OR(AND(I739="Invoiced",H739="Not Received"),AND(F739&gt;0,ABS(J739)&gt;Assumptions!$B$6),AND(G739&gt;0,ABS(K739)&gt;Assumptions!$B$6)),"EXCEPTION","OK")</f>
        <v>OK</v>
      </c>
    </row>
    <row r="740" customFormat="false" ht="15" hidden="false" customHeight="false" outlineLevel="0" collapsed="false">
      <c r="A740" s="16" t="str">
        <f aca="false">Purchase_Orders!A737</f>
        <v>PO10736</v>
      </c>
      <c r="B740" s="16" t="str">
        <f aca="false">Purchase_Orders!B737</f>
        <v>V1033</v>
      </c>
      <c r="C740" s="16" t="str">
        <f aca="false">IFERROR(INDEX(Vendor_Master!$B$2:$B$41,MATCH(B740,Vendor_Master!$A$2:$A$41,0)),"Unknown Vendor")</f>
        <v>Sellers, George and Burns</v>
      </c>
      <c r="D740" s="17" t="n">
        <f aca="false">Purchase_Orders!C737</f>
        <v>46122</v>
      </c>
      <c r="E740" s="18" t="n">
        <f aca="false">Purchase_Orders!D737</f>
        <v>19774.14</v>
      </c>
      <c r="F740" s="18" t="n">
        <f aca="false">SUMIFS(Goods_Receipt_Notes!$D$2:$D$791,Goods_Receipt_Notes!$B$2:$B$791,A740)</f>
        <v>19774.14</v>
      </c>
      <c r="G740" s="18" t="n">
        <f aca="false">SUMIFS(Vendor_Invoices_AP!$E$2:$E$882,Vendor_Invoices_AP!$B$2:$B$882,A740)</f>
        <v>19774.14</v>
      </c>
      <c r="H740" s="16" t="str">
        <f aca="false">IF(F740=0,"Not Received","Received")</f>
        <v>Received</v>
      </c>
      <c r="I740" s="16" t="str">
        <f aca="false">IF(G740=0,"Not Invoiced","Invoiced")</f>
        <v>Invoiced</v>
      </c>
      <c r="J740" s="18" t="n">
        <f aca="false">E740-F740</f>
        <v>0</v>
      </c>
      <c r="K740" s="18" t="n">
        <f aca="false">E740-G740</f>
        <v>0</v>
      </c>
      <c r="L740" s="16" t="str">
        <f aca="false">IF(OR(AND(I740="Invoiced",H740="Not Received"),AND(F740&gt;0,ABS(J740)&gt;Assumptions!$B$6),AND(G740&gt;0,ABS(K740)&gt;Assumptions!$B$6)),"EXCEPTION","OK")</f>
        <v>OK</v>
      </c>
    </row>
    <row r="741" customFormat="false" ht="15" hidden="false" customHeight="false" outlineLevel="0" collapsed="false">
      <c r="A741" s="16" t="str">
        <f aca="false">Purchase_Orders!A738</f>
        <v>PO10737</v>
      </c>
      <c r="B741" s="16" t="str">
        <f aca="false">Purchase_Orders!B738</f>
        <v>V1018</v>
      </c>
      <c r="C741" s="16" t="str">
        <f aca="false">IFERROR(INDEX(Vendor_Master!$B$2:$B$41,MATCH(B741,Vendor_Master!$A$2:$A$41,0)),"Unknown Vendor")</f>
        <v>Underwood LLC</v>
      </c>
      <c r="D741" s="17" t="n">
        <f aca="false">Purchase_Orders!C738</f>
        <v>46012</v>
      </c>
      <c r="E741" s="18" t="n">
        <f aca="false">Purchase_Orders!D738</f>
        <v>393.39</v>
      </c>
      <c r="F741" s="18" t="n">
        <f aca="false">SUMIFS(Goods_Receipt_Notes!$D$2:$D$791,Goods_Receipt_Notes!$B$2:$B$791,A741)</f>
        <v>393.39</v>
      </c>
      <c r="G741" s="18" t="n">
        <f aca="false">SUMIFS(Vendor_Invoices_AP!$E$2:$E$882,Vendor_Invoices_AP!$B$2:$B$882,A741)</f>
        <v>393.39</v>
      </c>
      <c r="H741" s="16" t="str">
        <f aca="false">IF(F741=0,"Not Received","Received")</f>
        <v>Received</v>
      </c>
      <c r="I741" s="16" t="str">
        <f aca="false">IF(G741=0,"Not Invoiced","Invoiced")</f>
        <v>Invoiced</v>
      </c>
      <c r="J741" s="18" t="n">
        <f aca="false">E741-F741</f>
        <v>0</v>
      </c>
      <c r="K741" s="18" t="n">
        <f aca="false">E741-G741</f>
        <v>0</v>
      </c>
      <c r="L741" s="16" t="str">
        <f aca="false">IF(OR(AND(I741="Invoiced",H741="Not Received"),AND(F741&gt;0,ABS(J741)&gt;Assumptions!$B$6),AND(G741&gt;0,ABS(K741)&gt;Assumptions!$B$6)),"EXCEPTION","OK")</f>
        <v>OK</v>
      </c>
    </row>
    <row r="742" customFormat="false" ht="15" hidden="false" customHeight="false" outlineLevel="0" collapsed="false">
      <c r="A742" s="16" t="str">
        <f aca="false">Purchase_Orders!A739</f>
        <v>PO10738</v>
      </c>
      <c r="B742" s="16" t="str">
        <f aca="false">Purchase_Orders!B739</f>
        <v>V1014</v>
      </c>
      <c r="C742" s="16" t="str">
        <f aca="false">IFERROR(INDEX(Vendor_Master!$B$2:$B$41,MATCH(B742,Vendor_Master!$A$2:$A$41,0)),"Unknown Vendor")</f>
        <v>Flowers, Martin and Kelly</v>
      </c>
      <c r="D742" s="17" t="n">
        <f aca="false">Purchase_Orders!C739</f>
        <v>46077</v>
      </c>
      <c r="E742" s="18" t="n">
        <f aca="false">Purchase_Orders!D739</f>
        <v>473.84</v>
      </c>
      <c r="F742" s="18" t="n">
        <f aca="false">SUMIFS(Goods_Receipt_Notes!$D$2:$D$791,Goods_Receipt_Notes!$B$2:$B$791,A742)</f>
        <v>473.84</v>
      </c>
      <c r="G742" s="18" t="n">
        <f aca="false">SUMIFS(Vendor_Invoices_AP!$E$2:$E$882,Vendor_Invoices_AP!$B$2:$B$882,A742)</f>
        <v>473.84</v>
      </c>
      <c r="H742" s="16" t="str">
        <f aca="false">IF(F742=0,"Not Received","Received")</f>
        <v>Received</v>
      </c>
      <c r="I742" s="16" t="str">
        <f aca="false">IF(G742=0,"Not Invoiced","Invoiced")</f>
        <v>Invoiced</v>
      </c>
      <c r="J742" s="18" t="n">
        <f aca="false">E742-F742</f>
        <v>0</v>
      </c>
      <c r="K742" s="18" t="n">
        <f aca="false">E742-G742</f>
        <v>0</v>
      </c>
      <c r="L742" s="16" t="str">
        <f aca="false">IF(OR(AND(I742="Invoiced",H742="Not Received"),AND(F742&gt;0,ABS(J742)&gt;Assumptions!$B$6),AND(G742&gt;0,ABS(K742)&gt;Assumptions!$B$6)),"EXCEPTION","OK")</f>
        <v>OK</v>
      </c>
    </row>
    <row r="743" customFormat="false" ht="15" hidden="false" customHeight="false" outlineLevel="0" collapsed="false">
      <c r="A743" s="16" t="str">
        <f aca="false">Purchase_Orders!A740</f>
        <v>PO10739</v>
      </c>
      <c r="B743" s="16" t="str">
        <f aca="false">Purchase_Orders!B740</f>
        <v>V1026</v>
      </c>
      <c r="C743" s="16" t="str">
        <f aca="false">IFERROR(INDEX(Vendor_Master!$B$2:$B$41,MATCH(B743,Vendor_Master!$A$2:$A$41,0)),"Unknown Vendor")</f>
        <v>James-Ferrell</v>
      </c>
      <c r="D743" s="17" t="n">
        <f aca="false">Purchase_Orders!C740</f>
        <v>46050</v>
      </c>
      <c r="E743" s="18" t="n">
        <f aca="false">Purchase_Orders!D740</f>
        <v>19934.95</v>
      </c>
      <c r="F743" s="18" t="n">
        <f aca="false">SUMIFS(Goods_Receipt_Notes!$D$2:$D$791,Goods_Receipt_Notes!$B$2:$B$791,A743)</f>
        <v>19934.95</v>
      </c>
      <c r="G743" s="18" t="n">
        <f aca="false">SUMIFS(Vendor_Invoices_AP!$E$2:$E$882,Vendor_Invoices_AP!$B$2:$B$882,A743)</f>
        <v>19934.95</v>
      </c>
      <c r="H743" s="16" t="str">
        <f aca="false">IF(F743=0,"Not Received","Received")</f>
        <v>Received</v>
      </c>
      <c r="I743" s="16" t="str">
        <f aca="false">IF(G743=0,"Not Invoiced","Invoiced")</f>
        <v>Invoiced</v>
      </c>
      <c r="J743" s="18" t="n">
        <f aca="false">E743-F743</f>
        <v>0</v>
      </c>
      <c r="K743" s="18" t="n">
        <f aca="false">E743-G743</f>
        <v>0</v>
      </c>
      <c r="L743" s="16" t="str">
        <f aca="false">IF(OR(AND(I743="Invoiced",H743="Not Received"),AND(F743&gt;0,ABS(J743)&gt;Assumptions!$B$6),AND(G743&gt;0,ABS(K743)&gt;Assumptions!$B$6)),"EXCEPTION","OK")</f>
        <v>OK</v>
      </c>
    </row>
    <row r="744" customFormat="false" ht="15" hidden="false" customHeight="false" outlineLevel="0" collapsed="false">
      <c r="A744" s="16" t="str">
        <f aca="false">Purchase_Orders!A741</f>
        <v>PO10740</v>
      </c>
      <c r="B744" s="16" t="str">
        <f aca="false">Purchase_Orders!B741</f>
        <v>V1008</v>
      </c>
      <c r="C744" s="16" t="str">
        <f aca="false">IFERROR(INDEX(Vendor_Master!$B$2:$B$41,MATCH(B744,Vendor_Master!$A$2:$A$41,0)),"Unknown Vendor")</f>
        <v>Davis Inc</v>
      </c>
      <c r="D744" s="17" t="n">
        <f aca="false">Purchase_Orders!C741</f>
        <v>45775</v>
      </c>
      <c r="E744" s="18" t="n">
        <f aca="false">Purchase_Orders!D741</f>
        <v>812.03</v>
      </c>
      <c r="F744" s="18" t="n">
        <f aca="false">SUMIFS(Goods_Receipt_Notes!$D$2:$D$791,Goods_Receipt_Notes!$B$2:$B$791,A744)</f>
        <v>603.9</v>
      </c>
      <c r="G744" s="18" t="n">
        <f aca="false">SUMIFS(Vendor_Invoices_AP!$E$2:$E$882,Vendor_Invoices_AP!$B$2:$B$882,A744)</f>
        <v>812.03</v>
      </c>
      <c r="H744" s="16" t="str">
        <f aca="false">IF(F744=0,"Not Received","Received")</f>
        <v>Received</v>
      </c>
      <c r="I744" s="16" t="str">
        <f aca="false">IF(G744=0,"Not Invoiced","Invoiced")</f>
        <v>Invoiced</v>
      </c>
      <c r="J744" s="18" t="n">
        <f aca="false">E744-F744</f>
        <v>208.13</v>
      </c>
      <c r="K744" s="18" t="n">
        <f aca="false">E744-G744</f>
        <v>0</v>
      </c>
      <c r="L744" s="16" t="str">
        <f aca="false">IF(OR(AND(I744="Invoiced",H744="Not Received"),AND(F744&gt;0,ABS(J744)&gt;Assumptions!$B$6),AND(G744&gt;0,ABS(K744)&gt;Assumptions!$B$6)),"EXCEPTION","OK")</f>
        <v>EXCEPTION</v>
      </c>
    </row>
    <row r="745" customFormat="false" ht="15" hidden="false" customHeight="false" outlineLevel="0" collapsed="false">
      <c r="A745" s="16" t="str">
        <f aca="false">Purchase_Orders!A742</f>
        <v>PO10741</v>
      </c>
      <c r="B745" s="16" t="str">
        <f aca="false">Purchase_Orders!B742</f>
        <v>V1025</v>
      </c>
      <c r="C745" s="16" t="str">
        <f aca="false">IFERROR(INDEX(Vendor_Master!$B$2:$B$41,MATCH(B745,Vendor_Master!$A$2:$A$41,0)),"Unknown Vendor")</f>
        <v>Conner Group</v>
      </c>
      <c r="D745" s="17" t="n">
        <f aca="false">Purchase_Orders!C742</f>
        <v>45904</v>
      </c>
      <c r="E745" s="18" t="n">
        <f aca="false">Purchase_Orders!D742</f>
        <v>26179.49</v>
      </c>
      <c r="F745" s="18" t="n">
        <f aca="false">SUMIFS(Goods_Receipt_Notes!$D$2:$D$791,Goods_Receipt_Notes!$B$2:$B$791,A745)</f>
        <v>26179.49</v>
      </c>
      <c r="G745" s="18" t="n">
        <f aca="false">SUMIFS(Vendor_Invoices_AP!$E$2:$E$882,Vendor_Invoices_AP!$B$2:$B$882,A745)</f>
        <v>26179.49</v>
      </c>
      <c r="H745" s="16" t="str">
        <f aca="false">IF(F745=0,"Not Received","Received")</f>
        <v>Received</v>
      </c>
      <c r="I745" s="16" t="str">
        <f aca="false">IF(G745=0,"Not Invoiced","Invoiced")</f>
        <v>Invoiced</v>
      </c>
      <c r="J745" s="18" t="n">
        <f aca="false">E745-F745</f>
        <v>0</v>
      </c>
      <c r="K745" s="18" t="n">
        <f aca="false">E745-G745</f>
        <v>0</v>
      </c>
      <c r="L745" s="16" t="str">
        <f aca="false">IF(OR(AND(I745="Invoiced",H745="Not Received"),AND(F745&gt;0,ABS(J745)&gt;Assumptions!$B$6),AND(G745&gt;0,ABS(K745)&gt;Assumptions!$B$6)),"EXCEPTION","OK")</f>
        <v>OK</v>
      </c>
    </row>
    <row r="746" customFormat="false" ht="15" hidden="false" customHeight="false" outlineLevel="0" collapsed="false">
      <c r="A746" s="16" t="str">
        <f aca="false">Purchase_Orders!A743</f>
        <v>PO10742</v>
      </c>
      <c r="B746" s="16" t="str">
        <f aca="false">Purchase_Orders!B743</f>
        <v>V1007</v>
      </c>
      <c r="C746" s="16" t="str">
        <f aca="false">IFERROR(INDEX(Vendor_Master!$B$2:$B$41,MATCH(B746,Vendor_Master!$A$2:$A$41,0)),"Unknown Vendor")</f>
        <v>Ramirez-Lewis</v>
      </c>
      <c r="D746" s="17" t="n">
        <f aca="false">Purchase_Orders!C743</f>
        <v>45782</v>
      </c>
      <c r="E746" s="18" t="n">
        <f aca="false">Purchase_Orders!D743</f>
        <v>8117.27</v>
      </c>
      <c r="F746" s="18" t="n">
        <f aca="false">SUMIFS(Goods_Receipt_Notes!$D$2:$D$791,Goods_Receipt_Notes!$B$2:$B$791,A746)</f>
        <v>8117.27</v>
      </c>
      <c r="G746" s="18" t="n">
        <f aca="false">SUMIFS(Vendor_Invoices_AP!$E$2:$E$882,Vendor_Invoices_AP!$B$2:$B$882,A746)</f>
        <v>8117.27</v>
      </c>
      <c r="H746" s="16" t="str">
        <f aca="false">IF(F746=0,"Not Received","Received")</f>
        <v>Received</v>
      </c>
      <c r="I746" s="16" t="str">
        <f aca="false">IF(G746=0,"Not Invoiced","Invoiced")</f>
        <v>Invoiced</v>
      </c>
      <c r="J746" s="18" t="n">
        <f aca="false">E746-F746</f>
        <v>0</v>
      </c>
      <c r="K746" s="18" t="n">
        <f aca="false">E746-G746</f>
        <v>0</v>
      </c>
      <c r="L746" s="16" t="str">
        <f aca="false">IF(OR(AND(I746="Invoiced",H746="Not Received"),AND(F746&gt;0,ABS(J746)&gt;Assumptions!$B$6),AND(G746&gt;0,ABS(K746)&gt;Assumptions!$B$6)),"EXCEPTION","OK")</f>
        <v>OK</v>
      </c>
    </row>
    <row r="747" customFormat="false" ht="15" hidden="false" customHeight="false" outlineLevel="0" collapsed="false">
      <c r="A747" s="16" t="str">
        <f aca="false">Purchase_Orders!A744</f>
        <v>PO10743</v>
      </c>
      <c r="B747" s="16" t="str">
        <f aca="false">Purchase_Orders!B744</f>
        <v>V1038</v>
      </c>
      <c r="C747" s="16" t="str">
        <f aca="false">IFERROR(INDEX(Vendor_Master!$B$2:$B$41,MATCH(B747,Vendor_Master!$A$2:$A$41,0)),"Unknown Vendor")</f>
        <v>Rose-Obrien</v>
      </c>
      <c r="D747" s="17" t="n">
        <f aca="false">Purchase_Orders!C744</f>
        <v>45842</v>
      </c>
      <c r="E747" s="18" t="n">
        <f aca="false">Purchase_Orders!D744</f>
        <v>9161.11</v>
      </c>
      <c r="F747" s="18" t="n">
        <f aca="false">SUMIFS(Goods_Receipt_Notes!$D$2:$D$791,Goods_Receipt_Notes!$B$2:$B$791,A747)</f>
        <v>9161.11</v>
      </c>
      <c r="G747" s="18" t="n">
        <f aca="false">SUMIFS(Vendor_Invoices_AP!$E$2:$E$882,Vendor_Invoices_AP!$B$2:$B$882,A747)</f>
        <v>9161.11</v>
      </c>
      <c r="H747" s="16" t="str">
        <f aca="false">IF(F747=0,"Not Received","Received")</f>
        <v>Received</v>
      </c>
      <c r="I747" s="16" t="str">
        <f aca="false">IF(G747=0,"Not Invoiced","Invoiced")</f>
        <v>Invoiced</v>
      </c>
      <c r="J747" s="18" t="n">
        <f aca="false">E747-F747</f>
        <v>0</v>
      </c>
      <c r="K747" s="18" t="n">
        <f aca="false">E747-G747</f>
        <v>0</v>
      </c>
      <c r="L747" s="16" t="str">
        <f aca="false">IF(OR(AND(I747="Invoiced",H747="Not Received"),AND(F747&gt;0,ABS(J747)&gt;Assumptions!$B$6),AND(G747&gt;0,ABS(K747)&gt;Assumptions!$B$6)),"EXCEPTION","OK")</f>
        <v>OK</v>
      </c>
    </row>
    <row r="748" customFormat="false" ht="15" hidden="false" customHeight="false" outlineLevel="0" collapsed="false">
      <c r="A748" s="16" t="str">
        <f aca="false">Purchase_Orders!A745</f>
        <v>PO10744</v>
      </c>
      <c r="B748" s="16" t="str">
        <f aca="false">Purchase_Orders!B745</f>
        <v>V1022</v>
      </c>
      <c r="C748" s="16" t="str">
        <f aca="false">IFERROR(INDEX(Vendor_Master!$B$2:$B$41,MATCH(B748,Vendor_Master!$A$2:$A$41,0)),"Unknown Vendor")</f>
        <v>Burgess-Patterson</v>
      </c>
      <c r="D748" s="17" t="n">
        <f aca="false">Purchase_Orders!C745</f>
        <v>45905</v>
      </c>
      <c r="E748" s="18" t="n">
        <f aca="false">Purchase_Orders!D745</f>
        <v>1056.4</v>
      </c>
      <c r="F748" s="18" t="n">
        <f aca="false">SUMIFS(Goods_Receipt_Notes!$D$2:$D$791,Goods_Receipt_Notes!$B$2:$B$791,A748)</f>
        <v>1056.4</v>
      </c>
      <c r="G748" s="18" t="n">
        <f aca="false">SUMIFS(Vendor_Invoices_AP!$E$2:$E$882,Vendor_Invoices_AP!$B$2:$B$882,A748)</f>
        <v>1056.4</v>
      </c>
      <c r="H748" s="16" t="str">
        <f aca="false">IF(F748=0,"Not Received","Received")</f>
        <v>Received</v>
      </c>
      <c r="I748" s="16" t="str">
        <f aca="false">IF(G748=0,"Not Invoiced","Invoiced")</f>
        <v>Invoiced</v>
      </c>
      <c r="J748" s="18" t="n">
        <f aca="false">E748-F748</f>
        <v>0</v>
      </c>
      <c r="K748" s="18" t="n">
        <f aca="false">E748-G748</f>
        <v>0</v>
      </c>
      <c r="L748" s="16" t="str">
        <f aca="false">IF(OR(AND(I748="Invoiced",H748="Not Received"),AND(F748&gt;0,ABS(J748)&gt;Assumptions!$B$6),AND(G748&gt;0,ABS(K748)&gt;Assumptions!$B$6)),"EXCEPTION","OK")</f>
        <v>OK</v>
      </c>
    </row>
    <row r="749" customFormat="false" ht="15" hidden="false" customHeight="false" outlineLevel="0" collapsed="false">
      <c r="A749" s="16" t="str">
        <f aca="false">Purchase_Orders!A746</f>
        <v>PO10745</v>
      </c>
      <c r="B749" s="16" t="str">
        <f aca="false">Purchase_Orders!B746</f>
        <v>V1015</v>
      </c>
      <c r="C749" s="16" t="str">
        <f aca="false">IFERROR(INDEX(Vendor_Master!$B$2:$B$41,MATCH(B749,Vendor_Master!$A$2:$A$41,0)),"Unknown Vendor")</f>
        <v>Zuniga, Wong and Lynch</v>
      </c>
      <c r="D749" s="17" t="n">
        <f aca="false">Purchase_Orders!C746</f>
        <v>45884</v>
      </c>
      <c r="E749" s="18" t="n">
        <f aca="false">Purchase_Orders!D746</f>
        <v>3577.81</v>
      </c>
      <c r="F749" s="18" t="n">
        <f aca="false">SUMIFS(Goods_Receipt_Notes!$D$2:$D$791,Goods_Receipt_Notes!$B$2:$B$791,A749)</f>
        <v>3577.81</v>
      </c>
      <c r="G749" s="18" t="n">
        <f aca="false">SUMIFS(Vendor_Invoices_AP!$E$2:$E$882,Vendor_Invoices_AP!$B$2:$B$882,A749)</f>
        <v>3577.81</v>
      </c>
      <c r="H749" s="16" t="str">
        <f aca="false">IF(F749=0,"Not Received","Received")</f>
        <v>Received</v>
      </c>
      <c r="I749" s="16" t="str">
        <f aca="false">IF(G749=0,"Not Invoiced","Invoiced")</f>
        <v>Invoiced</v>
      </c>
      <c r="J749" s="18" t="n">
        <f aca="false">E749-F749</f>
        <v>0</v>
      </c>
      <c r="K749" s="18" t="n">
        <f aca="false">E749-G749</f>
        <v>0</v>
      </c>
      <c r="L749" s="16" t="str">
        <f aca="false">IF(OR(AND(I749="Invoiced",H749="Not Received"),AND(F749&gt;0,ABS(J749)&gt;Assumptions!$B$6),AND(G749&gt;0,ABS(K749)&gt;Assumptions!$B$6)),"EXCEPTION","OK")</f>
        <v>OK</v>
      </c>
    </row>
    <row r="750" customFormat="false" ht="15" hidden="false" customHeight="false" outlineLevel="0" collapsed="false">
      <c r="A750" s="16" t="str">
        <f aca="false">Purchase_Orders!A747</f>
        <v>PO10746</v>
      </c>
      <c r="B750" s="16" t="str">
        <f aca="false">Purchase_Orders!B747</f>
        <v>V1006</v>
      </c>
      <c r="C750" s="16" t="str">
        <f aca="false">IFERROR(INDEX(Vendor_Master!$B$2:$B$41,MATCH(B750,Vendor_Master!$A$2:$A$41,0)),"Unknown Vendor")</f>
        <v>Blake and Sons</v>
      </c>
      <c r="D750" s="17" t="n">
        <f aca="false">Purchase_Orders!C747</f>
        <v>45709</v>
      </c>
      <c r="E750" s="18" t="n">
        <f aca="false">Purchase_Orders!D747</f>
        <v>1478.7</v>
      </c>
      <c r="F750" s="18" t="n">
        <f aca="false">SUMIFS(Goods_Receipt_Notes!$D$2:$D$791,Goods_Receipt_Notes!$B$2:$B$791,A750)</f>
        <v>1478.7</v>
      </c>
      <c r="G750" s="18" t="n">
        <f aca="false">SUMIFS(Vendor_Invoices_AP!$E$2:$E$882,Vendor_Invoices_AP!$B$2:$B$882,A750)</f>
        <v>1478.7</v>
      </c>
      <c r="H750" s="16" t="str">
        <f aca="false">IF(F750=0,"Not Received","Received")</f>
        <v>Received</v>
      </c>
      <c r="I750" s="16" t="str">
        <f aca="false">IF(G750=0,"Not Invoiced","Invoiced")</f>
        <v>Invoiced</v>
      </c>
      <c r="J750" s="18" t="n">
        <f aca="false">E750-F750</f>
        <v>0</v>
      </c>
      <c r="K750" s="18" t="n">
        <f aca="false">E750-G750</f>
        <v>0</v>
      </c>
      <c r="L750" s="16" t="str">
        <f aca="false">IF(OR(AND(I750="Invoiced",H750="Not Received"),AND(F750&gt;0,ABS(J750)&gt;Assumptions!$B$6),AND(G750&gt;0,ABS(K750)&gt;Assumptions!$B$6)),"EXCEPTION","OK")</f>
        <v>OK</v>
      </c>
    </row>
    <row r="751" customFormat="false" ht="15" hidden="false" customHeight="false" outlineLevel="0" collapsed="false">
      <c r="A751" s="16" t="str">
        <f aca="false">Purchase_Orders!A748</f>
        <v>PO10747</v>
      </c>
      <c r="B751" s="16" t="str">
        <f aca="false">Purchase_Orders!B748</f>
        <v>V1026</v>
      </c>
      <c r="C751" s="16" t="str">
        <f aca="false">IFERROR(INDEX(Vendor_Master!$B$2:$B$41,MATCH(B751,Vendor_Master!$A$2:$A$41,0)),"Unknown Vendor")</f>
        <v>James-Ferrell</v>
      </c>
      <c r="D751" s="17" t="n">
        <f aca="false">Purchase_Orders!C748</f>
        <v>45890</v>
      </c>
      <c r="E751" s="18" t="n">
        <f aca="false">Purchase_Orders!D748</f>
        <v>5071.62</v>
      </c>
      <c r="F751" s="18" t="n">
        <f aca="false">SUMIFS(Goods_Receipt_Notes!$D$2:$D$791,Goods_Receipt_Notes!$B$2:$B$791,A751)</f>
        <v>5071.62</v>
      </c>
      <c r="G751" s="18" t="n">
        <f aca="false">SUMIFS(Vendor_Invoices_AP!$E$2:$E$882,Vendor_Invoices_AP!$B$2:$B$882,A751)</f>
        <v>5071.62</v>
      </c>
      <c r="H751" s="16" t="str">
        <f aca="false">IF(F751=0,"Not Received","Received")</f>
        <v>Received</v>
      </c>
      <c r="I751" s="16" t="str">
        <f aca="false">IF(G751=0,"Not Invoiced","Invoiced")</f>
        <v>Invoiced</v>
      </c>
      <c r="J751" s="18" t="n">
        <f aca="false">E751-F751</f>
        <v>0</v>
      </c>
      <c r="K751" s="18" t="n">
        <f aca="false">E751-G751</f>
        <v>0</v>
      </c>
      <c r="L751" s="16" t="str">
        <f aca="false">IF(OR(AND(I751="Invoiced",H751="Not Received"),AND(F751&gt;0,ABS(J751)&gt;Assumptions!$B$6),AND(G751&gt;0,ABS(K751)&gt;Assumptions!$B$6)),"EXCEPTION","OK")</f>
        <v>OK</v>
      </c>
    </row>
    <row r="752" customFormat="false" ht="15" hidden="false" customHeight="false" outlineLevel="0" collapsed="false">
      <c r="A752" s="16" t="str">
        <f aca="false">Purchase_Orders!A749</f>
        <v>PO10748</v>
      </c>
      <c r="B752" s="16" t="str">
        <f aca="false">Purchase_Orders!B749</f>
        <v>V1033</v>
      </c>
      <c r="C752" s="16" t="str">
        <f aca="false">IFERROR(INDEX(Vendor_Master!$B$2:$B$41,MATCH(B752,Vendor_Master!$A$2:$A$41,0)),"Unknown Vendor")</f>
        <v>Sellers, George and Burns</v>
      </c>
      <c r="D752" s="17" t="n">
        <f aca="false">Purchase_Orders!C749</f>
        <v>46020</v>
      </c>
      <c r="E752" s="18" t="n">
        <f aca="false">Purchase_Orders!D749</f>
        <v>3714.97</v>
      </c>
      <c r="F752" s="18" t="n">
        <f aca="false">SUMIFS(Goods_Receipt_Notes!$D$2:$D$791,Goods_Receipt_Notes!$B$2:$B$791,A752)</f>
        <v>3714.97</v>
      </c>
      <c r="G752" s="18" t="n">
        <f aca="false">SUMIFS(Vendor_Invoices_AP!$E$2:$E$882,Vendor_Invoices_AP!$B$2:$B$882,A752)</f>
        <v>3714.97</v>
      </c>
      <c r="H752" s="16" t="str">
        <f aca="false">IF(F752=0,"Not Received","Received")</f>
        <v>Received</v>
      </c>
      <c r="I752" s="16" t="str">
        <f aca="false">IF(G752=0,"Not Invoiced","Invoiced")</f>
        <v>Invoiced</v>
      </c>
      <c r="J752" s="18" t="n">
        <f aca="false">E752-F752</f>
        <v>0</v>
      </c>
      <c r="K752" s="18" t="n">
        <f aca="false">E752-G752</f>
        <v>0</v>
      </c>
      <c r="L752" s="16" t="str">
        <f aca="false">IF(OR(AND(I752="Invoiced",H752="Not Received"),AND(F752&gt;0,ABS(J752)&gt;Assumptions!$B$6),AND(G752&gt;0,ABS(K752)&gt;Assumptions!$B$6)),"EXCEPTION","OK")</f>
        <v>OK</v>
      </c>
    </row>
    <row r="753" customFormat="false" ht="15" hidden="false" customHeight="false" outlineLevel="0" collapsed="false">
      <c r="A753" s="16" t="str">
        <f aca="false">Purchase_Orders!A750</f>
        <v>PO10749</v>
      </c>
      <c r="B753" s="16" t="str">
        <f aca="false">Purchase_Orders!B750</f>
        <v>V1025</v>
      </c>
      <c r="C753" s="16" t="str">
        <f aca="false">IFERROR(INDEX(Vendor_Master!$B$2:$B$41,MATCH(B753,Vendor_Master!$A$2:$A$41,0)),"Unknown Vendor")</f>
        <v>Conner Group</v>
      </c>
      <c r="D753" s="17" t="n">
        <f aca="false">Purchase_Orders!C750</f>
        <v>45861</v>
      </c>
      <c r="E753" s="18" t="n">
        <f aca="false">Purchase_Orders!D750</f>
        <v>481.93</v>
      </c>
      <c r="F753" s="18" t="n">
        <f aca="false">SUMIFS(Goods_Receipt_Notes!$D$2:$D$791,Goods_Receipt_Notes!$B$2:$B$791,A753)</f>
        <v>481.93</v>
      </c>
      <c r="G753" s="18" t="n">
        <f aca="false">SUMIFS(Vendor_Invoices_AP!$E$2:$E$882,Vendor_Invoices_AP!$B$2:$B$882,A753)</f>
        <v>577.47</v>
      </c>
      <c r="H753" s="16" t="str">
        <f aca="false">IF(F753=0,"Not Received","Received")</f>
        <v>Received</v>
      </c>
      <c r="I753" s="16" t="str">
        <f aca="false">IF(G753=0,"Not Invoiced","Invoiced")</f>
        <v>Invoiced</v>
      </c>
      <c r="J753" s="18" t="n">
        <f aca="false">E753-F753</f>
        <v>0</v>
      </c>
      <c r="K753" s="18" t="n">
        <f aca="false">E753-G753</f>
        <v>-95.54</v>
      </c>
      <c r="L753" s="16" t="str">
        <f aca="false">IF(OR(AND(I753="Invoiced",H753="Not Received"),AND(F753&gt;0,ABS(J753)&gt;Assumptions!$B$6),AND(G753&gt;0,ABS(K753)&gt;Assumptions!$B$6)),"EXCEPTION","OK")</f>
        <v>EXCEPTION</v>
      </c>
    </row>
    <row r="754" customFormat="false" ht="15" hidden="false" customHeight="false" outlineLevel="0" collapsed="false">
      <c r="A754" s="16" t="str">
        <f aca="false">Purchase_Orders!A751</f>
        <v>PO10750</v>
      </c>
      <c r="B754" s="16" t="str">
        <f aca="false">Purchase_Orders!B751</f>
        <v>V1012</v>
      </c>
      <c r="C754" s="16" t="str">
        <f aca="false">IFERROR(INDEX(Vendor_Master!$B$2:$B$41,MATCH(B754,Vendor_Master!$A$2:$A$41,0)),"Unknown Vendor")</f>
        <v>Stanley LLC</v>
      </c>
      <c r="D754" s="17" t="n">
        <f aca="false">Purchase_Orders!C751</f>
        <v>45741</v>
      </c>
      <c r="E754" s="18" t="n">
        <f aca="false">Purchase_Orders!D751</f>
        <v>3419.93</v>
      </c>
      <c r="F754" s="18" t="n">
        <f aca="false">SUMIFS(Goods_Receipt_Notes!$D$2:$D$791,Goods_Receipt_Notes!$B$2:$B$791,A754)</f>
        <v>0</v>
      </c>
      <c r="G754" s="18" t="n">
        <f aca="false">SUMIFS(Vendor_Invoices_AP!$E$2:$E$882,Vendor_Invoices_AP!$B$2:$B$882,A754)</f>
        <v>3419.93</v>
      </c>
      <c r="H754" s="16" t="str">
        <f aca="false">IF(F754=0,"Not Received","Received")</f>
        <v>Not Received</v>
      </c>
      <c r="I754" s="16" t="str">
        <f aca="false">IF(G754=0,"Not Invoiced","Invoiced")</f>
        <v>Invoiced</v>
      </c>
      <c r="J754" s="18" t="n">
        <f aca="false">E754-F754</f>
        <v>3419.93</v>
      </c>
      <c r="K754" s="18" t="n">
        <f aca="false">E754-G754</f>
        <v>0</v>
      </c>
      <c r="L754" s="16" t="str">
        <f aca="false">IF(OR(AND(I754="Invoiced",H754="Not Received"),AND(F754&gt;0,ABS(J754)&gt;Assumptions!$B$6),AND(G754&gt;0,ABS(K754)&gt;Assumptions!$B$6)),"EXCEPTION","OK")</f>
        <v>EXCEPTION</v>
      </c>
    </row>
    <row r="755" customFormat="false" ht="15" hidden="false" customHeight="false" outlineLevel="0" collapsed="false">
      <c r="A755" s="16" t="str">
        <f aca="false">Purchase_Orders!A752</f>
        <v>PO10751</v>
      </c>
      <c r="B755" s="16" t="str">
        <f aca="false">Purchase_Orders!B752</f>
        <v>V1002</v>
      </c>
      <c r="C755" s="16" t="str">
        <f aca="false">IFERROR(INDEX(Vendor_Master!$B$2:$B$41,MATCH(B755,Vendor_Master!$A$2:$A$41,0)),"Unknown Vendor")</f>
        <v>Garcia, Yang and Gardner</v>
      </c>
      <c r="D755" s="17" t="n">
        <f aca="false">Purchase_Orders!C752</f>
        <v>46161</v>
      </c>
      <c r="E755" s="18" t="n">
        <f aca="false">Purchase_Orders!D752</f>
        <v>2429.18</v>
      </c>
      <c r="F755" s="18" t="n">
        <f aca="false">SUMIFS(Goods_Receipt_Notes!$D$2:$D$791,Goods_Receipt_Notes!$B$2:$B$791,A755)</f>
        <v>2429.18</v>
      </c>
      <c r="G755" s="18" t="n">
        <f aca="false">SUMIFS(Vendor_Invoices_AP!$E$2:$E$882,Vendor_Invoices_AP!$B$2:$B$882,A755)</f>
        <v>2429.18</v>
      </c>
      <c r="H755" s="16" t="str">
        <f aca="false">IF(F755=0,"Not Received","Received")</f>
        <v>Received</v>
      </c>
      <c r="I755" s="16" t="str">
        <f aca="false">IF(G755=0,"Not Invoiced","Invoiced")</f>
        <v>Invoiced</v>
      </c>
      <c r="J755" s="18" t="n">
        <f aca="false">E755-F755</f>
        <v>0</v>
      </c>
      <c r="K755" s="18" t="n">
        <f aca="false">E755-G755</f>
        <v>0</v>
      </c>
      <c r="L755" s="16" t="str">
        <f aca="false">IF(OR(AND(I755="Invoiced",H755="Not Received"),AND(F755&gt;0,ABS(J755)&gt;Assumptions!$B$6),AND(G755&gt;0,ABS(K755)&gt;Assumptions!$B$6)),"EXCEPTION","OK")</f>
        <v>OK</v>
      </c>
    </row>
    <row r="756" customFormat="false" ht="15" hidden="false" customHeight="false" outlineLevel="0" collapsed="false">
      <c r="A756" s="16" t="str">
        <f aca="false">Purchase_Orders!A753</f>
        <v>PO10752</v>
      </c>
      <c r="B756" s="16" t="str">
        <f aca="false">Purchase_Orders!B753</f>
        <v>V1010</v>
      </c>
      <c r="C756" s="16" t="str">
        <f aca="false">IFERROR(INDEX(Vendor_Master!$B$2:$B$41,MATCH(B756,Vendor_Master!$A$2:$A$41,0)),"Unknown Vendor")</f>
        <v>Martinez, Nielsen and Miller</v>
      </c>
      <c r="D756" s="17" t="n">
        <f aca="false">Purchase_Orders!C753</f>
        <v>45694</v>
      </c>
      <c r="E756" s="18" t="n">
        <f aca="false">Purchase_Orders!D753</f>
        <v>5420.25</v>
      </c>
      <c r="F756" s="18" t="n">
        <f aca="false">SUMIFS(Goods_Receipt_Notes!$D$2:$D$791,Goods_Receipt_Notes!$B$2:$B$791,A756)</f>
        <v>5420.25</v>
      </c>
      <c r="G756" s="18" t="n">
        <f aca="false">SUMIFS(Vendor_Invoices_AP!$E$2:$E$882,Vendor_Invoices_AP!$B$2:$B$882,A756)</f>
        <v>5420.25</v>
      </c>
      <c r="H756" s="16" t="str">
        <f aca="false">IF(F756=0,"Not Received","Received")</f>
        <v>Received</v>
      </c>
      <c r="I756" s="16" t="str">
        <f aca="false">IF(G756=0,"Not Invoiced","Invoiced")</f>
        <v>Invoiced</v>
      </c>
      <c r="J756" s="18" t="n">
        <f aca="false">E756-F756</f>
        <v>0</v>
      </c>
      <c r="K756" s="18" t="n">
        <f aca="false">E756-G756</f>
        <v>0</v>
      </c>
      <c r="L756" s="16" t="str">
        <f aca="false">IF(OR(AND(I756="Invoiced",H756="Not Received"),AND(F756&gt;0,ABS(J756)&gt;Assumptions!$B$6),AND(G756&gt;0,ABS(K756)&gt;Assumptions!$B$6)),"EXCEPTION","OK")</f>
        <v>OK</v>
      </c>
    </row>
    <row r="757" customFormat="false" ht="15" hidden="false" customHeight="false" outlineLevel="0" collapsed="false">
      <c r="A757" s="16" t="str">
        <f aca="false">Purchase_Orders!A754</f>
        <v>PO10753</v>
      </c>
      <c r="B757" s="16" t="str">
        <f aca="false">Purchase_Orders!B754</f>
        <v>V1007</v>
      </c>
      <c r="C757" s="16" t="str">
        <f aca="false">IFERROR(INDEX(Vendor_Master!$B$2:$B$41,MATCH(B757,Vendor_Master!$A$2:$A$41,0)),"Unknown Vendor")</f>
        <v>Ramirez-Lewis</v>
      </c>
      <c r="D757" s="17" t="n">
        <f aca="false">Purchase_Orders!C754</f>
        <v>46111</v>
      </c>
      <c r="E757" s="18" t="n">
        <f aca="false">Purchase_Orders!D754</f>
        <v>4765.29</v>
      </c>
      <c r="F757" s="18" t="n">
        <f aca="false">SUMIFS(Goods_Receipt_Notes!$D$2:$D$791,Goods_Receipt_Notes!$B$2:$B$791,A757)</f>
        <v>4765.29</v>
      </c>
      <c r="G757" s="18" t="n">
        <f aca="false">SUMIFS(Vendor_Invoices_AP!$E$2:$E$882,Vendor_Invoices_AP!$B$2:$B$882,A757)</f>
        <v>4765.29</v>
      </c>
      <c r="H757" s="16" t="str">
        <f aca="false">IF(F757=0,"Not Received","Received")</f>
        <v>Received</v>
      </c>
      <c r="I757" s="16" t="str">
        <f aca="false">IF(G757=0,"Not Invoiced","Invoiced")</f>
        <v>Invoiced</v>
      </c>
      <c r="J757" s="18" t="n">
        <f aca="false">E757-F757</f>
        <v>0</v>
      </c>
      <c r="K757" s="18" t="n">
        <f aca="false">E757-G757</f>
        <v>0</v>
      </c>
      <c r="L757" s="16" t="str">
        <f aca="false">IF(OR(AND(I757="Invoiced",H757="Not Received"),AND(F757&gt;0,ABS(J757)&gt;Assumptions!$B$6),AND(G757&gt;0,ABS(K757)&gt;Assumptions!$B$6)),"EXCEPTION","OK")</f>
        <v>OK</v>
      </c>
    </row>
    <row r="758" customFormat="false" ht="15" hidden="false" customHeight="false" outlineLevel="0" collapsed="false">
      <c r="A758" s="16" t="str">
        <f aca="false">Purchase_Orders!A755</f>
        <v>PO10754</v>
      </c>
      <c r="B758" s="16" t="str">
        <f aca="false">Purchase_Orders!B755</f>
        <v>V1034</v>
      </c>
      <c r="C758" s="16" t="str">
        <f aca="false">IFERROR(INDEX(Vendor_Master!$B$2:$B$41,MATCH(B758,Vendor_Master!$A$2:$A$41,0)),"Unknown Vendor")</f>
        <v>Koch-Decker</v>
      </c>
      <c r="D758" s="17" t="n">
        <f aca="false">Purchase_Orders!C755</f>
        <v>45708</v>
      </c>
      <c r="E758" s="18" t="n">
        <f aca="false">Purchase_Orders!D755</f>
        <v>5970.05</v>
      </c>
      <c r="F758" s="18" t="n">
        <f aca="false">SUMIFS(Goods_Receipt_Notes!$D$2:$D$791,Goods_Receipt_Notes!$B$2:$B$791,A758)</f>
        <v>0</v>
      </c>
      <c r="G758" s="18" t="n">
        <f aca="false">SUMIFS(Vendor_Invoices_AP!$E$2:$E$882,Vendor_Invoices_AP!$B$2:$B$882,A758)</f>
        <v>5970.05</v>
      </c>
      <c r="H758" s="16" t="str">
        <f aca="false">IF(F758=0,"Not Received","Received")</f>
        <v>Not Received</v>
      </c>
      <c r="I758" s="16" t="str">
        <f aca="false">IF(G758=0,"Not Invoiced","Invoiced")</f>
        <v>Invoiced</v>
      </c>
      <c r="J758" s="18" t="n">
        <f aca="false">E758-F758</f>
        <v>5970.05</v>
      </c>
      <c r="K758" s="18" t="n">
        <f aca="false">E758-G758</f>
        <v>0</v>
      </c>
      <c r="L758" s="16" t="str">
        <f aca="false">IF(OR(AND(I758="Invoiced",H758="Not Received"),AND(F758&gt;0,ABS(J758)&gt;Assumptions!$B$6),AND(G758&gt;0,ABS(K758)&gt;Assumptions!$B$6)),"EXCEPTION","OK")</f>
        <v>EXCEPTION</v>
      </c>
    </row>
    <row r="759" customFormat="false" ht="15" hidden="false" customHeight="false" outlineLevel="0" collapsed="false">
      <c r="A759" s="16" t="str">
        <f aca="false">Purchase_Orders!A756</f>
        <v>PO10755</v>
      </c>
      <c r="B759" s="16" t="str">
        <f aca="false">Purchase_Orders!B756</f>
        <v>V1020</v>
      </c>
      <c r="C759" s="16" t="str">
        <f aca="false">IFERROR(INDEX(Vendor_Master!$B$2:$B$41,MATCH(B759,Vendor_Master!$A$2:$A$41,0)),"Unknown Vendor")</f>
        <v>Lewis-Porter</v>
      </c>
      <c r="D759" s="17" t="n">
        <f aca="false">Purchase_Orders!C756</f>
        <v>45710</v>
      </c>
      <c r="E759" s="18" t="n">
        <f aca="false">Purchase_Orders!D756</f>
        <v>1166.53</v>
      </c>
      <c r="F759" s="18" t="n">
        <f aca="false">SUMIFS(Goods_Receipt_Notes!$D$2:$D$791,Goods_Receipt_Notes!$B$2:$B$791,A759)</f>
        <v>1166.53</v>
      </c>
      <c r="G759" s="18" t="n">
        <f aca="false">SUMIFS(Vendor_Invoices_AP!$E$2:$E$882,Vendor_Invoices_AP!$B$2:$B$882,A759)</f>
        <v>1166.53</v>
      </c>
      <c r="H759" s="16" t="str">
        <f aca="false">IF(F759=0,"Not Received","Received")</f>
        <v>Received</v>
      </c>
      <c r="I759" s="16" t="str">
        <f aca="false">IF(G759=0,"Not Invoiced","Invoiced")</f>
        <v>Invoiced</v>
      </c>
      <c r="J759" s="18" t="n">
        <f aca="false">E759-F759</f>
        <v>0</v>
      </c>
      <c r="K759" s="18" t="n">
        <f aca="false">E759-G759</f>
        <v>0</v>
      </c>
      <c r="L759" s="16" t="str">
        <f aca="false">IF(OR(AND(I759="Invoiced",H759="Not Received"),AND(F759&gt;0,ABS(J759)&gt;Assumptions!$B$6),AND(G759&gt;0,ABS(K759)&gt;Assumptions!$B$6)),"EXCEPTION","OK")</f>
        <v>OK</v>
      </c>
    </row>
    <row r="760" customFormat="false" ht="15" hidden="false" customHeight="false" outlineLevel="0" collapsed="false">
      <c r="A760" s="16" t="str">
        <f aca="false">Purchase_Orders!A757</f>
        <v>PO10756</v>
      </c>
      <c r="B760" s="16" t="str">
        <f aca="false">Purchase_Orders!B757</f>
        <v>V1040</v>
      </c>
      <c r="C760" s="16" t="str">
        <f aca="false">IFERROR(INDEX(Vendor_Master!$B$2:$B$41,MATCH(B760,Vendor_Master!$A$2:$A$41,0)),"Unknown Vendor")</f>
        <v>Santos, Kim and Holmes</v>
      </c>
      <c r="D760" s="17" t="n">
        <f aca="false">Purchase_Orders!C757</f>
        <v>46060</v>
      </c>
      <c r="E760" s="18" t="n">
        <f aca="false">Purchase_Orders!D757</f>
        <v>305.02</v>
      </c>
      <c r="F760" s="18" t="n">
        <f aca="false">SUMIFS(Goods_Receipt_Notes!$D$2:$D$791,Goods_Receipt_Notes!$B$2:$B$791,A760)</f>
        <v>305.02</v>
      </c>
      <c r="G760" s="18" t="n">
        <f aca="false">SUMIFS(Vendor_Invoices_AP!$E$2:$E$882,Vendor_Invoices_AP!$B$2:$B$882,A760)</f>
        <v>305.02</v>
      </c>
      <c r="H760" s="16" t="str">
        <f aca="false">IF(F760=0,"Not Received","Received")</f>
        <v>Received</v>
      </c>
      <c r="I760" s="16" t="str">
        <f aca="false">IF(G760=0,"Not Invoiced","Invoiced")</f>
        <v>Invoiced</v>
      </c>
      <c r="J760" s="18" t="n">
        <f aca="false">E760-F760</f>
        <v>0</v>
      </c>
      <c r="K760" s="18" t="n">
        <f aca="false">E760-G760</f>
        <v>0</v>
      </c>
      <c r="L760" s="16" t="str">
        <f aca="false">IF(OR(AND(I760="Invoiced",H760="Not Received"),AND(F760&gt;0,ABS(J760)&gt;Assumptions!$B$6),AND(G760&gt;0,ABS(K760)&gt;Assumptions!$B$6)),"EXCEPTION","OK")</f>
        <v>OK</v>
      </c>
    </row>
    <row r="761" customFormat="false" ht="15" hidden="false" customHeight="false" outlineLevel="0" collapsed="false">
      <c r="A761" s="16" t="str">
        <f aca="false">Purchase_Orders!A758</f>
        <v>PO10757</v>
      </c>
      <c r="B761" s="16" t="str">
        <f aca="false">Purchase_Orders!B758</f>
        <v>V1008</v>
      </c>
      <c r="C761" s="16" t="str">
        <f aca="false">IFERROR(INDEX(Vendor_Master!$B$2:$B$41,MATCH(B761,Vendor_Master!$A$2:$A$41,0)),"Unknown Vendor")</f>
        <v>Davis Inc</v>
      </c>
      <c r="D761" s="17" t="n">
        <f aca="false">Purchase_Orders!C758</f>
        <v>46100</v>
      </c>
      <c r="E761" s="18" t="n">
        <f aca="false">Purchase_Orders!D758</f>
        <v>888.47</v>
      </c>
      <c r="F761" s="18" t="n">
        <f aca="false">SUMIFS(Goods_Receipt_Notes!$D$2:$D$791,Goods_Receipt_Notes!$B$2:$B$791,A761)</f>
        <v>769.69</v>
      </c>
      <c r="G761" s="18" t="n">
        <f aca="false">SUMIFS(Vendor_Invoices_AP!$E$2:$E$882,Vendor_Invoices_AP!$B$2:$B$882,A761)</f>
        <v>888.47</v>
      </c>
      <c r="H761" s="16" t="str">
        <f aca="false">IF(F761=0,"Not Received","Received")</f>
        <v>Received</v>
      </c>
      <c r="I761" s="16" t="str">
        <f aca="false">IF(G761=0,"Not Invoiced","Invoiced")</f>
        <v>Invoiced</v>
      </c>
      <c r="J761" s="18" t="n">
        <f aca="false">E761-F761</f>
        <v>118.78</v>
      </c>
      <c r="K761" s="18" t="n">
        <f aca="false">E761-G761</f>
        <v>0</v>
      </c>
      <c r="L761" s="16" t="str">
        <f aca="false">IF(OR(AND(I761="Invoiced",H761="Not Received"),AND(F761&gt;0,ABS(J761)&gt;Assumptions!$B$6),AND(G761&gt;0,ABS(K761)&gt;Assumptions!$B$6)),"EXCEPTION","OK")</f>
        <v>EXCEPTION</v>
      </c>
    </row>
    <row r="762" customFormat="false" ht="15" hidden="false" customHeight="false" outlineLevel="0" collapsed="false">
      <c r="A762" s="16" t="str">
        <f aca="false">Purchase_Orders!A759</f>
        <v>PO10758</v>
      </c>
      <c r="B762" s="16" t="str">
        <f aca="false">Purchase_Orders!B759</f>
        <v>V1013</v>
      </c>
      <c r="C762" s="16" t="str">
        <f aca="false">IFERROR(INDEX(Vendor_Master!$B$2:$B$41,MATCH(B762,Vendor_Master!$A$2:$A$41,0)),"Unknown Vendor")</f>
        <v>Delacruz Group</v>
      </c>
      <c r="D762" s="17" t="n">
        <f aca="false">Purchase_Orders!C759</f>
        <v>45961</v>
      </c>
      <c r="E762" s="18" t="n">
        <f aca="false">Purchase_Orders!D759</f>
        <v>5589.33</v>
      </c>
      <c r="F762" s="18" t="n">
        <f aca="false">SUMIFS(Goods_Receipt_Notes!$D$2:$D$791,Goods_Receipt_Notes!$B$2:$B$791,A762)</f>
        <v>5589.33</v>
      </c>
      <c r="G762" s="18" t="n">
        <f aca="false">SUMIFS(Vendor_Invoices_AP!$E$2:$E$882,Vendor_Invoices_AP!$B$2:$B$882,A762)</f>
        <v>6115.66</v>
      </c>
      <c r="H762" s="16" t="str">
        <f aca="false">IF(F762=0,"Not Received","Received")</f>
        <v>Received</v>
      </c>
      <c r="I762" s="16" t="str">
        <f aca="false">IF(G762=0,"Not Invoiced","Invoiced")</f>
        <v>Invoiced</v>
      </c>
      <c r="J762" s="18" t="n">
        <f aca="false">E762-F762</f>
        <v>0</v>
      </c>
      <c r="K762" s="18" t="n">
        <f aca="false">E762-G762</f>
        <v>-526.33</v>
      </c>
      <c r="L762" s="16" t="str">
        <f aca="false">IF(OR(AND(I762="Invoiced",H762="Not Received"),AND(F762&gt;0,ABS(J762)&gt;Assumptions!$B$6),AND(G762&gt;0,ABS(K762)&gt;Assumptions!$B$6)),"EXCEPTION","OK")</f>
        <v>EXCEPTION</v>
      </c>
    </row>
    <row r="763" customFormat="false" ht="15" hidden="false" customHeight="false" outlineLevel="0" collapsed="false">
      <c r="A763" s="16" t="str">
        <f aca="false">Purchase_Orders!A760</f>
        <v>PO10759</v>
      </c>
      <c r="B763" s="16" t="str">
        <f aca="false">Purchase_Orders!B760</f>
        <v>V1025</v>
      </c>
      <c r="C763" s="16" t="str">
        <f aca="false">IFERROR(INDEX(Vendor_Master!$B$2:$B$41,MATCH(B763,Vendor_Master!$A$2:$A$41,0)),"Unknown Vendor")</f>
        <v>Conner Group</v>
      </c>
      <c r="D763" s="17" t="n">
        <f aca="false">Purchase_Orders!C760</f>
        <v>45977</v>
      </c>
      <c r="E763" s="18" t="n">
        <f aca="false">Purchase_Orders!D760</f>
        <v>1679.37</v>
      </c>
      <c r="F763" s="18" t="n">
        <f aca="false">SUMIFS(Goods_Receipt_Notes!$D$2:$D$791,Goods_Receipt_Notes!$B$2:$B$791,A763)</f>
        <v>1271.78</v>
      </c>
      <c r="G763" s="18" t="n">
        <f aca="false">SUMIFS(Vendor_Invoices_AP!$E$2:$E$882,Vendor_Invoices_AP!$B$2:$B$882,A763)</f>
        <v>1679.37</v>
      </c>
      <c r="H763" s="16" t="str">
        <f aca="false">IF(F763=0,"Not Received","Received")</f>
        <v>Received</v>
      </c>
      <c r="I763" s="16" t="str">
        <f aca="false">IF(G763=0,"Not Invoiced","Invoiced")</f>
        <v>Invoiced</v>
      </c>
      <c r="J763" s="18" t="n">
        <f aca="false">E763-F763</f>
        <v>407.59</v>
      </c>
      <c r="K763" s="18" t="n">
        <f aca="false">E763-G763</f>
        <v>0</v>
      </c>
      <c r="L763" s="16" t="str">
        <f aca="false">IF(OR(AND(I763="Invoiced",H763="Not Received"),AND(F763&gt;0,ABS(J763)&gt;Assumptions!$B$6),AND(G763&gt;0,ABS(K763)&gt;Assumptions!$B$6)),"EXCEPTION","OK")</f>
        <v>EXCEPTION</v>
      </c>
    </row>
    <row r="764" customFormat="false" ht="15" hidden="false" customHeight="false" outlineLevel="0" collapsed="false">
      <c r="A764" s="16" t="str">
        <f aca="false">Purchase_Orders!A761</f>
        <v>PO10760</v>
      </c>
      <c r="B764" s="16" t="str">
        <f aca="false">Purchase_Orders!B761</f>
        <v>V1029</v>
      </c>
      <c r="C764" s="16" t="str">
        <f aca="false">IFERROR(INDEX(Vendor_Master!$B$2:$B$41,MATCH(B764,Vendor_Master!$A$2:$A$41,0)),"Unknown Vendor")</f>
        <v>Chavez Ltd</v>
      </c>
      <c r="D764" s="17" t="n">
        <f aca="false">Purchase_Orders!C761</f>
        <v>45964</v>
      </c>
      <c r="E764" s="18" t="n">
        <f aca="false">Purchase_Orders!D761</f>
        <v>723.52</v>
      </c>
      <c r="F764" s="18" t="n">
        <f aca="false">SUMIFS(Goods_Receipt_Notes!$D$2:$D$791,Goods_Receipt_Notes!$B$2:$B$791,A764)</f>
        <v>723.52</v>
      </c>
      <c r="G764" s="18" t="n">
        <f aca="false">SUMIFS(Vendor_Invoices_AP!$E$2:$E$882,Vendor_Invoices_AP!$B$2:$B$882,A764)</f>
        <v>723.52</v>
      </c>
      <c r="H764" s="16" t="str">
        <f aca="false">IF(F764=0,"Not Received","Received")</f>
        <v>Received</v>
      </c>
      <c r="I764" s="16" t="str">
        <f aca="false">IF(G764=0,"Not Invoiced","Invoiced")</f>
        <v>Invoiced</v>
      </c>
      <c r="J764" s="18" t="n">
        <f aca="false">E764-F764</f>
        <v>0</v>
      </c>
      <c r="K764" s="18" t="n">
        <f aca="false">E764-G764</f>
        <v>0</v>
      </c>
      <c r="L764" s="16" t="str">
        <f aca="false">IF(OR(AND(I764="Invoiced",H764="Not Received"),AND(F764&gt;0,ABS(J764)&gt;Assumptions!$B$6),AND(G764&gt;0,ABS(K764)&gt;Assumptions!$B$6)),"EXCEPTION","OK")</f>
        <v>OK</v>
      </c>
    </row>
    <row r="765" customFormat="false" ht="15" hidden="false" customHeight="false" outlineLevel="0" collapsed="false">
      <c r="A765" s="16" t="str">
        <f aca="false">Purchase_Orders!A762</f>
        <v>PO10761</v>
      </c>
      <c r="B765" s="16" t="str">
        <f aca="false">Purchase_Orders!B762</f>
        <v>V1027</v>
      </c>
      <c r="C765" s="16" t="str">
        <f aca="false">IFERROR(INDEX(Vendor_Master!$B$2:$B$41,MATCH(B765,Vendor_Master!$A$2:$A$41,0)),"Unknown Vendor")</f>
        <v>Valencia, Smith and Le</v>
      </c>
      <c r="D765" s="17" t="n">
        <f aca="false">Purchase_Orders!C762</f>
        <v>45837</v>
      </c>
      <c r="E765" s="18" t="n">
        <f aca="false">Purchase_Orders!D762</f>
        <v>3110.63</v>
      </c>
      <c r="F765" s="18" t="n">
        <f aca="false">SUMIFS(Goods_Receipt_Notes!$D$2:$D$791,Goods_Receipt_Notes!$B$2:$B$791,A765)</f>
        <v>3110.63</v>
      </c>
      <c r="G765" s="18" t="n">
        <f aca="false">SUMIFS(Vendor_Invoices_AP!$E$2:$E$882,Vendor_Invoices_AP!$B$2:$B$882,A765)</f>
        <v>3110.63</v>
      </c>
      <c r="H765" s="16" t="str">
        <f aca="false">IF(F765=0,"Not Received","Received")</f>
        <v>Received</v>
      </c>
      <c r="I765" s="16" t="str">
        <f aca="false">IF(G765=0,"Not Invoiced","Invoiced")</f>
        <v>Invoiced</v>
      </c>
      <c r="J765" s="18" t="n">
        <f aca="false">E765-F765</f>
        <v>0</v>
      </c>
      <c r="K765" s="18" t="n">
        <f aca="false">E765-G765</f>
        <v>0</v>
      </c>
      <c r="L765" s="16" t="str">
        <f aca="false">IF(OR(AND(I765="Invoiced",H765="Not Received"),AND(F765&gt;0,ABS(J765)&gt;Assumptions!$B$6),AND(G765&gt;0,ABS(K765)&gt;Assumptions!$B$6)),"EXCEPTION","OK")</f>
        <v>OK</v>
      </c>
    </row>
    <row r="766" customFormat="false" ht="15" hidden="false" customHeight="false" outlineLevel="0" collapsed="false">
      <c r="A766" s="16" t="str">
        <f aca="false">Purchase_Orders!A763</f>
        <v>PO10762</v>
      </c>
      <c r="B766" s="16" t="str">
        <f aca="false">Purchase_Orders!B763</f>
        <v>V1040</v>
      </c>
      <c r="C766" s="16" t="str">
        <f aca="false">IFERROR(INDEX(Vendor_Master!$B$2:$B$41,MATCH(B766,Vendor_Master!$A$2:$A$41,0)),"Unknown Vendor")</f>
        <v>Santos, Kim and Holmes</v>
      </c>
      <c r="D766" s="17" t="n">
        <f aca="false">Purchase_Orders!C763</f>
        <v>45724</v>
      </c>
      <c r="E766" s="18" t="n">
        <f aca="false">Purchase_Orders!D763</f>
        <v>1751.47</v>
      </c>
      <c r="F766" s="18" t="n">
        <f aca="false">SUMIFS(Goods_Receipt_Notes!$D$2:$D$791,Goods_Receipt_Notes!$B$2:$B$791,A766)</f>
        <v>1155.64</v>
      </c>
      <c r="G766" s="18" t="n">
        <f aca="false">SUMIFS(Vendor_Invoices_AP!$E$2:$E$882,Vendor_Invoices_AP!$B$2:$B$882,A766)</f>
        <v>1751.47</v>
      </c>
      <c r="H766" s="16" t="str">
        <f aca="false">IF(F766=0,"Not Received","Received")</f>
        <v>Received</v>
      </c>
      <c r="I766" s="16" t="str">
        <f aca="false">IF(G766=0,"Not Invoiced","Invoiced")</f>
        <v>Invoiced</v>
      </c>
      <c r="J766" s="18" t="n">
        <f aca="false">E766-F766</f>
        <v>595.83</v>
      </c>
      <c r="K766" s="18" t="n">
        <f aca="false">E766-G766</f>
        <v>0</v>
      </c>
      <c r="L766" s="16" t="str">
        <f aca="false">IF(OR(AND(I766="Invoiced",H766="Not Received"),AND(F766&gt;0,ABS(J766)&gt;Assumptions!$B$6),AND(G766&gt;0,ABS(K766)&gt;Assumptions!$B$6)),"EXCEPTION","OK")</f>
        <v>EXCEPTION</v>
      </c>
    </row>
    <row r="767" customFormat="false" ht="15" hidden="false" customHeight="false" outlineLevel="0" collapsed="false">
      <c r="A767" s="16" t="str">
        <f aca="false">Purchase_Orders!A764</f>
        <v>PO10763</v>
      </c>
      <c r="B767" s="16" t="str">
        <f aca="false">Purchase_Orders!B764</f>
        <v>V1014</v>
      </c>
      <c r="C767" s="16" t="str">
        <f aca="false">IFERROR(INDEX(Vendor_Master!$B$2:$B$41,MATCH(B767,Vendor_Master!$A$2:$A$41,0)),"Unknown Vendor")</f>
        <v>Flowers, Martin and Kelly</v>
      </c>
      <c r="D767" s="17" t="n">
        <f aca="false">Purchase_Orders!C764</f>
        <v>45850</v>
      </c>
      <c r="E767" s="18" t="n">
        <f aca="false">Purchase_Orders!D764</f>
        <v>17936.73</v>
      </c>
      <c r="F767" s="18" t="n">
        <f aca="false">SUMIFS(Goods_Receipt_Notes!$D$2:$D$791,Goods_Receipt_Notes!$B$2:$B$791,A767)</f>
        <v>17936.73</v>
      </c>
      <c r="G767" s="18" t="n">
        <f aca="false">SUMIFS(Vendor_Invoices_AP!$E$2:$E$882,Vendor_Invoices_AP!$B$2:$B$882,A767)</f>
        <v>17936.73</v>
      </c>
      <c r="H767" s="16" t="str">
        <f aca="false">IF(F767=0,"Not Received","Received")</f>
        <v>Received</v>
      </c>
      <c r="I767" s="16" t="str">
        <f aca="false">IF(G767=0,"Not Invoiced","Invoiced")</f>
        <v>Invoiced</v>
      </c>
      <c r="J767" s="18" t="n">
        <f aca="false">E767-F767</f>
        <v>0</v>
      </c>
      <c r="K767" s="18" t="n">
        <f aca="false">E767-G767</f>
        <v>0</v>
      </c>
      <c r="L767" s="16" t="str">
        <f aca="false">IF(OR(AND(I767="Invoiced",H767="Not Received"),AND(F767&gt;0,ABS(J767)&gt;Assumptions!$B$6),AND(G767&gt;0,ABS(K767)&gt;Assumptions!$B$6)),"EXCEPTION","OK")</f>
        <v>OK</v>
      </c>
    </row>
    <row r="768" customFormat="false" ht="15" hidden="false" customHeight="false" outlineLevel="0" collapsed="false">
      <c r="A768" s="16" t="str">
        <f aca="false">Purchase_Orders!A765</f>
        <v>PO10764</v>
      </c>
      <c r="B768" s="16" t="str">
        <f aca="false">Purchase_Orders!B765</f>
        <v>V1039</v>
      </c>
      <c r="C768" s="16" t="str">
        <f aca="false">IFERROR(INDEX(Vendor_Master!$B$2:$B$41,MATCH(B768,Vendor_Master!$A$2:$A$41,0)),"Unknown Vendor")</f>
        <v>Campos, Vaughn and Marquez</v>
      </c>
      <c r="D768" s="17" t="n">
        <f aca="false">Purchase_Orders!C765</f>
        <v>46020</v>
      </c>
      <c r="E768" s="18" t="n">
        <f aca="false">Purchase_Orders!D765</f>
        <v>7872.8</v>
      </c>
      <c r="F768" s="18" t="n">
        <f aca="false">SUMIFS(Goods_Receipt_Notes!$D$2:$D$791,Goods_Receipt_Notes!$B$2:$B$791,A768)</f>
        <v>7872.8</v>
      </c>
      <c r="G768" s="18" t="n">
        <f aca="false">SUMIFS(Vendor_Invoices_AP!$E$2:$E$882,Vendor_Invoices_AP!$B$2:$B$882,A768)</f>
        <v>7872.8</v>
      </c>
      <c r="H768" s="16" t="str">
        <f aca="false">IF(F768=0,"Not Received","Received")</f>
        <v>Received</v>
      </c>
      <c r="I768" s="16" t="str">
        <f aca="false">IF(G768=0,"Not Invoiced","Invoiced")</f>
        <v>Invoiced</v>
      </c>
      <c r="J768" s="18" t="n">
        <f aca="false">E768-F768</f>
        <v>0</v>
      </c>
      <c r="K768" s="18" t="n">
        <f aca="false">E768-G768</f>
        <v>0</v>
      </c>
      <c r="L768" s="16" t="str">
        <f aca="false">IF(OR(AND(I768="Invoiced",H768="Not Received"),AND(F768&gt;0,ABS(J768)&gt;Assumptions!$B$6),AND(G768&gt;0,ABS(K768)&gt;Assumptions!$B$6)),"EXCEPTION","OK")</f>
        <v>OK</v>
      </c>
    </row>
    <row r="769" customFormat="false" ht="15" hidden="false" customHeight="false" outlineLevel="0" collapsed="false">
      <c r="A769" s="16" t="str">
        <f aca="false">Purchase_Orders!A766</f>
        <v>PO10765</v>
      </c>
      <c r="B769" s="16" t="str">
        <f aca="false">Purchase_Orders!B766</f>
        <v>V1029</v>
      </c>
      <c r="C769" s="16" t="str">
        <f aca="false">IFERROR(INDEX(Vendor_Master!$B$2:$B$41,MATCH(B769,Vendor_Master!$A$2:$A$41,0)),"Unknown Vendor")</f>
        <v>Chavez Ltd</v>
      </c>
      <c r="D769" s="17" t="n">
        <f aca="false">Purchase_Orders!C766</f>
        <v>46066</v>
      </c>
      <c r="E769" s="18" t="n">
        <f aca="false">Purchase_Orders!D766</f>
        <v>886.11</v>
      </c>
      <c r="F769" s="18" t="n">
        <f aca="false">SUMIFS(Goods_Receipt_Notes!$D$2:$D$791,Goods_Receipt_Notes!$B$2:$B$791,A769)</f>
        <v>730.27</v>
      </c>
      <c r="G769" s="18" t="n">
        <f aca="false">SUMIFS(Vendor_Invoices_AP!$E$2:$E$882,Vendor_Invoices_AP!$B$2:$B$882,A769)</f>
        <v>886.11</v>
      </c>
      <c r="H769" s="16" t="str">
        <f aca="false">IF(F769=0,"Not Received","Received")</f>
        <v>Received</v>
      </c>
      <c r="I769" s="16" t="str">
        <f aca="false">IF(G769=0,"Not Invoiced","Invoiced")</f>
        <v>Invoiced</v>
      </c>
      <c r="J769" s="18" t="n">
        <f aca="false">E769-F769</f>
        <v>155.84</v>
      </c>
      <c r="K769" s="18" t="n">
        <f aca="false">E769-G769</f>
        <v>0</v>
      </c>
      <c r="L769" s="16" t="str">
        <f aca="false">IF(OR(AND(I769="Invoiced",H769="Not Received"),AND(F769&gt;0,ABS(J769)&gt;Assumptions!$B$6),AND(G769&gt;0,ABS(K769)&gt;Assumptions!$B$6)),"EXCEPTION","OK")</f>
        <v>EXCEPTION</v>
      </c>
    </row>
    <row r="770" customFormat="false" ht="15" hidden="false" customHeight="false" outlineLevel="0" collapsed="false">
      <c r="A770" s="16" t="str">
        <f aca="false">Purchase_Orders!A767</f>
        <v>PO10766</v>
      </c>
      <c r="B770" s="16" t="str">
        <f aca="false">Purchase_Orders!B767</f>
        <v>V1010</v>
      </c>
      <c r="C770" s="16" t="str">
        <f aca="false">IFERROR(INDEX(Vendor_Master!$B$2:$B$41,MATCH(B770,Vendor_Master!$A$2:$A$41,0)),"Unknown Vendor")</f>
        <v>Martinez, Nielsen and Miller</v>
      </c>
      <c r="D770" s="17" t="n">
        <f aca="false">Purchase_Orders!C767</f>
        <v>46131</v>
      </c>
      <c r="E770" s="18" t="n">
        <f aca="false">Purchase_Orders!D767</f>
        <v>944.22</v>
      </c>
      <c r="F770" s="18" t="n">
        <f aca="false">SUMIFS(Goods_Receipt_Notes!$D$2:$D$791,Goods_Receipt_Notes!$B$2:$B$791,A770)</f>
        <v>944.22</v>
      </c>
      <c r="G770" s="18" t="n">
        <f aca="false">SUMIFS(Vendor_Invoices_AP!$E$2:$E$882,Vendor_Invoices_AP!$B$2:$B$882,A770)</f>
        <v>944.22</v>
      </c>
      <c r="H770" s="16" t="str">
        <f aca="false">IF(F770=0,"Not Received","Received")</f>
        <v>Received</v>
      </c>
      <c r="I770" s="16" t="str">
        <f aca="false">IF(G770=0,"Not Invoiced","Invoiced")</f>
        <v>Invoiced</v>
      </c>
      <c r="J770" s="18" t="n">
        <f aca="false">E770-F770</f>
        <v>0</v>
      </c>
      <c r="K770" s="18" t="n">
        <f aca="false">E770-G770</f>
        <v>0</v>
      </c>
      <c r="L770" s="16" t="str">
        <f aca="false">IF(OR(AND(I770="Invoiced",H770="Not Received"),AND(F770&gt;0,ABS(J770)&gt;Assumptions!$B$6),AND(G770&gt;0,ABS(K770)&gt;Assumptions!$B$6)),"EXCEPTION","OK")</f>
        <v>OK</v>
      </c>
    </row>
    <row r="771" customFormat="false" ht="15" hidden="false" customHeight="false" outlineLevel="0" collapsed="false">
      <c r="A771" s="16" t="str">
        <f aca="false">Purchase_Orders!A768</f>
        <v>PO10767</v>
      </c>
      <c r="B771" s="16" t="str">
        <f aca="false">Purchase_Orders!B768</f>
        <v>V1022</v>
      </c>
      <c r="C771" s="16" t="str">
        <f aca="false">IFERROR(INDEX(Vendor_Master!$B$2:$B$41,MATCH(B771,Vendor_Master!$A$2:$A$41,0)),"Unknown Vendor")</f>
        <v>Burgess-Patterson</v>
      </c>
      <c r="D771" s="17" t="n">
        <f aca="false">Purchase_Orders!C768</f>
        <v>46050</v>
      </c>
      <c r="E771" s="18" t="n">
        <f aca="false">Purchase_Orders!D768</f>
        <v>270.06</v>
      </c>
      <c r="F771" s="18" t="n">
        <f aca="false">SUMIFS(Goods_Receipt_Notes!$D$2:$D$791,Goods_Receipt_Notes!$B$2:$B$791,A771)</f>
        <v>270.06</v>
      </c>
      <c r="G771" s="18" t="n">
        <f aca="false">SUMIFS(Vendor_Invoices_AP!$E$2:$E$882,Vendor_Invoices_AP!$B$2:$B$882,A771)</f>
        <v>270.06</v>
      </c>
      <c r="H771" s="16" t="str">
        <f aca="false">IF(F771=0,"Not Received","Received")</f>
        <v>Received</v>
      </c>
      <c r="I771" s="16" t="str">
        <f aca="false">IF(G771=0,"Not Invoiced","Invoiced")</f>
        <v>Invoiced</v>
      </c>
      <c r="J771" s="18" t="n">
        <f aca="false">E771-F771</f>
        <v>0</v>
      </c>
      <c r="K771" s="18" t="n">
        <f aca="false">E771-G771</f>
        <v>0</v>
      </c>
      <c r="L771" s="16" t="str">
        <f aca="false">IF(OR(AND(I771="Invoiced",H771="Not Received"),AND(F771&gt;0,ABS(J771)&gt;Assumptions!$B$6),AND(G771&gt;0,ABS(K771)&gt;Assumptions!$B$6)),"EXCEPTION","OK")</f>
        <v>OK</v>
      </c>
    </row>
    <row r="772" customFormat="false" ht="15" hidden="false" customHeight="false" outlineLevel="0" collapsed="false">
      <c r="A772" s="16" t="str">
        <f aca="false">Purchase_Orders!A769</f>
        <v>PO10768</v>
      </c>
      <c r="B772" s="16" t="str">
        <f aca="false">Purchase_Orders!B769</f>
        <v>V1025</v>
      </c>
      <c r="C772" s="16" t="str">
        <f aca="false">IFERROR(INDEX(Vendor_Master!$B$2:$B$41,MATCH(B772,Vendor_Master!$A$2:$A$41,0)),"Unknown Vendor")</f>
        <v>Conner Group</v>
      </c>
      <c r="D772" s="17" t="n">
        <f aca="false">Purchase_Orders!C769</f>
        <v>46185</v>
      </c>
      <c r="E772" s="18" t="n">
        <f aca="false">Purchase_Orders!D769</f>
        <v>6371.15</v>
      </c>
      <c r="F772" s="18" t="n">
        <f aca="false">SUMIFS(Goods_Receipt_Notes!$D$2:$D$791,Goods_Receipt_Notes!$B$2:$B$791,A772)</f>
        <v>0</v>
      </c>
      <c r="G772" s="18" t="n">
        <f aca="false">SUMIFS(Vendor_Invoices_AP!$E$2:$E$882,Vendor_Invoices_AP!$B$2:$B$882,A772)</f>
        <v>6371.15</v>
      </c>
      <c r="H772" s="16" t="str">
        <f aca="false">IF(F772=0,"Not Received","Received")</f>
        <v>Not Received</v>
      </c>
      <c r="I772" s="16" t="str">
        <f aca="false">IF(G772=0,"Not Invoiced","Invoiced")</f>
        <v>Invoiced</v>
      </c>
      <c r="J772" s="18" t="n">
        <f aca="false">E772-F772</f>
        <v>6371.15</v>
      </c>
      <c r="K772" s="18" t="n">
        <f aca="false">E772-G772</f>
        <v>0</v>
      </c>
      <c r="L772" s="16" t="str">
        <f aca="false">IF(OR(AND(I772="Invoiced",H772="Not Received"),AND(F772&gt;0,ABS(J772)&gt;Assumptions!$B$6),AND(G772&gt;0,ABS(K772)&gt;Assumptions!$B$6)),"EXCEPTION","OK")</f>
        <v>EXCEPTION</v>
      </c>
    </row>
    <row r="773" customFormat="false" ht="15" hidden="false" customHeight="false" outlineLevel="0" collapsed="false">
      <c r="A773" s="16" t="str">
        <f aca="false">Purchase_Orders!A770</f>
        <v>PO10769</v>
      </c>
      <c r="B773" s="16" t="str">
        <f aca="false">Purchase_Orders!B770</f>
        <v>V1028</v>
      </c>
      <c r="C773" s="16" t="str">
        <f aca="false">IFERROR(INDEX(Vendor_Master!$B$2:$B$41,MATCH(B773,Vendor_Master!$A$2:$A$41,0)),"Unknown Vendor")</f>
        <v>Potter, Mack and Peterson</v>
      </c>
      <c r="D773" s="17" t="n">
        <f aca="false">Purchase_Orders!C770</f>
        <v>45985</v>
      </c>
      <c r="E773" s="18" t="n">
        <f aca="false">Purchase_Orders!D770</f>
        <v>2179.28</v>
      </c>
      <c r="F773" s="18" t="n">
        <f aca="false">SUMIFS(Goods_Receipt_Notes!$D$2:$D$791,Goods_Receipt_Notes!$B$2:$B$791,A773)</f>
        <v>2179.28</v>
      </c>
      <c r="G773" s="18" t="n">
        <f aca="false">SUMIFS(Vendor_Invoices_AP!$E$2:$E$882,Vendor_Invoices_AP!$B$2:$B$882,A773)</f>
        <v>2179.28</v>
      </c>
      <c r="H773" s="16" t="str">
        <f aca="false">IF(F773=0,"Not Received","Received")</f>
        <v>Received</v>
      </c>
      <c r="I773" s="16" t="str">
        <f aca="false">IF(G773=0,"Not Invoiced","Invoiced")</f>
        <v>Invoiced</v>
      </c>
      <c r="J773" s="18" t="n">
        <f aca="false">E773-F773</f>
        <v>0</v>
      </c>
      <c r="K773" s="18" t="n">
        <f aca="false">E773-G773</f>
        <v>0</v>
      </c>
      <c r="L773" s="16" t="str">
        <f aca="false">IF(OR(AND(I773="Invoiced",H773="Not Received"),AND(F773&gt;0,ABS(J773)&gt;Assumptions!$B$6),AND(G773&gt;0,ABS(K773)&gt;Assumptions!$B$6)),"EXCEPTION","OK")</f>
        <v>OK</v>
      </c>
    </row>
    <row r="774" customFormat="false" ht="15" hidden="false" customHeight="false" outlineLevel="0" collapsed="false">
      <c r="A774" s="16" t="str">
        <f aca="false">Purchase_Orders!A771</f>
        <v>PO10770</v>
      </c>
      <c r="B774" s="16" t="str">
        <f aca="false">Purchase_Orders!B771</f>
        <v>V1032</v>
      </c>
      <c r="C774" s="16" t="str">
        <f aca="false">IFERROR(INDEX(Vendor_Master!$B$2:$B$41,MATCH(B774,Vendor_Master!$A$2:$A$41,0)),"Unknown Vendor")</f>
        <v>Lynch, Hernandez and Farmer</v>
      </c>
      <c r="D774" s="17" t="n">
        <f aca="false">Purchase_Orders!C771</f>
        <v>45849</v>
      </c>
      <c r="E774" s="18" t="n">
        <f aca="false">Purchase_Orders!D771</f>
        <v>4559.19</v>
      </c>
      <c r="F774" s="18" t="n">
        <f aca="false">SUMIFS(Goods_Receipt_Notes!$D$2:$D$791,Goods_Receipt_Notes!$B$2:$B$791,A774)</f>
        <v>4559.19</v>
      </c>
      <c r="G774" s="18" t="n">
        <f aca="false">SUMIFS(Vendor_Invoices_AP!$E$2:$E$882,Vendor_Invoices_AP!$B$2:$B$882,A774)</f>
        <v>4559.19</v>
      </c>
      <c r="H774" s="16" t="str">
        <f aca="false">IF(F774=0,"Not Received","Received")</f>
        <v>Received</v>
      </c>
      <c r="I774" s="16" t="str">
        <f aca="false">IF(G774=0,"Not Invoiced","Invoiced")</f>
        <v>Invoiced</v>
      </c>
      <c r="J774" s="18" t="n">
        <f aca="false">E774-F774</f>
        <v>0</v>
      </c>
      <c r="K774" s="18" t="n">
        <f aca="false">E774-G774</f>
        <v>0</v>
      </c>
      <c r="L774" s="16" t="str">
        <f aca="false">IF(OR(AND(I774="Invoiced",H774="Not Received"),AND(F774&gt;0,ABS(J774)&gt;Assumptions!$B$6),AND(G774&gt;0,ABS(K774)&gt;Assumptions!$B$6)),"EXCEPTION","OK")</f>
        <v>OK</v>
      </c>
    </row>
    <row r="775" customFormat="false" ht="15" hidden="false" customHeight="false" outlineLevel="0" collapsed="false">
      <c r="A775" s="16" t="str">
        <f aca="false">Purchase_Orders!A772</f>
        <v>PO10771</v>
      </c>
      <c r="B775" s="16" t="str">
        <f aca="false">Purchase_Orders!B772</f>
        <v>V1037</v>
      </c>
      <c r="C775" s="16" t="str">
        <f aca="false">IFERROR(INDEX(Vendor_Master!$B$2:$B$41,MATCH(B775,Vendor_Master!$A$2:$A$41,0)),"Unknown Vendor")</f>
        <v>Cannon, Anderson and Alvarez</v>
      </c>
      <c r="D775" s="17" t="n">
        <f aca="false">Purchase_Orders!C772</f>
        <v>45972</v>
      </c>
      <c r="E775" s="18" t="n">
        <f aca="false">Purchase_Orders!D772</f>
        <v>1738.1</v>
      </c>
      <c r="F775" s="18" t="n">
        <f aca="false">SUMIFS(Goods_Receipt_Notes!$D$2:$D$791,Goods_Receipt_Notes!$B$2:$B$791,A775)</f>
        <v>908.59</v>
      </c>
      <c r="G775" s="18" t="n">
        <f aca="false">SUMIFS(Vendor_Invoices_AP!$E$2:$E$882,Vendor_Invoices_AP!$B$2:$B$882,A775)</f>
        <v>1738.1</v>
      </c>
      <c r="H775" s="16" t="str">
        <f aca="false">IF(F775=0,"Not Received","Received")</f>
        <v>Received</v>
      </c>
      <c r="I775" s="16" t="str">
        <f aca="false">IF(G775=0,"Not Invoiced","Invoiced")</f>
        <v>Invoiced</v>
      </c>
      <c r="J775" s="18" t="n">
        <f aca="false">E775-F775</f>
        <v>829.51</v>
      </c>
      <c r="K775" s="18" t="n">
        <f aca="false">E775-G775</f>
        <v>0</v>
      </c>
      <c r="L775" s="16" t="str">
        <f aca="false">IF(OR(AND(I775="Invoiced",H775="Not Received"),AND(F775&gt;0,ABS(J775)&gt;Assumptions!$B$6),AND(G775&gt;0,ABS(K775)&gt;Assumptions!$B$6)),"EXCEPTION","OK")</f>
        <v>EXCEPTION</v>
      </c>
    </row>
    <row r="776" customFormat="false" ht="15" hidden="false" customHeight="false" outlineLevel="0" collapsed="false">
      <c r="A776" s="16" t="str">
        <f aca="false">Purchase_Orders!A773</f>
        <v>PO10772</v>
      </c>
      <c r="B776" s="16" t="str">
        <f aca="false">Purchase_Orders!B773</f>
        <v>V1010</v>
      </c>
      <c r="C776" s="16" t="str">
        <f aca="false">IFERROR(INDEX(Vendor_Master!$B$2:$B$41,MATCH(B776,Vendor_Master!$A$2:$A$41,0)),"Unknown Vendor")</f>
        <v>Martinez, Nielsen and Miller</v>
      </c>
      <c r="D776" s="17" t="n">
        <f aca="false">Purchase_Orders!C773</f>
        <v>45773</v>
      </c>
      <c r="E776" s="18" t="n">
        <f aca="false">Purchase_Orders!D773</f>
        <v>8655.91</v>
      </c>
      <c r="F776" s="18" t="n">
        <f aca="false">SUMIFS(Goods_Receipt_Notes!$D$2:$D$791,Goods_Receipt_Notes!$B$2:$B$791,A776)</f>
        <v>8655.91</v>
      </c>
      <c r="G776" s="18" t="n">
        <f aca="false">SUMIFS(Vendor_Invoices_AP!$E$2:$E$882,Vendor_Invoices_AP!$B$2:$B$882,A776)</f>
        <v>8655.91</v>
      </c>
      <c r="H776" s="16" t="str">
        <f aca="false">IF(F776=0,"Not Received","Received")</f>
        <v>Received</v>
      </c>
      <c r="I776" s="16" t="str">
        <f aca="false">IF(G776=0,"Not Invoiced","Invoiced")</f>
        <v>Invoiced</v>
      </c>
      <c r="J776" s="18" t="n">
        <f aca="false">E776-F776</f>
        <v>0</v>
      </c>
      <c r="K776" s="18" t="n">
        <f aca="false">E776-G776</f>
        <v>0</v>
      </c>
      <c r="L776" s="16" t="str">
        <f aca="false">IF(OR(AND(I776="Invoiced",H776="Not Received"),AND(F776&gt;0,ABS(J776)&gt;Assumptions!$B$6),AND(G776&gt;0,ABS(K776)&gt;Assumptions!$B$6)),"EXCEPTION","OK")</f>
        <v>OK</v>
      </c>
    </row>
    <row r="777" customFormat="false" ht="15" hidden="false" customHeight="false" outlineLevel="0" collapsed="false">
      <c r="A777" s="16" t="str">
        <f aca="false">Purchase_Orders!A774</f>
        <v>PO10773</v>
      </c>
      <c r="B777" s="16" t="str">
        <f aca="false">Purchase_Orders!B774</f>
        <v>V1028</v>
      </c>
      <c r="C777" s="16" t="str">
        <f aca="false">IFERROR(INDEX(Vendor_Master!$B$2:$B$41,MATCH(B777,Vendor_Master!$A$2:$A$41,0)),"Unknown Vendor")</f>
        <v>Potter, Mack and Peterson</v>
      </c>
      <c r="D777" s="17" t="n">
        <f aca="false">Purchase_Orders!C774</f>
        <v>46015</v>
      </c>
      <c r="E777" s="18" t="n">
        <f aca="false">Purchase_Orders!D774</f>
        <v>3002.81</v>
      </c>
      <c r="F777" s="18" t="n">
        <f aca="false">SUMIFS(Goods_Receipt_Notes!$D$2:$D$791,Goods_Receipt_Notes!$B$2:$B$791,A777)</f>
        <v>3002.81</v>
      </c>
      <c r="G777" s="18" t="n">
        <f aca="false">SUMIFS(Vendor_Invoices_AP!$E$2:$E$882,Vendor_Invoices_AP!$B$2:$B$882,A777)</f>
        <v>3002.81</v>
      </c>
      <c r="H777" s="16" t="str">
        <f aca="false">IF(F777=0,"Not Received","Received")</f>
        <v>Received</v>
      </c>
      <c r="I777" s="16" t="str">
        <f aca="false">IF(G777=0,"Not Invoiced","Invoiced")</f>
        <v>Invoiced</v>
      </c>
      <c r="J777" s="18" t="n">
        <f aca="false">E777-F777</f>
        <v>0</v>
      </c>
      <c r="K777" s="18" t="n">
        <f aca="false">E777-G777</f>
        <v>0</v>
      </c>
      <c r="L777" s="16" t="str">
        <f aca="false">IF(OR(AND(I777="Invoiced",H777="Not Received"),AND(F777&gt;0,ABS(J777)&gt;Assumptions!$B$6),AND(G777&gt;0,ABS(K777)&gt;Assumptions!$B$6)),"EXCEPTION","OK")</f>
        <v>OK</v>
      </c>
    </row>
    <row r="778" customFormat="false" ht="15" hidden="false" customHeight="false" outlineLevel="0" collapsed="false">
      <c r="A778" s="16" t="str">
        <f aca="false">Purchase_Orders!A775</f>
        <v>PO10774</v>
      </c>
      <c r="B778" s="16" t="str">
        <f aca="false">Purchase_Orders!B775</f>
        <v>V1038</v>
      </c>
      <c r="C778" s="16" t="str">
        <f aca="false">IFERROR(INDEX(Vendor_Master!$B$2:$B$41,MATCH(B778,Vendor_Master!$A$2:$A$41,0)),"Unknown Vendor")</f>
        <v>Rose-Obrien</v>
      </c>
      <c r="D778" s="17" t="n">
        <f aca="false">Purchase_Orders!C775</f>
        <v>45780</v>
      </c>
      <c r="E778" s="18" t="n">
        <f aca="false">Purchase_Orders!D775</f>
        <v>2069.86</v>
      </c>
      <c r="F778" s="18" t="n">
        <f aca="false">SUMIFS(Goods_Receipt_Notes!$D$2:$D$791,Goods_Receipt_Notes!$B$2:$B$791,A778)</f>
        <v>2069.86</v>
      </c>
      <c r="G778" s="18" t="n">
        <f aca="false">SUMIFS(Vendor_Invoices_AP!$E$2:$E$882,Vendor_Invoices_AP!$B$2:$B$882,A778)</f>
        <v>2069.86</v>
      </c>
      <c r="H778" s="16" t="str">
        <f aca="false">IF(F778=0,"Not Received","Received")</f>
        <v>Received</v>
      </c>
      <c r="I778" s="16" t="str">
        <f aca="false">IF(G778=0,"Not Invoiced","Invoiced")</f>
        <v>Invoiced</v>
      </c>
      <c r="J778" s="18" t="n">
        <f aca="false">E778-F778</f>
        <v>0</v>
      </c>
      <c r="K778" s="18" t="n">
        <f aca="false">E778-G778</f>
        <v>0</v>
      </c>
      <c r="L778" s="16" t="str">
        <f aca="false">IF(OR(AND(I778="Invoiced",H778="Not Received"),AND(F778&gt;0,ABS(J778)&gt;Assumptions!$B$6),AND(G778&gt;0,ABS(K778)&gt;Assumptions!$B$6)),"EXCEPTION","OK")</f>
        <v>OK</v>
      </c>
    </row>
    <row r="779" customFormat="false" ht="15" hidden="false" customHeight="false" outlineLevel="0" collapsed="false">
      <c r="A779" s="16" t="str">
        <f aca="false">Purchase_Orders!A776</f>
        <v>PO10775</v>
      </c>
      <c r="B779" s="16" t="str">
        <f aca="false">Purchase_Orders!B776</f>
        <v>V1019</v>
      </c>
      <c r="C779" s="16" t="str">
        <f aca="false">IFERROR(INDEX(Vendor_Master!$B$2:$B$41,MATCH(B779,Vendor_Master!$A$2:$A$41,0)),"Unknown Vendor")</f>
        <v>Clark PLC</v>
      </c>
      <c r="D779" s="17" t="n">
        <f aca="false">Purchase_Orders!C776</f>
        <v>45716</v>
      </c>
      <c r="E779" s="18" t="n">
        <f aca="false">Purchase_Orders!D776</f>
        <v>1217.09</v>
      </c>
      <c r="F779" s="18" t="n">
        <f aca="false">SUMIFS(Goods_Receipt_Notes!$D$2:$D$791,Goods_Receipt_Notes!$B$2:$B$791,A779)</f>
        <v>1217.09</v>
      </c>
      <c r="G779" s="18" t="n">
        <f aca="false">SUMIFS(Vendor_Invoices_AP!$E$2:$E$882,Vendor_Invoices_AP!$B$2:$B$882,A779)</f>
        <v>1217.09</v>
      </c>
      <c r="H779" s="16" t="str">
        <f aca="false">IF(F779=0,"Not Received","Received")</f>
        <v>Received</v>
      </c>
      <c r="I779" s="16" t="str">
        <f aca="false">IF(G779=0,"Not Invoiced","Invoiced")</f>
        <v>Invoiced</v>
      </c>
      <c r="J779" s="18" t="n">
        <f aca="false">E779-F779</f>
        <v>0</v>
      </c>
      <c r="K779" s="18" t="n">
        <f aca="false">E779-G779</f>
        <v>0</v>
      </c>
      <c r="L779" s="16" t="str">
        <f aca="false">IF(OR(AND(I779="Invoiced",H779="Not Received"),AND(F779&gt;0,ABS(J779)&gt;Assumptions!$B$6),AND(G779&gt;0,ABS(K779)&gt;Assumptions!$B$6)),"EXCEPTION","OK")</f>
        <v>OK</v>
      </c>
    </row>
    <row r="780" customFormat="false" ht="15" hidden="false" customHeight="false" outlineLevel="0" collapsed="false">
      <c r="A780" s="16" t="str">
        <f aca="false">Purchase_Orders!A777</f>
        <v>PO10776</v>
      </c>
      <c r="B780" s="16" t="str">
        <f aca="false">Purchase_Orders!B777</f>
        <v>V1009</v>
      </c>
      <c r="C780" s="16" t="str">
        <f aca="false">IFERROR(INDEX(Vendor_Master!$B$2:$B$41,MATCH(B780,Vendor_Master!$A$2:$A$41,0)),"Unknown Vendor")</f>
        <v>Munoz-Roman</v>
      </c>
      <c r="D780" s="17" t="n">
        <f aca="false">Purchase_Orders!C777</f>
        <v>46118</v>
      </c>
      <c r="E780" s="18" t="n">
        <f aca="false">Purchase_Orders!D777</f>
        <v>680.64</v>
      </c>
      <c r="F780" s="18" t="n">
        <f aca="false">SUMIFS(Goods_Receipt_Notes!$D$2:$D$791,Goods_Receipt_Notes!$B$2:$B$791,A780)</f>
        <v>680.64</v>
      </c>
      <c r="G780" s="18" t="n">
        <f aca="false">SUMIFS(Vendor_Invoices_AP!$E$2:$E$882,Vendor_Invoices_AP!$B$2:$B$882,A780)</f>
        <v>680.64</v>
      </c>
      <c r="H780" s="16" t="str">
        <f aca="false">IF(F780=0,"Not Received","Received")</f>
        <v>Received</v>
      </c>
      <c r="I780" s="16" t="str">
        <f aca="false">IF(G780=0,"Not Invoiced","Invoiced")</f>
        <v>Invoiced</v>
      </c>
      <c r="J780" s="18" t="n">
        <f aca="false">E780-F780</f>
        <v>0</v>
      </c>
      <c r="K780" s="18" t="n">
        <f aca="false">E780-G780</f>
        <v>0</v>
      </c>
      <c r="L780" s="16" t="str">
        <f aca="false">IF(OR(AND(I780="Invoiced",H780="Not Received"),AND(F780&gt;0,ABS(J780)&gt;Assumptions!$B$6),AND(G780&gt;0,ABS(K780)&gt;Assumptions!$B$6)),"EXCEPTION","OK")</f>
        <v>OK</v>
      </c>
    </row>
    <row r="781" customFormat="false" ht="15" hidden="false" customHeight="false" outlineLevel="0" collapsed="false">
      <c r="A781" s="16" t="str">
        <f aca="false">Purchase_Orders!A778</f>
        <v>PO10777</v>
      </c>
      <c r="B781" s="16" t="str">
        <f aca="false">Purchase_Orders!B778</f>
        <v>V1035</v>
      </c>
      <c r="C781" s="16" t="str">
        <f aca="false">IFERROR(INDEX(Vendor_Master!$B$2:$B$41,MATCH(B781,Vendor_Master!$A$2:$A$41,0)),"Unknown Vendor")</f>
        <v>Allen PLC</v>
      </c>
      <c r="D781" s="17" t="n">
        <f aca="false">Purchase_Orders!C778</f>
        <v>45858</v>
      </c>
      <c r="E781" s="18" t="n">
        <f aca="false">Purchase_Orders!D778</f>
        <v>1467.37</v>
      </c>
      <c r="F781" s="18" t="n">
        <f aca="false">SUMIFS(Goods_Receipt_Notes!$D$2:$D$791,Goods_Receipt_Notes!$B$2:$B$791,A781)</f>
        <v>1467.37</v>
      </c>
      <c r="G781" s="18" t="n">
        <f aca="false">SUMIFS(Vendor_Invoices_AP!$E$2:$E$882,Vendor_Invoices_AP!$B$2:$B$882,A781)</f>
        <v>1467.37</v>
      </c>
      <c r="H781" s="16" t="str">
        <f aca="false">IF(F781=0,"Not Received","Received")</f>
        <v>Received</v>
      </c>
      <c r="I781" s="16" t="str">
        <f aca="false">IF(G781=0,"Not Invoiced","Invoiced")</f>
        <v>Invoiced</v>
      </c>
      <c r="J781" s="18" t="n">
        <f aca="false">E781-F781</f>
        <v>0</v>
      </c>
      <c r="K781" s="18" t="n">
        <f aca="false">E781-G781</f>
        <v>0</v>
      </c>
      <c r="L781" s="16" t="str">
        <f aca="false">IF(OR(AND(I781="Invoiced",H781="Not Received"),AND(F781&gt;0,ABS(J781)&gt;Assumptions!$B$6),AND(G781&gt;0,ABS(K781)&gt;Assumptions!$B$6)),"EXCEPTION","OK")</f>
        <v>OK</v>
      </c>
    </row>
    <row r="782" customFormat="false" ht="15" hidden="false" customHeight="false" outlineLevel="0" collapsed="false">
      <c r="A782" s="16" t="str">
        <f aca="false">Purchase_Orders!A779</f>
        <v>PO10778</v>
      </c>
      <c r="B782" s="16" t="str">
        <f aca="false">Purchase_Orders!B779</f>
        <v>V1011</v>
      </c>
      <c r="C782" s="16" t="str">
        <f aca="false">IFERROR(INDEX(Vendor_Master!$B$2:$B$41,MATCH(B782,Vendor_Master!$A$2:$A$41,0)),"Unknown Vendor")</f>
        <v>Montgomery, Hensley and Ray</v>
      </c>
      <c r="D782" s="17" t="n">
        <f aca="false">Purchase_Orders!C779</f>
        <v>46073</v>
      </c>
      <c r="E782" s="18" t="n">
        <f aca="false">Purchase_Orders!D779</f>
        <v>816.48</v>
      </c>
      <c r="F782" s="18" t="n">
        <f aca="false">SUMIFS(Goods_Receipt_Notes!$D$2:$D$791,Goods_Receipt_Notes!$B$2:$B$791,A782)</f>
        <v>816.48</v>
      </c>
      <c r="G782" s="18" t="n">
        <f aca="false">SUMIFS(Vendor_Invoices_AP!$E$2:$E$882,Vendor_Invoices_AP!$B$2:$B$882,A782)</f>
        <v>816.48</v>
      </c>
      <c r="H782" s="16" t="str">
        <f aca="false">IF(F782=0,"Not Received","Received")</f>
        <v>Received</v>
      </c>
      <c r="I782" s="16" t="str">
        <f aca="false">IF(G782=0,"Not Invoiced","Invoiced")</f>
        <v>Invoiced</v>
      </c>
      <c r="J782" s="18" t="n">
        <f aca="false">E782-F782</f>
        <v>0</v>
      </c>
      <c r="K782" s="18" t="n">
        <f aca="false">E782-G782</f>
        <v>0</v>
      </c>
      <c r="L782" s="16" t="str">
        <f aca="false">IF(OR(AND(I782="Invoiced",H782="Not Received"),AND(F782&gt;0,ABS(J782)&gt;Assumptions!$B$6),AND(G782&gt;0,ABS(K782)&gt;Assumptions!$B$6)),"EXCEPTION","OK")</f>
        <v>OK</v>
      </c>
    </row>
    <row r="783" customFormat="false" ht="15" hidden="false" customHeight="false" outlineLevel="0" collapsed="false">
      <c r="A783" s="16" t="str">
        <f aca="false">Purchase_Orders!A780</f>
        <v>PO10779</v>
      </c>
      <c r="B783" s="16" t="str">
        <f aca="false">Purchase_Orders!B780</f>
        <v>V1002</v>
      </c>
      <c r="C783" s="16" t="str">
        <f aca="false">IFERROR(INDEX(Vendor_Master!$B$2:$B$41,MATCH(B783,Vendor_Master!$A$2:$A$41,0)),"Unknown Vendor")</f>
        <v>Garcia, Yang and Gardner</v>
      </c>
      <c r="D783" s="17" t="n">
        <f aca="false">Purchase_Orders!C780</f>
        <v>45970</v>
      </c>
      <c r="E783" s="18" t="n">
        <f aca="false">Purchase_Orders!D780</f>
        <v>1016.58</v>
      </c>
      <c r="F783" s="18" t="n">
        <f aca="false">SUMIFS(Goods_Receipt_Notes!$D$2:$D$791,Goods_Receipt_Notes!$B$2:$B$791,A783)</f>
        <v>1016.58</v>
      </c>
      <c r="G783" s="18" t="n">
        <f aca="false">SUMIFS(Vendor_Invoices_AP!$E$2:$E$882,Vendor_Invoices_AP!$B$2:$B$882,A783)</f>
        <v>1016.58</v>
      </c>
      <c r="H783" s="16" t="str">
        <f aca="false">IF(F783=0,"Not Received","Received")</f>
        <v>Received</v>
      </c>
      <c r="I783" s="16" t="str">
        <f aca="false">IF(G783=0,"Not Invoiced","Invoiced")</f>
        <v>Invoiced</v>
      </c>
      <c r="J783" s="18" t="n">
        <f aca="false">E783-F783</f>
        <v>0</v>
      </c>
      <c r="K783" s="18" t="n">
        <f aca="false">E783-G783</f>
        <v>0</v>
      </c>
      <c r="L783" s="16" t="str">
        <f aca="false">IF(OR(AND(I783="Invoiced",H783="Not Received"),AND(F783&gt;0,ABS(J783)&gt;Assumptions!$B$6),AND(G783&gt;0,ABS(K783)&gt;Assumptions!$B$6)),"EXCEPTION","OK")</f>
        <v>OK</v>
      </c>
    </row>
    <row r="784" customFormat="false" ht="15" hidden="false" customHeight="false" outlineLevel="0" collapsed="false">
      <c r="A784" s="16" t="str">
        <f aca="false">Purchase_Orders!A781</f>
        <v>PO10780</v>
      </c>
      <c r="B784" s="16" t="str">
        <f aca="false">Purchase_Orders!B781</f>
        <v>V1035</v>
      </c>
      <c r="C784" s="16" t="str">
        <f aca="false">IFERROR(INDEX(Vendor_Master!$B$2:$B$41,MATCH(B784,Vendor_Master!$A$2:$A$41,0)),"Unknown Vendor")</f>
        <v>Allen PLC</v>
      </c>
      <c r="D784" s="17" t="n">
        <f aca="false">Purchase_Orders!C781</f>
        <v>46097</v>
      </c>
      <c r="E784" s="18" t="n">
        <f aca="false">Purchase_Orders!D781</f>
        <v>7498.53</v>
      </c>
      <c r="F784" s="18" t="n">
        <f aca="false">SUMIFS(Goods_Receipt_Notes!$D$2:$D$791,Goods_Receipt_Notes!$B$2:$B$791,A784)</f>
        <v>7498.53</v>
      </c>
      <c r="G784" s="18" t="n">
        <f aca="false">SUMIFS(Vendor_Invoices_AP!$E$2:$E$882,Vendor_Invoices_AP!$B$2:$B$882,A784)</f>
        <v>7498.53</v>
      </c>
      <c r="H784" s="16" t="str">
        <f aca="false">IF(F784=0,"Not Received","Received")</f>
        <v>Received</v>
      </c>
      <c r="I784" s="16" t="str">
        <f aca="false">IF(G784=0,"Not Invoiced","Invoiced")</f>
        <v>Invoiced</v>
      </c>
      <c r="J784" s="18" t="n">
        <f aca="false">E784-F784</f>
        <v>0</v>
      </c>
      <c r="K784" s="18" t="n">
        <f aca="false">E784-G784</f>
        <v>0</v>
      </c>
      <c r="L784" s="16" t="str">
        <f aca="false">IF(OR(AND(I784="Invoiced",H784="Not Received"),AND(F784&gt;0,ABS(J784)&gt;Assumptions!$B$6),AND(G784&gt;0,ABS(K784)&gt;Assumptions!$B$6)),"EXCEPTION","OK")</f>
        <v>OK</v>
      </c>
    </row>
    <row r="785" customFormat="false" ht="15" hidden="false" customHeight="false" outlineLevel="0" collapsed="false">
      <c r="A785" s="16" t="str">
        <f aca="false">Purchase_Orders!A782</f>
        <v>PO10781</v>
      </c>
      <c r="B785" s="16" t="str">
        <f aca="false">Purchase_Orders!B782</f>
        <v>V1039</v>
      </c>
      <c r="C785" s="16" t="str">
        <f aca="false">IFERROR(INDEX(Vendor_Master!$B$2:$B$41,MATCH(B785,Vendor_Master!$A$2:$A$41,0)),"Unknown Vendor")</f>
        <v>Campos, Vaughn and Marquez</v>
      </c>
      <c r="D785" s="17" t="n">
        <f aca="false">Purchase_Orders!C782</f>
        <v>46118</v>
      </c>
      <c r="E785" s="18" t="n">
        <f aca="false">Purchase_Orders!D782</f>
        <v>348.88</v>
      </c>
      <c r="F785" s="18" t="n">
        <f aca="false">SUMIFS(Goods_Receipt_Notes!$D$2:$D$791,Goods_Receipt_Notes!$B$2:$B$791,A785)</f>
        <v>348.88</v>
      </c>
      <c r="G785" s="18" t="n">
        <f aca="false">SUMIFS(Vendor_Invoices_AP!$E$2:$E$882,Vendor_Invoices_AP!$B$2:$B$882,A785)</f>
        <v>396.51</v>
      </c>
      <c r="H785" s="16" t="str">
        <f aca="false">IF(F785=0,"Not Received","Received")</f>
        <v>Received</v>
      </c>
      <c r="I785" s="16" t="str">
        <f aca="false">IF(G785=0,"Not Invoiced","Invoiced")</f>
        <v>Invoiced</v>
      </c>
      <c r="J785" s="18" t="n">
        <f aca="false">E785-F785</f>
        <v>0</v>
      </c>
      <c r="K785" s="18" t="n">
        <f aca="false">E785-G785</f>
        <v>-47.63</v>
      </c>
      <c r="L785" s="16" t="str">
        <f aca="false">IF(OR(AND(I785="Invoiced",H785="Not Received"),AND(F785&gt;0,ABS(J785)&gt;Assumptions!$B$6),AND(G785&gt;0,ABS(K785)&gt;Assumptions!$B$6)),"EXCEPTION","OK")</f>
        <v>EXCEPTION</v>
      </c>
    </row>
    <row r="786" customFormat="false" ht="15" hidden="false" customHeight="false" outlineLevel="0" collapsed="false">
      <c r="A786" s="16" t="str">
        <f aca="false">Purchase_Orders!A783</f>
        <v>PO10782</v>
      </c>
      <c r="B786" s="16" t="str">
        <f aca="false">Purchase_Orders!B783</f>
        <v>V1034</v>
      </c>
      <c r="C786" s="16" t="str">
        <f aca="false">IFERROR(INDEX(Vendor_Master!$B$2:$B$41,MATCH(B786,Vendor_Master!$A$2:$A$41,0)),"Unknown Vendor")</f>
        <v>Koch-Decker</v>
      </c>
      <c r="D786" s="17" t="n">
        <f aca="false">Purchase_Orders!C783</f>
        <v>46189</v>
      </c>
      <c r="E786" s="18" t="n">
        <f aca="false">Purchase_Orders!D783</f>
        <v>200.9</v>
      </c>
      <c r="F786" s="18" t="n">
        <f aca="false">SUMIFS(Goods_Receipt_Notes!$D$2:$D$791,Goods_Receipt_Notes!$B$2:$B$791,A786)</f>
        <v>200.9</v>
      </c>
      <c r="G786" s="18" t="n">
        <f aca="false">SUMIFS(Vendor_Invoices_AP!$E$2:$E$882,Vendor_Invoices_AP!$B$2:$B$882,A786)</f>
        <v>200.9</v>
      </c>
      <c r="H786" s="16" t="str">
        <f aca="false">IF(F786=0,"Not Received","Received")</f>
        <v>Received</v>
      </c>
      <c r="I786" s="16" t="str">
        <f aca="false">IF(G786=0,"Not Invoiced","Invoiced")</f>
        <v>Invoiced</v>
      </c>
      <c r="J786" s="18" t="n">
        <f aca="false">E786-F786</f>
        <v>0</v>
      </c>
      <c r="K786" s="18" t="n">
        <f aca="false">E786-G786</f>
        <v>0</v>
      </c>
      <c r="L786" s="16" t="str">
        <f aca="false">IF(OR(AND(I786="Invoiced",H786="Not Received"),AND(F786&gt;0,ABS(J786)&gt;Assumptions!$B$6),AND(G786&gt;0,ABS(K786)&gt;Assumptions!$B$6)),"EXCEPTION","OK")</f>
        <v>OK</v>
      </c>
    </row>
    <row r="787" customFormat="false" ht="15" hidden="false" customHeight="false" outlineLevel="0" collapsed="false">
      <c r="A787" s="16" t="str">
        <f aca="false">Purchase_Orders!A784</f>
        <v>PO10783</v>
      </c>
      <c r="B787" s="16" t="str">
        <f aca="false">Purchase_Orders!B784</f>
        <v>V1004</v>
      </c>
      <c r="C787" s="16" t="str">
        <f aca="false">IFERROR(INDEX(Vendor_Master!$B$2:$B$41,MATCH(B787,Vendor_Master!$A$2:$A$41,0)),"Unknown Vendor")</f>
        <v>Johnson, Gonzalez and Santos</v>
      </c>
      <c r="D787" s="17" t="n">
        <f aca="false">Purchase_Orders!C784</f>
        <v>46104</v>
      </c>
      <c r="E787" s="18" t="n">
        <f aca="false">Purchase_Orders!D784</f>
        <v>1497.3</v>
      </c>
      <c r="F787" s="18" t="n">
        <f aca="false">SUMIFS(Goods_Receipt_Notes!$D$2:$D$791,Goods_Receipt_Notes!$B$2:$B$791,A787)</f>
        <v>1497.3</v>
      </c>
      <c r="G787" s="18" t="n">
        <f aca="false">SUMIFS(Vendor_Invoices_AP!$E$2:$E$882,Vendor_Invoices_AP!$B$2:$B$882,A787)</f>
        <v>1497.3</v>
      </c>
      <c r="H787" s="16" t="str">
        <f aca="false">IF(F787=0,"Not Received","Received")</f>
        <v>Received</v>
      </c>
      <c r="I787" s="16" t="str">
        <f aca="false">IF(G787=0,"Not Invoiced","Invoiced")</f>
        <v>Invoiced</v>
      </c>
      <c r="J787" s="18" t="n">
        <f aca="false">E787-F787</f>
        <v>0</v>
      </c>
      <c r="K787" s="18" t="n">
        <f aca="false">E787-G787</f>
        <v>0</v>
      </c>
      <c r="L787" s="16" t="str">
        <f aca="false">IF(OR(AND(I787="Invoiced",H787="Not Received"),AND(F787&gt;0,ABS(J787)&gt;Assumptions!$B$6),AND(G787&gt;0,ABS(K787)&gt;Assumptions!$B$6)),"EXCEPTION","OK")</f>
        <v>OK</v>
      </c>
    </row>
    <row r="788" customFormat="false" ht="15" hidden="false" customHeight="false" outlineLevel="0" collapsed="false">
      <c r="A788" s="16" t="str">
        <f aca="false">Purchase_Orders!A785</f>
        <v>PO10784</v>
      </c>
      <c r="B788" s="16" t="str">
        <f aca="false">Purchase_Orders!B785</f>
        <v>V1004</v>
      </c>
      <c r="C788" s="16" t="str">
        <f aca="false">IFERROR(INDEX(Vendor_Master!$B$2:$B$41,MATCH(B788,Vendor_Master!$A$2:$A$41,0)),"Unknown Vendor")</f>
        <v>Johnson, Gonzalez and Santos</v>
      </c>
      <c r="D788" s="17" t="n">
        <f aca="false">Purchase_Orders!C785</f>
        <v>45992</v>
      </c>
      <c r="E788" s="18" t="n">
        <f aca="false">Purchase_Orders!D785</f>
        <v>2626.17</v>
      </c>
      <c r="F788" s="18" t="n">
        <f aca="false">SUMIFS(Goods_Receipt_Notes!$D$2:$D$791,Goods_Receipt_Notes!$B$2:$B$791,A788)</f>
        <v>2626.17</v>
      </c>
      <c r="G788" s="18" t="n">
        <f aca="false">SUMIFS(Vendor_Invoices_AP!$E$2:$E$882,Vendor_Invoices_AP!$B$2:$B$882,A788)</f>
        <v>2879.23</v>
      </c>
      <c r="H788" s="16" t="str">
        <f aca="false">IF(F788=0,"Not Received","Received")</f>
        <v>Received</v>
      </c>
      <c r="I788" s="16" t="str">
        <f aca="false">IF(G788=0,"Not Invoiced","Invoiced")</f>
        <v>Invoiced</v>
      </c>
      <c r="J788" s="18" t="n">
        <f aca="false">E788-F788</f>
        <v>0</v>
      </c>
      <c r="K788" s="18" t="n">
        <f aca="false">E788-G788</f>
        <v>-253.06</v>
      </c>
      <c r="L788" s="16" t="str">
        <f aca="false">IF(OR(AND(I788="Invoiced",H788="Not Received"),AND(F788&gt;0,ABS(J788)&gt;Assumptions!$B$6),AND(G788&gt;0,ABS(K788)&gt;Assumptions!$B$6)),"EXCEPTION","OK")</f>
        <v>EXCEPTION</v>
      </c>
    </row>
    <row r="789" customFormat="false" ht="15" hidden="false" customHeight="false" outlineLevel="0" collapsed="false">
      <c r="A789" s="16" t="str">
        <f aca="false">Purchase_Orders!A786</f>
        <v>PO10785</v>
      </c>
      <c r="B789" s="16" t="str">
        <f aca="false">Purchase_Orders!B786</f>
        <v>V1013</v>
      </c>
      <c r="C789" s="16" t="str">
        <f aca="false">IFERROR(INDEX(Vendor_Master!$B$2:$B$41,MATCH(B789,Vendor_Master!$A$2:$A$41,0)),"Unknown Vendor")</f>
        <v>Delacruz Group</v>
      </c>
      <c r="D789" s="17" t="n">
        <f aca="false">Purchase_Orders!C786</f>
        <v>46008</v>
      </c>
      <c r="E789" s="18" t="n">
        <f aca="false">Purchase_Orders!D786</f>
        <v>2091.54</v>
      </c>
      <c r="F789" s="18" t="n">
        <f aca="false">SUMIFS(Goods_Receipt_Notes!$D$2:$D$791,Goods_Receipt_Notes!$B$2:$B$791,A789)</f>
        <v>2091.54</v>
      </c>
      <c r="G789" s="18" t="n">
        <f aca="false">SUMIFS(Vendor_Invoices_AP!$E$2:$E$882,Vendor_Invoices_AP!$B$2:$B$882,A789)</f>
        <v>4183.08</v>
      </c>
      <c r="H789" s="16" t="str">
        <f aca="false">IF(F789=0,"Not Received","Received")</f>
        <v>Received</v>
      </c>
      <c r="I789" s="16" t="str">
        <f aca="false">IF(G789=0,"Not Invoiced","Invoiced")</f>
        <v>Invoiced</v>
      </c>
      <c r="J789" s="18" t="n">
        <f aca="false">E789-F789</f>
        <v>0</v>
      </c>
      <c r="K789" s="18" t="n">
        <f aca="false">E789-G789</f>
        <v>-2091.54</v>
      </c>
      <c r="L789" s="16" t="str">
        <f aca="false">IF(OR(AND(I789="Invoiced",H789="Not Received"),AND(F789&gt;0,ABS(J789)&gt;Assumptions!$B$6),AND(G789&gt;0,ABS(K789)&gt;Assumptions!$B$6)),"EXCEPTION","OK")</f>
        <v>EXCEPTION</v>
      </c>
    </row>
    <row r="790" customFormat="false" ht="15" hidden="false" customHeight="false" outlineLevel="0" collapsed="false">
      <c r="A790" s="16" t="str">
        <f aca="false">Purchase_Orders!A787</f>
        <v>PO10786</v>
      </c>
      <c r="B790" s="16" t="str">
        <f aca="false">Purchase_Orders!B787</f>
        <v>V1030</v>
      </c>
      <c r="C790" s="16" t="str">
        <f aca="false">IFERROR(INDEX(Vendor_Master!$B$2:$B$41,MATCH(B790,Vendor_Master!$A$2:$A$41,0)),"Unknown Vendor")</f>
        <v>Stanton-Gill</v>
      </c>
      <c r="D790" s="17" t="n">
        <f aca="false">Purchase_Orders!C787</f>
        <v>45672</v>
      </c>
      <c r="E790" s="18" t="n">
        <f aca="false">Purchase_Orders!D787</f>
        <v>994.15</v>
      </c>
      <c r="F790" s="18" t="n">
        <f aca="false">SUMIFS(Goods_Receipt_Notes!$D$2:$D$791,Goods_Receipt_Notes!$B$2:$B$791,A790)</f>
        <v>994.15</v>
      </c>
      <c r="G790" s="18" t="n">
        <f aca="false">SUMIFS(Vendor_Invoices_AP!$E$2:$E$882,Vendor_Invoices_AP!$B$2:$B$882,A790)</f>
        <v>994.15</v>
      </c>
      <c r="H790" s="16" t="str">
        <f aca="false">IF(F790=0,"Not Received","Received")</f>
        <v>Received</v>
      </c>
      <c r="I790" s="16" t="str">
        <f aca="false">IF(G790=0,"Not Invoiced","Invoiced")</f>
        <v>Invoiced</v>
      </c>
      <c r="J790" s="18" t="n">
        <f aca="false">E790-F790</f>
        <v>0</v>
      </c>
      <c r="K790" s="18" t="n">
        <f aca="false">E790-G790</f>
        <v>0</v>
      </c>
      <c r="L790" s="16" t="str">
        <f aca="false">IF(OR(AND(I790="Invoiced",H790="Not Received"),AND(F790&gt;0,ABS(J790)&gt;Assumptions!$B$6),AND(G790&gt;0,ABS(K790)&gt;Assumptions!$B$6)),"EXCEPTION","OK")</f>
        <v>OK</v>
      </c>
    </row>
    <row r="791" customFormat="false" ht="15" hidden="false" customHeight="false" outlineLevel="0" collapsed="false">
      <c r="A791" s="16" t="str">
        <f aca="false">Purchase_Orders!A788</f>
        <v>PO10787</v>
      </c>
      <c r="B791" s="16" t="str">
        <f aca="false">Purchase_Orders!B788</f>
        <v>V1016</v>
      </c>
      <c r="C791" s="16" t="str">
        <f aca="false">IFERROR(INDEX(Vendor_Master!$B$2:$B$41,MATCH(B791,Vendor_Master!$A$2:$A$41,0)),"Unknown Vendor")</f>
        <v>Sanchez, Ford and Nelson</v>
      </c>
      <c r="D791" s="17" t="n">
        <f aca="false">Purchase_Orders!C788</f>
        <v>46164</v>
      </c>
      <c r="E791" s="18" t="n">
        <f aca="false">Purchase_Orders!D788</f>
        <v>2802.36</v>
      </c>
      <c r="F791" s="18" t="n">
        <f aca="false">SUMIFS(Goods_Receipt_Notes!$D$2:$D$791,Goods_Receipt_Notes!$B$2:$B$791,A791)</f>
        <v>2802.36</v>
      </c>
      <c r="G791" s="18" t="n">
        <f aca="false">SUMIFS(Vendor_Invoices_AP!$E$2:$E$882,Vendor_Invoices_AP!$B$2:$B$882,A791)</f>
        <v>5604.72</v>
      </c>
      <c r="H791" s="16" t="str">
        <f aca="false">IF(F791=0,"Not Received","Received")</f>
        <v>Received</v>
      </c>
      <c r="I791" s="16" t="str">
        <f aca="false">IF(G791=0,"Not Invoiced","Invoiced")</f>
        <v>Invoiced</v>
      </c>
      <c r="J791" s="18" t="n">
        <f aca="false">E791-F791</f>
        <v>0</v>
      </c>
      <c r="K791" s="18" t="n">
        <f aca="false">E791-G791</f>
        <v>-2802.36</v>
      </c>
      <c r="L791" s="16" t="str">
        <f aca="false">IF(OR(AND(I791="Invoiced",H791="Not Received"),AND(F791&gt;0,ABS(J791)&gt;Assumptions!$B$6),AND(G791&gt;0,ABS(K791)&gt;Assumptions!$B$6)),"EXCEPTION","OK")</f>
        <v>EXCEPTION</v>
      </c>
    </row>
    <row r="792" customFormat="false" ht="15" hidden="false" customHeight="false" outlineLevel="0" collapsed="false">
      <c r="A792" s="16" t="str">
        <f aca="false">Purchase_Orders!A789</f>
        <v>PO10788</v>
      </c>
      <c r="B792" s="16" t="str">
        <f aca="false">Purchase_Orders!B789</f>
        <v>V1031</v>
      </c>
      <c r="C792" s="16" t="str">
        <f aca="false">IFERROR(INDEX(Vendor_Master!$B$2:$B$41,MATCH(B792,Vendor_Master!$A$2:$A$41,0)),"Unknown Vendor")</f>
        <v>Harrell LLC</v>
      </c>
      <c r="D792" s="17" t="n">
        <f aca="false">Purchase_Orders!C789</f>
        <v>46110</v>
      </c>
      <c r="E792" s="18" t="n">
        <f aca="false">Purchase_Orders!D789</f>
        <v>851.07</v>
      </c>
      <c r="F792" s="18" t="n">
        <f aca="false">SUMIFS(Goods_Receipt_Notes!$D$2:$D$791,Goods_Receipt_Notes!$B$2:$B$791,A792)</f>
        <v>851.07</v>
      </c>
      <c r="G792" s="18" t="n">
        <f aca="false">SUMIFS(Vendor_Invoices_AP!$E$2:$E$882,Vendor_Invoices_AP!$B$2:$B$882,A792)</f>
        <v>851.07</v>
      </c>
      <c r="H792" s="16" t="str">
        <f aca="false">IF(F792=0,"Not Received","Received")</f>
        <v>Received</v>
      </c>
      <c r="I792" s="16" t="str">
        <f aca="false">IF(G792=0,"Not Invoiced","Invoiced")</f>
        <v>Invoiced</v>
      </c>
      <c r="J792" s="18" t="n">
        <f aca="false">E792-F792</f>
        <v>0</v>
      </c>
      <c r="K792" s="18" t="n">
        <f aca="false">E792-G792</f>
        <v>0</v>
      </c>
      <c r="L792" s="16" t="str">
        <f aca="false">IF(OR(AND(I792="Invoiced",H792="Not Received"),AND(F792&gt;0,ABS(J792)&gt;Assumptions!$B$6),AND(G792&gt;0,ABS(K792)&gt;Assumptions!$B$6)),"EXCEPTION","OK")</f>
        <v>OK</v>
      </c>
    </row>
    <row r="793" customFormat="false" ht="15" hidden="false" customHeight="false" outlineLevel="0" collapsed="false">
      <c r="A793" s="16" t="str">
        <f aca="false">Purchase_Orders!A790</f>
        <v>PO10789</v>
      </c>
      <c r="B793" s="16" t="str">
        <f aca="false">Purchase_Orders!B790</f>
        <v>V1037</v>
      </c>
      <c r="C793" s="16" t="str">
        <f aca="false">IFERROR(INDEX(Vendor_Master!$B$2:$B$41,MATCH(B793,Vendor_Master!$A$2:$A$41,0)),"Unknown Vendor")</f>
        <v>Cannon, Anderson and Alvarez</v>
      </c>
      <c r="D793" s="17" t="n">
        <f aca="false">Purchase_Orders!C790</f>
        <v>45803</v>
      </c>
      <c r="E793" s="18" t="n">
        <f aca="false">Purchase_Orders!D790</f>
        <v>14407.31</v>
      </c>
      <c r="F793" s="18" t="n">
        <f aca="false">SUMIFS(Goods_Receipt_Notes!$D$2:$D$791,Goods_Receipt_Notes!$B$2:$B$791,A793)</f>
        <v>14407.31</v>
      </c>
      <c r="G793" s="18" t="n">
        <f aca="false">SUMIFS(Vendor_Invoices_AP!$E$2:$E$882,Vendor_Invoices_AP!$B$2:$B$882,A793)</f>
        <v>14407.31</v>
      </c>
      <c r="H793" s="16" t="str">
        <f aca="false">IF(F793=0,"Not Received","Received")</f>
        <v>Received</v>
      </c>
      <c r="I793" s="16" t="str">
        <f aca="false">IF(G793=0,"Not Invoiced","Invoiced")</f>
        <v>Invoiced</v>
      </c>
      <c r="J793" s="18" t="n">
        <f aca="false">E793-F793</f>
        <v>0</v>
      </c>
      <c r="K793" s="18" t="n">
        <f aca="false">E793-G793</f>
        <v>0</v>
      </c>
      <c r="L793" s="16" t="str">
        <f aca="false">IF(OR(AND(I793="Invoiced",H793="Not Received"),AND(F793&gt;0,ABS(J793)&gt;Assumptions!$B$6),AND(G793&gt;0,ABS(K793)&gt;Assumptions!$B$6)),"EXCEPTION","OK")</f>
        <v>OK</v>
      </c>
    </row>
    <row r="794" customFormat="false" ht="15" hidden="false" customHeight="false" outlineLevel="0" collapsed="false">
      <c r="A794" s="16" t="str">
        <f aca="false">Purchase_Orders!A791</f>
        <v>PO10790</v>
      </c>
      <c r="B794" s="16" t="str">
        <f aca="false">Purchase_Orders!B791</f>
        <v>V1039</v>
      </c>
      <c r="C794" s="16" t="str">
        <f aca="false">IFERROR(INDEX(Vendor_Master!$B$2:$B$41,MATCH(B794,Vendor_Master!$A$2:$A$41,0)),"Unknown Vendor")</f>
        <v>Campos, Vaughn and Marquez</v>
      </c>
      <c r="D794" s="17" t="n">
        <f aca="false">Purchase_Orders!C791</f>
        <v>45756</v>
      </c>
      <c r="E794" s="18" t="n">
        <f aca="false">Purchase_Orders!D791</f>
        <v>562.05</v>
      </c>
      <c r="F794" s="18" t="n">
        <f aca="false">SUMIFS(Goods_Receipt_Notes!$D$2:$D$791,Goods_Receipt_Notes!$B$2:$B$791,A794)</f>
        <v>562.05</v>
      </c>
      <c r="G794" s="18" t="n">
        <f aca="false">SUMIFS(Vendor_Invoices_AP!$E$2:$E$882,Vendor_Invoices_AP!$B$2:$B$882,A794)</f>
        <v>562.05</v>
      </c>
      <c r="H794" s="16" t="str">
        <f aca="false">IF(F794=0,"Not Received","Received")</f>
        <v>Received</v>
      </c>
      <c r="I794" s="16" t="str">
        <f aca="false">IF(G794=0,"Not Invoiced","Invoiced")</f>
        <v>Invoiced</v>
      </c>
      <c r="J794" s="18" t="n">
        <f aca="false">E794-F794</f>
        <v>0</v>
      </c>
      <c r="K794" s="18" t="n">
        <f aca="false">E794-G794</f>
        <v>0</v>
      </c>
      <c r="L794" s="16" t="str">
        <f aca="false">IF(OR(AND(I794="Invoiced",H794="Not Received"),AND(F794&gt;0,ABS(J794)&gt;Assumptions!$B$6),AND(G794&gt;0,ABS(K794)&gt;Assumptions!$B$6)),"EXCEPTION","OK")</f>
        <v>OK</v>
      </c>
    </row>
    <row r="795" customFormat="false" ht="15" hidden="false" customHeight="false" outlineLevel="0" collapsed="false">
      <c r="A795" s="16" t="str">
        <f aca="false">Purchase_Orders!A792</f>
        <v>PO10791</v>
      </c>
      <c r="B795" s="16" t="str">
        <f aca="false">Purchase_Orders!B792</f>
        <v>V1036</v>
      </c>
      <c r="C795" s="16" t="str">
        <f aca="false">IFERROR(INDEX(Vendor_Master!$B$2:$B$41,MATCH(B795,Vendor_Master!$A$2:$A$41,0)),"Unknown Vendor")</f>
        <v>Dennis Inc</v>
      </c>
      <c r="D795" s="17" t="n">
        <f aca="false">Purchase_Orders!C792</f>
        <v>46040</v>
      </c>
      <c r="E795" s="18" t="n">
        <f aca="false">Purchase_Orders!D792</f>
        <v>4017.91</v>
      </c>
      <c r="F795" s="18" t="n">
        <f aca="false">SUMIFS(Goods_Receipt_Notes!$D$2:$D$791,Goods_Receipt_Notes!$B$2:$B$791,A795)</f>
        <v>4017.91</v>
      </c>
      <c r="G795" s="18" t="n">
        <f aca="false">SUMIFS(Vendor_Invoices_AP!$E$2:$E$882,Vendor_Invoices_AP!$B$2:$B$882,A795)</f>
        <v>4017.91</v>
      </c>
      <c r="H795" s="16" t="str">
        <f aca="false">IF(F795=0,"Not Received","Received")</f>
        <v>Received</v>
      </c>
      <c r="I795" s="16" t="str">
        <f aca="false">IF(G795=0,"Not Invoiced","Invoiced")</f>
        <v>Invoiced</v>
      </c>
      <c r="J795" s="18" t="n">
        <f aca="false">E795-F795</f>
        <v>0</v>
      </c>
      <c r="K795" s="18" t="n">
        <f aca="false">E795-G795</f>
        <v>0</v>
      </c>
      <c r="L795" s="16" t="str">
        <f aca="false">IF(OR(AND(I795="Invoiced",H795="Not Received"),AND(F795&gt;0,ABS(J795)&gt;Assumptions!$B$6),AND(G795&gt;0,ABS(K795)&gt;Assumptions!$B$6)),"EXCEPTION","OK")</f>
        <v>OK</v>
      </c>
    </row>
    <row r="796" customFormat="false" ht="15" hidden="false" customHeight="false" outlineLevel="0" collapsed="false">
      <c r="A796" s="16" t="str">
        <f aca="false">Purchase_Orders!A793</f>
        <v>PO10792</v>
      </c>
      <c r="B796" s="16" t="str">
        <f aca="false">Purchase_Orders!B793</f>
        <v>V1031</v>
      </c>
      <c r="C796" s="16" t="str">
        <f aca="false">IFERROR(INDEX(Vendor_Master!$B$2:$B$41,MATCH(B796,Vendor_Master!$A$2:$A$41,0)),"Unknown Vendor")</f>
        <v>Harrell LLC</v>
      </c>
      <c r="D796" s="17" t="n">
        <f aca="false">Purchase_Orders!C793</f>
        <v>45826</v>
      </c>
      <c r="E796" s="18" t="n">
        <f aca="false">Purchase_Orders!D793</f>
        <v>9338.22</v>
      </c>
      <c r="F796" s="18" t="n">
        <f aca="false">SUMIFS(Goods_Receipt_Notes!$D$2:$D$791,Goods_Receipt_Notes!$B$2:$B$791,A796)</f>
        <v>9338.22</v>
      </c>
      <c r="G796" s="18" t="n">
        <f aca="false">SUMIFS(Vendor_Invoices_AP!$E$2:$E$882,Vendor_Invoices_AP!$B$2:$B$882,A796)</f>
        <v>9338.22</v>
      </c>
      <c r="H796" s="16" t="str">
        <f aca="false">IF(F796=0,"Not Received","Received")</f>
        <v>Received</v>
      </c>
      <c r="I796" s="16" t="str">
        <f aca="false">IF(G796=0,"Not Invoiced","Invoiced")</f>
        <v>Invoiced</v>
      </c>
      <c r="J796" s="18" t="n">
        <f aca="false">E796-F796</f>
        <v>0</v>
      </c>
      <c r="K796" s="18" t="n">
        <f aca="false">E796-G796</f>
        <v>0</v>
      </c>
      <c r="L796" s="16" t="str">
        <f aca="false">IF(OR(AND(I796="Invoiced",H796="Not Received"),AND(F796&gt;0,ABS(J796)&gt;Assumptions!$B$6),AND(G796&gt;0,ABS(K796)&gt;Assumptions!$B$6)),"EXCEPTION","OK")</f>
        <v>OK</v>
      </c>
    </row>
    <row r="797" customFormat="false" ht="15" hidden="false" customHeight="false" outlineLevel="0" collapsed="false">
      <c r="A797" s="16" t="str">
        <f aca="false">Purchase_Orders!A794</f>
        <v>PO10793</v>
      </c>
      <c r="B797" s="16" t="str">
        <f aca="false">Purchase_Orders!B794</f>
        <v>V1028</v>
      </c>
      <c r="C797" s="16" t="str">
        <f aca="false">IFERROR(INDEX(Vendor_Master!$B$2:$B$41,MATCH(B797,Vendor_Master!$A$2:$A$41,0)),"Unknown Vendor")</f>
        <v>Potter, Mack and Peterson</v>
      </c>
      <c r="D797" s="17" t="n">
        <f aca="false">Purchase_Orders!C794</f>
        <v>45843</v>
      </c>
      <c r="E797" s="18" t="n">
        <f aca="false">Purchase_Orders!D794</f>
        <v>474.6</v>
      </c>
      <c r="F797" s="18" t="n">
        <f aca="false">SUMIFS(Goods_Receipt_Notes!$D$2:$D$791,Goods_Receipt_Notes!$B$2:$B$791,A797)</f>
        <v>0</v>
      </c>
      <c r="G797" s="18" t="n">
        <f aca="false">SUMIFS(Vendor_Invoices_AP!$E$2:$E$882,Vendor_Invoices_AP!$B$2:$B$882,A797)</f>
        <v>474.6</v>
      </c>
      <c r="H797" s="16" t="str">
        <f aca="false">IF(F797=0,"Not Received","Received")</f>
        <v>Not Received</v>
      </c>
      <c r="I797" s="16" t="str">
        <f aca="false">IF(G797=0,"Not Invoiced","Invoiced")</f>
        <v>Invoiced</v>
      </c>
      <c r="J797" s="18" t="n">
        <f aca="false">E797-F797</f>
        <v>474.6</v>
      </c>
      <c r="K797" s="18" t="n">
        <f aca="false">E797-G797</f>
        <v>0</v>
      </c>
      <c r="L797" s="16" t="str">
        <f aca="false">IF(OR(AND(I797="Invoiced",H797="Not Received"),AND(F797&gt;0,ABS(J797)&gt;Assumptions!$B$6),AND(G797&gt;0,ABS(K797)&gt;Assumptions!$B$6)),"EXCEPTION","OK")</f>
        <v>EXCEPTION</v>
      </c>
    </row>
    <row r="798" customFormat="false" ht="15" hidden="false" customHeight="false" outlineLevel="0" collapsed="false">
      <c r="A798" s="16" t="str">
        <f aca="false">Purchase_Orders!A795</f>
        <v>PO10794</v>
      </c>
      <c r="B798" s="16" t="str">
        <f aca="false">Purchase_Orders!B795</f>
        <v>V1023</v>
      </c>
      <c r="C798" s="16" t="str">
        <f aca="false">IFERROR(INDEX(Vendor_Master!$B$2:$B$41,MATCH(B798,Vendor_Master!$A$2:$A$41,0)),"Unknown Vendor")</f>
        <v>Robinson-Bright</v>
      </c>
      <c r="D798" s="17" t="n">
        <f aca="false">Purchase_Orders!C795</f>
        <v>45661</v>
      </c>
      <c r="E798" s="18" t="n">
        <f aca="false">Purchase_Orders!D795</f>
        <v>857.39</v>
      </c>
      <c r="F798" s="18" t="n">
        <f aca="false">SUMIFS(Goods_Receipt_Notes!$D$2:$D$791,Goods_Receipt_Notes!$B$2:$B$791,A798)</f>
        <v>857.39</v>
      </c>
      <c r="G798" s="18" t="n">
        <f aca="false">SUMIFS(Vendor_Invoices_AP!$E$2:$E$882,Vendor_Invoices_AP!$B$2:$B$882,A798)</f>
        <v>857.39</v>
      </c>
      <c r="H798" s="16" t="str">
        <f aca="false">IF(F798=0,"Not Received","Received")</f>
        <v>Received</v>
      </c>
      <c r="I798" s="16" t="str">
        <f aca="false">IF(G798=0,"Not Invoiced","Invoiced")</f>
        <v>Invoiced</v>
      </c>
      <c r="J798" s="18" t="n">
        <f aca="false">E798-F798</f>
        <v>0</v>
      </c>
      <c r="K798" s="18" t="n">
        <f aca="false">E798-G798</f>
        <v>0</v>
      </c>
      <c r="L798" s="16" t="str">
        <f aca="false">IF(OR(AND(I798="Invoiced",H798="Not Received"),AND(F798&gt;0,ABS(J798)&gt;Assumptions!$B$6),AND(G798&gt;0,ABS(K798)&gt;Assumptions!$B$6)),"EXCEPTION","OK")</f>
        <v>OK</v>
      </c>
    </row>
    <row r="799" customFormat="false" ht="15" hidden="false" customHeight="false" outlineLevel="0" collapsed="false">
      <c r="A799" s="16" t="str">
        <f aca="false">Purchase_Orders!A796</f>
        <v>PO10795</v>
      </c>
      <c r="B799" s="16" t="str">
        <f aca="false">Purchase_Orders!B796</f>
        <v>V1003</v>
      </c>
      <c r="C799" s="16" t="str">
        <f aca="false">IFERROR(INDEX(Vendor_Master!$B$2:$B$41,MATCH(B799,Vendor_Master!$A$2:$A$41,0)),"Unknown Vendor")</f>
        <v>Johnson and Sons</v>
      </c>
      <c r="D799" s="17" t="n">
        <f aca="false">Purchase_Orders!C796</f>
        <v>46132</v>
      </c>
      <c r="E799" s="18" t="n">
        <f aca="false">Purchase_Orders!D796</f>
        <v>8319.43</v>
      </c>
      <c r="F799" s="18" t="n">
        <f aca="false">SUMIFS(Goods_Receipt_Notes!$D$2:$D$791,Goods_Receipt_Notes!$B$2:$B$791,A799)</f>
        <v>8319.43</v>
      </c>
      <c r="G799" s="18" t="n">
        <f aca="false">SUMIFS(Vendor_Invoices_AP!$E$2:$E$882,Vendor_Invoices_AP!$B$2:$B$882,A799)</f>
        <v>8319.43</v>
      </c>
      <c r="H799" s="16" t="str">
        <f aca="false">IF(F799=0,"Not Received","Received")</f>
        <v>Received</v>
      </c>
      <c r="I799" s="16" t="str">
        <f aca="false">IF(G799=0,"Not Invoiced","Invoiced")</f>
        <v>Invoiced</v>
      </c>
      <c r="J799" s="18" t="n">
        <f aca="false">E799-F799</f>
        <v>0</v>
      </c>
      <c r="K799" s="18" t="n">
        <f aca="false">E799-G799</f>
        <v>0</v>
      </c>
      <c r="L799" s="16" t="str">
        <f aca="false">IF(OR(AND(I799="Invoiced",H799="Not Received"),AND(F799&gt;0,ABS(J799)&gt;Assumptions!$B$6),AND(G799&gt;0,ABS(K799)&gt;Assumptions!$B$6)),"EXCEPTION","OK")</f>
        <v>OK</v>
      </c>
    </row>
    <row r="800" customFormat="false" ht="15" hidden="false" customHeight="false" outlineLevel="0" collapsed="false">
      <c r="A800" s="16" t="str">
        <f aca="false">Purchase_Orders!A797</f>
        <v>PO10796</v>
      </c>
      <c r="B800" s="16" t="str">
        <f aca="false">Purchase_Orders!B797</f>
        <v>V1030</v>
      </c>
      <c r="C800" s="16" t="str">
        <f aca="false">IFERROR(INDEX(Vendor_Master!$B$2:$B$41,MATCH(B800,Vendor_Master!$A$2:$A$41,0)),"Unknown Vendor")</f>
        <v>Stanton-Gill</v>
      </c>
      <c r="D800" s="17" t="n">
        <f aca="false">Purchase_Orders!C797</f>
        <v>45966</v>
      </c>
      <c r="E800" s="18" t="n">
        <f aca="false">Purchase_Orders!D797</f>
        <v>259.66</v>
      </c>
      <c r="F800" s="18" t="n">
        <f aca="false">SUMIFS(Goods_Receipt_Notes!$D$2:$D$791,Goods_Receipt_Notes!$B$2:$B$791,A800)</f>
        <v>259.66</v>
      </c>
      <c r="G800" s="18" t="n">
        <f aca="false">SUMIFS(Vendor_Invoices_AP!$E$2:$E$882,Vendor_Invoices_AP!$B$2:$B$882,A800)</f>
        <v>259.66</v>
      </c>
      <c r="H800" s="16" t="str">
        <f aca="false">IF(F800=0,"Not Received","Received")</f>
        <v>Received</v>
      </c>
      <c r="I800" s="16" t="str">
        <f aca="false">IF(G800=0,"Not Invoiced","Invoiced")</f>
        <v>Invoiced</v>
      </c>
      <c r="J800" s="18" t="n">
        <f aca="false">E800-F800</f>
        <v>0</v>
      </c>
      <c r="K800" s="18" t="n">
        <f aca="false">E800-G800</f>
        <v>0</v>
      </c>
      <c r="L800" s="16" t="str">
        <f aca="false">IF(OR(AND(I800="Invoiced",H800="Not Received"),AND(F800&gt;0,ABS(J800)&gt;Assumptions!$B$6),AND(G800&gt;0,ABS(K800)&gt;Assumptions!$B$6)),"EXCEPTION","OK")</f>
        <v>OK</v>
      </c>
    </row>
    <row r="801" customFormat="false" ht="15" hidden="false" customHeight="false" outlineLevel="0" collapsed="false">
      <c r="A801" s="16" t="str">
        <f aca="false">Purchase_Orders!A798</f>
        <v>PO10797</v>
      </c>
      <c r="B801" s="16" t="str">
        <f aca="false">Purchase_Orders!B798</f>
        <v>V1025</v>
      </c>
      <c r="C801" s="16" t="str">
        <f aca="false">IFERROR(INDEX(Vendor_Master!$B$2:$B$41,MATCH(B801,Vendor_Master!$A$2:$A$41,0)),"Unknown Vendor")</f>
        <v>Conner Group</v>
      </c>
      <c r="D801" s="17" t="n">
        <f aca="false">Purchase_Orders!C798</f>
        <v>45876</v>
      </c>
      <c r="E801" s="18" t="n">
        <f aca="false">Purchase_Orders!D798</f>
        <v>1164.71</v>
      </c>
      <c r="F801" s="18" t="n">
        <f aca="false">SUMIFS(Goods_Receipt_Notes!$D$2:$D$791,Goods_Receipt_Notes!$B$2:$B$791,A801)</f>
        <v>1164.71</v>
      </c>
      <c r="G801" s="18" t="n">
        <f aca="false">SUMIFS(Vendor_Invoices_AP!$E$2:$E$882,Vendor_Invoices_AP!$B$2:$B$882,A801)</f>
        <v>1164.71</v>
      </c>
      <c r="H801" s="16" t="str">
        <f aca="false">IF(F801=0,"Not Received","Received")</f>
        <v>Received</v>
      </c>
      <c r="I801" s="16" t="str">
        <f aca="false">IF(G801=0,"Not Invoiced","Invoiced")</f>
        <v>Invoiced</v>
      </c>
      <c r="J801" s="18" t="n">
        <f aca="false">E801-F801</f>
        <v>0</v>
      </c>
      <c r="K801" s="18" t="n">
        <f aca="false">E801-G801</f>
        <v>0</v>
      </c>
      <c r="L801" s="16" t="str">
        <f aca="false">IF(OR(AND(I801="Invoiced",H801="Not Received"),AND(F801&gt;0,ABS(J801)&gt;Assumptions!$B$6),AND(G801&gt;0,ABS(K801)&gt;Assumptions!$B$6)),"EXCEPTION","OK")</f>
        <v>OK</v>
      </c>
    </row>
    <row r="802" customFormat="false" ht="15" hidden="false" customHeight="false" outlineLevel="0" collapsed="false">
      <c r="A802" s="16" t="str">
        <f aca="false">Purchase_Orders!A799</f>
        <v>PO10798</v>
      </c>
      <c r="B802" s="16" t="str">
        <f aca="false">Purchase_Orders!B799</f>
        <v>V1002</v>
      </c>
      <c r="C802" s="16" t="str">
        <f aca="false">IFERROR(INDEX(Vendor_Master!$B$2:$B$41,MATCH(B802,Vendor_Master!$A$2:$A$41,0)),"Unknown Vendor")</f>
        <v>Garcia, Yang and Gardner</v>
      </c>
      <c r="D802" s="17" t="n">
        <f aca="false">Purchase_Orders!C799</f>
        <v>45735</v>
      </c>
      <c r="E802" s="18" t="n">
        <f aca="false">Purchase_Orders!D799</f>
        <v>820.16</v>
      </c>
      <c r="F802" s="18" t="n">
        <f aca="false">SUMIFS(Goods_Receipt_Notes!$D$2:$D$791,Goods_Receipt_Notes!$B$2:$B$791,A802)</f>
        <v>820.16</v>
      </c>
      <c r="G802" s="18" t="n">
        <f aca="false">SUMIFS(Vendor_Invoices_AP!$E$2:$E$882,Vendor_Invoices_AP!$B$2:$B$882,A802)</f>
        <v>820.16</v>
      </c>
      <c r="H802" s="16" t="str">
        <f aca="false">IF(F802=0,"Not Received","Received")</f>
        <v>Received</v>
      </c>
      <c r="I802" s="16" t="str">
        <f aca="false">IF(G802=0,"Not Invoiced","Invoiced")</f>
        <v>Invoiced</v>
      </c>
      <c r="J802" s="18" t="n">
        <f aca="false">E802-F802</f>
        <v>0</v>
      </c>
      <c r="K802" s="18" t="n">
        <f aca="false">E802-G802</f>
        <v>0</v>
      </c>
      <c r="L802" s="16" t="str">
        <f aca="false">IF(OR(AND(I802="Invoiced",H802="Not Received"),AND(F802&gt;0,ABS(J802)&gt;Assumptions!$B$6),AND(G802&gt;0,ABS(K802)&gt;Assumptions!$B$6)),"EXCEPTION","OK")</f>
        <v>OK</v>
      </c>
    </row>
    <row r="803" customFormat="false" ht="15" hidden="false" customHeight="false" outlineLevel="0" collapsed="false">
      <c r="A803" s="16" t="str">
        <f aca="false">Purchase_Orders!A800</f>
        <v>PO10799</v>
      </c>
      <c r="B803" s="16" t="str">
        <f aca="false">Purchase_Orders!B800</f>
        <v>V1030</v>
      </c>
      <c r="C803" s="16" t="str">
        <f aca="false">IFERROR(INDEX(Vendor_Master!$B$2:$B$41,MATCH(B803,Vendor_Master!$A$2:$A$41,0)),"Unknown Vendor")</f>
        <v>Stanton-Gill</v>
      </c>
      <c r="D803" s="17" t="n">
        <f aca="false">Purchase_Orders!C800</f>
        <v>46003</v>
      </c>
      <c r="E803" s="18" t="n">
        <f aca="false">Purchase_Orders!D800</f>
        <v>309.11</v>
      </c>
      <c r="F803" s="18" t="n">
        <f aca="false">SUMIFS(Goods_Receipt_Notes!$D$2:$D$791,Goods_Receipt_Notes!$B$2:$B$791,A803)</f>
        <v>309.11</v>
      </c>
      <c r="G803" s="18" t="n">
        <f aca="false">SUMIFS(Vendor_Invoices_AP!$E$2:$E$882,Vendor_Invoices_AP!$B$2:$B$882,A803)</f>
        <v>309.11</v>
      </c>
      <c r="H803" s="16" t="str">
        <f aca="false">IF(F803=0,"Not Received","Received")</f>
        <v>Received</v>
      </c>
      <c r="I803" s="16" t="str">
        <f aca="false">IF(G803=0,"Not Invoiced","Invoiced")</f>
        <v>Invoiced</v>
      </c>
      <c r="J803" s="18" t="n">
        <f aca="false">E803-F803</f>
        <v>0</v>
      </c>
      <c r="K803" s="18" t="n">
        <f aca="false">E803-G803</f>
        <v>0</v>
      </c>
      <c r="L803" s="16" t="str">
        <f aca="false">IF(OR(AND(I803="Invoiced",H803="Not Received"),AND(F803&gt;0,ABS(J803)&gt;Assumptions!$B$6),AND(G803&gt;0,ABS(K803)&gt;Assumptions!$B$6)),"EXCEPTION","OK")</f>
        <v>OK</v>
      </c>
    </row>
    <row r="804" customFormat="false" ht="15" hidden="false" customHeight="false" outlineLevel="0" collapsed="false">
      <c r="A804" s="16" t="str">
        <f aca="false">Purchase_Orders!A801</f>
        <v>PO10800</v>
      </c>
      <c r="B804" s="16" t="str">
        <f aca="false">Purchase_Orders!B801</f>
        <v>V1024</v>
      </c>
      <c r="C804" s="16" t="str">
        <f aca="false">IFERROR(INDEX(Vendor_Master!$B$2:$B$41,MATCH(B804,Vendor_Master!$A$2:$A$41,0)),"Unknown Vendor")</f>
        <v>Campos Inc</v>
      </c>
      <c r="D804" s="17" t="n">
        <f aca="false">Purchase_Orders!C801</f>
        <v>45674</v>
      </c>
      <c r="E804" s="18" t="n">
        <f aca="false">Purchase_Orders!D801</f>
        <v>1722.25</v>
      </c>
      <c r="F804" s="18" t="n">
        <f aca="false">SUMIFS(Goods_Receipt_Notes!$D$2:$D$791,Goods_Receipt_Notes!$B$2:$B$791,A804)</f>
        <v>1722.25</v>
      </c>
      <c r="G804" s="18" t="n">
        <f aca="false">SUMIFS(Vendor_Invoices_AP!$E$2:$E$882,Vendor_Invoices_AP!$B$2:$B$882,A804)</f>
        <v>1722.25</v>
      </c>
      <c r="H804" s="16" t="str">
        <f aca="false">IF(F804=0,"Not Received","Received")</f>
        <v>Received</v>
      </c>
      <c r="I804" s="16" t="str">
        <f aca="false">IF(G804=0,"Not Invoiced","Invoiced")</f>
        <v>Invoiced</v>
      </c>
      <c r="J804" s="18" t="n">
        <f aca="false">E804-F804</f>
        <v>0</v>
      </c>
      <c r="K804" s="18" t="n">
        <f aca="false">E804-G804</f>
        <v>0</v>
      </c>
      <c r="L804" s="16" t="str">
        <f aca="false">IF(OR(AND(I804="Invoiced",H804="Not Received"),AND(F804&gt;0,ABS(J804)&gt;Assumptions!$B$6),AND(G804&gt;0,ABS(K804)&gt;Assumptions!$B$6)),"EXCEPTION","OK")</f>
        <v>OK</v>
      </c>
    </row>
    <row r="805" customFormat="false" ht="15" hidden="false" customHeight="false" outlineLevel="0" collapsed="false">
      <c r="A805" s="16" t="str">
        <f aca="false">Purchase_Orders!A802</f>
        <v>PO10801</v>
      </c>
      <c r="B805" s="16" t="str">
        <f aca="false">Purchase_Orders!B802</f>
        <v>V1004</v>
      </c>
      <c r="C805" s="16" t="str">
        <f aca="false">IFERROR(INDEX(Vendor_Master!$B$2:$B$41,MATCH(B805,Vendor_Master!$A$2:$A$41,0)),"Unknown Vendor")</f>
        <v>Johnson, Gonzalez and Santos</v>
      </c>
      <c r="D805" s="17" t="n">
        <f aca="false">Purchase_Orders!C802</f>
        <v>46064</v>
      </c>
      <c r="E805" s="18" t="n">
        <f aca="false">Purchase_Orders!D802</f>
        <v>1834.48</v>
      </c>
      <c r="F805" s="18" t="n">
        <f aca="false">SUMIFS(Goods_Receipt_Notes!$D$2:$D$791,Goods_Receipt_Notes!$B$2:$B$791,A805)</f>
        <v>1651.6</v>
      </c>
      <c r="G805" s="18" t="n">
        <f aca="false">SUMIFS(Vendor_Invoices_AP!$E$2:$E$882,Vendor_Invoices_AP!$B$2:$B$882,A805)</f>
        <v>1834.48</v>
      </c>
      <c r="H805" s="16" t="str">
        <f aca="false">IF(F805=0,"Not Received","Received")</f>
        <v>Received</v>
      </c>
      <c r="I805" s="16" t="str">
        <f aca="false">IF(G805=0,"Not Invoiced","Invoiced")</f>
        <v>Invoiced</v>
      </c>
      <c r="J805" s="18" t="n">
        <f aca="false">E805-F805</f>
        <v>182.88</v>
      </c>
      <c r="K805" s="18" t="n">
        <f aca="false">E805-G805</f>
        <v>0</v>
      </c>
      <c r="L805" s="16" t="str">
        <f aca="false">IF(OR(AND(I805="Invoiced",H805="Not Received"),AND(F805&gt;0,ABS(J805)&gt;Assumptions!$B$6),AND(G805&gt;0,ABS(K805)&gt;Assumptions!$B$6)),"EXCEPTION","OK")</f>
        <v>EXCEPTION</v>
      </c>
    </row>
    <row r="806" customFormat="false" ht="15" hidden="false" customHeight="false" outlineLevel="0" collapsed="false">
      <c r="A806" s="16" t="str">
        <f aca="false">Purchase_Orders!A803</f>
        <v>PO10802</v>
      </c>
      <c r="B806" s="16" t="str">
        <f aca="false">Purchase_Orders!B803</f>
        <v>V1025</v>
      </c>
      <c r="C806" s="16" t="str">
        <f aca="false">IFERROR(INDEX(Vendor_Master!$B$2:$B$41,MATCH(B806,Vendor_Master!$A$2:$A$41,0)),"Unknown Vendor")</f>
        <v>Conner Group</v>
      </c>
      <c r="D806" s="17" t="n">
        <f aca="false">Purchase_Orders!C803</f>
        <v>45775</v>
      </c>
      <c r="E806" s="18" t="n">
        <f aca="false">Purchase_Orders!D803</f>
        <v>2011.1</v>
      </c>
      <c r="F806" s="18" t="n">
        <f aca="false">SUMIFS(Goods_Receipt_Notes!$D$2:$D$791,Goods_Receipt_Notes!$B$2:$B$791,A806)</f>
        <v>2011.1</v>
      </c>
      <c r="G806" s="18" t="n">
        <f aca="false">SUMIFS(Vendor_Invoices_AP!$E$2:$E$882,Vendor_Invoices_AP!$B$2:$B$882,A806)</f>
        <v>2011.1</v>
      </c>
      <c r="H806" s="16" t="str">
        <f aca="false">IF(F806=0,"Not Received","Received")</f>
        <v>Received</v>
      </c>
      <c r="I806" s="16" t="str">
        <f aca="false">IF(G806=0,"Not Invoiced","Invoiced")</f>
        <v>Invoiced</v>
      </c>
      <c r="J806" s="18" t="n">
        <f aca="false">E806-F806</f>
        <v>0</v>
      </c>
      <c r="K806" s="18" t="n">
        <f aca="false">E806-G806</f>
        <v>0</v>
      </c>
      <c r="L806" s="16" t="str">
        <f aca="false">IF(OR(AND(I806="Invoiced",H806="Not Received"),AND(F806&gt;0,ABS(J806)&gt;Assumptions!$B$6),AND(G806&gt;0,ABS(K806)&gt;Assumptions!$B$6)),"EXCEPTION","OK")</f>
        <v>OK</v>
      </c>
    </row>
    <row r="807" customFormat="false" ht="15" hidden="false" customHeight="false" outlineLevel="0" collapsed="false">
      <c r="A807" s="16" t="str">
        <f aca="false">Purchase_Orders!A804</f>
        <v>PO10803</v>
      </c>
      <c r="B807" s="16" t="str">
        <f aca="false">Purchase_Orders!B804</f>
        <v>V1004</v>
      </c>
      <c r="C807" s="16" t="str">
        <f aca="false">IFERROR(INDEX(Vendor_Master!$B$2:$B$41,MATCH(B807,Vendor_Master!$A$2:$A$41,0)),"Unknown Vendor")</f>
        <v>Johnson, Gonzalez and Santos</v>
      </c>
      <c r="D807" s="17" t="n">
        <f aca="false">Purchase_Orders!C804</f>
        <v>45886</v>
      </c>
      <c r="E807" s="18" t="n">
        <f aca="false">Purchase_Orders!D804</f>
        <v>1373.43</v>
      </c>
      <c r="F807" s="18" t="n">
        <f aca="false">SUMIFS(Goods_Receipt_Notes!$D$2:$D$791,Goods_Receipt_Notes!$B$2:$B$791,A807)</f>
        <v>1373.43</v>
      </c>
      <c r="G807" s="18" t="n">
        <f aca="false">SUMIFS(Vendor_Invoices_AP!$E$2:$E$882,Vendor_Invoices_AP!$B$2:$B$882,A807)</f>
        <v>1373.43</v>
      </c>
      <c r="H807" s="16" t="str">
        <f aca="false">IF(F807=0,"Not Received","Received")</f>
        <v>Received</v>
      </c>
      <c r="I807" s="16" t="str">
        <f aca="false">IF(G807=0,"Not Invoiced","Invoiced")</f>
        <v>Invoiced</v>
      </c>
      <c r="J807" s="18" t="n">
        <f aca="false">E807-F807</f>
        <v>0</v>
      </c>
      <c r="K807" s="18" t="n">
        <f aca="false">E807-G807</f>
        <v>0</v>
      </c>
      <c r="L807" s="16" t="str">
        <f aca="false">IF(OR(AND(I807="Invoiced",H807="Not Received"),AND(F807&gt;0,ABS(J807)&gt;Assumptions!$B$6),AND(G807&gt;0,ABS(K807)&gt;Assumptions!$B$6)),"EXCEPTION","OK")</f>
        <v>OK</v>
      </c>
    </row>
    <row r="808" customFormat="false" ht="15" hidden="false" customHeight="false" outlineLevel="0" collapsed="false">
      <c r="A808" s="16" t="str">
        <f aca="false">Purchase_Orders!A805</f>
        <v>PO10804</v>
      </c>
      <c r="B808" s="16" t="str">
        <f aca="false">Purchase_Orders!B805</f>
        <v>V1037</v>
      </c>
      <c r="C808" s="16" t="str">
        <f aca="false">IFERROR(INDEX(Vendor_Master!$B$2:$B$41,MATCH(B808,Vendor_Master!$A$2:$A$41,0)),"Unknown Vendor")</f>
        <v>Cannon, Anderson and Alvarez</v>
      </c>
      <c r="D808" s="17" t="n">
        <f aca="false">Purchase_Orders!C805</f>
        <v>45843</v>
      </c>
      <c r="E808" s="18" t="n">
        <f aca="false">Purchase_Orders!D805</f>
        <v>2804.48</v>
      </c>
      <c r="F808" s="18" t="n">
        <f aca="false">SUMIFS(Goods_Receipt_Notes!$D$2:$D$791,Goods_Receipt_Notes!$B$2:$B$791,A808)</f>
        <v>2804.48</v>
      </c>
      <c r="G808" s="18" t="n">
        <f aca="false">SUMIFS(Vendor_Invoices_AP!$E$2:$E$882,Vendor_Invoices_AP!$B$2:$B$882,A808)</f>
        <v>2804.48</v>
      </c>
      <c r="H808" s="16" t="str">
        <f aca="false">IF(F808=0,"Not Received","Received")</f>
        <v>Received</v>
      </c>
      <c r="I808" s="16" t="str">
        <f aca="false">IF(G808=0,"Not Invoiced","Invoiced")</f>
        <v>Invoiced</v>
      </c>
      <c r="J808" s="18" t="n">
        <f aca="false">E808-F808</f>
        <v>0</v>
      </c>
      <c r="K808" s="18" t="n">
        <f aca="false">E808-G808</f>
        <v>0</v>
      </c>
      <c r="L808" s="16" t="str">
        <f aca="false">IF(OR(AND(I808="Invoiced",H808="Not Received"),AND(F808&gt;0,ABS(J808)&gt;Assumptions!$B$6),AND(G808&gt;0,ABS(K808)&gt;Assumptions!$B$6)),"EXCEPTION","OK")</f>
        <v>OK</v>
      </c>
    </row>
    <row r="809" customFormat="false" ht="15" hidden="false" customHeight="false" outlineLevel="0" collapsed="false">
      <c r="A809" s="16" t="str">
        <f aca="false">Purchase_Orders!A806</f>
        <v>PO10805</v>
      </c>
      <c r="B809" s="16" t="str">
        <f aca="false">Purchase_Orders!B806</f>
        <v>V1036</v>
      </c>
      <c r="C809" s="16" t="str">
        <f aca="false">IFERROR(INDEX(Vendor_Master!$B$2:$B$41,MATCH(B809,Vendor_Master!$A$2:$A$41,0)),"Unknown Vendor")</f>
        <v>Dennis Inc</v>
      </c>
      <c r="D809" s="17" t="n">
        <f aca="false">Purchase_Orders!C806</f>
        <v>45859</v>
      </c>
      <c r="E809" s="18" t="n">
        <f aca="false">Purchase_Orders!D806</f>
        <v>241.56</v>
      </c>
      <c r="F809" s="18" t="n">
        <f aca="false">SUMIFS(Goods_Receipt_Notes!$D$2:$D$791,Goods_Receipt_Notes!$B$2:$B$791,A809)</f>
        <v>241.56</v>
      </c>
      <c r="G809" s="18" t="n">
        <f aca="false">SUMIFS(Vendor_Invoices_AP!$E$2:$E$882,Vendor_Invoices_AP!$B$2:$B$882,A809)</f>
        <v>241.56</v>
      </c>
      <c r="H809" s="16" t="str">
        <f aca="false">IF(F809=0,"Not Received","Received")</f>
        <v>Received</v>
      </c>
      <c r="I809" s="16" t="str">
        <f aca="false">IF(G809=0,"Not Invoiced","Invoiced")</f>
        <v>Invoiced</v>
      </c>
      <c r="J809" s="18" t="n">
        <f aca="false">E809-F809</f>
        <v>0</v>
      </c>
      <c r="K809" s="18" t="n">
        <f aca="false">E809-G809</f>
        <v>0</v>
      </c>
      <c r="L809" s="16" t="str">
        <f aca="false">IF(OR(AND(I809="Invoiced",H809="Not Received"),AND(F809&gt;0,ABS(J809)&gt;Assumptions!$B$6),AND(G809&gt;0,ABS(K809)&gt;Assumptions!$B$6)),"EXCEPTION","OK")</f>
        <v>OK</v>
      </c>
    </row>
    <row r="810" customFormat="false" ht="15" hidden="false" customHeight="false" outlineLevel="0" collapsed="false">
      <c r="A810" s="16" t="str">
        <f aca="false">Purchase_Orders!A807</f>
        <v>PO10806</v>
      </c>
      <c r="B810" s="16" t="str">
        <f aca="false">Purchase_Orders!B807</f>
        <v>V1024</v>
      </c>
      <c r="C810" s="16" t="str">
        <f aca="false">IFERROR(INDEX(Vendor_Master!$B$2:$B$41,MATCH(B810,Vendor_Master!$A$2:$A$41,0)),"Unknown Vendor")</f>
        <v>Campos Inc</v>
      </c>
      <c r="D810" s="17" t="n">
        <f aca="false">Purchase_Orders!C807</f>
        <v>46051</v>
      </c>
      <c r="E810" s="18" t="n">
        <f aca="false">Purchase_Orders!D807</f>
        <v>2328.97</v>
      </c>
      <c r="F810" s="18" t="n">
        <f aca="false">SUMIFS(Goods_Receipt_Notes!$D$2:$D$791,Goods_Receipt_Notes!$B$2:$B$791,A810)</f>
        <v>2328.97</v>
      </c>
      <c r="G810" s="18" t="n">
        <f aca="false">SUMIFS(Vendor_Invoices_AP!$E$2:$E$882,Vendor_Invoices_AP!$B$2:$B$882,A810)</f>
        <v>2328.97</v>
      </c>
      <c r="H810" s="16" t="str">
        <f aca="false">IF(F810=0,"Not Received","Received")</f>
        <v>Received</v>
      </c>
      <c r="I810" s="16" t="str">
        <f aca="false">IF(G810=0,"Not Invoiced","Invoiced")</f>
        <v>Invoiced</v>
      </c>
      <c r="J810" s="18" t="n">
        <f aca="false">E810-F810</f>
        <v>0</v>
      </c>
      <c r="K810" s="18" t="n">
        <f aca="false">E810-G810</f>
        <v>0</v>
      </c>
      <c r="L810" s="16" t="str">
        <f aca="false">IF(OR(AND(I810="Invoiced",H810="Not Received"),AND(F810&gt;0,ABS(J810)&gt;Assumptions!$B$6),AND(G810&gt;0,ABS(K810)&gt;Assumptions!$B$6)),"EXCEPTION","OK")</f>
        <v>OK</v>
      </c>
    </row>
    <row r="811" customFormat="false" ht="15" hidden="false" customHeight="false" outlineLevel="0" collapsed="false">
      <c r="A811" s="16" t="str">
        <f aca="false">Purchase_Orders!A808</f>
        <v>PO10807</v>
      </c>
      <c r="B811" s="16" t="str">
        <f aca="false">Purchase_Orders!B808</f>
        <v>V1030</v>
      </c>
      <c r="C811" s="16" t="str">
        <f aca="false">IFERROR(INDEX(Vendor_Master!$B$2:$B$41,MATCH(B811,Vendor_Master!$A$2:$A$41,0)),"Unknown Vendor")</f>
        <v>Stanton-Gill</v>
      </c>
      <c r="D811" s="17" t="n">
        <f aca="false">Purchase_Orders!C808</f>
        <v>46081</v>
      </c>
      <c r="E811" s="18" t="n">
        <f aca="false">Purchase_Orders!D808</f>
        <v>830.55</v>
      </c>
      <c r="F811" s="18" t="n">
        <f aca="false">SUMIFS(Goods_Receipt_Notes!$D$2:$D$791,Goods_Receipt_Notes!$B$2:$B$791,A811)</f>
        <v>830.55</v>
      </c>
      <c r="G811" s="18" t="n">
        <f aca="false">SUMIFS(Vendor_Invoices_AP!$E$2:$E$882,Vendor_Invoices_AP!$B$2:$B$882,A811)</f>
        <v>830.55</v>
      </c>
      <c r="H811" s="16" t="str">
        <f aca="false">IF(F811=0,"Not Received","Received")</f>
        <v>Received</v>
      </c>
      <c r="I811" s="16" t="str">
        <f aca="false">IF(G811=0,"Not Invoiced","Invoiced")</f>
        <v>Invoiced</v>
      </c>
      <c r="J811" s="18" t="n">
        <f aca="false">E811-F811</f>
        <v>0</v>
      </c>
      <c r="K811" s="18" t="n">
        <f aca="false">E811-G811</f>
        <v>0</v>
      </c>
      <c r="L811" s="16" t="str">
        <f aca="false">IF(OR(AND(I811="Invoiced",H811="Not Received"),AND(F811&gt;0,ABS(J811)&gt;Assumptions!$B$6),AND(G811&gt;0,ABS(K811)&gt;Assumptions!$B$6)),"EXCEPTION","OK")</f>
        <v>OK</v>
      </c>
    </row>
    <row r="812" customFormat="false" ht="15" hidden="false" customHeight="false" outlineLevel="0" collapsed="false">
      <c r="A812" s="16" t="str">
        <f aca="false">Purchase_Orders!A809</f>
        <v>PO10808</v>
      </c>
      <c r="B812" s="16" t="str">
        <f aca="false">Purchase_Orders!B809</f>
        <v>V1029</v>
      </c>
      <c r="C812" s="16" t="str">
        <f aca="false">IFERROR(INDEX(Vendor_Master!$B$2:$B$41,MATCH(B812,Vendor_Master!$A$2:$A$41,0)),"Unknown Vendor")</f>
        <v>Chavez Ltd</v>
      </c>
      <c r="D812" s="17" t="n">
        <f aca="false">Purchase_Orders!C809</f>
        <v>45967</v>
      </c>
      <c r="E812" s="18" t="n">
        <f aca="false">Purchase_Orders!D809</f>
        <v>1962.84</v>
      </c>
      <c r="F812" s="18" t="n">
        <f aca="false">SUMIFS(Goods_Receipt_Notes!$D$2:$D$791,Goods_Receipt_Notes!$B$2:$B$791,A812)</f>
        <v>1962.84</v>
      </c>
      <c r="G812" s="18" t="n">
        <f aca="false">SUMIFS(Vendor_Invoices_AP!$E$2:$E$882,Vendor_Invoices_AP!$B$2:$B$882,A812)</f>
        <v>1962.84</v>
      </c>
      <c r="H812" s="16" t="str">
        <f aca="false">IF(F812=0,"Not Received","Received")</f>
        <v>Received</v>
      </c>
      <c r="I812" s="16" t="str">
        <f aca="false">IF(G812=0,"Not Invoiced","Invoiced")</f>
        <v>Invoiced</v>
      </c>
      <c r="J812" s="18" t="n">
        <f aca="false">E812-F812</f>
        <v>0</v>
      </c>
      <c r="K812" s="18" t="n">
        <f aca="false">E812-G812</f>
        <v>0</v>
      </c>
      <c r="L812" s="16" t="str">
        <f aca="false">IF(OR(AND(I812="Invoiced",H812="Not Received"),AND(F812&gt;0,ABS(J812)&gt;Assumptions!$B$6),AND(G812&gt;0,ABS(K812)&gt;Assumptions!$B$6)),"EXCEPTION","OK")</f>
        <v>OK</v>
      </c>
    </row>
    <row r="813" customFormat="false" ht="15" hidden="false" customHeight="false" outlineLevel="0" collapsed="false">
      <c r="A813" s="16" t="str">
        <f aca="false">Purchase_Orders!A810</f>
        <v>PO10809</v>
      </c>
      <c r="B813" s="16" t="str">
        <f aca="false">Purchase_Orders!B810</f>
        <v>V1026</v>
      </c>
      <c r="C813" s="16" t="str">
        <f aca="false">IFERROR(INDEX(Vendor_Master!$B$2:$B$41,MATCH(B813,Vendor_Master!$A$2:$A$41,0)),"Unknown Vendor")</f>
        <v>James-Ferrell</v>
      </c>
      <c r="D813" s="17" t="n">
        <f aca="false">Purchase_Orders!C810</f>
        <v>45704</v>
      </c>
      <c r="E813" s="18" t="n">
        <f aca="false">Purchase_Orders!D810</f>
        <v>254.85</v>
      </c>
      <c r="F813" s="18" t="n">
        <f aca="false">SUMIFS(Goods_Receipt_Notes!$D$2:$D$791,Goods_Receipt_Notes!$B$2:$B$791,A813)</f>
        <v>254.85</v>
      </c>
      <c r="G813" s="18" t="n">
        <f aca="false">SUMIFS(Vendor_Invoices_AP!$E$2:$E$882,Vendor_Invoices_AP!$B$2:$B$882,A813)</f>
        <v>254.85</v>
      </c>
      <c r="H813" s="16" t="str">
        <f aca="false">IF(F813=0,"Not Received","Received")</f>
        <v>Received</v>
      </c>
      <c r="I813" s="16" t="str">
        <f aca="false">IF(G813=0,"Not Invoiced","Invoiced")</f>
        <v>Invoiced</v>
      </c>
      <c r="J813" s="18" t="n">
        <f aca="false">E813-F813</f>
        <v>0</v>
      </c>
      <c r="K813" s="18" t="n">
        <f aca="false">E813-G813</f>
        <v>0</v>
      </c>
      <c r="L813" s="16" t="str">
        <f aca="false">IF(OR(AND(I813="Invoiced",H813="Not Received"),AND(F813&gt;0,ABS(J813)&gt;Assumptions!$B$6),AND(G813&gt;0,ABS(K813)&gt;Assumptions!$B$6)),"EXCEPTION","OK")</f>
        <v>OK</v>
      </c>
    </row>
    <row r="814" customFormat="false" ht="15" hidden="false" customHeight="false" outlineLevel="0" collapsed="false">
      <c r="A814" s="16" t="str">
        <f aca="false">Purchase_Orders!A811</f>
        <v>PO10810</v>
      </c>
      <c r="B814" s="16" t="str">
        <f aca="false">Purchase_Orders!B811</f>
        <v>V1038</v>
      </c>
      <c r="C814" s="16" t="str">
        <f aca="false">IFERROR(INDEX(Vendor_Master!$B$2:$B$41,MATCH(B814,Vendor_Master!$A$2:$A$41,0)),"Unknown Vendor")</f>
        <v>Rose-Obrien</v>
      </c>
      <c r="D814" s="17" t="n">
        <f aca="false">Purchase_Orders!C811</f>
        <v>45686</v>
      </c>
      <c r="E814" s="18" t="n">
        <f aca="false">Purchase_Orders!D811</f>
        <v>2755.05</v>
      </c>
      <c r="F814" s="18" t="n">
        <f aca="false">SUMIFS(Goods_Receipt_Notes!$D$2:$D$791,Goods_Receipt_Notes!$B$2:$B$791,A814)</f>
        <v>2755.05</v>
      </c>
      <c r="G814" s="18" t="n">
        <f aca="false">SUMIFS(Vendor_Invoices_AP!$E$2:$E$882,Vendor_Invoices_AP!$B$2:$B$882,A814)</f>
        <v>2755.05</v>
      </c>
      <c r="H814" s="16" t="str">
        <f aca="false">IF(F814=0,"Not Received","Received")</f>
        <v>Received</v>
      </c>
      <c r="I814" s="16" t="str">
        <f aca="false">IF(G814=0,"Not Invoiced","Invoiced")</f>
        <v>Invoiced</v>
      </c>
      <c r="J814" s="18" t="n">
        <f aca="false">E814-F814</f>
        <v>0</v>
      </c>
      <c r="K814" s="18" t="n">
        <f aca="false">E814-G814</f>
        <v>0</v>
      </c>
      <c r="L814" s="16" t="str">
        <f aca="false">IF(OR(AND(I814="Invoiced",H814="Not Received"),AND(F814&gt;0,ABS(J814)&gt;Assumptions!$B$6),AND(G814&gt;0,ABS(K814)&gt;Assumptions!$B$6)),"EXCEPTION","OK")</f>
        <v>OK</v>
      </c>
    </row>
    <row r="815" customFormat="false" ht="15" hidden="false" customHeight="false" outlineLevel="0" collapsed="false">
      <c r="A815" s="16" t="str">
        <f aca="false">Purchase_Orders!A812</f>
        <v>PO10811</v>
      </c>
      <c r="B815" s="16" t="str">
        <f aca="false">Purchase_Orders!B812</f>
        <v>V1023</v>
      </c>
      <c r="C815" s="16" t="str">
        <f aca="false">IFERROR(INDEX(Vendor_Master!$B$2:$B$41,MATCH(B815,Vendor_Master!$A$2:$A$41,0)),"Unknown Vendor")</f>
        <v>Robinson-Bright</v>
      </c>
      <c r="D815" s="17" t="n">
        <f aca="false">Purchase_Orders!C812</f>
        <v>45743</v>
      </c>
      <c r="E815" s="18" t="n">
        <f aca="false">Purchase_Orders!D812</f>
        <v>6224.71</v>
      </c>
      <c r="F815" s="18" t="n">
        <f aca="false">SUMIFS(Goods_Receipt_Notes!$D$2:$D$791,Goods_Receipt_Notes!$B$2:$B$791,A815)</f>
        <v>6224.71</v>
      </c>
      <c r="G815" s="18" t="n">
        <f aca="false">SUMIFS(Vendor_Invoices_AP!$E$2:$E$882,Vendor_Invoices_AP!$B$2:$B$882,A815)</f>
        <v>6224.71</v>
      </c>
      <c r="H815" s="16" t="str">
        <f aca="false">IF(F815=0,"Not Received","Received")</f>
        <v>Received</v>
      </c>
      <c r="I815" s="16" t="str">
        <f aca="false">IF(G815=0,"Not Invoiced","Invoiced")</f>
        <v>Invoiced</v>
      </c>
      <c r="J815" s="18" t="n">
        <f aca="false">E815-F815</f>
        <v>0</v>
      </c>
      <c r="K815" s="18" t="n">
        <f aca="false">E815-G815</f>
        <v>0</v>
      </c>
      <c r="L815" s="16" t="str">
        <f aca="false">IF(OR(AND(I815="Invoiced",H815="Not Received"),AND(F815&gt;0,ABS(J815)&gt;Assumptions!$B$6),AND(G815&gt;0,ABS(K815)&gt;Assumptions!$B$6)),"EXCEPTION","OK")</f>
        <v>OK</v>
      </c>
    </row>
    <row r="816" customFormat="false" ht="15" hidden="false" customHeight="false" outlineLevel="0" collapsed="false">
      <c r="A816" s="16" t="str">
        <f aca="false">Purchase_Orders!A813</f>
        <v>PO10812</v>
      </c>
      <c r="B816" s="16" t="str">
        <f aca="false">Purchase_Orders!B813</f>
        <v>V1033</v>
      </c>
      <c r="C816" s="16" t="str">
        <f aca="false">IFERROR(INDEX(Vendor_Master!$B$2:$B$41,MATCH(B816,Vendor_Master!$A$2:$A$41,0)),"Unknown Vendor")</f>
        <v>Sellers, George and Burns</v>
      </c>
      <c r="D816" s="17" t="n">
        <f aca="false">Purchase_Orders!C813</f>
        <v>45994</v>
      </c>
      <c r="E816" s="18" t="n">
        <f aca="false">Purchase_Orders!D813</f>
        <v>505.83</v>
      </c>
      <c r="F816" s="18" t="n">
        <f aca="false">SUMIFS(Goods_Receipt_Notes!$D$2:$D$791,Goods_Receipt_Notes!$B$2:$B$791,A816)</f>
        <v>505.83</v>
      </c>
      <c r="G816" s="18" t="n">
        <f aca="false">SUMIFS(Vendor_Invoices_AP!$E$2:$E$882,Vendor_Invoices_AP!$B$2:$B$882,A816)</f>
        <v>505.83</v>
      </c>
      <c r="H816" s="16" t="str">
        <f aca="false">IF(F816=0,"Not Received","Received")</f>
        <v>Received</v>
      </c>
      <c r="I816" s="16" t="str">
        <f aca="false">IF(G816=0,"Not Invoiced","Invoiced")</f>
        <v>Invoiced</v>
      </c>
      <c r="J816" s="18" t="n">
        <f aca="false">E816-F816</f>
        <v>0</v>
      </c>
      <c r="K816" s="18" t="n">
        <f aca="false">E816-G816</f>
        <v>0</v>
      </c>
      <c r="L816" s="16" t="str">
        <f aca="false">IF(OR(AND(I816="Invoiced",H816="Not Received"),AND(F816&gt;0,ABS(J816)&gt;Assumptions!$B$6),AND(G816&gt;0,ABS(K816)&gt;Assumptions!$B$6)),"EXCEPTION","OK")</f>
        <v>OK</v>
      </c>
    </row>
    <row r="817" customFormat="false" ht="15" hidden="false" customHeight="false" outlineLevel="0" collapsed="false">
      <c r="A817" s="16" t="str">
        <f aca="false">Purchase_Orders!A814</f>
        <v>PO10813</v>
      </c>
      <c r="B817" s="16" t="str">
        <f aca="false">Purchase_Orders!B814</f>
        <v>V1029</v>
      </c>
      <c r="C817" s="16" t="str">
        <f aca="false">IFERROR(INDEX(Vendor_Master!$B$2:$B$41,MATCH(B817,Vendor_Master!$A$2:$A$41,0)),"Unknown Vendor")</f>
        <v>Chavez Ltd</v>
      </c>
      <c r="D817" s="17" t="n">
        <f aca="false">Purchase_Orders!C814</f>
        <v>46025</v>
      </c>
      <c r="E817" s="18" t="n">
        <f aca="false">Purchase_Orders!D814</f>
        <v>3028.33</v>
      </c>
      <c r="F817" s="18" t="n">
        <f aca="false">SUMIFS(Goods_Receipt_Notes!$D$2:$D$791,Goods_Receipt_Notes!$B$2:$B$791,A817)</f>
        <v>3028.33</v>
      </c>
      <c r="G817" s="18" t="n">
        <f aca="false">SUMIFS(Vendor_Invoices_AP!$E$2:$E$882,Vendor_Invoices_AP!$B$2:$B$882,A817)</f>
        <v>3028.33</v>
      </c>
      <c r="H817" s="16" t="str">
        <f aca="false">IF(F817=0,"Not Received","Received")</f>
        <v>Received</v>
      </c>
      <c r="I817" s="16" t="str">
        <f aca="false">IF(G817=0,"Not Invoiced","Invoiced")</f>
        <v>Invoiced</v>
      </c>
      <c r="J817" s="18" t="n">
        <f aca="false">E817-F817</f>
        <v>0</v>
      </c>
      <c r="K817" s="18" t="n">
        <f aca="false">E817-G817</f>
        <v>0</v>
      </c>
      <c r="L817" s="16" t="str">
        <f aca="false">IF(OR(AND(I817="Invoiced",H817="Not Received"),AND(F817&gt;0,ABS(J817)&gt;Assumptions!$B$6),AND(G817&gt;0,ABS(K817)&gt;Assumptions!$B$6)),"EXCEPTION","OK")</f>
        <v>OK</v>
      </c>
    </row>
    <row r="818" customFormat="false" ht="15" hidden="false" customHeight="false" outlineLevel="0" collapsed="false">
      <c r="A818" s="16" t="str">
        <f aca="false">Purchase_Orders!A815</f>
        <v>PO10814</v>
      </c>
      <c r="B818" s="16" t="str">
        <f aca="false">Purchase_Orders!B815</f>
        <v>V1035</v>
      </c>
      <c r="C818" s="16" t="str">
        <f aca="false">IFERROR(INDEX(Vendor_Master!$B$2:$B$41,MATCH(B818,Vendor_Master!$A$2:$A$41,0)),"Unknown Vendor")</f>
        <v>Allen PLC</v>
      </c>
      <c r="D818" s="17" t="n">
        <f aca="false">Purchase_Orders!C815</f>
        <v>45806</v>
      </c>
      <c r="E818" s="18" t="n">
        <f aca="false">Purchase_Orders!D815</f>
        <v>556.23</v>
      </c>
      <c r="F818" s="18" t="n">
        <f aca="false">SUMIFS(Goods_Receipt_Notes!$D$2:$D$791,Goods_Receipt_Notes!$B$2:$B$791,A818)</f>
        <v>556.23</v>
      </c>
      <c r="G818" s="18" t="n">
        <f aca="false">SUMIFS(Vendor_Invoices_AP!$E$2:$E$882,Vendor_Invoices_AP!$B$2:$B$882,A818)</f>
        <v>556.23</v>
      </c>
      <c r="H818" s="16" t="str">
        <f aca="false">IF(F818=0,"Not Received","Received")</f>
        <v>Received</v>
      </c>
      <c r="I818" s="16" t="str">
        <f aca="false">IF(G818=0,"Not Invoiced","Invoiced")</f>
        <v>Invoiced</v>
      </c>
      <c r="J818" s="18" t="n">
        <f aca="false">E818-F818</f>
        <v>0</v>
      </c>
      <c r="K818" s="18" t="n">
        <f aca="false">E818-G818</f>
        <v>0</v>
      </c>
      <c r="L818" s="16" t="str">
        <f aca="false">IF(OR(AND(I818="Invoiced",H818="Not Received"),AND(F818&gt;0,ABS(J818)&gt;Assumptions!$B$6),AND(G818&gt;0,ABS(K818)&gt;Assumptions!$B$6)),"EXCEPTION","OK")</f>
        <v>OK</v>
      </c>
    </row>
    <row r="819" customFormat="false" ht="15" hidden="false" customHeight="false" outlineLevel="0" collapsed="false">
      <c r="A819" s="16" t="str">
        <f aca="false">Purchase_Orders!A816</f>
        <v>PO10815</v>
      </c>
      <c r="B819" s="16" t="str">
        <f aca="false">Purchase_Orders!B816</f>
        <v>V1021</v>
      </c>
      <c r="C819" s="16" t="str">
        <f aca="false">IFERROR(INDEX(Vendor_Master!$B$2:$B$41,MATCH(B819,Vendor_Master!$A$2:$A$41,0)),"Unknown Vendor")</f>
        <v>Ellis, Baker and Wright</v>
      </c>
      <c r="D819" s="17" t="n">
        <f aca="false">Purchase_Orders!C816</f>
        <v>46018</v>
      </c>
      <c r="E819" s="18" t="n">
        <f aca="false">Purchase_Orders!D816</f>
        <v>12577.38</v>
      </c>
      <c r="F819" s="18" t="n">
        <f aca="false">SUMIFS(Goods_Receipt_Notes!$D$2:$D$791,Goods_Receipt_Notes!$B$2:$B$791,A819)</f>
        <v>12577.38</v>
      </c>
      <c r="G819" s="18" t="n">
        <f aca="false">SUMIFS(Vendor_Invoices_AP!$E$2:$E$882,Vendor_Invoices_AP!$B$2:$B$882,A819)</f>
        <v>12577.38</v>
      </c>
      <c r="H819" s="16" t="str">
        <f aca="false">IF(F819=0,"Not Received","Received")</f>
        <v>Received</v>
      </c>
      <c r="I819" s="16" t="str">
        <f aca="false">IF(G819=0,"Not Invoiced","Invoiced")</f>
        <v>Invoiced</v>
      </c>
      <c r="J819" s="18" t="n">
        <f aca="false">E819-F819</f>
        <v>0</v>
      </c>
      <c r="K819" s="18" t="n">
        <f aca="false">E819-G819</f>
        <v>0</v>
      </c>
      <c r="L819" s="16" t="str">
        <f aca="false">IF(OR(AND(I819="Invoiced",H819="Not Received"),AND(F819&gt;0,ABS(J819)&gt;Assumptions!$B$6),AND(G819&gt;0,ABS(K819)&gt;Assumptions!$B$6)),"EXCEPTION","OK")</f>
        <v>OK</v>
      </c>
    </row>
    <row r="820" customFormat="false" ht="15" hidden="false" customHeight="false" outlineLevel="0" collapsed="false">
      <c r="A820" s="16" t="str">
        <f aca="false">Purchase_Orders!A817</f>
        <v>PO10816</v>
      </c>
      <c r="B820" s="16" t="str">
        <f aca="false">Purchase_Orders!B817</f>
        <v>V1036</v>
      </c>
      <c r="C820" s="16" t="str">
        <f aca="false">IFERROR(INDEX(Vendor_Master!$B$2:$B$41,MATCH(B820,Vendor_Master!$A$2:$A$41,0)),"Unknown Vendor")</f>
        <v>Dennis Inc</v>
      </c>
      <c r="D820" s="17" t="n">
        <f aca="false">Purchase_Orders!C817</f>
        <v>45922</v>
      </c>
      <c r="E820" s="18" t="n">
        <f aca="false">Purchase_Orders!D817</f>
        <v>5102.06</v>
      </c>
      <c r="F820" s="18" t="n">
        <f aca="false">SUMIFS(Goods_Receipt_Notes!$D$2:$D$791,Goods_Receipt_Notes!$B$2:$B$791,A820)</f>
        <v>0</v>
      </c>
      <c r="G820" s="18" t="n">
        <f aca="false">SUMIFS(Vendor_Invoices_AP!$E$2:$E$882,Vendor_Invoices_AP!$B$2:$B$882,A820)</f>
        <v>5102.06</v>
      </c>
      <c r="H820" s="16" t="str">
        <f aca="false">IF(F820=0,"Not Received","Received")</f>
        <v>Not Received</v>
      </c>
      <c r="I820" s="16" t="str">
        <f aca="false">IF(G820=0,"Not Invoiced","Invoiced")</f>
        <v>Invoiced</v>
      </c>
      <c r="J820" s="18" t="n">
        <f aca="false">E820-F820</f>
        <v>5102.06</v>
      </c>
      <c r="K820" s="18" t="n">
        <f aca="false">E820-G820</f>
        <v>0</v>
      </c>
      <c r="L820" s="16" t="str">
        <f aca="false">IF(OR(AND(I820="Invoiced",H820="Not Received"),AND(F820&gt;0,ABS(J820)&gt;Assumptions!$B$6),AND(G820&gt;0,ABS(K820)&gt;Assumptions!$B$6)),"EXCEPTION","OK")</f>
        <v>EXCEPTION</v>
      </c>
    </row>
    <row r="821" customFormat="false" ht="15" hidden="false" customHeight="false" outlineLevel="0" collapsed="false">
      <c r="A821" s="16" t="str">
        <f aca="false">Purchase_Orders!A818</f>
        <v>PO10817</v>
      </c>
      <c r="B821" s="16" t="str">
        <f aca="false">Purchase_Orders!B818</f>
        <v>V1031</v>
      </c>
      <c r="C821" s="16" t="str">
        <f aca="false">IFERROR(INDEX(Vendor_Master!$B$2:$B$41,MATCH(B821,Vendor_Master!$A$2:$A$41,0)),"Unknown Vendor")</f>
        <v>Harrell LLC</v>
      </c>
      <c r="D821" s="17" t="n">
        <f aca="false">Purchase_Orders!C818</f>
        <v>45898</v>
      </c>
      <c r="E821" s="18" t="n">
        <f aca="false">Purchase_Orders!D818</f>
        <v>854.6</v>
      </c>
      <c r="F821" s="18" t="n">
        <f aca="false">SUMIFS(Goods_Receipt_Notes!$D$2:$D$791,Goods_Receipt_Notes!$B$2:$B$791,A821)</f>
        <v>854.6</v>
      </c>
      <c r="G821" s="18" t="n">
        <f aca="false">SUMIFS(Vendor_Invoices_AP!$E$2:$E$882,Vendor_Invoices_AP!$B$2:$B$882,A821)</f>
        <v>854.6</v>
      </c>
      <c r="H821" s="16" t="str">
        <f aca="false">IF(F821=0,"Not Received","Received")</f>
        <v>Received</v>
      </c>
      <c r="I821" s="16" t="str">
        <f aca="false">IF(G821=0,"Not Invoiced","Invoiced")</f>
        <v>Invoiced</v>
      </c>
      <c r="J821" s="18" t="n">
        <f aca="false">E821-F821</f>
        <v>0</v>
      </c>
      <c r="K821" s="18" t="n">
        <f aca="false">E821-G821</f>
        <v>0</v>
      </c>
      <c r="L821" s="16" t="str">
        <f aca="false">IF(OR(AND(I821="Invoiced",H821="Not Received"),AND(F821&gt;0,ABS(J821)&gt;Assumptions!$B$6),AND(G821&gt;0,ABS(K821)&gt;Assumptions!$B$6)),"EXCEPTION","OK")</f>
        <v>OK</v>
      </c>
    </row>
    <row r="822" customFormat="false" ht="15" hidden="false" customHeight="false" outlineLevel="0" collapsed="false">
      <c r="A822" s="16" t="str">
        <f aca="false">Purchase_Orders!A819</f>
        <v>PO10818</v>
      </c>
      <c r="B822" s="16" t="str">
        <f aca="false">Purchase_Orders!B819</f>
        <v>V1040</v>
      </c>
      <c r="C822" s="16" t="str">
        <f aca="false">IFERROR(INDEX(Vendor_Master!$B$2:$B$41,MATCH(B822,Vendor_Master!$A$2:$A$41,0)),"Unknown Vendor")</f>
        <v>Santos, Kim and Holmes</v>
      </c>
      <c r="D822" s="17" t="n">
        <f aca="false">Purchase_Orders!C819</f>
        <v>45806</v>
      </c>
      <c r="E822" s="18" t="n">
        <f aca="false">Purchase_Orders!D819</f>
        <v>1844.19</v>
      </c>
      <c r="F822" s="18" t="n">
        <f aca="false">SUMIFS(Goods_Receipt_Notes!$D$2:$D$791,Goods_Receipt_Notes!$B$2:$B$791,A822)</f>
        <v>1844.19</v>
      </c>
      <c r="G822" s="18" t="n">
        <f aca="false">SUMIFS(Vendor_Invoices_AP!$E$2:$E$882,Vendor_Invoices_AP!$B$2:$B$882,A822)</f>
        <v>1844.19</v>
      </c>
      <c r="H822" s="16" t="str">
        <f aca="false">IF(F822=0,"Not Received","Received")</f>
        <v>Received</v>
      </c>
      <c r="I822" s="16" t="str">
        <f aca="false">IF(G822=0,"Not Invoiced","Invoiced")</f>
        <v>Invoiced</v>
      </c>
      <c r="J822" s="18" t="n">
        <f aca="false">E822-F822</f>
        <v>0</v>
      </c>
      <c r="K822" s="18" t="n">
        <f aca="false">E822-G822</f>
        <v>0</v>
      </c>
      <c r="L822" s="16" t="str">
        <f aca="false">IF(OR(AND(I822="Invoiced",H822="Not Received"),AND(F822&gt;0,ABS(J822)&gt;Assumptions!$B$6),AND(G822&gt;0,ABS(K822)&gt;Assumptions!$B$6)),"EXCEPTION","OK")</f>
        <v>OK</v>
      </c>
    </row>
    <row r="823" customFormat="false" ht="15" hidden="false" customHeight="false" outlineLevel="0" collapsed="false">
      <c r="A823" s="16" t="str">
        <f aca="false">Purchase_Orders!A820</f>
        <v>PO10819</v>
      </c>
      <c r="B823" s="16" t="str">
        <f aca="false">Purchase_Orders!B820</f>
        <v>V1016</v>
      </c>
      <c r="C823" s="16" t="str">
        <f aca="false">IFERROR(INDEX(Vendor_Master!$B$2:$B$41,MATCH(B823,Vendor_Master!$A$2:$A$41,0)),"Unknown Vendor")</f>
        <v>Sanchez, Ford and Nelson</v>
      </c>
      <c r="D823" s="17" t="n">
        <f aca="false">Purchase_Orders!C820</f>
        <v>46069</v>
      </c>
      <c r="E823" s="18" t="n">
        <f aca="false">Purchase_Orders!D820</f>
        <v>2123.23</v>
      </c>
      <c r="F823" s="18" t="n">
        <f aca="false">SUMIFS(Goods_Receipt_Notes!$D$2:$D$791,Goods_Receipt_Notes!$B$2:$B$791,A823)</f>
        <v>2123.23</v>
      </c>
      <c r="G823" s="18" t="n">
        <f aca="false">SUMIFS(Vendor_Invoices_AP!$E$2:$E$882,Vendor_Invoices_AP!$B$2:$B$882,A823)</f>
        <v>2123.23</v>
      </c>
      <c r="H823" s="16" t="str">
        <f aca="false">IF(F823=0,"Not Received","Received")</f>
        <v>Received</v>
      </c>
      <c r="I823" s="16" t="str">
        <f aca="false">IF(G823=0,"Not Invoiced","Invoiced")</f>
        <v>Invoiced</v>
      </c>
      <c r="J823" s="18" t="n">
        <f aca="false">E823-F823</f>
        <v>0</v>
      </c>
      <c r="K823" s="18" t="n">
        <f aca="false">E823-G823</f>
        <v>0</v>
      </c>
      <c r="L823" s="16" t="str">
        <f aca="false">IF(OR(AND(I823="Invoiced",H823="Not Received"),AND(F823&gt;0,ABS(J823)&gt;Assumptions!$B$6),AND(G823&gt;0,ABS(K823)&gt;Assumptions!$B$6)),"EXCEPTION","OK")</f>
        <v>OK</v>
      </c>
    </row>
    <row r="824" customFormat="false" ht="15" hidden="false" customHeight="false" outlineLevel="0" collapsed="false">
      <c r="A824" s="16" t="str">
        <f aca="false">Purchase_Orders!A821</f>
        <v>PO10820</v>
      </c>
      <c r="B824" s="16" t="str">
        <f aca="false">Purchase_Orders!B821</f>
        <v>V1017</v>
      </c>
      <c r="C824" s="16" t="str">
        <f aca="false">IFERROR(INDEX(Vendor_Master!$B$2:$B$41,MATCH(B824,Vendor_Master!$A$2:$A$41,0)),"Unknown Vendor")</f>
        <v>Hawkins, Cohen and Cameron</v>
      </c>
      <c r="D824" s="17" t="n">
        <f aca="false">Purchase_Orders!C821</f>
        <v>45720</v>
      </c>
      <c r="E824" s="18" t="n">
        <f aca="false">Purchase_Orders!D821</f>
        <v>424.45</v>
      </c>
      <c r="F824" s="18" t="n">
        <f aca="false">SUMIFS(Goods_Receipt_Notes!$D$2:$D$791,Goods_Receipt_Notes!$B$2:$B$791,A824)</f>
        <v>424.45</v>
      </c>
      <c r="G824" s="18" t="n">
        <f aca="false">SUMIFS(Vendor_Invoices_AP!$E$2:$E$882,Vendor_Invoices_AP!$B$2:$B$882,A824)</f>
        <v>424.45</v>
      </c>
      <c r="H824" s="16" t="str">
        <f aca="false">IF(F824=0,"Not Received","Received")</f>
        <v>Received</v>
      </c>
      <c r="I824" s="16" t="str">
        <f aca="false">IF(G824=0,"Not Invoiced","Invoiced")</f>
        <v>Invoiced</v>
      </c>
      <c r="J824" s="18" t="n">
        <f aca="false">E824-F824</f>
        <v>0</v>
      </c>
      <c r="K824" s="18" t="n">
        <f aca="false">E824-G824</f>
        <v>0</v>
      </c>
      <c r="L824" s="16" t="str">
        <f aca="false">IF(OR(AND(I824="Invoiced",H824="Not Received"),AND(F824&gt;0,ABS(J824)&gt;Assumptions!$B$6),AND(G824&gt;0,ABS(K824)&gt;Assumptions!$B$6)),"EXCEPTION","OK")</f>
        <v>OK</v>
      </c>
    </row>
    <row r="825" customFormat="false" ht="15" hidden="false" customHeight="false" outlineLevel="0" collapsed="false">
      <c r="A825" s="16" t="str">
        <f aca="false">Purchase_Orders!A822</f>
        <v>PO10821</v>
      </c>
      <c r="B825" s="16" t="str">
        <f aca="false">Purchase_Orders!B822</f>
        <v>V1006</v>
      </c>
      <c r="C825" s="16" t="str">
        <f aca="false">IFERROR(INDEX(Vendor_Master!$B$2:$B$41,MATCH(B825,Vendor_Master!$A$2:$A$41,0)),"Unknown Vendor")</f>
        <v>Blake and Sons</v>
      </c>
      <c r="D825" s="17" t="n">
        <f aca="false">Purchase_Orders!C822</f>
        <v>45892</v>
      </c>
      <c r="E825" s="18" t="n">
        <f aca="false">Purchase_Orders!D822</f>
        <v>751.88</v>
      </c>
      <c r="F825" s="18" t="n">
        <f aca="false">SUMIFS(Goods_Receipt_Notes!$D$2:$D$791,Goods_Receipt_Notes!$B$2:$B$791,A825)</f>
        <v>751.88</v>
      </c>
      <c r="G825" s="18" t="n">
        <f aca="false">SUMIFS(Vendor_Invoices_AP!$E$2:$E$882,Vendor_Invoices_AP!$B$2:$B$882,A825)</f>
        <v>751.88</v>
      </c>
      <c r="H825" s="16" t="str">
        <f aca="false">IF(F825=0,"Not Received","Received")</f>
        <v>Received</v>
      </c>
      <c r="I825" s="16" t="str">
        <f aca="false">IF(G825=0,"Not Invoiced","Invoiced")</f>
        <v>Invoiced</v>
      </c>
      <c r="J825" s="18" t="n">
        <f aca="false">E825-F825</f>
        <v>0</v>
      </c>
      <c r="K825" s="18" t="n">
        <f aca="false">E825-G825</f>
        <v>0</v>
      </c>
      <c r="L825" s="16" t="str">
        <f aca="false">IF(OR(AND(I825="Invoiced",H825="Not Received"),AND(F825&gt;0,ABS(J825)&gt;Assumptions!$B$6),AND(G825&gt;0,ABS(K825)&gt;Assumptions!$B$6)),"EXCEPTION","OK")</f>
        <v>OK</v>
      </c>
    </row>
    <row r="826" customFormat="false" ht="15" hidden="false" customHeight="false" outlineLevel="0" collapsed="false">
      <c r="A826" s="16" t="str">
        <f aca="false">Purchase_Orders!A823</f>
        <v>PO10822</v>
      </c>
      <c r="B826" s="16" t="str">
        <f aca="false">Purchase_Orders!B823</f>
        <v>V1026</v>
      </c>
      <c r="C826" s="16" t="str">
        <f aca="false">IFERROR(INDEX(Vendor_Master!$B$2:$B$41,MATCH(B826,Vendor_Master!$A$2:$A$41,0)),"Unknown Vendor")</f>
        <v>James-Ferrell</v>
      </c>
      <c r="D826" s="17" t="n">
        <f aca="false">Purchase_Orders!C823</f>
        <v>45812</v>
      </c>
      <c r="E826" s="18" t="n">
        <f aca="false">Purchase_Orders!D823</f>
        <v>2408.48</v>
      </c>
      <c r="F826" s="18" t="n">
        <f aca="false">SUMIFS(Goods_Receipt_Notes!$D$2:$D$791,Goods_Receipt_Notes!$B$2:$B$791,A826)</f>
        <v>2408.48</v>
      </c>
      <c r="G826" s="18" t="n">
        <f aca="false">SUMIFS(Vendor_Invoices_AP!$E$2:$E$882,Vendor_Invoices_AP!$B$2:$B$882,A826)</f>
        <v>2408.48</v>
      </c>
      <c r="H826" s="16" t="str">
        <f aca="false">IF(F826=0,"Not Received","Received")</f>
        <v>Received</v>
      </c>
      <c r="I826" s="16" t="str">
        <f aca="false">IF(G826=0,"Not Invoiced","Invoiced")</f>
        <v>Invoiced</v>
      </c>
      <c r="J826" s="18" t="n">
        <f aca="false">E826-F826</f>
        <v>0</v>
      </c>
      <c r="K826" s="18" t="n">
        <f aca="false">E826-G826</f>
        <v>0</v>
      </c>
      <c r="L826" s="16" t="str">
        <f aca="false">IF(OR(AND(I826="Invoiced",H826="Not Received"),AND(F826&gt;0,ABS(J826)&gt;Assumptions!$B$6),AND(G826&gt;0,ABS(K826)&gt;Assumptions!$B$6)),"EXCEPTION","OK")</f>
        <v>OK</v>
      </c>
    </row>
    <row r="827" customFormat="false" ht="15" hidden="false" customHeight="false" outlineLevel="0" collapsed="false">
      <c r="A827" s="16" t="str">
        <f aca="false">Purchase_Orders!A824</f>
        <v>PO10823</v>
      </c>
      <c r="B827" s="16" t="str">
        <f aca="false">Purchase_Orders!B824</f>
        <v>V1025</v>
      </c>
      <c r="C827" s="16" t="str">
        <f aca="false">IFERROR(INDEX(Vendor_Master!$B$2:$B$41,MATCH(B827,Vendor_Master!$A$2:$A$41,0)),"Unknown Vendor")</f>
        <v>Conner Group</v>
      </c>
      <c r="D827" s="17" t="n">
        <f aca="false">Purchase_Orders!C824</f>
        <v>46027</v>
      </c>
      <c r="E827" s="18" t="n">
        <f aca="false">Purchase_Orders!D824</f>
        <v>197.82</v>
      </c>
      <c r="F827" s="18" t="n">
        <f aca="false">SUMIFS(Goods_Receipt_Notes!$D$2:$D$791,Goods_Receipt_Notes!$B$2:$B$791,A827)</f>
        <v>197.82</v>
      </c>
      <c r="G827" s="18" t="n">
        <f aca="false">SUMIFS(Vendor_Invoices_AP!$E$2:$E$882,Vendor_Invoices_AP!$B$2:$B$882,A827)</f>
        <v>197.82</v>
      </c>
      <c r="H827" s="16" t="str">
        <f aca="false">IF(F827=0,"Not Received","Received")</f>
        <v>Received</v>
      </c>
      <c r="I827" s="16" t="str">
        <f aca="false">IF(G827=0,"Not Invoiced","Invoiced")</f>
        <v>Invoiced</v>
      </c>
      <c r="J827" s="18" t="n">
        <f aca="false">E827-F827</f>
        <v>0</v>
      </c>
      <c r="K827" s="18" t="n">
        <f aca="false">E827-G827</f>
        <v>0</v>
      </c>
      <c r="L827" s="16" t="str">
        <f aca="false">IF(OR(AND(I827="Invoiced",H827="Not Received"),AND(F827&gt;0,ABS(J827)&gt;Assumptions!$B$6),AND(G827&gt;0,ABS(K827)&gt;Assumptions!$B$6)),"EXCEPTION","OK")</f>
        <v>OK</v>
      </c>
    </row>
    <row r="828" customFormat="false" ht="15" hidden="false" customHeight="false" outlineLevel="0" collapsed="false">
      <c r="A828" s="16" t="str">
        <f aca="false">Purchase_Orders!A825</f>
        <v>PO10824</v>
      </c>
      <c r="B828" s="16" t="str">
        <f aca="false">Purchase_Orders!B825</f>
        <v>V1014</v>
      </c>
      <c r="C828" s="16" t="str">
        <f aca="false">IFERROR(INDEX(Vendor_Master!$B$2:$B$41,MATCH(B828,Vendor_Master!$A$2:$A$41,0)),"Unknown Vendor")</f>
        <v>Flowers, Martin and Kelly</v>
      </c>
      <c r="D828" s="17" t="n">
        <f aca="false">Purchase_Orders!C825</f>
        <v>45923</v>
      </c>
      <c r="E828" s="18" t="n">
        <f aca="false">Purchase_Orders!D825</f>
        <v>5024.64</v>
      </c>
      <c r="F828" s="18" t="n">
        <f aca="false">SUMIFS(Goods_Receipt_Notes!$D$2:$D$791,Goods_Receipt_Notes!$B$2:$B$791,A828)</f>
        <v>5024.64</v>
      </c>
      <c r="G828" s="18" t="n">
        <f aca="false">SUMIFS(Vendor_Invoices_AP!$E$2:$E$882,Vendor_Invoices_AP!$B$2:$B$882,A828)</f>
        <v>10049.28</v>
      </c>
      <c r="H828" s="16" t="str">
        <f aca="false">IF(F828=0,"Not Received","Received")</f>
        <v>Received</v>
      </c>
      <c r="I828" s="16" t="str">
        <f aca="false">IF(G828=0,"Not Invoiced","Invoiced")</f>
        <v>Invoiced</v>
      </c>
      <c r="J828" s="18" t="n">
        <f aca="false">E828-F828</f>
        <v>0</v>
      </c>
      <c r="K828" s="18" t="n">
        <f aca="false">E828-G828</f>
        <v>-5024.64</v>
      </c>
      <c r="L828" s="16" t="str">
        <f aca="false">IF(OR(AND(I828="Invoiced",H828="Not Received"),AND(F828&gt;0,ABS(J828)&gt;Assumptions!$B$6),AND(G828&gt;0,ABS(K828)&gt;Assumptions!$B$6)),"EXCEPTION","OK")</f>
        <v>EXCEPTION</v>
      </c>
    </row>
    <row r="829" customFormat="false" ht="15" hidden="false" customHeight="false" outlineLevel="0" collapsed="false">
      <c r="A829" s="16" t="str">
        <f aca="false">Purchase_Orders!A826</f>
        <v>PO10825</v>
      </c>
      <c r="B829" s="16" t="str">
        <f aca="false">Purchase_Orders!B826</f>
        <v>V1034</v>
      </c>
      <c r="C829" s="16" t="str">
        <f aca="false">IFERROR(INDEX(Vendor_Master!$B$2:$B$41,MATCH(B829,Vendor_Master!$A$2:$A$41,0)),"Unknown Vendor")</f>
        <v>Koch-Decker</v>
      </c>
      <c r="D829" s="17" t="n">
        <f aca="false">Purchase_Orders!C826</f>
        <v>46021</v>
      </c>
      <c r="E829" s="18" t="n">
        <f aca="false">Purchase_Orders!D826</f>
        <v>4289.12</v>
      </c>
      <c r="F829" s="18" t="n">
        <f aca="false">SUMIFS(Goods_Receipt_Notes!$D$2:$D$791,Goods_Receipt_Notes!$B$2:$B$791,A829)</f>
        <v>4289.12</v>
      </c>
      <c r="G829" s="18" t="n">
        <f aca="false">SUMIFS(Vendor_Invoices_AP!$E$2:$E$882,Vendor_Invoices_AP!$B$2:$B$882,A829)</f>
        <v>4289.12</v>
      </c>
      <c r="H829" s="16" t="str">
        <f aca="false">IF(F829=0,"Not Received","Received")</f>
        <v>Received</v>
      </c>
      <c r="I829" s="16" t="str">
        <f aca="false">IF(G829=0,"Not Invoiced","Invoiced")</f>
        <v>Invoiced</v>
      </c>
      <c r="J829" s="18" t="n">
        <f aca="false">E829-F829</f>
        <v>0</v>
      </c>
      <c r="K829" s="18" t="n">
        <f aca="false">E829-G829</f>
        <v>0</v>
      </c>
      <c r="L829" s="16" t="str">
        <f aca="false">IF(OR(AND(I829="Invoiced",H829="Not Received"),AND(F829&gt;0,ABS(J829)&gt;Assumptions!$B$6),AND(G829&gt;0,ABS(K829)&gt;Assumptions!$B$6)),"EXCEPTION","OK")</f>
        <v>OK</v>
      </c>
    </row>
    <row r="830" customFormat="false" ht="15" hidden="false" customHeight="false" outlineLevel="0" collapsed="false">
      <c r="A830" s="16" t="str">
        <f aca="false">Purchase_Orders!A827</f>
        <v>PO10826</v>
      </c>
      <c r="B830" s="16" t="str">
        <f aca="false">Purchase_Orders!B827</f>
        <v>V1002</v>
      </c>
      <c r="C830" s="16" t="str">
        <f aca="false">IFERROR(INDEX(Vendor_Master!$B$2:$B$41,MATCH(B830,Vendor_Master!$A$2:$A$41,0)),"Unknown Vendor")</f>
        <v>Garcia, Yang and Gardner</v>
      </c>
      <c r="D830" s="17" t="n">
        <f aca="false">Purchase_Orders!C827</f>
        <v>45682</v>
      </c>
      <c r="E830" s="18" t="n">
        <f aca="false">Purchase_Orders!D827</f>
        <v>264.62</v>
      </c>
      <c r="F830" s="18" t="n">
        <f aca="false">SUMIFS(Goods_Receipt_Notes!$D$2:$D$791,Goods_Receipt_Notes!$B$2:$B$791,A830)</f>
        <v>264.62</v>
      </c>
      <c r="G830" s="18" t="n">
        <f aca="false">SUMIFS(Vendor_Invoices_AP!$E$2:$E$882,Vendor_Invoices_AP!$B$2:$B$882,A830)</f>
        <v>264.62</v>
      </c>
      <c r="H830" s="16" t="str">
        <f aca="false">IF(F830=0,"Not Received","Received")</f>
        <v>Received</v>
      </c>
      <c r="I830" s="16" t="str">
        <f aca="false">IF(G830=0,"Not Invoiced","Invoiced")</f>
        <v>Invoiced</v>
      </c>
      <c r="J830" s="18" t="n">
        <f aca="false">E830-F830</f>
        <v>0</v>
      </c>
      <c r="K830" s="18" t="n">
        <f aca="false">E830-G830</f>
        <v>0</v>
      </c>
      <c r="L830" s="16" t="str">
        <f aca="false">IF(OR(AND(I830="Invoiced",H830="Not Received"),AND(F830&gt;0,ABS(J830)&gt;Assumptions!$B$6),AND(G830&gt;0,ABS(K830)&gt;Assumptions!$B$6)),"EXCEPTION","OK")</f>
        <v>OK</v>
      </c>
    </row>
    <row r="831" customFormat="false" ht="15" hidden="false" customHeight="false" outlineLevel="0" collapsed="false">
      <c r="A831" s="16" t="str">
        <f aca="false">Purchase_Orders!A828</f>
        <v>PO10827</v>
      </c>
      <c r="B831" s="16" t="str">
        <f aca="false">Purchase_Orders!B828</f>
        <v>V1002</v>
      </c>
      <c r="C831" s="16" t="str">
        <f aca="false">IFERROR(INDEX(Vendor_Master!$B$2:$B$41,MATCH(B831,Vendor_Master!$A$2:$A$41,0)),"Unknown Vendor")</f>
        <v>Garcia, Yang and Gardner</v>
      </c>
      <c r="D831" s="17" t="n">
        <f aca="false">Purchase_Orders!C828</f>
        <v>45873</v>
      </c>
      <c r="E831" s="18" t="n">
        <f aca="false">Purchase_Orders!D828</f>
        <v>18783.05</v>
      </c>
      <c r="F831" s="18" t="n">
        <f aca="false">SUMIFS(Goods_Receipt_Notes!$D$2:$D$791,Goods_Receipt_Notes!$B$2:$B$791,A831)</f>
        <v>18783.05</v>
      </c>
      <c r="G831" s="18" t="n">
        <f aca="false">SUMIFS(Vendor_Invoices_AP!$E$2:$E$882,Vendor_Invoices_AP!$B$2:$B$882,A831)</f>
        <v>18783.05</v>
      </c>
      <c r="H831" s="16" t="str">
        <f aca="false">IF(F831=0,"Not Received","Received")</f>
        <v>Received</v>
      </c>
      <c r="I831" s="16" t="str">
        <f aca="false">IF(G831=0,"Not Invoiced","Invoiced")</f>
        <v>Invoiced</v>
      </c>
      <c r="J831" s="18" t="n">
        <f aca="false">E831-F831</f>
        <v>0</v>
      </c>
      <c r="K831" s="18" t="n">
        <f aca="false">E831-G831</f>
        <v>0</v>
      </c>
      <c r="L831" s="16" t="str">
        <f aca="false">IF(OR(AND(I831="Invoiced",H831="Not Received"),AND(F831&gt;0,ABS(J831)&gt;Assumptions!$B$6),AND(G831&gt;0,ABS(K831)&gt;Assumptions!$B$6)),"EXCEPTION","OK")</f>
        <v>OK</v>
      </c>
    </row>
    <row r="832" customFormat="false" ht="15" hidden="false" customHeight="false" outlineLevel="0" collapsed="false">
      <c r="A832" s="16" t="str">
        <f aca="false">Purchase_Orders!A829</f>
        <v>PO10828</v>
      </c>
      <c r="B832" s="16" t="str">
        <f aca="false">Purchase_Orders!B829</f>
        <v>V1031</v>
      </c>
      <c r="C832" s="16" t="str">
        <f aca="false">IFERROR(INDEX(Vendor_Master!$B$2:$B$41,MATCH(B832,Vendor_Master!$A$2:$A$41,0)),"Unknown Vendor")</f>
        <v>Harrell LLC</v>
      </c>
      <c r="D832" s="17" t="n">
        <f aca="false">Purchase_Orders!C829</f>
        <v>45984</v>
      </c>
      <c r="E832" s="18" t="n">
        <f aca="false">Purchase_Orders!D829</f>
        <v>796.83</v>
      </c>
      <c r="F832" s="18" t="n">
        <f aca="false">SUMIFS(Goods_Receipt_Notes!$D$2:$D$791,Goods_Receipt_Notes!$B$2:$B$791,A832)</f>
        <v>796.83</v>
      </c>
      <c r="G832" s="18" t="n">
        <f aca="false">SUMIFS(Vendor_Invoices_AP!$E$2:$E$882,Vendor_Invoices_AP!$B$2:$B$882,A832)</f>
        <v>796.83</v>
      </c>
      <c r="H832" s="16" t="str">
        <f aca="false">IF(F832=0,"Not Received","Received")</f>
        <v>Received</v>
      </c>
      <c r="I832" s="16" t="str">
        <f aca="false">IF(G832=0,"Not Invoiced","Invoiced")</f>
        <v>Invoiced</v>
      </c>
      <c r="J832" s="18" t="n">
        <f aca="false">E832-F832</f>
        <v>0</v>
      </c>
      <c r="K832" s="18" t="n">
        <f aca="false">E832-G832</f>
        <v>0</v>
      </c>
      <c r="L832" s="16" t="str">
        <f aca="false">IF(OR(AND(I832="Invoiced",H832="Not Received"),AND(F832&gt;0,ABS(J832)&gt;Assumptions!$B$6),AND(G832&gt;0,ABS(K832)&gt;Assumptions!$B$6)),"EXCEPTION","OK")</f>
        <v>OK</v>
      </c>
    </row>
    <row r="833" customFormat="false" ht="15" hidden="false" customHeight="false" outlineLevel="0" collapsed="false">
      <c r="A833" s="16" t="str">
        <f aca="false">Purchase_Orders!A830</f>
        <v>PO10829</v>
      </c>
      <c r="B833" s="16" t="str">
        <f aca="false">Purchase_Orders!B830</f>
        <v>V1034</v>
      </c>
      <c r="C833" s="16" t="str">
        <f aca="false">IFERROR(INDEX(Vendor_Master!$B$2:$B$41,MATCH(B833,Vendor_Master!$A$2:$A$41,0)),"Unknown Vendor")</f>
        <v>Koch-Decker</v>
      </c>
      <c r="D833" s="17" t="n">
        <f aca="false">Purchase_Orders!C830</f>
        <v>45662</v>
      </c>
      <c r="E833" s="18" t="n">
        <f aca="false">Purchase_Orders!D830</f>
        <v>115.93</v>
      </c>
      <c r="F833" s="18" t="n">
        <f aca="false">SUMIFS(Goods_Receipt_Notes!$D$2:$D$791,Goods_Receipt_Notes!$B$2:$B$791,A833)</f>
        <v>79.06</v>
      </c>
      <c r="G833" s="18" t="n">
        <f aca="false">SUMIFS(Vendor_Invoices_AP!$E$2:$E$882,Vendor_Invoices_AP!$B$2:$B$882,A833)</f>
        <v>115.93</v>
      </c>
      <c r="H833" s="16" t="str">
        <f aca="false">IF(F833=0,"Not Received","Received")</f>
        <v>Received</v>
      </c>
      <c r="I833" s="16" t="str">
        <f aca="false">IF(G833=0,"Not Invoiced","Invoiced")</f>
        <v>Invoiced</v>
      </c>
      <c r="J833" s="18" t="n">
        <f aca="false">E833-F833</f>
        <v>36.87</v>
      </c>
      <c r="K833" s="18" t="n">
        <f aca="false">E833-G833</f>
        <v>0</v>
      </c>
      <c r="L833" s="16" t="str">
        <f aca="false">IF(OR(AND(I833="Invoiced",H833="Not Received"),AND(F833&gt;0,ABS(J833)&gt;Assumptions!$B$6),AND(G833&gt;0,ABS(K833)&gt;Assumptions!$B$6)),"EXCEPTION","OK")</f>
        <v>EXCEPTION</v>
      </c>
    </row>
    <row r="834" customFormat="false" ht="15" hidden="false" customHeight="false" outlineLevel="0" collapsed="false">
      <c r="A834" s="16" t="str">
        <f aca="false">Purchase_Orders!A831</f>
        <v>PO10830</v>
      </c>
      <c r="B834" s="16" t="str">
        <f aca="false">Purchase_Orders!B831</f>
        <v>V1039</v>
      </c>
      <c r="C834" s="16" t="str">
        <f aca="false">IFERROR(INDEX(Vendor_Master!$B$2:$B$41,MATCH(B834,Vendor_Master!$A$2:$A$41,0)),"Unknown Vendor")</f>
        <v>Campos, Vaughn and Marquez</v>
      </c>
      <c r="D834" s="17" t="n">
        <f aca="false">Purchase_Orders!C831</f>
        <v>45822</v>
      </c>
      <c r="E834" s="18" t="n">
        <f aca="false">Purchase_Orders!D831</f>
        <v>2115.29</v>
      </c>
      <c r="F834" s="18" t="n">
        <f aca="false">SUMIFS(Goods_Receipt_Notes!$D$2:$D$791,Goods_Receipt_Notes!$B$2:$B$791,A834)</f>
        <v>2115.29</v>
      </c>
      <c r="G834" s="18" t="n">
        <f aca="false">SUMIFS(Vendor_Invoices_AP!$E$2:$E$882,Vendor_Invoices_AP!$B$2:$B$882,A834)</f>
        <v>2115.29</v>
      </c>
      <c r="H834" s="16" t="str">
        <f aca="false">IF(F834=0,"Not Received","Received")</f>
        <v>Received</v>
      </c>
      <c r="I834" s="16" t="str">
        <f aca="false">IF(G834=0,"Not Invoiced","Invoiced")</f>
        <v>Invoiced</v>
      </c>
      <c r="J834" s="18" t="n">
        <f aca="false">E834-F834</f>
        <v>0</v>
      </c>
      <c r="K834" s="18" t="n">
        <f aca="false">E834-G834</f>
        <v>0</v>
      </c>
      <c r="L834" s="16" t="str">
        <f aca="false">IF(OR(AND(I834="Invoiced",H834="Not Received"),AND(F834&gt;0,ABS(J834)&gt;Assumptions!$B$6),AND(G834&gt;0,ABS(K834)&gt;Assumptions!$B$6)),"EXCEPTION","OK")</f>
        <v>OK</v>
      </c>
    </row>
    <row r="835" customFormat="false" ht="15" hidden="false" customHeight="false" outlineLevel="0" collapsed="false">
      <c r="A835" s="16" t="str">
        <f aca="false">Purchase_Orders!A832</f>
        <v>PO10831</v>
      </c>
      <c r="B835" s="16" t="str">
        <f aca="false">Purchase_Orders!B832</f>
        <v>V1037</v>
      </c>
      <c r="C835" s="16" t="str">
        <f aca="false">IFERROR(INDEX(Vendor_Master!$B$2:$B$41,MATCH(B835,Vendor_Master!$A$2:$A$41,0)),"Unknown Vendor")</f>
        <v>Cannon, Anderson and Alvarez</v>
      </c>
      <c r="D835" s="17" t="n">
        <f aca="false">Purchase_Orders!C832</f>
        <v>45773</v>
      </c>
      <c r="E835" s="18" t="n">
        <f aca="false">Purchase_Orders!D832</f>
        <v>1027.6</v>
      </c>
      <c r="F835" s="18" t="n">
        <f aca="false">SUMIFS(Goods_Receipt_Notes!$D$2:$D$791,Goods_Receipt_Notes!$B$2:$B$791,A835)</f>
        <v>1027.6</v>
      </c>
      <c r="G835" s="18" t="n">
        <f aca="false">SUMIFS(Vendor_Invoices_AP!$E$2:$E$882,Vendor_Invoices_AP!$B$2:$B$882,A835)</f>
        <v>1027.6</v>
      </c>
      <c r="H835" s="16" t="str">
        <f aca="false">IF(F835=0,"Not Received","Received")</f>
        <v>Received</v>
      </c>
      <c r="I835" s="16" t="str">
        <f aca="false">IF(G835=0,"Not Invoiced","Invoiced")</f>
        <v>Invoiced</v>
      </c>
      <c r="J835" s="18" t="n">
        <f aca="false">E835-F835</f>
        <v>0</v>
      </c>
      <c r="K835" s="18" t="n">
        <f aca="false">E835-G835</f>
        <v>0</v>
      </c>
      <c r="L835" s="16" t="str">
        <f aca="false">IF(OR(AND(I835="Invoiced",H835="Not Received"),AND(F835&gt;0,ABS(J835)&gt;Assumptions!$B$6),AND(G835&gt;0,ABS(K835)&gt;Assumptions!$B$6)),"EXCEPTION","OK")</f>
        <v>OK</v>
      </c>
    </row>
    <row r="836" customFormat="false" ht="15" hidden="false" customHeight="false" outlineLevel="0" collapsed="false">
      <c r="A836" s="16" t="str">
        <f aca="false">Purchase_Orders!A833</f>
        <v>PO10832</v>
      </c>
      <c r="B836" s="16" t="str">
        <f aca="false">Purchase_Orders!B833</f>
        <v>V1003</v>
      </c>
      <c r="C836" s="16" t="str">
        <f aca="false">IFERROR(INDEX(Vendor_Master!$B$2:$B$41,MATCH(B836,Vendor_Master!$A$2:$A$41,0)),"Unknown Vendor")</f>
        <v>Johnson and Sons</v>
      </c>
      <c r="D836" s="17" t="n">
        <f aca="false">Purchase_Orders!C833</f>
        <v>45732</v>
      </c>
      <c r="E836" s="18" t="n">
        <f aca="false">Purchase_Orders!D833</f>
        <v>1165</v>
      </c>
      <c r="F836" s="18" t="n">
        <f aca="false">SUMIFS(Goods_Receipt_Notes!$D$2:$D$791,Goods_Receipt_Notes!$B$2:$B$791,A836)</f>
        <v>1069.76</v>
      </c>
      <c r="G836" s="18" t="n">
        <f aca="false">SUMIFS(Vendor_Invoices_AP!$E$2:$E$882,Vendor_Invoices_AP!$B$2:$B$882,A836)</f>
        <v>1165</v>
      </c>
      <c r="H836" s="16" t="str">
        <f aca="false">IF(F836=0,"Not Received","Received")</f>
        <v>Received</v>
      </c>
      <c r="I836" s="16" t="str">
        <f aca="false">IF(G836=0,"Not Invoiced","Invoiced")</f>
        <v>Invoiced</v>
      </c>
      <c r="J836" s="18" t="n">
        <f aca="false">E836-F836</f>
        <v>95.24</v>
      </c>
      <c r="K836" s="18" t="n">
        <f aca="false">E836-G836</f>
        <v>0</v>
      </c>
      <c r="L836" s="16" t="str">
        <f aca="false">IF(OR(AND(I836="Invoiced",H836="Not Received"),AND(F836&gt;0,ABS(J836)&gt;Assumptions!$B$6),AND(G836&gt;0,ABS(K836)&gt;Assumptions!$B$6)),"EXCEPTION","OK")</f>
        <v>EXCEPTION</v>
      </c>
    </row>
    <row r="837" customFormat="false" ht="15" hidden="false" customHeight="false" outlineLevel="0" collapsed="false">
      <c r="A837" s="16" t="str">
        <f aca="false">Purchase_Orders!A834</f>
        <v>PO10833</v>
      </c>
      <c r="B837" s="16" t="str">
        <f aca="false">Purchase_Orders!B834</f>
        <v>V1037</v>
      </c>
      <c r="C837" s="16" t="str">
        <f aca="false">IFERROR(INDEX(Vendor_Master!$B$2:$B$41,MATCH(B837,Vendor_Master!$A$2:$A$41,0)),"Unknown Vendor")</f>
        <v>Cannon, Anderson and Alvarez</v>
      </c>
      <c r="D837" s="17" t="n">
        <f aca="false">Purchase_Orders!C834</f>
        <v>45797</v>
      </c>
      <c r="E837" s="18" t="n">
        <f aca="false">Purchase_Orders!D834</f>
        <v>1553.94</v>
      </c>
      <c r="F837" s="18" t="n">
        <f aca="false">SUMIFS(Goods_Receipt_Notes!$D$2:$D$791,Goods_Receipt_Notes!$B$2:$B$791,A837)</f>
        <v>1553.94</v>
      </c>
      <c r="G837" s="18" t="n">
        <f aca="false">SUMIFS(Vendor_Invoices_AP!$E$2:$E$882,Vendor_Invoices_AP!$B$2:$B$882,A837)</f>
        <v>3107.88</v>
      </c>
      <c r="H837" s="16" t="str">
        <f aca="false">IF(F837=0,"Not Received","Received")</f>
        <v>Received</v>
      </c>
      <c r="I837" s="16" t="str">
        <f aca="false">IF(G837=0,"Not Invoiced","Invoiced")</f>
        <v>Invoiced</v>
      </c>
      <c r="J837" s="18" t="n">
        <f aca="false">E837-F837</f>
        <v>0</v>
      </c>
      <c r="K837" s="18" t="n">
        <f aca="false">E837-G837</f>
        <v>-1553.94</v>
      </c>
      <c r="L837" s="16" t="str">
        <f aca="false">IF(OR(AND(I837="Invoiced",H837="Not Received"),AND(F837&gt;0,ABS(J837)&gt;Assumptions!$B$6),AND(G837&gt;0,ABS(K837)&gt;Assumptions!$B$6)),"EXCEPTION","OK")</f>
        <v>EXCEPTION</v>
      </c>
    </row>
    <row r="838" customFormat="false" ht="15" hidden="false" customHeight="false" outlineLevel="0" collapsed="false">
      <c r="A838" s="16" t="str">
        <f aca="false">Purchase_Orders!A835</f>
        <v>PO10834</v>
      </c>
      <c r="B838" s="16" t="str">
        <f aca="false">Purchase_Orders!B835</f>
        <v>V1024</v>
      </c>
      <c r="C838" s="16" t="str">
        <f aca="false">IFERROR(INDEX(Vendor_Master!$B$2:$B$41,MATCH(B838,Vendor_Master!$A$2:$A$41,0)),"Unknown Vendor")</f>
        <v>Campos Inc</v>
      </c>
      <c r="D838" s="17" t="n">
        <f aca="false">Purchase_Orders!C835</f>
        <v>45836</v>
      </c>
      <c r="E838" s="18" t="n">
        <f aca="false">Purchase_Orders!D835</f>
        <v>764.25</v>
      </c>
      <c r="F838" s="18" t="n">
        <f aca="false">SUMIFS(Goods_Receipt_Notes!$D$2:$D$791,Goods_Receipt_Notes!$B$2:$B$791,A838)</f>
        <v>764.25</v>
      </c>
      <c r="G838" s="18" t="n">
        <f aca="false">SUMIFS(Vendor_Invoices_AP!$E$2:$E$882,Vendor_Invoices_AP!$B$2:$B$882,A838)</f>
        <v>764.25</v>
      </c>
      <c r="H838" s="16" t="str">
        <f aca="false">IF(F838=0,"Not Received","Received")</f>
        <v>Received</v>
      </c>
      <c r="I838" s="16" t="str">
        <f aca="false">IF(G838=0,"Not Invoiced","Invoiced")</f>
        <v>Invoiced</v>
      </c>
      <c r="J838" s="18" t="n">
        <f aca="false">E838-F838</f>
        <v>0</v>
      </c>
      <c r="K838" s="18" t="n">
        <f aca="false">E838-G838</f>
        <v>0</v>
      </c>
      <c r="L838" s="16" t="str">
        <f aca="false">IF(OR(AND(I838="Invoiced",H838="Not Received"),AND(F838&gt;0,ABS(J838)&gt;Assumptions!$B$6),AND(G838&gt;0,ABS(K838)&gt;Assumptions!$B$6)),"EXCEPTION","OK")</f>
        <v>OK</v>
      </c>
    </row>
    <row r="839" customFormat="false" ht="15" hidden="false" customHeight="false" outlineLevel="0" collapsed="false">
      <c r="A839" s="16" t="str">
        <f aca="false">Purchase_Orders!A836</f>
        <v>PO10835</v>
      </c>
      <c r="B839" s="16" t="str">
        <f aca="false">Purchase_Orders!B836</f>
        <v>V1022</v>
      </c>
      <c r="C839" s="16" t="str">
        <f aca="false">IFERROR(INDEX(Vendor_Master!$B$2:$B$41,MATCH(B839,Vendor_Master!$A$2:$A$41,0)),"Unknown Vendor")</f>
        <v>Burgess-Patterson</v>
      </c>
      <c r="D839" s="17" t="n">
        <f aca="false">Purchase_Orders!C836</f>
        <v>45662</v>
      </c>
      <c r="E839" s="18" t="n">
        <f aca="false">Purchase_Orders!D836</f>
        <v>8318.12</v>
      </c>
      <c r="F839" s="18" t="n">
        <f aca="false">SUMIFS(Goods_Receipt_Notes!$D$2:$D$791,Goods_Receipt_Notes!$B$2:$B$791,A839)</f>
        <v>8318.12</v>
      </c>
      <c r="G839" s="18" t="n">
        <f aca="false">SUMIFS(Vendor_Invoices_AP!$E$2:$E$882,Vendor_Invoices_AP!$B$2:$B$882,A839)</f>
        <v>8318.12</v>
      </c>
      <c r="H839" s="16" t="str">
        <f aca="false">IF(F839=0,"Not Received","Received")</f>
        <v>Received</v>
      </c>
      <c r="I839" s="16" t="str">
        <f aca="false">IF(G839=0,"Not Invoiced","Invoiced")</f>
        <v>Invoiced</v>
      </c>
      <c r="J839" s="18" t="n">
        <f aca="false">E839-F839</f>
        <v>0</v>
      </c>
      <c r="K839" s="18" t="n">
        <f aca="false">E839-G839</f>
        <v>0</v>
      </c>
      <c r="L839" s="16" t="str">
        <f aca="false">IF(OR(AND(I839="Invoiced",H839="Not Received"),AND(F839&gt;0,ABS(J839)&gt;Assumptions!$B$6),AND(G839&gt;0,ABS(K839)&gt;Assumptions!$B$6)),"EXCEPTION","OK")</f>
        <v>OK</v>
      </c>
    </row>
    <row r="840" customFormat="false" ht="15" hidden="false" customHeight="false" outlineLevel="0" collapsed="false">
      <c r="A840" s="16" t="str">
        <f aca="false">Purchase_Orders!A837</f>
        <v>PO10836</v>
      </c>
      <c r="B840" s="16" t="str">
        <f aca="false">Purchase_Orders!B837</f>
        <v>V1027</v>
      </c>
      <c r="C840" s="16" t="str">
        <f aca="false">IFERROR(INDEX(Vendor_Master!$B$2:$B$41,MATCH(B840,Vendor_Master!$A$2:$A$41,0)),"Unknown Vendor")</f>
        <v>Valencia, Smith and Le</v>
      </c>
      <c r="D840" s="17" t="n">
        <f aca="false">Purchase_Orders!C837</f>
        <v>46065</v>
      </c>
      <c r="E840" s="18" t="n">
        <f aca="false">Purchase_Orders!D837</f>
        <v>2564.63</v>
      </c>
      <c r="F840" s="18" t="n">
        <f aca="false">SUMIFS(Goods_Receipt_Notes!$D$2:$D$791,Goods_Receipt_Notes!$B$2:$B$791,A840)</f>
        <v>2564.63</v>
      </c>
      <c r="G840" s="18" t="n">
        <f aca="false">SUMIFS(Vendor_Invoices_AP!$E$2:$E$882,Vendor_Invoices_AP!$B$2:$B$882,A840)</f>
        <v>2564.63</v>
      </c>
      <c r="H840" s="16" t="str">
        <f aca="false">IF(F840=0,"Not Received","Received")</f>
        <v>Received</v>
      </c>
      <c r="I840" s="16" t="str">
        <f aca="false">IF(G840=0,"Not Invoiced","Invoiced")</f>
        <v>Invoiced</v>
      </c>
      <c r="J840" s="18" t="n">
        <f aca="false">E840-F840</f>
        <v>0</v>
      </c>
      <c r="K840" s="18" t="n">
        <f aca="false">E840-G840</f>
        <v>0</v>
      </c>
      <c r="L840" s="16" t="str">
        <f aca="false">IF(OR(AND(I840="Invoiced",H840="Not Received"),AND(F840&gt;0,ABS(J840)&gt;Assumptions!$B$6),AND(G840&gt;0,ABS(K840)&gt;Assumptions!$B$6)),"EXCEPTION","OK")</f>
        <v>OK</v>
      </c>
    </row>
    <row r="841" customFormat="false" ht="15" hidden="false" customHeight="false" outlineLevel="0" collapsed="false">
      <c r="A841" s="16" t="str">
        <f aca="false">Purchase_Orders!A838</f>
        <v>PO10837</v>
      </c>
      <c r="B841" s="16" t="str">
        <f aca="false">Purchase_Orders!B838</f>
        <v>V1036</v>
      </c>
      <c r="C841" s="16" t="str">
        <f aca="false">IFERROR(INDEX(Vendor_Master!$B$2:$B$41,MATCH(B841,Vendor_Master!$A$2:$A$41,0)),"Unknown Vendor")</f>
        <v>Dennis Inc</v>
      </c>
      <c r="D841" s="17" t="n">
        <f aca="false">Purchase_Orders!C838</f>
        <v>45753</v>
      </c>
      <c r="E841" s="18" t="n">
        <f aca="false">Purchase_Orders!D838</f>
        <v>5467.62</v>
      </c>
      <c r="F841" s="18" t="n">
        <f aca="false">SUMIFS(Goods_Receipt_Notes!$D$2:$D$791,Goods_Receipt_Notes!$B$2:$B$791,A841)</f>
        <v>5467.62</v>
      </c>
      <c r="G841" s="18" t="n">
        <f aca="false">SUMIFS(Vendor_Invoices_AP!$E$2:$E$882,Vendor_Invoices_AP!$B$2:$B$882,A841)</f>
        <v>5467.62</v>
      </c>
      <c r="H841" s="16" t="str">
        <f aca="false">IF(F841=0,"Not Received","Received")</f>
        <v>Received</v>
      </c>
      <c r="I841" s="16" t="str">
        <f aca="false">IF(G841=0,"Not Invoiced","Invoiced")</f>
        <v>Invoiced</v>
      </c>
      <c r="J841" s="18" t="n">
        <f aca="false">E841-F841</f>
        <v>0</v>
      </c>
      <c r="K841" s="18" t="n">
        <f aca="false">E841-G841</f>
        <v>0</v>
      </c>
      <c r="L841" s="16" t="str">
        <f aca="false">IF(OR(AND(I841="Invoiced",H841="Not Received"),AND(F841&gt;0,ABS(J841)&gt;Assumptions!$B$6),AND(G841&gt;0,ABS(K841)&gt;Assumptions!$B$6)),"EXCEPTION","OK")</f>
        <v>OK</v>
      </c>
    </row>
    <row r="842" customFormat="false" ht="15" hidden="false" customHeight="false" outlineLevel="0" collapsed="false">
      <c r="A842" s="16" t="str">
        <f aca="false">Purchase_Orders!A839</f>
        <v>PO10838</v>
      </c>
      <c r="B842" s="16" t="str">
        <f aca="false">Purchase_Orders!B839</f>
        <v>V1009</v>
      </c>
      <c r="C842" s="16" t="str">
        <f aca="false">IFERROR(INDEX(Vendor_Master!$B$2:$B$41,MATCH(B842,Vendor_Master!$A$2:$A$41,0)),"Unknown Vendor")</f>
        <v>Munoz-Roman</v>
      </c>
      <c r="D842" s="17" t="n">
        <f aca="false">Purchase_Orders!C839</f>
        <v>45865</v>
      </c>
      <c r="E842" s="18" t="n">
        <f aca="false">Purchase_Orders!D839</f>
        <v>4948.03</v>
      </c>
      <c r="F842" s="18" t="n">
        <f aca="false">SUMIFS(Goods_Receipt_Notes!$D$2:$D$791,Goods_Receipt_Notes!$B$2:$B$791,A842)</f>
        <v>4948.03</v>
      </c>
      <c r="G842" s="18" t="n">
        <f aca="false">SUMIFS(Vendor_Invoices_AP!$E$2:$E$882,Vendor_Invoices_AP!$B$2:$B$882,A842)</f>
        <v>4948.03</v>
      </c>
      <c r="H842" s="16" t="str">
        <f aca="false">IF(F842=0,"Not Received","Received")</f>
        <v>Received</v>
      </c>
      <c r="I842" s="16" t="str">
        <f aca="false">IF(G842=0,"Not Invoiced","Invoiced")</f>
        <v>Invoiced</v>
      </c>
      <c r="J842" s="18" t="n">
        <f aca="false">E842-F842</f>
        <v>0</v>
      </c>
      <c r="K842" s="18" t="n">
        <f aca="false">E842-G842</f>
        <v>0</v>
      </c>
      <c r="L842" s="16" t="str">
        <f aca="false">IF(OR(AND(I842="Invoiced",H842="Not Received"),AND(F842&gt;0,ABS(J842)&gt;Assumptions!$B$6),AND(G842&gt;0,ABS(K842)&gt;Assumptions!$B$6)),"EXCEPTION","OK")</f>
        <v>OK</v>
      </c>
    </row>
    <row r="843" customFormat="false" ht="15" hidden="false" customHeight="false" outlineLevel="0" collapsed="false">
      <c r="A843" s="16" t="str">
        <f aca="false">Purchase_Orders!A840</f>
        <v>PO10839</v>
      </c>
      <c r="B843" s="16" t="str">
        <f aca="false">Purchase_Orders!B840</f>
        <v>V1029</v>
      </c>
      <c r="C843" s="16" t="str">
        <f aca="false">IFERROR(INDEX(Vendor_Master!$B$2:$B$41,MATCH(B843,Vendor_Master!$A$2:$A$41,0)),"Unknown Vendor")</f>
        <v>Chavez Ltd</v>
      </c>
      <c r="D843" s="17" t="n">
        <f aca="false">Purchase_Orders!C840</f>
        <v>46041</v>
      </c>
      <c r="E843" s="18" t="n">
        <f aca="false">Purchase_Orders!D840</f>
        <v>1631.21</v>
      </c>
      <c r="F843" s="18" t="n">
        <f aca="false">SUMIFS(Goods_Receipt_Notes!$D$2:$D$791,Goods_Receipt_Notes!$B$2:$B$791,A843)</f>
        <v>1631.21</v>
      </c>
      <c r="G843" s="18" t="n">
        <f aca="false">SUMIFS(Vendor_Invoices_AP!$E$2:$E$882,Vendor_Invoices_AP!$B$2:$B$882,A843)</f>
        <v>1631.21</v>
      </c>
      <c r="H843" s="16" t="str">
        <f aca="false">IF(F843=0,"Not Received","Received")</f>
        <v>Received</v>
      </c>
      <c r="I843" s="16" t="str">
        <f aca="false">IF(G843=0,"Not Invoiced","Invoiced")</f>
        <v>Invoiced</v>
      </c>
      <c r="J843" s="18" t="n">
        <f aca="false">E843-F843</f>
        <v>0</v>
      </c>
      <c r="K843" s="18" t="n">
        <f aca="false">E843-G843</f>
        <v>0</v>
      </c>
      <c r="L843" s="16" t="str">
        <f aca="false">IF(OR(AND(I843="Invoiced",H843="Not Received"),AND(F843&gt;0,ABS(J843)&gt;Assumptions!$B$6),AND(G843&gt;0,ABS(K843)&gt;Assumptions!$B$6)),"EXCEPTION","OK")</f>
        <v>OK</v>
      </c>
    </row>
    <row r="844" customFormat="false" ht="15" hidden="false" customHeight="false" outlineLevel="0" collapsed="false">
      <c r="A844" s="16" t="str">
        <f aca="false">Purchase_Orders!A841</f>
        <v>PO10840</v>
      </c>
      <c r="B844" s="16" t="str">
        <f aca="false">Purchase_Orders!B841</f>
        <v>V1040</v>
      </c>
      <c r="C844" s="16" t="str">
        <f aca="false">IFERROR(INDEX(Vendor_Master!$B$2:$B$41,MATCH(B844,Vendor_Master!$A$2:$A$41,0)),"Unknown Vendor")</f>
        <v>Santos, Kim and Holmes</v>
      </c>
      <c r="D844" s="17" t="n">
        <f aca="false">Purchase_Orders!C841</f>
        <v>45930</v>
      </c>
      <c r="E844" s="18" t="n">
        <f aca="false">Purchase_Orders!D841</f>
        <v>819.06</v>
      </c>
      <c r="F844" s="18" t="n">
        <f aca="false">SUMIFS(Goods_Receipt_Notes!$D$2:$D$791,Goods_Receipt_Notes!$B$2:$B$791,A844)</f>
        <v>819.06</v>
      </c>
      <c r="G844" s="18" t="n">
        <f aca="false">SUMIFS(Vendor_Invoices_AP!$E$2:$E$882,Vendor_Invoices_AP!$B$2:$B$882,A844)</f>
        <v>819.06</v>
      </c>
      <c r="H844" s="16" t="str">
        <f aca="false">IF(F844=0,"Not Received","Received")</f>
        <v>Received</v>
      </c>
      <c r="I844" s="16" t="str">
        <f aca="false">IF(G844=0,"Not Invoiced","Invoiced")</f>
        <v>Invoiced</v>
      </c>
      <c r="J844" s="18" t="n">
        <f aca="false">E844-F844</f>
        <v>0</v>
      </c>
      <c r="K844" s="18" t="n">
        <f aca="false">E844-G844</f>
        <v>0</v>
      </c>
      <c r="L844" s="16" t="str">
        <f aca="false">IF(OR(AND(I844="Invoiced",H844="Not Received"),AND(F844&gt;0,ABS(J844)&gt;Assumptions!$B$6),AND(G844&gt;0,ABS(K844)&gt;Assumptions!$B$6)),"EXCEPTION","OK")</f>
        <v>OK</v>
      </c>
    </row>
    <row r="845" customFormat="false" ht="15" hidden="false" customHeight="false" outlineLevel="0" collapsed="false">
      <c r="A845" s="16" t="str">
        <f aca="false">Purchase_Orders!A842</f>
        <v>PO10841</v>
      </c>
      <c r="B845" s="16" t="str">
        <f aca="false">Purchase_Orders!B842</f>
        <v>V1009</v>
      </c>
      <c r="C845" s="16" t="str">
        <f aca="false">IFERROR(INDEX(Vendor_Master!$B$2:$B$41,MATCH(B845,Vendor_Master!$A$2:$A$41,0)),"Unknown Vendor")</f>
        <v>Munoz-Roman</v>
      </c>
      <c r="D845" s="17" t="n">
        <f aca="false">Purchase_Orders!C842</f>
        <v>46112</v>
      </c>
      <c r="E845" s="18" t="n">
        <f aca="false">Purchase_Orders!D842</f>
        <v>1380.81</v>
      </c>
      <c r="F845" s="18" t="n">
        <f aca="false">SUMIFS(Goods_Receipt_Notes!$D$2:$D$791,Goods_Receipt_Notes!$B$2:$B$791,A845)</f>
        <v>846.58</v>
      </c>
      <c r="G845" s="18" t="n">
        <f aca="false">SUMIFS(Vendor_Invoices_AP!$E$2:$E$882,Vendor_Invoices_AP!$B$2:$B$882,A845)</f>
        <v>1380.81</v>
      </c>
      <c r="H845" s="16" t="str">
        <f aca="false">IF(F845=0,"Not Received","Received")</f>
        <v>Received</v>
      </c>
      <c r="I845" s="16" t="str">
        <f aca="false">IF(G845=0,"Not Invoiced","Invoiced")</f>
        <v>Invoiced</v>
      </c>
      <c r="J845" s="18" t="n">
        <f aca="false">E845-F845</f>
        <v>534.23</v>
      </c>
      <c r="K845" s="18" t="n">
        <f aca="false">E845-G845</f>
        <v>0</v>
      </c>
      <c r="L845" s="16" t="str">
        <f aca="false">IF(OR(AND(I845="Invoiced",H845="Not Received"),AND(F845&gt;0,ABS(J845)&gt;Assumptions!$B$6),AND(G845&gt;0,ABS(K845)&gt;Assumptions!$B$6)),"EXCEPTION","OK")</f>
        <v>EXCEPTION</v>
      </c>
    </row>
    <row r="846" customFormat="false" ht="15" hidden="false" customHeight="false" outlineLevel="0" collapsed="false">
      <c r="A846" s="16" t="str">
        <f aca="false">Purchase_Orders!A843</f>
        <v>PO10842</v>
      </c>
      <c r="B846" s="16" t="str">
        <f aca="false">Purchase_Orders!B843</f>
        <v>V1028</v>
      </c>
      <c r="C846" s="16" t="str">
        <f aca="false">IFERROR(INDEX(Vendor_Master!$B$2:$B$41,MATCH(B846,Vendor_Master!$A$2:$A$41,0)),"Unknown Vendor")</f>
        <v>Potter, Mack and Peterson</v>
      </c>
      <c r="D846" s="17" t="n">
        <f aca="false">Purchase_Orders!C843</f>
        <v>46097</v>
      </c>
      <c r="E846" s="18" t="n">
        <f aca="false">Purchase_Orders!D843</f>
        <v>537.91</v>
      </c>
      <c r="F846" s="18" t="n">
        <f aca="false">SUMIFS(Goods_Receipt_Notes!$D$2:$D$791,Goods_Receipt_Notes!$B$2:$B$791,A846)</f>
        <v>537.91</v>
      </c>
      <c r="G846" s="18" t="n">
        <f aca="false">SUMIFS(Vendor_Invoices_AP!$E$2:$E$882,Vendor_Invoices_AP!$B$2:$B$882,A846)</f>
        <v>537.91</v>
      </c>
      <c r="H846" s="16" t="str">
        <f aca="false">IF(F846=0,"Not Received","Received")</f>
        <v>Received</v>
      </c>
      <c r="I846" s="16" t="str">
        <f aca="false">IF(G846=0,"Not Invoiced","Invoiced")</f>
        <v>Invoiced</v>
      </c>
      <c r="J846" s="18" t="n">
        <f aca="false">E846-F846</f>
        <v>0</v>
      </c>
      <c r="K846" s="18" t="n">
        <f aca="false">E846-G846</f>
        <v>0</v>
      </c>
      <c r="L846" s="16" t="str">
        <f aca="false">IF(OR(AND(I846="Invoiced",H846="Not Received"),AND(F846&gt;0,ABS(J846)&gt;Assumptions!$B$6),AND(G846&gt;0,ABS(K846)&gt;Assumptions!$B$6)),"EXCEPTION","OK")</f>
        <v>OK</v>
      </c>
    </row>
    <row r="847" customFormat="false" ht="15" hidden="false" customHeight="false" outlineLevel="0" collapsed="false">
      <c r="A847" s="16" t="str">
        <f aca="false">Purchase_Orders!A844</f>
        <v>PO10843</v>
      </c>
      <c r="B847" s="16" t="str">
        <f aca="false">Purchase_Orders!B844</f>
        <v>V1039</v>
      </c>
      <c r="C847" s="16" t="str">
        <f aca="false">IFERROR(INDEX(Vendor_Master!$B$2:$B$41,MATCH(B847,Vendor_Master!$A$2:$A$41,0)),"Unknown Vendor")</f>
        <v>Campos, Vaughn and Marquez</v>
      </c>
      <c r="D847" s="17" t="n">
        <f aca="false">Purchase_Orders!C844</f>
        <v>45697</v>
      </c>
      <c r="E847" s="18" t="n">
        <f aca="false">Purchase_Orders!D844</f>
        <v>2224.01</v>
      </c>
      <c r="F847" s="18" t="n">
        <f aca="false">SUMIFS(Goods_Receipt_Notes!$D$2:$D$791,Goods_Receipt_Notes!$B$2:$B$791,A847)</f>
        <v>2224.01</v>
      </c>
      <c r="G847" s="18" t="n">
        <f aca="false">SUMIFS(Vendor_Invoices_AP!$E$2:$E$882,Vendor_Invoices_AP!$B$2:$B$882,A847)</f>
        <v>2224.01</v>
      </c>
      <c r="H847" s="16" t="str">
        <f aca="false">IF(F847=0,"Not Received","Received")</f>
        <v>Received</v>
      </c>
      <c r="I847" s="16" t="str">
        <f aca="false">IF(G847=0,"Not Invoiced","Invoiced")</f>
        <v>Invoiced</v>
      </c>
      <c r="J847" s="18" t="n">
        <f aca="false">E847-F847</f>
        <v>0</v>
      </c>
      <c r="K847" s="18" t="n">
        <f aca="false">E847-G847</f>
        <v>0</v>
      </c>
      <c r="L847" s="16" t="str">
        <f aca="false">IF(OR(AND(I847="Invoiced",H847="Not Received"),AND(F847&gt;0,ABS(J847)&gt;Assumptions!$B$6),AND(G847&gt;0,ABS(K847)&gt;Assumptions!$B$6)),"EXCEPTION","OK")</f>
        <v>OK</v>
      </c>
    </row>
    <row r="848" customFormat="false" ht="15" hidden="false" customHeight="false" outlineLevel="0" collapsed="false">
      <c r="A848" s="16" t="str">
        <f aca="false">Purchase_Orders!A845</f>
        <v>PO10844</v>
      </c>
      <c r="B848" s="16" t="str">
        <f aca="false">Purchase_Orders!B845</f>
        <v>V1019</v>
      </c>
      <c r="C848" s="16" t="str">
        <f aca="false">IFERROR(INDEX(Vendor_Master!$B$2:$B$41,MATCH(B848,Vendor_Master!$A$2:$A$41,0)),"Unknown Vendor")</f>
        <v>Clark PLC</v>
      </c>
      <c r="D848" s="17" t="n">
        <f aca="false">Purchase_Orders!C845</f>
        <v>46127</v>
      </c>
      <c r="E848" s="18" t="n">
        <f aca="false">Purchase_Orders!D845</f>
        <v>972.49</v>
      </c>
      <c r="F848" s="18" t="n">
        <f aca="false">SUMIFS(Goods_Receipt_Notes!$D$2:$D$791,Goods_Receipt_Notes!$B$2:$B$791,A848)</f>
        <v>972.49</v>
      </c>
      <c r="G848" s="18" t="n">
        <f aca="false">SUMIFS(Vendor_Invoices_AP!$E$2:$E$882,Vendor_Invoices_AP!$B$2:$B$882,A848)</f>
        <v>972.49</v>
      </c>
      <c r="H848" s="16" t="str">
        <f aca="false">IF(F848=0,"Not Received","Received")</f>
        <v>Received</v>
      </c>
      <c r="I848" s="16" t="str">
        <f aca="false">IF(G848=0,"Not Invoiced","Invoiced")</f>
        <v>Invoiced</v>
      </c>
      <c r="J848" s="18" t="n">
        <f aca="false">E848-F848</f>
        <v>0</v>
      </c>
      <c r="K848" s="18" t="n">
        <f aca="false">E848-G848</f>
        <v>0</v>
      </c>
      <c r="L848" s="16" t="str">
        <f aca="false">IF(OR(AND(I848="Invoiced",H848="Not Received"),AND(F848&gt;0,ABS(J848)&gt;Assumptions!$B$6),AND(G848&gt;0,ABS(K848)&gt;Assumptions!$B$6)),"EXCEPTION","OK")</f>
        <v>OK</v>
      </c>
    </row>
    <row r="849" customFormat="false" ht="15" hidden="false" customHeight="false" outlineLevel="0" collapsed="false">
      <c r="A849" s="16" t="str">
        <f aca="false">Purchase_Orders!A846</f>
        <v>PO10845</v>
      </c>
      <c r="B849" s="16" t="str">
        <f aca="false">Purchase_Orders!B846</f>
        <v>V1012</v>
      </c>
      <c r="C849" s="16" t="str">
        <f aca="false">IFERROR(INDEX(Vendor_Master!$B$2:$B$41,MATCH(B849,Vendor_Master!$A$2:$A$41,0)),"Unknown Vendor")</f>
        <v>Stanley LLC</v>
      </c>
      <c r="D849" s="17" t="n">
        <f aca="false">Purchase_Orders!C846</f>
        <v>45681</v>
      </c>
      <c r="E849" s="18" t="n">
        <f aca="false">Purchase_Orders!D846</f>
        <v>5021.94</v>
      </c>
      <c r="F849" s="18" t="n">
        <f aca="false">SUMIFS(Goods_Receipt_Notes!$D$2:$D$791,Goods_Receipt_Notes!$B$2:$B$791,A849)</f>
        <v>5021.94</v>
      </c>
      <c r="G849" s="18" t="n">
        <f aca="false">SUMIFS(Vendor_Invoices_AP!$E$2:$E$882,Vendor_Invoices_AP!$B$2:$B$882,A849)</f>
        <v>5021.94</v>
      </c>
      <c r="H849" s="16" t="str">
        <f aca="false">IF(F849=0,"Not Received","Received")</f>
        <v>Received</v>
      </c>
      <c r="I849" s="16" t="str">
        <f aca="false">IF(G849=0,"Not Invoiced","Invoiced")</f>
        <v>Invoiced</v>
      </c>
      <c r="J849" s="18" t="n">
        <f aca="false">E849-F849</f>
        <v>0</v>
      </c>
      <c r="K849" s="18" t="n">
        <f aca="false">E849-G849</f>
        <v>0</v>
      </c>
      <c r="L849" s="16" t="str">
        <f aca="false">IF(OR(AND(I849="Invoiced",H849="Not Received"),AND(F849&gt;0,ABS(J849)&gt;Assumptions!$B$6),AND(G849&gt;0,ABS(K849)&gt;Assumptions!$B$6)),"EXCEPTION","OK")</f>
        <v>OK</v>
      </c>
    </row>
    <row r="850" customFormat="false" ht="15" hidden="false" customHeight="false" outlineLevel="0" collapsed="false">
      <c r="A850" s="16" t="str">
        <f aca="false">Purchase_Orders!A847</f>
        <v>PO10846</v>
      </c>
      <c r="B850" s="16" t="str">
        <f aca="false">Purchase_Orders!B847</f>
        <v>V1007</v>
      </c>
      <c r="C850" s="16" t="str">
        <f aca="false">IFERROR(INDEX(Vendor_Master!$B$2:$B$41,MATCH(B850,Vendor_Master!$A$2:$A$41,0)),"Unknown Vendor")</f>
        <v>Ramirez-Lewis</v>
      </c>
      <c r="D850" s="17" t="n">
        <f aca="false">Purchase_Orders!C847</f>
        <v>45668</v>
      </c>
      <c r="E850" s="18" t="n">
        <f aca="false">Purchase_Orders!D847</f>
        <v>5287.19</v>
      </c>
      <c r="F850" s="18" t="n">
        <f aca="false">SUMIFS(Goods_Receipt_Notes!$D$2:$D$791,Goods_Receipt_Notes!$B$2:$B$791,A850)</f>
        <v>4063.18</v>
      </c>
      <c r="G850" s="18" t="n">
        <f aca="false">SUMIFS(Vendor_Invoices_AP!$E$2:$E$882,Vendor_Invoices_AP!$B$2:$B$882,A850)</f>
        <v>5287.19</v>
      </c>
      <c r="H850" s="16" t="str">
        <f aca="false">IF(F850=0,"Not Received","Received")</f>
        <v>Received</v>
      </c>
      <c r="I850" s="16" t="str">
        <f aca="false">IF(G850=0,"Not Invoiced","Invoiced")</f>
        <v>Invoiced</v>
      </c>
      <c r="J850" s="18" t="n">
        <f aca="false">E850-F850</f>
        <v>1224.01</v>
      </c>
      <c r="K850" s="18" t="n">
        <f aca="false">E850-G850</f>
        <v>0</v>
      </c>
      <c r="L850" s="16" t="str">
        <f aca="false">IF(OR(AND(I850="Invoiced",H850="Not Received"),AND(F850&gt;0,ABS(J850)&gt;Assumptions!$B$6),AND(G850&gt;0,ABS(K850)&gt;Assumptions!$B$6)),"EXCEPTION","OK")</f>
        <v>EXCEPTION</v>
      </c>
    </row>
    <row r="851" customFormat="false" ht="15" hidden="false" customHeight="false" outlineLevel="0" collapsed="false">
      <c r="A851" s="16" t="str">
        <f aca="false">Purchase_Orders!A848</f>
        <v>PO10847</v>
      </c>
      <c r="B851" s="16" t="str">
        <f aca="false">Purchase_Orders!B848</f>
        <v>V1020</v>
      </c>
      <c r="C851" s="16" t="str">
        <f aca="false">IFERROR(INDEX(Vendor_Master!$B$2:$B$41,MATCH(B851,Vendor_Master!$A$2:$A$41,0)),"Unknown Vendor")</f>
        <v>Lewis-Porter</v>
      </c>
      <c r="D851" s="17" t="n">
        <f aca="false">Purchase_Orders!C848</f>
        <v>46160</v>
      </c>
      <c r="E851" s="18" t="n">
        <f aca="false">Purchase_Orders!D848</f>
        <v>7892.6</v>
      </c>
      <c r="F851" s="18" t="n">
        <f aca="false">SUMIFS(Goods_Receipt_Notes!$D$2:$D$791,Goods_Receipt_Notes!$B$2:$B$791,A851)</f>
        <v>7892.6</v>
      </c>
      <c r="G851" s="18" t="n">
        <f aca="false">SUMIFS(Vendor_Invoices_AP!$E$2:$E$882,Vendor_Invoices_AP!$B$2:$B$882,A851)</f>
        <v>7892.6</v>
      </c>
      <c r="H851" s="16" t="str">
        <f aca="false">IF(F851=0,"Not Received","Received")</f>
        <v>Received</v>
      </c>
      <c r="I851" s="16" t="str">
        <f aca="false">IF(G851=0,"Not Invoiced","Invoiced")</f>
        <v>Invoiced</v>
      </c>
      <c r="J851" s="18" t="n">
        <f aca="false">E851-F851</f>
        <v>0</v>
      </c>
      <c r="K851" s="18" t="n">
        <f aca="false">E851-G851</f>
        <v>0</v>
      </c>
      <c r="L851" s="16" t="str">
        <f aca="false">IF(OR(AND(I851="Invoiced",H851="Not Received"),AND(F851&gt;0,ABS(J851)&gt;Assumptions!$B$6),AND(G851&gt;0,ABS(K851)&gt;Assumptions!$B$6)),"EXCEPTION","OK")</f>
        <v>OK</v>
      </c>
    </row>
    <row r="852" customFormat="false" ht="15" hidden="false" customHeight="false" outlineLevel="0" collapsed="false">
      <c r="A852" s="16" t="str">
        <f aca="false">Purchase_Orders!A849</f>
        <v>PO10848</v>
      </c>
      <c r="B852" s="16" t="str">
        <f aca="false">Purchase_Orders!B849</f>
        <v>V1029</v>
      </c>
      <c r="C852" s="16" t="str">
        <f aca="false">IFERROR(INDEX(Vendor_Master!$B$2:$B$41,MATCH(B852,Vendor_Master!$A$2:$A$41,0)),"Unknown Vendor")</f>
        <v>Chavez Ltd</v>
      </c>
      <c r="D852" s="17" t="n">
        <f aca="false">Purchase_Orders!C849</f>
        <v>46127</v>
      </c>
      <c r="E852" s="18" t="n">
        <f aca="false">Purchase_Orders!D849</f>
        <v>5336.94</v>
      </c>
      <c r="F852" s="18" t="n">
        <f aca="false">SUMIFS(Goods_Receipt_Notes!$D$2:$D$791,Goods_Receipt_Notes!$B$2:$B$791,A852)</f>
        <v>5336.94</v>
      </c>
      <c r="G852" s="18" t="n">
        <f aca="false">SUMIFS(Vendor_Invoices_AP!$E$2:$E$882,Vendor_Invoices_AP!$B$2:$B$882,A852)</f>
        <v>5336.94</v>
      </c>
      <c r="H852" s="16" t="str">
        <f aca="false">IF(F852=0,"Not Received","Received")</f>
        <v>Received</v>
      </c>
      <c r="I852" s="16" t="str">
        <f aca="false">IF(G852=0,"Not Invoiced","Invoiced")</f>
        <v>Invoiced</v>
      </c>
      <c r="J852" s="18" t="n">
        <f aca="false">E852-F852</f>
        <v>0</v>
      </c>
      <c r="K852" s="18" t="n">
        <f aca="false">E852-G852</f>
        <v>0</v>
      </c>
      <c r="L852" s="16" t="str">
        <f aca="false">IF(OR(AND(I852="Invoiced",H852="Not Received"),AND(F852&gt;0,ABS(J852)&gt;Assumptions!$B$6),AND(G852&gt;0,ABS(K852)&gt;Assumptions!$B$6)),"EXCEPTION","OK")</f>
        <v>OK</v>
      </c>
    </row>
    <row r="853" customFormat="false" ht="15" hidden="false" customHeight="false" outlineLevel="0" collapsed="false">
      <c r="A853" s="16" t="str">
        <f aca="false">Purchase_Orders!A850</f>
        <v>PO10849</v>
      </c>
      <c r="B853" s="16" t="str">
        <f aca="false">Purchase_Orders!B850</f>
        <v>V1033</v>
      </c>
      <c r="C853" s="16" t="str">
        <f aca="false">IFERROR(INDEX(Vendor_Master!$B$2:$B$41,MATCH(B853,Vendor_Master!$A$2:$A$41,0)),"Unknown Vendor")</f>
        <v>Sellers, George and Burns</v>
      </c>
      <c r="D853" s="17" t="n">
        <f aca="false">Purchase_Orders!C850</f>
        <v>45971</v>
      </c>
      <c r="E853" s="18" t="n">
        <f aca="false">Purchase_Orders!D850</f>
        <v>2474.64</v>
      </c>
      <c r="F853" s="18" t="n">
        <f aca="false">SUMIFS(Goods_Receipt_Notes!$D$2:$D$791,Goods_Receipt_Notes!$B$2:$B$791,A853)</f>
        <v>2474.64</v>
      </c>
      <c r="G853" s="18" t="n">
        <f aca="false">SUMIFS(Vendor_Invoices_AP!$E$2:$E$882,Vendor_Invoices_AP!$B$2:$B$882,A853)</f>
        <v>2474.64</v>
      </c>
      <c r="H853" s="16" t="str">
        <f aca="false">IF(F853=0,"Not Received","Received")</f>
        <v>Received</v>
      </c>
      <c r="I853" s="16" t="str">
        <f aca="false">IF(G853=0,"Not Invoiced","Invoiced")</f>
        <v>Invoiced</v>
      </c>
      <c r="J853" s="18" t="n">
        <f aca="false">E853-F853</f>
        <v>0</v>
      </c>
      <c r="K853" s="18" t="n">
        <f aca="false">E853-G853</f>
        <v>0</v>
      </c>
      <c r="L853" s="16" t="str">
        <f aca="false">IF(OR(AND(I853="Invoiced",H853="Not Received"),AND(F853&gt;0,ABS(J853)&gt;Assumptions!$B$6),AND(G853&gt;0,ABS(K853)&gt;Assumptions!$B$6)),"EXCEPTION","OK")</f>
        <v>OK</v>
      </c>
    </row>
    <row r="854" customFormat="false" ht="15" hidden="false" customHeight="false" outlineLevel="0" collapsed="false">
      <c r="A854" s="16" t="str">
        <f aca="false">Purchase_Orders!A851</f>
        <v>PO10850</v>
      </c>
      <c r="B854" s="16" t="str">
        <f aca="false">Purchase_Orders!B851</f>
        <v>V1014</v>
      </c>
      <c r="C854" s="16" t="str">
        <f aca="false">IFERROR(INDEX(Vendor_Master!$B$2:$B$41,MATCH(B854,Vendor_Master!$A$2:$A$41,0)),"Unknown Vendor")</f>
        <v>Flowers, Martin and Kelly</v>
      </c>
      <c r="D854" s="17" t="n">
        <f aca="false">Purchase_Orders!C851</f>
        <v>45970</v>
      </c>
      <c r="E854" s="18" t="n">
        <f aca="false">Purchase_Orders!D851</f>
        <v>4104.49</v>
      </c>
      <c r="F854" s="18" t="n">
        <f aca="false">SUMIFS(Goods_Receipt_Notes!$D$2:$D$791,Goods_Receipt_Notes!$B$2:$B$791,A854)</f>
        <v>4104.49</v>
      </c>
      <c r="G854" s="18" t="n">
        <f aca="false">SUMIFS(Vendor_Invoices_AP!$E$2:$E$882,Vendor_Invoices_AP!$B$2:$B$882,A854)</f>
        <v>4104.49</v>
      </c>
      <c r="H854" s="16" t="str">
        <f aca="false">IF(F854=0,"Not Received","Received")</f>
        <v>Received</v>
      </c>
      <c r="I854" s="16" t="str">
        <f aca="false">IF(G854=0,"Not Invoiced","Invoiced")</f>
        <v>Invoiced</v>
      </c>
      <c r="J854" s="18" t="n">
        <f aca="false">E854-F854</f>
        <v>0</v>
      </c>
      <c r="K854" s="18" t="n">
        <f aca="false">E854-G854</f>
        <v>0</v>
      </c>
      <c r="L854" s="16" t="str">
        <f aca="false">IF(OR(AND(I854="Invoiced",H854="Not Received"),AND(F854&gt;0,ABS(J854)&gt;Assumptions!$B$6),AND(G854&gt;0,ABS(K854)&gt;Assumptions!$B$6)),"EXCEPTION","OK")</f>
        <v>OK</v>
      </c>
    </row>
  </sheetData>
  <autoFilter ref="A4:L8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5537</v>
      </c>
    </row>
    <row r="2" customFormat="false" ht="15" hidden="false" customHeight="false" outlineLevel="0" collapsed="false">
      <c r="A2" s="2" t="s">
        <v>5538</v>
      </c>
    </row>
    <row r="4" customFormat="false" ht="15" hidden="false" customHeight="false" outlineLevel="0" collapsed="false">
      <c r="A4" s="3" t="s">
        <v>5539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7" t="s">
        <v>2838</v>
      </c>
      <c r="B5" s="7" t="s">
        <v>63</v>
      </c>
      <c r="C5" s="7" t="s">
        <v>2839</v>
      </c>
      <c r="D5" s="7" t="s">
        <v>2840</v>
      </c>
      <c r="E5" s="7" t="s">
        <v>5540</v>
      </c>
      <c r="F5" s="7" t="s">
        <v>5541</v>
      </c>
      <c r="G5" s="7" t="s">
        <v>5542</v>
      </c>
      <c r="H5" s="7" t="s">
        <v>5543</v>
      </c>
    </row>
    <row r="6" customFormat="false" ht="15" hidden="false" customHeight="false" outlineLevel="0" collapsed="false">
      <c r="A6" s="16" t="str">
        <f aca="false">Payment_Log_AP!A2</f>
        <v>PAY40001</v>
      </c>
      <c r="B6" s="16" t="str">
        <f aca="false">Payment_Log_AP!C2</f>
        <v>V1020</v>
      </c>
      <c r="C6" s="17" t="n">
        <f aca="false">Payment_Log_AP!D2</f>
        <v>46142</v>
      </c>
      <c r="D6" s="18" t="n">
        <f aca="false">Payment_Log_AP!E2</f>
        <v>1417.41</v>
      </c>
      <c r="E6" s="18" t="n">
        <f aca="false">IFERROR(INDEX(Bank_Statement!$C$2:$C$783,MATCH(A6,Bank_Statement!$E$2:$E$783,0)),"")</f>
        <v>-1417.41</v>
      </c>
      <c r="F6" s="16" t="str">
        <f aca="false">IF(E6="","No","Yes")</f>
        <v>Yes</v>
      </c>
      <c r="G6" s="18" t="n">
        <f aca="false">IF(F6="No","N/A",D6-E6)</f>
        <v>2834.82</v>
      </c>
      <c r="H6" s="16" t="str">
        <f aca="false">IF(F6="No","Unmatched - Investigate",IF(ABS(D6-E6)&gt;Assumptions!$B$6,"Mismatch - Amount Differs","Matched"))</f>
        <v>Mismatch - Amount Differs</v>
      </c>
    </row>
    <row r="7" customFormat="false" ht="15" hidden="false" customHeight="false" outlineLevel="0" collapsed="false">
      <c r="A7" s="16" t="str">
        <f aca="false">Payment_Log_AP!A3</f>
        <v>PAY40002</v>
      </c>
      <c r="B7" s="16" t="str">
        <f aca="false">Payment_Log_AP!C3</f>
        <v>V1034</v>
      </c>
      <c r="C7" s="17" t="n">
        <f aca="false">Payment_Log_AP!D3</f>
        <v>45805</v>
      </c>
      <c r="D7" s="18" t="n">
        <f aca="false">Payment_Log_AP!E3</f>
        <v>1749.66</v>
      </c>
      <c r="E7" s="18" t="n">
        <f aca="false">IFERROR(INDEX(Bank_Statement!$C$2:$C$783,MATCH(A7,Bank_Statement!$E$2:$E$783,0)),"")</f>
        <v>-1749.66</v>
      </c>
      <c r="F7" s="16" t="str">
        <f aca="false">IF(E7="","No","Yes")</f>
        <v>Yes</v>
      </c>
      <c r="G7" s="18" t="n">
        <f aca="false">IF(F7="No","N/A",D7-E7)</f>
        <v>3499.32</v>
      </c>
      <c r="H7" s="16" t="str">
        <f aca="false">IF(F7="No","Unmatched - Investigate",IF(ABS(D7-E7)&gt;Assumptions!$B$6,"Mismatch - Amount Differs","Matched"))</f>
        <v>Mismatch - Amount Differs</v>
      </c>
    </row>
    <row r="8" customFormat="false" ht="15" hidden="false" customHeight="false" outlineLevel="0" collapsed="false">
      <c r="A8" s="16" t="str">
        <f aca="false">Payment_Log_AP!A4</f>
        <v>PAY40003</v>
      </c>
      <c r="B8" s="16" t="str">
        <f aca="false">Payment_Log_AP!C4</f>
        <v>V1014</v>
      </c>
      <c r="C8" s="17" t="n">
        <f aca="false">Payment_Log_AP!D4</f>
        <v>45683</v>
      </c>
      <c r="D8" s="18" t="n">
        <f aca="false">Payment_Log_AP!E4</f>
        <v>2691.35</v>
      </c>
      <c r="E8" s="18" t="n">
        <f aca="false">IFERROR(INDEX(Bank_Statement!$C$2:$C$783,MATCH(A8,Bank_Statement!$E$2:$E$783,0)),"")</f>
        <v>-2691.35</v>
      </c>
      <c r="F8" s="16" t="str">
        <f aca="false">IF(E8="","No","Yes")</f>
        <v>Yes</v>
      </c>
      <c r="G8" s="18" t="n">
        <f aca="false">IF(F8="No","N/A",D8-E8)</f>
        <v>5382.7</v>
      </c>
      <c r="H8" s="16" t="str">
        <f aca="false">IF(F8="No","Unmatched - Investigate",IF(ABS(D8-E8)&gt;Assumptions!$B$6,"Mismatch - Amount Differs","Matched"))</f>
        <v>Mismatch - Amount Differs</v>
      </c>
    </row>
    <row r="9" customFormat="false" ht="15" hidden="false" customHeight="false" outlineLevel="0" collapsed="false">
      <c r="A9" s="16" t="str">
        <f aca="false">Payment_Log_AP!A5</f>
        <v>PAY40004</v>
      </c>
      <c r="B9" s="16" t="str">
        <f aca="false">Payment_Log_AP!C5</f>
        <v>V1040</v>
      </c>
      <c r="C9" s="17" t="n">
        <f aca="false">Payment_Log_AP!D5</f>
        <v>45805</v>
      </c>
      <c r="D9" s="18" t="n">
        <f aca="false">Payment_Log_AP!E5</f>
        <v>889.24</v>
      </c>
      <c r="E9" s="18" t="n">
        <f aca="false">IFERROR(INDEX(Bank_Statement!$C$2:$C$783,MATCH(A9,Bank_Statement!$E$2:$E$783,0)),"")</f>
        <v>-889.24</v>
      </c>
      <c r="F9" s="16" t="str">
        <f aca="false">IF(E9="","No","Yes")</f>
        <v>Yes</v>
      </c>
      <c r="G9" s="18" t="n">
        <f aca="false">IF(F9="No","N/A",D9-E9)</f>
        <v>1778.48</v>
      </c>
      <c r="H9" s="16" t="str">
        <f aca="false">IF(F9="No","Unmatched - Investigate",IF(ABS(D9-E9)&gt;Assumptions!$B$6,"Mismatch - Amount Differs","Matched"))</f>
        <v>Mismatch - Amount Differs</v>
      </c>
    </row>
    <row r="10" customFormat="false" ht="15" hidden="false" customHeight="false" outlineLevel="0" collapsed="false">
      <c r="A10" s="16" t="str">
        <f aca="false">Payment_Log_AP!A6</f>
        <v>PAY40005</v>
      </c>
      <c r="B10" s="16" t="str">
        <f aca="false">Payment_Log_AP!C6</f>
        <v>V1022</v>
      </c>
      <c r="C10" s="17" t="n">
        <f aca="false">Payment_Log_AP!D6</f>
        <v>45883</v>
      </c>
      <c r="D10" s="18" t="n">
        <f aca="false">Payment_Log_AP!E6</f>
        <v>3058.04</v>
      </c>
      <c r="E10" s="18" t="n">
        <f aca="false">IFERROR(INDEX(Bank_Statement!$C$2:$C$783,MATCH(A10,Bank_Statement!$E$2:$E$783,0)),"")</f>
        <v>-3058.04</v>
      </c>
      <c r="F10" s="16" t="str">
        <f aca="false">IF(E10="","No","Yes")</f>
        <v>Yes</v>
      </c>
      <c r="G10" s="18" t="n">
        <f aca="false">IF(F10="No","N/A",D10-E10)</f>
        <v>6116.08</v>
      </c>
      <c r="H10" s="16" t="str">
        <f aca="false">IF(F10="No","Unmatched - Investigate",IF(ABS(D10-E10)&gt;Assumptions!$B$6,"Mismatch - Amount Differs","Matched"))</f>
        <v>Mismatch - Amount Differs</v>
      </c>
    </row>
    <row r="11" customFormat="false" ht="15" hidden="false" customHeight="false" outlineLevel="0" collapsed="false">
      <c r="A11" s="16" t="str">
        <f aca="false">Payment_Log_AP!A7</f>
        <v>PAY40006</v>
      </c>
      <c r="B11" s="16" t="str">
        <f aca="false">Payment_Log_AP!C7</f>
        <v>V1040</v>
      </c>
      <c r="C11" s="17" t="n">
        <f aca="false">Payment_Log_AP!D7</f>
        <v>46160</v>
      </c>
      <c r="D11" s="18" t="n">
        <f aca="false">Payment_Log_AP!E7</f>
        <v>1359.77</v>
      </c>
      <c r="E11" s="18" t="n">
        <f aca="false">IFERROR(INDEX(Bank_Statement!$C$2:$C$783,MATCH(A11,Bank_Statement!$E$2:$E$783,0)),"")</f>
        <v>-1359.77</v>
      </c>
      <c r="F11" s="16" t="str">
        <f aca="false">IF(E11="","No","Yes")</f>
        <v>Yes</v>
      </c>
      <c r="G11" s="18" t="n">
        <f aca="false">IF(F11="No","N/A",D11-E11)</f>
        <v>2719.54</v>
      </c>
      <c r="H11" s="16" t="str">
        <f aca="false">IF(F11="No","Unmatched - Investigate",IF(ABS(D11-E11)&gt;Assumptions!$B$6,"Mismatch - Amount Differs","Matched"))</f>
        <v>Mismatch - Amount Differs</v>
      </c>
    </row>
    <row r="12" customFormat="false" ht="15" hidden="false" customHeight="false" outlineLevel="0" collapsed="false">
      <c r="A12" s="16" t="str">
        <f aca="false">Payment_Log_AP!A8</f>
        <v>PAY40007</v>
      </c>
      <c r="B12" s="16" t="str">
        <f aca="false">Payment_Log_AP!C8</f>
        <v>V1040</v>
      </c>
      <c r="C12" s="17" t="n">
        <f aca="false">Payment_Log_AP!D8</f>
        <v>46193</v>
      </c>
      <c r="D12" s="18" t="n">
        <f aca="false">Payment_Log_AP!E8</f>
        <v>3708.39</v>
      </c>
      <c r="E12" s="18" t="n">
        <f aca="false">IFERROR(INDEX(Bank_Statement!$C$2:$C$783,MATCH(A12,Bank_Statement!$E$2:$E$783,0)),"")</f>
        <v>-3708.39</v>
      </c>
      <c r="F12" s="16" t="str">
        <f aca="false">IF(E12="","No","Yes")</f>
        <v>Yes</v>
      </c>
      <c r="G12" s="18" t="n">
        <f aca="false">IF(F12="No","N/A",D12-E12)</f>
        <v>7416.78</v>
      </c>
      <c r="H12" s="16" t="str">
        <f aca="false">IF(F12="No","Unmatched - Investigate",IF(ABS(D12-E12)&gt;Assumptions!$B$6,"Mismatch - Amount Differs","Matched"))</f>
        <v>Mismatch - Amount Differs</v>
      </c>
    </row>
    <row r="13" customFormat="false" ht="15" hidden="false" customHeight="false" outlineLevel="0" collapsed="false">
      <c r="A13" s="16" t="str">
        <f aca="false">Payment_Log_AP!A9</f>
        <v>PAY40008</v>
      </c>
      <c r="B13" s="16" t="str">
        <f aca="false">Payment_Log_AP!C9</f>
        <v>V1015</v>
      </c>
      <c r="C13" s="17" t="n">
        <f aca="false">Payment_Log_AP!D9</f>
        <v>45859</v>
      </c>
      <c r="D13" s="18" t="n">
        <f aca="false">Payment_Log_AP!E9</f>
        <v>6081.19</v>
      </c>
      <c r="E13" s="18" t="n">
        <f aca="false">IFERROR(INDEX(Bank_Statement!$C$2:$C$783,MATCH(A13,Bank_Statement!$E$2:$E$783,0)),"")</f>
        <v>-6081.19</v>
      </c>
      <c r="F13" s="16" t="str">
        <f aca="false">IF(E13="","No","Yes")</f>
        <v>Yes</v>
      </c>
      <c r="G13" s="18" t="n">
        <f aca="false">IF(F13="No","N/A",D13-E13)</f>
        <v>12162.38</v>
      </c>
      <c r="H13" s="16" t="str">
        <f aca="false">IF(F13="No","Unmatched - Investigate",IF(ABS(D13-E13)&gt;Assumptions!$B$6,"Mismatch - Amount Differs","Matched"))</f>
        <v>Mismatch - Amount Differs</v>
      </c>
    </row>
    <row r="14" customFormat="false" ht="15" hidden="false" customHeight="false" outlineLevel="0" collapsed="false">
      <c r="A14" s="16" t="str">
        <f aca="false">Payment_Log_AP!A10</f>
        <v>PAY40009</v>
      </c>
      <c r="B14" s="16" t="str">
        <f aca="false">Payment_Log_AP!C10</f>
        <v>V1005</v>
      </c>
      <c r="C14" s="17" t="n">
        <f aca="false">Payment_Log_AP!D10</f>
        <v>45885</v>
      </c>
      <c r="D14" s="18" t="n">
        <f aca="false">Payment_Log_AP!E10</f>
        <v>1466.07</v>
      </c>
      <c r="E14" s="18" t="n">
        <f aca="false">IFERROR(INDEX(Bank_Statement!$C$2:$C$783,MATCH(A14,Bank_Statement!$E$2:$E$783,0)),"")</f>
        <v>-1466.07</v>
      </c>
      <c r="F14" s="16" t="str">
        <f aca="false">IF(E14="","No","Yes")</f>
        <v>Yes</v>
      </c>
      <c r="G14" s="18" t="n">
        <f aca="false">IF(F14="No","N/A",D14-E14)</f>
        <v>2932.14</v>
      </c>
      <c r="H14" s="16" t="str">
        <f aca="false">IF(F14="No","Unmatched - Investigate",IF(ABS(D14-E14)&gt;Assumptions!$B$6,"Mismatch - Amount Differs","Matched"))</f>
        <v>Mismatch - Amount Differs</v>
      </c>
    </row>
    <row r="15" customFormat="false" ht="15" hidden="false" customHeight="false" outlineLevel="0" collapsed="false">
      <c r="A15" s="16" t="str">
        <f aca="false">Payment_Log_AP!A11</f>
        <v>PAY40010</v>
      </c>
      <c r="B15" s="16" t="str">
        <f aca="false">Payment_Log_AP!C11</f>
        <v>V1035</v>
      </c>
      <c r="C15" s="17" t="n">
        <f aca="false">Payment_Log_AP!D11</f>
        <v>45989</v>
      </c>
      <c r="D15" s="18" t="n">
        <f aca="false">Payment_Log_AP!E11</f>
        <v>15002.72</v>
      </c>
      <c r="E15" s="18" t="n">
        <f aca="false">IFERROR(INDEX(Bank_Statement!$C$2:$C$783,MATCH(A15,Bank_Statement!$E$2:$E$783,0)),"")</f>
        <v>-15002.72</v>
      </c>
      <c r="F15" s="16" t="str">
        <f aca="false">IF(E15="","No","Yes")</f>
        <v>Yes</v>
      </c>
      <c r="G15" s="18" t="n">
        <f aca="false">IF(F15="No","N/A",D15-E15)</f>
        <v>30005.44</v>
      </c>
      <c r="H15" s="16" t="str">
        <f aca="false">IF(F15="No","Unmatched - Investigate",IF(ABS(D15-E15)&gt;Assumptions!$B$6,"Mismatch - Amount Differs","Matched"))</f>
        <v>Mismatch - Amount Differs</v>
      </c>
    </row>
    <row r="16" customFormat="false" ht="15" hidden="false" customHeight="false" outlineLevel="0" collapsed="false">
      <c r="A16" s="16" t="str">
        <f aca="false">Payment_Log_AP!A12</f>
        <v>PAY40011</v>
      </c>
      <c r="B16" s="16" t="str">
        <f aca="false">Payment_Log_AP!C12</f>
        <v>V1016</v>
      </c>
      <c r="C16" s="17" t="n">
        <f aca="false">Payment_Log_AP!D12</f>
        <v>46196</v>
      </c>
      <c r="D16" s="18" t="n">
        <f aca="false">Payment_Log_AP!E12</f>
        <v>911.91</v>
      </c>
      <c r="E16" s="18" t="n">
        <f aca="false">IFERROR(INDEX(Bank_Statement!$C$2:$C$783,MATCH(A16,Bank_Statement!$E$2:$E$783,0)),"")</f>
        <v>-911.91</v>
      </c>
      <c r="F16" s="16" t="str">
        <f aca="false">IF(E16="","No","Yes")</f>
        <v>Yes</v>
      </c>
      <c r="G16" s="18" t="n">
        <f aca="false">IF(F16="No","N/A",D16-E16)</f>
        <v>1823.82</v>
      </c>
      <c r="H16" s="16" t="str">
        <f aca="false">IF(F16="No","Unmatched - Investigate",IF(ABS(D16-E16)&gt;Assumptions!$B$6,"Mismatch - Amount Differs","Matched"))</f>
        <v>Mismatch - Amount Differs</v>
      </c>
    </row>
    <row r="17" customFormat="false" ht="15" hidden="false" customHeight="false" outlineLevel="0" collapsed="false">
      <c r="A17" s="16" t="str">
        <f aca="false">Payment_Log_AP!A13</f>
        <v>PAY40012</v>
      </c>
      <c r="B17" s="16" t="str">
        <f aca="false">Payment_Log_AP!C13</f>
        <v>V1002</v>
      </c>
      <c r="C17" s="17" t="n">
        <f aca="false">Payment_Log_AP!D13</f>
        <v>45753</v>
      </c>
      <c r="D17" s="18" t="n">
        <f aca="false">Payment_Log_AP!E13</f>
        <v>1222.88</v>
      </c>
      <c r="E17" s="18" t="n">
        <f aca="false">IFERROR(INDEX(Bank_Statement!$C$2:$C$783,MATCH(A17,Bank_Statement!$E$2:$E$783,0)),"")</f>
        <v>-1222.88</v>
      </c>
      <c r="F17" s="16" t="str">
        <f aca="false">IF(E17="","No","Yes")</f>
        <v>Yes</v>
      </c>
      <c r="G17" s="18" t="n">
        <f aca="false">IF(F17="No","N/A",D17-E17)</f>
        <v>2445.76</v>
      </c>
      <c r="H17" s="16" t="str">
        <f aca="false">IF(F17="No","Unmatched - Investigate",IF(ABS(D17-E17)&gt;Assumptions!$B$6,"Mismatch - Amount Differs","Matched"))</f>
        <v>Mismatch - Amount Differs</v>
      </c>
    </row>
    <row r="18" customFormat="false" ht="15" hidden="false" customHeight="false" outlineLevel="0" collapsed="false">
      <c r="A18" s="16" t="str">
        <f aca="false">Payment_Log_AP!A14</f>
        <v>PAY40013</v>
      </c>
      <c r="B18" s="16" t="str">
        <f aca="false">Payment_Log_AP!C14</f>
        <v>V1026</v>
      </c>
      <c r="C18" s="17" t="n">
        <f aca="false">Payment_Log_AP!D14</f>
        <v>45776</v>
      </c>
      <c r="D18" s="18" t="n">
        <f aca="false">Payment_Log_AP!E14</f>
        <v>4721.09</v>
      </c>
      <c r="E18" s="18" t="n">
        <f aca="false">IFERROR(INDEX(Bank_Statement!$C$2:$C$783,MATCH(A18,Bank_Statement!$E$2:$E$783,0)),"")</f>
        <v>-4721.09</v>
      </c>
      <c r="F18" s="16" t="str">
        <f aca="false">IF(E18="","No","Yes")</f>
        <v>Yes</v>
      </c>
      <c r="G18" s="18" t="n">
        <f aca="false">IF(F18="No","N/A",D18-E18)</f>
        <v>9442.18</v>
      </c>
      <c r="H18" s="16" t="str">
        <f aca="false">IF(F18="No","Unmatched - Investigate",IF(ABS(D18-E18)&gt;Assumptions!$B$6,"Mismatch - Amount Differs","Matched"))</f>
        <v>Mismatch - Amount Differs</v>
      </c>
    </row>
    <row r="19" customFormat="false" ht="15" hidden="false" customHeight="false" outlineLevel="0" collapsed="false">
      <c r="A19" s="16" t="str">
        <f aca="false">Payment_Log_AP!A15</f>
        <v>PAY40014</v>
      </c>
      <c r="B19" s="16" t="str">
        <f aca="false">Payment_Log_AP!C15</f>
        <v>V1004</v>
      </c>
      <c r="C19" s="17" t="n">
        <f aca="false">Payment_Log_AP!D15</f>
        <v>45837</v>
      </c>
      <c r="D19" s="18" t="n">
        <f aca="false">Payment_Log_AP!E15</f>
        <v>302.18</v>
      </c>
      <c r="E19" s="18" t="n">
        <f aca="false">IFERROR(INDEX(Bank_Statement!$C$2:$C$783,MATCH(A19,Bank_Statement!$E$2:$E$783,0)),"")</f>
        <v>-302.18</v>
      </c>
      <c r="F19" s="16" t="str">
        <f aca="false">IF(E19="","No","Yes")</f>
        <v>Yes</v>
      </c>
      <c r="G19" s="18" t="n">
        <f aca="false">IF(F19="No","N/A",D19-E19)</f>
        <v>604.36</v>
      </c>
      <c r="H19" s="16" t="str">
        <f aca="false">IF(F19="No","Unmatched - Investigate",IF(ABS(D19-E19)&gt;Assumptions!$B$6,"Mismatch - Amount Differs","Matched"))</f>
        <v>Mismatch - Amount Differs</v>
      </c>
    </row>
    <row r="20" customFormat="false" ht="15" hidden="false" customHeight="false" outlineLevel="0" collapsed="false">
      <c r="A20" s="16" t="str">
        <f aca="false">Payment_Log_AP!A16</f>
        <v>PAY40015</v>
      </c>
      <c r="B20" s="16" t="str">
        <f aca="false">Payment_Log_AP!C16</f>
        <v>V1024</v>
      </c>
      <c r="C20" s="17" t="n">
        <f aca="false">Payment_Log_AP!D16</f>
        <v>45754</v>
      </c>
      <c r="D20" s="18" t="n">
        <f aca="false">Payment_Log_AP!E16</f>
        <v>2051.54</v>
      </c>
      <c r="E20" s="18" t="n">
        <f aca="false">IFERROR(INDEX(Bank_Statement!$C$2:$C$783,MATCH(A20,Bank_Statement!$E$2:$E$783,0)),"")</f>
        <v>-2051.54</v>
      </c>
      <c r="F20" s="16" t="str">
        <f aca="false">IF(E20="","No","Yes")</f>
        <v>Yes</v>
      </c>
      <c r="G20" s="18" t="n">
        <f aca="false">IF(F20="No","N/A",D20-E20)</f>
        <v>4103.08</v>
      </c>
      <c r="H20" s="16" t="str">
        <f aca="false">IF(F20="No","Unmatched - Investigate",IF(ABS(D20-E20)&gt;Assumptions!$B$6,"Mismatch - Amount Differs","Matched"))</f>
        <v>Mismatch - Amount Differs</v>
      </c>
    </row>
    <row r="21" customFormat="false" ht="15" hidden="false" customHeight="false" outlineLevel="0" collapsed="false">
      <c r="A21" s="16" t="str">
        <f aca="false">Payment_Log_AP!A17</f>
        <v>PAY40016</v>
      </c>
      <c r="B21" s="16" t="str">
        <f aca="false">Payment_Log_AP!C17</f>
        <v>V1028</v>
      </c>
      <c r="C21" s="17" t="n">
        <f aca="false">Payment_Log_AP!D17</f>
        <v>45912</v>
      </c>
      <c r="D21" s="18" t="n">
        <f aca="false">Payment_Log_AP!E17</f>
        <v>9960.57</v>
      </c>
      <c r="E21" s="18" t="n">
        <f aca="false">IFERROR(INDEX(Bank_Statement!$C$2:$C$783,MATCH(A21,Bank_Statement!$E$2:$E$783,0)),"")</f>
        <v>-9960.57</v>
      </c>
      <c r="F21" s="16" t="str">
        <f aca="false">IF(E21="","No","Yes")</f>
        <v>Yes</v>
      </c>
      <c r="G21" s="18" t="n">
        <f aca="false">IF(F21="No","N/A",D21-E21)</f>
        <v>19921.14</v>
      </c>
      <c r="H21" s="16" t="str">
        <f aca="false">IF(F21="No","Unmatched - Investigate",IF(ABS(D21-E21)&gt;Assumptions!$B$6,"Mismatch - Amount Differs","Matched"))</f>
        <v>Mismatch - Amount Differs</v>
      </c>
    </row>
    <row r="22" customFormat="false" ht="15" hidden="false" customHeight="false" outlineLevel="0" collapsed="false">
      <c r="A22" s="16" t="str">
        <f aca="false">Payment_Log_AP!A18</f>
        <v>PAY40017</v>
      </c>
      <c r="B22" s="16" t="str">
        <f aca="false">Payment_Log_AP!C18</f>
        <v>V1018</v>
      </c>
      <c r="C22" s="17" t="n">
        <f aca="false">Payment_Log_AP!D18</f>
        <v>46096</v>
      </c>
      <c r="D22" s="18" t="n">
        <f aca="false">Payment_Log_AP!E18</f>
        <v>15696.57</v>
      </c>
      <c r="E22" s="18" t="n">
        <f aca="false">IFERROR(INDEX(Bank_Statement!$C$2:$C$783,MATCH(A22,Bank_Statement!$E$2:$E$783,0)),"")</f>
        <v>-15696.57</v>
      </c>
      <c r="F22" s="16" t="str">
        <f aca="false">IF(E22="","No","Yes")</f>
        <v>Yes</v>
      </c>
      <c r="G22" s="18" t="n">
        <f aca="false">IF(F22="No","N/A",D22-E22)</f>
        <v>31393.14</v>
      </c>
      <c r="H22" s="16" t="str">
        <f aca="false">IF(F22="No","Unmatched - Investigate",IF(ABS(D22-E22)&gt;Assumptions!$B$6,"Mismatch - Amount Differs","Matched"))</f>
        <v>Mismatch - Amount Differs</v>
      </c>
    </row>
    <row r="23" customFormat="false" ht="15" hidden="false" customHeight="false" outlineLevel="0" collapsed="false">
      <c r="A23" s="16" t="str">
        <f aca="false">Payment_Log_AP!A19</f>
        <v>PAY40018</v>
      </c>
      <c r="B23" s="16" t="str">
        <f aca="false">Payment_Log_AP!C19</f>
        <v>V1016</v>
      </c>
      <c r="C23" s="17" t="n">
        <f aca="false">Payment_Log_AP!D19</f>
        <v>45842</v>
      </c>
      <c r="D23" s="18" t="n">
        <f aca="false">Payment_Log_AP!E19</f>
        <v>1879.55</v>
      </c>
      <c r="E23" s="18" t="n">
        <f aca="false">IFERROR(INDEX(Bank_Statement!$C$2:$C$783,MATCH(A23,Bank_Statement!$E$2:$E$783,0)),"")</f>
        <v>-1879.55</v>
      </c>
      <c r="F23" s="16" t="str">
        <f aca="false">IF(E23="","No","Yes")</f>
        <v>Yes</v>
      </c>
      <c r="G23" s="18" t="n">
        <f aca="false">IF(F23="No","N/A",D23-E23)</f>
        <v>3759.1</v>
      </c>
      <c r="H23" s="16" t="str">
        <f aca="false">IF(F23="No","Unmatched - Investigate",IF(ABS(D23-E23)&gt;Assumptions!$B$6,"Mismatch - Amount Differs","Matched"))</f>
        <v>Mismatch - Amount Differs</v>
      </c>
    </row>
    <row r="24" customFormat="false" ht="15" hidden="false" customHeight="false" outlineLevel="0" collapsed="false">
      <c r="A24" s="16" t="str">
        <f aca="false">Payment_Log_AP!A20</f>
        <v>PAY40019</v>
      </c>
      <c r="B24" s="16" t="str">
        <f aca="false">Payment_Log_AP!C20</f>
        <v>V1027</v>
      </c>
      <c r="C24" s="17" t="n">
        <f aca="false">Payment_Log_AP!D20</f>
        <v>46012</v>
      </c>
      <c r="D24" s="18" t="n">
        <f aca="false">Payment_Log_AP!E20</f>
        <v>883.86</v>
      </c>
      <c r="E24" s="18" t="n">
        <f aca="false">IFERROR(INDEX(Bank_Statement!$C$2:$C$783,MATCH(A24,Bank_Statement!$E$2:$E$783,0)),"")</f>
        <v>-883.86</v>
      </c>
      <c r="F24" s="16" t="str">
        <f aca="false">IF(E24="","No","Yes")</f>
        <v>Yes</v>
      </c>
      <c r="G24" s="18" t="n">
        <f aca="false">IF(F24="No","N/A",D24-E24)</f>
        <v>1767.72</v>
      </c>
      <c r="H24" s="16" t="str">
        <f aca="false">IF(F24="No","Unmatched - Investigate",IF(ABS(D24-E24)&gt;Assumptions!$B$6,"Mismatch - Amount Differs","Matched"))</f>
        <v>Mismatch - Amount Differs</v>
      </c>
    </row>
    <row r="25" customFormat="false" ht="15" hidden="false" customHeight="false" outlineLevel="0" collapsed="false">
      <c r="A25" s="16" t="str">
        <f aca="false">Payment_Log_AP!A21</f>
        <v>PAY40020</v>
      </c>
      <c r="B25" s="16" t="str">
        <f aca="false">Payment_Log_AP!C21</f>
        <v>V1007</v>
      </c>
      <c r="C25" s="17" t="n">
        <f aca="false">Payment_Log_AP!D21</f>
        <v>45970</v>
      </c>
      <c r="D25" s="18" t="n">
        <f aca="false">Payment_Log_AP!E21</f>
        <v>1058.03</v>
      </c>
      <c r="E25" s="18" t="n">
        <f aca="false">IFERROR(INDEX(Bank_Statement!$C$2:$C$783,MATCH(A25,Bank_Statement!$E$2:$E$783,0)),"")</f>
        <v>-1058.03</v>
      </c>
      <c r="F25" s="16" t="str">
        <f aca="false">IF(E25="","No","Yes")</f>
        <v>Yes</v>
      </c>
      <c r="G25" s="18" t="n">
        <f aca="false">IF(F25="No","N/A",D25-E25)</f>
        <v>2116.06</v>
      </c>
      <c r="H25" s="16" t="str">
        <f aca="false">IF(F25="No","Unmatched - Investigate",IF(ABS(D25-E25)&gt;Assumptions!$B$6,"Mismatch - Amount Differs","Matched"))</f>
        <v>Mismatch - Amount Differs</v>
      </c>
    </row>
    <row r="26" customFormat="false" ht="15" hidden="false" customHeight="false" outlineLevel="0" collapsed="false">
      <c r="A26" s="16" t="str">
        <f aca="false">Payment_Log_AP!A22</f>
        <v>PAY40021</v>
      </c>
      <c r="B26" s="16" t="str">
        <f aca="false">Payment_Log_AP!C22</f>
        <v>V1039</v>
      </c>
      <c r="C26" s="17" t="n">
        <f aca="false">Payment_Log_AP!D22</f>
        <v>45898</v>
      </c>
      <c r="D26" s="18" t="n">
        <f aca="false">Payment_Log_AP!E22</f>
        <v>2265.24</v>
      </c>
      <c r="E26" s="18" t="n">
        <f aca="false">IFERROR(INDEX(Bank_Statement!$C$2:$C$783,MATCH(A26,Bank_Statement!$E$2:$E$783,0)),"")</f>
        <v>-2265.24</v>
      </c>
      <c r="F26" s="16" t="str">
        <f aca="false">IF(E26="","No","Yes")</f>
        <v>Yes</v>
      </c>
      <c r="G26" s="18" t="n">
        <f aca="false">IF(F26="No","N/A",D26-E26)</f>
        <v>4530.48</v>
      </c>
      <c r="H26" s="16" t="str">
        <f aca="false">IF(F26="No","Unmatched - Investigate",IF(ABS(D26-E26)&gt;Assumptions!$B$6,"Mismatch - Amount Differs","Matched"))</f>
        <v>Mismatch - Amount Differs</v>
      </c>
    </row>
    <row r="27" customFormat="false" ht="15" hidden="false" customHeight="false" outlineLevel="0" collapsed="false">
      <c r="A27" s="16" t="str">
        <f aca="false">Payment_Log_AP!A23</f>
        <v>PAY40022</v>
      </c>
      <c r="B27" s="16" t="str">
        <f aca="false">Payment_Log_AP!C23</f>
        <v>V1027</v>
      </c>
      <c r="C27" s="17" t="n">
        <f aca="false">Payment_Log_AP!D23</f>
        <v>46007</v>
      </c>
      <c r="D27" s="18" t="n">
        <f aca="false">Payment_Log_AP!E23</f>
        <v>1994.87</v>
      </c>
      <c r="E27" s="18" t="n">
        <f aca="false">IFERROR(INDEX(Bank_Statement!$C$2:$C$783,MATCH(A27,Bank_Statement!$E$2:$E$783,0)),"")</f>
        <v>-1994.87</v>
      </c>
      <c r="F27" s="16" t="str">
        <f aca="false">IF(E27="","No","Yes")</f>
        <v>Yes</v>
      </c>
      <c r="G27" s="18" t="n">
        <f aca="false">IF(F27="No","N/A",D27-E27)</f>
        <v>3989.74</v>
      </c>
      <c r="H27" s="16" t="str">
        <f aca="false">IF(F27="No","Unmatched - Investigate",IF(ABS(D27-E27)&gt;Assumptions!$B$6,"Mismatch - Amount Differs","Matched"))</f>
        <v>Mismatch - Amount Differs</v>
      </c>
    </row>
    <row r="28" customFormat="false" ht="15" hidden="false" customHeight="false" outlineLevel="0" collapsed="false">
      <c r="A28" s="16" t="str">
        <f aca="false">Payment_Log_AP!A24</f>
        <v>PAY40023</v>
      </c>
      <c r="B28" s="16" t="str">
        <f aca="false">Payment_Log_AP!C24</f>
        <v>V1017</v>
      </c>
      <c r="C28" s="17" t="n">
        <f aca="false">Payment_Log_AP!D24</f>
        <v>45827</v>
      </c>
      <c r="D28" s="18" t="n">
        <f aca="false">Payment_Log_AP!E24</f>
        <v>1863.09</v>
      </c>
      <c r="E28" s="18" t="n">
        <f aca="false">IFERROR(INDEX(Bank_Statement!$C$2:$C$783,MATCH(A28,Bank_Statement!$E$2:$E$783,0)),"")</f>
        <v>-1863.09</v>
      </c>
      <c r="F28" s="16" t="str">
        <f aca="false">IF(E28="","No","Yes")</f>
        <v>Yes</v>
      </c>
      <c r="G28" s="18" t="n">
        <f aca="false">IF(F28="No","N/A",D28-E28)</f>
        <v>3726.18</v>
      </c>
      <c r="H28" s="16" t="str">
        <f aca="false">IF(F28="No","Unmatched - Investigate",IF(ABS(D28-E28)&gt;Assumptions!$B$6,"Mismatch - Amount Differs","Matched"))</f>
        <v>Mismatch - Amount Differs</v>
      </c>
    </row>
    <row r="29" customFormat="false" ht="15" hidden="false" customHeight="false" outlineLevel="0" collapsed="false">
      <c r="A29" s="16" t="str">
        <f aca="false">Payment_Log_AP!A25</f>
        <v>PAY40024</v>
      </c>
      <c r="B29" s="16" t="str">
        <f aca="false">Payment_Log_AP!C25</f>
        <v>V1009</v>
      </c>
      <c r="C29" s="17" t="n">
        <f aca="false">Payment_Log_AP!D25</f>
        <v>46069</v>
      </c>
      <c r="D29" s="18" t="n">
        <f aca="false">Payment_Log_AP!E25</f>
        <v>1558.36</v>
      </c>
      <c r="E29" s="18" t="n">
        <f aca="false">IFERROR(INDEX(Bank_Statement!$C$2:$C$783,MATCH(A29,Bank_Statement!$E$2:$E$783,0)),"")</f>
        <v>-1558.36</v>
      </c>
      <c r="F29" s="16" t="str">
        <f aca="false">IF(E29="","No","Yes")</f>
        <v>Yes</v>
      </c>
      <c r="G29" s="18" t="n">
        <f aca="false">IF(F29="No","N/A",D29-E29)</f>
        <v>3116.72</v>
      </c>
      <c r="H29" s="16" t="str">
        <f aca="false">IF(F29="No","Unmatched - Investigate",IF(ABS(D29-E29)&gt;Assumptions!$B$6,"Mismatch - Amount Differs","Matched"))</f>
        <v>Mismatch - Amount Differs</v>
      </c>
    </row>
    <row r="30" customFormat="false" ht="15" hidden="false" customHeight="false" outlineLevel="0" collapsed="false">
      <c r="A30" s="16" t="str">
        <f aca="false">Payment_Log_AP!A26</f>
        <v>PAY40025</v>
      </c>
      <c r="B30" s="16" t="str">
        <f aca="false">Payment_Log_AP!C26</f>
        <v>V1013</v>
      </c>
      <c r="C30" s="17" t="n">
        <f aca="false">Payment_Log_AP!D26</f>
        <v>45710</v>
      </c>
      <c r="D30" s="18" t="n">
        <f aca="false">Payment_Log_AP!E26</f>
        <v>1249.67</v>
      </c>
      <c r="E30" s="18" t="n">
        <f aca="false">IFERROR(INDEX(Bank_Statement!$C$2:$C$783,MATCH(A30,Bank_Statement!$E$2:$E$783,0)),"")</f>
        <v>-1249.67</v>
      </c>
      <c r="F30" s="16" t="str">
        <f aca="false">IF(E30="","No","Yes")</f>
        <v>Yes</v>
      </c>
      <c r="G30" s="18" t="n">
        <f aca="false">IF(F30="No","N/A",D30-E30)</f>
        <v>2499.34</v>
      </c>
      <c r="H30" s="16" t="str">
        <f aca="false">IF(F30="No","Unmatched - Investigate",IF(ABS(D30-E30)&gt;Assumptions!$B$6,"Mismatch - Amount Differs","Matched"))</f>
        <v>Mismatch - Amount Differs</v>
      </c>
    </row>
    <row r="31" customFormat="false" ht="15" hidden="false" customHeight="false" outlineLevel="0" collapsed="false">
      <c r="A31" s="16" t="str">
        <f aca="false">Payment_Log_AP!A27</f>
        <v>PAY40026</v>
      </c>
      <c r="B31" s="16" t="str">
        <f aca="false">Payment_Log_AP!C27</f>
        <v>V1016</v>
      </c>
      <c r="C31" s="17" t="n">
        <f aca="false">Payment_Log_AP!D27</f>
        <v>45960</v>
      </c>
      <c r="D31" s="18" t="n">
        <f aca="false">Payment_Log_AP!E27</f>
        <v>877.47</v>
      </c>
      <c r="E31" s="18" t="n">
        <f aca="false">IFERROR(INDEX(Bank_Statement!$C$2:$C$783,MATCH(A31,Bank_Statement!$E$2:$E$783,0)),"")</f>
        <v>-877.47</v>
      </c>
      <c r="F31" s="16" t="str">
        <f aca="false">IF(E31="","No","Yes")</f>
        <v>Yes</v>
      </c>
      <c r="G31" s="18" t="n">
        <f aca="false">IF(F31="No","N/A",D31-E31)</f>
        <v>1754.94</v>
      </c>
      <c r="H31" s="16" t="str">
        <f aca="false">IF(F31="No","Unmatched - Investigate",IF(ABS(D31-E31)&gt;Assumptions!$B$6,"Mismatch - Amount Differs","Matched"))</f>
        <v>Mismatch - Amount Differs</v>
      </c>
    </row>
    <row r="32" customFormat="false" ht="15" hidden="false" customHeight="false" outlineLevel="0" collapsed="false">
      <c r="A32" s="16" t="str">
        <f aca="false">Payment_Log_AP!A28</f>
        <v>PAY40027</v>
      </c>
      <c r="B32" s="16" t="str">
        <f aca="false">Payment_Log_AP!C28</f>
        <v>V1017</v>
      </c>
      <c r="C32" s="17" t="n">
        <f aca="false">Payment_Log_AP!D28</f>
        <v>46073</v>
      </c>
      <c r="D32" s="18" t="n">
        <f aca="false">Payment_Log_AP!E28</f>
        <v>644.78</v>
      </c>
      <c r="E32" s="18" t="n">
        <f aca="false">IFERROR(INDEX(Bank_Statement!$C$2:$C$783,MATCH(A32,Bank_Statement!$E$2:$E$783,0)),"")</f>
        <v>-644.78</v>
      </c>
      <c r="F32" s="16" t="str">
        <f aca="false">IF(E32="","No","Yes")</f>
        <v>Yes</v>
      </c>
      <c r="G32" s="18" t="n">
        <f aca="false">IF(F32="No","N/A",D32-E32)</f>
        <v>1289.56</v>
      </c>
      <c r="H32" s="16" t="str">
        <f aca="false">IF(F32="No","Unmatched - Investigate",IF(ABS(D32-E32)&gt;Assumptions!$B$6,"Mismatch - Amount Differs","Matched"))</f>
        <v>Mismatch - Amount Differs</v>
      </c>
    </row>
    <row r="33" customFormat="false" ht="15" hidden="false" customHeight="false" outlineLevel="0" collapsed="false">
      <c r="A33" s="16" t="str">
        <f aca="false">Payment_Log_AP!A29</f>
        <v>PAY40028</v>
      </c>
      <c r="B33" s="16" t="str">
        <f aca="false">Payment_Log_AP!C29</f>
        <v>V1040</v>
      </c>
      <c r="C33" s="17" t="n">
        <f aca="false">Payment_Log_AP!D29</f>
        <v>46086</v>
      </c>
      <c r="D33" s="18" t="n">
        <f aca="false">Payment_Log_AP!E29</f>
        <v>10749.2</v>
      </c>
      <c r="E33" s="18" t="n">
        <f aca="false">IFERROR(INDEX(Bank_Statement!$C$2:$C$783,MATCH(A33,Bank_Statement!$E$2:$E$783,0)),"")</f>
        <v>-10749.2</v>
      </c>
      <c r="F33" s="16" t="str">
        <f aca="false">IF(E33="","No","Yes")</f>
        <v>Yes</v>
      </c>
      <c r="G33" s="18" t="n">
        <f aca="false">IF(F33="No","N/A",D33-E33)</f>
        <v>21498.4</v>
      </c>
      <c r="H33" s="16" t="str">
        <f aca="false">IF(F33="No","Unmatched - Investigate",IF(ABS(D33-E33)&gt;Assumptions!$B$6,"Mismatch - Amount Differs","Matched"))</f>
        <v>Mismatch - Amount Differs</v>
      </c>
    </row>
    <row r="34" customFormat="false" ht="15" hidden="false" customHeight="false" outlineLevel="0" collapsed="false">
      <c r="A34" s="16" t="str">
        <f aca="false">Payment_Log_AP!A30</f>
        <v>PAY40029</v>
      </c>
      <c r="B34" s="16" t="str">
        <f aca="false">Payment_Log_AP!C30</f>
        <v>V1018</v>
      </c>
      <c r="C34" s="17" t="n">
        <f aca="false">Payment_Log_AP!D30</f>
        <v>46038</v>
      </c>
      <c r="D34" s="18" t="n">
        <f aca="false">Payment_Log_AP!E30</f>
        <v>10173.53</v>
      </c>
      <c r="E34" s="18" t="n">
        <f aca="false">IFERROR(INDEX(Bank_Statement!$C$2:$C$783,MATCH(A34,Bank_Statement!$E$2:$E$783,0)),"")</f>
        <v>-10173.53</v>
      </c>
      <c r="F34" s="16" t="str">
        <f aca="false">IF(E34="","No","Yes")</f>
        <v>Yes</v>
      </c>
      <c r="G34" s="18" t="n">
        <f aca="false">IF(F34="No","N/A",D34-E34)</f>
        <v>20347.06</v>
      </c>
      <c r="H34" s="16" t="str">
        <f aca="false">IF(F34="No","Unmatched - Investigate",IF(ABS(D34-E34)&gt;Assumptions!$B$6,"Mismatch - Amount Differs","Matched"))</f>
        <v>Mismatch - Amount Differs</v>
      </c>
    </row>
    <row r="35" customFormat="false" ht="15" hidden="false" customHeight="false" outlineLevel="0" collapsed="false">
      <c r="A35" s="16" t="str">
        <f aca="false">Payment_Log_AP!A31</f>
        <v>PAY40030</v>
      </c>
      <c r="B35" s="16" t="str">
        <f aca="false">Payment_Log_AP!C31</f>
        <v>V1023</v>
      </c>
      <c r="C35" s="17" t="n">
        <f aca="false">Payment_Log_AP!D31</f>
        <v>45871</v>
      </c>
      <c r="D35" s="18" t="n">
        <f aca="false">Payment_Log_AP!E31</f>
        <v>7427.81</v>
      </c>
      <c r="E35" s="18" t="n">
        <f aca="false">IFERROR(INDEX(Bank_Statement!$C$2:$C$783,MATCH(A35,Bank_Statement!$E$2:$E$783,0)),"")</f>
        <v>-7427.81</v>
      </c>
      <c r="F35" s="16" t="str">
        <f aca="false">IF(E35="","No","Yes")</f>
        <v>Yes</v>
      </c>
      <c r="G35" s="18" t="n">
        <f aca="false">IF(F35="No","N/A",D35-E35)</f>
        <v>14855.62</v>
      </c>
      <c r="H35" s="16" t="str">
        <f aca="false">IF(F35="No","Unmatched - Investigate",IF(ABS(D35-E35)&gt;Assumptions!$B$6,"Mismatch - Amount Differs","Matched"))</f>
        <v>Mismatch - Amount Differs</v>
      </c>
    </row>
    <row r="36" customFormat="false" ht="15" hidden="false" customHeight="false" outlineLevel="0" collapsed="false">
      <c r="A36" s="16" t="str">
        <f aca="false">Payment_Log_AP!A32</f>
        <v>PAY40031</v>
      </c>
      <c r="B36" s="16" t="str">
        <f aca="false">Payment_Log_AP!C32</f>
        <v>V1024</v>
      </c>
      <c r="C36" s="17" t="n">
        <f aca="false">Payment_Log_AP!D32</f>
        <v>45737</v>
      </c>
      <c r="D36" s="18" t="n">
        <f aca="false">Payment_Log_AP!E32</f>
        <v>3858.14</v>
      </c>
      <c r="E36" s="18" t="n">
        <f aca="false">IFERROR(INDEX(Bank_Statement!$C$2:$C$783,MATCH(A36,Bank_Statement!$E$2:$E$783,0)),"")</f>
        <v>-3858.14</v>
      </c>
      <c r="F36" s="16" t="str">
        <f aca="false">IF(E36="","No","Yes")</f>
        <v>Yes</v>
      </c>
      <c r="G36" s="18" t="n">
        <f aca="false">IF(F36="No","N/A",D36-E36)</f>
        <v>7716.28</v>
      </c>
      <c r="H36" s="16" t="str">
        <f aca="false">IF(F36="No","Unmatched - Investigate",IF(ABS(D36-E36)&gt;Assumptions!$B$6,"Mismatch - Amount Differs","Matched"))</f>
        <v>Mismatch - Amount Differs</v>
      </c>
    </row>
    <row r="37" customFormat="false" ht="15" hidden="false" customHeight="false" outlineLevel="0" collapsed="false">
      <c r="A37" s="16" t="str">
        <f aca="false">Payment_Log_AP!A33</f>
        <v>PAY40032</v>
      </c>
      <c r="B37" s="16" t="str">
        <f aca="false">Payment_Log_AP!C33</f>
        <v>V1008</v>
      </c>
      <c r="C37" s="17" t="n">
        <f aca="false">Payment_Log_AP!D33</f>
        <v>46041</v>
      </c>
      <c r="D37" s="18" t="n">
        <f aca="false">Payment_Log_AP!E33</f>
        <v>1031.9</v>
      </c>
      <c r="E37" s="18" t="n">
        <f aca="false">IFERROR(INDEX(Bank_Statement!$C$2:$C$783,MATCH(A37,Bank_Statement!$E$2:$E$783,0)),"")</f>
        <v>-1031.9</v>
      </c>
      <c r="F37" s="16" t="str">
        <f aca="false">IF(E37="","No","Yes")</f>
        <v>Yes</v>
      </c>
      <c r="G37" s="18" t="n">
        <f aca="false">IF(F37="No","N/A",D37-E37)</f>
        <v>2063.8</v>
      </c>
      <c r="H37" s="16" t="str">
        <f aca="false">IF(F37="No","Unmatched - Investigate",IF(ABS(D37-E37)&gt;Assumptions!$B$6,"Mismatch - Amount Differs","Matched"))</f>
        <v>Mismatch - Amount Differs</v>
      </c>
    </row>
    <row r="38" customFormat="false" ht="15" hidden="false" customHeight="false" outlineLevel="0" collapsed="false">
      <c r="A38" s="16" t="str">
        <f aca="false">Payment_Log_AP!A34</f>
        <v>PAY40033</v>
      </c>
      <c r="B38" s="16" t="str">
        <f aca="false">Payment_Log_AP!C34</f>
        <v>V1023</v>
      </c>
      <c r="C38" s="17" t="n">
        <f aca="false">Payment_Log_AP!D34</f>
        <v>45872</v>
      </c>
      <c r="D38" s="18" t="n">
        <f aca="false">Payment_Log_AP!E34</f>
        <v>117.56</v>
      </c>
      <c r="E38" s="18" t="n">
        <f aca="false">IFERROR(INDEX(Bank_Statement!$C$2:$C$783,MATCH(A38,Bank_Statement!$E$2:$E$783,0)),"")</f>
        <v>-117.56</v>
      </c>
      <c r="F38" s="16" t="str">
        <f aca="false">IF(E38="","No","Yes")</f>
        <v>Yes</v>
      </c>
      <c r="G38" s="18" t="n">
        <f aca="false">IF(F38="No","N/A",D38-E38)</f>
        <v>235.12</v>
      </c>
      <c r="H38" s="16" t="str">
        <f aca="false">IF(F38="No","Unmatched - Investigate",IF(ABS(D38-E38)&gt;Assumptions!$B$6,"Mismatch - Amount Differs","Matched"))</f>
        <v>Mismatch - Amount Differs</v>
      </c>
    </row>
    <row r="39" customFormat="false" ht="15" hidden="false" customHeight="false" outlineLevel="0" collapsed="false">
      <c r="A39" s="16" t="str">
        <f aca="false">Payment_Log_AP!A35</f>
        <v>PAY40034</v>
      </c>
      <c r="B39" s="16" t="str">
        <f aca="false">Payment_Log_AP!C35</f>
        <v>V1012</v>
      </c>
      <c r="C39" s="17" t="n">
        <f aca="false">Payment_Log_AP!D35</f>
        <v>45887</v>
      </c>
      <c r="D39" s="18" t="n">
        <f aca="false">Payment_Log_AP!E35</f>
        <v>21146.76</v>
      </c>
      <c r="E39" s="18" t="n">
        <f aca="false">IFERROR(INDEX(Bank_Statement!$C$2:$C$783,MATCH(A39,Bank_Statement!$E$2:$E$783,0)),"")</f>
        <v>-21146.76</v>
      </c>
      <c r="F39" s="16" t="str">
        <f aca="false">IF(E39="","No","Yes")</f>
        <v>Yes</v>
      </c>
      <c r="G39" s="18" t="n">
        <f aca="false">IF(F39="No","N/A",D39-E39)</f>
        <v>42293.52</v>
      </c>
      <c r="H39" s="16" t="str">
        <f aca="false">IF(F39="No","Unmatched - Investigate",IF(ABS(D39-E39)&gt;Assumptions!$B$6,"Mismatch - Amount Differs","Matched"))</f>
        <v>Mismatch - Amount Differs</v>
      </c>
    </row>
    <row r="40" customFormat="false" ht="15" hidden="false" customHeight="false" outlineLevel="0" collapsed="false">
      <c r="A40" s="16" t="str">
        <f aca="false">Payment_Log_AP!A36</f>
        <v>PAY40035</v>
      </c>
      <c r="B40" s="16" t="str">
        <f aca="false">Payment_Log_AP!C36</f>
        <v>V1038</v>
      </c>
      <c r="C40" s="17" t="n">
        <f aca="false">Payment_Log_AP!D36</f>
        <v>46160</v>
      </c>
      <c r="D40" s="18" t="n">
        <f aca="false">Payment_Log_AP!E36</f>
        <v>869.11</v>
      </c>
      <c r="E40" s="18" t="n">
        <f aca="false">IFERROR(INDEX(Bank_Statement!$C$2:$C$783,MATCH(A40,Bank_Statement!$E$2:$E$783,0)),"")</f>
        <v>-869.11</v>
      </c>
      <c r="F40" s="16" t="str">
        <f aca="false">IF(E40="","No","Yes")</f>
        <v>Yes</v>
      </c>
      <c r="G40" s="18" t="n">
        <f aca="false">IF(F40="No","N/A",D40-E40)</f>
        <v>1738.22</v>
      </c>
      <c r="H40" s="16" t="str">
        <f aca="false">IF(F40="No","Unmatched - Investigate",IF(ABS(D40-E40)&gt;Assumptions!$B$6,"Mismatch - Amount Differs","Matched"))</f>
        <v>Mismatch - Amount Differs</v>
      </c>
    </row>
    <row r="41" customFormat="false" ht="15" hidden="false" customHeight="false" outlineLevel="0" collapsed="false">
      <c r="A41" s="16" t="str">
        <f aca="false">Payment_Log_AP!A37</f>
        <v>PAY40036</v>
      </c>
      <c r="B41" s="16" t="str">
        <f aca="false">Payment_Log_AP!C37</f>
        <v>V1015</v>
      </c>
      <c r="C41" s="17" t="n">
        <f aca="false">Payment_Log_AP!D37</f>
        <v>46089</v>
      </c>
      <c r="D41" s="18" t="n">
        <f aca="false">Payment_Log_AP!E37</f>
        <v>1696.08</v>
      </c>
      <c r="E41" s="18" t="n">
        <f aca="false">IFERROR(INDEX(Bank_Statement!$C$2:$C$783,MATCH(A41,Bank_Statement!$E$2:$E$783,0)),"")</f>
        <v>-1696.08</v>
      </c>
      <c r="F41" s="16" t="str">
        <f aca="false">IF(E41="","No","Yes")</f>
        <v>Yes</v>
      </c>
      <c r="G41" s="18" t="n">
        <f aca="false">IF(F41="No","N/A",D41-E41)</f>
        <v>3392.16</v>
      </c>
      <c r="H41" s="16" t="str">
        <f aca="false">IF(F41="No","Unmatched - Investigate",IF(ABS(D41-E41)&gt;Assumptions!$B$6,"Mismatch - Amount Differs","Matched"))</f>
        <v>Mismatch - Amount Differs</v>
      </c>
    </row>
    <row r="42" customFormat="false" ht="15" hidden="false" customHeight="false" outlineLevel="0" collapsed="false">
      <c r="A42" s="16" t="str">
        <f aca="false">Payment_Log_AP!A38</f>
        <v>PAY40037</v>
      </c>
      <c r="B42" s="16" t="str">
        <f aca="false">Payment_Log_AP!C38</f>
        <v>V1011</v>
      </c>
      <c r="C42" s="17" t="n">
        <f aca="false">Payment_Log_AP!D38</f>
        <v>45846</v>
      </c>
      <c r="D42" s="18" t="n">
        <f aca="false">Payment_Log_AP!E38</f>
        <v>1814.85</v>
      </c>
      <c r="E42" s="18" t="n">
        <f aca="false">IFERROR(INDEX(Bank_Statement!$C$2:$C$783,MATCH(A42,Bank_Statement!$E$2:$E$783,0)),"")</f>
        <v>-1814.85</v>
      </c>
      <c r="F42" s="16" t="str">
        <f aca="false">IF(E42="","No","Yes")</f>
        <v>Yes</v>
      </c>
      <c r="G42" s="18" t="n">
        <f aca="false">IF(F42="No","N/A",D42-E42)</f>
        <v>3629.7</v>
      </c>
      <c r="H42" s="16" t="str">
        <f aca="false">IF(F42="No","Unmatched - Investigate",IF(ABS(D42-E42)&gt;Assumptions!$B$6,"Mismatch - Amount Differs","Matched"))</f>
        <v>Mismatch - Amount Differs</v>
      </c>
    </row>
    <row r="43" customFormat="false" ht="15" hidden="false" customHeight="false" outlineLevel="0" collapsed="false">
      <c r="A43" s="16" t="str">
        <f aca="false">Payment_Log_AP!A39</f>
        <v>PAY40038</v>
      </c>
      <c r="B43" s="16" t="str">
        <f aca="false">Payment_Log_AP!C39</f>
        <v>V1011</v>
      </c>
      <c r="C43" s="17" t="n">
        <f aca="false">Payment_Log_AP!D39</f>
        <v>45907</v>
      </c>
      <c r="D43" s="18" t="n">
        <f aca="false">Payment_Log_AP!E39</f>
        <v>9938.09</v>
      </c>
      <c r="E43" s="18" t="n">
        <f aca="false">IFERROR(INDEX(Bank_Statement!$C$2:$C$783,MATCH(A43,Bank_Statement!$E$2:$E$783,0)),"")</f>
        <v>-9938.09</v>
      </c>
      <c r="F43" s="16" t="str">
        <f aca="false">IF(E43="","No","Yes")</f>
        <v>Yes</v>
      </c>
      <c r="G43" s="18" t="n">
        <f aca="false">IF(F43="No","N/A",D43-E43)</f>
        <v>19876.18</v>
      </c>
      <c r="H43" s="16" t="str">
        <f aca="false">IF(F43="No","Unmatched - Investigate",IF(ABS(D43-E43)&gt;Assumptions!$B$6,"Mismatch - Amount Differs","Matched"))</f>
        <v>Mismatch - Amount Differs</v>
      </c>
    </row>
    <row r="44" customFormat="false" ht="15" hidden="false" customHeight="false" outlineLevel="0" collapsed="false">
      <c r="A44" s="16" t="str">
        <f aca="false">Payment_Log_AP!A40</f>
        <v>PAY40039</v>
      </c>
      <c r="B44" s="16" t="str">
        <f aca="false">Payment_Log_AP!C40</f>
        <v>V1011</v>
      </c>
      <c r="C44" s="17" t="n">
        <f aca="false">Payment_Log_AP!D40</f>
        <v>45922</v>
      </c>
      <c r="D44" s="18" t="n">
        <f aca="false">Payment_Log_AP!E40</f>
        <v>9938.09</v>
      </c>
      <c r="E44" s="18" t="n">
        <f aca="false">IFERROR(INDEX(Bank_Statement!$C$2:$C$783,MATCH(A44,Bank_Statement!$E$2:$E$783,0)),"")</f>
        <v>-9938.09</v>
      </c>
      <c r="F44" s="16" t="str">
        <f aca="false">IF(E44="","No","Yes")</f>
        <v>Yes</v>
      </c>
      <c r="G44" s="18" t="n">
        <f aca="false">IF(F44="No","N/A",D44-E44)</f>
        <v>19876.18</v>
      </c>
      <c r="H44" s="16" t="str">
        <f aca="false">IF(F44="No","Unmatched - Investigate",IF(ABS(D44-E44)&gt;Assumptions!$B$6,"Mismatch - Amount Differs","Matched"))</f>
        <v>Mismatch - Amount Differs</v>
      </c>
    </row>
    <row r="45" customFormat="false" ht="15" hidden="false" customHeight="false" outlineLevel="0" collapsed="false">
      <c r="A45" s="16" t="str">
        <f aca="false">Payment_Log_AP!A41</f>
        <v>PAY40040</v>
      </c>
      <c r="B45" s="16" t="str">
        <f aca="false">Payment_Log_AP!C41</f>
        <v>V1016</v>
      </c>
      <c r="C45" s="17" t="n">
        <f aca="false">Payment_Log_AP!D41</f>
        <v>45930</v>
      </c>
      <c r="D45" s="18" t="n">
        <f aca="false">Payment_Log_AP!E41</f>
        <v>1076.83</v>
      </c>
      <c r="E45" s="18" t="n">
        <f aca="false">IFERROR(INDEX(Bank_Statement!$C$2:$C$783,MATCH(A45,Bank_Statement!$E$2:$E$783,0)),"")</f>
        <v>-1076.83</v>
      </c>
      <c r="F45" s="16" t="str">
        <f aca="false">IF(E45="","No","Yes")</f>
        <v>Yes</v>
      </c>
      <c r="G45" s="18" t="n">
        <f aca="false">IF(F45="No","N/A",D45-E45)</f>
        <v>2153.66</v>
      </c>
      <c r="H45" s="16" t="str">
        <f aca="false">IF(F45="No","Unmatched - Investigate",IF(ABS(D45-E45)&gt;Assumptions!$B$6,"Mismatch - Amount Differs","Matched"))</f>
        <v>Mismatch - Amount Differs</v>
      </c>
    </row>
    <row r="46" customFormat="false" ht="15" hidden="false" customHeight="false" outlineLevel="0" collapsed="false">
      <c r="A46" s="16" t="str">
        <f aca="false">Payment_Log_AP!A42</f>
        <v>PAY40041</v>
      </c>
      <c r="B46" s="16" t="str">
        <f aca="false">Payment_Log_AP!C42</f>
        <v>V1016</v>
      </c>
      <c r="C46" s="17" t="n">
        <f aca="false">Payment_Log_AP!D42</f>
        <v>45937</v>
      </c>
      <c r="D46" s="18" t="n">
        <f aca="false">Payment_Log_AP!E42</f>
        <v>1076.83</v>
      </c>
      <c r="E46" s="18" t="n">
        <f aca="false">IFERROR(INDEX(Bank_Statement!$C$2:$C$783,MATCH(A46,Bank_Statement!$E$2:$E$783,0)),"")</f>
        <v>-1076.83</v>
      </c>
      <c r="F46" s="16" t="str">
        <f aca="false">IF(E46="","No","Yes")</f>
        <v>Yes</v>
      </c>
      <c r="G46" s="18" t="n">
        <f aca="false">IF(F46="No","N/A",D46-E46)</f>
        <v>2153.66</v>
      </c>
      <c r="H46" s="16" t="str">
        <f aca="false">IF(F46="No","Unmatched - Investigate",IF(ABS(D46-E46)&gt;Assumptions!$B$6,"Mismatch - Amount Differs","Matched"))</f>
        <v>Mismatch - Amount Differs</v>
      </c>
    </row>
    <row r="47" customFormat="false" ht="15" hidden="false" customHeight="false" outlineLevel="0" collapsed="false">
      <c r="A47" s="16" t="str">
        <f aca="false">Payment_Log_AP!A43</f>
        <v>PAY40042</v>
      </c>
      <c r="B47" s="16" t="str">
        <f aca="false">Payment_Log_AP!C43</f>
        <v>V1001</v>
      </c>
      <c r="C47" s="17" t="n">
        <f aca="false">Payment_Log_AP!D43</f>
        <v>45852</v>
      </c>
      <c r="D47" s="18" t="n">
        <f aca="false">Payment_Log_AP!E43</f>
        <v>5899.58</v>
      </c>
      <c r="E47" s="18" t="n">
        <f aca="false">IFERROR(INDEX(Bank_Statement!$C$2:$C$783,MATCH(A47,Bank_Statement!$E$2:$E$783,0)),"")</f>
        <v>-5899.58</v>
      </c>
      <c r="F47" s="16" t="str">
        <f aca="false">IF(E47="","No","Yes")</f>
        <v>Yes</v>
      </c>
      <c r="G47" s="18" t="n">
        <f aca="false">IF(F47="No","N/A",D47-E47)</f>
        <v>11799.16</v>
      </c>
      <c r="H47" s="16" t="str">
        <f aca="false">IF(F47="No","Unmatched - Investigate",IF(ABS(D47-E47)&gt;Assumptions!$B$6,"Mismatch - Amount Differs","Matched"))</f>
        <v>Mismatch - Amount Differs</v>
      </c>
    </row>
    <row r="48" customFormat="false" ht="15" hidden="false" customHeight="false" outlineLevel="0" collapsed="false">
      <c r="A48" s="16" t="str">
        <f aca="false">Payment_Log_AP!A44</f>
        <v>PAY40043</v>
      </c>
      <c r="B48" s="16" t="str">
        <f aca="false">Payment_Log_AP!C44</f>
        <v>V1020</v>
      </c>
      <c r="C48" s="17" t="n">
        <f aca="false">Payment_Log_AP!D44</f>
        <v>45776</v>
      </c>
      <c r="D48" s="18" t="n">
        <f aca="false">Payment_Log_AP!E44</f>
        <v>31348.72</v>
      </c>
      <c r="E48" s="18" t="n">
        <f aca="false">IFERROR(INDEX(Bank_Statement!$C$2:$C$783,MATCH(A48,Bank_Statement!$E$2:$E$783,0)),"")</f>
        <v>-31348.72</v>
      </c>
      <c r="F48" s="16" t="str">
        <f aca="false">IF(E48="","No","Yes")</f>
        <v>Yes</v>
      </c>
      <c r="G48" s="18" t="n">
        <f aca="false">IF(F48="No","N/A",D48-E48)</f>
        <v>62697.44</v>
      </c>
      <c r="H48" s="16" t="str">
        <f aca="false">IF(F48="No","Unmatched - Investigate",IF(ABS(D48-E48)&gt;Assumptions!$B$6,"Mismatch - Amount Differs","Matched"))</f>
        <v>Mismatch - Amount Differs</v>
      </c>
    </row>
    <row r="49" customFormat="false" ht="15" hidden="false" customHeight="false" outlineLevel="0" collapsed="false">
      <c r="A49" s="16" t="str">
        <f aca="false">Payment_Log_AP!A45</f>
        <v>PAY40044</v>
      </c>
      <c r="B49" s="16" t="str">
        <f aca="false">Payment_Log_AP!C45</f>
        <v>V1022</v>
      </c>
      <c r="C49" s="17" t="n">
        <f aca="false">Payment_Log_AP!D45</f>
        <v>45938</v>
      </c>
      <c r="D49" s="18" t="n">
        <f aca="false">Payment_Log_AP!E45</f>
        <v>2845.35</v>
      </c>
      <c r="E49" s="18" t="n">
        <f aca="false">IFERROR(INDEX(Bank_Statement!$C$2:$C$783,MATCH(A49,Bank_Statement!$E$2:$E$783,0)),"")</f>
        <v>-2845.35</v>
      </c>
      <c r="F49" s="16" t="str">
        <f aca="false">IF(E49="","No","Yes")</f>
        <v>Yes</v>
      </c>
      <c r="G49" s="18" t="n">
        <f aca="false">IF(F49="No","N/A",D49-E49)</f>
        <v>5690.7</v>
      </c>
      <c r="H49" s="16" t="str">
        <f aca="false">IF(F49="No","Unmatched - Investigate",IF(ABS(D49-E49)&gt;Assumptions!$B$6,"Mismatch - Amount Differs","Matched"))</f>
        <v>Mismatch - Amount Differs</v>
      </c>
    </row>
    <row r="50" customFormat="false" ht="15" hidden="false" customHeight="false" outlineLevel="0" collapsed="false">
      <c r="A50" s="16" t="str">
        <f aca="false">Payment_Log_AP!A46</f>
        <v>PAY40045</v>
      </c>
      <c r="B50" s="16" t="str">
        <f aca="false">Payment_Log_AP!C46</f>
        <v>V1025</v>
      </c>
      <c r="C50" s="17" t="n">
        <f aca="false">Payment_Log_AP!D46</f>
        <v>46058</v>
      </c>
      <c r="D50" s="18" t="n">
        <f aca="false">Payment_Log_AP!E46</f>
        <v>22892.64</v>
      </c>
      <c r="E50" s="18" t="n">
        <f aca="false">IFERROR(INDEX(Bank_Statement!$C$2:$C$783,MATCH(A50,Bank_Statement!$E$2:$E$783,0)),"")</f>
        <v>-22892.64</v>
      </c>
      <c r="F50" s="16" t="str">
        <f aca="false">IF(E50="","No","Yes")</f>
        <v>Yes</v>
      </c>
      <c r="G50" s="18" t="n">
        <f aca="false">IF(F50="No","N/A",D50-E50)</f>
        <v>45785.28</v>
      </c>
      <c r="H50" s="16" t="str">
        <f aca="false">IF(F50="No","Unmatched - Investigate",IF(ABS(D50-E50)&gt;Assumptions!$B$6,"Mismatch - Amount Differs","Matched"))</f>
        <v>Mismatch - Amount Differs</v>
      </c>
    </row>
    <row r="51" customFormat="false" ht="15" hidden="false" customHeight="false" outlineLevel="0" collapsed="false">
      <c r="A51" s="16" t="str">
        <f aca="false">Payment_Log_AP!A47</f>
        <v>PAY40046</v>
      </c>
      <c r="B51" s="16" t="str">
        <f aca="false">Payment_Log_AP!C47</f>
        <v>V1006</v>
      </c>
      <c r="C51" s="17" t="n">
        <f aca="false">Payment_Log_AP!D47</f>
        <v>46172</v>
      </c>
      <c r="D51" s="18" t="n">
        <f aca="false">Payment_Log_AP!E47</f>
        <v>306.49</v>
      </c>
      <c r="E51" s="18" t="n">
        <f aca="false">IFERROR(INDEX(Bank_Statement!$C$2:$C$783,MATCH(A51,Bank_Statement!$E$2:$E$783,0)),"")</f>
        <v>-306.49</v>
      </c>
      <c r="F51" s="16" t="str">
        <f aca="false">IF(E51="","No","Yes")</f>
        <v>Yes</v>
      </c>
      <c r="G51" s="18" t="n">
        <f aca="false">IF(F51="No","N/A",D51-E51)</f>
        <v>612.98</v>
      </c>
      <c r="H51" s="16" t="str">
        <f aca="false">IF(F51="No","Unmatched - Investigate",IF(ABS(D51-E51)&gt;Assumptions!$B$6,"Mismatch - Amount Differs","Matched"))</f>
        <v>Mismatch - Amount Differs</v>
      </c>
    </row>
    <row r="52" customFormat="false" ht="15" hidden="false" customHeight="false" outlineLevel="0" collapsed="false">
      <c r="A52" s="16" t="str">
        <f aca="false">Payment_Log_AP!A48</f>
        <v>PAY40047</v>
      </c>
      <c r="B52" s="16" t="str">
        <f aca="false">Payment_Log_AP!C48</f>
        <v>V1024</v>
      </c>
      <c r="C52" s="17" t="n">
        <f aca="false">Payment_Log_AP!D48</f>
        <v>46041</v>
      </c>
      <c r="D52" s="18" t="n">
        <f aca="false">Payment_Log_AP!E48</f>
        <v>5034.71</v>
      </c>
      <c r="E52" s="18" t="n">
        <f aca="false">IFERROR(INDEX(Bank_Statement!$C$2:$C$783,MATCH(A52,Bank_Statement!$E$2:$E$783,0)),"")</f>
        <v>-5034.71</v>
      </c>
      <c r="F52" s="16" t="str">
        <f aca="false">IF(E52="","No","Yes")</f>
        <v>Yes</v>
      </c>
      <c r="G52" s="18" t="n">
        <f aca="false">IF(F52="No","N/A",D52-E52)</f>
        <v>10069.42</v>
      </c>
      <c r="H52" s="16" t="str">
        <f aca="false">IF(F52="No","Unmatched - Investigate",IF(ABS(D52-E52)&gt;Assumptions!$B$6,"Mismatch - Amount Differs","Matched"))</f>
        <v>Mismatch - Amount Differs</v>
      </c>
    </row>
    <row r="53" customFormat="false" ht="15" hidden="false" customHeight="false" outlineLevel="0" collapsed="false">
      <c r="A53" s="16" t="str">
        <f aca="false">Payment_Log_AP!A49</f>
        <v>PAY40048</v>
      </c>
      <c r="B53" s="16" t="str">
        <f aca="false">Payment_Log_AP!C49</f>
        <v>V1024</v>
      </c>
      <c r="C53" s="17" t="n">
        <f aca="false">Payment_Log_AP!D49</f>
        <v>46034</v>
      </c>
      <c r="D53" s="18" t="n">
        <f aca="false">Payment_Log_AP!E49</f>
        <v>5034.71</v>
      </c>
      <c r="E53" s="18" t="n">
        <f aca="false">IFERROR(INDEX(Bank_Statement!$C$2:$C$783,MATCH(A53,Bank_Statement!$E$2:$E$783,0)),"")</f>
        <v>-5034.71</v>
      </c>
      <c r="F53" s="16" t="str">
        <f aca="false">IF(E53="","No","Yes")</f>
        <v>Yes</v>
      </c>
      <c r="G53" s="18" t="n">
        <f aca="false">IF(F53="No","N/A",D53-E53)</f>
        <v>10069.42</v>
      </c>
      <c r="H53" s="16" t="str">
        <f aca="false">IF(F53="No","Unmatched - Investigate",IF(ABS(D53-E53)&gt;Assumptions!$B$6,"Mismatch - Amount Differs","Matched"))</f>
        <v>Mismatch - Amount Differs</v>
      </c>
    </row>
    <row r="54" customFormat="false" ht="15" hidden="false" customHeight="false" outlineLevel="0" collapsed="false">
      <c r="A54" s="16" t="str">
        <f aca="false">Payment_Log_AP!A50</f>
        <v>PAY40049</v>
      </c>
      <c r="B54" s="16" t="str">
        <f aca="false">Payment_Log_AP!C50</f>
        <v>V1029</v>
      </c>
      <c r="C54" s="17" t="n">
        <f aca="false">Payment_Log_AP!D50</f>
        <v>45848</v>
      </c>
      <c r="D54" s="18" t="n">
        <f aca="false">Payment_Log_AP!E50</f>
        <v>1369.29</v>
      </c>
      <c r="E54" s="18" t="n">
        <f aca="false">IFERROR(INDEX(Bank_Statement!$C$2:$C$783,MATCH(A54,Bank_Statement!$E$2:$E$783,0)),"")</f>
        <v>-1369.29</v>
      </c>
      <c r="F54" s="16" t="str">
        <f aca="false">IF(E54="","No","Yes")</f>
        <v>Yes</v>
      </c>
      <c r="G54" s="18" t="n">
        <f aca="false">IF(F54="No","N/A",D54-E54)</f>
        <v>2738.58</v>
      </c>
      <c r="H54" s="16" t="str">
        <f aca="false">IF(F54="No","Unmatched - Investigate",IF(ABS(D54-E54)&gt;Assumptions!$B$6,"Mismatch - Amount Differs","Matched"))</f>
        <v>Mismatch - Amount Differs</v>
      </c>
    </row>
    <row r="55" customFormat="false" ht="15" hidden="false" customHeight="false" outlineLevel="0" collapsed="false">
      <c r="A55" s="16" t="str">
        <f aca="false">Payment_Log_AP!A51</f>
        <v>PAY40050</v>
      </c>
      <c r="B55" s="16" t="str">
        <f aca="false">Payment_Log_AP!C51</f>
        <v>V1025</v>
      </c>
      <c r="C55" s="17" t="n">
        <f aca="false">Payment_Log_AP!D51</f>
        <v>45994</v>
      </c>
      <c r="D55" s="18" t="n">
        <f aca="false">Payment_Log_AP!E51</f>
        <v>2783.02</v>
      </c>
      <c r="E55" s="18" t="n">
        <f aca="false">IFERROR(INDEX(Bank_Statement!$C$2:$C$783,MATCH(A55,Bank_Statement!$E$2:$E$783,0)),"")</f>
        <v>-2783.02</v>
      </c>
      <c r="F55" s="16" t="str">
        <f aca="false">IF(E55="","No","Yes")</f>
        <v>Yes</v>
      </c>
      <c r="G55" s="18" t="n">
        <f aca="false">IF(F55="No","N/A",D55-E55)</f>
        <v>5566.04</v>
      </c>
      <c r="H55" s="16" t="str">
        <f aca="false">IF(F55="No","Unmatched - Investigate",IF(ABS(D55-E55)&gt;Assumptions!$B$6,"Mismatch - Amount Differs","Matched"))</f>
        <v>Mismatch - Amount Differs</v>
      </c>
    </row>
    <row r="56" customFormat="false" ht="15" hidden="false" customHeight="false" outlineLevel="0" collapsed="false">
      <c r="A56" s="16" t="str">
        <f aca="false">Payment_Log_AP!A52</f>
        <v>PAY40051</v>
      </c>
      <c r="B56" s="16" t="str">
        <f aca="false">Payment_Log_AP!C52</f>
        <v>V1031</v>
      </c>
      <c r="C56" s="17" t="n">
        <f aca="false">Payment_Log_AP!D52</f>
        <v>45679</v>
      </c>
      <c r="D56" s="18" t="n">
        <f aca="false">Payment_Log_AP!E52</f>
        <v>1474.66</v>
      </c>
      <c r="E56" s="18" t="n">
        <f aca="false">IFERROR(INDEX(Bank_Statement!$C$2:$C$783,MATCH(A56,Bank_Statement!$E$2:$E$783,0)),"")</f>
        <v>-1474.66</v>
      </c>
      <c r="F56" s="16" t="str">
        <f aca="false">IF(E56="","No","Yes")</f>
        <v>Yes</v>
      </c>
      <c r="G56" s="18" t="n">
        <f aca="false">IF(F56="No","N/A",D56-E56)</f>
        <v>2949.32</v>
      </c>
      <c r="H56" s="16" t="str">
        <f aca="false">IF(F56="No","Unmatched - Investigate",IF(ABS(D56-E56)&gt;Assumptions!$B$6,"Mismatch - Amount Differs","Matched"))</f>
        <v>Mismatch - Amount Differs</v>
      </c>
    </row>
    <row r="57" customFormat="false" ht="15" hidden="false" customHeight="false" outlineLevel="0" collapsed="false">
      <c r="A57" s="16" t="str">
        <f aca="false">Payment_Log_AP!A53</f>
        <v>PAY40052</v>
      </c>
      <c r="B57" s="16" t="str">
        <f aca="false">Payment_Log_AP!C53</f>
        <v>V1031</v>
      </c>
      <c r="C57" s="17" t="n">
        <f aca="false">Payment_Log_AP!D53</f>
        <v>45842</v>
      </c>
      <c r="D57" s="18" t="n">
        <f aca="false">Payment_Log_AP!E53</f>
        <v>1567.44</v>
      </c>
      <c r="E57" s="18" t="n">
        <f aca="false">IFERROR(INDEX(Bank_Statement!$C$2:$C$783,MATCH(A57,Bank_Statement!$E$2:$E$783,0)),"")</f>
        <v>-1567.44</v>
      </c>
      <c r="F57" s="16" t="str">
        <f aca="false">IF(E57="","No","Yes")</f>
        <v>Yes</v>
      </c>
      <c r="G57" s="18" t="n">
        <f aca="false">IF(F57="No","N/A",D57-E57)</f>
        <v>3134.88</v>
      </c>
      <c r="H57" s="16" t="str">
        <f aca="false">IF(F57="No","Unmatched - Investigate",IF(ABS(D57-E57)&gt;Assumptions!$B$6,"Mismatch - Amount Differs","Matched"))</f>
        <v>Mismatch - Amount Differs</v>
      </c>
    </row>
    <row r="58" customFormat="false" ht="15" hidden="false" customHeight="false" outlineLevel="0" collapsed="false">
      <c r="A58" s="16" t="str">
        <f aca="false">Payment_Log_AP!A54</f>
        <v>PAY40053</v>
      </c>
      <c r="B58" s="16" t="str">
        <f aca="false">Payment_Log_AP!C54</f>
        <v>V1029</v>
      </c>
      <c r="C58" s="17" t="n">
        <f aca="false">Payment_Log_AP!D54</f>
        <v>45933</v>
      </c>
      <c r="D58" s="18" t="n">
        <f aca="false">Payment_Log_AP!E54</f>
        <v>7649.01</v>
      </c>
      <c r="E58" s="18" t="n">
        <f aca="false">IFERROR(INDEX(Bank_Statement!$C$2:$C$783,MATCH(A58,Bank_Statement!$E$2:$E$783,0)),"")</f>
        <v>-7649.01</v>
      </c>
      <c r="F58" s="16" t="str">
        <f aca="false">IF(E58="","No","Yes")</f>
        <v>Yes</v>
      </c>
      <c r="G58" s="18" t="n">
        <f aca="false">IF(F58="No","N/A",D58-E58)</f>
        <v>15298.02</v>
      </c>
      <c r="H58" s="16" t="str">
        <f aca="false">IF(F58="No","Unmatched - Investigate",IF(ABS(D58-E58)&gt;Assumptions!$B$6,"Mismatch - Amount Differs","Matched"))</f>
        <v>Mismatch - Amount Differs</v>
      </c>
    </row>
    <row r="59" customFormat="false" ht="15" hidden="false" customHeight="false" outlineLevel="0" collapsed="false">
      <c r="A59" s="16" t="str">
        <f aca="false">Payment_Log_AP!A55</f>
        <v>PAY40054</v>
      </c>
      <c r="B59" s="16" t="str">
        <f aca="false">Payment_Log_AP!C55</f>
        <v>V1009</v>
      </c>
      <c r="C59" s="17" t="n">
        <f aca="false">Payment_Log_AP!D55</f>
        <v>46003</v>
      </c>
      <c r="D59" s="18" t="n">
        <f aca="false">Payment_Log_AP!E55</f>
        <v>3881</v>
      </c>
      <c r="E59" s="18" t="n">
        <f aca="false">IFERROR(INDEX(Bank_Statement!$C$2:$C$783,MATCH(A59,Bank_Statement!$E$2:$E$783,0)),"")</f>
        <v>-3881</v>
      </c>
      <c r="F59" s="16" t="str">
        <f aca="false">IF(E59="","No","Yes")</f>
        <v>Yes</v>
      </c>
      <c r="G59" s="18" t="n">
        <f aca="false">IF(F59="No","N/A",D59-E59)</f>
        <v>7762</v>
      </c>
      <c r="H59" s="16" t="str">
        <f aca="false">IF(F59="No","Unmatched - Investigate",IF(ABS(D59-E59)&gt;Assumptions!$B$6,"Mismatch - Amount Differs","Matched"))</f>
        <v>Mismatch - Amount Differs</v>
      </c>
    </row>
    <row r="60" customFormat="false" ht="15" hidden="false" customHeight="false" outlineLevel="0" collapsed="false">
      <c r="A60" s="16" t="str">
        <f aca="false">Payment_Log_AP!A56</f>
        <v>PAY40055</v>
      </c>
      <c r="B60" s="16" t="str">
        <f aca="false">Payment_Log_AP!C56</f>
        <v>V1019</v>
      </c>
      <c r="C60" s="17" t="n">
        <f aca="false">Payment_Log_AP!D56</f>
        <v>46043</v>
      </c>
      <c r="D60" s="18" t="n">
        <f aca="false">Payment_Log_AP!E56</f>
        <v>3262.21</v>
      </c>
      <c r="E60" s="18" t="n">
        <f aca="false">IFERROR(INDEX(Bank_Statement!$C$2:$C$783,MATCH(A60,Bank_Statement!$E$2:$E$783,0)),"")</f>
        <v>-3262.21</v>
      </c>
      <c r="F60" s="16" t="str">
        <f aca="false">IF(E60="","No","Yes")</f>
        <v>Yes</v>
      </c>
      <c r="G60" s="18" t="n">
        <f aca="false">IF(F60="No","N/A",D60-E60)</f>
        <v>6524.42</v>
      </c>
      <c r="H60" s="16" t="str">
        <f aca="false">IF(F60="No","Unmatched - Investigate",IF(ABS(D60-E60)&gt;Assumptions!$B$6,"Mismatch - Amount Differs","Matched"))</f>
        <v>Mismatch - Amount Differs</v>
      </c>
    </row>
    <row r="61" customFormat="false" ht="15" hidden="false" customHeight="false" outlineLevel="0" collapsed="false">
      <c r="A61" s="16" t="str">
        <f aca="false">Payment_Log_AP!A57</f>
        <v>PAY40056</v>
      </c>
      <c r="B61" s="16" t="str">
        <f aca="false">Payment_Log_AP!C57</f>
        <v>V1013</v>
      </c>
      <c r="C61" s="17" t="n">
        <f aca="false">Payment_Log_AP!D57</f>
        <v>45926</v>
      </c>
      <c r="D61" s="18" t="n">
        <f aca="false">Payment_Log_AP!E57</f>
        <v>5144.03</v>
      </c>
      <c r="E61" s="18" t="n">
        <f aca="false">IFERROR(INDEX(Bank_Statement!$C$2:$C$783,MATCH(A61,Bank_Statement!$E$2:$E$783,0)),"")</f>
        <v>-5144.03</v>
      </c>
      <c r="F61" s="16" t="str">
        <f aca="false">IF(E61="","No","Yes")</f>
        <v>Yes</v>
      </c>
      <c r="G61" s="18" t="n">
        <f aca="false">IF(F61="No","N/A",D61-E61)</f>
        <v>10288.06</v>
      </c>
      <c r="H61" s="16" t="str">
        <f aca="false">IF(F61="No","Unmatched - Investigate",IF(ABS(D61-E61)&gt;Assumptions!$B$6,"Mismatch - Amount Differs","Matched"))</f>
        <v>Mismatch - Amount Differs</v>
      </c>
    </row>
    <row r="62" customFormat="false" ht="15" hidden="false" customHeight="false" outlineLevel="0" collapsed="false">
      <c r="A62" s="16" t="str">
        <f aca="false">Payment_Log_AP!A58</f>
        <v>PAY40057</v>
      </c>
      <c r="B62" s="16" t="str">
        <f aca="false">Payment_Log_AP!C58</f>
        <v>V1038</v>
      </c>
      <c r="C62" s="17" t="n">
        <f aca="false">Payment_Log_AP!D58</f>
        <v>45955</v>
      </c>
      <c r="D62" s="18" t="n">
        <f aca="false">Payment_Log_AP!E58</f>
        <v>5496.95</v>
      </c>
      <c r="E62" s="18" t="n">
        <f aca="false">IFERROR(INDEX(Bank_Statement!$C$2:$C$783,MATCH(A62,Bank_Statement!$E$2:$E$783,0)),"")</f>
        <v>-5496.95</v>
      </c>
      <c r="F62" s="16" t="str">
        <f aca="false">IF(E62="","No","Yes")</f>
        <v>Yes</v>
      </c>
      <c r="G62" s="18" t="n">
        <f aca="false">IF(F62="No","N/A",D62-E62)</f>
        <v>10993.9</v>
      </c>
      <c r="H62" s="16" t="str">
        <f aca="false">IF(F62="No","Unmatched - Investigate",IF(ABS(D62-E62)&gt;Assumptions!$B$6,"Mismatch - Amount Differs","Matched"))</f>
        <v>Mismatch - Amount Differs</v>
      </c>
    </row>
    <row r="63" customFormat="false" ht="15" hidden="false" customHeight="false" outlineLevel="0" collapsed="false">
      <c r="A63" s="16" t="str">
        <f aca="false">Payment_Log_AP!A59</f>
        <v>PAY40058</v>
      </c>
      <c r="B63" s="16" t="str">
        <f aca="false">Payment_Log_AP!C59</f>
        <v>V1031</v>
      </c>
      <c r="C63" s="17" t="n">
        <f aca="false">Payment_Log_AP!D59</f>
        <v>46167</v>
      </c>
      <c r="D63" s="18" t="n">
        <f aca="false">Payment_Log_AP!E59</f>
        <v>1566.24</v>
      </c>
      <c r="E63" s="18" t="n">
        <f aca="false">IFERROR(INDEX(Bank_Statement!$C$2:$C$783,MATCH(A63,Bank_Statement!$E$2:$E$783,0)),"")</f>
        <v>-1566.24</v>
      </c>
      <c r="F63" s="16" t="str">
        <f aca="false">IF(E63="","No","Yes")</f>
        <v>Yes</v>
      </c>
      <c r="G63" s="18" t="n">
        <f aca="false">IF(F63="No","N/A",D63-E63)</f>
        <v>3132.48</v>
      </c>
      <c r="H63" s="16" t="str">
        <f aca="false">IF(F63="No","Unmatched - Investigate",IF(ABS(D63-E63)&gt;Assumptions!$B$6,"Mismatch - Amount Differs","Matched"))</f>
        <v>Mismatch - Amount Differs</v>
      </c>
    </row>
    <row r="64" customFormat="false" ht="15" hidden="false" customHeight="false" outlineLevel="0" collapsed="false">
      <c r="A64" s="16" t="str">
        <f aca="false">Payment_Log_AP!A60</f>
        <v>PAY40059</v>
      </c>
      <c r="B64" s="16" t="str">
        <f aca="false">Payment_Log_AP!C60</f>
        <v>V1027</v>
      </c>
      <c r="C64" s="17" t="n">
        <f aca="false">Payment_Log_AP!D60</f>
        <v>46120</v>
      </c>
      <c r="D64" s="18" t="n">
        <f aca="false">Payment_Log_AP!E60</f>
        <v>17358.33</v>
      </c>
      <c r="E64" s="18" t="n">
        <f aca="false">IFERROR(INDEX(Bank_Statement!$C$2:$C$783,MATCH(A64,Bank_Statement!$E$2:$E$783,0)),"")</f>
        <v>-17358.33</v>
      </c>
      <c r="F64" s="16" t="str">
        <f aca="false">IF(E64="","No","Yes")</f>
        <v>Yes</v>
      </c>
      <c r="G64" s="18" t="n">
        <f aca="false">IF(F64="No","N/A",D64-E64)</f>
        <v>34716.66</v>
      </c>
      <c r="H64" s="16" t="str">
        <f aca="false">IF(F64="No","Unmatched - Investigate",IF(ABS(D64-E64)&gt;Assumptions!$B$6,"Mismatch - Amount Differs","Matched"))</f>
        <v>Mismatch - Amount Differs</v>
      </c>
    </row>
    <row r="65" customFormat="false" ht="15" hidden="false" customHeight="false" outlineLevel="0" collapsed="false">
      <c r="A65" s="16" t="str">
        <f aca="false">Payment_Log_AP!A61</f>
        <v>PAY40060</v>
      </c>
      <c r="B65" s="16" t="str">
        <f aca="false">Payment_Log_AP!C61</f>
        <v>V1010</v>
      </c>
      <c r="C65" s="17" t="n">
        <f aca="false">Payment_Log_AP!D61</f>
        <v>45781</v>
      </c>
      <c r="D65" s="18" t="n">
        <f aca="false">Payment_Log_AP!E61</f>
        <v>537.25</v>
      </c>
      <c r="E65" s="18" t="n">
        <f aca="false">IFERROR(INDEX(Bank_Statement!$C$2:$C$783,MATCH(A65,Bank_Statement!$E$2:$E$783,0)),"")</f>
        <v>-537.25</v>
      </c>
      <c r="F65" s="16" t="str">
        <f aca="false">IF(E65="","No","Yes")</f>
        <v>Yes</v>
      </c>
      <c r="G65" s="18" t="n">
        <f aca="false">IF(F65="No","N/A",D65-E65)</f>
        <v>1074.5</v>
      </c>
      <c r="H65" s="16" t="str">
        <f aca="false">IF(F65="No","Unmatched - Investigate",IF(ABS(D65-E65)&gt;Assumptions!$B$6,"Mismatch - Amount Differs","Matched"))</f>
        <v>Mismatch - Amount Differs</v>
      </c>
    </row>
    <row r="66" customFormat="false" ht="15" hidden="false" customHeight="false" outlineLevel="0" collapsed="false">
      <c r="A66" s="16" t="str">
        <f aca="false">Payment_Log_AP!A62</f>
        <v>PAY40061</v>
      </c>
      <c r="B66" s="16" t="str">
        <f aca="false">Payment_Log_AP!C62</f>
        <v>V1014</v>
      </c>
      <c r="C66" s="17" t="n">
        <f aca="false">Payment_Log_AP!D62</f>
        <v>45756</v>
      </c>
      <c r="D66" s="18" t="n">
        <f aca="false">Payment_Log_AP!E62</f>
        <v>4040.21</v>
      </c>
      <c r="E66" s="18" t="n">
        <f aca="false">IFERROR(INDEX(Bank_Statement!$C$2:$C$783,MATCH(A66,Bank_Statement!$E$2:$E$783,0)),"")</f>
        <v>-4040.21</v>
      </c>
      <c r="F66" s="16" t="str">
        <f aca="false">IF(E66="","No","Yes")</f>
        <v>Yes</v>
      </c>
      <c r="G66" s="18" t="n">
        <f aca="false">IF(F66="No","N/A",D66-E66)</f>
        <v>8080.42</v>
      </c>
      <c r="H66" s="16" t="str">
        <f aca="false">IF(F66="No","Unmatched - Investigate",IF(ABS(D66-E66)&gt;Assumptions!$B$6,"Mismatch - Amount Differs","Matched"))</f>
        <v>Mismatch - Amount Differs</v>
      </c>
    </row>
    <row r="67" customFormat="false" ht="15" hidden="false" customHeight="false" outlineLevel="0" collapsed="false">
      <c r="A67" s="16" t="str">
        <f aca="false">Payment_Log_AP!A63</f>
        <v>PAY40062</v>
      </c>
      <c r="B67" s="16" t="str">
        <f aca="false">Payment_Log_AP!C63</f>
        <v>V1002</v>
      </c>
      <c r="C67" s="17" t="n">
        <f aca="false">Payment_Log_AP!D63</f>
        <v>45972</v>
      </c>
      <c r="D67" s="18" t="n">
        <f aca="false">Payment_Log_AP!E63</f>
        <v>158.45</v>
      </c>
      <c r="E67" s="18" t="n">
        <f aca="false">IFERROR(INDEX(Bank_Statement!$C$2:$C$783,MATCH(A67,Bank_Statement!$E$2:$E$783,0)),"")</f>
        <v>-158.45</v>
      </c>
      <c r="F67" s="16" t="str">
        <f aca="false">IF(E67="","No","Yes")</f>
        <v>Yes</v>
      </c>
      <c r="G67" s="18" t="n">
        <f aca="false">IF(F67="No","N/A",D67-E67)</f>
        <v>316.9</v>
      </c>
      <c r="H67" s="16" t="str">
        <f aca="false">IF(F67="No","Unmatched - Investigate",IF(ABS(D67-E67)&gt;Assumptions!$B$6,"Mismatch - Amount Differs","Matched"))</f>
        <v>Mismatch - Amount Differs</v>
      </c>
    </row>
    <row r="68" customFormat="false" ht="15" hidden="false" customHeight="false" outlineLevel="0" collapsed="false">
      <c r="A68" s="16" t="str">
        <f aca="false">Payment_Log_AP!A64</f>
        <v>PAY40063</v>
      </c>
      <c r="B68" s="16" t="str">
        <f aca="false">Payment_Log_AP!C64</f>
        <v>V1010</v>
      </c>
      <c r="C68" s="17" t="n">
        <f aca="false">Payment_Log_AP!D64</f>
        <v>46020</v>
      </c>
      <c r="D68" s="18" t="n">
        <f aca="false">Payment_Log_AP!E64</f>
        <v>2227.94</v>
      </c>
      <c r="E68" s="18" t="n">
        <f aca="false">IFERROR(INDEX(Bank_Statement!$C$2:$C$783,MATCH(A68,Bank_Statement!$E$2:$E$783,0)),"")</f>
        <v>-2227.94</v>
      </c>
      <c r="F68" s="16" t="str">
        <f aca="false">IF(E68="","No","Yes")</f>
        <v>Yes</v>
      </c>
      <c r="G68" s="18" t="n">
        <f aca="false">IF(F68="No","N/A",D68-E68)</f>
        <v>4455.88</v>
      </c>
      <c r="H68" s="16" t="str">
        <f aca="false">IF(F68="No","Unmatched - Investigate",IF(ABS(D68-E68)&gt;Assumptions!$B$6,"Mismatch - Amount Differs","Matched"))</f>
        <v>Mismatch - Amount Differs</v>
      </c>
    </row>
    <row r="69" customFormat="false" ht="15" hidden="false" customHeight="false" outlineLevel="0" collapsed="false">
      <c r="A69" s="16" t="str">
        <f aca="false">Payment_Log_AP!A65</f>
        <v>PAY40064</v>
      </c>
      <c r="B69" s="16" t="str">
        <f aca="false">Payment_Log_AP!C65</f>
        <v>V1008</v>
      </c>
      <c r="C69" s="17" t="n">
        <f aca="false">Payment_Log_AP!D65</f>
        <v>45884</v>
      </c>
      <c r="D69" s="18" t="n">
        <f aca="false">Payment_Log_AP!E65</f>
        <v>3409.89</v>
      </c>
      <c r="E69" s="18" t="n">
        <f aca="false">IFERROR(INDEX(Bank_Statement!$C$2:$C$783,MATCH(A69,Bank_Statement!$E$2:$E$783,0)),"")</f>
        <v>-3409.89</v>
      </c>
      <c r="F69" s="16" t="str">
        <f aca="false">IF(E69="","No","Yes")</f>
        <v>Yes</v>
      </c>
      <c r="G69" s="18" t="n">
        <f aca="false">IF(F69="No","N/A",D69-E69)</f>
        <v>6819.78</v>
      </c>
      <c r="H69" s="16" t="str">
        <f aca="false">IF(F69="No","Unmatched - Investigate",IF(ABS(D69-E69)&gt;Assumptions!$B$6,"Mismatch - Amount Differs","Matched"))</f>
        <v>Mismatch - Amount Differs</v>
      </c>
    </row>
    <row r="70" customFormat="false" ht="15" hidden="false" customHeight="false" outlineLevel="0" collapsed="false">
      <c r="A70" s="16" t="str">
        <f aca="false">Payment_Log_AP!A66</f>
        <v>PAY40065</v>
      </c>
      <c r="B70" s="16" t="str">
        <f aca="false">Payment_Log_AP!C66</f>
        <v>V1011</v>
      </c>
      <c r="C70" s="17" t="n">
        <f aca="false">Payment_Log_AP!D66</f>
        <v>46135</v>
      </c>
      <c r="D70" s="18" t="n">
        <f aca="false">Payment_Log_AP!E66</f>
        <v>426.18</v>
      </c>
      <c r="E70" s="18" t="n">
        <f aca="false">IFERROR(INDEX(Bank_Statement!$C$2:$C$783,MATCH(A70,Bank_Statement!$E$2:$E$783,0)),"")</f>
        <v>-426.18</v>
      </c>
      <c r="F70" s="16" t="str">
        <f aca="false">IF(E70="","No","Yes")</f>
        <v>Yes</v>
      </c>
      <c r="G70" s="18" t="n">
        <f aca="false">IF(F70="No","N/A",D70-E70)</f>
        <v>852.36</v>
      </c>
      <c r="H70" s="16" t="str">
        <f aca="false">IF(F70="No","Unmatched - Investigate",IF(ABS(D70-E70)&gt;Assumptions!$B$6,"Mismatch - Amount Differs","Matched"))</f>
        <v>Mismatch - Amount Differs</v>
      </c>
    </row>
    <row r="71" customFormat="false" ht="15" hidden="false" customHeight="false" outlineLevel="0" collapsed="false">
      <c r="A71" s="16" t="str">
        <f aca="false">Payment_Log_AP!A67</f>
        <v>PAY40066</v>
      </c>
      <c r="B71" s="16" t="str">
        <f aca="false">Payment_Log_AP!C67</f>
        <v>V1038</v>
      </c>
      <c r="C71" s="17" t="n">
        <f aca="false">Payment_Log_AP!D67</f>
        <v>46117</v>
      </c>
      <c r="D71" s="18" t="n">
        <f aca="false">Payment_Log_AP!E67</f>
        <v>650.45</v>
      </c>
      <c r="E71" s="18" t="n">
        <f aca="false">IFERROR(INDEX(Bank_Statement!$C$2:$C$783,MATCH(A71,Bank_Statement!$E$2:$E$783,0)),"")</f>
        <v>-650.45</v>
      </c>
      <c r="F71" s="16" t="str">
        <f aca="false">IF(E71="","No","Yes")</f>
        <v>Yes</v>
      </c>
      <c r="G71" s="18" t="n">
        <f aca="false">IF(F71="No","N/A",D71-E71)</f>
        <v>1300.9</v>
      </c>
      <c r="H71" s="16" t="str">
        <f aca="false">IF(F71="No","Unmatched - Investigate",IF(ABS(D71-E71)&gt;Assumptions!$B$6,"Mismatch - Amount Differs","Matched"))</f>
        <v>Mismatch - Amount Differs</v>
      </c>
    </row>
    <row r="72" customFormat="false" ht="15" hidden="false" customHeight="false" outlineLevel="0" collapsed="false">
      <c r="A72" s="16" t="str">
        <f aca="false">Payment_Log_AP!A68</f>
        <v>PAY40067</v>
      </c>
      <c r="B72" s="16" t="str">
        <f aca="false">Payment_Log_AP!C68</f>
        <v>V1009</v>
      </c>
      <c r="C72" s="17" t="n">
        <f aca="false">Payment_Log_AP!D68</f>
        <v>46071</v>
      </c>
      <c r="D72" s="18" t="n">
        <f aca="false">Payment_Log_AP!E68</f>
        <v>173.05</v>
      </c>
      <c r="E72" s="18" t="n">
        <f aca="false">IFERROR(INDEX(Bank_Statement!$C$2:$C$783,MATCH(A72,Bank_Statement!$E$2:$E$783,0)),"")</f>
        <v>-173.05</v>
      </c>
      <c r="F72" s="16" t="str">
        <f aca="false">IF(E72="","No","Yes")</f>
        <v>Yes</v>
      </c>
      <c r="G72" s="18" t="n">
        <f aca="false">IF(F72="No","N/A",D72-E72)</f>
        <v>346.1</v>
      </c>
      <c r="H72" s="16" t="str">
        <f aca="false">IF(F72="No","Unmatched - Investigate",IF(ABS(D72-E72)&gt;Assumptions!$B$6,"Mismatch - Amount Differs","Matched"))</f>
        <v>Mismatch - Amount Differs</v>
      </c>
    </row>
    <row r="73" customFormat="false" ht="15" hidden="false" customHeight="false" outlineLevel="0" collapsed="false">
      <c r="A73" s="16" t="str">
        <f aca="false">Payment_Log_AP!A69</f>
        <v>PAY40068</v>
      </c>
      <c r="B73" s="16" t="str">
        <f aca="false">Payment_Log_AP!C69</f>
        <v>V1009</v>
      </c>
      <c r="C73" s="17" t="n">
        <f aca="false">Payment_Log_AP!D69</f>
        <v>46074</v>
      </c>
      <c r="D73" s="18" t="n">
        <f aca="false">Payment_Log_AP!E69</f>
        <v>173.05</v>
      </c>
      <c r="E73" s="18" t="n">
        <f aca="false">IFERROR(INDEX(Bank_Statement!$C$2:$C$783,MATCH(A73,Bank_Statement!$E$2:$E$783,0)),"")</f>
        <v>-173.05</v>
      </c>
      <c r="F73" s="16" t="str">
        <f aca="false">IF(E73="","No","Yes")</f>
        <v>Yes</v>
      </c>
      <c r="G73" s="18" t="n">
        <f aca="false">IF(F73="No","N/A",D73-E73)</f>
        <v>346.1</v>
      </c>
      <c r="H73" s="16" t="str">
        <f aca="false">IF(F73="No","Unmatched - Investigate",IF(ABS(D73-E73)&gt;Assumptions!$B$6,"Mismatch - Amount Differs","Matched"))</f>
        <v>Mismatch - Amount Differs</v>
      </c>
    </row>
    <row r="74" customFormat="false" ht="15" hidden="false" customHeight="false" outlineLevel="0" collapsed="false">
      <c r="A74" s="16" t="str">
        <f aca="false">Payment_Log_AP!A70</f>
        <v>PAY40069</v>
      </c>
      <c r="B74" s="16" t="str">
        <f aca="false">Payment_Log_AP!C70</f>
        <v>V1017</v>
      </c>
      <c r="C74" s="17" t="n">
        <f aca="false">Payment_Log_AP!D70</f>
        <v>45788</v>
      </c>
      <c r="D74" s="18" t="n">
        <f aca="false">Payment_Log_AP!E70</f>
        <v>3225.76</v>
      </c>
      <c r="E74" s="18" t="n">
        <f aca="false">IFERROR(INDEX(Bank_Statement!$C$2:$C$783,MATCH(A74,Bank_Statement!$E$2:$E$783,0)),"")</f>
        <v>-3225.76</v>
      </c>
      <c r="F74" s="16" t="str">
        <f aca="false">IF(E74="","No","Yes")</f>
        <v>Yes</v>
      </c>
      <c r="G74" s="18" t="n">
        <f aca="false">IF(F74="No","N/A",D74-E74)</f>
        <v>6451.52</v>
      </c>
      <c r="H74" s="16" t="str">
        <f aca="false">IF(F74="No","Unmatched - Investigate",IF(ABS(D74-E74)&gt;Assumptions!$B$6,"Mismatch - Amount Differs","Matched"))</f>
        <v>Mismatch - Amount Differs</v>
      </c>
    </row>
    <row r="75" customFormat="false" ht="15" hidden="false" customHeight="false" outlineLevel="0" collapsed="false">
      <c r="A75" s="16" t="str">
        <f aca="false">Payment_Log_AP!A71</f>
        <v>PAY40070</v>
      </c>
      <c r="B75" s="16" t="str">
        <f aca="false">Payment_Log_AP!C71</f>
        <v>V1014</v>
      </c>
      <c r="C75" s="17" t="n">
        <f aca="false">Payment_Log_AP!D71</f>
        <v>45697</v>
      </c>
      <c r="D75" s="18" t="n">
        <f aca="false">Payment_Log_AP!E71</f>
        <v>773.09</v>
      </c>
      <c r="E75" s="18" t="n">
        <f aca="false">IFERROR(INDEX(Bank_Statement!$C$2:$C$783,MATCH(A75,Bank_Statement!$E$2:$E$783,0)),"")</f>
        <v>-773.09</v>
      </c>
      <c r="F75" s="16" t="str">
        <f aca="false">IF(E75="","No","Yes")</f>
        <v>Yes</v>
      </c>
      <c r="G75" s="18" t="n">
        <f aca="false">IF(F75="No","N/A",D75-E75)</f>
        <v>1546.18</v>
      </c>
      <c r="H75" s="16" t="str">
        <f aca="false">IF(F75="No","Unmatched - Investigate",IF(ABS(D75-E75)&gt;Assumptions!$B$6,"Mismatch - Amount Differs","Matched"))</f>
        <v>Mismatch - Amount Differs</v>
      </c>
    </row>
    <row r="76" customFormat="false" ht="15" hidden="false" customHeight="false" outlineLevel="0" collapsed="false">
      <c r="A76" s="16" t="str">
        <f aca="false">Payment_Log_AP!A72</f>
        <v>PAY40071</v>
      </c>
      <c r="B76" s="16" t="str">
        <f aca="false">Payment_Log_AP!C72</f>
        <v>V1024</v>
      </c>
      <c r="C76" s="17" t="n">
        <f aca="false">Payment_Log_AP!D72</f>
        <v>45826</v>
      </c>
      <c r="D76" s="18" t="n">
        <f aca="false">Payment_Log_AP!E72</f>
        <v>3182.11</v>
      </c>
      <c r="E76" s="18" t="n">
        <f aca="false">IFERROR(INDEX(Bank_Statement!$C$2:$C$783,MATCH(A76,Bank_Statement!$E$2:$E$783,0)),"")</f>
        <v>-3182.11</v>
      </c>
      <c r="F76" s="16" t="str">
        <f aca="false">IF(E76="","No","Yes")</f>
        <v>Yes</v>
      </c>
      <c r="G76" s="18" t="n">
        <f aca="false">IF(F76="No","N/A",D76-E76)</f>
        <v>6364.22</v>
      </c>
      <c r="H76" s="16" t="str">
        <f aca="false">IF(F76="No","Unmatched - Investigate",IF(ABS(D76-E76)&gt;Assumptions!$B$6,"Mismatch - Amount Differs","Matched"))</f>
        <v>Mismatch - Amount Differs</v>
      </c>
    </row>
    <row r="77" customFormat="false" ht="15" hidden="false" customHeight="false" outlineLevel="0" collapsed="false">
      <c r="A77" s="16" t="str">
        <f aca="false">Payment_Log_AP!A73</f>
        <v>PAY40072</v>
      </c>
      <c r="B77" s="16" t="str">
        <f aca="false">Payment_Log_AP!C73</f>
        <v>V1021</v>
      </c>
      <c r="C77" s="17" t="n">
        <f aca="false">Payment_Log_AP!D73</f>
        <v>45926</v>
      </c>
      <c r="D77" s="18" t="n">
        <f aca="false">Payment_Log_AP!E73</f>
        <v>2202.92</v>
      </c>
      <c r="E77" s="18" t="n">
        <f aca="false">IFERROR(INDEX(Bank_Statement!$C$2:$C$783,MATCH(A77,Bank_Statement!$E$2:$E$783,0)),"")</f>
        <v>-2202.92</v>
      </c>
      <c r="F77" s="16" t="str">
        <f aca="false">IF(E77="","No","Yes")</f>
        <v>Yes</v>
      </c>
      <c r="G77" s="18" t="n">
        <f aca="false">IF(F77="No","N/A",D77-E77)</f>
        <v>4405.84</v>
      </c>
      <c r="H77" s="16" t="str">
        <f aca="false">IF(F77="No","Unmatched - Investigate",IF(ABS(D77-E77)&gt;Assumptions!$B$6,"Mismatch - Amount Differs","Matched"))</f>
        <v>Mismatch - Amount Differs</v>
      </c>
    </row>
    <row r="78" customFormat="false" ht="15" hidden="false" customHeight="false" outlineLevel="0" collapsed="false">
      <c r="A78" s="16" t="str">
        <f aca="false">Payment_Log_AP!A74</f>
        <v>PAY40073</v>
      </c>
      <c r="B78" s="16" t="str">
        <f aca="false">Payment_Log_AP!C74</f>
        <v>V1021</v>
      </c>
      <c r="C78" s="17" t="n">
        <f aca="false">Payment_Log_AP!D74</f>
        <v>45946</v>
      </c>
      <c r="D78" s="18" t="n">
        <f aca="false">Payment_Log_AP!E74</f>
        <v>2202.92</v>
      </c>
      <c r="E78" s="18" t="n">
        <f aca="false">IFERROR(INDEX(Bank_Statement!$C$2:$C$783,MATCH(A78,Bank_Statement!$E$2:$E$783,0)),"")</f>
        <v>-2202.92</v>
      </c>
      <c r="F78" s="16" t="str">
        <f aca="false">IF(E78="","No","Yes")</f>
        <v>Yes</v>
      </c>
      <c r="G78" s="18" t="n">
        <f aca="false">IF(F78="No","N/A",D78-E78)</f>
        <v>4405.84</v>
      </c>
      <c r="H78" s="16" t="str">
        <f aca="false">IF(F78="No","Unmatched - Investigate",IF(ABS(D78-E78)&gt;Assumptions!$B$6,"Mismatch - Amount Differs","Matched"))</f>
        <v>Mismatch - Amount Differs</v>
      </c>
    </row>
    <row r="79" customFormat="false" ht="15" hidden="false" customHeight="false" outlineLevel="0" collapsed="false">
      <c r="A79" s="16" t="str">
        <f aca="false">Payment_Log_AP!A75</f>
        <v>PAY40074</v>
      </c>
      <c r="B79" s="16" t="str">
        <f aca="false">Payment_Log_AP!C75</f>
        <v>V1012</v>
      </c>
      <c r="C79" s="17" t="n">
        <f aca="false">Payment_Log_AP!D75</f>
        <v>46138</v>
      </c>
      <c r="D79" s="18" t="n">
        <f aca="false">Payment_Log_AP!E75</f>
        <v>13999.16</v>
      </c>
      <c r="E79" s="18" t="n">
        <f aca="false">IFERROR(INDEX(Bank_Statement!$C$2:$C$783,MATCH(A79,Bank_Statement!$E$2:$E$783,0)),"")</f>
        <v>-13999.16</v>
      </c>
      <c r="F79" s="16" t="str">
        <f aca="false">IF(E79="","No","Yes")</f>
        <v>Yes</v>
      </c>
      <c r="G79" s="18" t="n">
        <f aca="false">IF(F79="No","N/A",D79-E79)</f>
        <v>27998.32</v>
      </c>
      <c r="H79" s="16" t="str">
        <f aca="false">IF(F79="No","Unmatched - Investigate",IF(ABS(D79-E79)&gt;Assumptions!$B$6,"Mismatch - Amount Differs","Matched"))</f>
        <v>Mismatch - Amount Differs</v>
      </c>
    </row>
    <row r="80" customFormat="false" ht="15" hidden="false" customHeight="false" outlineLevel="0" collapsed="false">
      <c r="A80" s="16" t="str">
        <f aca="false">Payment_Log_AP!A76</f>
        <v>PAY40075</v>
      </c>
      <c r="B80" s="16" t="str">
        <f aca="false">Payment_Log_AP!C76</f>
        <v>V1016</v>
      </c>
      <c r="C80" s="17" t="n">
        <f aca="false">Payment_Log_AP!D76</f>
        <v>45721</v>
      </c>
      <c r="D80" s="18" t="n">
        <f aca="false">Payment_Log_AP!E76</f>
        <v>4652.88</v>
      </c>
      <c r="E80" s="18" t="n">
        <f aca="false">IFERROR(INDEX(Bank_Statement!$C$2:$C$783,MATCH(A80,Bank_Statement!$E$2:$E$783,0)),"")</f>
        <v>-4652.88</v>
      </c>
      <c r="F80" s="16" t="str">
        <f aca="false">IF(E80="","No","Yes")</f>
        <v>Yes</v>
      </c>
      <c r="G80" s="18" t="n">
        <f aca="false">IF(F80="No","N/A",D80-E80)</f>
        <v>9305.76</v>
      </c>
      <c r="H80" s="16" t="str">
        <f aca="false">IF(F80="No","Unmatched - Investigate",IF(ABS(D80-E80)&gt;Assumptions!$B$6,"Mismatch - Amount Differs","Matched"))</f>
        <v>Mismatch - Amount Differs</v>
      </c>
    </row>
    <row r="81" customFormat="false" ht="15" hidden="false" customHeight="false" outlineLevel="0" collapsed="false">
      <c r="A81" s="16" t="str">
        <f aca="false">Payment_Log_AP!A77</f>
        <v>PAY40076</v>
      </c>
      <c r="B81" s="16" t="str">
        <f aca="false">Payment_Log_AP!C77</f>
        <v>V1005</v>
      </c>
      <c r="C81" s="17" t="n">
        <f aca="false">Payment_Log_AP!D77</f>
        <v>45921</v>
      </c>
      <c r="D81" s="18" t="n">
        <f aca="false">Payment_Log_AP!E77</f>
        <v>131.26</v>
      </c>
      <c r="E81" s="18" t="n">
        <f aca="false">IFERROR(INDEX(Bank_Statement!$C$2:$C$783,MATCH(A81,Bank_Statement!$E$2:$E$783,0)),"")</f>
        <v>-131.26</v>
      </c>
      <c r="F81" s="16" t="str">
        <f aca="false">IF(E81="","No","Yes")</f>
        <v>Yes</v>
      </c>
      <c r="G81" s="18" t="n">
        <f aca="false">IF(F81="No","N/A",D81-E81)</f>
        <v>262.52</v>
      </c>
      <c r="H81" s="16" t="str">
        <f aca="false">IF(F81="No","Unmatched - Investigate",IF(ABS(D81-E81)&gt;Assumptions!$B$6,"Mismatch - Amount Differs","Matched"))</f>
        <v>Mismatch - Amount Differs</v>
      </c>
    </row>
    <row r="82" customFormat="false" ht="15" hidden="false" customHeight="false" outlineLevel="0" collapsed="false">
      <c r="A82" s="16" t="str">
        <f aca="false">Payment_Log_AP!A78</f>
        <v>PAY40077</v>
      </c>
      <c r="B82" s="16" t="str">
        <f aca="false">Payment_Log_AP!C78</f>
        <v>V1002</v>
      </c>
      <c r="C82" s="17" t="n">
        <f aca="false">Payment_Log_AP!D78</f>
        <v>46023</v>
      </c>
      <c r="D82" s="18" t="n">
        <f aca="false">Payment_Log_AP!E78</f>
        <v>370.46</v>
      </c>
      <c r="E82" s="18" t="n">
        <f aca="false">IFERROR(INDEX(Bank_Statement!$C$2:$C$783,MATCH(A82,Bank_Statement!$E$2:$E$783,0)),"")</f>
        <v>-370.46</v>
      </c>
      <c r="F82" s="16" t="str">
        <f aca="false">IF(E82="","No","Yes")</f>
        <v>Yes</v>
      </c>
      <c r="G82" s="18" t="n">
        <f aca="false">IF(F82="No","N/A",D82-E82)</f>
        <v>740.92</v>
      </c>
      <c r="H82" s="16" t="str">
        <f aca="false">IF(F82="No","Unmatched - Investigate",IF(ABS(D82-E82)&gt;Assumptions!$B$6,"Mismatch - Amount Differs","Matched"))</f>
        <v>Mismatch - Amount Differs</v>
      </c>
    </row>
    <row r="83" customFormat="false" ht="15" hidden="false" customHeight="false" outlineLevel="0" collapsed="false">
      <c r="A83" s="16" t="str">
        <f aca="false">Payment_Log_AP!A79</f>
        <v>PAY40078</v>
      </c>
      <c r="B83" s="16" t="str">
        <f aca="false">Payment_Log_AP!C79</f>
        <v>V1014</v>
      </c>
      <c r="C83" s="17" t="n">
        <f aca="false">Payment_Log_AP!D79</f>
        <v>46077</v>
      </c>
      <c r="D83" s="18" t="n">
        <f aca="false">Payment_Log_AP!E79</f>
        <v>11559.96</v>
      </c>
      <c r="E83" s="18" t="n">
        <f aca="false">IFERROR(INDEX(Bank_Statement!$C$2:$C$783,MATCH(A83,Bank_Statement!$E$2:$E$783,0)),"")</f>
        <v>-11559.96</v>
      </c>
      <c r="F83" s="16" t="str">
        <f aca="false">IF(E83="","No","Yes")</f>
        <v>Yes</v>
      </c>
      <c r="G83" s="18" t="n">
        <f aca="false">IF(F83="No","N/A",D83-E83)</f>
        <v>23119.92</v>
      </c>
      <c r="H83" s="16" t="str">
        <f aca="false">IF(F83="No","Unmatched - Investigate",IF(ABS(D83-E83)&gt;Assumptions!$B$6,"Mismatch - Amount Differs","Matched"))</f>
        <v>Mismatch - Amount Differs</v>
      </c>
    </row>
    <row r="84" customFormat="false" ht="15" hidden="false" customHeight="false" outlineLevel="0" collapsed="false">
      <c r="A84" s="16" t="str">
        <f aca="false">Payment_Log_AP!A80</f>
        <v>PAY40079</v>
      </c>
      <c r="B84" s="16" t="str">
        <f aca="false">Payment_Log_AP!C80</f>
        <v>V1035</v>
      </c>
      <c r="C84" s="17" t="n">
        <f aca="false">Payment_Log_AP!D80</f>
        <v>45954</v>
      </c>
      <c r="D84" s="18" t="n">
        <f aca="false">Payment_Log_AP!E80</f>
        <v>1118.76</v>
      </c>
      <c r="E84" s="18" t="n">
        <f aca="false">IFERROR(INDEX(Bank_Statement!$C$2:$C$783,MATCH(A84,Bank_Statement!$E$2:$E$783,0)),"")</f>
        <v>-1118.76</v>
      </c>
      <c r="F84" s="16" t="str">
        <f aca="false">IF(E84="","No","Yes")</f>
        <v>Yes</v>
      </c>
      <c r="G84" s="18" t="n">
        <f aca="false">IF(F84="No","N/A",D84-E84)</f>
        <v>2237.52</v>
      </c>
      <c r="H84" s="16" t="str">
        <f aca="false">IF(F84="No","Unmatched - Investigate",IF(ABS(D84-E84)&gt;Assumptions!$B$6,"Mismatch - Amount Differs","Matched"))</f>
        <v>Mismatch - Amount Differs</v>
      </c>
    </row>
    <row r="85" customFormat="false" ht="15" hidden="false" customHeight="false" outlineLevel="0" collapsed="false">
      <c r="A85" s="16" t="str">
        <f aca="false">Payment_Log_AP!A81</f>
        <v>PAY40080</v>
      </c>
      <c r="B85" s="16" t="str">
        <f aca="false">Payment_Log_AP!C81</f>
        <v>V1021</v>
      </c>
      <c r="C85" s="17" t="n">
        <f aca="false">Payment_Log_AP!D81</f>
        <v>45841</v>
      </c>
      <c r="D85" s="18" t="n">
        <f aca="false">Payment_Log_AP!E81</f>
        <v>1602.67</v>
      </c>
      <c r="E85" s="18" t="n">
        <f aca="false">IFERROR(INDEX(Bank_Statement!$C$2:$C$783,MATCH(A85,Bank_Statement!$E$2:$E$783,0)),"")</f>
        <v>-1602.67</v>
      </c>
      <c r="F85" s="16" t="str">
        <f aca="false">IF(E85="","No","Yes")</f>
        <v>Yes</v>
      </c>
      <c r="G85" s="18" t="n">
        <f aca="false">IF(F85="No","N/A",D85-E85)</f>
        <v>3205.34</v>
      </c>
      <c r="H85" s="16" t="str">
        <f aca="false">IF(F85="No","Unmatched - Investigate",IF(ABS(D85-E85)&gt;Assumptions!$B$6,"Mismatch - Amount Differs","Matched"))</f>
        <v>Mismatch - Amount Differs</v>
      </c>
    </row>
    <row r="86" customFormat="false" ht="15" hidden="false" customHeight="false" outlineLevel="0" collapsed="false">
      <c r="A86" s="16" t="str">
        <f aca="false">Payment_Log_AP!A82</f>
        <v>PAY40081</v>
      </c>
      <c r="B86" s="16" t="str">
        <f aca="false">Payment_Log_AP!C82</f>
        <v>V1002</v>
      </c>
      <c r="C86" s="17" t="n">
        <f aca="false">Payment_Log_AP!D82</f>
        <v>45709</v>
      </c>
      <c r="D86" s="18" t="n">
        <f aca="false">Payment_Log_AP!E82</f>
        <v>1239.53</v>
      </c>
      <c r="E86" s="18" t="n">
        <f aca="false">IFERROR(INDEX(Bank_Statement!$C$2:$C$783,MATCH(A86,Bank_Statement!$E$2:$E$783,0)),"")</f>
        <v>-1239.53</v>
      </c>
      <c r="F86" s="16" t="str">
        <f aca="false">IF(E86="","No","Yes")</f>
        <v>Yes</v>
      </c>
      <c r="G86" s="18" t="n">
        <f aca="false">IF(F86="No","N/A",D86-E86)</f>
        <v>2479.06</v>
      </c>
      <c r="H86" s="16" t="str">
        <f aca="false">IF(F86="No","Unmatched - Investigate",IF(ABS(D86-E86)&gt;Assumptions!$B$6,"Mismatch - Amount Differs","Matched"))</f>
        <v>Mismatch - Amount Differs</v>
      </c>
    </row>
    <row r="87" customFormat="false" ht="15" hidden="false" customHeight="false" outlineLevel="0" collapsed="false">
      <c r="A87" s="16" t="str">
        <f aca="false">Payment_Log_AP!A83</f>
        <v>PAY40082</v>
      </c>
      <c r="B87" s="16" t="str">
        <f aca="false">Payment_Log_AP!C83</f>
        <v>V1030</v>
      </c>
      <c r="C87" s="17" t="n">
        <f aca="false">Payment_Log_AP!D83</f>
        <v>46103</v>
      </c>
      <c r="D87" s="18" t="n">
        <f aca="false">Payment_Log_AP!E83</f>
        <v>6686.22</v>
      </c>
      <c r="E87" s="18" t="n">
        <f aca="false">IFERROR(INDEX(Bank_Statement!$C$2:$C$783,MATCH(A87,Bank_Statement!$E$2:$E$783,0)),"")</f>
        <v>-6686.22</v>
      </c>
      <c r="F87" s="16" t="str">
        <f aca="false">IF(E87="","No","Yes")</f>
        <v>Yes</v>
      </c>
      <c r="G87" s="18" t="n">
        <f aca="false">IF(F87="No","N/A",D87-E87)</f>
        <v>13372.44</v>
      </c>
      <c r="H87" s="16" t="str">
        <f aca="false">IF(F87="No","Unmatched - Investigate",IF(ABS(D87-E87)&gt;Assumptions!$B$6,"Mismatch - Amount Differs","Matched"))</f>
        <v>Mismatch - Amount Differs</v>
      </c>
    </row>
    <row r="88" customFormat="false" ht="15" hidden="false" customHeight="false" outlineLevel="0" collapsed="false">
      <c r="A88" s="16" t="str">
        <f aca="false">Payment_Log_AP!A84</f>
        <v>PAY40083</v>
      </c>
      <c r="B88" s="16" t="str">
        <f aca="false">Payment_Log_AP!C84</f>
        <v>V1015</v>
      </c>
      <c r="C88" s="17" t="n">
        <f aca="false">Payment_Log_AP!D84</f>
        <v>46124</v>
      </c>
      <c r="D88" s="18" t="n">
        <f aca="false">Payment_Log_AP!E84</f>
        <v>3940.78</v>
      </c>
      <c r="E88" s="18" t="n">
        <f aca="false">IFERROR(INDEX(Bank_Statement!$C$2:$C$783,MATCH(A88,Bank_Statement!$E$2:$E$783,0)),"")</f>
        <v>-3940.78</v>
      </c>
      <c r="F88" s="16" t="str">
        <f aca="false">IF(E88="","No","Yes")</f>
        <v>Yes</v>
      </c>
      <c r="G88" s="18" t="n">
        <f aca="false">IF(F88="No","N/A",D88-E88)</f>
        <v>7881.56</v>
      </c>
      <c r="H88" s="16" t="str">
        <f aca="false">IF(F88="No","Unmatched - Investigate",IF(ABS(D88-E88)&gt;Assumptions!$B$6,"Mismatch - Amount Differs","Matched"))</f>
        <v>Mismatch - Amount Differs</v>
      </c>
    </row>
    <row r="89" customFormat="false" ht="15" hidden="false" customHeight="false" outlineLevel="0" collapsed="false">
      <c r="A89" s="16" t="str">
        <f aca="false">Payment_Log_AP!A85</f>
        <v>PAY40084</v>
      </c>
      <c r="B89" s="16" t="str">
        <f aca="false">Payment_Log_AP!C85</f>
        <v>V1036</v>
      </c>
      <c r="C89" s="17" t="n">
        <f aca="false">Payment_Log_AP!D85</f>
        <v>45764</v>
      </c>
      <c r="D89" s="18" t="n">
        <f aca="false">Payment_Log_AP!E85</f>
        <v>625.95</v>
      </c>
      <c r="E89" s="18" t="n">
        <f aca="false">IFERROR(INDEX(Bank_Statement!$C$2:$C$783,MATCH(A89,Bank_Statement!$E$2:$E$783,0)),"")</f>
        <v>-625.95</v>
      </c>
      <c r="F89" s="16" t="str">
        <f aca="false">IF(E89="","No","Yes")</f>
        <v>Yes</v>
      </c>
      <c r="G89" s="18" t="n">
        <f aca="false">IF(F89="No","N/A",D89-E89)</f>
        <v>1251.9</v>
      </c>
      <c r="H89" s="16" t="str">
        <f aca="false">IF(F89="No","Unmatched - Investigate",IF(ABS(D89-E89)&gt;Assumptions!$B$6,"Mismatch - Amount Differs","Matched"))</f>
        <v>Mismatch - Amount Differs</v>
      </c>
    </row>
    <row r="90" customFormat="false" ht="15" hidden="false" customHeight="false" outlineLevel="0" collapsed="false">
      <c r="A90" s="16" t="str">
        <f aca="false">Payment_Log_AP!A86</f>
        <v>PAY40085</v>
      </c>
      <c r="B90" s="16" t="str">
        <f aca="false">Payment_Log_AP!C86</f>
        <v>V1026</v>
      </c>
      <c r="C90" s="17" t="n">
        <f aca="false">Payment_Log_AP!D86</f>
        <v>45797</v>
      </c>
      <c r="D90" s="18" t="n">
        <f aca="false">Payment_Log_AP!E86</f>
        <v>2302.86</v>
      </c>
      <c r="E90" s="18" t="n">
        <f aca="false">IFERROR(INDEX(Bank_Statement!$C$2:$C$783,MATCH(A90,Bank_Statement!$E$2:$E$783,0)),"")</f>
        <v>-2302.86</v>
      </c>
      <c r="F90" s="16" t="str">
        <f aca="false">IF(E90="","No","Yes")</f>
        <v>Yes</v>
      </c>
      <c r="G90" s="18" t="n">
        <f aca="false">IF(F90="No","N/A",D90-E90)</f>
        <v>4605.72</v>
      </c>
      <c r="H90" s="16" t="str">
        <f aca="false">IF(F90="No","Unmatched - Investigate",IF(ABS(D90-E90)&gt;Assumptions!$B$6,"Mismatch - Amount Differs","Matched"))</f>
        <v>Mismatch - Amount Differs</v>
      </c>
    </row>
    <row r="91" customFormat="false" ht="15" hidden="false" customHeight="false" outlineLevel="0" collapsed="false">
      <c r="A91" s="16" t="str">
        <f aca="false">Payment_Log_AP!A87</f>
        <v>PAY40086</v>
      </c>
      <c r="B91" s="16" t="str">
        <f aca="false">Payment_Log_AP!C87</f>
        <v>V1026</v>
      </c>
      <c r="C91" s="17" t="n">
        <f aca="false">Payment_Log_AP!D87</f>
        <v>45961</v>
      </c>
      <c r="D91" s="18" t="n">
        <f aca="false">Payment_Log_AP!E87</f>
        <v>226.65</v>
      </c>
      <c r="E91" s="18" t="n">
        <f aca="false">IFERROR(INDEX(Bank_Statement!$C$2:$C$783,MATCH(A91,Bank_Statement!$E$2:$E$783,0)),"")</f>
        <v>-226.65</v>
      </c>
      <c r="F91" s="16" t="str">
        <f aca="false">IF(E91="","No","Yes")</f>
        <v>Yes</v>
      </c>
      <c r="G91" s="18" t="n">
        <f aca="false">IF(F91="No","N/A",D91-E91)</f>
        <v>453.3</v>
      </c>
      <c r="H91" s="16" t="str">
        <f aca="false">IF(F91="No","Unmatched - Investigate",IF(ABS(D91-E91)&gt;Assumptions!$B$6,"Mismatch - Amount Differs","Matched"))</f>
        <v>Mismatch - Amount Differs</v>
      </c>
    </row>
    <row r="92" customFormat="false" ht="15" hidden="false" customHeight="false" outlineLevel="0" collapsed="false">
      <c r="A92" s="16" t="str">
        <f aca="false">Payment_Log_AP!A88</f>
        <v>PAY40087</v>
      </c>
      <c r="B92" s="16" t="str">
        <f aca="false">Payment_Log_AP!C88</f>
        <v>V1006</v>
      </c>
      <c r="C92" s="17" t="n">
        <f aca="false">Payment_Log_AP!D88</f>
        <v>45698</v>
      </c>
      <c r="D92" s="18" t="n">
        <f aca="false">Payment_Log_AP!E88</f>
        <v>814.32</v>
      </c>
      <c r="E92" s="18" t="n">
        <f aca="false">IFERROR(INDEX(Bank_Statement!$C$2:$C$783,MATCH(A92,Bank_Statement!$E$2:$E$783,0)),"")</f>
        <v>-814.32</v>
      </c>
      <c r="F92" s="16" t="str">
        <f aca="false">IF(E92="","No","Yes")</f>
        <v>Yes</v>
      </c>
      <c r="G92" s="18" t="n">
        <f aca="false">IF(F92="No","N/A",D92-E92)</f>
        <v>1628.64</v>
      </c>
      <c r="H92" s="16" t="str">
        <f aca="false">IF(F92="No","Unmatched - Investigate",IF(ABS(D92-E92)&gt;Assumptions!$B$6,"Mismatch - Amount Differs","Matched"))</f>
        <v>Mismatch - Amount Differs</v>
      </c>
    </row>
    <row r="93" customFormat="false" ht="15" hidden="false" customHeight="false" outlineLevel="0" collapsed="false">
      <c r="A93" s="16" t="str">
        <f aca="false">Payment_Log_AP!A89</f>
        <v>PAY40088</v>
      </c>
      <c r="B93" s="16" t="str">
        <f aca="false">Payment_Log_AP!C89</f>
        <v>V1031</v>
      </c>
      <c r="C93" s="17" t="n">
        <f aca="false">Payment_Log_AP!D89</f>
        <v>45818</v>
      </c>
      <c r="D93" s="18" t="n">
        <f aca="false">Payment_Log_AP!E89</f>
        <v>1618.39</v>
      </c>
      <c r="E93" s="18" t="n">
        <f aca="false">IFERROR(INDEX(Bank_Statement!$C$2:$C$783,MATCH(A93,Bank_Statement!$E$2:$E$783,0)),"")</f>
        <v>-1618.39</v>
      </c>
      <c r="F93" s="16" t="str">
        <f aca="false">IF(E93="","No","Yes")</f>
        <v>Yes</v>
      </c>
      <c r="G93" s="18" t="n">
        <f aca="false">IF(F93="No","N/A",D93-E93)</f>
        <v>3236.78</v>
      </c>
      <c r="H93" s="16" t="str">
        <f aca="false">IF(F93="No","Unmatched - Investigate",IF(ABS(D93-E93)&gt;Assumptions!$B$6,"Mismatch - Amount Differs","Matched"))</f>
        <v>Mismatch - Amount Differs</v>
      </c>
    </row>
    <row r="94" customFormat="false" ht="15" hidden="false" customHeight="false" outlineLevel="0" collapsed="false">
      <c r="A94" s="16" t="str">
        <f aca="false">Payment_Log_AP!A90</f>
        <v>PAY40089</v>
      </c>
      <c r="B94" s="16" t="str">
        <f aca="false">Payment_Log_AP!C90</f>
        <v>V1029</v>
      </c>
      <c r="C94" s="17" t="n">
        <f aca="false">Payment_Log_AP!D90</f>
        <v>46159</v>
      </c>
      <c r="D94" s="18" t="n">
        <f aca="false">Payment_Log_AP!E90</f>
        <v>994</v>
      </c>
      <c r="E94" s="18" t="n">
        <f aca="false">IFERROR(INDEX(Bank_Statement!$C$2:$C$783,MATCH(A94,Bank_Statement!$E$2:$E$783,0)),"")</f>
        <v>-994</v>
      </c>
      <c r="F94" s="16" t="str">
        <f aca="false">IF(E94="","No","Yes")</f>
        <v>Yes</v>
      </c>
      <c r="G94" s="18" t="n">
        <f aca="false">IF(F94="No","N/A",D94-E94)</f>
        <v>1988</v>
      </c>
      <c r="H94" s="16" t="str">
        <f aca="false">IF(F94="No","Unmatched - Investigate",IF(ABS(D94-E94)&gt;Assumptions!$B$6,"Mismatch - Amount Differs","Matched"))</f>
        <v>Mismatch - Amount Differs</v>
      </c>
    </row>
    <row r="95" customFormat="false" ht="15" hidden="false" customHeight="false" outlineLevel="0" collapsed="false">
      <c r="A95" s="16" t="str">
        <f aca="false">Payment_Log_AP!A91</f>
        <v>PAY40090</v>
      </c>
      <c r="B95" s="16" t="str">
        <f aca="false">Payment_Log_AP!C91</f>
        <v>V1009</v>
      </c>
      <c r="C95" s="17" t="n">
        <f aca="false">Payment_Log_AP!D91</f>
        <v>45930</v>
      </c>
      <c r="D95" s="18" t="n">
        <f aca="false">Payment_Log_AP!E91</f>
        <v>456.94</v>
      </c>
      <c r="E95" s="18" t="n">
        <f aca="false">IFERROR(INDEX(Bank_Statement!$C$2:$C$783,MATCH(A95,Bank_Statement!$E$2:$E$783,0)),"")</f>
        <v>-456.94</v>
      </c>
      <c r="F95" s="16" t="str">
        <f aca="false">IF(E95="","No","Yes")</f>
        <v>Yes</v>
      </c>
      <c r="G95" s="18" t="n">
        <f aca="false">IF(F95="No","N/A",D95-E95)</f>
        <v>913.88</v>
      </c>
      <c r="H95" s="16" t="str">
        <f aca="false">IF(F95="No","Unmatched - Investigate",IF(ABS(D95-E95)&gt;Assumptions!$B$6,"Mismatch - Amount Differs","Matched"))</f>
        <v>Mismatch - Amount Differs</v>
      </c>
    </row>
    <row r="96" customFormat="false" ht="15" hidden="false" customHeight="false" outlineLevel="0" collapsed="false">
      <c r="A96" s="16" t="str">
        <f aca="false">Payment_Log_AP!A92</f>
        <v>PAY40091</v>
      </c>
      <c r="B96" s="16" t="str">
        <f aca="false">Payment_Log_AP!C92</f>
        <v>V1006</v>
      </c>
      <c r="C96" s="17" t="n">
        <f aca="false">Payment_Log_AP!D92</f>
        <v>46122</v>
      </c>
      <c r="D96" s="18" t="n">
        <f aca="false">Payment_Log_AP!E92</f>
        <v>3515.6</v>
      </c>
      <c r="E96" s="18" t="n">
        <f aca="false">IFERROR(INDEX(Bank_Statement!$C$2:$C$783,MATCH(A96,Bank_Statement!$E$2:$E$783,0)),"")</f>
        <v>-3515.6</v>
      </c>
      <c r="F96" s="16" t="str">
        <f aca="false">IF(E96="","No","Yes")</f>
        <v>Yes</v>
      </c>
      <c r="G96" s="18" t="n">
        <f aca="false">IF(F96="No","N/A",D96-E96)</f>
        <v>7031.2</v>
      </c>
      <c r="H96" s="16" t="str">
        <f aca="false">IF(F96="No","Unmatched - Investigate",IF(ABS(D96-E96)&gt;Assumptions!$B$6,"Mismatch - Amount Differs","Matched"))</f>
        <v>Mismatch - Amount Differs</v>
      </c>
    </row>
    <row r="97" customFormat="false" ht="15" hidden="false" customHeight="false" outlineLevel="0" collapsed="false">
      <c r="A97" s="16" t="str">
        <f aca="false">Payment_Log_AP!A93</f>
        <v>PAY40092</v>
      </c>
      <c r="B97" s="16" t="str">
        <f aca="false">Payment_Log_AP!C93</f>
        <v>V1006</v>
      </c>
      <c r="C97" s="17" t="n">
        <f aca="false">Payment_Log_AP!D93</f>
        <v>45998</v>
      </c>
      <c r="D97" s="18" t="n">
        <f aca="false">Payment_Log_AP!E93</f>
        <v>2184.66</v>
      </c>
      <c r="E97" s="18" t="n">
        <f aca="false">IFERROR(INDEX(Bank_Statement!$C$2:$C$783,MATCH(A97,Bank_Statement!$E$2:$E$783,0)),"")</f>
        <v>-2184.66</v>
      </c>
      <c r="F97" s="16" t="str">
        <f aca="false">IF(E97="","No","Yes")</f>
        <v>Yes</v>
      </c>
      <c r="G97" s="18" t="n">
        <f aca="false">IF(F97="No","N/A",D97-E97)</f>
        <v>4369.32</v>
      </c>
      <c r="H97" s="16" t="str">
        <f aca="false">IF(F97="No","Unmatched - Investigate",IF(ABS(D97-E97)&gt;Assumptions!$B$6,"Mismatch - Amount Differs","Matched"))</f>
        <v>Mismatch - Amount Differs</v>
      </c>
    </row>
    <row r="98" customFormat="false" ht="15" hidden="false" customHeight="false" outlineLevel="0" collapsed="false">
      <c r="A98" s="16" t="str">
        <f aca="false">Payment_Log_AP!A94</f>
        <v>PAY40093</v>
      </c>
      <c r="B98" s="16" t="str">
        <f aca="false">Payment_Log_AP!C94</f>
        <v>V1023</v>
      </c>
      <c r="C98" s="17" t="n">
        <f aca="false">Payment_Log_AP!D94</f>
        <v>46166</v>
      </c>
      <c r="D98" s="18" t="n">
        <f aca="false">Payment_Log_AP!E94</f>
        <v>3835.01</v>
      </c>
      <c r="E98" s="18" t="n">
        <f aca="false">IFERROR(INDEX(Bank_Statement!$C$2:$C$783,MATCH(A98,Bank_Statement!$E$2:$E$783,0)),"")</f>
        <v>-3835.01</v>
      </c>
      <c r="F98" s="16" t="str">
        <f aca="false">IF(E98="","No","Yes")</f>
        <v>Yes</v>
      </c>
      <c r="G98" s="18" t="n">
        <f aca="false">IF(F98="No","N/A",D98-E98)</f>
        <v>7670.02</v>
      </c>
      <c r="H98" s="16" t="str">
        <f aca="false">IF(F98="No","Unmatched - Investigate",IF(ABS(D98-E98)&gt;Assumptions!$B$6,"Mismatch - Amount Differs","Matched"))</f>
        <v>Mismatch - Amount Differs</v>
      </c>
    </row>
    <row r="99" customFormat="false" ht="15" hidden="false" customHeight="false" outlineLevel="0" collapsed="false">
      <c r="A99" s="16" t="str">
        <f aca="false">Payment_Log_AP!A95</f>
        <v>PAY40094</v>
      </c>
      <c r="B99" s="16" t="str">
        <f aca="false">Payment_Log_AP!C95</f>
        <v>V1035</v>
      </c>
      <c r="C99" s="17" t="n">
        <f aca="false">Payment_Log_AP!D95</f>
        <v>46043</v>
      </c>
      <c r="D99" s="18" t="n">
        <f aca="false">Payment_Log_AP!E95</f>
        <v>402.4</v>
      </c>
      <c r="E99" s="18" t="n">
        <f aca="false">IFERROR(INDEX(Bank_Statement!$C$2:$C$783,MATCH(A99,Bank_Statement!$E$2:$E$783,0)),"")</f>
        <v>-402.4</v>
      </c>
      <c r="F99" s="16" t="str">
        <f aca="false">IF(E99="","No","Yes")</f>
        <v>Yes</v>
      </c>
      <c r="G99" s="18" t="n">
        <f aca="false">IF(F99="No","N/A",D99-E99)</f>
        <v>804.8</v>
      </c>
      <c r="H99" s="16" t="str">
        <f aca="false">IF(F99="No","Unmatched - Investigate",IF(ABS(D99-E99)&gt;Assumptions!$B$6,"Mismatch - Amount Differs","Matched"))</f>
        <v>Mismatch - Amount Differs</v>
      </c>
    </row>
    <row r="100" customFormat="false" ht="15" hidden="false" customHeight="false" outlineLevel="0" collapsed="false">
      <c r="A100" s="16" t="str">
        <f aca="false">Payment_Log_AP!A96</f>
        <v>PAY40095</v>
      </c>
      <c r="B100" s="16" t="str">
        <f aca="false">Payment_Log_AP!C96</f>
        <v>V1012</v>
      </c>
      <c r="C100" s="17" t="n">
        <f aca="false">Payment_Log_AP!D96</f>
        <v>45962</v>
      </c>
      <c r="D100" s="18" t="n">
        <f aca="false">Payment_Log_AP!E96</f>
        <v>816.15</v>
      </c>
      <c r="E100" s="18" t="n">
        <f aca="false">IFERROR(INDEX(Bank_Statement!$C$2:$C$783,MATCH(A100,Bank_Statement!$E$2:$E$783,0)),"")</f>
        <v>-816.15</v>
      </c>
      <c r="F100" s="16" t="str">
        <f aca="false">IF(E100="","No","Yes")</f>
        <v>Yes</v>
      </c>
      <c r="G100" s="18" t="n">
        <f aca="false">IF(F100="No","N/A",D100-E100)</f>
        <v>1632.3</v>
      </c>
      <c r="H100" s="16" t="str">
        <f aca="false">IF(F100="No","Unmatched - Investigate",IF(ABS(D100-E100)&gt;Assumptions!$B$6,"Mismatch - Amount Differs","Matched"))</f>
        <v>Mismatch - Amount Differs</v>
      </c>
    </row>
    <row r="101" customFormat="false" ht="15" hidden="false" customHeight="false" outlineLevel="0" collapsed="false">
      <c r="A101" s="16" t="str">
        <f aca="false">Payment_Log_AP!A97</f>
        <v>PAY40096</v>
      </c>
      <c r="B101" s="16" t="str">
        <f aca="false">Payment_Log_AP!C97</f>
        <v>V1012</v>
      </c>
      <c r="C101" s="17" t="n">
        <f aca="false">Payment_Log_AP!D97</f>
        <v>46147</v>
      </c>
      <c r="D101" s="18" t="n">
        <f aca="false">Payment_Log_AP!E97</f>
        <v>5798.93</v>
      </c>
      <c r="E101" s="18" t="n">
        <f aca="false">IFERROR(INDEX(Bank_Statement!$C$2:$C$783,MATCH(A101,Bank_Statement!$E$2:$E$783,0)),"")</f>
        <v>-5798.93</v>
      </c>
      <c r="F101" s="16" t="str">
        <f aca="false">IF(E101="","No","Yes")</f>
        <v>Yes</v>
      </c>
      <c r="G101" s="18" t="n">
        <f aca="false">IF(F101="No","N/A",D101-E101)</f>
        <v>11597.86</v>
      </c>
      <c r="H101" s="16" t="str">
        <f aca="false">IF(F101="No","Unmatched - Investigate",IF(ABS(D101-E101)&gt;Assumptions!$B$6,"Mismatch - Amount Differs","Matched"))</f>
        <v>Mismatch - Amount Differs</v>
      </c>
    </row>
    <row r="102" customFormat="false" ht="15" hidden="false" customHeight="false" outlineLevel="0" collapsed="false">
      <c r="A102" s="16" t="str">
        <f aca="false">Payment_Log_AP!A98</f>
        <v>PAY40097</v>
      </c>
      <c r="B102" s="16" t="str">
        <f aca="false">Payment_Log_AP!C98</f>
        <v>V1028</v>
      </c>
      <c r="C102" s="17" t="n">
        <f aca="false">Payment_Log_AP!D98</f>
        <v>46001</v>
      </c>
      <c r="D102" s="18" t="n">
        <f aca="false">Payment_Log_AP!E98</f>
        <v>3177.07</v>
      </c>
      <c r="E102" s="18" t="n">
        <f aca="false">IFERROR(INDEX(Bank_Statement!$C$2:$C$783,MATCH(A102,Bank_Statement!$E$2:$E$783,0)),"")</f>
        <v>-3177.07</v>
      </c>
      <c r="F102" s="16" t="str">
        <f aca="false">IF(E102="","No","Yes")</f>
        <v>Yes</v>
      </c>
      <c r="G102" s="18" t="n">
        <f aca="false">IF(F102="No","N/A",D102-E102)</f>
        <v>6354.14</v>
      </c>
      <c r="H102" s="16" t="str">
        <f aca="false">IF(F102="No","Unmatched - Investigate",IF(ABS(D102-E102)&gt;Assumptions!$B$6,"Mismatch - Amount Differs","Matched"))</f>
        <v>Mismatch - Amount Differs</v>
      </c>
    </row>
    <row r="103" customFormat="false" ht="15" hidden="false" customHeight="false" outlineLevel="0" collapsed="false">
      <c r="A103" s="16" t="str">
        <f aca="false">Payment_Log_AP!A99</f>
        <v>PAY40098</v>
      </c>
      <c r="B103" s="16" t="str">
        <f aca="false">Payment_Log_AP!C99</f>
        <v>V1017</v>
      </c>
      <c r="C103" s="17" t="n">
        <f aca="false">Payment_Log_AP!D99</f>
        <v>46187</v>
      </c>
      <c r="D103" s="18" t="n">
        <f aca="false">Payment_Log_AP!E99</f>
        <v>2099.16</v>
      </c>
      <c r="E103" s="18" t="n">
        <f aca="false">IFERROR(INDEX(Bank_Statement!$C$2:$C$783,MATCH(A103,Bank_Statement!$E$2:$E$783,0)),"")</f>
        <v>-2099.16</v>
      </c>
      <c r="F103" s="16" t="str">
        <f aca="false">IF(E103="","No","Yes")</f>
        <v>Yes</v>
      </c>
      <c r="G103" s="18" t="n">
        <f aca="false">IF(F103="No","N/A",D103-E103)</f>
        <v>4198.32</v>
      </c>
      <c r="H103" s="16" t="str">
        <f aca="false">IF(F103="No","Unmatched - Investigate",IF(ABS(D103-E103)&gt;Assumptions!$B$6,"Mismatch - Amount Differs","Matched"))</f>
        <v>Mismatch - Amount Differs</v>
      </c>
    </row>
    <row r="104" customFormat="false" ht="15" hidden="false" customHeight="false" outlineLevel="0" collapsed="false">
      <c r="A104" s="16" t="str">
        <f aca="false">Payment_Log_AP!A100</f>
        <v>PAY40099</v>
      </c>
      <c r="B104" s="16" t="str">
        <f aca="false">Payment_Log_AP!C100</f>
        <v>V1015</v>
      </c>
      <c r="C104" s="17" t="n">
        <f aca="false">Payment_Log_AP!D100</f>
        <v>46106</v>
      </c>
      <c r="D104" s="18" t="n">
        <f aca="false">Payment_Log_AP!E100</f>
        <v>2167.65</v>
      </c>
      <c r="E104" s="18" t="n">
        <f aca="false">IFERROR(INDEX(Bank_Statement!$C$2:$C$783,MATCH(A104,Bank_Statement!$E$2:$E$783,0)),"")</f>
        <v>-2167.65</v>
      </c>
      <c r="F104" s="16" t="str">
        <f aca="false">IF(E104="","No","Yes")</f>
        <v>Yes</v>
      </c>
      <c r="G104" s="18" t="n">
        <f aca="false">IF(F104="No","N/A",D104-E104)</f>
        <v>4335.3</v>
      </c>
      <c r="H104" s="16" t="str">
        <f aca="false">IF(F104="No","Unmatched - Investigate",IF(ABS(D104-E104)&gt;Assumptions!$B$6,"Mismatch - Amount Differs","Matched"))</f>
        <v>Mismatch - Amount Differs</v>
      </c>
    </row>
    <row r="105" customFormat="false" ht="15" hidden="false" customHeight="false" outlineLevel="0" collapsed="false">
      <c r="A105" s="16" t="str">
        <f aca="false">Payment_Log_AP!A101</f>
        <v>PAY40100</v>
      </c>
      <c r="B105" s="16" t="str">
        <f aca="false">Payment_Log_AP!C101</f>
        <v>V1018</v>
      </c>
      <c r="C105" s="17" t="n">
        <f aca="false">Payment_Log_AP!D101</f>
        <v>45933</v>
      </c>
      <c r="D105" s="18" t="n">
        <f aca="false">Payment_Log_AP!E101</f>
        <v>865.82</v>
      </c>
      <c r="E105" s="18" t="n">
        <f aca="false">IFERROR(INDEX(Bank_Statement!$C$2:$C$783,MATCH(A105,Bank_Statement!$E$2:$E$783,0)),"")</f>
        <v>-865.82</v>
      </c>
      <c r="F105" s="16" t="str">
        <f aca="false">IF(E105="","No","Yes")</f>
        <v>Yes</v>
      </c>
      <c r="G105" s="18" t="n">
        <f aca="false">IF(F105="No","N/A",D105-E105)</f>
        <v>1731.64</v>
      </c>
      <c r="H105" s="16" t="str">
        <f aca="false">IF(F105="No","Unmatched - Investigate",IF(ABS(D105-E105)&gt;Assumptions!$B$6,"Mismatch - Amount Differs","Matched"))</f>
        <v>Mismatch - Amount Differs</v>
      </c>
    </row>
    <row r="106" customFormat="false" ht="15" hidden="false" customHeight="false" outlineLevel="0" collapsed="false">
      <c r="A106" s="16" t="str">
        <f aca="false">Payment_Log_AP!A102</f>
        <v>PAY40101</v>
      </c>
      <c r="B106" s="16" t="str">
        <f aca="false">Payment_Log_AP!C102</f>
        <v>V1006</v>
      </c>
      <c r="C106" s="17" t="n">
        <f aca="false">Payment_Log_AP!D102</f>
        <v>45837</v>
      </c>
      <c r="D106" s="18" t="n">
        <f aca="false">Payment_Log_AP!E102</f>
        <v>588.49</v>
      </c>
      <c r="E106" s="18" t="n">
        <f aca="false">IFERROR(INDEX(Bank_Statement!$C$2:$C$783,MATCH(A106,Bank_Statement!$E$2:$E$783,0)),"")</f>
        <v>-588.49</v>
      </c>
      <c r="F106" s="16" t="str">
        <f aca="false">IF(E106="","No","Yes")</f>
        <v>Yes</v>
      </c>
      <c r="G106" s="18" t="n">
        <f aca="false">IF(F106="No","N/A",D106-E106)</f>
        <v>1176.98</v>
      </c>
      <c r="H106" s="16" t="str">
        <f aca="false">IF(F106="No","Unmatched - Investigate",IF(ABS(D106-E106)&gt;Assumptions!$B$6,"Mismatch - Amount Differs","Matched"))</f>
        <v>Mismatch - Amount Differs</v>
      </c>
    </row>
    <row r="107" customFormat="false" ht="15" hidden="false" customHeight="false" outlineLevel="0" collapsed="false">
      <c r="A107" s="16" t="str">
        <f aca="false">Payment_Log_AP!A103</f>
        <v>PAY40102</v>
      </c>
      <c r="B107" s="16" t="str">
        <f aca="false">Payment_Log_AP!C103</f>
        <v>V1038</v>
      </c>
      <c r="C107" s="17" t="n">
        <f aca="false">Payment_Log_AP!D103</f>
        <v>45818</v>
      </c>
      <c r="D107" s="18" t="n">
        <f aca="false">Payment_Log_AP!E103</f>
        <v>1755.83</v>
      </c>
      <c r="E107" s="18" t="n">
        <f aca="false">IFERROR(INDEX(Bank_Statement!$C$2:$C$783,MATCH(A107,Bank_Statement!$E$2:$E$783,0)),"")</f>
        <v>-1755.83</v>
      </c>
      <c r="F107" s="16" t="str">
        <f aca="false">IF(E107="","No","Yes")</f>
        <v>Yes</v>
      </c>
      <c r="G107" s="18" t="n">
        <f aca="false">IF(F107="No","N/A",D107-E107)</f>
        <v>3511.66</v>
      </c>
      <c r="H107" s="16" t="str">
        <f aca="false">IF(F107="No","Unmatched - Investigate",IF(ABS(D107-E107)&gt;Assumptions!$B$6,"Mismatch - Amount Differs","Matched"))</f>
        <v>Mismatch - Amount Differs</v>
      </c>
    </row>
    <row r="108" customFormat="false" ht="15" hidden="false" customHeight="false" outlineLevel="0" collapsed="false">
      <c r="A108" s="16" t="str">
        <f aca="false">Payment_Log_AP!A104</f>
        <v>PAY40103</v>
      </c>
      <c r="B108" s="16" t="str">
        <f aca="false">Payment_Log_AP!C104</f>
        <v>V1026</v>
      </c>
      <c r="C108" s="17" t="n">
        <f aca="false">Payment_Log_AP!D104</f>
        <v>46041</v>
      </c>
      <c r="D108" s="18" t="n">
        <f aca="false">Payment_Log_AP!E104</f>
        <v>946.66</v>
      </c>
      <c r="E108" s="18" t="n">
        <f aca="false">IFERROR(INDEX(Bank_Statement!$C$2:$C$783,MATCH(A108,Bank_Statement!$E$2:$E$783,0)),"")</f>
        <v>-946.66</v>
      </c>
      <c r="F108" s="16" t="str">
        <f aca="false">IF(E108="","No","Yes")</f>
        <v>Yes</v>
      </c>
      <c r="G108" s="18" t="n">
        <f aca="false">IF(F108="No","N/A",D108-E108)</f>
        <v>1893.32</v>
      </c>
      <c r="H108" s="16" t="str">
        <f aca="false">IF(F108="No","Unmatched - Investigate",IF(ABS(D108-E108)&gt;Assumptions!$B$6,"Mismatch - Amount Differs","Matched"))</f>
        <v>Mismatch - Amount Differs</v>
      </c>
    </row>
    <row r="109" customFormat="false" ht="15" hidden="false" customHeight="false" outlineLevel="0" collapsed="false">
      <c r="A109" s="16" t="str">
        <f aca="false">Payment_Log_AP!A105</f>
        <v>PAY40104</v>
      </c>
      <c r="B109" s="16" t="str">
        <f aca="false">Payment_Log_AP!C105</f>
        <v>V1027</v>
      </c>
      <c r="C109" s="17" t="n">
        <f aca="false">Payment_Log_AP!D105</f>
        <v>46113</v>
      </c>
      <c r="D109" s="18" t="n">
        <f aca="false">Payment_Log_AP!E105</f>
        <v>17767.35</v>
      </c>
      <c r="E109" s="18" t="n">
        <f aca="false">IFERROR(INDEX(Bank_Statement!$C$2:$C$783,MATCH(A109,Bank_Statement!$E$2:$E$783,0)),"")</f>
        <v>-17767.35</v>
      </c>
      <c r="F109" s="16" t="str">
        <f aca="false">IF(E109="","No","Yes")</f>
        <v>Yes</v>
      </c>
      <c r="G109" s="18" t="n">
        <f aca="false">IF(F109="No","N/A",D109-E109)</f>
        <v>35534.7</v>
      </c>
      <c r="H109" s="16" t="str">
        <f aca="false">IF(F109="No","Unmatched - Investigate",IF(ABS(D109-E109)&gt;Assumptions!$B$6,"Mismatch - Amount Differs","Matched"))</f>
        <v>Mismatch - Amount Differs</v>
      </c>
    </row>
    <row r="110" customFormat="false" ht="15" hidden="false" customHeight="false" outlineLevel="0" collapsed="false">
      <c r="A110" s="16" t="str">
        <f aca="false">Payment_Log_AP!A106</f>
        <v>PAY40105</v>
      </c>
      <c r="B110" s="16" t="str">
        <f aca="false">Payment_Log_AP!C106</f>
        <v>V1002</v>
      </c>
      <c r="C110" s="17" t="n">
        <f aca="false">Payment_Log_AP!D106</f>
        <v>45980</v>
      </c>
      <c r="D110" s="18" t="n">
        <f aca="false">Payment_Log_AP!E106</f>
        <v>8633.55</v>
      </c>
      <c r="E110" s="18" t="n">
        <f aca="false">IFERROR(INDEX(Bank_Statement!$C$2:$C$783,MATCH(A110,Bank_Statement!$E$2:$E$783,0)),"")</f>
        <v>-8633.55</v>
      </c>
      <c r="F110" s="16" t="str">
        <f aca="false">IF(E110="","No","Yes")</f>
        <v>Yes</v>
      </c>
      <c r="G110" s="18" t="n">
        <f aca="false">IF(F110="No","N/A",D110-E110)</f>
        <v>17267.1</v>
      </c>
      <c r="H110" s="16" t="str">
        <f aca="false">IF(F110="No","Unmatched - Investigate",IF(ABS(D110-E110)&gt;Assumptions!$B$6,"Mismatch - Amount Differs","Matched"))</f>
        <v>Mismatch - Amount Differs</v>
      </c>
    </row>
    <row r="111" customFormat="false" ht="15" hidden="false" customHeight="false" outlineLevel="0" collapsed="false">
      <c r="A111" s="16" t="str">
        <f aca="false">Payment_Log_AP!A107</f>
        <v>PAY40106</v>
      </c>
      <c r="B111" s="16" t="str">
        <f aca="false">Payment_Log_AP!C107</f>
        <v>V1038</v>
      </c>
      <c r="C111" s="17" t="n">
        <f aca="false">Payment_Log_AP!D107</f>
        <v>46042</v>
      </c>
      <c r="D111" s="18" t="n">
        <f aca="false">Payment_Log_AP!E107</f>
        <v>1731.53</v>
      </c>
      <c r="E111" s="18" t="n">
        <f aca="false">IFERROR(INDEX(Bank_Statement!$C$2:$C$783,MATCH(A111,Bank_Statement!$E$2:$E$783,0)),"")</f>
        <v>-1731.53</v>
      </c>
      <c r="F111" s="16" t="str">
        <f aca="false">IF(E111="","No","Yes")</f>
        <v>Yes</v>
      </c>
      <c r="G111" s="18" t="n">
        <f aca="false">IF(F111="No","N/A",D111-E111)</f>
        <v>3463.06</v>
      </c>
      <c r="H111" s="16" t="str">
        <f aca="false">IF(F111="No","Unmatched - Investigate",IF(ABS(D111-E111)&gt;Assumptions!$B$6,"Mismatch - Amount Differs","Matched"))</f>
        <v>Mismatch - Amount Differs</v>
      </c>
    </row>
    <row r="112" customFormat="false" ht="15" hidden="false" customHeight="false" outlineLevel="0" collapsed="false">
      <c r="A112" s="16" t="str">
        <f aca="false">Payment_Log_AP!A108</f>
        <v>PAY40107</v>
      </c>
      <c r="B112" s="16" t="str">
        <f aca="false">Payment_Log_AP!C108</f>
        <v>V1025</v>
      </c>
      <c r="C112" s="17" t="n">
        <f aca="false">Payment_Log_AP!D108</f>
        <v>45854</v>
      </c>
      <c r="D112" s="18" t="n">
        <f aca="false">Payment_Log_AP!E108</f>
        <v>1559.4</v>
      </c>
      <c r="E112" s="18" t="n">
        <f aca="false">IFERROR(INDEX(Bank_Statement!$C$2:$C$783,MATCH(A112,Bank_Statement!$E$2:$E$783,0)),"")</f>
        <v>-1559.4</v>
      </c>
      <c r="F112" s="16" t="str">
        <f aca="false">IF(E112="","No","Yes")</f>
        <v>Yes</v>
      </c>
      <c r="G112" s="18" t="n">
        <f aca="false">IF(F112="No","N/A",D112-E112)</f>
        <v>3118.8</v>
      </c>
      <c r="H112" s="16" t="str">
        <f aca="false">IF(F112="No","Unmatched - Investigate",IF(ABS(D112-E112)&gt;Assumptions!$B$6,"Mismatch - Amount Differs","Matched"))</f>
        <v>Mismatch - Amount Differs</v>
      </c>
    </row>
    <row r="113" customFormat="false" ht="15" hidden="false" customHeight="false" outlineLevel="0" collapsed="false">
      <c r="A113" s="16" t="str">
        <f aca="false">Payment_Log_AP!A109</f>
        <v>PAY40108</v>
      </c>
      <c r="B113" s="16" t="str">
        <f aca="false">Payment_Log_AP!C109</f>
        <v>V1019</v>
      </c>
      <c r="C113" s="17" t="n">
        <f aca="false">Payment_Log_AP!D109</f>
        <v>45745</v>
      </c>
      <c r="D113" s="18" t="n">
        <f aca="false">Payment_Log_AP!E109</f>
        <v>1484.65</v>
      </c>
      <c r="E113" s="18" t="n">
        <f aca="false">IFERROR(INDEX(Bank_Statement!$C$2:$C$783,MATCH(A113,Bank_Statement!$E$2:$E$783,0)),"")</f>
        <v>-1484.65</v>
      </c>
      <c r="F113" s="16" t="str">
        <f aca="false">IF(E113="","No","Yes")</f>
        <v>Yes</v>
      </c>
      <c r="G113" s="18" t="n">
        <f aca="false">IF(F113="No","N/A",D113-E113)</f>
        <v>2969.3</v>
      </c>
      <c r="H113" s="16" t="str">
        <f aca="false">IF(F113="No","Unmatched - Investigate",IF(ABS(D113-E113)&gt;Assumptions!$B$6,"Mismatch - Amount Differs","Matched"))</f>
        <v>Mismatch - Amount Differs</v>
      </c>
    </row>
    <row r="114" customFormat="false" ht="15" hidden="false" customHeight="false" outlineLevel="0" collapsed="false">
      <c r="A114" s="16" t="str">
        <f aca="false">Payment_Log_AP!A110</f>
        <v>PAY40109</v>
      </c>
      <c r="B114" s="16" t="str">
        <f aca="false">Payment_Log_AP!C110</f>
        <v>V1014</v>
      </c>
      <c r="C114" s="17" t="n">
        <f aca="false">Payment_Log_AP!D110</f>
        <v>45839</v>
      </c>
      <c r="D114" s="18" t="n">
        <f aca="false">Payment_Log_AP!E110</f>
        <v>448.18</v>
      </c>
      <c r="E114" s="18" t="n">
        <f aca="false">IFERROR(INDEX(Bank_Statement!$C$2:$C$783,MATCH(A114,Bank_Statement!$E$2:$E$783,0)),"")</f>
        <v>-448.18</v>
      </c>
      <c r="F114" s="16" t="str">
        <f aca="false">IF(E114="","No","Yes")</f>
        <v>Yes</v>
      </c>
      <c r="G114" s="18" t="n">
        <f aca="false">IF(F114="No","N/A",D114-E114)</f>
        <v>896.36</v>
      </c>
      <c r="H114" s="16" t="str">
        <f aca="false">IF(F114="No","Unmatched - Investigate",IF(ABS(D114-E114)&gt;Assumptions!$B$6,"Mismatch - Amount Differs","Matched"))</f>
        <v>Mismatch - Amount Differs</v>
      </c>
    </row>
    <row r="115" customFormat="false" ht="15" hidden="false" customHeight="false" outlineLevel="0" collapsed="false">
      <c r="A115" s="16" t="str">
        <f aca="false">Payment_Log_AP!A111</f>
        <v>PAY40110</v>
      </c>
      <c r="B115" s="16" t="str">
        <f aca="false">Payment_Log_AP!C111</f>
        <v>V1028</v>
      </c>
      <c r="C115" s="17" t="n">
        <f aca="false">Payment_Log_AP!D111</f>
        <v>45815</v>
      </c>
      <c r="D115" s="18" t="n">
        <f aca="false">Payment_Log_AP!E111</f>
        <v>381.28</v>
      </c>
      <c r="E115" s="18" t="n">
        <f aca="false">IFERROR(INDEX(Bank_Statement!$C$2:$C$783,MATCH(A115,Bank_Statement!$E$2:$E$783,0)),"")</f>
        <v>-381.28</v>
      </c>
      <c r="F115" s="16" t="str">
        <f aca="false">IF(E115="","No","Yes")</f>
        <v>Yes</v>
      </c>
      <c r="G115" s="18" t="n">
        <f aca="false">IF(F115="No","N/A",D115-E115)</f>
        <v>762.56</v>
      </c>
      <c r="H115" s="16" t="str">
        <f aca="false">IF(F115="No","Unmatched - Investigate",IF(ABS(D115-E115)&gt;Assumptions!$B$6,"Mismatch - Amount Differs","Matched"))</f>
        <v>Mismatch - Amount Differs</v>
      </c>
    </row>
    <row r="116" customFormat="false" ht="15" hidden="false" customHeight="false" outlineLevel="0" collapsed="false">
      <c r="A116" s="16" t="str">
        <f aca="false">Payment_Log_AP!A112</f>
        <v>PAY40111</v>
      </c>
      <c r="B116" s="16" t="str">
        <f aca="false">Payment_Log_AP!C112</f>
        <v>V1017</v>
      </c>
      <c r="C116" s="17" t="n">
        <f aca="false">Payment_Log_AP!D112</f>
        <v>45884</v>
      </c>
      <c r="D116" s="18" t="n">
        <f aca="false">Payment_Log_AP!E112</f>
        <v>432.73</v>
      </c>
      <c r="E116" s="18" t="n">
        <f aca="false">IFERROR(INDEX(Bank_Statement!$C$2:$C$783,MATCH(A116,Bank_Statement!$E$2:$E$783,0)),"")</f>
        <v>-432.73</v>
      </c>
      <c r="F116" s="16" t="str">
        <f aca="false">IF(E116="","No","Yes")</f>
        <v>Yes</v>
      </c>
      <c r="G116" s="18" t="n">
        <f aca="false">IF(F116="No","N/A",D116-E116)</f>
        <v>865.46</v>
      </c>
      <c r="H116" s="16" t="str">
        <f aca="false">IF(F116="No","Unmatched - Investigate",IF(ABS(D116-E116)&gt;Assumptions!$B$6,"Mismatch - Amount Differs","Matched"))</f>
        <v>Mismatch - Amount Differs</v>
      </c>
    </row>
    <row r="117" customFormat="false" ht="15" hidden="false" customHeight="false" outlineLevel="0" collapsed="false">
      <c r="A117" s="16" t="str">
        <f aca="false">Payment_Log_AP!A113</f>
        <v>PAY40112</v>
      </c>
      <c r="B117" s="16" t="str">
        <f aca="false">Payment_Log_AP!C113</f>
        <v>V1032</v>
      </c>
      <c r="C117" s="17" t="n">
        <f aca="false">Payment_Log_AP!D113</f>
        <v>45975</v>
      </c>
      <c r="D117" s="18" t="n">
        <f aca="false">Payment_Log_AP!E113</f>
        <v>2005.68</v>
      </c>
      <c r="E117" s="18" t="n">
        <f aca="false">IFERROR(INDEX(Bank_Statement!$C$2:$C$783,MATCH(A117,Bank_Statement!$E$2:$E$783,0)),"")</f>
        <v>-2005.68</v>
      </c>
      <c r="F117" s="16" t="str">
        <f aca="false">IF(E117="","No","Yes")</f>
        <v>Yes</v>
      </c>
      <c r="G117" s="18" t="n">
        <f aca="false">IF(F117="No","N/A",D117-E117)</f>
        <v>4011.36</v>
      </c>
      <c r="H117" s="16" t="str">
        <f aca="false">IF(F117="No","Unmatched - Investigate",IF(ABS(D117-E117)&gt;Assumptions!$B$6,"Mismatch - Amount Differs","Matched"))</f>
        <v>Mismatch - Amount Differs</v>
      </c>
    </row>
    <row r="118" customFormat="false" ht="15" hidden="false" customHeight="false" outlineLevel="0" collapsed="false">
      <c r="A118" s="16" t="str">
        <f aca="false">Payment_Log_AP!A114</f>
        <v>PAY40113</v>
      </c>
      <c r="B118" s="16" t="str">
        <f aca="false">Payment_Log_AP!C114</f>
        <v>V1009</v>
      </c>
      <c r="C118" s="17" t="n">
        <f aca="false">Payment_Log_AP!D114</f>
        <v>45783</v>
      </c>
      <c r="D118" s="18" t="n">
        <f aca="false">Payment_Log_AP!E114</f>
        <v>12091.17</v>
      </c>
      <c r="E118" s="18" t="n">
        <f aca="false">IFERROR(INDEX(Bank_Statement!$C$2:$C$783,MATCH(A118,Bank_Statement!$E$2:$E$783,0)),"")</f>
        <v>-12091.17</v>
      </c>
      <c r="F118" s="16" t="str">
        <f aca="false">IF(E118="","No","Yes")</f>
        <v>Yes</v>
      </c>
      <c r="G118" s="18" t="n">
        <f aca="false">IF(F118="No","N/A",D118-E118)</f>
        <v>24182.34</v>
      </c>
      <c r="H118" s="16" t="str">
        <f aca="false">IF(F118="No","Unmatched - Investigate",IF(ABS(D118-E118)&gt;Assumptions!$B$6,"Mismatch - Amount Differs","Matched"))</f>
        <v>Mismatch - Amount Differs</v>
      </c>
    </row>
    <row r="119" customFormat="false" ht="15" hidden="false" customHeight="false" outlineLevel="0" collapsed="false">
      <c r="A119" s="16" t="str">
        <f aca="false">Payment_Log_AP!A115</f>
        <v>PAY40114</v>
      </c>
      <c r="B119" s="16" t="str">
        <f aca="false">Payment_Log_AP!C115</f>
        <v>V1003</v>
      </c>
      <c r="C119" s="17" t="n">
        <f aca="false">Payment_Log_AP!D115</f>
        <v>45813</v>
      </c>
      <c r="D119" s="18" t="n">
        <f aca="false">Payment_Log_AP!E115</f>
        <v>1425.03</v>
      </c>
      <c r="E119" s="18" t="n">
        <f aca="false">IFERROR(INDEX(Bank_Statement!$C$2:$C$783,MATCH(A119,Bank_Statement!$E$2:$E$783,0)),"")</f>
        <v>-1425.03</v>
      </c>
      <c r="F119" s="16" t="str">
        <f aca="false">IF(E119="","No","Yes")</f>
        <v>Yes</v>
      </c>
      <c r="G119" s="18" t="n">
        <f aca="false">IF(F119="No","N/A",D119-E119)</f>
        <v>2850.06</v>
      </c>
      <c r="H119" s="16" t="str">
        <f aca="false">IF(F119="No","Unmatched - Investigate",IF(ABS(D119-E119)&gt;Assumptions!$B$6,"Mismatch - Amount Differs","Matched"))</f>
        <v>Mismatch - Amount Differs</v>
      </c>
    </row>
    <row r="120" customFormat="false" ht="15" hidden="false" customHeight="false" outlineLevel="0" collapsed="false">
      <c r="A120" s="16" t="str">
        <f aca="false">Payment_Log_AP!A116</f>
        <v>PAY40115</v>
      </c>
      <c r="B120" s="16" t="str">
        <f aca="false">Payment_Log_AP!C116</f>
        <v>V1005</v>
      </c>
      <c r="C120" s="17" t="n">
        <f aca="false">Payment_Log_AP!D116</f>
        <v>46085</v>
      </c>
      <c r="D120" s="18" t="n">
        <f aca="false">Payment_Log_AP!E116</f>
        <v>13874.68</v>
      </c>
      <c r="E120" s="18" t="n">
        <f aca="false">IFERROR(INDEX(Bank_Statement!$C$2:$C$783,MATCH(A120,Bank_Statement!$E$2:$E$783,0)),"")</f>
        <v>-13874.68</v>
      </c>
      <c r="F120" s="16" t="str">
        <f aca="false">IF(E120="","No","Yes")</f>
        <v>Yes</v>
      </c>
      <c r="G120" s="18" t="n">
        <f aca="false">IF(F120="No","N/A",D120-E120)</f>
        <v>27749.36</v>
      </c>
      <c r="H120" s="16" t="str">
        <f aca="false">IF(F120="No","Unmatched - Investigate",IF(ABS(D120-E120)&gt;Assumptions!$B$6,"Mismatch - Amount Differs","Matched"))</f>
        <v>Mismatch - Amount Differs</v>
      </c>
    </row>
    <row r="121" customFormat="false" ht="15" hidden="false" customHeight="false" outlineLevel="0" collapsed="false">
      <c r="A121" s="16" t="str">
        <f aca="false">Payment_Log_AP!A117</f>
        <v>PAY40116</v>
      </c>
      <c r="B121" s="16" t="str">
        <f aca="false">Payment_Log_AP!C117</f>
        <v>V1025</v>
      </c>
      <c r="C121" s="17" t="n">
        <f aca="false">Payment_Log_AP!D117</f>
        <v>46088</v>
      </c>
      <c r="D121" s="18" t="n">
        <f aca="false">Payment_Log_AP!E117</f>
        <v>2603.15</v>
      </c>
      <c r="E121" s="18" t="n">
        <f aca="false">IFERROR(INDEX(Bank_Statement!$C$2:$C$783,MATCH(A121,Bank_Statement!$E$2:$E$783,0)),"")</f>
        <v>-2603.15</v>
      </c>
      <c r="F121" s="16" t="str">
        <f aca="false">IF(E121="","No","Yes")</f>
        <v>Yes</v>
      </c>
      <c r="G121" s="18" t="n">
        <f aca="false">IF(F121="No","N/A",D121-E121)</f>
        <v>5206.3</v>
      </c>
      <c r="H121" s="16" t="str">
        <f aca="false">IF(F121="No","Unmatched - Investigate",IF(ABS(D121-E121)&gt;Assumptions!$B$6,"Mismatch - Amount Differs","Matched"))</f>
        <v>Mismatch - Amount Differs</v>
      </c>
    </row>
    <row r="122" customFormat="false" ht="15" hidden="false" customHeight="false" outlineLevel="0" collapsed="false">
      <c r="A122" s="16" t="str">
        <f aca="false">Payment_Log_AP!A118</f>
        <v>PAY40117</v>
      </c>
      <c r="B122" s="16" t="str">
        <f aca="false">Payment_Log_AP!C118</f>
        <v>V1007</v>
      </c>
      <c r="C122" s="17" t="n">
        <f aca="false">Payment_Log_AP!D118</f>
        <v>45902</v>
      </c>
      <c r="D122" s="18" t="n">
        <f aca="false">Payment_Log_AP!E118</f>
        <v>4244.35</v>
      </c>
      <c r="E122" s="18" t="n">
        <f aca="false">IFERROR(INDEX(Bank_Statement!$C$2:$C$783,MATCH(A122,Bank_Statement!$E$2:$E$783,0)),"")</f>
        <v>-4244.35</v>
      </c>
      <c r="F122" s="16" t="str">
        <f aca="false">IF(E122="","No","Yes")</f>
        <v>Yes</v>
      </c>
      <c r="G122" s="18" t="n">
        <f aca="false">IF(F122="No","N/A",D122-E122)</f>
        <v>8488.7</v>
      </c>
      <c r="H122" s="16" t="str">
        <f aca="false">IF(F122="No","Unmatched - Investigate",IF(ABS(D122-E122)&gt;Assumptions!$B$6,"Mismatch - Amount Differs","Matched"))</f>
        <v>Mismatch - Amount Differs</v>
      </c>
    </row>
    <row r="123" customFormat="false" ht="15" hidden="false" customHeight="false" outlineLevel="0" collapsed="false">
      <c r="A123" s="16" t="str">
        <f aca="false">Payment_Log_AP!A119</f>
        <v>PAY40118</v>
      </c>
      <c r="B123" s="16" t="str">
        <f aca="false">Payment_Log_AP!C119</f>
        <v>V1007</v>
      </c>
      <c r="C123" s="17" t="n">
        <f aca="false">Payment_Log_AP!D119</f>
        <v>45901</v>
      </c>
      <c r="D123" s="18" t="n">
        <f aca="false">Payment_Log_AP!E119</f>
        <v>1297.3</v>
      </c>
      <c r="E123" s="18" t="n">
        <f aca="false">IFERROR(INDEX(Bank_Statement!$C$2:$C$783,MATCH(A123,Bank_Statement!$E$2:$E$783,0)),"")</f>
        <v>-1297.3</v>
      </c>
      <c r="F123" s="16" t="str">
        <f aca="false">IF(E123="","No","Yes")</f>
        <v>Yes</v>
      </c>
      <c r="G123" s="18" t="n">
        <f aca="false">IF(F123="No","N/A",D123-E123)</f>
        <v>2594.6</v>
      </c>
      <c r="H123" s="16" t="str">
        <f aca="false">IF(F123="No","Unmatched - Investigate",IF(ABS(D123-E123)&gt;Assumptions!$B$6,"Mismatch - Amount Differs","Matched"))</f>
        <v>Mismatch - Amount Differs</v>
      </c>
    </row>
    <row r="124" customFormat="false" ht="15" hidden="false" customHeight="false" outlineLevel="0" collapsed="false">
      <c r="A124" s="16" t="str">
        <f aca="false">Payment_Log_AP!A120</f>
        <v>PAY40119</v>
      </c>
      <c r="B124" s="16" t="str">
        <f aca="false">Payment_Log_AP!C120</f>
        <v>V1009</v>
      </c>
      <c r="C124" s="17" t="n">
        <f aca="false">Payment_Log_AP!D120</f>
        <v>45788</v>
      </c>
      <c r="D124" s="18" t="n">
        <f aca="false">Payment_Log_AP!E120</f>
        <v>1349.8</v>
      </c>
      <c r="E124" s="18" t="n">
        <f aca="false">IFERROR(INDEX(Bank_Statement!$C$2:$C$783,MATCH(A124,Bank_Statement!$E$2:$E$783,0)),"")</f>
        <v>-1349.8</v>
      </c>
      <c r="F124" s="16" t="str">
        <f aca="false">IF(E124="","No","Yes")</f>
        <v>Yes</v>
      </c>
      <c r="G124" s="18" t="n">
        <f aca="false">IF(F124="No","N/A",D124-E124)</f>
        <v>2699.6</v>
      </c>
      <c r="H124" s="16" t="str">
        <f aca="false">IF(F124="No","Unmatched - Investigate",IF(ABS(D124-E124)&gt;Assumptions!$B$6,"Mismatch - Amount Differs","Matched"))</f>
        <v>Mismatch - Amount Differs</v>
      </c>
    </row>
    <row r="125" customFormat="false" ht="15" hidden="false" customHeight="false" outlineLevel="0" collapsed="false">
      <c r="A125" s="16" t="str">
        <f aca="false">Payment_Log_AP!A121</f>
        <v>PAY40120</v>
      </c>
      <c r="B125" s="16" t="str">
        <f aca="false">Payment_Log_AP!C121</f>
        <v>V1022</v>
      </c>
      <c r="C125" s="17" t="n">
        <f aca="false">Payment_Log_AP!D121</f>
        <v>45925</v>
      </c>
      <c r="D125" s="18" t="n">
        <f aca="false">Payment_Log_AP!E121</f>
        <v>9053.44</v>
      </c>
      <c r="E125" s="18" t="n">
        <f aca="false">IFERROR(INDEX(Bank_Statement!$C$2:$C$783,MATCH(A125,Bank_Statement!$E$2:$E$783,0)),"")</f>
        <v>-9053.44</v>
      </c>
      <c r="F125" s="16" t="str">
        <f aca="false">IF(E125="","No","Yes")</f>
        <v>Yes</v>
      </c>
      <c r="G125" s="18" t="n">
        <f aca="false">IF(F125="No","N/A",D125-E125)</f>
        <v>18106.88</v>
      </c>
      <c r="H125" s="16" t="str">
        <f aca="false">IF(F125="No","Unmatched - Investigate",IF(ABS(D125-E125)&gt;Assumptions!$B$6,"Mismatch - Amount Differs","Matched"))</f>
        <v>Mismatch - Amount Differs</v>
      </c>
    </row>
    <row r="126" customFormat="false" ht="15" hidden="false" customHeight="false" outlineLevel="0" collapsed="false">
      <c r="A126" s="16" t="str">
        <f aca="false">Payment_Log_AP!A122</f>
        <v>PAY40121</v>
      </c>
      <c r="B126" s="16" t="str">
        <f aca="false">Payment_Log_AP!C122</f>
        <v>V1022</v>
      </c>
      <c r="C126" s="17" t="n">
        <f aca="false">Payment_Log_AP!D122</f>
        <v>46183</v>
      </c>
      <c r="D126" s="18" t="n">
        <f aca="false">Payment_Log_AP!E122</f>
        <v>974.82</v>
      </c>
      <c r="E126" s="18" t="n">
        <f aca="false">IFERROR(INDEX(Bank_Statement!$C$2:$C$783,MATCH(A126,Bank_Statement!$E$2:$E$783,0)),"")</f>
        <v>-974.82</v>
      </c>
      <c r="F126" s="16" t="str">
        <f aca="false">IF(E126="","No","Yes")</f>
        <v>Yes</v>
      </c>
      <c r="G126" s="18" t="n">
        <f aca="false">IF(F126="No","N/A",D126-E126)</f>
        <v>1949.64</v>
      </c>
      <c r="H126" s="16" t="str">
        <f aca="false">IF(F126="No","Unmatched - Investigate",IF(ABS(D126-E126)&gt;Assumptions!$B$6,"Mismatch - Amount Differs","Matched"))</f>
        <v>Mismatch - Amount Differs</v>
      </c>
    </row>
    <row r="127" customFormat="false" ht="15" hidden="false" customHeight="false" outlineLevel="0" collapsed="false">
      <c r="A127" s="16" t="str">
        <f aca="false">Payment_Log_AP!A123</f>
        <v>PAY40122</v>
      </c>
      <c r="B127" s="16" t="str">
        <f aca="false">Payment_Log_AP!C123</f>
        <v>V1034</v>
      </c>
      <c r="C127" s="17" t="n">
        <f aca="false">Payment_Log_AP!D123</f>
        <v>46004</v>
      </c>
      <c r="D127" s="18" t="n">
        <f aca="false">Payment_Log_AP!E123</f>
        <v>5730.61</v>
      </c>
      <c r="E127" s="18" t="n">
        <f aca="false">IFERROR(INDEX(Bank_Statement!$C$2:$C$783,MATCH(A127,Bank_Statement!$E$2:$E$783,0)),"")</f>
        <v>-5730.61</v>
      </c>
      <c r="F127" s="16" t="str">
        <f aca="false">IF(E127="","No","Yes")</f>
        <v>Yes</v>
      </c>
      <c r="G127" s="18" t="n">
        <f aca="false">IF(F127="No","N/A",D127-E127)</f>
        <v>11461.22</v>
      </c>
      <c r="H127" s="16" t="str">
        <f aca="false">IF(F127="No","Unmatched - Investigate",IF(ABS(D127-E127)&gt;Assumptions!$B$6,"Mismatch - Amount Differs","Matched"))</f>
        <v>Mismatch - Amount Differs</v>
      </c>
    </row>
    <row r="128" customFormat="false" ht="15" hidden="false" customHeight="false" outlineLevel="0" collapsed="false">
      <c r="A128" s="16" t="str">
        <f aca="false">Payment_Log_AP!A124</f>
        <v>PAY40123</v>
      </c>
      <c r="B128" s="16" t="str">
        <f aca="false">Payment_Log_AP!C124</f>
        <v>V1040</v>
      </c>
      <c r="C128" s="17" t="n">
        <f aca="false">Payment_Log_AP!D124</f>
        <v>46063</v>
      </c>
      <c r="D128" s="18" t="n">
        <f aca="false">Payment_Log_AP!E124</f>
        <v>11169.56</v>
      </c>
      <c r="E128" s="18" t="n">
        <f aca="false">IFERROR(INDEX(Bank_Statement!$C$2:$C$783,MATCH(A128,Bank_Statement!$E$2:$E$783,0)),"")</f>
        <v>-11169.56</v>
      </c>
      <c r="F128" s="16" t="str">
        <f aca="false">IF(E128="","No","Yes")</f>
        <v>Yes</v>
      </c>
      <c r="G128" s="18" t="n">
        <f aca="false">IF(F128="No","N/A",D128-E128)</f>
        <v>22339.12</v>
      </c>
      <c r="H128" s="16" t="str">
        <f aca="false">IF(F128="No","Unmatched - Investigate",IF(ABS(D128-E128)&gt;Assumptions!$B$6,"Mismatch - Amount Differs","Matched"))</f>
        <v>Mismatch - Amount Differs</v>
      </c>
    </row>
    <row r="129" customFormat="false" ht="15" hidden="false" customHeight="false" outlineLevel="0" collapsed="false">
      <c r="A129" s="16" t="str">
        <f aca="false">Payment_Log_AP!A125</f>
        <v>PAY40124</v>
      </c>
      <c r="B129" s="16" t="str">
        <f aca="false">Payment_Log_AP!C125</f>
        <v>V1032</v>
      </c>
      <c r="C129" s="17" t="n">
        <f aca="false">Payment_Log_AP!D125</f>
        <v>46165</v>
      </c>
      <c r="D129" s="18" t="n">
        <f aca="false">Payment_Log_AP!E125</f>
        <v>573.05</v>
      </c>
      <c r="E129" s="18" t="n">
        <f aca="false">IFERROR(INDEX(Bank_Statement!$C$2:$C$783,MATCH(A129,Bank_Statement!$E$2:$E$783,0)),"")</f>
        <v>-573.05</v>
      </c>
      <c r="F129" s="16" t="str">
        <f aca="false">IF(E129="","No","Yes")</f>
        <v>Yes</v>
      </c>
      <c r="G129" s="18" t="n">
        <f aca="false">IF(F129="No","N/A",D129-E129)</f>
        <v>1146.1</v>
      </c>
      <c r="H129" s="16" t="str">
        <f aca="false">IF(F129="No","Unmatched - Investigate",IF(ABS(D129-E129)&gt;Assumptions!$B$6,"Mismatch - Amount Differs","Matched"))</f>
        <v>Mismatch - Amount Differs</v>
      </c>
    </row>
    <row r="130" customFormat="false" ht="15" hidden="false" customHeight="false" outlineLevel="0" collapsed="false">
      <c r="A130" s="16" t="str">
        <f aca="false">Payment_Log_AP!A126</f>
        <v>PAY40125</v>
      </c>
      <c r="B130" s="16" t="str">
        <f aca="false">Payment_Log_AP!C126</f>
        <v>V1021</v>
      </c>
      <c r="C130" s="17" t="n">
        <f aca="false">Payment_Log_AP!D126</f>
        <v>46131</v>
      </c>
      <c r="D130" s="18" t="n">
        <f aca="false">Payment_Log_AP!E126</f>
        <v>267.6</v>
      </c>
      <c r="E130" s="18" t="n">
        <f aca="false">IFERROR(INDEX(Bank_Statement!$C$2:$C$783,MATCH(A130,Bank_Statement!$E$2:$E$783,0)),"")</f>
        <v>-267.6</v>
      </c>
      <c r="F130" s="16" t="str">
        <f aca="false">IF(E130="","No","Yes")</f>
        <v>Yes</v>
      </c>
      <c r="G130" s="18" t="n">
        <f aca="false">IF(F130="No","N/A",D130-E130)</f>
        <v>535.2</v>
      </c>
      <c r="H130" s="16" t="str">
        <f aca="false">IF(F130="No","Unmatched - Investigate",IF(ABS(D130-E130)&gt;Assumptions!$B$6,"Mismatch - Amount Differs","Matched"))</f>
        <v>Mismatch - Amount Differs</v>
      </c>
    </row>
    <row r="131" customFormat="false" ht="15" hidden="false" customHeight="false" outlineLevel="0" collapsed="false">
      <c r="A131" s="16" t="str">
        <f aca="false">Payment_Log_AP!A127</f>
        <v>PAY40126</v>
      </c>
      <c r="B131" s="16" t="str">
        <f aca="false">Payment_Log_AP!C127</f>
        <v>V1036</v>
      </c>
      <c r="C131" s="17" t="n">
        <f aca="false">Payment_Log_AP!D127</f>
        <v>45881</v>
      </c>
      <c r="D131" s="18" t="n">
        <f aca="false">Payment_Log_AP!E127</f>
        <v>634.26</v>
      </c>
      <c r="E131" s="18" t="n">
        <f aca="false">IFERROR(INDEX(Bank_Statement!$C$2:$C$783,MATCH(A131,Bank_Statement!$E$2:$E$783,0)),"")</f>
        <v>-634.26</v>
      </c>
      <c r="F131" s="16" t="str">
        <f aca="false">IF(E131="","No","Yes")</f>
        <v>Yes</v>
      </c>
      <c r="G131" s="18" t="n">
        <f aca="false">IF(F131="No","N/A",D131-E131)</f>
        <v>1268.52</v>
      </c>
      <c r="H131" s="16" t="str">
        <f aca="false">IF(F131="No","Unmatched - Investigate",IF(ABS(D131-E131)&gt;Assumptions!$B$6,"Mismatch - Amount Differs","Matched"))</f>
        <v>Mismatch - Amount Differs</v>
      </c>
    </row>
    <row r="132" customFormat="false" ht="15" hidden="false" customHeight="false" outlineLevel="0" collapsed="false">
      <c r="A132" s="16" t="str">
        <f aca="false">Payment_Log_AP!A128</f>
        <v>PAY40127</v>
      </c>
      <c r="B132" s="16" t="str">
        <f aca="false">Payment_Log_AP!C128</f>
        <v>V1029</v>
      </c>
      <c r="C132" s="17" t="n">
        <f aca="false">Payment_Log_AP!D128</f>
        <v>45683</v>
      </c>
      <c r="D132" s="18" t="n">
        <f aca="false">Payment_Log_AP!E128</f>
        <v>858.6</v>
      </c>
      <c r="E132" s="18" t="n">
        <f aca="false">IFERROR(INDEX(Bank_Statement!$C$2:$C$783,MATCH(A132,Bank_Statement!$E$2:$E$783,0)),"")</f>
        <v>-858.6</v>
      </c>
      <c r="F132" s="16" t="str">
        <f aca="false">IF(E132="","No","Yes")</f>
        <v>Yes</v>
      </c>
      <c r="G132" s="18" t="n">
        <f aca="false">IF(F132="No","N/A",D132-E132)</f>
        <v>1717.2</v>
      </c>
      <c r="H132" s="16" t="str">
        <f aca="false">IF(F132="No","Unmatched - Investigate",IF(ABS(D132-E132)&gt;Assumptions!$B$6,"Mismatch - Amount Differs","Matched"))</f>
        <v>Mismatch - Amount Differs</v>
      </c>
    </row>
    <row r="133" customFormat="false" ht="15" hidden="false" customHeight="false" outlineLevel="0" collapsed="false">
      <c r="A133" s="16" t="str">
        <f aca="false">Payment_Log_AP!A129</f>
        <v>PAY40128</v>
      </c>
      <c r="B133" s="16" t="str">
        <f aca="false">Payment_Log_AP!C129</f>
        <v>V1023</v>
      </c>
      <c r="C133" s="17" t="n">
        <f aca="false">Payment_Log_AP!D129</f>
        <v>45892</v>
      </c>
      <c r="D133" s="18" t="n">
        <f aca="false">Payment_Log_AP!E129</f>
        <v>1495.05</v>
      </c>
      <c r="E133" s="18" t="n">
        <f aca="false">IFERROR(INDEX(Bank_Statement!$C$2:$C$783,MATCH(A133,Bank_Statement!$E$2:$E$783,0)),"")</f>
        <v>-1495.05</v>
      </c>
      <c r="F133" s="16" t="str">
        <f aca="false">IF(E133="","No","Yes")</f>
        <v>Yes</v>
      </c>
      <c r="G133" s="18" t="n">
        <f aca="false">IF(F133="No","N/A",D133-E133)</f>
        <v>2990.1</v>
      </c>
      <c r="H133" s="16" t="str">
        <f aca="false">IF(F133="No","Unmatched - Investigate",IF(ABS(D133-E133)&gt;Assumptions!$B$6,"Mismatch - Amount Differs","Matched"))</f>
        <v>Mismatch - Amount Differs</v>
      </c>
    </row>
    <row r="134" customFormat="false" ht="15" hidden="false" customHeight="false" outlineLevel="0" collapsed="false">
      <c r="A134" s="16" t="str">
        <f aca="false">Payment_Log_AP!A130</f>
        <v>PAY40129</v>
      </c>
      <c r="B134" s="16" t="str">
        <f aca="false">Payment_Log_AP!C130</f>
        <v>V1037</v>
      </c>
      <c r="C134" s="17" t="n">
        <f aca="false">Payment_Log_AP!D130</f>
        <v>46101</v>
      </c>
      <c r="D134" s="18" t="n">
        <f aca="false">Payment_Log_AP!E130</f>
        <v>4226.43</v>
      </c>
      <c r="E134" s="18" t="n">
        <f aca="false">IFERROR(INDEX(Bank_Statement!$C$2:$C$783,MATCH(A134,Bank_Statement!$E$2:$E$783,0)),"")</f>
        <v>-4226.43</v>
      </c>
      <c r="F134" s="16" t="str">
        <f aca="false">IF(E134="","No","Yes")</f>
        <v>Yes</v>
      </c>
      <c r="G134" s="18" t="n">
        <f aca="false">IF(F134="No","N/A",D134-E134)</f>
        <v>8452.86</v>
      </c>
      <c r="H134" s="16" t="str">
        <f aca="false">IF(F134="No","Unmatched - Investigate",IF(ABS(D134-E134)&gt;Assumptions!$B$6,"Mismatch - Amount Differs","Matched"))</f>
        <v>Mismatch - Amount Differs</v>
      </c>
    </row>
    <row r="135" customFormat="false" ht="15" hidden="false" customHeight="false" outlineLevel="0" collapsed="false">
      <c r="A135" s="16" t="str">
        <f aca="false">Payment_Log_AP!A131</f>
        <v>PAY40130</v>
      </c>
      <c r="B135" s="16" t="str">
        <f aca="false">Payment_Log_AP!C131</f>
        <v>V1029</v>
      </c>
      <c r="C135" s="17" t="n">
        <f aca="false">Payment_Log_AP!D131</f>
        <v>46173</v>
      </c>
      <c r="D135" s="18" t="n">
        <f aca="false">Payment_Log_AP!E131</f>
        <v>203.15</v>
      </c>
      <c r="E135" s="18" t="n">
        <f aca="false">IFERROR(INDEX(Bank_Statement!$C$2:$C$783,MATCH(A135,Bank_Statement!$E$2:$E$783,0)),"")</f>
        <v>-203.15</v>
      </c>
      <c r="F135" s="16" t="str">
        <f aca="false">IF(E135="","No","Yes")</f>
        <v>Yes</v>
      </c>
      <c r="G135" s="18" t="n">
        <f aca="false">IF(F135="No","N/A",D135-E135)</f>
        <v>406.3</v>
      </c>
      <c r="H135" s="16" t="str">
        <f aca="false">IF(F135="No","Unmatched - Investigate",IF(ABS(D135-E135)&gt;Assumptions!$B$6,"Mismatch - Amount Differs","Matched"))</f>
        <v>Mismatch - Amount Differs</v>
      </c>
    </row>
    <row r="136" customFormat="false" ht="15" hidden="false" customHeight="false" outlineLevel="0" collapsed="false">
      <c r="A136" s="16" t="str">
        <f aca="false">Payment_Log_AP!A132</f>
        <v>PAY40131</v>
      </c>
      <c r="B136" s="16" t="str">
        <f aca="false">Payment_Log_AP!C132</f>
        <v>V1036</v>
      </c>
      <c r="C136" s="17" t="n">
        <f aca="false">Payment_Log_AP!D132</f>
        <v>45925</v>
      </c>
      <c r="D136" s="18" t="n">
        <f aca="false">Payment_Log_AP!E132</f>
        <v>3143.41</v>
      </c>
      <c r="E136" s="18" t="n">
        <f aca="false">IFERROR(INDEX(Bank_Statement!$C$2:$C$783,MATCH(A136,Bank_Statement!$E$2:$E$783,0)),"")</f>
        <v>-3143.41</v>
      </c>
      <c r="F136" s="16" t="str">
        <f aca="false">IF(E136="","No","Yes")</f>
        <v>Yes</v>
      </c>
      <c r="G136" s="18" t="n">
        <f aca="false">IF(F136="No","N/A",D136-E136)</f>
        <v>6286.82</v>
      </c>
      <c r="H136" s="16" t="str">
        <f aca="false">IF(F136="No","Unmatched - Investigate",IF(ABS(D136-E136)&gt;Assumptions!$B$6,"Mismatch - Amount Differs","Matched"))</f>
        <v>Mismatch - Amount Differs</v>
      </c>
    </row>
    <row r="137" customFormat="false" ht="15" hidden="false" customHeight="false" outlineLevel="0" collapsed="false">
      <c r="A137" s="16" t="str">
        <f aca="false">Payment_Log_AP!A133</f>
        <v>PAY40132</v>
      </c>
      <c r="B137" s="16" t="str">
        <f aca="false">Payment_Log_AP!C133</f>
        <v>V1005</v>
      </c>
      <c r="C137" s="17" t="n">
        <f aca="false">Payment_Log_AP!D133</f>
        <v>46113</v>
      </c>
      <c r="D137" s="18" t="n">
        <f aca="false">Payment_Log_AP!E133</f>
        <v>13042.87</v>
      </c>
      <c r="E137" s="18" t="n">
        <f aca="false">IFERROR(INDEX(Bank_Statement!$C$2:$C$783,MATCH(A137,Bank_Statement!$E$2:$E$783,0)),"")</f>
        <v>-13042.87</v>
      </c>
      <c r="F137" s="16" t="str">
        <f aca="false">IF(E137="","No","Yes")</f>
        <v>Yes</v>
      </c>
      <c r="G137" s="18" t="n">
        <f aca="false">IF(F137="No","N/A",D137-E137)</f>
        <v>26085.74</v>
      </c>
      <c r="H137" s="16" t="str">
        <f aca="false">IF(F137="No","Unmatched - Investigate",IF(ABS(D137-E137)&gt;Assumptions!$B$6,"Mismatch - Amount Differs","Matched"))</f>
        <v>Mismatch - Amount Differs</v>
      </c>
    </row>
    <row r="138" customFormat="false" ht="15" hidden="false" customHeight="false" outlineLevel="0" collapsed="false">
      <c r="A138" s="16" t="str">
        <f aca="false">Payment_Log_AP!A134</f>
        <v>PAY40133</v>
      </c>
      <c r="B138" s="16" t="str">
        <f aca="false">Payment_Log_AP!C134</f>
        <v>V1039</v>
      </c>
      <c r="C138" s="17" t="n">
        <f aca="false">Payment_Log_AP!D134</f>
        <v>45985</v>
      </c>
      <c r="D138" s="18" t="n">
        <f aca="false">Payment_Log_AP!E134</f>
        <v>4664.8</v>
      </c>
      <c r="E138" s="18" t="n">
        <f aca="false">IFERROR(INDEX(Bank_Statement!$C$2:$C$783,MATCH(A138,Bank_Statement!$E$2:$E$783,0)),"")</f>
        <v>-4664.8</v>
      </c>
      <c r="F138" s="16" t="str">
        <f aca="false">IF(E138="","No","Yes")</f>
        <v>Yes</v>
      </c>
      <c r="G138" s="18" t="n">
        <f aca="false">IF(F138="No","N/A",D138-E138)</f>
        <v>9329.6</v>
      </c>
      <c r="H138" s="16" t="str">
        <f aca="false">IF(F138="No","Unmatched - Investigate",IF(ABS(D138-E138)&gt;Assumptions!$B$6,"Mismatch - Amount Differs","Matched"))</f>
        <v>Mismatch - Amount Differs</v>
      </c>
    </row>
    <row r="139" customFormat="false" ht="15" hidden="false" customHeight="false" outlineLevel="0" collapsed="false">
      <c r="A139" s="16" t="str">
        <f aca="false">Payment_Log_AP!A135</f>
        <v>PAY40134</v>
      </c>
      <c r="B139" s="16" t="str">
        <f aca="false">Payment_Log_AP!C135</f>
        <v>V1015</v>
      </c>
      <c r="C139" s="17" t="n">
        <f aca="false">Payment_Log_AP!D135</f>
        <v>46023</v>
      </c>
      <c r="D139" s="18" t="n">
        <f aca="false">Payment_Log_AP!E135</f>
        <v>2106.89</v>
      </c>
      <c r="E139" s="18" t="n">
        <f aca="false">IFERROR(INDEX(Bank_Statement!$C$2:$C$783,MATCH(A139,Bank_Statement!$E$2:$E$783,0)),"")</f>
        <v>-2106.89</v>
      </c>
      <c r="F139" s="16" t="str">
        <f aca="false">IF(E139="","No","Yes")</f>
        <v>Yes</v>
      </c>
      <c r="G139" s="18" t="n">
        <f aca="false">IF(F139="No","N/A",D139-E139)</f>
        <v>4213.78</v>
      </c>
      <c r="H139" s="16" t="str">
        <f aca="false">IF(F139="No","Unmatched - Investigate",IF(ABS(D139-E139)&gt;Assumptions!$B$6,"Mismatch - Amount Differs","Matched"))</f>
        <v>Mismatch - Amount Differs</v>
      </c>
    </row>
    <row r="140" customFormat="false" ht="15" hidden="false" customHeight="false" outlineLevel="0" collapsed="false">
      <c r="A140" s="16" t="str">
        <f aca="false">Payment_Log_AP!A136</f>
        <v>PAY40135</v>
      </c>
      <c r="B140" s="16" t="str">
        <f aca="false">Payment_Log_AP!C136</f>
        <v>V1008</v>
      </c>
      <c r="C140" s="17" t="n">
        <f aca="false">Payment_Log_AP!D136</f>
        <v>45805</v>
      </c>
      <c r="D140" s="18" t="n">
        <f aca="false">Payment_Log_AP!E136</f>
        <v>7303.36</v>
      </c>
      <c r="E140" s="18" t="n">
        <f aca="false">IFERROR(INDEX(Bank_Statement!$C$2:$C$783,MATCH(A140,Bank_Statement!$E$2:$E$783,0)),"")</f>
        <v>-7303.36</v>
      </c>
      <c r="F140" s="16" t="str">
        <f aca="false">IF(E140="","No","Yes")</f>
        <v>Yes</v>
      </c>
      <c r="G140" s="18" t="n">
        <f aca="false">IF(F140="No","N/A",D140-E140)</f>
        <v>14606.72</v>
      </c>
      <c r="H140" s="16" t="str">
        <f aca="false">IF(F140="No","Unmatched - Investigate",IF(ABS(D140-E140)&gt;Assumptions!$B$6,"Mismatch - Amount Differs","Matched"))</f>
        <v>Mismatch - Amount Differs</v>
      </c>
    </row>
    <row r="141" customFormat="false" ht="15" hidden="false" customHeight="false" outlineLevel="0" collapsed="false">
      <c r="A141" s="16" t="str">
        <f aca="false">Payment_Log_AP!A137</f>
        <v>PAY40136</v>
      </c>
      <c r="B141" s="16" t="str">
        <f aca="false">Payment_Log_AP!C137</f>
        <v>V1001</v>
      </c>
      <c r="C141" s="17" t="n">
        <f aca="false">Payment_Log_AP!D137</f>
        <v>45801</v>
      </c>
      <c r="D141" s="18" t="n">
        <f aca="false">Payment_Log_AP!E137</f>
        <v>2285.28</v>
      </c>
      <c r="E141" s="18" t="n">
        <f aca="false">IFERROR(INDEX(Bank_Statement!$C$2:$C$783,MATCH(A141,Bank_Statement!$E$2:$E$783,0)),"")</f>
        <v>-2285.28</v>
      </c>
      <c r="F141" s="16" t="str">
        <f aca="false">IF(E141="","No","Yes")</f>
        <v>Yes</v>
      </c>
      <c r="G141" s="18" t="n">
        <f aca="false">IF(F141="No","N/A",D141-E141)</f>
        <v>4570.56</v>
      </c>
      <c r="H141" s="16" t="str">
        <f aca="false">IF(F141="No","Unmatched - Investigate",IF(ABS(D141-E141)&gt;Assumptions!$B$6,"Mismatch - Amount Differs","Matched"))</f>
        <v>Mismatch - Amount Differs</v>
      </c>
    </row>
    <row r="142" customFormat="false" ht="15" hidden="false" customHeight="false" outlineLevel="0" collapsed="false">
      <c r="A142" s="16" t="str">
        <f aca="false">Payment_Log_AP!A138</f>
        <v>PAY40137</v>
      </c>
      <c r="B142" s="16" t="str">
        <f aca="false">Payment_Log_AP!C138</f>
        <v>V1018</v>
      </c>
      <c r="C142" s="17" t="n">
        <f aca="false">Payment_Log_AP!D138</f>
        <v>45947</v>
      </c>
      <c r="D142" s="18" t="n">
        <f aca="false">Payment_Log_AP!E138</f>
        <v>358.03</v>
      </c>
      <c r="E142" s="18" t="n">
        <f aca="false">IFERROR(INDEX(Bank_Statement!$C$2:$C$783,MATCH(A142,Bank_Statement!$E$2:$E$783,0)),"")</f>
        <v>-358.03</v>
      </c>
      <c r="F142" s="16" t="str">
        <f aca="false">IF(E142="","No","Yes")</f>
        <v>Yes</v>
      </c>
      <c r="G142" s="18" t="n">
        <f aca="false">IF(F142="No","N/A",D142-E142)</f>
        <v>716.06</v>
      </c>
      <c r="H142" s="16" t="str">
        <f aca="false">IF(F142="No","Unmatched - Investigate",IF(ABS(D142-E142)&gt;Assumptions!$B$6,"Mismatch - Amount Differs","Matched"))</f>
        <v>Mismatch - Amount Differs</v>
      </c>
    </row>
    <row r="143" customFormat="false" ht="15" hidden="false" customHeight="false" outlineLevel="0" collapsed="false">
      <c r="A143" s="16" t="str">
        <f aca="false">Payment_Log_AP!A139</f>
        <v>PAY40138</v>
      </c>
      <c r="B143" s="16" t="str">
        <f aca="false">Payment_Log_AP!C139</f>
        <v>V1017</v>
      </c>
      <c r="C143" s="17" t="n">
        <f aca="false">Payment_Log_AP!D139</f>
        <v>45707</v>
      </c>
      <c r="D143" s="18" t="n">
        <f aca="false">Payment_Log_AP!E139</f>
        <v>2062.27</v>
      </c>
      <c r="E143" s="18" t="n">
        <f aca="false">IFERROR(INDEX(Bank_Statement!$C$2:$C$783,MATCH(A143,Bank_Statement!$E$2:$E$783,0)),"")</f>
        <v>-2062.27</v>
      </c>
      <c r="F143" s="16" t="str">
        <f aca="false">IF(E143="","No","Yes")</f>
        <v>Yes</v>
      </c>
      <c r="G143" s="18" t="n">
        <f aca="false">IF(F143="No","N/A",D143-E143)</f>
        <v>4124.54</v>
      </c>
      <c r="H143" s="16" t="str">
        <f aca="false">IF(F143="No","Unmatched - Investigate",IF(ABS(D143-E143)&gt;Assumptions!$B$6,"Mismatch - Amount Differs","Matched"))</f>
        <v>Mismatch - Amount Differs</v>
      </c>
    </row>
    <row r="144" customFormat="false" ht="15" hidden="false" customHeight="false" outlineLevel="0" collapsed="false">
      <c r="A144" s="16" t="str">
        <f aca="false">Payment_Log_AP!A140</f>
        <v>PAY40139</v>
      </c>
      <c r="B144" s="16" t="str">
        <f aca="false">Payment_Log_AP!C140</f>
        <v>V1025</v>
      </c>
      <c r="C144" s="17" t="n">
        <f aca="false">Payment_Log_AP!D140</f>
        <v>45870</v>
      </c>
      <c r="D144" s="18" t="n">
        <f aca="false">Payment_Log_AP!E140</f>
        <v>8142.95</v>
      </c>
      <c r="E144" s="18" t="n">
        <f aca="false">IFERROR(INDEX(Bank_Statement!$C$2:$C$783,MATCH(A144,Bank_Statement!$E$2:$E$783,0)),"")</f>
        <v>-8142.95</v>
      </c>
      <c r="F144" s="16" t="str">
        <f aca="false">IF(E144="","No","Yes")</f>
        <v>Yes</v>
      </c>
      <c r="G144" s="18" t="n">
        <f aca="false">IF(F144="No","N/A",D144-E144)</f>
        <v>16285.9</v>
      </c>
      <c r="H144" s="16" t="str">
        <f aca="false">IF(F144="No","Unmatched - Investigate",IF(ABS(D144-E144)&gt;Assumptions!$B$6,"Mismatch - Amount Differs","Matched"))</f>
        <v>Mismatch - Amount Differs</v>
      </c>
    </row>
    <row r="145" customFormat="false" ht="15" hidden="false" customHeight="false" outlineLevel="0" collapsed="false">
      <c r="A145" s="16" t="str">
        <f aca="false">Payment_Log_AP!A141</f>
        <v>PAY40140</v>
      </c>
      <c r="B145" s="16" t="str">
        <f aca="false">Payment_Log_AP!C141</f>
        <v>V1017</v>
      </c>
      <c r="C145" s="17" t="n">
        <f aca="false">Payment_Log_AP!D141</f>
        <v>46063</v>
      </c>
      <c r="D145" s="18" t="n">
        <f aca="false">Payment_Log_AP!E141</f>
        <v>499.89</v>
      </c>
      <c r="E145" s="18" t="n">
        <f aca="false">IFERROR(INDEX(Bank_Statement!$C$2:$C$783,MATCH(A145,Bank_Statement!$E$2:$E$783,0)),"")</f>
        <v>-499.89</v>
      </c>
      <c r="F145" s="16" t="str">
        <f aca="false">IF(E145="","No","Yes")</f>
        <v>Yes</v>
      </c>
      <c r="G145" s="18" t="n">
        <f aca="false">IF(F145="No","N/A",D145-E145)</f>
        <v>999.78</v>
      </c>
      <c r="H145" s="16" t="str">
        <f aca="false">IF(F145="No","Unmatched - Investigate",IF(ABS(D145-E145)&gt;Assumptions!$B$6,"Mismatch - Amount Differs","Matched"))</f>
        <v>Mismatch - Amount Differs</v>
      </c>
    </row>
    <row r="146" customFormat="false" ht="15" hidden="false" customHeight="false" outlineLevel="0" collapsed="false">
      <c r="A146" s="16" t="str">
        <f aca="false">Payment_Log_AP!A142</f>
        <v>PAY40141</v>
      </c>
      <c r="B146" s="16" t="str">
        <f aca="false">Payment_Log_AP!C142</f>
        <v>V1007</v>
      </c>
      <c r="C146" s="17" t="n">
        <f aca="false">Payment_Log_AP!D142</f>
        <v>45908</v>
      </c>
      <c r="D146" s="18" t="n">
        <f aca="false">Payment_Log_AP!E142</f>
        <v>2573.09</v>
      </c>
      <c r="E146" s="18" t="n">
        <f aca="false">IFERROR(INDEX(Bank_Statement!$C$2:$C$783,MATCH(A146,Bank_Statement!$E$2:$E$783,0)),"")</f>
        <v>-2573.09</v>
      </c>
      <c r="F146" s="16" t="str">
        <f aca="false">IF(E146="","No","Yes")</f>
        <v>Yes</v>
      </c>
      <c r="G146" s="18" t="n">
        <f aca="false">IF(F146="No","N/A",D146-E146)</f>
        <v>5146.18</v>
      </c>
      <c r="H146" s="16" t="str">
        <f aca="false">IF(F146="No","Unmatched - Investigate",IF(ABS(D146-E146)&gt;Assumptions!$B$6,"Mismatch - Amount Differs","Matched"))</f>
        <v>Mismatch - Amount Differs</v>
      </c>
    </row>
    <row r="147" customFormat="false" ht="15" hidden="false" customHeight="false" outlineLevel="0" collapsed="false">
      <c r="A147" s="16" t="str">
        <f aca="false">Payment_Log_AP!A143</f>
        <v>PAY40142</v>
      </c>
      <c r="B147" s="16" t="str">
        <f aca="false">Payment_Log_AP!C143</f>
        <v>V1002</v>
      </c>
      <c r="C147" s="17" t="n">
        <f aca="false">Payment_Log_AP!D143</f>
        <v>45785</v>
      </c>
      <c r="D147" s="18" t="n">
        <f aca="false">Payment_Log_AP!E143</f>
        <v>2632.16</v>
      </c>
      <c r="E147" s="18" t="n">
        <f aca="false">IFERROR(INDEX(Bank_Statement!$C$2:$C$783,MATCH(A147,Bank_Statement!$E$2:$E$783,0)),"")</f>
        <v>-2632.16</v>
      </c>
      <c r="F147" s="16" t="str">
        <f aca="false">IF(E147="","No","Yes")</f>
        <v>Yes</v>
      </c>
      <c r="G147" s="18" t="n">
        <f aca="false">IF(F147="No","N/A",D147-E147)</f>
        <v>5264.32</v>
      </c>
      <c r="H147" s="16" t="str">
        <f aca="false">IF(F147="No","Unmatched - Investigate",IF(ABS(D147-E147)&gt;Assumptions!$B$6,"Mismatch - Amount Differs","Matched"))</f>
        <v>Mismatch - Amount Differs</v>
      </c>
    </row>
    <row r="148" customFormat="false" ht="15" hidden="false" customHeight="false" outlineLevel="0" collapsed="false">
      <c r="A148" s="16" t="str">
        <f aca="false">Payment_Log_AP!A144</f>
        <v>PAY40143</v>
      </c>
      <c r="B148" s="16" t="str">
        <f aca="false">Payment_Log_AP!C144</f>
        <v>V1001</v>
      </c>
      <c r="C148" s="17" t="n">
        <f aca="false">Payment_Log_AP!D144</f>
        <v>45956</v>
      </c>
      <c r="D148" s="18" t="n">
        <f aca="false">Payment_Log_AP!E144</f>
        <v>332.16</v>
      </c>
      <c r="E148" s="18" t="n">
        <f aca="false">IFERROR(INDEX(Bank_Statement!$C$2:$C$783,MATCH(A148,Bank_Statement!$E$2:$E$783,0)),"")</f>
        <v>-332.16</v>
      </c>
      <c r="F148" s="16" t="str">
        <f aca="false">IF(E148="","No","Yes")</f>
        <v>Yes</v>
      </c>
      <c r="G148" s="18" t="n">
        <f aca="false">IF(F148="No","N/A",D148-E148)</f>
        <v>664.32</v>
      </c>
      <c r="H148" s="16" t="str">
        <f aca="false">IF(F148="No","Unmatched - Investigate",IF(ABS(D148-E148)&gt;Assumptions!$B$6,"Mismatch - Amount Differs","Matched"))</f>
        <v>Mismatch - Amount Differs</v>
      </c>
    </row>
    <row r="149" customFormat="false" ht="15" hidden="false" customHeight="false" outlineLevel="0" collapsed="false">
      <c r="A149" s="16" t="str">
        <f aca="false">Payment_Log_AP!A145</f>
        <v>PAY40144</v>
      </c>
      <c r="B149" s="16" t="str">
        <f aca="false">Payment_Log_AP!C145</f>
        <v>V1035</v>
      </c>
      <c r="C149" s="17" t="n">
        <f aca="false">Payment_Log_AP!D145</f>
        <v>46019</v>
      </c>
      <c r="D149" s="18" t="n">
        <f aca="false">Payment_Log_AP!E145</f>
        <v>783.53</v>
      </c>
      <c r="E149" s="18" t="n">
        <f aca="false">IFERROR(INDEX(Bank_Statement!$C$2:$C$783,MATCH(A149,Bank_Statement!$E$2:$E$783,0)),"")</f>
        <v>-783.53</v>
      </c>
      <c r="F149" s="16" t="str">
        <f aca="false">IF(E149="","No","Yes")</f>
        <v>Yes</v>
      </c>
      <c r="G149" s="18" t="n">
        <f aca="false">IF(F149="No","N/A",D149-E149)</f>
        <v>1567.06</v>
      </c>
      <c r="H149" s="16" t="str">
        <f aca="false">IF(F149="No","Unmatched - Investigate",IF(ABS(D149-E149)&gt;Assumptions!$B$6,"Mismatch - Amount Differs","Matched"))</f>
        <v>Mismatch - Amount Differs</v>
      </c>
    </row>
    <row r="150" customFormat="false" ht="15" hidden="false" customHeight="false" outlineLevel="0" collapsed="false">
      <c r="A150" s="16" t="str">
        <f aca="false">Payment_Log_AP!A146</f>
        <v>PAY40145</v>
      </c>
      <c r="B150" s="16" t="str">
        <f aca="false">Payment_Log_AP!C146</f>
        <v>V1011</v>
      </c>
      <c r="C150" s="17" t="n">
        <f aca="false">Payment_Log_AP!D146</f>
        <v>45914</v>
      </c>
      <c r="D150" s="18" t="n">
        <f aca="false">Payment_Log_AP!E146</f>
        <v>327.42</v>
      </c>
      <c r="E150" s="18" t="n">
        <f aca="false">IFERROR(INDEX(Bank_Statement!$C$2:$C$783,MATCH(A150,Bank_Statement!$E$2:$E$783,0)),"")</f>
        <v>-327.42</v>
      </c>
      <c r="F150" s="16" t="str">
        <f aca="false">IF(E150="","No","Yes")</f>
        <v>Yes</v>
      </c>
      <c r="G150" s="18" t="n">
        <f aca="false">IF(F150="No","N/A",D150-E150)</f>
        <v>654.84</v>
      </c>
      <c r="H150" s="16" t="str">
        <f aca="false">IF(F150="No","Unmatched - Investigate",IF(ABS(D150-E150)&gt;Assumptions!$B$6,"Mismatch - Amount Differs","Matched"))</f>
        <v>Mismatch - Amount Differs</v>
      </c>
    </row>
    <row r="151" customFormat="false" ht="15" hidden="false" customHeight="false" outlineLevel="0" collapsed="false">
      <c r="A151" s="16" t="str">
        <f aca="false">Payment_Log_AP!A147</f>
        <v>PAY40146</v>
      </c>
      <c r="B151" s="16" t="str">
        <f aca="false">Payment_Log_AP!C147</f>
        <v>V1014</v>
      </c>
      <c r="C151" s="17" t="n">
        <f aca="false">Payment_Log_AP!D147</f>
        <v>46016</v>
      </c>
      <c r="D151" s="18" t="n">
        <f aca="false">Payment_Log_AP!E147</f>
        <v>12338.24</v>
      </c>
      <c r="E151" s="18" t="n">
        <f aca="false">IFERROR(INDEX(Bank_Statement!$C$2:$C$783,MATCH(A151,Bank_Statement!$E$2:$E$783,0)),"")</f>
        <v>-12338.24</v>
      </c>
      <c r="F151" s="16" t="str">
        <f aca="false">IF(E151="","No","Yes")</f>
        <v>Yes</v>
      </c>
      <c r="G151" s="18" t="n">
        <f aca="false">IF(F151="No","N/A",D151-E151)</f>
        <v>24676.48</v>
      </c>
      <c r="H151" s="16" t="str">
        <f aca="false">IF(F151="No","Unmatched - Investigate",IF(ABS(D151-E151)&gt;Assumptions!$B$6,"Mismatch - Amount Differs","Matched"))</f>
        <v>Mismatch - Amount Differs</v>
      </c>
    </row>
    <row r="152" customFormat="false" ht="15" hidden="false" customHeight="false" outlineLevel="0" collapsed="false">
      <c r="A152" s="16" t="str">
        <f aca="false">Payment_Log_AP!A148</f>
        <v>PAY40147</v>
      </c>
      <c r="B152" s="16" t="str">
        <f aca="false">Payment_Log_AP!C148</f>
        <v>V1022</v>
      </c>
      <c r="C152" s="17" t="n">
        <f aca="false">Payment_Log_AP!D148</f>
        <v>45693</v>
      </c>
      <c r="D152" s="18" t="n">
        <f aca="false">Payment_Log_AP!E148</f>
        <v>1431.29</v>
      </c>
      <c r="E152" s="18" t="n">
        <f aca="false">IFERROR(INDEX(Bank_Statement!$C$2:$C$783,MATCH(A152,Bank_Statement!$E$2:$E$783,0)),"")</f>
        <v>-1431.29</v>
      </c>
      <c r="F152" s="16" t="str">
        <f aca="false">IF(E152="","No","Yes")</f>
        <v>Yes</v>
      </c>
      <c r="G152" s="18" t="n">
        <f aca="false">IF(F152="No","N/A",D152-E152)</f>
        <v>2862.58</v>
      </c>
      <c r="H152" s="16" t="str">
        <f aca="false">IF(F152="No","Unmatched - Investigate",IF(ABS(D152-E152)&gt;Assumptions!$B$6,"Mismatch - Amount Differs","Matched"))</f>
        <v>Mismatch - Amount Differs</v>
      </c>
    </row>
    <row r="153" customFormat="false" ht="15" hidden="false" customHeight="false" outlineLevel="0" collapsed="false">
      <c r="A153" s="16" t="str">
        <f aca="false">Payment_Log_AP!A149</f>
        <v>PAY40148</v>
      </c>
      <c r="B153" s="16" t="str">
        <f aca="false">Payment_Log_AP!C149</f>
        <v>V1028</v>
      </c>
      <c r="C153" s="17" t="n">
        <f aca="false">Payment_Log_AP!D149</f>
        <v>46029</v>
      </c>
      <c r="D153" s="18" t="n">
        <f aca="false">Payment_Log_AP!E149</f>
        <v>9458.18</v>
      </c>
      <c r="E153" s="18" t="n">
        <f aca="false">IFERROR(INDEX(Bank_Statement!$C$2:$C$783,MATCH(A153,Bank_Statement!$E$2:$E$783,0)),"")</f>
        <v>-9458.18</v>
      </c>
      <c r="F153" s="16" t="str">
        <f aca="false">IF(E153="","No","Yes")</f>
        <v>Yes</v>
      </c>
      <c r="G153" s="18" t="n">
        <f aca="false">IF(F153="No","N/A",D153-E153)</f>
        <v>18916.36</v>
      </c>
      <c r="H153" s="16" t="str">
        <f aca="false">IF(F153="No","Unmatched - Investigate",IF(ABS(D153-E153)&gt;Assumptions!$B$6,"Mismatch - Amount Differs","Matched"))</f>
        <v>Mismatch - Amount Differs</v>
      </c>
    </row>
    <row r="154" customFormat="false" ht="15" hidden="false" customHeight="false" outlineLevel="0" collapsed="false">
      <c r="A154" s="16" t="str">
        <f aca="false">Payment_Log_AP!A150</f>
        <v>PAY40149</v>
      </c>
      <c r="B154" s="16" t="str">
        <f aca="false">Payment_Log_AP!C150</f>
        <v>V1033</v>
      </c>
      <c r="C154" s="17" t="n">
        <f aca="false">Payment_Log_AP!D150</f>
        <v>45759</v>
      </c>
      <c r="D154" s="18" t="n">
        <f aca="false">Payment_Log_AP!E150</f>
        <v>354.26</v>
      </c>
      <c r="E154" s="18" t="n">
        <f aca="false">IFERROR(INDEX(Bank_Statement!$C$2:$C$783,MATCH(A154,Bank_Statement!$E$2:$E$783,0)),"")</f>
        <v>-354.26</v>
      </c>
      <c r="F154" s="16" t="str">
        <f aca="false">IF(E154="","No","Yes")</f>
        <v>Yes</v>
      </c>
      <c r="G154" s="18" t="n">
        <f aca="false">IF(F154="No","N/A",D154-E154)</f>
        <v>708.52</v>
      </c>
      <c r="H154" s="16" t="str">
        <f aca="false">IF(F154="No","Unmatched - Investigate",IF(ABS(D154-E154)&gt;Assumptions!$B$6,"Mismatch - Amount Differs","Matched"))</f>
        <v>Mismatch - Amount Differs</v>
      </c>
    </row>
    <row r="155" customFormat="false" ht="15" hidden="false" customHeight="false" outlineLevel="0" collapsed="false">
      <c r="A155" s="16" t="str">
        <f aca="false">Payment_Log_AP!A151</f>
        <v>PAY40150</v>
      </c>
      <c r="B155" s="16" t="str">
        <f aca="false">Payment_Log_AP!C151</f>
        <v>V1024</v>
      </c>
      <c r="C155" s="17" t="n">
        <f aca="false">Payment_Log_AP!D151</f>
        <v>45934</v>
      </c>
      <c r="D155" s="18" t="n">
        <f aca="false">Payment_Log_AP!E151</f>
        <v>1640.65</v>
      </c>
      <c r="E155" s="18" t="n">
        <f aca="false">IFERROR(INDEX(Bank_Statement!$C$2:$C$783,MATCH(A155,Bank_Statement!$E$2:$E$783,0)),"")</f>
        <v>-1640.65</v>
      </c>
      <c r="F155" s="16" t="str">
        <f aca="false">IF(E155="","No","Yes")</f>
        <v>Yes</v>
      </c>
      <c r="G155" s="18" t="n">
        <f aca="false">IF(F155="No","N/A",D155-E155)</f>
        <v>3281.3</v>
      </c>
      <c r="H155" s="16" t="str">
        <f aca="false">IF(F155="No","Unmatched - Investigate",IF(ABS(D155-E155)&gt;Assumptions!$B$6,"Mismatch - Amount Differs","Matched"))</f>
        <v>Mismatch - Amount Differs</v>
      </c>
    </row>
    <row r="156" customFormat="false" ht="15" hidden="false" customHeight="false" outlineLevel="0" collapsed="false">
      <c r="A156" s="16" t="str">
        <f aca="false">Payment_Log_AP!A152</f>
        <v>PAY40151</v>
      </c>
      <c r="B156" s="16" t="str">
        <f aca="false">Payment_Log_AP!C152</f>
        <v>V1024</v>
      </c>
      <c r="C156" s="17" t="n">
        <f aca="false">Payment_Log_AP!D152</f>
        <v>45945</v>
      </c>
      <c r="D156" s="18" t="n">
        <f aca="false">Payment_Log_AP!E152</f>
        <v>1640.65</v>
      </c>
      <c r="E156" s="18" t="n">
        <f aca="false">IFERROR(INDEX(Bank_Statement!$C$2:$C$783,MATCH(A156,Bank_Statement!$E$2:$E$783,0)),"")</f>
        <v>-1640.65</v>
      </c>
      <c r="F156" s="16" t="str">
        <f aca="false">IF(E156="","No","Yes")</f>
        <v>Yes</v>
      </c>
      <c r="G156" s="18" t="n">
        <f aca="false">IF(F156="No","N/A",D156-E156)</f>
        <v>3281.3</v>
      </c>
      <c r="H156" s="16" t="str">
        <f aca="false">IF(F156="No","Unmatched - Investigate",IF(ABS(D156-E156)&gt;Assumptions!$B$6,"Mismatch - Amount Differs","Matched"))</f>
        <v>Mismatch - Amount Differs</v>
      </c>
    </row>
    <row r="157" customFormat="false" ht="15" hidden="false" customHeight="false" outlineLevel="0" collapsed="false">
      <c r="A157" s="16" t="str">
        <f aca="false">Payment_Log_AP!A153</f>
        <v>PAY40152</v>
      </c>
      <c r="B157" s="16" t="str">
        <f aca="false">Payment_Log_AP!C153</f>
        <v>V1011</v>
      </c>
      <c r="C157" s="17" t="n">
        <f aca="false">Payment_Log_AP!D153</f>
        <v>45694</v>
      </c>
      <c r="D157" s="18" t="n">
        <f aca="false">Payment_Log_AP!E153</f>
        <v>14457.87</v>
      </c>
      <c r="E157" s="18" t="n">
        <f aca="false">IFERROR(INDEX(Bank_Statement!$C$2:$C$783,MATCH(A157,Bank_Statement!$E$2:$E$783,0)),"")</f>
        <v>-14457.87</v>
      </c>
      <c r="F157" s="16" t="str">
        <f aca="false">IF(E157="","No","Yes")</f>
        <v>Yes</v>
      </c>
      <c r="G157" s="18" t="n">
        <f aca="false">IF(F157="No","N/A",D157-E157)</f>
        <v>28915.74</v>
      </c>
      <c r="H157" s="16" t="str">
        <f aca="false">IF(F157="No","Unmatched - Investigate",IF(ABS(D157-E157)&gt;Assumptions!$B$6,"Mismatch - Amount Differs","Matched"))</f>
        <v>Mismatch - Amount Differs</v>
      </c>
    </row>
    <row r="158" customFormat="false" ht="15" hidden="false" customHeight="false" outlineLevel="0" collapsed="false">
      <c r="A158" s="16" t="str">
        <f aca="false">Payment_Log_AP!A154</f>
        <v>PAY40153</v>
      </c>
      <c r="B158" s="16" t="str">
        <f aca="false">Payment_Log_AP!C154</f>
        <v>V1011</v>
      </c>
      <c r="C158" s="17" t="n">
        <f aca="false">Payment_Log_AP!D154</f>
        <v>45889</v>
      </c>
      <c r="D158" s="18" t="n">
        <f aca="false">Payment_Log_AP!E154</f>
        <v>3828.96</v>
      </c>
      <c r="E158" s="18" t="n">
        <f aca="false">IFERROR(INDEX(Bank_Statement!$C$2:$C$783,MATCH(A158,Bank_Statement!$E$2:$E$783,0)),"")</f>
        <v>-3828.96</v>
      </c>
      <c r="F158" s="16" t="str">
        <f aca="false">IF(E158="","No","Yes")</f>
        <v>Yes</v>
      </c>
      <c r="G158" s="18" t="n">
        <f aca="false">IF(F158="No","N/A",D158-E158)</f>
        <v>7657.92</v>
      </c>
      <c r="H158" s="16" t="str">
        <f aca="false">IF(F158="No","Unmatched - Investigate",IF(ABS(D158-E158)&gt;Assumptions!$B$6,"Mismatch - Amount Differs","Matched"))</f>
        <v>Mismatch - Amount Differs</v>
      </c>
    </row>
    <row r="159" customFormat="false" ht="15" hidden="false" customHeight="false" outlineLevel="0" collapsed="false">
      <c r="A159" s="16" t="str">
        <f aca="false">Payment_Log_AP!A155</f>
        <v>PAY40154</v>
      </c>
      <c r="B159" s="16" t="str">
        <f aca="false">Payment_Log_AP!C155</f>
        <v>V1025</v>
      </c>
      <c r="C159" s="17" t="n">
        <f aca="false">Payment_Log_AP!D155</f>
        <v>45803</v>
      </c>
      <c r="D159" s="18" t="n">
        <f aca="false">Payment_Log_AP!E155</f>
        <v>1542.51</v>
      </c>
      <c r="E159" s="18" t="n">
        <f aca="false">IFERROR(INDEX(Bank_Statement!$C$2:$C$783,MATCH(A159,Bank_Statement!$E$2:$E$783,0)),"")</f>
        <v>-1542.51</v>
      </c>
      <c r="F159" s="16" t="str">
        <f aca="false">IF(E159="","No","Yes")</f>
        <v>Yes</v>
      </c>
      <c r="G159" s="18" t="n">
        <f aca="false">IF(F159="No","N/A",D159-E159)</f>
        <v>3085.02</v>
      </c>
      <c r="H159" s="16" t="str">
        <f aca="false">IF(F159="No","Unmatched - Investigate",IF(ABS(D159-E159)&gt;Assumptions!$B$6,"Mismatch - Amount Differs","Matched"))</f>
        <v>Mismatch - Amount Differs</v>
      </c>
    </row>
    <row r="160" customFormat="false" ht="15" hidden="false" customHeight="false" outlineLevel="0" collapsed="false">
      <c r="A160" s="16" t="str">
        <f aca="false">Payment_Log_AP!A156</f>
        <v>PAY40155</v>
      </c>
      <c r="B160" s="16" t="str">
        <f aca="false">Payment_Log_AP!C156</f>
        <v>V1020</v>
      </c>
      <c r="C160" s="17" t="n">
        <f aca="false">Payment_Log_AP!D156</f>
        <v>45862</v>
      </c>
      <c r="D160" s="18" t="n">
        <f aca="false">Payment_Log_AP!E156</f>
        <v>1235.82</v>
      </c>
      <c r="E160" s="18" t="n">
        <f aca="false">IFERROR(INDEX(Bank_Statement!$C$2:$C$783,MATCH(A160,Bank_Statement!$E$2:$E$783,0)),"")</f>
        <v>-1235.82</v>
      </c>
      <c r="F160" s="16" t="str">
        <f aca="false">IF(E160="","No","Yes")</f>
        <v>Yes</v>
      </c>
      <c r="G160" s="18" t="n">
        <f aca="false">IF(F160="No","N/A",D160-E160)</f>
        <v>2471.64</v>
      </c>
      <c r="H160" s="16" t="str">
        <f aca="false">IF(F160="No","Unmatched - Investigate",IF(ABS(D160-E160)&gt;Assumptions!$B$6,"Mismatch - Amount Differs","Matched"))</f>
        <v>Mismatch - Amount Differs</v>
      </c>
    </row>
    <row r="161" customFormat="false" ht="15" hidden="false" customHeight="false" outlineLevel="0" collapsed="false">
      <c r="A161" s="16" t="str">
        <f aca="false">Payment_Log_AP!A157</f>
        <v>PAY40156</v>
      </c>
      <c r="B161" s="16" t="str">
        <f aca="false">Payment_Log_AP!C157</f>
        <v>V1005</v>
      </c>
      <c r="C161" s="17" t="n">
        <f aca="false">Payment_Log_AP!D157</f>
        <v>46100</v>
      </c>
      <c r="D161" s="18" t="n">
        <f aca="false">Payment_Log_AP!E157</f>
        <v>21822.22</v>
      </c>
      <c r="E161" s="18" t="n">
        <f aca="false">IFERROR(INDEX(Bank_Statement!$C$2:$C$783,MATCH(A161,Bank_Statement!$E$2:$E$783,0)),"")</f>
        <v>-21822.22</v>
      </c>
      <c r="F161" s="16" t="str">
        <f aca="false">IF(E161="","No","Yes")</f>
        <v>Yes</v>
      </c>
      <c r="G161" s="18" t="n">
        <f aca="false">IF(F161="No","N/A",D161-E161)</f>
        <v>43644.44</v>
      </c>
      <c r="H161" s="16" t="str">
        <f aca="false">IF(F161="No","Unmatched - Investigate",IF(ABS(D161-E161)&gt;Assumptions!$B$6,"Mismatch - Amount Differs","Matched"))</f>
        <v>Mismatch - Amount Differs</v>
      </c>
    </row>
    <row r="162" customFormat="false" ht="15" hidden="false" customHeight="false" outlineLevel="0" collapsed="false">
      <c r="A162" s="16" t="str">
        <f aca="false">Payment_Log_AP!A158</f>
        <v>PAY40157</v>
      </c>
      <c r="B162" s="16" t="str">
        <f aca="false">Payment_Log_AP!C158</f>
        <v>V1001</v>
      </c>
      <c r="C162" s="17" t="n">
        <f aca="false">Payment_Log_AP!D158</f>
        <v>45915</v>
      </c>
      <c r="D162" s="18" t="n">
        <f aca="false">Payment_Log_AP!E158</f>
        <v>3828.8</v>
      </c>
      <c r="E162" s="18" t="n">
        <f aca="false">IFERROR(INDEX(Bank_Statement!$C$2:$C$783,MATCH(A162,Bank_Statement!$E$2:$E$783,0)),"")</f>
        <v>-3828.8</v>
      </c>
      <c r="F162" s="16" t="str">
        <f aca="false">IF(E162="","No","Yes")</f>
        <v>Yes</v>
      </c>
      <c r="G162" s="18" t="n">
        <f aca="false">IF(F162="No","N/A",D162-E162)</f>
        <v>7657.6</v>
      </c>
      <c r="H162" s="16" t="str">
        <f aca="false">IF(F162="No","Unmatched - Investigate",IF(ABS(D162-E162)&gt;Assumptions!$B$6,"Mismatch - Amount Differs","Matched"))</f>
        <v>Mismatch - Amount Differs</v>
      </c>
    </row>
    <row r="163" customFormat="false" ht="15" hidden="false" customHeight="false" outlineLevel="0" collapsed="false">
      <c r="A163" s="16" t="str">
        <f aca="false">Payment_Log_AP!A159</f>
        <v>PAY40158</v>
      </c>
      <c r="B163" s="16" t="str">
        <f aca="false">Payment_Log_AP!C159</f>
        <v>V1024</v>
      </c>
      <c r="C163" s="17" t="n">
        <f aca="false">Payment_Log_AP!D159</f>
        <v>46103</v>
      </c>
      <c r="D163" s="18" t="n">
        <f aca="false">Payment_Log_AP!E159</f>
        <v>2084.01</v>
      </c>
      <c r="E163" s="18" t="n">
        <f aca="false">IFERROR(INDEX(Bank_Statement!$C$2:$C$783,MATCH(A163,Bank_Statement!$E$2:$E$783,0)),"")</f>
        <v>-2084.01</v>
      </c>
      <c r="F163" s="16" t="str">
        <f aca="false">IF(E163="","No","Yes")</f>
        <v>Yes</v>
      </c>
      <c r="G163" s="18" t="n">
        <f aca="false">IF(F163="No","N/A",D163-E163)</f>
        <v>4168.02</v>
      </c>
      <c r="H163" s="16" t="str">
        <f aca="false">IF(F163="No","Unmatched - Investigate",IF(ABS(D163-E163)&gt;Assumptions!$B$6,"Mismatch - Amount Differs","Matched"))</f>
        <v>Mismatch - Amount Differs</v>
      </c>
    </row>
    <row r="164" customFormat="false" ht="15" hidden="false" customHeight="false" outlineLevel="0" collapsed="false">
      <c r="A164" s="16" t="str">
        <f aca="false">Payment_Log_AP!A160</f>
        <v>PAY40159</v>
      </c>
      <c r="B164" s="16" t="str">
        <f aca="false">Payment_Log_AP!C160</f>
        <v>V1003</v>
      </c>
      <c r="C164" s="17" t="n">
        <f aca="false">Payment_Log_AP!D160</f>
        <v>46157</v>
      </c>
      <c r="D164" s="18" t="n">
        <f aca="false">Payment_Log_AP!E160</f>
        <v>1489.22</v>
      </c>
      <c r="E164" s="18" t="n">
        <f aca="false">IFERROR(INDEX(Bank_Statement!$C$2:$C$783,MATCH(A164,Bank_Statement!$E$2:$E$783,0)),"")</f>
        <v>-1489.22</v>
      </c>
      <c r="F164" s="16" t="str">
        <f aca="false">IF(E164="","No","Yes")</f>
        <v>Yes</v>
      </c>
      <c r="G164" s="18" t="n">
        <f aca="false">IF(F164="No","N/A",D164-E164)</f>
        <v>2978.44</v>
      </c>
      <c r="H164" s="16" t="str">
        <f aca="false">IF(F164="No","Unmatched - Investigate",IF(ABS(D164-E164)&gt;Assumptions!$B$6,"Mismatch - Amount Differs","Matched"))</f>
        <v>Mismatch - Amount Differs</v>
      </c>
    </row>
    <row r="165" customFormat="false" ht="15" hidden="false" customHeight="false" outlineLevel="0" collapsed="false">
      <c r="A165" s="16" t="str">
        <f aca="false">Payment_Log_AP!A161</f>
        <v>PAY40160</v>
      </c>
      <c r="B165" s="16" t="str">
        <f aca="false">Payment_Log_AP!C161</f>
        <v>V1035</v>
      </c>
      <c r="C165" s="17" t="n">
        <f aca="false">Payment_Log_AP!D161</f>
        <v>45826</v>
      </c>
      <c r="D165" s="18" t="n">
        <f aca="false">Payment_Log_AP!E161</f>
        <v>1056.69</v>
      </c>
      <c r="E165" s="18" t="n">
        <f aca="false">IFERROR(INDEX(Bank_Statement!$C$2:$C$783,MATCH(A165,Bank_Statement!$E$2:$E$783,0)),"")</f>
        <v>-1056.69</v>
      </c>
      <c r="F165" s="16" t="str">
        <f aca="false">IF(E165="","No","Yes")</f>
        <v>Yes</v>
      </c>
      <c r="G165" s="18" t="n">
        <f aca="false">IF(F165="No","N/A",D165-E165)</f>
        <v>2113.38</v>
      </c>
      <c r="H165" s="16" t="str">
        <f aca="false">IF(F165="No","Unmatched - Investigate",IF(ABS(D165-E165)&gt;Assumptions!$B$6,"Mismatch - Amount Differs","Matched"))</f>
        <v>Mismatch - Amount Differs</v>
      </c>
    </row>
    <row r="166" customFormat="false" ht="15" hidden="false" customHeight="false" outlineLevel="0" collapsed="false">
      <c r="A166" s="16" t="str">
        <f aca="false">Payment_Log_AP!A162</f>
        <v>PAY40161</v>
      </c>
      <c r="B166" s="16" t="str">
        <f aca="false">Payment_Log_AP!C162</f>
        <v>V1009</v>
      </c>
      <c r="C166" s="17" t="n">
        <f aca="false">Payment_Log_AP!D162</f>
        <v>45741</v>
      </c>
      <c r="D166" s="18" t="n">
        <f aca="false">Payment_Log_AP!E162</f>
        <v>3628.81</v>
      </c>
      <c r="E166" s="18" t="n">
        <f aca="false">IFERROR(INDEX(Bank_Statement!$C$2:$C$783,MATCH(A166,Bank_Statement!$E$2:$E$783,0)),"")</f>
        <v>-3628.81</v>
      </c>
      <c r="F166" s="16" t="str">
        <f aca="false">IF(E166="","No","Yes")</f>
        <v>Yes</v>
      </c>
      <c r="G166" s="18" t="n">
        <f aca="false">IF(F166="No","N/A",D166-E166)</f>
        <v>7257.62</v>
      </c>
      <c r="H166" s="16" t="str">
        <f aca="false">IF(F166="No","Unmatched - Investigate",IF(ABS(D166-E166)&gt;Assumptions!$B$6,"Mismatch - Amount Differs","Matched"))</f>
        <v>Mismatch - Amount Differs</v>
      </c>
    </row>
    <row r="167" customFormat="false" ht="15" hidden="false" customHeight="false" outlineLevel="0" collapsed="false">
      <c r="A167" s="16" t="str">
        <f aca="false">Payment_Log_AP!A163</f>
        <v>PAY40162</v>
      </c>
      <c r="B167" s="16" t="str">
        <f aca="false">Payment_Log_AP!C163</f>
        <v>V1034</v>
      </c>
      <c r="C167" s="17" t="n">
        <f aca="false">Payment_Log_AP!D163</f>
        <v>45712</v>
      </c>
      <c r="D167" s="18" t="n">
        <f aca="false">Payment_Log_AP!E163</f>
        <v>588.95</v>
      </c>
      <c r="E167" s="18" t="n">
        <f aca="false">IFERROR(INDEX(Bank_Statement!$C$2:$C$783,MATCH(A167,Bank_Statement!$E$2:$E$783,0)),"")</f>
        <v>-588.95</v>
      </c>
      <c r="F167" s="16" t="str">
        <f aca="false">IF(E167="","No","Yes")</f>
        <v>Yes</v>
      </c>
      <c r="G167" s="18" t="n">
        <f aca="false">IF(F167="No","N/A",D167-E167)</f>
        <v>1177.9</v>
      </c>
      <c r="H167" s="16" t="str">
        <f aca="false">IF(F167="No","Unmatched - Investigate",IF(ABS(D167-E167)&gt;Assumptions!$B$6,"Mismatch - Amount Differs","Matched"))</f>
        <v>Mismatch - Amount Differs</v>
      </c>
    </row>
    <row r="168" customFormat="false" ht="15" hidden="false" customHeight="false" outlineLevel="0" collapsed="false">
      <c r="A168" s="16" t="str">
        <f aca="false">Payment_Log_AP!A164</f>
        <v>PAY40163</v>
      </c>
      <c r="B168" s="16" t="str">
        <f aca="false">Payment_Log_AP!C164</f>
        <v>V1017</v>
      </c>
      <c r="C168" s="17" t="n">
        <f aca="false">Payment_Log_AP!D164</f>
        <v>45959</v>
      </c>
      <c r="D168" s="18" t="n">
        <f aca="false">Payment_Log_AP!E164</f>
        <v>2268.78</v>
      </c>
      <c r="E168" s="18" t="n">
        <f aca="false">IFERROR(INDEX(Bank_Statement!$C$2:$C$783,MATCH(A168,Bank_Statement!$E$2:$E$783,0)),"")</f>
        <v>-2268.78</v>
      </c>
      <c r="F168" s="16" t="str">
        <f aca="false">IF(E168="","No","Yes")</f>
        <v>Yes</v>
      </c>
      <c r="G168" s="18" t="n">
        <f aca="false">IF(F168="No","N/A",D168-E168)</f>
        <v>4537.56</v>
      </c>
      <c r="H168" s="16" t="str">
        <f aca="false">IF(F168="No","Unmatched - Investigate",IF(ABS(D168-E168)&gt;Assumptions!$B$6,"Mismatch - Amount Differs","Matched"))</f>
        <v>Mismatch - Amount Differs</v>
      </c>
    </row>
    <row r="169" customFormat="false" ht="15" hidden="false" customHeight="false" outlineLevel="0" collapsed="false">
      <c r="A169" s="16" t="str">
        <f aca="false">Payment_Log_AP!A165</f>
        <v>PAY40164</v>
      </c>
      <c r="B169" s="16" t="str">
        <f aca="false">Payment_Log_AP!C165</f>
        <v>V1033</v>
      </c>
      <c r="C169" s="17" t="n">
        <f aca="false">Payment_Log_AP!D165</f>
        <v>45895</v>
      </c>
      <c r="D169" s="18" t="n">
        <f aca="false">Payment_Log_AP!E165</f>
        <v>560.32</v>
      </c>
      <c r="E169" s="18" t="n">
        <f aca="false">IFERROR(INDEX(Bank_Statement!$C$2:$C$783,MATCH(A169,Bank_Statement!$E$2:$E$783,0)),"")</f>
        <v>-560.32</v>
      </c>
      <c r="F169" s="16" t="str">
        <f aca="false">IF(E169="","No","Yes")</f>
        <v>Yes</v>
      </c>
      <c r="G169" s="18" t="n">
        <f aca="false">IF(F169="No","N/A",D169-E169)</f>
        <v>1120.64</v>
      </c>
      <c r="H169" s="16" t="str">
        <f aca="false">IF(F169="No","Unmatched - Investigate",IF(ABS(D169-E169)&gt;Assumptions!$B$6,"Mismatch - Amount Differs","Matched"))</f>
        <v>Mismatch - Amount Differs</v>
      </c>
    </row>
    <row r="170" customFormat="false" ht="15" hidden="false" customHeight="false" outlineLevel="0" collapsed="false">
      <c r="A170" s="16" t="str">
        <f aca="false">Payment_Log_AP!A166</f>
        <v>PAY40165</v>
      </c>
      <c r="B170" s="16" t="str">
        <f aca="false">Payment_Log_AP!C166</f>
        <v>V1005</v>
      </c>
      <c r="C170" s="17" t="n">
        <f aca="false">Payment_Log_AP!D166</f>
        <v>46022</v>
      </c>
      <c r="D170" s="18" t="n">
        <f aca="false">Payment_Log_AP!E166</f>
        <v>2281.25</v>
      </c>
      <c r="E170" s="18" t="n">
        <f aca="false">IFERROR(INDEX(Bank_Statement!$C$2:$C$783,MATCH(A170,Bank_Statement!$E$2:$E$783,0)),"")</f>
        <v>-2281.25</v>
      </c>
      <c r="F170" s="16" t="str">
        <f aca="false">IF(E170="","No","Yes")</f>
        <v>Yes</v>
      </c>
      <c r="G170" s="18" t="n">
        <f aca="false">IF(F170="No","N/A",D170-E170)</f>
        <v>4562.5</v>
      </c>
      <c r="H170" s="16" t="str">
        <f aca="false">IF(F170="No","Unmatched - Investigate",IF(ABS(D170-E170)&gt;Assumptions!$B$6,"Mismatch - Amount Differs","Matched"))</f>
        <v>Mismatch - Amount Differs</v>
      </c>
    </row>
    <row r="171" customFormat="false" ht="15" hidden="false" customHeight="false" outlineLevel="0" collapsed="false">
      <c r="A171" s="16" t="str">
        <f aca="false">Payment_Log_AP!A167</f>
        <v>PAY40166</v>
      </c>
      <c r="B171" s="16" t="str">
        <f aca="false">Payment_Log_AP!C167</f>
        <v>V1008</v>
      </c>
      <c r="C171" s="17" t="n">
        <f aca="false">Payment_Log_AP!D167</f>
        <v>46108</v>
      </c>
      <c r="D171" s="18" t="n">
        <f aca="false">Payment_Log_AP!E167</f>
        <v>795.03</v>
      </c>
      <c r="E171" s="18" t="n">
        <f aca="false">IFERROR(INDEX(Bank_Statement!$C$2:$C$783,MATCH(A171,Bank_Statement!$E$2:$E$783,0)),"")</f>
        <v>-795.03</v>
      </c>
      <c r="F171" s="16" t="str">
        <f aca="false">IF(E171="","No","Yes")</f>
        <v>Yes</v>
      </c>
      <c r="G171" s="18" t="n">
        <f aca="false">IF(F171="No","N/A",D171-E171)</f>
        <v>1590.06</v>
      </c>
      <c r="H171" s="16" t="str">
        <f aca="false">IF(F171="No","Unmatched - Investigate",IF(ABS(D171-E171)&gt;Assumptions!$B$6,"Mismatch - Amount Differs","Matched"))</f>
        <v>Mismatch - Amount Differs</v>
      </c>
    </row>
    <row r="172" customFormat="false" ht="15" hidden="false" customHeight="false" outlineLevel="0" collapsed="false">
      <c r="A172" s="16" t="str">
        <f aca="false">Payment_Log_AP!A168</f>
        <v>PAY40167</v>
      </c>
      <c r="B172" s="16" t="str">
        <f aca="false">Payment_Log_AP!C168</f>
        <v>V1038</v>
      </c>
      <c r="C172" s="17" t="n">
        <f aca="false">Payment_Log_AP!D168</f>
        <v>46047</v>
      </c>
      <c r="D172" s="18" t="n">
        <f aca="false">Payment_Log_AP!E168</f>
        <v>1829.81</v>
      </c>
      <c r="E172" s="18" t="n">
        <f aca="false">IFERROR(INDEX(Bank_Statement!$C$2:$C$783,MATCH(A172,Bank_Statement!$E$2:$E$783,0)),"")</f>
        <v>-1829.81</v>
      </c>
      <c r="F172" s="16" t="str">
        <f aca="false">IF(E172="","No","Yes")</f>
        <v>Yes</v>
      </c>
      <c r="G172" s="18" t="n">
        <f aca="false">IF(F172="No","N/A",D172-E172)</f>
        <v>3659.62</v>
      </c>
      <c r="H172" s="16" t="str">
        <f aca="false">IF(F172="No","Unmatched - Investigate",IF(ABS(D172-E172)&gt;Assumptions!$B$6,"Mismatch - Amount Differs","Matched"))</f>
        <v>Mismatch - Amount Differs</v>
      </c>
    </row>
    <row r="173" customFormat="false" ht="15" hidden="false" customHeight="false" outlineLevel="0" collapsed="false">
      <c r="A173" s="16" t="str">
        <f aca="false">Payment_Log_AP!A169</f>
        <v>PAY40168</v>
      </c>
      <c r="B173" s="16" t="str">
        <f aca="false">Payment_Log_AP!C169</f>
        <v>V1017</v>
      </c>
      <c r="C173" s="17" t="n">
        <f aca="false">Payment_Log_AP!D169</f>
        <v>46089</v>
      </c>
      <c r="D173" s="18" t="n">
        <f aca="false">Payment_Log_AP!E169</f>
        <v>3612.23</v>
      </c>
      <c r="E173" s="18" t="n">
        <f aca="false">IFERROR(INDEX(Bank_Statement!$C$2:$C$783,MATCH(A173,Bank_Statement!$E$2:$E$783,0)),"")</f>
        <v>-3612.23</v>
      </c>
      <c r="F173" s="16" t="str">
        <f aca="false">IF(E173="","No","Yes")</f>
        <v>Yes</v>
      </c>
      <c r="G173" s="18" t="n">
        <f aca="false">IF(F173="No","N/A",D173-E173)</f>
        <v>7224.46</v>
      </c>
      <c r="H173" s="16" t="str">
        <f aca="false">IF(F173="No","Unmatched - Investigate",IF(ABS(D173-E173)&gt;Assumptions!$B$6,"Mismatch - Amount Differs","Matched"))</f>
        <v>Mismatch - Amount Differs</v>
      </c>
    </row>
    <row r="174" customFormat="false" ht="15" hidden="false" customHeight="false" outlineLevel="0" collapsed="false">
      <c r="A174" s="16" t="str">
        <f aca="false">Payment_Log_AP!A170</f>
        <v>PAY40169</v>
      </c>
      <c r="B174" s="16" t="str">
        <f aca="false">Payment_Log_AP!C170</f>
        <v>V1008</v>
      </c>
      <c r="C174" s="17" t="n">
        <f aca="false">Payment_Log_AP!D170</f>
        <v>45789</v>
      </c>
      <c r="D174" s="18" t="n">
        <f aca="false">Payment_Log_AP!E170</f>
        <v>1825.14</v>
      </c>
      <c r="E174" s="18" t="n">
        <f aca="false">IFERROR(INDEX(Bank_Statement!$C$2:$C$783,MATCH(A174,Bank_Statement!$E$2:$E$783,0)),"")</f>
        <v>-1825.14</v>
      </c>
      <c r="F174" s="16" t="str">
        <f aca="false">IF(E174="","No","Yes")</f>
        <v>Yes</v>
      </c>
      <c r="G174" s="18" t="n">
        <f aca="false">IF(F174="No","N/A",D174-E174)</f>
        <v>3650.28</v>
      </c>
      <c r="H174" s="16" t="str">
        <f aca="false">IF(F174="No","Unmatched - Investigate",IF(ABS(D174-E174)&gt;Assumptions!$B$6,"Mismatch - Amount Differs","Matched"))</f>
        <v>Mismatch - Amount Differs</v>
      </c>
    </row>
    <row r="175" customFormat="false" ht="15" hidden="false" customHeight="false" outlineLevel="0" collapsed="false">
      <c r="A175" s="16" t="str">
        <f aca="false">Payment_Log_AP!A171</f>
        <v>PAY40170</v>
      </c>
      <c r="B175" s="16" t="str">
        <f aca="false">Payment_Log_AP!C171</f>
        <v>V1022</v>
      </c>
      <c r="C175" s="17" t="n">
        <f aca="false">Payment_Log_AP!D171</f>
        <v>45684</v>
      </c>
      <c r="D175" s="18" t="n">
        <f aca="false">Payment_Log_AP!E171</f>
        <v>21706.69</v>
      </c>
      <c r="E175" s="18" t="n">
        <f aca="false">IFERROR(INDEX(Bank_Statement!$C$2:$C$783,MATCH(A175,Bank_Statement!$E$2:$E$783,0)),"")</f>
        <v>-21706.69</v>
      </c>
      <c r="F175" s="16" t="str">
        <f aca="false">IF(E175="","No","Yes")</f>
        <v>Yes</v>
      </c>
      <c r="G175" s="18" t="n">
        <f aca="false">IF(F175="No","N/A",D175-E175)</f>
        <v>43413.38</v>
      </c>
      <c r="H175" s="16" t="str">
        <f aca="false">IF(F175="No","Unmatched - Investigate",IF(ABS(D175-E175)&gt;Assumptions!$B$6,"Mismatch - Amount Differs","Matched"))</f>
        <v>Mismatch - Amount Differs</v>
      </c>
    </row>
    <row r="176" customFormat="false" ht="15" hidden="false" customHeight="false" outlineLevel="0" collapsed="false">
      <c r="A176" s="16" t="str">
        <f aca="false">Payment_Log_AP!A172</f>
        <v>PAY40171</v>
      </c>
      <c r="B176" s="16" t="str">
        <f aca="false">Payment_Log_AP!C172</f>
        <v>V1011</v>
      </c>
      <c r="C176" s="17" t="n">
        <f aca="false">Payment_Log_AP!D172</f>
        <v>45778</v>
      </c>
      <c r="D176" s="18" t="n">
        <f aca="false">Payment_Log_AP!E172</f>
        <v>342.72</v>
      </c>
      <c r="E176" s="18" t="n">
        <f aca="false">IFERROR(INDEX(Bank_Statement!$C$2:$C$783,MATCH(A176,Bank_Statement!$E$2:$E$783,0)),"")</f>
        <v>-342.72</v>
      </c>
      <c r="F176" s="16" t="str">
        <f aca="false">IF(E176="","No","Yes")</f>
        <v>Yes</v>
      </c>
      <c r="G176" s="18" t="n">
        <f aca="false">IF(F176="No","N/A",D176-E176)</f>
        <v>685.44</v>
      </c>
      <c r="H176" s="16" t="str">
        <f aca="false">IF(F176="No","Unmatched - Investigate",IF(ABS(D176-E176)&gt;Assumptions!$B$6,"Mismatch - Amount Differs","Matched"))</f>
        <v>Mismatch - Amount Differs</v>
      </c>
    </row>
    <row r="177" customFormat="false" ht="15" hidden="false" customHeight="false" outlineLevel="0" collapsed="false">
      <c r="A177" s="16" t="str">
        <f aca="false">Payment_Log_AP!A173</f>
        <v>PAY40172</v>
      </c>
      <c r="B177" s="16" t="str">
        <f aca="false">Payment_Log_AP!C173</f>
        <v>V1007</v>
      </c>
      <c r="C177" s="17" t="n">
        <f aca="false">Payment_Log_AP!D173</f>
        <v>45738</v>
      </c>
      <c r="D177" s="18" t="n">
        <f aca="false">Payment_Log_AP!E173</f>
        <v>781.51</v>
      </c>
      <c r="E177" s="18" t="n">
        <f aca="false">IFERROR(INDEX(Bank_Statement!$C$2:$C$783,MATCH(A177,Bank_Statement!$E$2:$E$783,0)),"")</f>
        <v>-781.51</v>
      </c>
      <c r="F177" s="16" t="str">
        <f aca="false">IF(E177="","No","Yes")</f>
        <v>Yes</v>
      </c>
      <c r="G177" s="18" t="n">
        <f aca="false">IF(F177="No","N/A",D177-E177)</f>
        <v>1563.02</v>
      </c>
      <c r="H177" s="16" t="str">
        <f aca="false">IF(F177="No","Unmatched - Investigate",IF(ABS(D177-E177)&gt;Assumptions!$B$6,"Mismatch - Amount Differs","Matched"))</f>
        <v>Mismatch - Amount Differs</v>
      </c>
    </row>
    <row r="178" customFormat="false" ht="15" hidden="false" customHeight="false" outlineLevel="0" collapsed="false">
      <c r="A178" s="16" t="str">
        <f aca="false">Payment_Log_AP!A174</f>
        <v>PAY40173</v>
      </c>
      <c r="B178" s="16" t="str">
        <f aca="false">Payment_Log_AP!C174</f>
        <v>V1021</v>
      </c>
      <c r="C178" s="17" t="n">
        <f aca="false">Payment_Log_AP!D174</f>
        <v>46055</v>
      </c>
      <c r="D178" s="18" t="n">
        <f aca="false">Payment_Log_AP!E174</f>
        <v>5652.95</v>
      </c>
      <c r="E178" s="18" t="n">
        <f aca="false">IFERROR(INDEX(Bank_Statement!$C$2:$C$783,MATCH(A178,Bank_Statement!$E$2:$E$783,0)),"")</f>
        <v>-5652.95</v>
      </c>
      <c r="F178" s="16" t="str">
        <f aca="false">IF(E178="","No","Yes")</f>
        <v>Yes</v>
      </c>
      <c r="G178" s="18" t="n">
        <f aca="false">IF(F178="No","N/A",D178-E178)</f>
        <v>11305.9</v>
      </c>
      <c r="H178" s="16" t="str">
        <f aca="false">IF(F178="No","Unmatched - Investigate",IF(ABS(D178-E178)&gt;Assumptions!$B$6,"Mismatch - Amount Differs","Matched"))</f>
        <v>Mismatch - Amount Differs</v>
      </c>
    </row>
    <row r="179" customFormat="false" ht="15" hidden="false" customHeight="false" outlineLevel="0" collapsed="false">
      <c r="A179" s="16" t="str">
        <f aca="false">Payment_Log_AP!A175</f>
        <v>PAY40174</v>
      </c>
      <c r="B179" s="16" t="str">
        <f aca="false">Payment_Log_AP!C175</f>
        <v>V1010</v>
      </c>
      <c r="C179" s="17" t="n">
        <f aca="false">Payment_Log_AP!D175</f>
        <v>45996</v>
      </c>
      <c r="D179" s="18" t="n">
        <f aca="false">Payment_Log_AP!E175</f>
        <v>133.11</v>
      </c>
      <c r="E179" s="18" t="n">
        <f aca="false">IFERROR(INDEX(Bank_Statement!$C$2:$C$783,MATCH(A179,Bank_Statement!$E$2:$E$783,0)),"")</f>
        <v>-133.11</v>
      </c>
      <c r="F179" s="16" t="str">
        <f aca="false">IF(E179="","No","Yes")</f>
        <v>Yes</v>
      </c>
      <c r="G179" s="18" t="n">
        <f aca="false">IF(F179="No","N/A",D179-E179)</f>
        <v>266.22</v>
      </c>
      <c r="H179" s="16" t="str">
        <f aca="false">IF(F179="No","Unmatched - Investigate",IF(ABS(D179-E179)&gt;Assumptions!$B$6,"Mismatch - Amount Differs","Matched"))</f>
        <v>Mismatch - Amount Differs</v>
      </c>
    </row>
    <row r="180" customFormat="false" ht="15" hidden="false" customHeight="false" outlineLevel="0" collapsed="false">
      <c r="A180" s="16" t="str">
        <f aca="false">Payment_Log_AP!A176</f>
        <v>PAY40175</v>
      </c>
      <c r="B180" s="16" t="str">
        <f aca="false">Payment_Log_AP!C176</f>
        <v>V1013</v>
      </c>
      <c r="C180" s="17" t="n">
        <f aca="false">Payment_Log_AP!D176</f>
        <v>45809</v>
      </c>
      <c r="D180" s="18" t="n">
        <f aca="false">Payment_Log_AP!E176</f>
        <v>17090.48</v>
      </c>
      <c r="E180" s="18" t="n">
        <f aca="false">IFERROR(INDEX(Bank_Statement!$C$2:$C$783,MATCH(A180,Bank_Statement!$E$2:$E$783,0)),"")</f>
        <v>-17090.48</v>
      </c>
      <c r="F180" s="16" t="str">
        <f aca="false">IF(E180="","No","Yes")</f>
        <v>Yes</v>
      </c>
      <c r="G180" s="18" t="n">
        <f aca="false">IF(F180="No","N/A",D180-E180)</f>
        <v>34180.96</v>
      </c>
      <c r="H180" s="16" t="str">
        <f aca="false">IF(F180="No","Unmatched - Investigate",IF(ABS(D180-E180)&gt;Assumptions!$B$6,"Mismatch - Amount Differs","Matched"))</f>
        <v>Mismatch - Amount Differs</v>
      </c>
    </row>
    <row r="181" customFormat="false" ht="15" hidden="false" customHeight="false" outlineLevel="0" collapsed="false">
      <c r="A181" s="16" t="str">
        <f aca="false">Payment_Log_AP!A177</f>
        <v>PAY40176</v>
      </c>
      <c r="B181" s="16" t="str">
        <f aca="false">Payment_Log_AP!C177</f>
        <v>V1015</v>
      </c>
      <c r="C181" s="17" t="n">
        <f aca="false">Payment_Log_AP!D177</f>
        <v>46094</v>
      </c>
      <c r="D181" s="18" t="n">
        <f aca="false">Payment_Log_AP!E177</f>
        <v>8157.32</v>
      </c>
      <c r="E181" s="18" t="n">
        <f aca="false">IFERROR(INDEX(Bank_Statement!$C$2:$C$783,MATCH(A181,Bank_Statement!$E$2:$E$783,0)),"")</f>
        <v>-8157.32</v>
      </c>
      <c r="F181" s="16" t="str">
        <f aca="false">IF(E181="","No","Yes")</f>
        <v>Yes</v>
      </c>
      <c r="G181" s="18" t="n">
        <f aca="false">IF(F181="No","N/A",D181-E181)</f>
        <v>16314.64</v>
      </c>
      <c r="H181" s="16" t="str">
        <f aca="false">IF(F181="No","Unmatched - Investigate",IF(ABS(D181-E181)&gt;Assumptions!$B$6,"Mismatch - Amount Differs","Matched"))</f>
        <v>Mismatch - Amount Differs</v>
      </c>
    </row>
    <row r="182" customFormat="false" ht="15" hidden="false" customHeight="false" outlineLevel="0" collapsed="false">
      <c r="A182" s="16" t="str">
        <f aca="false">Payment_Log_AP!A178</f>
        <v>PAY40177</v>
      </c>
      <c r="B182" s="16" t="str">
        <f aca="false">Payment_Log_AP!C178</f>
        <v>V1018</v>
      </c>
      <c r="C182" s="17" t="n">
        <f aca="false">Payment_Log_AP!D178</f>
        <v>46118</v>
      </c>
      <c r="D182" s="18" t="n">
        <f aca="false">Payment_Log_AP!E178</f>
        <v>547.49</v>
      </c>
      <c r="E182" s="18" t="n">
        <f aca="false">IFERROR(INDEX(Bank_Statement!$C$2:$C$783,MATCH(A182,Bank_Statement!$E$2:$E$783,0)),"")</f>
        <v>-547.49</v>
      </c>
      <c r="F182" s="16" t="str">
        <f aca="false">IF(E182="","No","Yes")</f>
        <v>Yes</v>
      </c>
      <c r="G182" s="18" t="n">
        <f aca="false">IF(F182="No","N/A",D182-E182)</f>
        <v>1094.98</v>
      </c>
      <c r="H182" s="16" t="str">
        <f aca="false">IF(F182="No","Unmatched - Investigate",IF(ABS(D182-E182)&gt;Assumptions!$B$6,"Mismatch - Amount Differs","Matched"))</f>
        <v>Mismatch - Amount Differs</v>
      </c>
    </row>
    <row r="183" customFormat="false" ht="15" hidden="false" customHeight="false" outlineLevel="0" collapsed="false">
      <c r="A183" s="16" t="str">
        <f aca="false">Payment_Log_AP!A179</f>
        <v>PAY40178</v>
      </c>
      <c r="B183" s="16" t="str">
        <f aca="false">Payment_Log_AP!C179</f>
        <v>V1036</v>
      </c>
      <c r="C183" s="17" t="n">
        <f aca="false">Payment_Log_AP!D179</f>
        <v>45769</v>
      </c>
      <c r="D183" s="18" t="n">
        <f aca="false">Payment_Log_AP!E179</f>
        <v>10027.78</v>
      </c>
      <c r="E183" s="18" t="n">
        <f aca="false">IFERROR(INDEX(Bank_Statement!$C$2:$C$783,MATCH(A183,Bank_Statement!$E$2:$E$783,0)),"")</f>
        <v>-10027.78</v>
      </c>
      <c r="F183" s="16" t="str">
        <f aca="false">IF(E183="","No","Yes")</f>
        <v>Yes</v>
      </c>
      <c r="G183" s="18" t="n">
        <f aca="false">IF(F183="No","N/A",D183-E183)</f>
        <v>20055.56</v>
      </c>
      <c r="H183" s="16" t="str">
        <f aca="false">IF(F183="No","Unmatched - Investigate",IF(ABS(D183-E183)&gt;Assumptions!$B$6,"Mismatch - Amount Differs","Matched"))</f>
        <v>Mismatch - Amount Differs</v>
      </c>
    </row>
    <row r="184" customFormat="false" ht="15" hidden="false" customHeight="false" outlineLevel="0" collapsed="false">
      <c r="A184" s="16" t="str">
        <f aca="false">Payment_Log_AP!A180</f>
        <v>PAY40179</v>
      </c>
      <c r="B184" s="16" t="str">
        <f aca="false">Payment_Log_AP!C180</f>
        <v>V1031</v>
      </c>
      <c r="C184" s="17" t="n">
        <f aca="false">Payment_Log_AP!D180</f>
        <v>46034</v>
      </c>
      <c r="D184" s="18" t="n">
        <f aca="false">Payment_Log_AP!E180</f>
        <v>3961.93</v>
      </c>
      <c r="E184" s="18" t="n">
        <f aca="false">IFERROR(INDEX(Bank_Statement!$C$2:$C$783,MATCH(A184,Bank_Statement!$E$2:$E$783,0)),"")</f>
        <v>-3961.93</v>
      </c>
      <c r="F184" s="16" t="str">
        <f aca="false">IF(E184="","No","Yes")</f>
        <v>Yes</v>
      </c>
      <c r="G184" s="18" t="n">
        <f aca="false">IF(F184="No","N/A",D184-E184)</f>
        <v>7923.86</v>
      </c>
      <c r="H184" s="16" t="str">
        <f aca="false">IF(F184="No","Unmatched - Investigate",IF(ABS(D184-E184)&gt;Assumptions!$B$6,"Mismatch - Amount Differs","Matched"))</f>
        <v>Mismatch - Amount Differs</v>
      </c>
    </row>
    <row r="185" customFormat="false" ht="15" hidden="false" customHeight="false" outlineLevel="0" collapsed="false">
      <c r="A185" s="16" t="str">
        <f aca="false">Payment_Log_AP!A181</f>
        <v>PAY40180</v>
      </c>
      <c r="B185" s="16" t="str">
        <f aca="false">Payment_Log_AP!C181</f>
        <v>V1036</v>
      </c>
      <c r="C185" s="17" t="n">
        <f aca="false">Payment_Log_AP!D181</f>
        <v>46082</v>
      </c>
      <c r="D185" s="18" t="n">
        <f aca="false">Payment_Log_AP!E181</f>
        <v>2554.75</v>
      </c>
      <c r="E185" s="18" t="n">
        <f aca="false">IFERROR(INDEX(Bank_Statement!$C$2:$C$783,MATCH(A185,Bank_Statement!$E$2:$E$783,0)),"")</f>
        <v>-2554.75</v>
      </c>
      <c r="F185" s="16" t="str">
        <f aca="false">IF(E185="","No","Yes")</f>
        <v>Yes</v>
      </c>
      <c r="G185" s="18" t="n">
        <f aca="false">IF(F185="No","N/A",D185-E185)</f>
        <v>5109.5</v>
      </c>
      <c r="H185" s="16" t="str">
        <f aca="false">IF(F185="No","Unmatched - Investigate",IF(ABS(D185-E185)&gt;Assumptions!$B$6,"Mismatch - Amount Differs","Matched"))</f>
        <v>Mismatch - Amount Differs</v>
      </c>
    </row>
    <row r="186" customFormat="false" ht="15" hidden="false" customHeight="false" outlineLevel="0" collapsed="false">
      <c r="A186" s="16" t="str">
        <f aca="false">Payment_Log_AP!A182</f>
        <v>PAY40181</v>
      </c>
      <c r="B186" s="16" t="str">
        <f aca="false">Payment_Log_AP!C182</f>
        <v>V1036</v>
      </c>
      <c r="C186" s="17" t="n">
        <f aca="false">Payment_Log_AP!D182</f>
        <v>45739</v>
      </c>
      <c r="D186" s="18" t="n">
        <f aca="false">Payment_Log_AP!E182</f>
        <v>1471.18</v>
      </c>
      <c r="E186" s="18" t="n">
        <f aca="false">IFERROR(INDEX(Bank_Statement!$C$2:$C$783,MATCH(A186,Bank_Statement!$E$2:$E$783,0)),"")</f>
        <v>-1471.18</v>
      </c>
      <c r="F186" s="16" t="str">
        <f aca="false">IF(E186="","No","Yes")</f>
        <v>Yes</v>
      </c>
      <c r="G186" s="18" t="n">
        <f aca="false">IF(F186="No","N/A",D186-E186)</f>
        <v>2942.36</v>
      </c>
      <c r="H186" s="16" t="str">
        <f aca="false">IF(F186="No","Unmatched - Investigate",IF(ABS(D186-E186)&gt;Assumptions!$B$6,"Mismatch - Amount Differs","Matched"))</f>
        <v>Mismatch - Amount Differs</v>
      </c>
    </row>
    <row r="187" customFormat="false" ht="15" hidden="false" customHeight="false" outlineLevel="0" collapsed="false">
      <c r="A187" s="16" t="str">
        <f aca="false">Payment_Log_AP!A183</f>
        <v>PAY40182</v>
      </c>
      <c r="B187" s="16" t="str">
        <f aca="false">Payment_Log_AP!C183</f>
        <v>V1006</v>
      </c>
      <c r="C187" s="17" t="n">
        <f aca="false">Payment_Log_AP!D183</f>
        <v>46143</v>
      </c>
      <c r="D187" s="18" t="n">
        <f aca="false">Payment_Log_AP!E183</f>
        <v>682.63</v>
      </c>
      <c r="E187" s="18" t="n">
        <f aca="false">IFERROR(INDEX(Bank_Statement!$C$2:$C$783,MATCH(A187,Bank_Statement!$E$2:$E$783,0)),"")</f>
        <v>-682.63</v>
      </c>
      <c r="F187" s="16" t="str">
        <f aca="false">IF(E187="","No","Yes")</f>
        <v>Yes</v>
      </c>
      <c r="G187" s="18" t="n">
        <f aca="false">IF(F187="No","N/A",D187-E187)</f>
        <v>1365.26</v>
      </c>
      <c r="H187" s="16" t="str">
        <f aca="false">IF(F187="No","Unmatched - Investigate",IF(ABS(D187-E187)&gt;Assumptions!$B$6,"Mismatch - Amount Differs","Matched"))</f>
        <v>Mismatch - Amount Differs</v>
      </c>
    </row>
    <row r="188" customFormat="false" ht="15" hidden="false" customHeight="false" outlineLevel="0" collapsed="false">
      <c r="A188" s="16" t="str">
        <f aca="false">Payment_Log_AP!A184</f>
        <v>PAY40183</v>
      </c>
      <c r="B188" s="16" t="str">
        <f aca="false">Payment_Log_AP!C184</f>
        <v>V1020</v>
      </c>
      <c r="C188" s="17" t="n">
        <f aca="false">Payment_Log_AP!D184</f>
        <v>45760</v>
      </c>
      <c r="D188" s="18" t="n">
        <f aca="false">Payment_Log_AP!E184</f>
        <v>7251.89</v>
      </c>
      <c r="E188" s="18" t="n">
        <f aca="false">IFERROR(INDEX(Bank_Statement!$C$2:$C$783,MATCH(A188,Bank_Statement!$E$2:$E$783,0)),"")</f>
        <v>-7251.89</v>
      </c>
      <c r="F188" s="16" t="str">
        <f aca="false">IF(E188="","No","Yes")</f>
        <v>Yes</v>
      </c>
      <c r="G188" s="18" t="n">
        <f aca="false">IF(F188="No","N/A",D188-E188)</f>
        <v>14503.78</v>
      </c>
      <c r="H188" s="16" t="str">
        <f aca="false">IF(F188="No","Unmatched - Investigate",IF(ABS(D188-E188)&gt;Assumptions!$B$6,"Mismatch - Amount Differs","Matched"))</f>
        <v>Mismatch - Amount Differs</v>
      </c>
    </row>
    <row r="189" customFormat="false" ht="15" hidden="false" customHeight="false" outlineLevel="0" collapsed="false">
      <c r="A189" s="16" t="str">
        <f aca="false">Payment_Log_AP!A185</f>
        <v>PAY40184</v>
      </c>
      <c r="B189" s="16" t="str">
        <f aca="false">Payment_Log_AP!C185</f>
        <v>V1009</v>
      </c>
      <c r="C189" s="17" t="n">
        <f aca="false">Payment_Log_AP!D185</f>
        <v>45708</v>
      </c>
      <c r="D189" s="18" t="n">
        <f aca="false">Payment_Log_AP!E185</f>
        <v>4929.33</v>
      </c>
      <c r="E189" s="18" t="n">
        <f aca="false">IFERROR(INDEX(Bank_Statement!$C$2:$C$783,MATCH(A189,Bank_Statement!$E$2:$E$783,0)),"")</f>
        <v>-4929.33</v>
      </c>
      <c r="F189" s="16" t="str">
        <f aca="false">IF(E189="","No","Yes")</f>
        <v>Yes</v>
      </c>
      <c r="G189" s="18" t="n">
        <f aca="false">IF(F189="No","N/A",D189-E189)</f>
        <v>9858.66</v>
      </c>
      <c r="H189" s="16" t="str">
        <f aca="false">IF(F189="No","Unmatched - Investigate",IF(ABS(D189-E189)&gt;Assumptions!$B$6,"Mismatch - Amount Differs","Matched"))</f>
        <v>Mismatch - Amount Differs</v>
      </c>
    </row>
    <row r="190" customFormat="false" ht="15" hidden="false" customHeight="false" outlineLevel="0" collapsed="false">
      <c r="A190" s="16" t="str">
        <f aca="false">Payment_Log_AP!A186</f>
        <v>PAY40185</v>
      </c>
      <c r="B190" s="16" t="str">
        <f aca="false">Payment_Log_AP!C186</f>
        <v>V1005</v>
      </c>
      <c r="C190" s="17" t="n">
        <f aca="false">Payment_Log_AP!D186</f>
        <v>46058</v>
      </c>
      <c r="D190" s="18" t="n">
        <f aca="false">Payment_Log_AP!E186</f>
        <v>1074.95</v>
      </c>
      <c r="E190" s="18" t="n">
        <f aca="false">IFERROR(INDEX(Bank_Statement!$C$2:$C$783,MATCH(A190,Bank_Statement!$E$2:$E$783,0)),"")</f>
        <v>-1074.95</v>
      </c>
      <c r="F190" s="16" t="str">
        <f aca="false">IF(E190="","No","Yes")</f>
        <v>Yes</v>
      </c>
      <c r="G190" s="18" t="n">
        <f aca="false">IF(F190="No","N/A",D190-E190)</f>
        <v>2149.9</v>
      </c>
      <c r="H190" s="16" t="str">
        <f aca="false">IF(F190="No","Unmatched - Investigate",IF(ABS(D190-E190)&gt;Assumptions!$B$6,"Mismatch - Amount Differs","Matched"))</f>
        <v>Mismatch - Amount Differs</v>
      </c>
    </row>
    <row r="191" customFormat="false" ht="15" hidden="false" customHeight="false" outlineLevel="0" collapsed="false">
      <c r="A191" s="16" t="str">
        <f aca="false">Payment_Log_AP!A187</f>
        <v>PAY40186</v>
      </c>
      <c r="B191" s="16" t="str">
        <f aca="false">Payment_Log_AP!C187</f>
        <v>V1034</v>
      </c>
      <c r="C191" s="17" t="n">
        <f aca="false">Payment_Log_AP!D187</f>
        <v>45929</v>
      </c>
      <c r="D191" s="18" t="n">
        <f aca="false">Payment_Log_AP!E187</f>
        <v>759.35</v>
      </c>
      <c r="E191" s="18" t="n">
        <f aca="false">IFERROR(INDEX(Bank_Statement!$C$2:$C$783,MATCH(A191,Bank_Statement!$E$2:$E$783,0)),"")</f>
        <v>-759.35</v>
      </c>
      <c r="F191" s="16" t="str">
        <f aca="false">IF(E191="","No","Yes")</f>
        <v>Yes</v>
      </c>
      <c r="G191" s="18" t="n">
        <f aca="false">IF(F191="No","N/A",D191-E191)</f>
        <v>1518.7</v>
      </c>
      <c r="H191" s="16" t="str">
        <f aca="false">IF(F191="No","Unmatched - Investigate",IF(ABS(D191-E191)&gt;Assumptions!$B$6,"Mismatch - Amount Differs","Matched"))</f>
        <v>Mismatch - Amount Differs</v>
      </c>
    </row>
    <row r="192" customFormat="false" ht="15" hidden="false" customHeight="false" outlineLevel="0" collapsed="false">
      <c r="A192" s="16" t="str">
        <f aca="false">Payment_Log_AP!A188</f>
        <v>PAY40187</v>
      </c>
      <c r="B192" s="16" t="str">
        <f aca="false">Payment_Log_AP!C188</f>
        <v>V1030</v>
      </c>
      <c r="C192" s="17" t="n">
        <f aca="false">Payment_Log_AP!D188</f>
        <v>46056</v>
      </c>
      <c r="D192" s="18" t="n">
        <f aca="false">Payment_Log_AP!E188</f>
        <v>2745.78</v>
      </c>
      <c r="E192" s="18" t="n">
        <f aca="false">IFERROR(INDEX(Bank_Statement!$C$2:$C$783,MATCH(A192,Bank_Statement!$E$2:$E$783,0)),"")</f>
        <v>-2745.78</v>
      </c>
      <c r="F192" s="16" t="str">
        <f aca="false">IF(E192="","No","Yes")</f>
        <v>Yes</v>
      </c>
      <c r="G192" s="18" t="n">
        <f aca="false">IF(F192="No","N/A",D192-E192)</f>
        <v>5491.56</v>
      </c>
      <c r="H192" s="16" t="str">
        <f aca="false">IF(F192="No","Unmatched - Investigate",IF(ABS(D192-E192)&gt;Assumptions!$B$6,"Mismatch - Amount Differs","Matched"))</f>
        <v>Mismatch - Amount Differs</v>
      </c>
    </row>
    <row r="193" customFormat="false" ht="15" hidden="false" customHeight="false" outlineLevel="0" collapsed="false">
      <c r="A193" s="16" t="str">
        <f aca="false">Payment_Log_AP!A189</f>
        <v>PAY40188</v>
      </c>
      <c r="B193" s="16" t="str">
        <f aca="false">Payment_Log_AP!C189</f>
        <v>V1011</v>
      </c>
      <c r="C193" s="17" t="n">
        <f aca="false">Payment_Log_AP!D189</f>
        <v>45713</v>
      </c>
      <c r="D193" s="18" t="n">
        <f aca="false">Payment_Log_AP!E189</f>
        <v>1562.55</v>
      </c>
      <c r="E193" s="18" t="n">
        <f aca="false">IFERROR(INDEX(Bank_Statement!$C$2:$C$783,MATCH(A193,Bank_Statement!$E$2:$E$783,0)),"")</f>
        <v>-1562.55</v>
      </c>
      <c r="F193" s="16" t="str">
        <f aca="false">IF(E193="","No","Yes")</f>
        <v>Yes</v>
      </c>
      <c r="G193" s="18" t="n">
        <f aca="false">IF(F193="No","N/A",D193-E193)</f>
        <v>3125.1</v>
      </c>
      <c r="H193" s="16" t="str">
        <f aca="false">IF(F193="No","Unmatched - Investigate",IF(ABS(D193-E193)&gt;Assumptions!$B$6,"Mismatch - Amount Differs","Matched"))</f>
        <v>Mismatch - Amount Differs</v>
      </c>
    </row>
    <row r="194" customFormat="false" ht="15" hidden="false" customHeight="false" outlineLevel="0" collapsed="false">
      <c r="A194" s="16" t="str">
        <f aca="false">Payment_Log_AP!A190</f>
        <v>PAY40189</v>
      </c>
      <c r="B194" s="16" t="str">
        <f aca="false">Payment_Log_AP!C190</f>
        <v>V1020</v>
      </c>
      <c r="C194" s="17" t="n">
        <f aca="false">Payment_Log_AP!D190</f>
        <v>46072</v>
      </c>
      <c r="D194" s="18" t="n">
        <f aca="false">Payment_Log_AP!E190</f>
        <v>1854.08</v>
      </c>
      <c r="E194" s="18" t="n">
        <f aca="false">IFERROR(INDEX(Bank_Statement!$C$2:$C$783,MATCH(A194,Bank_Statement!$E$2:$E$783,0)),"")</f>
        <v>-1854.08</v>
      </c>
      <c r="F194" s="16" t="str">
        <f aca="false">IF(E194="","No","Yes")</f>
        <v>Yes</v>
      </c>
      <c r="G194" s="18" t="n">
        <f aca="false">IF(F194="No","N/A",D194-E194)</f>
        <v>3708.16</v>
      </c>
      <c r="H194" s="16" t="str">
        <f aca="false">IF(F194="No","Unmatched - Investigate",IF(ABS(D194-E194)&gt;Assumptions!$B$6,"Mismatch - Amount Differs","Matched"))</f>
        <v>Mismatch - Amount Differs</v>
      </c>
    </row>
    <row r="195" customFormat="false" ht="15" hidden="false" customHeight="false" outlineLevel="0" collapsed="false">
      <c r="A195" s="16" t="str">
        <f aca="false">Payment_Log_AP!A191</f>
        <v>PAY40190</v>
      </c>
      <c r="B195" s="16" t="str">
        <f aca="false">Payment_Log_AP!C191</f>
        <v>V1015</v>
      </c>
      <c r="C195" s="17" t="n">
        <f aca="false">Payment_Log_AP!D191</f>
        <v>46035</v>
      </c>
      <c r="D195" s="18" t="n">
        <f aca="false">Payment_Log_AP!E191</f>
        <v>4069.45</v>
      </c>
      <c r="E195" s="18" t="n">
        <f aca="false">IFERROR(INDEX(Bank_Statement!$C$2:$C$783,MATCH(A195,Bank_Statement!$E$2:$E$783,0)),"")</f>
        <v>-4069.45</v>
      </c>
      <c r="F195" s="16" t="str">
        <f aca="false">IF(E195="","No","Yes")</f>
        <v>Yes</v>
      </c>
      <c r="G195" s="18" t="n">
        <f aca="false">IF(F195="No","N/A",D195-E195)</f>
        <v>8138.9</v>
      </c>
      <c r="H195" s="16" t="str">
        <f aca="false">IF(F195="No","Unmatched - Investigate",IF(ABS(D195-E195)&gt;Assumptions!$B$6,"Mismatch - Amount Differs","Matched"))</f>
        <v>Mismatch - Amount Differs</v>
      </c>
    </row>
    <row r="196" customFormat="false" ht="15" hidden="false" customHeight="false" outlineLevel="0" collapsed="false">
      <c r="A196" s="16" t="str">
        <f aca="false">Payment_Log_AP!A192</f>
        <v>PAY40191</v>
      </c>
      <c r="B196" s="16" t="str">
        <f aca="false">Payment_Log_AP!C192</f>
        <v>V1004</v>
      </c>
      <c r="C196" s="17" t="n">
        <f aca="false">Payment_Log_AP!D192</f>
        <v>45737</v>
      </c>
      <c r="D196" s="18" t="n">
        <f aca="false">Payment_Log_AP!E192</f>
        <v>2117.88</v>
      </c>
      <c r="E196" s="18" t="n">
        <f aca="false">IFERROR(INDEX(Bank_Statement!$C$2:$C$783,MATCH(A196,Bank_Statement!$E$2:$E$783,0)),"")</f>
        <v>-2117.88</v>
      </c>
      <c r="F196" s="16" t="str">
        <f aca="false">IF(E196="","No","Yes")</f>
        <v>Yes</v>
      </c>
      <c r="G196" s="18" t="n">
        <f aca="false">IF(F196="No","N/A",D196-E196)</f>
        <v>4235.76</v>
      </c>
      <c r="H196" s="16" t="str">
        <f aca="false">IF(F196="No","Unmatched - Investigate",IF(ABS(D196-E196)&gt;Assumptions!$B$6,"Mismatch - Amount Differs","Matched"))</f>
        <v>Mismatch - Amount Differs</v>
      </c>
    </row>
    <row r="197" customFormat="false" ht="15" hidden="false" customHeight="false" outlineLevel="0" collapsed="false">
      <c r="A197" s="16" t="str">
        <f aca="false">Payment_Log_AP!A193</f>
        <v>PAY40192</v>
      </c>
      <c r="B197" s="16" t="str">
        <f aca="false">Payment_Log_AP!C193</f>
        <v>V1004</v>
      </c>
      <c r="C197" s="17" t="n">
        <f aca="false">Payment_Log_AP!D193</f>
        <v>45739</v>
      </c>
      <c r="D197" s="18" t="n">
        <f aca="false">Payment_Log_AP!E193</f>
        <v>2117.88</v>
      </c>
      <c r="E197" s="18" t="n">
        <f aca="false">IFERROR(INDEX(Bank_Statement!$C$2:$C$783,MATCH(A197,Bank_Statement!$E$2:$E$783,0)),"")</f>
        <v>-2117.88</v>
      </c>
      <c r="F197" s="16" t="str">
        <f aca="false">IF(E197="","No","Yes")</f>
        <v>Yes</v>
      </c>
      <c r="G197" s="18" t="n">
        <f aca="false">IF(F197="No","N/A",D197-E197)</f>
        <v>4235.76</v>
      </c>
      <c r="H197" s="16" t="str">
        <f aca="false">IF(F197="No","Unmatched - Investigate",IF(ABS(D197-E197)&gt;Assumptions!$B$6,"Mismatch - Amount Differs","Matched"))</f>
        <v>Mismatch - Amount Differs</v>
      </c>
    </row>
    <row r="198" customFormat="false" ht="15" hidden="false" customHeight="false" outlineLevel="0" collapsed="false">
      <c r="A198" s="16" t="str">
        <f aca="false">Payment_Log_AP!A194</f>
        <v>PAY40193</v>
      </c>
      <c r="B198" s="16" t="str">
        <f aca="false">Payment_Log_AP!C194</f>
        <v>V1001</v>
      </c>
      <c r="C198" s="17" t="n">
        <f aca="false">Payment_Log_AP!D194</f>
        <v>46135</v>
      </c>
      <c r="D198" s="18" t="n">
        <f aca="false">Payment_Log_AP!E194</f>
        <v>266.54</v>
      </c>
      <c r="E198" s="18" t="n">
        <f aca="false">IFERROR(INDEX(Bank_Statement!$C$2:$C$783,MATCH(A198,Bank_Statement!$E$2:$E$783,0)),"")</f>
        <v>-266.54</v>
      </c>
      <c r="F198" s="16" t="str">
        <f aca="false">IF(E198="","No","Yes")</f>
        <v>Yes</v>
      </c>
      <c r="G198" s="18" t="n">
        <f aca="false">IF(F198="No","N/A",D198-E198)</f>
        <v>533.08</v>
      </c>
      <c r="H198" s="16" t="str">
        <f aca="false">IF(F198="No","Unmatched - Investigate",IF(ABS(D198-E198)&gt;Assumptions!$B$6,"Mismatch - Amount Differs","Matched"))</f>
        <v>Mismatch - Amount Differs</v>
      </c>
    </row>
    <row r="199" customFormat="false" ht="15" hidden="false" customHeight="false" outlineLevel="0" collapsed="false">
      <c r="A199" s="16" t="str">
        <f aca="false">Payment_Log_AP!A195</f>
        <v>PAY40194</v>
      </c>
      <c r="B199" s="16" t="str">
        <f aca="false">Payment_Log_AP!C195</f>
        <v>V1001</v>
      </c>
      <c r="C199" s="17" t="n">
        <f aca="false">Payment_Log_AP!D195</f>
        <v>46093</v>
      </c>
      <c r="D199" s="18" t="n">
        <f aca="false">Payment_Log_AP!E195</f>
        <v>266.54</v>
      </c>
      <c r="E199" s="18" t="n">
        <f aca="false">IFERROR(INDEX(Bank_Statement!$C$2:$C$783,MATCH(A199,Bank_Statement!$E$2:$E$783,0)),"")</f>
        <v>-266.54</v>
      </c>
      <c r="F199" s="16" t="str">
        <f aca="false">IF(E199="","No","Yes")</f>
        <v>Yes</v>
      </c>
      <c r="G199" s="18" t="n">
        <f aca="false">IF(F199="No","N/A",D199-E199)</f>
        <v>533.08</v>
      </c>
      <c r="H199" s="16" t="str">
        <f aca="false">IF(F199="No","Unmatched - Investigate",IF(ABS(D199-E199)&gt;Assumptions!$B$6,"Mismatch - Amount Differs","Matched"))</f>
        <v>Mismatch - Amount Differs</v>
      </c>
    </row>
    <row r="200" customFormat="false" ht="15" hidden="false" customHeight="false" outlineLevel="0" collapsed="false">
      <c r="A200" s="16" t="str">
        <f aca="false">Payment_Log_AP!A196</f>
        <v>PAY40195</v>
      </c>
      <c r="B200" s="16" t="str">
        <f aca="false">Payment_Log_AP!C196</f>
        <v>V1016</v>
      </c>
      <c r="C200" s="17" t="n">
        <f aca="false">Payment_Log_AP!D196</f>
        <v>46170</v>
      </c>
      <c r="D200" s="18" t="n">
        <f aca="false">Payment_Log_AP!E196</f>
        <v>1071.3</v>
      </c>
      <c r="E200" s="18" t="n">
        <f aca="false">IFERROR(INDEX(Bank_Statement!$C$2:$C$783,MATCH(A200,Bank_Statement!$E$2:$E$783,0)),"")</f>
        <v>-1071.3</v>
      </c>
      <c r="F200" s="16" t="str">
        <f aca="false">IF(E200="","No","Yes")</f>
        <v>Yes</v>
      </c>
      <c r="G200" s="18" t="n">
        <f aca="false">IF(F200="No","N/A",D200-E200)</f>
        <v>2142.6</v>
      </c>
      <c r="H200" s="16" t="str">
        <f aca="false">IF(F200="No","Unmatched - Investigate",IF(ABS(D200-E200)&gt;Assumptions!$B$6,"Mismatch - Amount Differs","Matched"))</f>
        <v>Mismatch - Amount Differs</v>
      </c>
    </row>
    <row r="201" customFormat="false" ht="15" hidden="false" customHeight="false" outlineLevel="0" collapsed="false">
      <c r="A201" s="16" t="str">
        <f aca="false">Payment_Log_AP!A197</f>
        <v>PAY40196</v>
      </c>
      <c r="B201" s="16" t="str">
        <f aca="false">Payment_Log_AP!C197</f>
        <v>V1016</v>
      </c>
      <c r="C201" s="17" t="n">
        <f aca="false">Payment_Log_AP!D197</f>
        <v>46019</v>
      </c>
      <c r="D201" s="18" t="n">
        <f aca="false">Payment_Log_AP!E197</f>
        <v>728.71</v>
      </c>
      <c r="E201" s="18" t="n">
        <f aca="false">IFERROR(INDEX(Bank_Statement!$C$2:$C$783,MATCH(A201,Bank_Statement!$E$2:$E$783,0)),"")</f>
        <v>-728.71</v>
      </c>
      <c r="F201" s="16" t="str">
        <f aca="false">IF(E201="","No","Yes")</f>
        <v>Yes</v>
      </c>
      <c r="G201" s="18" t="n">
        <f aca="false">IF(F201="No","N/A",D201-E201)</f>
        <v>1457.42</v>
      </c>
      <c r="H201" s="16" t="str">
        <f aca="false">IF(F201="No","Unmatched - Investigate",IF(ABS(D201-E201)&gt;Assumptions!$B$6,"Mismatch - Amount Differs","Matched"))</f>
        <v>Mismatch - Amount Differs</v>
      </c>
    </row>
    <row r="202" customFormat="false" ht="15" hidden="false" customHeight="false" outlineLevel="0" collapsed="false">
      <c r="A202" s="16" t="str">
        <f aca="false">Payment_Log_AP!A198</f>
        <v>PAY40197</v>
      </c>
      <c r="B202" s="16" t="str">
        <f aca="false">Payment_Log_AP!C198</f>
        <v>V1023</v>
      </c>
      <c r="C202" s="17" t="n">
        <f aca="false">Payment_Log_AP!D198</f>
        <v>45773</v>
      </c>
      <c r="D202" s="18" t="n">
        <f aca="false">Payment_Log_AP!E198</f>
        <v>3728.38</v>
      </c>
      <c r="E202" s="18" t="n">
        <f aca="false">IFERROR(INDEX(Bank_Statement!$C$2:$C$783,MATCH(A202,Bank_Statement!$E$2:$E$783,0)),"")</f>
        <v>-3728.38</v>
      </c>
      <c r="F202" s="16" t="str">
        <f aca="false">IF(E202="","No","Yes")</f>
        <v>Yes</v>
      </c>
      <c r="G202" s="18" t="n">
        <f aca="false">IF(F202="No","N/A",D202-E202)</f>
        <v>7456.76</v>
      </c>
      <c r="H202" s="16" t="str">
        <f aca="false">IF(F202="No","Unmatched - Investigate",IF(ABS(D202-E202)&gt;Assumptions!$B$6,"Mismatch - Amount Differs","Matched"))</f>
        <v>Mismatch - Amount Differs</v>
      </c>
    </row>
    <row r="203" customFormat="false" ht="15" hidden="false" customHeight="false" outlineLevel="0" collapsed="false">
      <c r="A203" s="16" t="str">
        <f aca="false">Payment_Log_AP!A199</f>
        <v>PAY40198</v>
      </c>
      <c r="B203" s="16" t="str">
        <f aca="false">Payment_Log_AP!C199</f>
        <v>V1016</v>
      </c>
      <c r="C203" s="17" t="n">
        <f aca="false">Payment_Log_AP!D199</f>
        <v>46204</v>
      </c>
      <c r="D203" s="18" t="n">
        <f aca="false">Payment_Log_AP!E199</f>
        <v>5712.19</v>
      </c>
      <c r="E203" s="18" t="n">
        <f aca="false">IFERROR(INDEX(Bank_Statement!$C$2:$C$783,MATCH(A203,Bank_Statement!$E$2:$E$783,0)),"")</f>
        <v>-5712.19</v>
      </c>
      <c r="F203" s="16" t="str">
        <f aca="false">IF(E203="","No","Yes")</f>
        <v>Yes</v>
      </c>
      <c r="G203" s="18" t="n">
        <f aca="false">IF(F203="No","N/A",D203-E203)</f>
        <v>11424.38</v>
      </c>
      <c r="H203" s="16" t="str">
        <f aca="false">IF(F203="No","Unmatched - Investigate",IF(ABS(D203-E203)&gt;Assumptions!$B$6,"Mismatch - Amount Differs","Matched"))</f>
        <v>Mismatch - Amount Differs</v>
      </c>
    </row>
    <row r="204" customFormat="false" ht="15" hidden="false" customHeight="false" outlineLevel="0" collapsed="false">
      <c r="A204" s="16" t="str">
        <f aca="false">Payment_Log_AP!A200</f>
        <v>PAY40199</v>
      </c>
      <c r="B204" s="16" t="str">
        <f aca="false">Payment_Log_AP!C200</f>
        <v>V1018</v>
      </c>
      <c r="C204" s="17" t="n">
        <f aca="false">Payment_Log_AP!D200</f>
        <v>45872</v>
      </c>
      <c r="D204" s="18" t="n">
        <f aca="false">Payment_Log_AP!E200</f>
        <v>1442.03</v>
      </c>
      <c r="E204" s="18" t="n">
        <f aca="false">IFERROR(INDEX(Bank_Statement!$C$2:$C$783,MATCH(A204,Bank_Statement!$E$2:$E$783,0)),"")</f>
        <v>-1442.03</v>
      </c>
      <c r="F204" s="16" t="str">
        <f aca="false">IF(E204="","No","Yes")</f>
        <v>Yes</v>
      </c>
      <c r="G204" s="18" t="n">
        <f aca="false">IF(F204="No","N/A",D204-E204)</f>
        <v>2884.06</v>
      </c>
      <c r="H204" s="16" t="str">
        <f aca="false">IF(F204="No","Unmatched - Investigate",IF(ABS(D204-E204)&gt;Assumptions!$B$6,"Mismatch - Amount Differs","Matched"))</f>
        <v>Mismatch - Amount Differs</v>
      </c>
    </row>
    <row r="205" customFormat="false" ht="15" hidden="false" customHeight="false" outlineLevel="0" collapsed="false">
      <c r="A205" s="16" t="str">
        <f aca="false">Payment_Log_AP!A201</f>
        <v>PAY40200</v>
      </c>
      <c r="B205" s="16" t="str">
        <f aca="false">Payment_Log_AP!C201</f>
        <v>V1007</v>
      </c>
      <c r="C205" s="17" t="n">
        <f aca="false">Payment_Log_AP!D201</f>
        <v>45904</v>
      </c>
      <c r="D205" s="18" t="n">
        <f aca="false">Payment_Log_AP!E201</f>
        <v>14974.83</v>
      </c>
      <c r="E205" s="18" t="n">
        <f aca="false">IFERROR(INDEX(Bank_Statement!$C$2:$C$783,MATCH(A205,Bank_Statement!$E$2:$E$783,0)),"")</f>
        <v>-14974.83</v>
      </c>
      <c r="F205" s="16" t="str">
        <f aca="false">IF(E205="","No","Yes")</f>
        <v>Yes</v>
      </c>
      <c r="G205" s="18" t="n">
        <f aca="false">IF(F205="No","N/A",D205-E205)</f>
        <v>29949.66</v>
      </c>
      <c r="H205" s="16" t="str">
        <f aca="false">IF(F205="No","Unmatched - Investigate",IF(ABS(D205-E205)&gt;Assumptions!$B$6,"Mismatch - Amount Differs","Matched"))</f>
        <v>Mismatch - Amount Differs</v>
      </c>
    </row>
    <row r="206" customFormat="false" ht="15" hidden="false" customHeight="false" outlineLevel="0" collapsed="false">
      <c r="A206" s="16" t="str">
        <f aca="false">Payment_Log_AP!A202</f>
        <v>PAY40201</v>
      </c>
      <c r="B206" s="16" t="str">
        <f aca="false">Payment_Log_AP!C202</f>
        <v>V1032</v>
      </c>
      <c r="C206" s="17" t="n">
        <f aca="false">Payment_Log_AP!D202</f>
        <v>45900</v>
      </c>
      <c r="D206" s="18" t="n">
        <f aca="false">Payment_Log_AP!E202</f>
        <v>877.63</v>
      </c>
      <c r="E206" s="18" t="n">
        <f aca="false">IFERROR(INDEX(Bank_Statement!$C$2:$C$783,MATCH(A206,Bank_Statement!$E$2:$E$783,0)),"")</f>
        <v>-877.63</v>
      </c>
      <c r="F206" s="16" t="str">
        <f aca="false">IF(E206="","No","Yes")</f>
        <v>Yes</v>
      </c>
      <c r="G206" s="18" t="n">
        <f aca="false">IF(F206="No","N/A",D206-E206)</f>
        <v>1755.26</v>
      </c>
      <c r="H206" s="16" t="str">
        <f aca="false">IF(F206="No","Unmatched - Investigate",IF(ABS(D206-E206)&gt;Assumptions!$B$6,"Mismatch - Amount Differs","Matched"))</f>
        <v>Mismatch - Amount Differs</v>
      </c>
    </row>
    <row r="207" customFormat="false" ht="15" hidden="false" customHeight="false" outlineLevel="0" collapsed="false">
      <c r="A207" s="16" t="str">
        <f aca="false">Payment_Log_AP!A203</f>
        <v>PAY40202</v>
      </c>
      <c r="B207" s="16" t="str">
        <f aca="false">Payment_Log_AP!C203</f>
        <v>V1033</v>
      </c>
      <c r="C207" s="17" t="n">
        <f aca="false">Payment_Log_AP!D203</f>
        <v>45991</v>
      </c>
      <c r="D207" s="18" t="n">
        <f aca="false">Payment_Log_AP!E203</f>
        <v>2542.66</v>
      </c>
      <c r="E207" s="18" t="n">
        <f aca="false">IFERROR(INDEX(Bank_Statement!$C$2:$C$783,MATCH(A207,Bank_Statement!$E$2:$E$783,0)),"")</f>
        <v>-2542.66</v>
      </c>
      <c r="F207" s="16" t="str">
        <f aca="false">IF(E207="","No","Yes")</f>
        <v>Yes</v>
      </c>
      <c r="G207" s="18" t="n">
        <f aca="false">IF(F207="No","N/A",D207-E207)</f>
        <v>5085.32</v>
      </c>
      <c r="H207" s="16" t="str">
        <f aca="false">IF(F207="No","Unmatched - Investigate",IF(ABS(D207-E207)&gt;Assumptions!$B$6,"Mismatch - Amount Differs","Matched"))</f>
        <v>Mismatch - Amount Differs</v>
      </c>
    </row>
    <row r="208" customFormat="false" ht="15" hidden="false" customHeight="false" outlineLevel="0" collapsed="false">
      <c r="A208" s="16" t="str">
        <f aca="false">Payment_Log_AP!A204</f>
        <v>PAY40203</v>
      </c>
      <c r="B208" s="16" t="str">
        <f aca="false">Payment_Log_AP!C204</f>
        <v>V1007</v>
      </c>
      <c r="C208" s="17" t="n">
        <f aca="false">Payment_Log_AP!D204</f>
        <v>45882</v>
      </c>
      <c r="D208" s="18" t="n">
        <f aca="false">Payment_Log_AP!E204</f>
        <v>3210.01</v>
      </c>
      <c r="E208" s="18" t="n">
        <f aca="false">IFERROR(INDEX(Bank_Statement!$C$2:$C$783,MATCH(A208,Bank_Statement!$E$2:$E$783,0)),"")</f>
        <v>-3210.01</v>
      </c>
      <c r="F208" s="16" t="str">
        <f aca="false">IF(E208="","No","Yes")</f>
        <v>Yes</v>
      </c>
      <c r="G208" s="18" t="n">
        <f aca="false">IF(F208="No","N/A",D208-E208)</f>
        <v>6420.02</v>
      </c>
      <c r="H208" s="16" t="str">
        <f aca="false">IF(F208="No","Unmatched - Investigate",IF(ABS(D208-E208)&gt;Assumptions!$B$6,"Mismatch - Amount Differs","Matched"))</f>
        <v>Mismatch - Amount Differs</v>
      </c>
    </row>
    <row r="209" customFormat="false" ht="15" hidden="false" customHeight="false" outlineLevel="0" collapsed="false">
      <c r="A209" s="16" t="str">
        <f aca="false">Payment_Log_AP!A205</f>
        <v>PAY40204</v>
      </c>
      <c r="B209" s="16" t="str">
        <f aca="false">Payment_Log_AP!C205</f>
        <v>V1005</v>
      </c>
      <c r="C209" s="17" t="n">
        <f aca="false">Payment_Log_AP!D205</f>
        <v>46123</v>
      </c>
      <c r="D209" s="18" t="n">
        <f aca="false">Payment_Log_AP!E205</f>
        <v>4612.25</v>
      </c>
      <c r="E209" s="18" t="n">
        <f aca="false">IFERROR(INDEX(Bank_Statement!$C$2:$C$783,MATCH(A209,Bank_Statement!$E$2:$E$783,0)),"")</f>
        <v>-4612.25</v>
      </c>
      <c r="F209" s="16" t="str">
        <f aca="false">IF(E209="","No","Yes")</f>
        <v>Yes</v>
      </c>
      <c r="G209" s="18" t="n">
        <f aca="false">IF(F209="No","N/A",D209-E209)</f>
        <v>9224.5</v>
      </c>
      <c r="H209" s="16" t="str">
        <f aca="false">IF(F209="No","Unmatched - Investigate",IF(ABS(D209-E209)&gt;Assumptions!$B$6,"Mismatch - Amount Differs","Matched"))</f>
        <v>Mismatch - Amount Differs</v>
      </c>
    </row>
    <row r="210" customFormat="false" ht="15" hidden="false" customHeight="false" outlineLevel="0" collapsed="false">
      <c r="A210" s="16" t="str">
        <f aca="false">Payment_Log_AP!A206</f>
        <v>PAY40205</v>
      </c>
      <c r="B210" s="16" t="str">
        <f aca="false">Payment_Log_AP!C206</f>
        <v>V1031</v>
      </c>
      <c r="C210" s="17" t="n">
        <f aca="false">Payment_Log_AP!D206</f>
        <v>45762</v>
      </c>
      <c r="D210" s="18" t="n">
        <f aca="false">Payment_Log_AP!E206</f>
        <v>884.17</v>
      </c>
      <c r="E210" s="18" t="n">
        <f aca="false">IFERROR(INDEX(Bank_Statement!$C$2:$C$783,MATCH(A210,Bank_Statement!$E$2:$E$783,0)),"")</f>
        <v>-884.17</v>
      </c>
      <c r="F210" s="16" t="str">
        <f aca="false">IF(E210="","No","Yes")</f>
        <v>Yes</v>
      </c>
      <c r="G210" s="18" t="n">
        <f aca="false">IF(F210="No","N/A",D210-E210)</f>
        <v>1768.34</v>
      </c>
      <c r="H210" s="16" t="str">
        <f aca="false">IF(F210="No","Unmatched - Investigate",IF(ABS(D210-E210)&gt;Assumptions!$B$6,"Mismatch - Amount Differs","Matched"))</f>
        <v>Mismatch - Amount Differs</v>
      </c>
    </row>
    <row r="211" customFormat="false" ht="15" hidden="false" customHeight="false" outlineLevel="0" collapsed="false">
      <c r="A211" s="16" t="str">
        <f aca="false">Payment_Log_AP!A207</f>
        <v>PAY40206</v>
      </c>
      <c r="B211" s="16" t="str">
        <f aca="false">Payment_Log_AP!C207</f>
        <v>V1020</v>
      </c>
      <c r="C211" s="17" t="n">
        <f aca="false">Payment_Log_AP!D207</f>
        <v>46041</v>
      </c>
      <c r="D211" s="18" t="n">
        <f aca="false">Payment_Log_AP!E207</f>
        <v>1486.84</v>
      </c>
      <c r="E211" s="18" t="n">
        <f aca="false">IFERROR(INDEX(Bank_Statement!$C$2:$C$783,MATCH(A211,Bank_Statement!$E$2:$E$783,0)),"")</f>
        <v>-1486.84</v>
      </c>
      <c r="F211" s="16" t="str">
        <f aca="false">IF(E211="","No","Yes")</f>
        <v>Yes</v>
      </c>
      <c r="G211" s="18" t="n">
        <f aca="false">IF(F211="No","N/A",D211-E211)</f>
        <v>2973.68</v>
      </c>
      <c r="H211" s="16" t="str">
        <f aca="false">IF(F211="No","Unmatched - Investigate",IF(ABS(D211-E211)&gt;Assumptions!$B$6,"Mismatch - Amount Differs","Matched"))</f>
        <v>Mismatch - Amount Differs</v>
      </c>
    </row>
    <row r="212" customFormat="false" ht="15" hidden="false" customHeight="false" outlineLevel="0" collapsed="false">
      <c r="A212" s="16" t="str">
        <f aca="false">Payment_Log_AP!A208</f>
        <v>PAY40207</v>
      </c>
      <c r="B212" s="16" t="str">
        <f aca="false">Payment_Log_AP!C208</f>
        <v>V1020</v>
      </c>
      <c r="C212" s="17" t="n">
        <f aca="false">Payment_Log_AP!D208</f>
        <v>46011</v>
      </c>
      <c r="D212" s="18" t="n">
        <f aca="false">Payment_Log_AP!E208</f>
        <v>1741.37</v>
      </c>
      <c r="E212" s="18" t="n">
        <f aca="false">IFERROR(INDEX(Bank_Statement!$C$2:$C$783,MATCH(A212,Bank_Statement!$E$2:$E$783,0)),"")</f>
        <v>-1741.37</v>
      </c>
      <c r="F212" s="16" t="str">
        <f aca="false">IF(E212="","No","Yes")</f>
        <v>Yes</v>
      </c>
      <c r="G212" s="18" t="n">
        <f aca="false">IF(F212="No","N/A",D212-E212)</f>
        <v>3482.74</v>
      </c>
      <c r="H212" s="16" t="str">
        <f aca="false">IF(F212="No","Unmatched - Investigate",IF(ABS(D212-E212)&gt;Assumptions!$B$6,"Mismatch - Amount Differs","Matched"))</f>
        <v>Mismatch - Amount Differs</v>
      </c>
    </row>
    <row r="213" customFormat="false" ht="15" hidden="false" customHeight="false" outlineLevel="0" collapsed="false">
      <c r="A213" s="16" t="str">
        <f aca="false">Payment_Log_AP!A209</f>
        <v>PAY40208</v>
      </c>
      <c r="B213" s="16" t="str">
        <f aca="false">Payment_Log_AP!C209</f>
        <v>V1030</v>
      </c>
      <c r="C213" s="17" t="n">
        <f aca="false">Payment_Log_AP!D209</f>
        <v>46133</v>
      </c>
      <c r="D213" s="18" t="n">
        <f aca="false">Payment_Log_AP!E209</f>
        <v>201.48</v>
      </c>
      <c r="E213" s="18" t="n">
        <f aca="false">IFERROR(INDEX(Bank_Statement!$C$2:$C$783,MATCH(A213,Bank_Statement!$E$2:$E$783,0)),"")</f>
        <v>-201.48</v>
      </c>
      <c r="F213" s="16" t="str">
        <f aca="false">IF(E213="","No","Yes")</f>
        <v>Yes</v>
      </c>
      <c r="G213" s="18" t="n">
        <f aca="false">IF(F213="No","N/A",D213-E213)</f>
        <v>402.96</v>
      </c>
      <c r="H213" s="16" t="str">
        <f aca="false">IF(F213="No","Unmatched - Investigate",IF(ABS(D213-E213)&gt;Assumptions!$B$6,"Mismatch - Amount Differs","Matched"))</f>
        <v>Mismatch - Amount Differs</v>
      </c>
    </row>
    <row r="214" customFormat="false" ht="15" hidden="false" customHeight="false" outlineLevel="0" collapsed="false">
      <c r="A214" s="16" t="str">
        <f aca="false">Payment_Log_AP!A210</f>
        <v>PAY40209</v>
      </c>
      <c r="B214" s="16" t="str">
        <f aca="false">Payment_Log_AP!C210</f>
        <v>V1035</v>
      </c>
      <c r="C214" s="17" t="n">
        <f aca="false">Payment_Log_AP!D210</f>
        <v>46059</v>
      </c>
      <c r="D214" s="18" t="n">
        <f aca="false">Payment_Log_AP!E210</f>
        <v>4326.08</v>
      </c>
      <c r="E214" s="18" t="n">
        <f aca="false">IFERROR(INDEX(Bank_Statement!$C$2:$C$783,MATCH(A214,Bank_Statement!$E$2:$E$783,0)),"")</f>
        <v>-4326.08</v>
      </c>
      <c r="F214" s="16" t="str">
        <f aca="false">IF(E214="","No","Yes")</f>
        <v>Yes</v>
      </c>
      <c r="G214" s="18" t="n">
        <f aca="false">IF(F214="No","N/A",D214-E214)</f>
        <v>8652.16</v>
      </c>
      <c r="H214" s="16" t="str">
        <f aca="false">IF(F214="No","Unmatched - Investigate",IF(ABS(D214-E214)&gt;Assumptions!$B$6,"Mismatch - Amount Differs","Matched"))</f>
        <v>Mismatch - Amount Differs</v>
      </c>
    </row>
    <row r="215" customFormat="false" ht="15" hidden="false" customHeight="false" outlineLevel="0" collapsed="false">
      <c r="A215" s="16" t="str">
        <f aca="false">Payment_Log_AP!A211</f>
        <v>PAY40210</v>
      </c>
      <c r="B215" s="16" t="str">
        <f aca="false">Payment_Log_AP!C211</f>
        <v>V1013</v>
      </c>
      <c r="C215" s="17" t="n">
        <f aca="false">Payment_Log_AP!D211</f>
        <v>45908</v>
      </c>
      <c r="D215" s="18" t="n">
        <f aca="false">Payment_Log_AP!E211</f>
        <v>1933.86</v>
      </c>
      <c r="E215" s="18" t="n">
        <f aca="false">IFERROR(INDEX(Bank_Statement!$C$2:$C$783,MATCH(A215,Bank_Statement!$E$2:$E$783,0)),"")</f>
        <v>-1933.86</v>
      </c>
      <c r="F215" s="16" t="str">
        <f aca="false">IF(E215="","No","Yes")</f>
        <v>Yes</v>
      </c>
      <c r="G215" s="18" t="n">
        <f aca="false">IF(F215="No","N/A",D215-E215)</f>
        <v>3867.72</v>
      </c>
      <c r="H215" s="16" t="str">
        <f aca="false">IF(F215="No","Unmatched - Investigate",IF(ABS(D215-E215)&gt;Assumptions!$B$6,"Mismatch - Amount Differs","Matched"))</f>
        <v>Mismatch - Amount Differs</v>
      </c>
    </row>
    <row r="216" customFormat="false" ht="15" hidden="false" customHeight="false" outlineLevel="0" collapsed="false">
      <c r="A216" s="16" t="str">
        <f aca="false">Payment_Log_AP!A212</f>
        <v>PAY40211</v>
      </c>
      <c r="B216" s="16" t="str">
        <f aca="false">Payment_Log_AP!C212</f>
        <v>V1005</v>
      </c>
      <c r="C216" s="17" t="n">
        <f aca="false">Payment_Log_AP!D212</f>
        <v>46076</v>
      </c>
      <c r="D216" s="18" t="n">
        <f aca="false">Payment_Log_AP!E212</f>
        <v>301.96</v>
      </c>
      <c r="E216" s="18" t="n">
        <f aca="false">IFERROR(INDEX(Bank_Statement!$C$2:$C$783,MATCH(A216,Bank_Statement!$E$2:$E$783,0)),"")</f>
        <v>-301.96</v>
      </c>
      <c r="F216" s="16" t="str">
        <f aca="false">IF(E216="","No","Yes")</f>
        <v>Yes</v>
      </c>
      <c r="G216" s="18" t="n">
        <f aca="false">IF(F216="No","N/A",D216-E216)</f>
        <v>603.92</v>
      </c>
      <c r="H216" s="16" t="str">
        <f aca="false">IF(F216="No","Unmatched - Investigate",IF(ABS(D216-E216)&gt;Assumptions!$B$6,"Mismatch - Amount Differs","Matched"))</f>
        <v>Mismatch - Amount Differs</v>
      </c>
    </row>
    <row r="217" customFormat="false" ht="15" hidden="false" customHeight="false" outlineLevel="0" collapsed="false">
      <c r="A217" s="16" t="str">
        <f aca="false">Payment_Log_AP!A213</f>
        <v>PAY40212</v>
      </c>
      <c r="B217" s="16" t="str">
        <f aca="false">Payment_Log_AP!C213</f>
        <v>V1038</v>
      </c>
      <c r="C217" s="17" t="n">
        <f aca="false">Payment_Log_AP!D213</f>
        <v>45845</v>
      </c>
      <c r="D217" s="18" t="n">
        <f aca="false">Payment_Log_AP!E213</f>
        <v>594.08</v>
      </c>
      <c r="E217" s="18" t="n">
        <f aca="false">IFERROR(INDEX(Bank_Statement!$C$2:$C$783,MATCH(A217,Bank_Statement!$E$2:$E$783,0)),"")</f>
        <v>-594.08</v>
      </c>
      <c r="F217" s="16" t="str">
        <f aca="false">IF(E217="","No","Yes")</f>
        <v>Yes</v>
      </c>
      <c r="G217" s="18" t="n">
        <f aca="false">IF(F217="No","N/A",D217-E217)</f>
        <v>1188.16</v>
      </c>
      <c r="H217" s="16" t="str">
        <f aca="false">IF(F217="No","Unmatched - Investigate",IF(ABS(D217-E217)&gt;Assumptions!$B$6,"Mismatch - Amount Differs","Matched"))</f>
        <v>Mismatch - Amount Differs</v>
      </c>
    </row>
    <row r="218" customFormat="false" ht="15" hidden="false" customHeight="false" outlineLevel="0" collapsed="false">
      <c r="A218" s="16" t="str">
        <f aca="false">Payment_Log_AP!A214</f>
        <v>PAY40213</v>
      </c>
      <c r="B218" s="16" t="str">
        <f aca="false">Payment_Log_AP!C214</f>
        <v>V1007</v>
      </c>
      <c r="C218" s="17" t="n">
        <f aca="false">Payment_Log_AP!D214</f>
        <v>46119</v>
      </c>
      <c r="D218" s="18" t="n">
        <f aca="false">Payment_Log_AP!E214</f>
        <v>4409.64</v>
      </c>
      <c r="E218" s="18" t="n">
        <f aca="false">IFERROR(INDEX(Bank_Statement!$C$2:$C$783,MATCH(A218,Bank_Statement!$E$2:$E$783,0)),"")</f>
        <v>-4409.64</v>
      </c>
      <c r="F218" s="16" t="str">
        <f aca="false">IF(E218="","No","Yes")</f>
        <v>Yes</v>
      </c>
      <c r="G218" s="18" t="n">
        <f aca="false">IF(F218="No","N/A",D218-E218)</f>
        <v>8819.28</v>
      </c>
      <c r="H218" s="16" t="str">
        <f aca="false">IF(F218="No","Unmatched - Investigate",IF(ABS(D218-E218)&gt;Assumptions!$B$6,"Mismatch - Amount Differs","Matched"))</f>
        <v>Mismatch - Amount Differs</v>
      </c>
    </row>
    <row r="219" customFormat="false" ht="15" hidden="false" customHeight="false" outlineLevel="0" collapsed="false">
      <c r="A219" s="16" t="str">
        <f aca="false">Payment_Log_AP!A215</f>
        <v>PAY40214</v>
      </c>
      <c r="B219" s="16" t="str">
        <f aca="false">Payment_Log_AP!C215</f>
        <v>V1020</v>
      </c>
      <c r="C219" s="17" t="n">
        <f aca="false">Payment_Log_AP!D215</f>
        <v>45988</v>
      </c>
      <c r="D219" s="18" t="n">
        <f aca="false">Payment_Log_AP!E215</f>
        <v>1370.36</v>
      </c>
      <c r="E219" s="18" t="n">
        <f aca="false">IFERROR(INDEX(Bank_Statement!$C$2:$C$783,MATCH(A219,Bank_Statement!$E$2:$E$783,0)),"")</f>
        <v>-1370.36</v>
      </c>
      <c r="F219" s="16" t="str">
        <f aca="false">IF(E219="","No","Yes")</f>
        <v>Yes</v>
      </c>
      <c r="G219" s="18" t="n">
        <f aca="false">IF(F219="No","N/A",D219-E219)</f>
        <v>2740.72</v>
      </c>
      <c r="H219" s="16" t="str">
        <f aca="false">IF(F219="No","Unmatched - Investigate",IF(ABS(D219-E219)&gt;Assumptions!$B$6,"Mismatch - Amount Differs","Matched"))</f>
        <v>Mismatch - Amount Differs</v>
      </c>
    </row>
    <row r="220" customFormat="false" ht="15" hidden="false" customHeight="false" outlineLevel="0" collapsed="false">
      <c r="A220" s="16" t="str">
        <f aca="false">Payment_Log_AP!A216</f>
        <v>PAY40215</v>
      </c>
      <c r="B220" s="16" t="str">
        <f aca="false">Payment_Log_AP!C216</f>
        <v>V1031</v>
      </c>
      <c r="C220" s="17" t="n">
        <f aca="false">Payment_Log_AP!D216</f>
        <v>45933</v>
      </c>
      <c r="D220" s="18" t="n">
        <f aca="false">Payment_Log_AP!E216</f>
        <v>480.9</v>
      </c>
      <c r="E220" s="18" t="n">
        <f aca="false">IFERROR(INDEX(Bank_Statement!$C$2:$C$783,MATCH(A220,Bank_Statement!$E$2:$E$783,0)),"")</f>
        <v>-480.9</v>
      </c>
      <c r="F220" s="16" t="str">
        <f aca="false">IF(E220="","No","Yes")</f>
        <v>Yes</v>
      </c>
      <c r="G220" s="18" t="n">
        <f aca="false">IF(F220="No","N/A",D220-E220)</f>
        <v>961.8</v>
      </c>
      <c r="H220" s="16" t="str">
        <f aca="false">IF(F220="No","Unmatched - Investigate",IF(ABS(D220-E220)&gt;Assumptions!$B$6,"Mismatch - Amount Differs","Matched"))</f>
        <v>Mismatch - Amount Differs</v>
      </c>
    </row>
    <row r="221" customFormat="false" ht="15" hidden="false" customHeight="false" outlineLevel="0" collapsed="false">
      <c r="A221" s="16" t="str">
        <f aca="false">Payment_Log_AP!A217</f>
        <v>PAY40216</v>
      </c>
      <c r="B221" s="16" t="str">
        <f aca="false">Payment_Log_AP!C217</f>
        <v>V1024</v>
      </c>
      <c r="C221" s="17" t="n">
        <f aca="false">Payment_Log_AP!D217</f>
        <v>45930</v>
      </c>
      <c r="D221" s="18" t="n">
        <f aca="false">Payment_Log_AP!E217</f>
        <v>728.26</v>
      </c>
      <c r="E221" s="18" t="n">
        <f aca="false">IFERROR(INDEX(Bank_Statement!$C$2:$C$783,MATCH(A221,Bank_Statement!$E$2:$E$783,0)),"")</f>
        <v>-728.26</v>
      </c>
      <c r="F221" s="16" t="str">
        <f aca="false">IF(E221="","No","Yes")</f>
        <v>Yes</v>
      </c>
      <c r="G221" s="18" t="n">
        <f aca="false">IF(F221="No","N/A",D221-E221)</f>
        <v>1456.52</v>
      </c>
      <c r="H221" s="16" t="str">
        <f aca="false">IF(F221="No","Unmatched - Investigate",IF(ABS(D221-E221)&gt;Assumptions!$B$6,"Mismatch - Amount Differs","Matched"))</f>
        <v>Mismatch - Amount Differs</v>
      </c>
    </row>
    <row r="222" customFormat="false" ht="15" hidden="false" customHeight="false" outlineLevel="0" collapsed="false">
      <c r="A222" s="16" t="str">
        <f aca="false">Payment_Log_AP!A218</f>
        <v>PAY40217</v>
      </c>
      <c r="B222" s="16" t="str">
        <f aca="false">Payment_Log_AP!C218</f>
        <v>V1035</v>
      </c>
      <c r="C222" s="17" t="n">
        <f aca="false">Payment_Log_AP!D218</f>
        <v>46096</v>
      </c>
      <c r="D222" s="18" t="n">
        <f aca="false">Payment_Log_AP!E218</f>
        <v>4217.99</v>
      </c>
      <c r="E222" s="18" t="n">
        <f aca="false">IFERROR(INDEX(Bank_Statement!$C$2:$C$783,MATCH(A222,Bank_Statement!$E$2:$E$783,0)),"")</f>
        <v>-4217.99</v>
      </c>
      <c r="F222" s="16" t="str">
        <f aca="false">IF(E222="","No","Yes")</f>
        <v>Yes</v>
      </c>
      <c r="G222" s="18" t="n">
        <f aca="false">IF(F222="No","N/A",D222-E222)</f>
        <v>8435.98</v>
      </c>
      <c r="H222" s="16" t="str">
        <f aca="false">IF(F222="No","Unmatched - Investigate",IF(ABS(D222-E222)&gt;Assumptions!$B$6,"Mismatch - Amount Differs","Matched"))</f>
        <v>Mismatch - Amount Differs</v>
      </c>
    </row>
    <row r="223" customFormat="false" ht="15" hidden="false" customHeight="false" outlineLevel="0" collapsed="false">
      <c r="A223" s="16" t="str">
        <f aca="false">Payment_Log_AP!A219</f>
        <v>PAY40218</v>
      </c>
      <c r="B223" s="16" t="str">
        <f aca="false">Payment_Log_AP!C219</f>
        <v>V1007</v>
      </c>
      <c r="C223" s="17" t="n">
        <f aca="false">Payment_Log_AP!D219</f>
        <v>46160</v>
      </c>
      <c r="D223" s="18" t="n">
        <f aca="false">Payment_Log_AP!E219</f>
        <v>2055.39</v>
      </c>
      <c r="E223" s="18" t="n">
        <f aca="false">IFERROR(INDEX(Bank_Statement!$C$2:$C$783,MATCH(A223,Bank_Statement!$E$2:$E$783,0)),"")</f>
        <v>-2055.39</v>
      </c>
      <c r="F223" s="16" t="str">
        <f aca="false">IF(E223="","No","Yes")</f>
        <v>Yes</v>
      </c>
      <c r="G223" s="18" t="n">
        <f aca="false">IF(F223="No","N/A",D223-E223)</f>
        <v>4110.78</v>
      </c>
      <c r="H223" s="16" t="str">
        <f aca="false">IF(F223="No","Unmatched - Investigate",IF(ABS(D223-E223)&gt;Assumptions!$B$6,"Mismatch - Amount Differs","Matched"))</f>
        <v>Mismatch - Amount Differs</v>
      </c>
    </row>
    <row r="224" customFormat="false" ht="15" hidden="false" customHeight="false" outlineLevel="0" collapsed="false">
      <c r="A224" s="16" t="str">
        <f aca="false">Payment_Log_AP!A220</f>
        <v>PAY40219</v>
      </c>
      <c r="B224" s="16" t="str">
        <f aca="false">Payment_Log_AP!C220</f>
        <v>V1019</v>
      </c>
      <c r="C224" s="17" t="n">
        <f aca="false">Payment_Log_AP!D220</f>
        <v>46135</v>
      </c>
      <c r="D224" s="18" t="n">
        <f aca="false">Payment_Log_AP!E220</f>
        <v>207.67</v>
      </c>
      <c r="E224" s="18" t="n">
        <f aca="false">IFERROR(INDEX(Bank_Statement!$C$2:$C$783,MATCH(A224,Bank_Statement!$E$2:$E$783,0)),"")</f>
        <v>-207.67</v>
      </c>
      <c r="F224" s="16" t="str">
        <f aca="false">IF(E224="","No","Yes")</f>
        <v>Yes</v>
      </c>
      <c r="G224" s="18" t="n">
        <f aca="false">IF(F224="No","N/A",D224-E224)</f>
        <v>415.34</v>
      </c>
      <c r="H224" s="16" t="str">
        <f aca="false">IF(F224="No","Unmatched - Investigate",IF(ABS(D224-E224)&gt;Assumptions!$B$6,"Mismatch - Amount Differs","Matched"))</f>
        <v>Mismatch - Amount Differs</v>
      </c>
    </row>
    <row r="225" customFormat="false" ht="15" hidden="false" customHeight="false" outlineLevel="0" collapsed="false">
      <c r="A225" s="16" t="str">
        <f aca="false">Payment_Log_AP!A221</f>
        <v>PAY40220</v>
      </c>
      <c r="B225" s="16" t="str">
        <f aca="false">Payment_Log_AP!C221</f>
        <v>V1023</v>
      </c>
      <c r="C225" s="17" t="n">
        <f aca="false">Payment_Log_AP!D221</f>
        <v>45762</v>
      </c>
      <c r="D225" s="18" t="n">
        <f aca="false">Payment_Log_AP!E221</f>
        <v>1766.28</v>
      </c>
      <c r="E225" s="18" t="n">
        <f aca="false">IFERROR(INDEX(Bank_Statement!$C$2:$C$783,MATCH(A225,Bank_Statement!$E$2:$E$783,0)),"")</f>
        <v>-1766.28</v>
      </c>
      <c r="F225" s="16" t="str">
        <f aca="false">IF(E225="","No","Yes")</f>
        <v>Yes</v>
      </c>
      <c r="G225" s="18" t="n">
        <f aca="false">IF(F225="No","N/A",D225-E225)</f>
        <v>3532.56</v>
      </c>
      <c r="H225" s="16" t="str">
        <f aca="false">IF(F225="No","Unmatched - Investigate",IF(ABS(D225-E225)&gt;Assumptions!$B$6,"Mismatch - Amount Differs","Matched"))</f>
        <v>Mismatch - Amount Differs</v>
      </c>
    </row>
    <row r="226" customFormat="false" ht="15" hidden="false" customHeight="false" outlineLevel="0" collapsed="false">
      <c r="A226" s="16" t="str">
        <f aca="false">Payment_Log_AP!A222</f>
        <v>PAY40221</v>
      </c>
      <c r="B226" s="16" t="str">
        <f aca="false">Payment_Log_AP!C222</f>
        <v>V1036</v>
      </c>
      <c r="C226" s="17" t="n">
        <f aca="false">Payment_Log_AP!D222</f>
        <v>46190</v>
      </c>
      <c r="D226" s="18" t="n">
        <f aca="false">Payment_Log_AP!E222</f>
        <v>1408.36</v>
      </c>
      <c r="E226" s="18" t="n">
        <f aca="false">IFERROR(INDEX(Bank_Statement!$C$2:$C$783,MATCH(A226,Bank_Statement!$E$2:$E$783,0)),"")</f>
        <v>-1408.36</v>
      </c>
      <c r="F226" s="16" t="str">
        <f aca="false">IF(E226="","No","Yes")</f>
        <v>Yes</v>
      </c>
      <c r="G226" s="18" t="n">
        <f aca="false">IF(F226="No","N/A",D226-E226)</f>
        <v>2816.72</v>
      </c>
      <c r="H226" s="16" t="str">
        <f aca="false">IF(F226="No","Unmatched - Investigate",IF(ABS(D226-E226)&gt;Assumptions!$B$6,"Mismatch - Amount Differs","Matched"))</f>
        <v>Mismatch - Amount Differs</v>
      </c>
    </row>
    <row r="227" customFormat="false" ht="15" hidden="false" customHeight="false" outlineLevel="0" collapsed="false">
      <c r="A227" s="16" t="str">
        <f aca="false">Payment_Log_AP!A223</f>
        <v>PAY40222</v>
      </c>
      <c r="B227" s="16" t="str">
        <f aca="false">Payment_Log_AP!C223</f>
        <v>V1030</v>
      </c>
      <c r="C227" s="17" t="n">
        <f aca="false">Payment_Log_AP!D223</f>
        <v>45816</v>
      </c>
      <c r="D227" s="18" t="n">
        <f aca="false">Payment_Log_AP!E223</f>
        <v>1546.99</v>
      </c>
      <c r="E227" s="18" t="n">
        <f aca="false">IFERROR(INDEX(Bank_Statement!$C$2:$C$783,MATCH(A227,Bank_Statement!$E$2:$E$783,0)),"")</f>
        <v>-1546.99</v>
      </c>
      <c r="F227" s="16" t="str">
        <f aca="false">IF(E227="","No","Yes")</f>
        <v>Yes</v>
      </c>
      <c r="G227" s="18" t="n">
        <f aca="false">IF(F227="No","N/A",D227-E227)</f>
        <v>3093.98</v>
      </c>
      <c r="H227" s="16" t="str">
        <f aca="false">IF(F227="No","Unmatched - Investigate",IF(ABS(D227-E227)&gt;Assumptions!$B$6,"Mismatch - Amount Differs","Matched"))</f>
        <v>Mismatch - Amount Differs</v>
      </c>
    </row>
    <row r="228" customFormat="false" ht="15" hidden="false" customHeight="false" outlineLevel="0" collapsed="false">
      <c r="A228" s="16" t="str">
        <f aca="false">Payment_Log_AP!A224</f>
        <v>PAY40223</v>
      </c>
      <c r="B228" s="16" t="str">
        <f aca="false">Payment_Log_AP!C224</f>
        <v>V1030</v>
      </c>
      <c r="C228" s="17" t="n">
        <f aca="false">Payment_Log_AP!D224</f>
        <v>45824</v>
      </c>
      <c r="D228" s="18" t="n">
        <f aca="false">Payment_Log_AP!E224</f>
        <v>1546.99</v>
      </c>
      <c r="E228" s="18" t="n">
        <f aca="false">IFERROR(INDEX(Bank_Statement!$C$2:$C$783,MATCH(A228,Bank_Statement!$E$2:$E$783,0)),"")</f>
        <v>-1546.99</v>
      </c>
      <c r="F228" s="16" t="str">
        <f aca="false">IF(E228="","No","Yes")</f>
        <v>Yes</v>
      </c>
      <c r="G228" s="18" t="n">
        <f aca="false">IF(F228="No","N/A",D228-E228)</f>
        <v>3093.98</v>
      </c>
      <c r="H228" s="16" t="str">
        <f aca="false">IF(F228="No","Unmatched - Investigate",IF(ABS(D228-E228)&gt;Assumptions!$B$6,"Mismatch - Amount Differs","Matched"))</f>
        <v>Mismatch - Amount Differs</v>
      </c>
    </row>
    <row r="229" customFormat="false" ht="15" hidden="false" customHeight="false" outlineLevel="0" collapsed="false">
      <c r="A229" s="16" t="str">
        <f aca="false">Payment_Log_AP!A225</f>
        <v>PAY40224</v>
      </c>
      <c r="B229" s="16" t="str">
        <f aca="false">Payment_Log_AP!C225</f>
        <v>V1040</v>
      </c>
      <c r="C229" s="17" t="n">
        <f aca="false">Payment_Log_AP!D225</f>
        <v>45954</v>
      </c>
      <c r="D229" s="18" t="n">
        <f aca="false">Payment_Log_AP!E225</f>
        <v>5615.74</v>
      </c>
      <c r="E229" s="18" t="n">
        <f aca="false">IFERROR(INDEX(Bank_Statement!$C$2:$C$783,MATCH(A229,Bank_Statement!$E$2:$E$783,0)),"")</f>
        <v>-5615.74</v>
      </c>
      <c r="F229" s="16" t="str">
        <f aca="false">IF(E229="","No","Yes")</f>
        <v>Yes</v>
      </c>
      <c r="G229" s="18" t="n">
        <f aca="false">IF(F229="No","N/A",D229-E229)</f>
        <v>11231.48</v>
      </c>
      <c r="H229" s="16" t="str">
        <f aca="false">IF(F229="No","Unmatched - Investigate",IF(ABS(D229-E229)&gt;Assumptions!$B$6,"Mismatch - Amount Differs","Matched"))</f>
        <v>Mismatch - Amount Differs</v>
      </c>
    </row>
    <row r="230" customFormat="false" ht="15" hidden="false" customHeight="false" outlineLevel="0" collapsed="false">
      <c r="A230" s="16" t="str">
        <f aca="false">Payment_Log_AP!A226</f>
        <v>PAY40225</v>
      </c>
      <c r="B230" s="16" t="str">
        <f aca="false">Payment_Log_AP!C226</f>
        <v>V1034</v>
      </c>
      <c r="C230" s="17" t="n">
        <f aca="false">Payment_Log_AP!D226</f>
        <v>46044</v>
      </c>
      <c r="D230" s="18" t="n">
        <f aca="false">Payment_Log_AP!E226</f>
        <v>3821.71</v>
      </c>
      <c r="E230" s="18" t="n">
        <f aca="false">IFERROR(INDEX(Bank_Statement!$C$2:$C$783,MATCH(A230,Bank_Statement!$E$2:$E$783,0)),"")</f>
        <v>-3821.71</v>
      </c>
      <c r="F230" s="16" t="str">
        <f aca="false">IF(E230="","No","Yes")</f>
        <v>Yes</v>
      </c>
      <c r="G230" s="18" t="n">
        <f aca="false">IF(F230="No","N/A",D230-E230)</f>
        <v>7643.42</v>
      </c>
      <c r="H230" s="16" t="str">
        <f aca="false">IF(F230="No","Unmatched - Investigate",IF(ABS(D230-E230)&gt;Assumptions!$B$6,"Mismatch - Amount Differs","Matched"))</f>
        <v>Mismatch - Amount Differs</v>
      </c>
    </row>
    <row r="231" customFormat="false" ht="15" hidden="false" customHeight="false" outlineLevel="0" collapsed="false">
      <c r="A231" s="16" t="str">
        <f aca="false">Payment_Log_AP!A227</f>
        <v>PAY40226</v>
      </c>
      <c r="B231" s="16" t="str">
        <f aca="false">Payment_Log_AP!C227</f>
        <v>V1008</v>
      </c>
      <c r="C231" s="17" t="n">
        <f aca="false">Payment_Log_AP!D227</f>
        <v>45881</v>
      </c>
      <c r="D231" s="18" t="n">
        <f aca="false">Payment_Log_AP!E227</f>
        <v>943.22</v>
      </c>
      <c r="E231" s="18" t="n">
        <f aca="false">IFERROR(INDEX(Bank_Statement!$C$2:$C$783,MATCH(A231,Bank_Statement!$E$2:$E$783,0)),"")</f>
        <v>-943.22</v>
      </c>
      <c r="F231" s="16" t="str">
        <f aca="false">IF(E231="","No","Yes")</f>
        <v>Yes</v>
      </c>
      <c r="G231" s="18" t="n">
        <f aca="false">IF(F231="No","N/A",D231-E231)</f>
        <v>1886.44</v>
      </c>
      <c r="H231" s="16" t="str">
        <f aca="false">IF(F231="No","Unmatched - Investigate",IF(ABS(D231-E231)&gt;Assumptions!$B$6,"Mismatch - Amount Differs","Matched"))</f>
        <v>Mismatch - Amount Differs</v>
      </c>
    </row>
    <row r="232" customFormat="false" ht="15" hidden="false" customHeight="false" outlineLevel="0" collapsed="false">
      <c r="A232" s="16" t="str">
        <f aca="false">Payment_Log_AP!A228</f>
        <v>PAY40227</v>
      </c>
      <c r="B232" s="16" t="str">
        <f aca="false">Payment_Log_AP!C228</f>
        <v>V1031</v>
      </c>
      <c r="C232" s="17" t="n">
        <f aca="false">Payment_Log_AP!D228</f>
        <v>45695</v>
      </c>
      <c r="D232" s="18" t="n">
        <f aca="false">Payment_Log_AP!E228</f>
        <v>618.31</v>
      </c>
      <c r="E232" s="18" t="n">
        <f aca="false">IFERROR(INDEX(Bank_Statement!$C$2:$C$783,MATCH(A232,Bank_Statement!$E$2:$E$783,0)),"")</f>
        <v>-618.31</v>
      </c>
      <c r="F232" s="16" t="str">
        <f aca="false">IF(E232="","No","Yes")</f>
        <v>Yes</v>
      </c>
      <c r="G232" s="18" t="n">
        <f aca="false">IF(F232="No","N/A",D232-E232)</f>
        <v>1236.62</v>
      </c>
      <c r="H232" s="16" t="str">
        <f aca="false">IF(F232="No","Unmatched - Investigate",IF(ABS(D232-E232)&gt;Assumptions!$B$6,"Mismatch - Amount Differs","Matched"))</f>
        <v>Mismatch - Amount Differs</v>
      </c>
    </row>
    <row r="233" customFormat="false" ht="15" hidden="false" customHeight="false" outlineLevel="0" collapsed="false">
      <c r="A233" s="16" t="str">
        <f aca="false">Payment_Log_AP!A229</f>
        <v>PAY40228</v>
      </c>
      <c r="B233" s="16" t="str">
        <f aca="false">Payment_Log_AP!C229</f>
        <v>V1038</v>
      </c>
      <c r="C233" s="17" t="n">
        <f aca="false">Payment_Log_AP!D229</f>
        <v>46179</v>
      </c>
      <c r="D233" s="18" t="n">
        <f aca="false">Payment_Log_AP!E229</f>
        <v>17214.28</v>
      </c>
      <c r="E233" s="18" t="n">
        <f aca="false">IFERROR(INDEX(Bank_Statement!$C$2:$C$783,MATCH(A233,Bank_Statement!$E$2:$E$783,0)),"")</f>
        <v>-17214.28</v>
      </c>
      <c r="F233" s="16" t="str">
        <f aca="false">IF(E233="","No","Yes")</f>
        <v>Yes</v>
      </c>
      <c r="G233" s="18" t="n">
        <f aca="false">IF(F233="No","N/A",D233-E233)</f>
        <v>34428.56</v>
      </c>
      <c r="H233" s="16" t="str">
        <f aca="false">IF(F233="No","Unmatched - Investigate",IF(ABS(D233-E233)&gt;Assumptions!$B$6,"Mismatch - Amount Differs","Matched"))</f>
        <v>Mismatch - Amount Differs</v>
      </c>
    </row>
    <row r="234" customFormat="false" ht="15" hidden="false" customHeight="false" outlineLevel="0" collapsed="false">
      <c r="A234" s="16" t="str">
        <f aca="false">Payment_Log_AP!A230</f>
        <v>PAY40229</v>
      </c>
      <c r="B234" s="16" t="str">
        <f aca="false">Payment_Log_AP!C230</f>
        <v>V1020</v>
      </c>
      <c r="C234" s="17" t="n">
        <f aca="false">Payment_Log_AP!D230</f>
        <v>45827</v>
      </c>
      <c r="D234" s="18" t="n">
        <f aca="false">Payment_Log_AP!E230</f>
        <v>1164.57</v>
      </c>
      <c r="E234" s="18" t="n">
        <f aca="false">IFERROR(INDEX(Bank_Statement!$C$2:$C$783,MATCH(A234,Bank_Statement!$E$2:$E$783,0)),"")</f>
        <v>-1164.57</v>
      </c>
      <c r="F234" s="16" t="str">
        <f aca="false">IF(E234="","No","Yes")</f>
        <v>Yes</v>
      </c>
      <c r="G234" s="18" t="n">
        <f aca="false">IF(F234="No","N/A",D234-E234)</f>
        <v>2329.14</v>
      </c>
      <c r="H234" s="16" t="str">
        <f aca="false">IF(F234="No","Unmatched - Investigate",IF(ABS(D234-E234)&gt;Assumptions!$B$6,"Mismatch - Amount Differs","Matched"))</f>
        <v>Mismatch - Amount Differs</v>
      </c>
    </row>
    <row r="235" customFormat="false" ht="15" hidden="false" customHeight="false" outlineLevel="0" collapsed="false">
      <c r="A235" s="16" t="str">
        <f aca="false">Payment_Log_AP!A231</f>
        <v>PAY40230</v>
      </c>
      <c r="B235" s="16" t="str">
        <f aca="false">Payment_Log_AP!C231</f>
        <v>V1030</v>
      </c>
      <c r="C235" s="17" t="n">
        <f aca="false">Payment_Log_AP!D231</f>
        <v>45876</v>
      </c>
      <c r="D235" s="18" t="n">
        <f aca="false">Payment_Log_AP!E231</f>
        <v>1150.99</v>
      </c>
      <c r="E235" s="18" t="n">
        <f aca="false">IFERROR(INDEX(Bank_Statement!$C$2:$C$783,MATCH(A235,Bank_Statement!$E$2:$E$783,0)),"")</f>
        <v>-1150.99</v>
      </c>
      <c r="F235" s="16" t="str">
        <f aca="false">IF(E235="","No","Yes")</f>
        <v>Yes</v>
      </c>
      <c r="G235" s="18" t="n">
        <f aca="false">IF(F235="No","N/A",D235-E235)</f>
        <v>2301.98</v>
      </c>
      <c r="H235" s="16" t="str">
        <f aca="false">IF(F235="No","Unmatched - Investigate",IF(ABS(D235-E235)&gt;Assumptions!$B$6,"Mismatch - Amount Differs","Matched"))</f>
        <v>Mismatch - Amount Differs</v>
      </c>
    </row>
    <row r="236" customFormat="false" ht="15" hidden="false" customHeight="false" outlineLevel="0" collapsed="false">
      <c r="A236" s="16" t="str">
        <f aca="false">Payment_Log_AP!A232</f>
        <v>PAY40231</v>
      </c>
      <c r="B236" s="16" t="str">
        <f aca="false">Payment_Log_AP!C232</f>
        <v>V1030</v>
      </c>
      <c r="C236" s="17" t="n">
        <f aca="false">Payment_Log_AP!D232</f>
        <v>45865</v>
      </c>
      <c r="D236" s="18" t="n">
        <f aca="false">Payment_Log_AP!E232</f>
        <v>1219.73</v>
      </c>
      <c r="E236" s="18" t="n">
        <f aca="false">IFERROR(INDEX(Bank_Statement!$C$2:$C$783,MATCH(A236,Bank_Statement!$E$2:$E$783,0)),"")</f>
        <v>-1219.73</v>
      </c>
      <c r="F236" s="16" t="str">
        <f aca="false">IF(E236="","No","Yes")</f>
        <v>Yes</v>
      </c>
      <c r="G236" s="18" t="n">
        <f aca="false">IF(F236="No","N/A",D236-E236)</f>
        <v>2439.46</v>
      </c>
      <c r="H236" s="16" t="str">
        <f aca="false">IF(F236="No","Unmatched - Investigate",IF(ABS(D236-E236)&gt;Assumptions!$B$6,"Mismatch - Amount Differs","Matched"))</f>
        <v>Mismatch - Amount Differs</v>
      </c>
    </row>
    <row r="237" customFormat="false" ht="15" hidden="false" customHeight="false" outlineLevel="0" collapsed="false">
      <c r="A237" s="16" t="str">
        <f aca="false">Payment_Log_AP!A233</f>
        <v>PAY40232</v>
      </c>
      <c r="B237" s="16" t="str">
        <f aca="false">Payment_Log_AP!C233</f>
        <v>V1030</v>
      </c>
      <c r="C237" s="17" t="n">
        <f aca="false">Payment_Log_AP!D233</f>
        <v>45866</v>
      </c>
      <c r="D237" s="18" t="n">
        <f aca="false">Payment_Log_AP!E233</f>
        <v>1219.73</v>
      </c>
      <c r="E237" s="18" t="n">
        <f aca="false">IFERROR(INDEX(Bank_Statement!$C$2:$C$783,MATCH(A237,Bank_Statement!$E$2:$E$783,0)),"")</f>
        <v>-1219.73</v>
      </c>
      <c r="F237" s="16" t="str">
        <f aca="false">IF(E237="","No","Yes")</f>
        <v>Yes</v>
      </c>
      <c r="G237" s="18" t="n">
        <f aca="false">IF(F237="No","N/A",D237-E237)</f>
        <v>2439.46</v>
      </c>
      <c r="H237" s="16" t="str">
        <f aca="false">IF(F237="No","Unmatched - Investigate",IF(ABS(D237-E237)&gt;Assumptions!$B$6,"Mismatch - Amount Differs","Matched"))</f>
        <v>Mismatch - Amount Differs</v>
      </c>
    </row>
    <row r="238" customFormat="false" ht="15" hidden="false" customHeight="false" outlineLevel="0" collapsed="false">
      <c r="A238" s="16" t="str">
        <f aca="false">Payment_Log_AP!A234</f>
        <v>PAY40233</v>
      </c>
      <c r="B238" s="16" t="str">
        <f aca="false">Payment_Log_AP!C234</f>
        <v>V1007</v>
      </c>
      <c r="C238" s="17" t="n">
        <f aca="false">Payment_Log_AP!D234</f>
        <v>46171</v>
      </c>
      <c r="D238" s="18" t="n">
        <f aca="false">Payment_Log_AP!E234</f>
        <v>2121.27</v>
      </c>
      <c r="E238" s="18" t="n">
        <f aca="false">IFERROR(INDEX(Bank_Statement!$C$2:$C$783,MATCH(A238,Bank_Statement!$E$2:$E$783,0)),"")</f>
        <v>-2121.27</v>
      </c>
      <c r="F238" s="16" t="str">
        <f aca="false">IF(E238="","No","Yes")</f>
        <v>Yes</v>
      </c>
      <c r="G238" s="18" t="n">
        <f aca="false">IF(F238="No","N/A",D238-E238)</f>
        <v>4242.54</v>
      </c>
      <c r="H238" s="16" t="str">
        <f aca="false">IF(F238="No","Unmatched - Investigate",IF(ABS(D238-E238)&gt;Assumptions!$B$6,"Mismatch - Amount Differs","Matched"))</f>
        <v>Mismatch - Amount Differs</v>
      </c>
    </row>
    <row r="239" customFormat="false" ht="15" hidden="false" customHeight="false" outlineLevel="0" collapsed="false">
      <c r="A239" s="16" t="str">
        <f aca="false">Payment_Log_AP!A235</f>
        <v>PAY40234</v>
      </c>
      <c r="B239" s="16" t="str">
        <f aca="false">Payment_Log_AP!C235</f>
        <v>V1008</v>
      </c>
      <c r="C239" s="17" t="n">
        <f aca="false">Payment_Log_AP!D235</f>
        <v>46057</v>
      </c>
      <c r="D239" s="18" t="n">
        <f aca="false">Payment_Log_AP!E235</f>
        <v>782.81</v>
      </c>
      <c r="E239" s="18" t="n">
        <f aca="false">IFERROR(INDEX(Bank_Statement!$C$2:$C$783,MATCH(A239,Bank_Statement!$E$2:$E$783,0)),"")</f>
        <v>-782.81</v>
      </c>
      <c r="F239" s="16" t="str">
        <f aca="false">IF(E239="","No","Yes")</f>
        <v>Yes</v>
      </c>
      <c r="G239" s="18" t="n">
        <f aca="false">IF(F239="No","N/A",D239-E239)</f>
        <v>1565.62</v>
      </c>
      <c r="H239" s="16" t="str">
        <f aca="false">IF(F239="No","Unmatched - Investigate",IF(ABS(D239-E239)&gt;Assumptions!$B$6,"Mismatch - Amount Differs","Matched"))</f>
        <v>Mismatch - Amount Differs</v>
      </c>
    </row>
    <row r="240" customFormat="false" ht="15" hidden="false" customHeight="false" outlineLevel="0" collapsed="false">
      <c r="A240" s="16" t="str">
        <f aca="false">Payment_Log_AP!A236</f>
        <v>PAY40235</v>
      </c>
      <c r="B240" s="16" t="str">
        <f aca="false">Payment_Log_AP!C236</f>
        <v>V1007</v>
      </c>
      <c r="C240" s="17" t="n">
        <f aca="false">Payment_Log_AP!D236</f>
        <v>45847</v>
      </c>
      <c r="D240" s="18" t="n">
        <f aca="false">Payment_Log_AP!E236</f>
        <v>231.64</v>
      </c>
      <c r="E240" s="18" t="n">
        <f aca="false">IFERROR(INDEX(Bank_Statement!$C$2:$C$783,MATCH(A240,Bank_Statement!$E$2:$E$783,0)),"")</f>
        <v>-231.64</v>
      </c>
      <c r="F240" s="16" t="str">
        <f aca="false">IF(E240="","No","Yes")</f>
        <v>Yes</v>
      </c>
      <c r="G240" s="18" t="n">
        <f aca="false">IF(F240="No","N/A",D240-E240)</f>
        <v>463.28</v>
      </c>
      <c r="H240" s="16" t="str">
        <f aca="false">IF(F240="No","Unmatched - Investigate",IF(ABS(D240-E240)&gt;Assumptions!$B$6,"Mismatch - Amount Differs","Matched"))</f>
        <v>Mismatch - Amount Differs</v>
      </c>
    </row>
    <row r="241" customFormat="false" ht="15" hidden="false" customHeight="false" outlineLevel="0" collapsed="false">
      <c r="A241" s="16" t="str">
        <f aca="false">Payment_Log_AP!A237</f>
        <v>PAY40236</v>
      </c>
      <c r="B241" s="16" t="str">
        <f aca="false">Payment_Log_AP!C237</f>
        <v>V1021</v>
      </c>
      <c r="C241" s="17" t="n">
        <f aca="false">Payment_Log_AP!D237</f>
        <v>45706</v>
      </c>
      <c r="D241" s="18" t="n">
        <f aca="false">Payment_Log_AP!E237</f>
        <v>585.14</v>
      </c>
      <c r="E241" s="18" t="n">
        <f aca="false">IFERROR(INDEX(Bank_Statement!$C$2:$C$783,MATCH(A241,Bank_Statement!$E$2:$E$783,0)),"")</f>
        <v>-585.14</v>
      </c>
      <c r="F241" s="16" t="str">
        <f aca="false">IF(E241="","No","Yes")</f>
        <v>Yes</v>
      </c>
      <c r="G241" s="18" t="n">
        <f aca="false">IF(F241="No","N/A",D241-E241)</f>
        <v>1170.28</v>
      </c>
      <c r="H241" s="16" t="str">
        <f aca="false">IF(F241="No","Unmatched - Investigate",IF(ABS(D241-E241)&gt;Assumptions!$B$6,"Mismatch - Amount Differs","Matched"))</f>
        <v>Mismatch - Amount Differs</v>
      </c>
    </row>
    <row r="242" customFormat="false" ht="15" hidden="false" customHeight="false" outlineLevel="0" collapsed="false">
      <c r="A242" s="16" t="str">
        <f aca="false">Payment_Log_AP!A238</f>
        <v>PAY40237</v>
      </c>
      <c r="B242" s="16" t="str">
        <f aca="false">Payment_Log_AP!C238</f>
        <v>V1022</v>
      </c>
      <c r="C242" s="17" t="n">
        <f aca="false">Payment_Log_AP!D238</f>
        <v>46178</v>
      </c>
      <c r="D242" s="18" t="n">
        <f aca="false">Payment_Log_AP!E238</f>
        <v>2715.46</v>
      </c>
      <c r="E242" s="18" t="n">
        <f aca="false">IFERROR(INDEX(Bank_Statement!$C$2:$C$783,MATCH(A242,Bank_Statement!$E$2:$E$783,0)),"")</f>
        <v>-2715.46</v>
      </c>
      <c r="F242" s="16" t="str">
        <f aca="false">IF(E242="","No","Yes")</f>
        <v>Yes</v>
      </c>
      <c r="G242" s="18" t="n">
        <f aca="false">IF(F242="No","N/A",D242-E242)</f>
        <v>5430.92</v>
      </c>
      <c r="H242" s="16" t="str">
        <f aca="false">IF(F242="No","Unmatched - Investigate",IF(ABS(D242-E242)&gt;Assumptions!$B$6,"Mismatch - Amount Differs","Matched"))</f>
        <v>Mismatch - Amount Differs</v>
      </c>
    </row>
    <row r="243" customFormat="false" ht="15" hidden="false" customHeight="false" outlineLevel="0" collapsed="false">
      <c r="A243" s="16" t="str">
        <f aca="false">Payment_Log_AP!A239</f>
        <v>PAY40238</v>
      </c>
      <c r="B243" s="16" t="str">
        <f aca="false">Payment_Log_AP!C239</f>
        <v>V1022</v>
      </c>
      <c r="C243" s="17" t="n">
        <f aca="false">Payment_Log_AP!D239</f>
        <v>46074</v>
      </c>
      <c r="D243" s="18" t="n">
        <f aca="false">Payment_Log_AP!E239</f>
        <v>5917.43</v>
      </c>
      <c r="E243" s="18" t="n">
        <f aca="false">IFERROR(INDEX(Bank_Statement!$C$2:$C$783,MATCH(A243,Bank_Statement!$E$2:$E$783,0)),"")</f>
        <v>-5917.43</v>
      </c>
      <c r="F243" s="16" t="str">
        <f aca="false">IF(E243="","No","Yes")</f>
        <v>Yes</v>
      </c>
      <c r="G243" s="18" t="n">
        <f aca="false">IF(F243="No","N/A",D243-E243)</f>
        <v>11834.86</v>
      </c>
      <c r="H243" s="16" t="str">
        <f aca="false">IF(F243="No","Unmatched - Investigate",IF(ABS(D243-E243)&gt;Assumptions!$B$6,"Mismatch - Amount Differs","Matched"))</f>
        <v>Mismatch - Amount Differs</v>
      </c>
    </row>
    <row r="244" customFormat="false" ht="15" hidden="false" customHeight="false" outlineLevel="0" collapsed="false">
      <c r="A244" s="16" t="str">
        <f aca="false">Payment_Log_AP!A240</f>
        <v>PAY40239</v>
      </c>
      <c r="B244" s="16" t="str">
        <f aca="false">Payment_Log_AP!C240</f>
        <v>V1003</v>
      </c>
      <c r="C244" s="17" t="n">
        <f aca="false">Payment_Log_AP!D240</f>
        <v>45967</v>
      </c>
      <c r="D244" s="18" t="n">
        <f aca="false">Payment_Log_AP!E240</f>
        <v>866.85</v>
      </c>
      <c r="E244" s="18" t="n">
        <f aca="false">IFERROR(INDEX(Bank_Statement!$C$2:$C$783,MATCH(A244,Bank_Statement!$E$2:$E$783,0)),"")</f>
        <v>-866.85</v>
      </c>
      <c r="F244" s="16" t="str">
        <f aca="false">IF(E244="","No","Yes")</f>
        <v>Yes</v>
      </c>
      <c r="G244" s="18" t="n">
        <f aca="false">IF(F244="No","N/A",D244-E244)</f>
        <v>1733.7</v>
      </c>
      <c r="H244" s="16" t="str">
        <f aca="false">IF(F244="No","Unmatched - Investigate",IF(ABS(D244-E244)&gt;Assumptions!$B$6,"Mismatch - Amount Differs","Matched"))</f>
        <v>Mismatch - Amount Differs</v>
      </c>
    </row>
    <row r="245" customFormat="false" ht="15" hidden="false" customHeight="false" outlineLevel="0" collapsed="false">
      <c r="A245" s="16" t="str">
        <f aca="false">Payment_Log_AP!A241</f>
        <v>PAY40240</v>
      </c>
      <c r="B245" s="16" t="str">
        <f aca="false">Payment_Log_AP!C241</f>
        <v>V1017</v>
      </c>
      <c r="C245" s="17" t="n">
        <f aca="false">Payment_Log_AP!D241</f>
        <v>46116</v>
      </c>
      <c r="D245" s="18" t="n">
        <f aca="false">Payment_Log_AP!E241</f>
        <v>5943.52</v>
      </c>
      <c r="E245" s="18" t="n">
        <f aca="false">IFERROR(INDEX(Bank_Statement!$C$2:$C$783,MATCH(A245,Bank_Statement!$E$2:$E$783,0)),"")</f>
        <v>-5943.52</v>
      </c>
      <c r="F245" s="16" t="str">
        <f aca="false">IF(E245="","No","Yes")</f>
        <v>Yes</v>
      </c>
      <c r="G245" s="18" t="n">
        <f aca="false">IF(F245="No","N/A",D245-E245)</f>
        <v>11887.04</v>
      </c>
      <c r="H245" s="16" t="str">
        <f aca="false">IF(F245="No","Unmatched - Investigate",IF(ABS(D245-E245)&gt;Assumptions!$B$6,"Mismatch - Amount Differs","Matched"))</f>
        <v>Mismatch - Amount Differs</v>
      </c>
    </row>
    <row r="246" customFormat="false" ht="15" hidden="false" customHeight="false" outlineLevel="0" collapsed="false">
      <c r="A246" s="16" t="str">
        <f aca="false">Payment_Log_AP!A242</f>
        <v>PAY40241</v>
      </c>
      <c r="B246" s="16" t="str">
        <f aca="false">Payment_Log_AP!C242</f>
        <v>V1016</v>
      </c>
      <c r="C246" s="17" t="n">
        <f aca="false">Payment_Log_AP!D242</f>
        <v>46075</v>
      </c>
      <c r="D246" s="18" t="n">
        <f aca="false">Payment_Log_AP!E242</f>
        <v>2495.51</v>
      </c>
      <c r="E246" s="18" t="n">
        <f aca="false">IFERROR(INDEX(Bank_Statement!$C$2:$C$783,MATCH(A246,Bank_Statement!$E$2:$E$783,0)),"")</f>
        <v>-2495.51</v>
      </c>
      <c r="F246" s="16" t="str">
        <f aca="false">IF(E246="","No","Yes")</f>
        <v>Yes</v>
      </c>
      <c r="G246" s="18" t="n">
        <f aca="false">IF(F246="No","N/A",D246-E246)</f>
        <v>4991.02</v>
      </c>
      <c r="H246" s="16" t="str">
        <f aca="false">IF(F246="No","Unmatched - Investigate",IF(ABS(D246-E246)&gt;Assumptions!$B$6,"Mismatch - Amount Differs","Matched"))</f>
        <v>Mismatch - Amount Differs</v>
      </c>
    </row>
    <row r="247" customFormat="false" ht="15" hidden="false" customHeight="false" outlineLevel="0" collapsed="false">
      <c r="A247" s="16" t="str">
        <f aca="false">Payment_Log_AP!A243</f>
        <v>PAY40242</v>
      </c>
      <c r="B247" s="16" t="str">
        <f aca="false">Payment_Log_AP!C243</f>
        <v>V1035</v>
      </c>
      <c r="C247" s="17" t="n">
        <f aca="false">Payment_Log_AP!D243</f>
        <v>45944</v>
      </c>
      <c r="D247" s="18" t="n">
        <f aca="false">Payment_Log_AP!E243</f>
        <v>1274.7</v>
      </c>
      <c r="E247" s="18" t="n">
        <f aca="false">IFERROR(INDEX(Bank_Statement!$C$2:$C$783,MATCH(A247,Bank_Statement!$E$2:$E$783,0)),"")</f>
        <v>-1274.7</v>
      </c>
      <c r="F247" s="16" t="str">
        <f aca="false">IF(E247="","No","Yes")</f>
        <v>Yes</v>
      </c>
      <c r="G247" s="18" t="n">
        <f aca="false">IF(F247="No","N/A",D247-E247)</f>
        <v>2549.4</v>
      </c>
      <c r="H247" s="16" t="str">
        <f aca="false">IF(F247="No","Unmatched - Investigate",IF(ABS(D247-E247)&gt;Assumptions!$B$6,"Mismatch - Amount Differs","Matched"))</f>
        <v>Mismatch - Amount Differs</v>
      </c>
    </row>
    <row r="248" customFormat="false" ht="15" hidden="false" customHeight="false" outlineLevel="0" collapsed="false">
      <c r="A248" s="16" t="str">
        <f aca="false">Payment_Log_AP!A244</f>
        <v>PAY40243</v>
      </c>
      <c r="B248" s="16" t="str">
        <f aca="false">Payment_Log_AP!C244</f>
        <v>V1003</v>
      </c>
      <c r="C248" s="17" t="n">
        <f aca="false">Payment_Log_AP!D244</f>
        <v>46141</v>
      </c>
      <c r="D248" s="18" t="n">
        <f aca="false">Payment_Log_AP!E244</f>
        <v>2055.42</v>
      </c>
      <c r="E248" s="18" t="n">
        <f aca="false">IFERROR(INDEX(Bank_Statement!$C$2:$C$783,MATCH(A248,Bank_Statement!$E$2:$E$783,0)),"")</f>
        <v>-2055.42</v>
      </c>
      <c r="F248" s="16" t="str">
        <f aca="false">IF(E248="","No","Yes")</f>
        <v>Yes</v>
      </c>
      <c r="G248" s="18" t="n">
        <f aca="false">IF(F248="No","N/A",D248-E248)</f>
        <v>4110.84</v>
      </c>
      <c r="H248" s="16" t="str">
        <f aca="false">IF(F248="No","Unmatched - Investigate",IF(ABS(D248-E248)&gt;Assumptions!$B$6,"Mismatch - Amount Differs","Matched"))</f>
        <v>Mismatch - Amount Differs</v>
      </c>
    </row>
    <row r="249" customFormat="false" ht="15" hidden="false" customHeight="false" outlineLevel="0" collapsed="false">
      <c r="A249" s="16" t="str">
        <f aca="false">Payment_Log_AP!A245</f>
        <v>PAY40244</v>
      </c>
      <c r="B249" s="16" t="str">
        <f aca="false">Payment_Log_AP!C245</f>
        <v>V1012</v>
      </c>
      <c r="C249" s="17" t="n">
        <f aca="false">Payment_Log_AP!D245</f>
        <v>45743</v>
      </c>
      <c r="D249" s="18" t="n">
        <f aca="false">Payment_Log_AP!E245</f>
        <v>8984.32</v>
      </c>
      <c r="E249" s="18" t="n">
        <f aca="false">IFERROR(INDEX(Bank_Statement!$C$2:$C$783,MATCH(A249,Bank_Statement!$E$2:$E$783,0)),"")</f>
        <v>-8984.32</v>
      </c>
      <c r="F249" s="16" t="str">
        <f aca="false">IF(E249="","No","Yes")</f>
        <v>Yes</v>
      </c>
      <c r="G249" s="18" t="n">
        <f aca="false">IF(F249="No","N/A",D249-E249)</f>
        <v>17968.64</v>
      </c>
      <c r="H249" s="16" t="str">
        <f aca="false">IF(F249="No","Unmatched - Investigate",IF(ABS(D249-E249)&gt;Assumptions!$B$6,"Mismatch - Amount Differs","Matched"))</f>
        <v>Mismatch - Amount Differs</v>
      </c>
    </row>
    <row r="250" customFormat="false" ht="15" hidden="false" customHeight="false" outlineLevel="0" collapsed="false">
      <c r="A250" s="16" t="str">
        <f aca="false">Payment_Log_AP!A246</f>
        <v>PAY40245</v>
      </c>
      <c r="B250" s="16" t="str">
        <f aca="false">Payment_Log_AP!C246</f>
        <v>V1022</v>
      </c>
      <c r="C250" s="17" t="n">
        <f aca="false">Payment_Log_AP!D246</f>
        <v>45805</v>
      </c>
      <c r="D250" s="18" t="n">
        <f aca="false">Payment_Log_AP!E246</f>
        <v>4378.74</v>
      </c>
      <c r="E250" s="18" t="n">
        <f aca="false">IFERROR(INDEX(Bank_Statement!$C$2:$C$783,MATCH(A250,Bank_Statement!$E$2:$E$783,0)),"")</f>
        <v>-4378.74</v>
      </c>
      <c r="F250" s="16" t="str">
        <f aca="false">IF(E250="","No","Yes")</f>
        <v>Yes</v>
      </c>
      <c r="G250" s="18" t="n">
        <f aca="false">IF(F250="No","N/A",D250-E250)</f>
        <v>8757.48</v>
      </c>
      <c r="H250" s="16" t="str">
        <f aca="false">IF(F250="No","Unmatched - Investigate",IF(ABS(D250-E250)&gt;Assumptions!$B$6,"Mismatch - Amount Differs","Matched"))</f>
        <v>Mismatch - Amount Differs</v>
      </c>
    </row>
    <row r="251" customFormat="false" ht="15" hidden="false" customHeight="false" outlineLevel="0" collapsed="false">
      <c r="A251" s="16" t="str">
        <f aca="false">Payment_Log_AP!A247</f>
        <v>PAY40246</v>
      </c>
      <c r="B251" s="16" t="str">
        <f aca="false">Payment_Log_AP!C247</f>
        <v>V1030</v>
      </c>
      <c r="C251" s="17" t="n">
        <f aca="false">Payment_Log_AP!D247</f>
        <v>46053</v>
      </c>
      <c r="D251" s="18" t="n">
        <f aca="false">Payment_Log_AP!E247</f>
        <v>519.69</v>
      </c>
      <c r="E251" s="18" t="n">
        <f aca="false">IFERROR(INDEX(Bank_Statement!$C$2:$C$783,MATCH(A251,Bank_Statement!$E$2:$E$783,0)),"")</f>
        <v>-519.69</v>
      </c>
      <c r="F251" s="16" t="str">
        <f aca="false">IF(E251="","No","Yes")</f>
        <v>Yes</v>
      </c>
      <c r="G251" s="18" t="n">
        <f aca="false">IF(F251="No","N/A",D251-E251)</f>
        <v>1039.38</v>
      </c>
      <c r="H251" s="16" t="str">
        <f aca="false">IF(F251="No","Unmatched - Investigate",IF(ABS(D251-E251)&gt;Assumptions!$B$6,"Mismatch - Amount Differs","Matched"))</f>
        <v>Mismatch - Amount Differs</v>
      </c>
    </row>
    <row r="252" customFormat="false" ht="15" hidden="false" customHeight="false" outlineLevel="0" collapsed="false">
      <c r="A252" s="16" t="str">
        <f aca="false">Payment_Log_AP!A248</f>
        <v>PAY40247</v>
      </c>
      <c r="B252" s="16" t="str">
        <f aca="false">Payment_Log_AP!C248</f>
        <v>V1017</v>
      </c>
      <c r="C252" s="17" t="n">
        <f aca="false">Payment_Log_AP!D248</f>
        <v>45860</v>
      </c>
      <c r="D252" s="18" t="n">
        <f aca="false">Payment_Log_AP!E248</f>
        <v>2656.9</v>
      </c>
      <c r="E252" s="18" t="n">
        <f aca="false">IFERROR(INDEX(Bank_Statement!$C$2:$C$783,MATCH(A252,Bank_Statement!$E$2:$E$783,0)),"")</f>
        <v>-2656.9</v>
      </c>
      <c r="F252" s="16" t="str">
        <f aca="false">IF(E252="","No","Yes")</f>
        <v>Yes</v>
      </c>
      <c r="G252" s="18" t="n">
        <f aca="false">IF(F252="No","N/A",D252-E252)</f>
        <v>5313.8</v>
      </c>
      <c r="H252" s="16" t="str">
        <f aca="false">IF(F252="No","Unmatched - Investigate",IF(ABS(D252-E252)&gt;Assumptions!$B$6,"Mismatch - Amount Differs","Matched"))</f>
        <v>Mismatch - Amount Differs</v>
      </c>
    </row>
    <row r="253" customFormat="false" ht="15" hidden="false" customHeight="false" outlineLevel="0" collapsed="false">
      <c r="A253" s="16" t="str">
        <f aca="false">Payment_Log_AP!A249</f>
        <v>PAY40248</v>
      </c>
      <c r="B253" s="16" t="str">
        <f aca="false">Payment_Log_AP!C249</f>
        <v>V1016</v>
      </c>
      <c r="C253" s="17" t="n">
        <f aca="false">Payment_Log_AP!D249</f>
        <v>46012</v>
      </c>
      <c r="D253" s="18" t="n">
        <f aca="false">Payment_Log_AP!E249</f>
        <v>611.97</v>
      </c>
      <c r="E253" s="18" t="n">
        <f aca="false">IFERROR(INDEX(Bank_Statement!$C$2:$C$783,MATCH(A253,Bank_Statement!$E$2:$E$783,0)),"")</f>
        <v>-611.97</v>
      </c>
      <c r="F253" s="16" t="str">
        <f aca="false">IF(E253="","No","Yes")</f>
        <v>Yes</v>
      </c>
      <c r="G253" s="18" t="n">
        <f aca="false">IF(F253="No","N/A",D253-E253)</f>
        <v>1223.94</v>
      </c>
      <c r="H253" s="16" t="str">
        <f aca="false">IF(F253="No","Unmatched - Investigate",IF(ABS(D253-E253)&gt;Assumptions!$B$6,"Mismatch - Amount Differs","Matched"))</f>
        <v>Mismatch - Amount Differs</v>
      </c>
    </row>
    <row r="254" customFormat="false" ht="15" hidden="false" customHeight="false" outlineLevel="0" collapsed="false">
      <c r="A254" s="16" t="str">
        <f aca="false">Payment_Log_AP!A250</f>
        <v>PAY40249</v>
      </c>
      <c r="B254" s="16" t="str">
        <f aca="false">Payment_Log_AP!C250</f>
        <v>V1015</v>
      </c>
      <c r="C254" s="17" t="n">
        <f aca="false">Payment_Log_AP!D250</f>
        <v>45935</v>
      </c>
      <c r="D254" s="18" t="n">
        <f aca="false">Payment_Log_AP!E250</f>
        <v>3378.98</v>
      </c>
      <c r="E254" s="18" t="n">
        <f aca="false">IFERROR(INDEX(Bank_Statement!$C$2:$C$783,MATCH(A254,Bank_Statement!$E$2:$E$783,0)),"")</f>
        <v>-3378.98</v>
      </c>
      <c r="F254" s="16" t="str">
        <f aca="false">IF(E254="","No","Yes")</f>
        <v>Yes</v>
      </c>
      <c r="G254" s="18" t="n">
        <f aca="false">IF(F254="No","N/A",D254-E254)</f>
        <v>6757.96</v>
      </c>
      <c r="H254" s="16" t="str">
        <f aca="false">IF(F254="No","Unmatched - Investigate",IF(ABS(D254-E254)&gt;Assumptions!$B$6,"Mismatch - Amount Differs","Matched"))</f>
        <v>Mismatch - Amount Differs</v>
      </c>
    </row>
    <row r="255" customFormat="false" ht="15" hidden="false" customHeight="false" outlineLevel="0" collapsed="false">
      <c r="A255" s="16" t="str">
        <f aca="false">Payment_Log_AP!A251</f>
        <v>PAY40250</v>
      </c>
      <c r="B255" s="16" t="str">
        <f aca="false">Payment_Log_AP!C251</f>
        <v>V1005</v>
      </c>
      <c r="C255" s="17" t="n">
        <f aca="false">Payment_Log_AP!D251</f>
        <v>45935</v>
      </c>
      <c r="D255" s="18" t="n">
        <f aca="false">Payment_Log_AP!E251</f>
        <v>225.68</v>
      </c>
      <c r="E255" s="18" t="n">
        <f aca="false">IFERROR(INDEX(Bank_Statement!$C$2:$C$783,MATCH(A255,Bank_Statement!$E$2:$E$783,0)),"")</f>
        <v>-225.68</v>
      </c>
      <c r="F255" s="16" t="str">
        <f aca="false">IF(E255="","No","Yes")</f>
        <v>Yes</v>
      </c>
      <c r="G255" s="18" t="n">
        <f aca="false">IF(F255="No","N/A",D255-E255)</f>
        <v>451.36</v>
      </c>
      <c r="H255" s="16" t="str">
        <f aca="false">IF(F255="No","Unmatched - Investigate",IF(ABS(D255-E255)&gt;Assumptions!$B$6,"Mismatch - Amount Differs","Matched"))</f>
        <v>Mismatch - Amount Differs</v>
      </c>
    </row>
    <row r="256" customFormat="false" ht="15" hidden="false" customHeight="false" outlineLevel="0" collapsed="false">
      <c r="A256" s="16" t="str">
        <f aca="false">Payment_Log_AP!A252</f>
        <v>PAY40251</v>
      </c>
      <c r="B256" s="16" t="str">
        <f aca="false">Payment_Log_AP!C252</f>
        <v>V1004</v>
      </c>
      <c r="C256" s="17" t="n">
        <f aca="false">Payment_Log_AP!D252</f>
        <v>46093</v>
      </c>
      <c r="D256" s="18" t="n">
        <f aca="false">Payment_Log_AP!E252</f>
        <v>1424.85</v>
      </c>
      <c r="E256" s="18" t="n">
        <f aca="false">IFERROR(INDEX(Bank_Statement!$C$2:$C$783,MATCH(A256,Bank_Statement!$E$2:$E$783,0)),"")</f>
        <v>-1424.85</v>
      </c>
      <c r="F256" s="16" t="str">
        <f aca="false">IF(E256="","No","Yes")</f>
        <v>Yes</v>
      </c>
      <c r="G256" s="18" t="n">
        <f aca="false">IF(F256="No","N/A",D256-E256)</f>
        <v>2849.7</v>
      </c>
      <c r="H256" s="16" t="str">
        <f aca="false">IF(F256="No","Unmatched - Investigate",IF(ABS(D256-E256)&gt;Assumptions!$B$6,"Mismatch - Amount Differs","Matched"))</f>
        <v>Mismatch - Amount Differs</v>
      </c>
    </row>
    <row r="257" customFormat="false" ht="15" hidden="false" customHeight="false" outlineLevel="0" collapsed="false">
      <c r="A257" s="16" t="str">
        <f aca="false">Payment_Log_AP!A253</f>
        <v>PAY40252</v>
      </c>
      <c r="B257" s="16" t="str">
        <f aca="false">Payment_Log_AP!C253</f>
        <v>V1040</v>
      </c>
      <c r="C257" s="17" t="n">
        <f aca="false">Payment_Log_AP!D253</f>
        <v>45856</v>
      </c>
      <c r="D257" s="18" t="n">
        <f aca="false">Payment_Log_AP!E253</f>
        <v>643.44</v>
      </c>
      <c r="E257" s="18" t="n">
        <f aca="false">IFERROR(INDEX(Bank_Statement!$C$2:$C$783,MATCH(A257,Bank_Statement!$E$2:$E$783,0)),"")</f>
        <v>-643.44</v>
      </c>
      <c r="F257" s="16" t="str">
        <f aca="false">IF(E257="","No","Yes")</f>
        <v>Yes</v>
      </c>
      <c r="G257" s="18" t="n">
        <f aca="false">IF(F257="No","N/A",D257-E257)</f>
        <v>1286.88</v>
      </c>
      <c r="H257" s="16" t="str">
        <f aca="false">IF(F257="No","Unmatched - Investigate",IF(ABS(D257-E257)&gt;Assumptions!$B$6,"Mismatch - Amount Differs","Matched"))</f>
        <v>Mismatch - Amount Differs</v>
      </c>
    </row>
    <row r="258" customFormat="false" ht="15" hidden="false" customHeight="false" outlineLevel="0" collapsed="false">
      <c r="A258" s="16" t="str">
        <f aca="false">Payment_Log_AP!A254</f>
        <v>PAY40253</v>
      </c>
      <c r="B258" s="16" t="str">
        <f aca="false">Payment_Log_AP!C254</f>
        <v>V1038</v>
      </c>
      <c r="C258" s="17" t="n">
        <f aca="false">Payment_Log_AP!D254</f>
        <v>45851</v>
      </c>
      <c r="D258" s="18" t="n">
        <f aca="false">Payment_Log_AP!E254</f>
        <v>289.77</v>
      </c>
      <c r="E258" s="18" t="n">
        <f aca="false">IFERROR(INDEX(Bank_Statement!$C$2:$C$783,MATCH(A258,Bank_Statement!$E$2:$E$783,0)),"")</f>
        <v>-289.77</v>
      </c>
      <c r="F258" s="16" t="str">
        <f aca="false">IF(E258="","No","Yes")</f>
        <v>Yes</v>
      </c>
      <c r="G258" s="18" t="n">
        <f aca="false">IF(F258="No","N/A",D258-E258)</f>
        <v>579.54</v>
      </c>
      <c r="H258" s="16" t="str">
        <f aca="false">IF(F258="No","Unmatched - Investigate",IF(ABS(D258-E258)&gt;Assumptions!$B$6,"Mismatch - Amount Differs","Matched"))</f>
        <v>Mismatch - Amount Differs</v>
      </c>
    </row>
    <row r="259" customFormat="false" ht="15" hidden="false" customHeight="false" outlineLevel="0" collapsed="false">
      <c r="A259" s="16" t="str">
        <f aca="false">Payment_Log_AP!A255</f>
        <v>PAY40254</v>
      </c>
      <c r="B259" s="16" t="str">
        <f aca="false">Payment_Log_AP!C255</f>
        <v>V1011</v>
      </c>
      <c r="C259" s="17" t="n">
        <f aca="false">Payment_Log_AP!D255</f>
        <v>45815</v>
      </c>
      <c r="D259" s="18" t="n">
        <f aca="false">Payment_Log_AP!E255</f>
        <v>325.7</v>
      </c>
      <c r="E259" s="18" t="n">
        <f aca="false">IFERROR(INDEX(Bank_Statement!$C$2:$C$783,MATCH(A259,Bank_Statement!$E$2:$E$783,0)),"")</f>
        <v>-325.7</v>
      </c>
      <c r="F259" s="16" t="str">
        <f aca="false">IF(E259="","No","Yes")</f>
        <v>Yes</v>
      </c>
      <c r="G259" s="18" t="n">
        <f aca="false">IF(F259="No","N/A",D259-E259)</f>
        <v>651.4</v>
      </c>
      <c r="H259" s="16" t="str">
        <f aca="false">IF(F259="No","Unmatched - Investigate",IF(ABS(D259-E259)&gt;Assumptions!$B$6,"Mismatch - Amount Differs","Matched"))</f>
        <v>Mismatch - Amount Differs</v>
      </c>
    </row>
    <row r="260" customFormat="false" ht="15" hidden="false" customHeight="false" outlineLevel="0" collapsed="false">
      <c r="A260" s="16" t="str">
        <f aca="false">Payment_Log_AP!A256</f>
        <v>PAY40255</v>
      </c>
      <c r="B260" s="16" t="str">
        <f aca="false">Payment_Log_AP!C256</f>
        <v>V1031</v>
      </c>
      <c r="C260" s="17" t="n">
        <f aca="false">Payment_Log_AP!D256</f>
        <v>45734</v>
      </c>
      <c r="D260" s="18" t="n">
        <f aca="false">Payment_Log_AP!E256</f>
        <v>8611.23</v>
      </c>
      <c r="E260" s="18" t="n">
        <f aca="false">IFERROR(INDEX(Bank_Statement!$C$2:$C$783,MATCH(A260,Bank_Statement!$E$2:$E$783,0)),"")</f>
        <v>-8611.23</v>
      </c>
      <c r="F260" s="16" t="str">
        <f aca="false">IF(E260="","No","Yes")</f>
        <v>Yes</v>
      </c>
      <c r="G260" s="18" t="n">
        <f aca="false">IF(F260="No","N/A",D260-E260)</f>
        <v>17222.46</v>
      </c>
      <c r="H260" s="16" t="str">
        <f aca="false">IF(F260="No","Unmatched - Investigate",IF(ABS(D260-E260)&gt;Assumptions!$B$6,"Mismatch - Amount Differs","Matched"))</f>
        <v>Mismatch - Amount Differs</v>
      </c>
    </row>
    <row r="261" customFormat="false" ht="15" hidden="false" customHeight="false" outlineLevel="0" collapsed="false">
      <c r="A261" s="16" t="str">
        <f aca="false">Payment_Log_AP!A257</f>
        <v>PAY40256</v>
      </c>
      <c r="B261" s="16" t="str">
        <f aca="false">Payment_Log_AP!C257</f>
        <v>V1005</v>
      </c>
      <c r="C261" s="17" t="n">
        <f aca="false">Payment_Log_AP!D257</f>
        <v>45781</v>
      </c>
      <c r="D261" s="18" t="n">
        <f aca="false">Payment_Log_AP!E257</f>
        <v>1496.91</v>
      </c>
      <c r="E261" s="18" t="n">
        <f aca="false">IFERROR(INDEX(Bank_Statement!$C$2:$C$783,MATCH(A261,Bank_Statement!$E$2:$E$783,0)),"")</f>
        <v>-1496.91</v>
      </c>
      <c r="F261" s="16" t="str">
        <f aca="false">IF(E261="","No","Yes")</f>
        <v>Yes</v>
      </c>
      <c r="G261" s="18" t="n">
        <f aca="false">IF(F261="No","N/A",D261-E261)</f>
        <v>2993.82</v>
      </c>
      <c r="H261" s="16" t="str">
        <f aca="false">IF(F261="No","Unmatched - Investigate",IF(ABS(D261-E261)&gt;Assumptions!$B$6,"Mismatch - Amount Differs","Matched"))</f>
        <v>Mismatch - Amount Differs</v>
      </c>
    </row>
    <row r="262" customFormat="false" ht="15" hidden="false" customHeight="false" outlineLevel="0" collapsed="false">
      <c r="A262" s="16" t="str">
        <f aca="false">Payment_Log_AP!A258</f>
        <v>PAY40257</v>
      </c>
      <c r="B262" s="16" t="str">
        <f aca="false">Payment_Log_AP!C258</f>
        <v>V1031</v>
      </c>
      <c r="C262" s="17" t="n">
        <f aca="false">Payment_Log_AP!D258</f>
        <v>45746</v>
      </c>
      <c r="D262" s="18" t="n">
        <f aca="false">Payment_Log_AP!E258</f>
        <v>6053.15</v>
      </c>
      <c r="E262" s="18" t="n">
        <f aca="false">IFERROR(INDEX(Bank_Statement!$C$2:$C$783,MATCH(A262,Bank_Statement!$E$2:$E$783,0)),"")</f>
        <v>-6053.15</v>
      </c>
      <c r="F262" s="16" t="str">
        <f aca="false">IF(E262="","No","Yes")</f>
        <v>Yes</v>
      </c>
      <c r="G262" s="18" t="n">
        <f aca="false">IF(F262="No","N/A",D262-E262)</f>
        <v>12106.3</v>
      </c>
      <c r="H262" s="16" t="str">
        <f aca="false">IF(F262="No","Unmatched - Investigate",IF(ABS(D262-E262)&gt;Assumptions!$B$6,"Mismatch - Amount Differs","Matched"))</f>
        <v>Mismatch - Amount Differs</v>
      </c>
    </row>
    <row r="263" customFormat="false" ht="15" hidden="false" customHeight="false" outlineLevel="0" collapsed="false">
      <c r="A263" s="16" t="str">
        <f aca="false">Payment_Log_AP!A259</f>
        <v>PAY40258</v>
      </c>
      <c r="B263" s="16" t="str">
        <f aca="false">Payment_Log_AP!C259</f>
        <v>V1035</v>
      </c>
      <c r="C263" s="17" t="n">
        <f aca="false">Payment_Log_AP!D259</f>
        <v>45990</v>
      </c>
      <c r="D263" s="18" t="n">
        <f aca="false">Payment_Log_AP!E259</f>
        <v>3104.44</v>
      </c>
      <c r="E263" s="18" t="n">
        <f aca="false">IFERROR(INDEX(Bank_Statement!$C$2:$C$783,MATCH(A263,Bank_Statement!$E$2:$E$783,0)),"")</f>
        <v>-3104.44</v>
      </c>
      <c r="F263" s="16" t="str">
        <f aca="false">IF(E263="","No","Yes")</f>
        <v>Yes</v>
      </c>
      <c r="G263" s="18" t="n">
        <f aca="false">IF(F263="No","N/A",D263-E263)</f>
        <v>6208.88</v>
      </c>
      <c r="H263" s="16" t="str">
        <f aca="false">IF(F263="No","Unmatched - Investigate",IF(ABS(D263-E263)&gt;Assumptions!$B$6,"Mismatch - Amount Differs","Matched"))</f>
        <v>Mismatch - Amount Differs</v>
      </c>
    </row>
    <row r="264" customFormat="false" ht="15" hidden="false" customHeight="false" outlineLevel="0" collapsed="false">
      <c r="A264" s="16" t="str">
        <f aca="false">Payment_Log_AP!A260</f>
        <v>PAY40259</v>
      </c>
      <c r="B264" s="16" t="str">
        <f aca="false">Payment_Log_AP!C260</f>
        <v>V1029</v>
      </c>
      <c r="C264" s="17" t="n">
        <f aca="false">Payment_Log_AP!D260</f>
        <v>46107</v>
      </c>
      <c r="D264" s="18" t="n">
        <f aca="false">Payment_Log_AP!E260</f>
        <v>1405.31</v>
      </c>
      <c r="E264" s="18" t="n">
        <f aca="false">IFERROR(INDEX(Bank_Statement!$C$2:$C$783,MATCH(A264,Bank_Statement!$E$2:$E$783,0)),"")</f>
        <v>-1405.31</v>
      </c>
      <c r="F264" s="16" t="str">
        <f aca="false">IF(E264="","No","Yes")</f>
        <v>Yes</v>
      </c>
      <c r="G264" s="18" t="n">
        <f aca="false">IF(F264="No","N/A",D264-E264)</f>
        <v>2810.62</v>
      </c>
      <c r="H264" s="16" t="str">
        <f aca="false">IF(F264="No","Unmatched - Investigate",IF(ABS(D264-E264)&gt;Assumptions!$B$6,"Mismatch - Amount Differs","Matched"))</f>
        <v>Mismatch - Amount Differs</v>
      </c>
    </row>
    <row r="265" customFormat="false" ht="15" hidden="false" customHeight="false" outlineLevel="0" collapsed="false">
      <c r="A265" s="16" t="str">
        <f aca="false">Payment_Log_AP!A261</f>
        <v>PAY40260</v>
      </c>
      <c r="B265" s="16" t="str">
        <f aca="false">Payment_Log_AP!C261</f>
        <v>V1026</v>
      </c>
      <c r="C265" s="17" t="n">
        <f aca="false">Payment_Log_AP!D261</f>
        <v>45792</v>
      </c>
      <c r="D265" s="18" t="n">
        <f aca="false">Payment_Log_AP!E261</f>
        <v>3241.37</v>
      </c>
      <c r="E265" s="18" t="n">
        <f aca="false">IFERROR(INDEX(Bank_Statement!$C$2:$C$783,MATCH(A265,Bank_Statement!$E$2:$E$783,0)),"")</f>
        <v>-3241.37</v>
      </c>
      <c r="F265" s="16" t="str">
        <f aca="false">IF(E265="","No","Yes")</f>
        <v>Yes</v>
      </c>
      <c r="G265" s="18" t="n">
        <f aca="false">IF(F265="No","N/A",D265-E265)</f>
        <v>6482.74</v>
      </c>
      <c r="H265" s="16" t="str">
        <f aca="false">IF(F265="No","Unmatched - Investigate",IF(ABS(D265-E265)&gt;Assumptions!$B$6,"Mismatch - Amount Differs","Matched"))</f>
        <v>Mismatch - Amount Differs</v>
      </c>
    </row>
    <row r="266" customFormat="false" ht="15" hidden="false" customHeight="false" outlineLevel="0" collapsed="false">
      <c r="A266" s="16" t="str">
        <f aca="false">Payment_Log_AP!A262</f>
        <v>PAY40261</v>
      </c>
      <c r="B266" s="16" t="str">
        <f aca="false">Payment_Log_AP!C262</f>
        <v>V1036</v>
      </c>
      <c r="C266" s="17" t="n">
        <f aca="false">Payment_Log_AP!D262</f>
        <v>45794</v>
      </c>
      <c r="D266" s="18" t="n">
        <f aca="false">Payment_Log_AP!E262</f>
        <v>871.5</v>
      </c>
      <c r="E266" s="18" t="n">
        <f aca="false">IFERROR(INDEX(Bank_Statement!$C$2:$C$783,MATCH(A266,Bank_Statement!$E$2:$E$783,0)),"")</f>
        <v>-871.5</v>
      </c>
      <c r="F266" s="16" t="str">
        <f aca="false">IF(E266="","No","Yes")</f>
        <v>Yes</v>
      </c>
      <c r="G266" s="18" t="n">
        <f aca="false">IF(F266="No","N/A",D266-E266)</f>
        <v>1743</v>
      </c>
      <c r="H266" s="16" t="str">
        <f aca="false">IF(F266="No","Unmatched - Investigate",IF(ABS(D266-E266)&gt;Assumptions!$B$6,"Mismatch - Amount Differs","Matched"))</f>
        <v>Mismatch - Amount Differs</v>
      </c>
    </row>
    <row r="267" customFormat="false" ht="15" hidden="false" customHeight="false" outlineLevel="0" collapsed="false">
      <c r="A267" s="16" t="str">
        <f aca="false">Payment_Log_AP!A263</f>
        <v>PAY40262</v>
      </c>
      <c r="B267" s="16" t="str">
        <f aca="false">Payment_Log_AP!C263</f>
        <v>V1019</v>
      </c>
      <c r="C267" s="17" t="n">
        <f aca="false">Payment_Log_AP!D263</f>
        <v>45948</v>
      </c>
      <c r="D267" s="18" t="n">
        <f aca="false">Payment_Log_AP!E263</f>
        <v>651.66</v>
      </c>
      <c r="E267" s="18" t="n">
        <f aca="false">IFERROR(INDEX(Bank_Statement!$C$2:$C$783,MATCH(A267,Bank_Statement!$E$2:$E$783,0)),"")</f>
        <v>-651.66</v>
      </c>
      <c r="F267" s="16" t="str">
        <f aca="false">IF(E267="","No","Yes")</f>
        <v>Yes</v>
      </c>
      <c r="G267" s="18" t="n">
        <f aca="false">IF(F267="No","N/A",D267-E267)</f>
        <v>1303.32</v>
      </c>
      <c r="H267" s="16" t="str">
        <f aca="false">IF(F267="No","Unmatched - Investigate",IF(ABS(D267-E267)&gt;Assumptions!$B$6,"Mismatch - Amount Differs","Matched"))</f>
        <v>Mismatch - Amount Differs</v>
      </c>
    </row>
    <row r="268" customFormat="false" ht="15" hidden="false" customHeight="false" outlineLevel="0" collapsed="false">
      <c r="A268" s="16" t="str">
        <f aca="false">Payment_Log_AP!A264</f>
        <v>PAY40263</v>
      </c>
      <c r="B268" s="16" t="str">
        <f aca="false">Payment_Log_AP!C264</f>
        <v>V1027</v>
      </c>
      <c r="C268" s="17" t="n">
        <f aca="false">Payment_Log_AP!D264</f>
        <v>46077</v>
      </c>
      <c r="D268" s="18" t="n">
        <f aca="false">Payment_Log_AP!E264</f>
        <v>2962.24</v>
      </c>
      <c r="E268" s="18" t="n">
        <f aca="false">IFERROR(INDEX(Bank_Statement!$C$2:$C$783,MATCH(A268,Bank_Statement!$E$2:$E$783,0)),"")</f>
        <v>-2962.24</v>
      </c>
      <c r="F268" s="16" t="str">
        <f aca="false">IF(E268="","No","Yes")</f>
        <v>Yes</v>
      </c>
      <c r="G268" s="18" t="n">
        <f aca="false">IF(F268="No","N/A",D268-E268)</f>
        <v>5924.48</v>
      </c>
      <c r="H268" s="16" t="str">
        <f aca="false">IF(F268="No","Unmatched - Investigate",IF(ABS(D268-E268)&gt;Assumptions!$B$6,"Mismatch - Amount Differs","Matched"))</f>
        <v>Mismatch - Amount Differs</v>
      </c>
    </row>
    <row r="269" customFormat="false" ht="15" hidden="false" customHeight="false" outlineLevel="0" collapsed="false">
      <c r="A269" s="16" t="str">
        <f aca="false">Payment_Log_AP!A265</f>
        <v>PAY40264</v>
      </c>
      <c r="B269" s="16" t="str">
        <f aca="false">Payment_Log_AP!C265</f>
        <v>V1022</v>
      </c>
      <c r="C269" s="17" t="n">
        <f aca="false">Payment_Log_AP!D265</f>
        <v>45956</v>
      </c>
      <c r="D269" s="18" t="n">
        <f aca="false">Payment_Log_AP!E265</f>
        <v>7560.72</v>
      </c>
      <c r="E269" s="18" t="n">
        <f aca="false">IFERROR(INDEX(Bank_Statement!$C$2:$C$783,MATCH(A269,Bank_Statement!$E$2:$E$783,0)),"")</f>
        <v>-7560.72</v>
      </c>
      <c r="F269" s="16" t="str">
        <f aca="false">IF(E269="","No","Yes")</f>
        <v>Yes</v>
      </c>
      <c r="G269" s="18" t="n">
        <f aca="false">IF(F269="No","N/A",D269-E269)</f>
        <v>15121.44</v>
      </c>
      <c r="H269" s="16" t="str">
        <f aca="false">IF(F269="No","Unmatched - Investigate",IF(ABS(D269-E269)&gt;Assumptions!$B$6,"Mismatch - Amount Differs","Matched"))</f>
        <v>Mismatch - Amount Differs</v>
      </c>
    </row>
    <row r="270" customFormat="false" ht="15" hidden="false" customHeight="false" outlineLevel="0" collapsed="false">
      <c r="A270" s="16" t="str">
        <f aca="false">Payment_Log_AP!A266</f>
        <v>PAY40265</v>
      </c>
      <c r="B270" s="16" t="str">
        <f aca="false">Payment_Log_AP!C266</f>
        <v>V1032</v>
      </c>
      <c r="C270" s="17" t="n">
        <f aca="false">Payment_Log_AP!D266</f>
        <v>45864</v>
      </c>
      <c r="D270" s="18" t="n">
        <f aca="false">Payment_Log_AP!E266</f>
        <v>2957.14</v>
      </c>
      <c r="E270" s="18" t="n">
        <f aca="false">IFERROR(INDEX(Bank_Statement!$C$2:$C$783,MATCH(A270,Bank_Statement!$E$2:$E$783,0)),"")</f>
        <v>-2957.14</v>
      </c>
      <c r="F270" s="16" t="str">
        <f aca="false">IF(E270="","No","Yes")</f>
        <v>Yes</v>
      </c>
      <c r="G270" s="18" t="n">
        <f aca="false">IF(F270="No","N/A",D270-E270)</f>
        <v>5914.28</v>
      </c>
      <c r="H270" s="16" t="str">
        <f aca="false">IF(F270="No","Unmatched - Investigate",IF(ABS(D270-E270)&gt;Assumptions!$B$6,"Mismatch - Amount Differs","Matched"))</f>
        <v>Mismatch - Amount Differs</v>
      </c>
    </row>
    <row r="271" customFormat="false" ht="15" hidden="false" customHeight="false" outlineLevel="0" collapsed="false">
      <c r="A271" s="16" t="str">
        <f aca="false">Payment_Log_AP!A267</f>
        <v>PAY40266</v>
      </c>
      <c r="B271" s="16" t="str">
        <f aca="false">Payment_Log_AP!C267</f>
        <v>V1023</v>
      </c>
      <c r="C271" s="17" t="n">
        <f aca="false">Payment_Log_AP!D267</f>
        <v>45716</v>
      </c>
      <c r="D271" s="18" t="n">
        <f aca="false">Payment_Log_AP!E267</f>
        <v>1792.24</v>
      </c>
      <c r="E271" s="18" t="n">
        <f aca="false">IFERROR(INDEX(Bank_Statement!$C$2:$C$783,MATCH(A271,Bank_Statement!$E$2:$E$783,0)),"")</f>
        <v>-1792.24</v>
      </c>
      <c r="F271" s="16" t="str">
        <f aca="false">IF(E271="","No","Yes")</f>
        <v>Yes</v>
      </c>
      <c r="G271" s="18" t="n">
        <f aca="false">IF(F271="No","N/A",D271-E271)</f>
        <v>3584.48</v>
      </c>
      <c r="H271" s="16" t="str">
        <f aca="false">IF(F271="No","Unmatched - Investigate",IF(ABS(D271-E271)&gt;Assumptions!$B$6,"Mismatch - Amount Differs","Matched"))</f>
        <v>Mismatch - Amount Differs</v>
      </c>
    </row>
    <row r="272" customFormat="false" ht="15" hidden="false" customHeight="false" outlineLevel="0" collapsed="false">
      <c r="A272" s="16" t="str">
        <f aca="false">Payment_Log_AP!A268</f>
        <v>PAY40267</v>
      </c>
      <c r="B272" s="16" t="str">
        <f aca="false">Payment_Log_AP!C268</f>
        <v>V1034</v>
      </c>
      <c r="C272" s="17" t="n">
        <f aca="false">Payment_Log_AP!D268</f>
        <v>45776</v>
      </c>
      <c r="D272" s="18" t="n">
        <f aca="false">Payment_Log_AP!E268</f>
        <v>3587.55</v>
      </c>
      <c r="E272" s="18" t="n">
        <f aca="false">IFERROR(INDEX(Bank_Statement!$C$2:$C$783,MATCH(A272,Bank_Statement!$E$2:$E$783,0)),"")</f>
        <v>-3587.55</v>
      </c>
      <c r="F272" s="16" t="str">
        <f aca="false">IF(E272="","No","Yes")</f>
        <v>Yes</v>
      </c>
      <c r="G272" s="18" t="n">
        <f aca="false">IF(F272="No","N/A",D272-E272)</f>
        <v>7175.1</v>
      </c>
      <c r="H272" s="16" t="str">
        <f aca="false">IF(F272="No","Unmatched - Investigate",IF(ABS(D272-E272)&gt;Assumptions!$B$6,"Mismatch - Amount Differs","Matched"))</f>
        <v>Mismatch - Amount Differs</v>
      </c>
    </row>
    <row r="273" customFormat="false" ht="15" hidden="false" customHeight="false" outlineLevel="0" collapsed="false">
      <c r="A273" s="16" t="str">
        <f aca="false">Payment_Log_AP!A269</f>
        <v>PAY40268</v>
      </c>
      <c r="B273" s="16" t="str">
        <f aca="false">Payment_Log_AP!C269</f>
        <v>V1027</v>
      </c>
      <c r="C273" s="17" t="n">
        <f aca="false">Payment_Log_AP!D269</f>
        <v>45785</v>
      </c>
      <c r="D273" s="18" t="n">
        <f aca="false">Payment_Log_AP!E269</f>
        <v>13244.8</v>
      </c>
      <c r="E273" s="18" t="n">
        <f aca="false">IFERROR(INDEX(Bank_Statement!$C$2:$C$783,MATCH(A273,Bank_Statement!$E$2:$E$783,0)),"")</f>
        <v>-13244.8</v>
      </c>
      <c r="F273" s="16" t="str">
        <f aca="false">IF(E273="","No","Yes")</f>
        <v>Yes</v>
      </c>
      <c r="G273" s="18" t="n">
        <f aca="false">IF(F273="No","N/A",D273-E273)</f>
        <v>26489.6</v>
      </c>
      <c r="H273" s="16" t="str">
        <f aca="false">IF(F273="No","Unmatched - Investigate",IF(ABS(D273-E273)&gt;Assumptions!$B$6,"Mismatch - Amount Differs","Matched"))</f>
        <v>Mismatch - Amount Differs</v>
      </c>
    </row>
    <row r="274" customFormat="false" ht="15" hidden="false" customHeight="false" outlineLevel="0" collapsed="false">
      <c r="A274" s="16" t="str">
        <f aca="false">Payment_Log_AP!A270</f>
        <v>PAY40269</v>
      </c>
      <c r="B274" s="16" t="str">
        <f aca="false">Payment_Log_AP!C270</f>
        <v>V1035</v>
      </c>
      <c r="C274" s="17" t="n">
        <f aca="false">Payment_Log_AP!D270</f>
        <v>45773</v>
      </c>
      <c r="D274" s="18" t="n">
        <f aca="false">Payment_Log_AP!E270</f>
        <v>810.36</v>
      </c>
      <c r="E274" s="18" t="n">
        <f aca="false">IFERROR(INDEX(Bank_Statement!$C$2:$C$783,MATCH(A274,Bank_Statement!$E$2:$E$783,0)),"")</f>
        <v>-810.36</v>
      </c>
      <c r="F274" s="16" t="str">
        <f aca="false">IF(E274="","No","Yes")</f>
        <v>Yes</v>
      </c>
      <c r="G274" s="18" t="n">
        <f aca="false">IF(F274="No","N/A",D274-E274)</f>
        <v>1620.72</v>
      </c>
      <c r="H274" s="16" t="str">
        <f aca="false">IF(F274="No","Unmatched - Investigate",IF(ABS(D274-E274)&gt;Assumptions!$B$6,"Mismatch - Amount Differs","Matched"))</f>
        <v>Mismatch - Amount Differs</v>
      </c>
    </row>
    <row r="275" customFormat="false" ht="15" hidden="false" customHeight="false" outlineLevel="0" collapsed="false">
      <c r="A275" s="16" t="str">
        <f aca="false">Payment_Log_AP!A271</f>
        <v>PAY40270</v>
      </c>
      <c r="B275" s="16" t="str">
        <f aca="false">Payment_Log_AP!C271</f>
        <v>V1035</v>
      </c>
      <c r="C275" s="17" t="n">
        <f aca="false">Payment_Log_AP!D271</f>
        <v>45775</v>
      </c>
      <c r="D275" s="18" t="n">
        <f aca="false">Payment_Log_AP!E271</f>
        <v>810.36</v>
      </c>
      <c r="E275" s="18" t="n">
        <f aca="false">IFERROR(INDEX(Bank_Statement!$C$2:$C$783,MATCH(A275,Bank_Statement!$E$2:$E$783,0)),"")</f>
        <v>-810.36</v>
      </c>
      <c r="F275" s="16" t="str">
        <f aca="false">IF(E275="","No","Yes")</f>
        <v>Yes</v>
      </c>
      <c r="G275" s="18" t="n">
        <f aca="false">IF(F275="No","N/A",D275-E275)</f>
        <v>1620.72</v>
      </c>
      <c r="H275" s="16" t="str">
        <f aca="false">IF(F275="No","Unmatched - Investigate",IF(ABS(D275-E275)&gt;Assumptions!$B$6,"Mismatch - Amount Differs","Matched"))</f>
        <v>Mismatch - Amount Differs</v>
      </c>
    </row>
    <row r="276" customFormat="false" ht="15" hidden="false" customHeight="false" outlineLevel="0" collapsed="false">
      <c r="A276" s="16" t="str">
        <f aca="false">Payment_Log_AP!A272</f>
        <v>PAY40271</v>
      </c>
      <c r="B276" s="16" t="str">
        <f aca="false">Payment_Log_AP!C272</f>
        <v>V1009</v>
      </c>
      <c r="C276" s="17" t="n">
        <f aca="false">Payment_Log_AP!D272</f>
        <v>45706</v>
      </c>
      <c r="D276" s="18" t="n">
        <f aca="false">Payment_Log_AP!E272</f>
        <v>256.08</v>
      </c>
      <c r="E276" s="18" t="n">
        <f aca="false">IFERROR(INDEX(Bank_Statement!$C$2:$C$783,MATCH(A276,Bank_Statement!$E$2:$E$783,0)),"")</f>
        <v>-256.08</v>
      </c>
      <c r="F276" s="16" t="str">
        <f aca="false">IF(E276="","No","Yes")</f>
        <v>Yes</v>
      </c>
      <c r="G276" s="18" t="n">
        <f aca="false">IF(F276="No","N/A",D276-E276)</f>
        <v>512.16</v>
      </c>
      <c r="H276" s="16" t="str">
        <f aca="false">IF(F276="No","Unmatched - Investigate",IF(ABS(D276-E276)&gt;Assumptions!$B$6,"Mismatch - Amount Differs","Matched"))</f>
        <v>Mismatch - Amount Differs</v>
      </c>
    </row>
    <row r="277" customFormat="false" ht="15" hidden="false" customHeight="false" outlineLevel="0" collapsed="false">
      <c r="A277" s="16" t="str">
        <f aca="false">Payment_Log_AP!A273</f>
        <v>PAY40272</v>
      </c>
      <c r="B277" s="16" t="str">
        <f aca="false">Payment_Log_AP!C273</f>
        <v>V1010</v>
      </c>
      <c r="C277" s="17" t="n">
        <f aca="false">Payment_Log_AP!D273</f>
        <v>45988</v>
      </c>
      <c r="D277" s="18" t="n">
        <f aca="false">Payment_Log_AP!E273</f>
        <v>8486.94</v>
      </c>
      <c r="E277" s="18" t="n">
        <f aca="false">IFERROR(INDEX(Bank_Statement!$C$2:$C$783,MATCH(A277,Bank_Statement!$E$2:$E$783,0)),"")</f>
        <v>-8486.94</v>
      </c>
      <c r="F277" s="16" t="str">
        <f aca="false">IF(E277="","No","Yes")</f>
        <v>Yes</v>
      </c>
      <c r="G277" s="18" t="n">
        <f aca="false">IF(F277="No","N/A",D277-E277)</f>
        <v>16973.88</v>
      </c>
      <c r="H277" s="16" t="str">
        <f aca="false">IF(F277="No","Unmatched - Investigate",IF(ABS(D277-E277)&gt;Assumptions!$B$6,"Mismatch - Amount Differs","Matched"))</f>
        <v>Mismatch - Amount Differs</v>
      </c>
    </row>
    <row r="278" customFormat="false" ht="15" hidden="false" customHeight="false" outlineLevel="0" collapsed="false">
      <c r="A278" s="16" t="str">
        <f aca="false">Payment_Log_AP!A274</f>
        <v>PAY40273</v>
      </c>
      <c r="B278" s="16" t="str">
        <f aca="false">Payment_Log_AP!C274</f>
        <v>V1013</v>
      </c>
      <c r="C278" s="17" t="n">
        <f aca="false">Payment_Log_AP!D274</f>
        <v>45817</v>
      </c>
      <c r="D278" s="18" t="n">
        <f aca="false">Payment_Log_AP!E274</f>
        <v>3079.87</v>
      </c>
      <c r="E278" s="18" t="n">
        <f aca="false">IFERROR(INDEX(Bank_Statement!$C$2:$C$783,MATCH(A278,Bank_Statement!$E$2:$E$783,0)),"")</f>
        <v>-3079.87</v>
      </c>
      <c r="F278" s="16" t="str">
        <f aca="false">IF(E278="","No","Yes")</f>
        <v>Yes</v>
      </c>
      <c r="G278" s="18" t="n">
        <f aca="false">IF(F278="No","N/A",D278-E278)</f>
        <v>6159.74</v>
      </c>
      <c r="H278" s="16" t="str">
        <f aca="false">IF(F278="No","Unmatched - Investigate",IF(ABS(D278-E278)&gt;Assumptions!$B$6,"Mismatch - Amount Differs","Matched"))</f>
        <v>Mismatch - Amount Differs</v>
      </c>
    </row>
    <row r="279" customFormat="false" ht="15" hidden="false" customHeight="false" outlineLevel="0" collapsed="false">
      <c r="A279" s="16" t="str">
        <f aca="false">Payment_Log_AP!A275</f>
        <v>PAY40274</v>
      </c>
      <c r="B279" s="16" t="str">
        <f aca="false">Payment_Log_AP!C275</f>
        <v>V1037</v>
      </c>
      <c r="C279" s="17" t="n">
        <f aca="false">Payment_Log_AP!D275</f>
        <v>45997</v>
      </c>
      <c r="D279" s="18" t="n">
        <f aca="false">Payment_Log_AP!E275</f>
        <v>4491.48</v>
      </c>
      <c r="E279" s="18" t="n">
        <f aca="false">IFERROR(INDEX(Bank_Statement!$C$2:$C$783,MATCH(A279,Bank_Statement!$E$2:$E$783,0)),"")</f>
        <v>-4491.48</v>
      </c>
      <c r="F279" s="16" t="str">
        <f aca="false">IF(E279="","No","Yes")</f>
        <v>Yes</v>
      </c>
      <c r="G279" s="18" t="n">
        <f aca="false">IF(F279="No","N/A",D279-E279)</f>
        <v>8982.96</v>
      </c>
      <c r="H279" s="16" t="str">
        <f aca="false">IF(F279="No","Unmatched - Investigate",IF(ABS(D279-E279)&gt;Assumptions!$B$6,"Mismatch - Amount Differs","Matched"))</f>
        <v>Mismatch - Amount Differs</v>
      </c>
    </row>
    <row r="280" customFormat="false" ht="15" hidden="false" customHeight="false" outlineLevel="0" collapsed="false">
      <c r="A280" s="16" t="str">
        <f aca="false">Payment_Log_AP!A276</f>
        <v>PAY40275</v>
      </c>
      <c r="B280" s="16" t="str">
        <f aca="false">Payment_Log_AP!C276</f>
        <v>V1005</v>
      </c>
      <c r="C280" s="17" t="n">
        <f aca="false">Payment_Log_AP!D276</f>
        <v>46068</v>
      </c>
      <c r="D280" s="18" t="n">
        <f aca="false">Payment_Log_AP!E276</f>
        <v>1494.98</v>
      </c>
      <c r="E280" s="18" t="n">
        <f aca="false">IFERROR(INDEX(Bank_Statement!$C$2:$C$783,MATCH(A280,Bank_Statement!$E$2:$E$783,0)),"")</f>
        <v>-1494.98</v>
      </c>
      <c r="F280" s="16" t="str">
        <f aca="false">IF(E280="","No","Yes")</f>
        <v>Yes</v>
      </c>
      <c r="G280" s="18" t="n">
        <f aca="false">IF(F280="No","N/A",D280-E280)</f>
        <v>2989.96</v>
      </c>
      <c r="H280" s="16" t="str">
        <f aca="false">IF(F280="No","Unmatched - Investigate",IF(ABS(D280-E280)&gt;Assumptions!$B$6,"Mismatch - Amount Differs","Matched"))</f>
        <v>Mismatch - Amount Differs</v>
      </c>
    </row>
    <row r="281" customFormat="false" ht="15" hidden="false" customHeight="false" outlineLevel="0" collapsed="false">
      <c r="A281" s="16" t="str">
        <f aca="false">Payment_Log_AP!A277</f>
        <v>PAY40276</v>
      </c>
      <c r="B281" s="16" t="str">
        <f aca="false">Payment_Log_AP!C277</f>
        <v>V1033</v>
      </c>
      <c r="C281" s="17" t="n">
        <f aca="false">Payment_Log_AP!D277</f>
        <v>45739</v>
      </c>
      <c r="D281" s="18" t="n">
        <f aca="false">Payment_Log_AP!E277</f>
        <v>1119.52</v>
      </c>
      <c r="E281" s="18" t="n">
        <f aca="false">IFERROR(INDEX(Bank_Statement!$C$2:$C$783,MATCH(A281,Bank_Statement!$E$2:$E$783,0)),"")</f>
        <v>-1119.52</v>
      </c>
      <c r="F281" s="16" t="str">
        <f aca="false">IF(E281="","No","Yes")</f>
        <v>Yes</v>
      </c>
      <c r="G281" s="18" t="n">
        <f aca="false">IF(F281="No","N/A",D281-E281)</f>
        <v>2239.04</v>
      </c>
      <c r="H281" s="16" t="str">
        <f aca="false">IF(F281="No","Unmatched - Investigate",IF(ABS(D281-E281)&gt;Assumptions!$B$6,"Mismatch - Amount Differs","Matched"))</f>
        <v>Mismatch - Amount Differs</v>
      </c>
    </row>
    <row r="282" customFormat="false" ht="15" hidden="false" customHeight="false" outlineLevel="0" collapsed="false">
      <c r="A282" s="16" t="str">
        <f aca="false">Payment_Log_AP!A278</f>
        <v>PAY40277</v>
      </c>
      <c r="B282" s="16" t="str">
        <f aca="false">Payment_Log_AP!C278</f>
        <v>V1006</v>
      </c>
      <c r="C282" s="17" t="n">
        <f aca="false">Payment_Log_AP!D278</f>
        <v>46139</v>
      </c>
      <c r="D282" s="18" t="n">
        <f aca="false">Payment_Log_AP!E278</f>
        <v>531.72</v>
      </c>
      <c r="E282" s="18" t="n">
        <f aca="false">IFERROR(INDEX(Bank_Statement!$C$2:$C$783,MATCH(A282,Bank_Statement!$E$2:$E$783,0)),"")</f>
        <v>-531.72</v>
      </c>
      <c r="F282" s="16" t="str">
        <f aca="false">IF(E282="","No","Yes")</f>
        <v>Yes</v>
      </c>
      <c r="G282" s="18" t="n">
        <f aca="false">IF(F282="No","N/A",D282-E282)</f>
        <v>1063.44</v>
      </c>
      <c r="H282" s="16" t="str">
        <f aca="false">IF(F282="No","Unmatched - Investigate",IF(ABS(D282-E282)&gt;Assumptions!$B$6,"Mismatch - Amount Differs","Matched"))</f>
        <v>Mismatch - Amount Differs</v>
      </c>
    </row>
    <row r="283" customFormat="false" ht="15" hidden="false" customHeight="false" outlineLevel="0" collapsed="false">
      <c r="A283" s="16" t="str">
        <f aca="false">Payment_Log_AP!A279</f>
        <v>PAY40278</v>
      </c>
      <c r="B283" s="16" t="str">
        <f aca="false">Payment_Log_AP!C279</f>
        <v>V1019</v>
      </c>
      <c r="C283" s="17" t="n">
        <f aca="false">Payment_Log_AP!D279</f>
        <v>46157</v>
      </c>
      <c r="D283" s="18" t="n">
        <f aca="false">Payment_Log_AP!E279</f>
        <v>6043.12</v>
      </c>
      <c r="E283" s="18" t="n">
        <f aca="false">IFERROR(INDEX(Bank_Statement!$C$2:$C$783,MATCH(A283,Bank_Statement!$E$2:$E$783,0)),"")</f>
        <v>-6043.12</v>
      </c>
      <c r="F283" s="16" t="str">
        <f aca="false">IF(E283="","No","Yes")</f>
        <v>Yes</v>
      </c>
      <c r="G283" s="18" t="n">
        <f aca="false">IF(F283="No","N/A",D283-E283)</f>
        <v>12086.24</v>
      </c>
      <c r="H283" s="16" t="str">
        <f aca="false">IF(F283="No","Unmatched - Investigate",IF(ABS(D283-E283)&gt;Assumptions!$B$6,"Mismatch - Amount Differs","Matched"))</f>
        <v>Mismatch - Amount Differs</v>
      </c>
    </row>
    <row r="284" customFormat="false" ht="15" hidden="false" customHeight="false" outlineLevel="0" collapsed="false">
      <c r="A284" s="16" t="str">
        <f aca="false">Payment_Log_AP!A280</f>
        <v>PAY40279</v>
      </c>
      <c r="B284" s="16" t="str">
        <f aca="false">Payment_Log_AP!C280</f>
        <v>V1014</v>
      </c>
      <c r="C284" s="17" t="n">
        <f aca="false">Payment_Log_AP!D280</f>
        <v>46009</v>
      </c>
      <c r="D284" s="18" t="n">
        <f aca="false">Payment_Log_AP!E280</f>
        <v>1017.03</v>
      </c>
      <c r="E284" s="18" t="n">
        <f aca="false">IFERROR(INDEX(Bank_Statement!$C$2:$C$783,MATCH(A284,Bank_Statement!$E$2:$E$783,0)),"")</f>
        <v>-1017.03</v>
      </c>
      <c r="F284" s="16" t="str">
        <f aca="false">IF(E284="","No","Yes")</f>
        <v>Yes</v>
      </c>
      <c r="G284" s="18" t="n">
        <f aca="false">IF(F284="No","N/A",D284-E284)</f>
        <v>2034.06</v>
      </c>
      <c r="H284" s="16" t="str">
        <f aca="false">IF(F284="No","Unmatched - Investigate",IF(ABS(D284-E284)&gt;Assumptions!$B$6,"Mismatch - Amount Differs","Matched"))</f>
        <v>Mismatch - Amount Differs</v>
      </c>
    </row>
    <row r="285" customFormat="false" ht="15" hidden="false" customHeight="false" outlineLevel="0" collapsed="false">
      <c r="A285" s="16" t="str">
        <f aca="false">Payment_Log_AP!A281</f>
        <v>PAY40280</v>
      </c>
      <c r="B285" s="16" t="str">
        <f aca="false">Payment_Log_AP!C281</f>
        <v>V1017</v>
      </c>
      <c r="C285" s="17" t="n">
        <f aca="false">Payment_Log_AP!D281</f>
        <v>45959</v>
      </c>
      <c r="D285" s="18" t="n">
        <f aca="false">Payment_Log_AP!E281</f>
        <v>33982.32</v>
      </c>
      <c r="E285" s="18" t="n">
        <f aca="false">IFERROR(INDEX(Bank_Statement!$C$2:$C$783,MATCH(A285,Bank_Statement!$E$2:$E$783,0)),"")</f>
        <v>-33982.32</v>
      </c>
      <c r="F285" s="16" t="str">
        <f aca="false">IF(E285="","No","Yes")</f>
        <v>Yes</v>
      </c>
      <c r="G285" s="18" t="n">
        <f aca="false">IF(F285="No","N/A",D285-E285)</f>
        <v>67964.64</v>
      </c>
      <c r="H285" s="16" t="str">
        <f aca="false">IF(F285="No","Unmatched - Investigate",IF(ABS(D285-E285)&gt;Assumptions!$B$6,"Mismatch - Amount Differs","Matched"))</f>
        <v>Mismatch - Amount Differs</v>
      </c>
    </row>
    <row r="286" customFormat="false" ht="15" hidden="false" customHeight="false" outlineLevel="0" collapsed="false">
      <c r="A286" s="16" t="str">
        <f aca="false">Payment_Log_AP!A282</f>
        <v>PAY40281</v>
      </c>
      <c r="B286" s="16" t="str">
        <f aca="false">Payment_Log_AP!C282</f>
        <v>V1026</v>
      </c>
      <c r="C286" s="17" t="n">
        <f aca="false">Payment_Log_AP!D282</f>
        <v>45949</v>
      </c>
      <c r="D286" s="18" t="n">
        <f aca="false">Payment_Log_AP!E282</f>
        <v>2011.97</v>
      </c>
      <c r="E286" s="18" t="n">
        <f aca="false">IFERROR(INDEX(Bank_Statement!$C$2:$C$783,MATCH(A286,Bank_Statement!$E$2:$E$783,0)),"")</f>
        <v>-2011.97</v>
      </c>
      <c r="F286" s="16" t="str">
        <f aca="false">IF(E286="","No","Yes")</f>
        <v>Yes</v>
      </c>
      <c r="G286" s="18" t="n">
        <f aca="false">IF(F286="No","N/A",D286-E286)</f>
        <v>4023.94</v>
      </c>
      <c r="H286" s="16" t="str">
        <f aca="false">IF(F286="No","Unmatched - Investigate",IF(ABS(D286-E286)&gt;Assumptions!$B$6,"Mismatch - Amount Differs","Matched"))</f>
        <v>Mismatch - Amount Differs</v>
      </c>
    </row>
    <row r="287" customFormat="false" ht="15" hidden="false" customHeight="false" outlineLevel="0" collapsed="false">
      <c r="A287" s="16" t="str">
        <f aca="false">Payment_Log_AP!A283</f>
        <v>PAY40282</v>
      </c>
      <c r="B287" s="16" t="str">
        <f aca="false">Payment_Log_AP!C283</f>
        <v>V1026</v>
      </c>
      <c r="C287" s="17" t="n">
        <f aca="false">Payment_Log_AP!D283</f>
        <v>45725</v>
      </c>
      <c r="D287" s="18" t="n">
        <f aca="false">Payment_Log_AP!E283</f>
        <v>1953.14</v>
      </c>
      <c r="E287" s="18" t="n">
        <f aca="false">IFERROR(INDEX(Bank_Statement!$C$2:$C$783,MATCH(A287,Bank_Statement!$E$2:$E$783,0)),"")</f>
        <v>-1953.14</v>
      </c>
      <c r="F287" s="16" t="str">
        <f aca="false">IF(E287="","No","Yes")</f>
        <v>Yes</v>
      </c>
      <c r="G287" s="18" t="n">
        <f aca="false">IF(F287="No","N/A",D287-E287)</f>
        <v>3906.28</v>
      </c>
      <c r="H287" s="16" t="str">
        <f aca="false">IF(F287="No","Unmatched - Investigate",IF(ABS(D287-E287)&gt;Assumptions!$B$6,"Mismatch - Amount Differs","Matched"))</f>
        <v>Mismatch - Amount Differs</v>
      </c>
    </row>
    <row r="288" customFormat="false" ht="15" hidden="false" customHeight="false" outlineLevel="0" collapsed="false">
      <c r="A288" s="16" t="str">
        <f aca="false">Payment_Log_AP!A284</f>
        <v>PAY40283</v>
      </c>
      <c r="B288" s="16" t="str">
        <f aca="false">Payment_Log_AP!C284</f>
        <v>V1031</v>
      </c>
      <c r="C288" s="17" t="n">
        <f aca="false">Payment_Log_AP!D284</f>
        <v>46204</v>
      </c>
      <c r="D288" s="18" t="n">
        <f aca="false">Payment_Log_AP!E284</f>
        <v>275.18</v>
      </c>
      <c r="E288" s="18" t="n">
        <f aca="false">IFERROR(INDEX(Bank_Statement!$C$2:$C$783,MATCH(A288,Bank_Statement!$E$2:$E$783,0)),"")</f>
        <v>-275.18</v>
      </c>
      <c r="F288" s="16" t="str">
        <f aca="false">IF(E288="","No","Yes")</f>
        <v>Yes</v>
      </c>
      <c r="G288" s="18" t="n">
        <f aca="false">IF(F288="No","N/A",D288-E288)</f>
        <v>550.36</v>
      </c>
      <c r="H288" s="16" t="str">
        <f aca="false">IF(F288="No","Unmatched - Investigate",IF(ABS(D288-E288)&gt;Assumptions!$B$6,"Mismatch - Amount Differs","Matched"))</f>
        <v>Mismatch - Amount Differs</v>
      </c>
    </row>
    <row r="289" customFormat="false" ht="15" hidden="false" customHeight="false" outlineLevel="0" collapsed="false">
      <c r="A289" s="16" t="str">
        <f aca="false">Payment_Log_AP!A285</f>
        <v>PAY40284</v>
      </c>
      <c r="B289" s="16" t="str">
        <f aca="false">Payment_Log_AP!C285</f>
        <v>V1002</v>
      </c>
      <c r="C289" s="17" t="n">
        <f aca="false">Payment_Log_AP!D285</f>
        <v>45921</v>
      </c>
      <c r="D289" s="18" t="n">
        <f aca="false">Payment_Log_AP!E285</f>
        <v>2929.12</v>
      </c>
      <c r="E289" s="18" t="n">
        <f aca="false">IFERROR(INDEX(Bank_Statement!$C$2:$C$783,MATCH(A289,Bank_Statement!$E$2:$E$783,0)),"")</f>
        <v>-2929.12</v>
      </c>
      <c r="F289" s="16" t="str">
        <f aca="false">IF(E289="","No","Yes")</f>
        <v>Yes</v>
      </c>
      <c r="G289" s="18" t="n">
        <f aca="false">IF(F289="No","N/A",D289-E289)</f>
        <v>5858.24</v>
      </c>
      <c r="H289" s="16" t="str">
        <f aca="false">IF(F289="No","Unmatched - Investigate",IF(ABS(D289-E289)&gt;Assumptions!$B$6,"Mismatch - Amount Differs","Matched"))</f>
        <v>Mismatch - Amount Differs</v>
      </c>
    </row>
    <row r="290" customFormat="false" ht="15" hidden="false" customHeight="false" outlineLevel="0" collapsed="false">
      <c r="A290" s="16" t="str">
        <f aca="false">Payment_Log_AP!A286</f>
        <v>PAY40285</v>
      </c>
      <c r="B290" s="16" t="str">
        <f aca="false">Payment_Log_AP!C286</f>
        <v>V1002</v>
      </c>
      <c r="C290" s="17" t="n">
        <f aca="false">Payment_Log_AP!D286</f>
        <v>45927</v>
      </c>
      <c r="D290" s="18" t="n">
        <f aca="false">Payment_Log_AP!E286</f>
        <v>2929.12</v>
      </c>
      <c r="E290" s="18" t="n">
        <f aca="false">IFERROR(INDEX(Bank_Statement!$C$2:$C$783,MATCH(A290,Bank_Statement!$E$2:$E$783,0)),"")</f>
        <v>-2929.12</v>
      </c>
      <c r="F290" s="16" t="str">
        <f aca="false">IF(E290="","No","Yes")</f>
        <v>Yes</v>
      </c>
      <c r="G290" s="18" t="n">
        <f aca="false">IF(F290="No","N/A",D290-E290)</f>
        <v>5858.24</v>
      </c>
      <c r="H290" s="16" t="str">
        <f aca="false">IF(F290="No","Unmatched - Investigate",IF(ABS(D290-E290)&gt;Assumptions!$B$6,"Mismatch - Amount Differs","Matched"))</f>
        <v>Mismatch - Amount Differs</v>
      </c>
    </row>
    <row r="291" customFormat="false" ht="15" hidden="false" customHeight="false" outlineLevel="0" collapsed="false">
      <c r="A291" s="16" t="str">
        <f aca="false">Payment_Log_AP!A287</f>
        <v>PAY40286</v>
      </c>
      <c r="B291" s="16" t="str">
        <f aca="false">Payment_Log_AP!C287</f>
        <v>V1015</v>
      </c>
      <c r="C291" s="17" t="n">
        <f aca="false">Payment_Log_AP!D287</f>
        <v>46138</v>
      </c>
      <c r="D291" s="18" t="n">
        <f aca="false">Payment_Log_AP!E287</f>
        <v>2560.65</v>
      </c>
      <c r="E291" s="18" t="n">
        <f aca="false">IFERROR(INDEX(Bank_Statement!$C$2:$C$783,MATCH(A291,Bank_Statement!$E$2:$E$783,0)),"")</f>
        <v>-2560.65</v>
      </c>
      <c r="F291" s="16" t="str">
        <f aca="false">IF(E291="","No","Yes")</f>
        <v>Yes</v>
      </c>
      <c r="G291" s="18" t="n">
        <f aca="false">IF(F291="No","N/A",D291-E291)</f>
        <v>5121.3</v>
      </c>
      <c r="H291" s="16" t="str">
        <f aca="false">IF(F291="No","Unmatched - Investigate",IF(ABS(D291-E291)&gt;Assumptions!$B$6,"Mismatch - Amount Differs","Matched"))</f>
        <v>Mismatch - Amount Differs</v>
      </c>
    </row>
    <row r="292" customFormat="false" ht="15" hidden="false" customHeight="false" outlineLevel="0" collapsed="false">
      <c r="A292" s="16" t="str">
        <f aca="false">Payment_Log_AP!A288</f>
        <v>PAY40287</v>
      </c>
      <c r="B292" s="16" t="str">
        <f aca="false">Payment_Log_AP!C288</f>
        <v>V1016</v>
      </c>
      <c r="C292" s="17" t="n">
        <f aca="false">Payment_Log_AP!D288</f>
        <v>45918</v>
      </c>
      <c r="D292" s="18" t="n">
        <f aca="false">Payment_Log_AP!E288</f>
        <v>1086.25</v>
      </c>
      <c r="E292" s="18" t="n">
        <f aca="false">IFERROR(INDEX(Bank_Statement!$C$2:$C$783,MATCH(A292,Bank_Statement!$E$2:$E$783,0)),"")</f>
        <v>-1086.25</v>
      </c>
      <c r="F292" s="16" t="str">
        <f aca="false">IF(E292="","No","Yes")</f>
        <v>Yes</v>
      </c>
      <c r="G292" s="18" t="n">
        <f aca="false">IF(F292="No","N/A",D292-E292)</f>
        <v>2172.5</v>
      </c>
      <c r="H292" s="16" t="str">
        <f aca="false">IF(F292="No","Unmatched - Investigate",IF(ABS(D292-E292)&gt;Assumptions!$B$6,"Mismatch - Amount Differs","Matched"))</f>
        <v>Mismatch - Amount Differs</v>
      </c>
    </row>
    <row r="293" customFormat="false" ht="15" hidden="false" customHeight="false" outlineLevel="0" collapsed="false">
      <c r="A293" s="16" t="str">
        <f aca="false">Payment_Log_AP!A289</f>
        <v>PAY40288</v>
      </c>
      <c r="B293" s="16" t="str">
        <f aca="false">Payment_Log_AP!C289</f>
        <v>V1039</v>
      </c>
      <c r="C293" s="17" t="n">
        <f aca="false">Payment_Log_AP!D289</f>
        <v>45727</v>
      </c>
      <c r="D293" s="18" t="n">
        <f aca="false">Payment_Log_AP!E289</f>
        <v>3484.24</v>
      </c>
      <c r="E293" s="18" t="n">
        <f aca="false">IFERROR(INDEX(Bank_Statement!$C$2:$C$783,MATCH(A293,Bank_Statement!$E$2:$E$783,0)),"")</f>
        <v>-3484.24</v>
      </c>
      <c r="F293" s="16" t="str">
        <f aca="false">IF(E293="","No","Yes")</f>
        <v>Yes</v>
      </c>
      <c r="G293" s="18" t="n">
        <f aca="false">IF(F293="No","N/A",D293-E293)</f>
        <v>6968.48</v>
      </c>
      <c r="H293" s="16" t="str">
        <f aca="false">IF(F293="No","Unmatched - Investigate",IF(ABS(D293-E293)&gt;Assumptions!$B$6,"Mismatch - Amount Differs","Matched"))</f>
        <v>Mismatch - Amount Differs</v>
      </c>
    </row>
    <row r="294" customFormat="false" ht="15" hidden="false" customHeight="false" outlineLevel="0" collapsed="false">
      <c r="A294" s="16" t="str">
        <f aca="false">Payment_Log_AP!A290</f>
        <v>PAY40289</v>
      </c>
      <c r="B294" s="16" t="str">
        <f aca="false">Payment_Log_AP!C290</f>
        <v>V1025</v>
      </c>
      <c r="C294" s="17" t="n">
        <f aca="false">Payment_Log_AP!D290</f>
        <v>46015</v>
      </c>
      <c r="D294" s="18" t="n">
        <f aca="false">Payment_Log_AP!E290</f>
        <v>4212.6</v>
      </c>
      <c r="E294" s="18" t="n">
        <f aca="false">IFERROR(INDEX(Bank_Statement!$C$2:$C$783,MATCH(A294,Bank_Statement!$E$2:$E$783,0)),"")</f>
        <v>-4212.6</v>
      </c>
      <c r="F294" s="16" t="str">
        <f aca="false">IF(E294="","No","Yes")</f>
        <v>Yes</v>
      </c>
      <c r="G294" s="18" t="n">
        <f aca="false">IF(F294="No","N/A",D294-E294)</f>
        <v>8425.2</v>
      </c>
      <c r="H294" s="16" t="str">
        <f aca="false">IF(F294="No","Unmatched - Investigate",IF(ABS(D294-E294)&gt;Assumptions!$B$6,"Mismatch - Amount Differs","Matched"))</f>
        <v>Mismatch - Amount Differs</v>
      </c>
    </row>
    <row r="295" customFormat="false" ht="15" hidden="false" customHeight="false" outlineLevel="0" collapsed="false">
      <c r="A295" s="16" t="str">
        <f aca="false">Payment_Log_AP!A291</f>
        <v>PAY40290</v>
      </c>
      <c r="B295" s="16" t="str">
        <f aca="false">Payment_Log_AP!C291</f>
        <v>V1032</v>
      </c>
      <c r="C295" s="17" t="n">
        <f aca="false">Payment_Log_AP!D291</f>
        <v>45709</v>
      </c>
      <c r="D295" s="18" t="n">
        <f aca="false">Payment_Log_AP!E291</f>
        <v>2560.27</v>
      </c>
      <c r="E295" s="18" t="n">
        <f aca="false">IFERROR(INDEX(Bank_Statement!$C$2:$C$783,MATCH(A295,Bank_Statement!$E$2:$E$783,0)),"")</f>
        <v>-2560.27</v>
      </c>
      <c r="F295" s="16" t="str">
        <f aca="false">IF(E295="","No","Yes")</f>
        <v>Yes</v>
      </c>
      <c r="G295" s="18" t="n">
        <f aca="false">IF(F295="No","N/A",D295-E295)</f>
        <v>5120.54</v>
      </c>
      <c r="H295" s="16" t="str">
        <f aca="false">IF(F295="No","Unmatched - Investigate",IF(ABS(D295-E295)&gt;Assumptions!$B$6,"Mismatch - Amount Differs","Matched"))</f>
        <v>Mismatch - Amount Differs</v>
      </c>
    </row>
    <row r="296" customFormat="false" ht="15" hidden="false" customHeight="false" outlineLevel="0" collapsed="false">
      <c r="A296" s="16" t="str">
        <f aca="false">Payment_Log_AP!A292</f>
        <v>PAY40291</v>
      </c>
      <c r="B296" s="16" t="str">
        <f aca="false">Payment_Log_AP!C292</f>
        <v>V1025</v>
      </c>
      <c r="C296" s="17" t="n">
        <f aca="false">Payment_Log_AP!D292</f>
        <v>45769</v>
      </c>
      <c r="D296" s="18" t="n">
        <f aca="false">Payment_Log_AP!E292</f>
        <v>3373.65</v>
      </c>
      <c r="E296" s="18" t="n">
        <f aca="false">IFERROR(INDEX(Bank_Statement!$C$2:$C$783,MATCH(A296,Bank_Statement!$E$2:$E$783,0)),"")</f>
        <v>-3373.65</v>
      </c>
      <c r="F296" s="16" t="str">
        <f aca="false">IF(E296="","No","Yes")</f>
        <v>Yes</v>
      </c>
      <c r="G296" s="18" t="n">
        <f aca="false">IF(F296="No","N/A",D296-E296)</f>
        <v>6747.3</v>
      </c>
      <c r="H296" s="16" t="str">
        <f aca="false">IF(F296="No","Unmatched - Investigate",IF(ABS(D296-E296)&gt;Assumptions!$B$6,"Mismatch - Amount Differs","Matched"))</f>
        <v>Mismatch - Amount Differs</v>
      </c>
    </row>
    <row r="297" customFormat="false" ht="15" hidden="false" customHeight="false" outlineLevel="0" collapsed="false">
      <c r="A297" s="16" t="str">
        <f aca="false">Payment_Log_AP!A293</f>
        <v>PAY40292</v>
      </c>
      <c r="B297" s="16" t="str">
        <f aca="false">Payment_Log_AP!C293</f>
        <v>V1031</v>
      </c>
      <c r="C297" s="17" t="n">
        <f aca="false">Payment_Log_AP!D293</f>
        <v>45990</v>
      </c>
      <c r="D297" s="18" t="n">
        <f aca="false">Payment_Log_AP!E293</f>
        <v>1093.64</v>
      </c>
      <c r="E297" s="18" t="n">
        <f aca="false">IFERROR(INDEX(Bank_Statement!$C$2:$C$783,MATCH(A297,Bank_Statement!$E$2:$E$783,0)),"")</f>
        <v>-1093.64</v>
      </c>
      <c r="F297" s="16" t="str">
        <f aca="false">IF(E297="","No","Yes")</f>
        <v>Yes</v>
      </c>
      <c r="G297" s="18" t="n">
        <f aca="false">IF(F297="No","N/A",D297-E297)</f>
        <v>2187.28</v>
      </c>
      <c r="H297" s="16" t="str">
        <f aca="false">IF(F297="No","Unmatched - Investigate",IF(ABS(D297-E297)&gt;Assumptions!$B$6,"Mismatch - Amount Differs","Matched"))</f>
        <v>Mismatch - Amount Differs</v>
      </c>
    </row>
    <row r="298" customFormat="false" ht="15" hidden="false" customHeight="false" outlineLevel="0" collapsed="false">
      <c r="A298" s="16" t="str">
        <f aca="false">Payment_Log_AP!A294</f>
        <v>PAY40293</v>
      </c>
      <c r="B298" s="16" t="str">
        <f aca="false">Payment_Log_AP!C294</f>
        <v>V1038</v>
      </c>
      <c r="C298" s="17" t="n">
        <f aca="false">Payment_Log_AP!D294</f>
        <v>45861</v>
      </c>
      <c r="D298" s="18" t="n">
        <f aca="false">Payment_Log_AP!E294</f>
        <v>1134.36</v>
      </c>
      <c r="E298" s="18" t="n">
        <f aca="false">IFERROR(INDEX(Bank_Statement!$C$2:$C$783,MATCH(A298,Bank_Statement!$E$2:$E$783,0)),"")</f>
        <v>-1134.36</v>
      </c>
      <c r="F298" s="16" t="str">
        <f aca="false">IF(E298="","No","Yes")</f>
        <v>Yes</v>
      </c>
      <c r="G298" s="18" t="n">
        <f aca="false">IF(F298="No","N/A",D298-E298)</f>
        <v>2268.72</v>
      </c>
      <c r="H298" s="16" t="str">
        <f aca="false">IF(F298="No","Unmatched - Investigate",IF(ABS(D298-E298)&gt;Assumptions!$B$6,"Mismatch - Amount Differs","Matched"))</f>
        <v>Mismatch - Amount Differs</v>
      </c>
    </row>
    <row r="299" customFormat="false" ht="15" hidden="false" customHeight="false" outlineLevel="0" collapsed="false">
      <c r="A299" s="16" t="str">
        <f aca="false">Payment_Log_AP!A295</f>
        <v>PAY40294</v>
      </c>
      <c r="B299" s="16" t="str">
        <f aca="false">Payment_Log_AP!C295</f>
        <v>V1009</v>
      </c>
      <c r="C299" s="17" t="n">
        <f aca="false">Payment_Log_AP!D295</f>
        <v>46016</v>
      </c>
      <c r="D299" s="18" t="n">
        <f aca="false">Payment_Log_AP!E295</f>
        <v>4424.59</v>
      </c>
      <c r="E299" s="18" t="n">
        <f aca="false">IFERROR(INDEX(Bank_Statement!$C$2:$C$783,MATCH(A299,Bank_Statement!$E$2:$E$783,0)),"")</f>
        <v>-4424.59</v>
      </c>
      <c r="F299" s="16" t="str">
        <f aca="false">IF(E299="","No","Yes")</f>
        <v>Yes</v>
      </c>
      <c r="G299" s="18" t="n">
        <f aca="false">IF(F299="No","N/A",D299-E299)</f>
        <v>8849.18</v>
      </c>
      <c r="H299" s="16" t="str">
        <f aca="false">IF(F299="No","Unmatched - Investigate",IF(ABS(D299-E299)&gt;Assumptions!$B$6,"Mismatch - Amount Differs","Matched"))</f>
        <v>Mismatch - Amount Differs</v>
      </c>
    </row>
    <row r="300" customFormat="false" ht="15" hidden="false" customHeight="false" outlineLevel="0" collapsed="false">
      <c r="A300" s="16" t="str">
        <f aca="false">Payment_Log_AP!A296</f>
        <v>PAY40295</v>
      </c>
      <c r="B300" s="16" t="str">
        <f aca="false">Payment_Log_AP!C296</f>
        <v>V1006</v>
      </c>
      <c r="C300" s="17" t="n">
        <f aca="false">Payment_Log_AP!D296</f>
        <v>45799</v>
      </c>
      <c r="D300" s="18" t="n">
        <f aca="false">Payment_Log_AP!E296</f>
        <v>606.42</v>
      </c>
      <c r="E300" s="18" t="n">
        <f aca="false">IFERROR(INDEX(Bank_Statement!$C$2:$C$783,MATCH(A300,Bank_Statement!$E$2:$E$783,0)),"")</f>
        <v>-606.42</v>
      </c>
      <c r="F300" s="16" t="str">
        <f aca="false">IF(E300="","No","Yes")</f>
        <v>Yes</v>
      </c>
      <c r="G300" s="18" t="n">
        <f aca="false">IF(F300="No","N/A",D300-E300)</f>
        <v>1212.84</v>
      </c>
      <c r="H300" s="16" t="str">
        <f aca="false">IF(F300="No","Unmatched - Investigate",IF(ABS(D300-E300)&gt;Assumptions!$B$6,"Mismatch - Amount Differs","Matched"))</f>
        <v>Mismatch - Amount Differs</v>
      </c>
    </row>
    <row r="301" customFormat="false" ht="15" hidden="false" customHeight="false" outlineLevel="0" collapsed="false">
      <c r="A301" s="16" t="str">
        <f aca="false">Payment_Log_AP!A297</f>
        <v>PAY40296</v>
      </c>
      <c r="B301" s="16" t="str">
        <f aca="false">Payment_Log_AP!C297</f>
        <v>V1002</v>
      </c>
      <c r="C301" s="17" t="n">
        <f aca="false">Payment_Log_AP!D297</f>
        <v>45976</v>
      </c>
      <c r="D301" s="18" t="n">
        <f aca="false">Payment_Log_AP!E297</f>
        <v>1652.62</v>
      </c>
      <c r="E301" s="18" t="n">
        <f aca="false">IFERROR(INDEX(Bank_Statement!$C$2:$C$783,MATCH(A301,Bank_Statement!$E$2:$E$783,0)),"")</f>
        <v>-1652.62</v>
      </c>
      <c r="F301" s="16" t="str">
        <f aca="false">IF(E301="","No","Yes")</f>
        <v>Yes</v>
      </c>
      <c r="G301" s="18" t="n">
        <f aca="false">IF(F301="No","N/A",D301-E301)</f>
        <v>3305.24</v>
      </c>
      <c r="H301" s="16" t="str">
        <f aca="false">IF(F301="No","Unmatched - Investigate",IF(ABS(D301-E301)&gt;Assumptions!$B$6,"Mismatch - Amount Differs","Matched"))</f>
        <v>Mismatch - Amount Differs</v>
      </c>
    </row>
    <row r="302" customFormat="false" ht="15" hidden="false" customHeight="false" outlineLevel="0" collapsed="false">
      <c r="A302" s="16" t="str">
        <f aca="false">Payment_Log_AP!A298</f>
        <v>PAY40297</v>
      </c>
      <c r="B302" s="16" t="str">
        <f aca="false">Payment_Log_AP!C298</f>
        <v>V1012</v>
      </c>
      <c r="C302" s="17" t="n">
        <f aca="false">Payment_Log_AP!D298</f>
        <v>45923</v>
      </c>
      <c r="D302" s="18" t="n">
        <f aca="false">Payment_Log_AP!E298</f>
        <v>609.35</v>
      </c>
      <c r="E302" s="18" t="n">
        <f aca="false">IFERROR(INDEX(Bank_Statement!$C$2:$C$783,MATCH(A302,Bank_Statement!$E$2:$E$783,0)),"")</f>
        <v>-609.35</v>
      </c>
      <c r="F302" s="16" t="str">
        <f aca="false">IF(E302="","No","Yes")</f>
        <v>Yes</v>
      </c>
      <c r="G302" s="18" t="n">
        <f aca="false">IF(F302="No","N/A",D302-E302)</f>
        <v>1218.7</v>
      </c>
      <c r="H302" s="16" t="str">
        <f aca="false">IF(F302="No","Unmatched - Investigate",IF(ABS(D302-E302)&gt;Assumptions!$B$6,"Mismatch - Amount Differs","Matched"))</f>
        <v>Mismatch - Amount Differs</v>
      </c>
    </row>
    <row r="303" customFormat="false" ht="15" hidden="false" customHeight="false" outlineLevel="0" collapsed="false">
      <c r="A303" s="16" t="str">
        <f aca="false">Payment_Log_AP!A299</f>
        <v>PAY40298</v>
      </c>
      <c r="B303" s="16" t="str">
        <f aca="false">Payment_Log_AP!C299</f>
        <v>V1011</v>
      </c>
      <c r="C303" s="17" t="n">
        <f aca="false">Payment_Log_AP!D299</f>
        <v>45928</v>
      </c>
      <c r="D303" s="18" t="n">
        <f aca="false">Payment_Log_AP!E299</f>
        <v>1216.45</v>
      </c>
      <c r="E303" s="18" t="n">
        <f aca="false">IFERROR(INDEX(Bank_Statement!$C$2:$C$783,MATCH(A303,Bank_Statement!$E$2:$E$783,0)),"")</f>
        <v>-1216.45</v>
      </c>
      <c r="F303" s="16" t="str">
        <f aca="false">IF(E303="","No","Yes")</f>
        <v>Yes</v>
      </c>
      <c r="G303" s="18" t="n">
        <f aca="false">IF(F303="No","N/A",D303-E303)</f>
        <v>2432.9</v>
      </c>
      <c r="H303" s="16" t="str">
        <f aca="false">IF(F303="No","Unmatched - Investigate",IF(ABS(D303-E303)&gt;Assumptions!$B$6,"Mismatch - Amount Differs","Matched"))</f>
        <v>Mismatch - Amount Differs</v>
      </c>
    </row>
    <row r="304" customFormat="false" ht="15" hidden="false" customHeight="false" outlineLevel="0" collapsed="false">
      <c r="A304" s="16" t="str">
        <f aca="false">Payment_Log_AP!A300</f>
        <v>PAY40299</v>
      </c>
      <c r="B304" s="16" t="str">
        <f aca="false">Payment_Log_AP!C300</f>
        <v>V1037</v>
      </c>
      <c r="C304" s="17" t="n">
        <f aca="false">Payment_Log_AP!D300</f>
        <v>46164</v>
      </c>
      <c r="D304" s="18" t="n">
        <f aca="false">Payment_Log_AP!E300</f>
        <v>3585.97</v>
      </c>
      <c r="E304" s="18" t="n">
        <f aca="false">IFERROR(INDEX(Bank_Statement!$C$2:$C$783,MATCH(A304,Bank_Statement!$E$2:$E$783,0)),"")</f>
        <v>-3585.97</v>
      </c>
      <c r="F304" s="16" t="str">
        <f aca="false">IF(E304="","No","Yes")</f>
        <v>Yes</v>
      </c>
      <c r="G304" s="18" t="n">
        <f aca="false">IF(F304="No","N/A",D304-E304)</f>
        <v>7171.94</v>
      </c>
      <c r="H304" s="16" t="str">
        <f aca="false">IF(F304="No","Unmatched - Investigate",IF(ABS(D304-E304)&gt;Assumptions!$B$6,"Mismatch - Amount Differs","Matched"))</f>
        <v>Mismatch - Amount Differs</v>
      </c>
    </row>
    <row r="305" customFormat="false" ht="15" hidden="false" customHeight="false" outlineLevel="0" collapsed="false">
      <c r="A305" s="16" t="str">
        <f aca="false">Payment_Log_AP!A301</f>
        <v>PAY40300</v>
      </c>
      <c r="B305" s="16" t="str">
        <f aca="false">Payment_Log_AP!C301</f>
        <v>V1006</v>
      </c>
      <c r="C305" s="17" t="n">
        <f aca="false">Payment_Log_AP!D301</f>
        <v>45874</v>
      </c>
      <c r="D305" s="18" t="n">
        <f aca="false">Payment_Log_AP!E301</f>
        <v>5413.88</v>
      </c>
      <c r="E305" s="18" t="n">
        <f aca="false">IFERROR(INDEX(Bank_Statement!$C$2:$C$783,MATCH(A305,Bank_Statement!$E$2:$E$783,0)),"")</f>
        <v>-5413.88</v>
      </c>
      <c r="F305" s="16" t="str">
        <f aca="false">IF(E305="","No","Yes")</f>
        <v>Yes</v>
      </c>
      <c r="G305" s="18" t="n">
        <f aca="false">IF(F305="No","N/A",D305-E305)</f>
        <v>10827.76</v>
      </c>
      <c r="H305" s="16" t="str">
        <f aca="false">IF(F305="No","Unmatched - Investigate",IF(ABS(D305-E305)&gt;Assumptions!$B$6,"Mismatch - Amount Differs","Matched"))</f>
        <v>Mismatch - Amount Differs</v>
      </c>
    </row>
    <row r="306" customFormat="false" ht="15" hidden="false" customHeight="false" outlineLevel="0" collapsed="false">
      <c r="A306" s="16" t="str">
        <f aca="false">Payment_Log_AP!A302</f>
        <v>PAY40301</v>
      </c>
      <c r="B306" s="16" t="str">
        <f aca="false">Payment_Log_AP!C302</f>
        <v>V1029</v>
      </c>
      <c r="C306" s="17" t="n">
        <f aca="false">Payment_Log_AP!D302</f>
        <v>46042</v>
      </c>
      <c r="D306" s="18" t="n">
        <f aca="false">Payment_Log_AP!E302</f>
        <v>4075.62</v>
      </c>
      <c r="E306" s="18" t="n">
        <f aca="false">IFERROR(INDEX(Bank_Statement!$C$2:$C$783,MATCH(A306,Bank_Statement!$E$2:$E$783,0)),"")</f>
        <v>-4075.62</v>
      </c>
      <c r="F306" s="16" t="str">
        <f aca="false">IF(E306="","No","Yes")</f>
        <v>Yes</v>
      </c>
      <c r="G306" s="18" t="n">
        <f aca="false">IF(F306="No","N/A",D306-E306)</f>
        <v>8151.24</v>
      </c>
      <c r="H306" s="16" t="str">
        <f aca="false">IF(F306="No","Unmatched - Investigate",IF(ABS(D306-E306)&gt;Assumptions!$B$6,"Mismatch - Amount Differs","Matched"))</f>
        <v>Mismatch - Amount Differs</v>
      </c>
    </row>
    <row r="307" customFormat="false" ht="15" hidden="false" customHeight="false" outlineLevel="0" collapsed="false">
      <c r="A307" s="16" t="str">
        <f aca="false">Payment_Log_AP!A303</f>
        <v>PAY40302</v>
      </c>
      <c r="B307" s="16" t="str">
        <f aca="false">Payment_Log_AP!C303</f>
        <v>V1037</v>
      </c>
      <c r="C307" s="17" t="n">
        <f aca="false">Payment_Log_AP!D303</f>
        <v>46027</v>
      </c>
      <c r="D307" s="18" t="n">
        <f aca="false">Payment_Log_AP!E303</f>
        <v>674.21</v>
      </c>
      <c r="E307" s="18" t="n">
        <f aca="false">IFERROR(INDEX(Bank_Statement!$C$2:$C$783,MATCH(A307,Bank_Statement!$E$2:$E$783,0)),"")</f>
        <v>-674.21</v>
      </c>
      <c r="F307" s="16" t="str">
        <f aca="false">IF(E307="","No","Yes")</f>
        <v>Yes</v>
      </c>
      <c r="G307" s="18" t="n">
        <f aca="false">IF(F307="No","N/A",D307-E307)</f>
        <v>1348.42</v>
      </c>
      <c r="H307" s="16" t="str">
        <f aca="false">IF(F307="No","Unmatched - Investigate",IF(ABS(D307-E307)&gt;Assumptions!$B$6,"Mismatch - Amount Differs","Matched"))</f>
        <v>Mismatch - Amount Differs</v>
      </c>
    </row>
    <row r="308" customFormat="false" ht="15" hidden="false" customHeight="false" outlineLevel="0" collapsed="false">
      <c r="A308" s="16" t="str">
        <f aca="false">Payment_Log_AP!A304</f>
        <v>PAY40303</v>
      </c>
      <c r="B308" s="16" t="str">
        <f aca="false">Payment_Log_AP!C304</f>
        <v>V1007</v>
      </c>
      <c r="C308" s="17" t="n">
        <f aca="false">Payment_Log_AP!D304</f>
        <v>46085</v>
      </c>
      <c r="D308" s="18" t="n">
        <f aca="false">Payment_Log_AP!E304</f>
        <v>1314.98</v>
      </c>
      <c r="E308" s="18" t="n">
        <f aca="false">IFERROR(INDEX(Bank_Statement!$C$2:$C$783,MATCH(A308,Bank_Statement!$E$2:$E$783,0)),"")</f>
        <v>-1314.98</v>
      </c>
      <c r="F308" s="16" t="str">
        <f aca="false">IF(E308="","No","Yes")</f>
        <v>Yes</v>
      </c>
      <c r="G308" s="18" t="n">
        <f aca="false">IF(F308="No","N/A",D308-E308)</f>
        <v>2629.96</v>
      </c>
      <c r="H308" s="16" t="str">
        <f aca="false">IF(F308="No","Unmatched - Investigate",IF(ABS(D308-E308)&gt;Assumptions!$B$6,"Mismatch - Amount Differs","Matched"))</f>
        <v>Mismatch - Amount Differs</v>
      </c>
    </row>
    <row r="309" customFormat="false" ht="15" hidden="false" customHeight="false" outlineLevel="0" collapsed="false">
      <c r="A309" s="16" t="str">
        <f aca="false">Payment_Log_AP!A305</f>
        <v>PAY40304</v>
      </c>
      <c r="B309" s="16" t="str">
        <f aca="false">Payment_Log_AP!C305</f>
        <v>V1007</v>
      </c>
      <c r="C309" s="17" t="n">
        <f aca="false">Payment_Log_AP!D305</f>
        <v>46098</v>
      </c>
      <c r="D309" s="18" t="n">
        <f aca="false">Payment_Log_AP!E305</f>
        <v>1314.98</v>
      </c>
      <c r="E309" s="18" t="n">
        <f aca="false">IFERROR(INDEX(Bank_Statement!$C$2:$C$783,MATCH(A309,Bank_Statement!$E$2:$E$783,0)),"")</f>
        <v>-1314.98</v>
      </c>
      <c r="F309" s="16" t="str">
        <f aca="false">IF(E309="","No","Yes")</f>
        <v>Yes</v>
      </c>
      <c r="G309" s="18" t="n">
        <f aca="false">IF(F309="No","N/A",D309-E309)</f>
        <v>2629.96</v>
      </c>
      <c r="H309" s="16" t="str">
        <f aca="false">IF(F309="No","Unmatched - Investigate",IF(ABS(D309-E309)&gt;Assumptions!$B$6,"Mismatch - Amount Differs","Matched"))</f>
        <v>Mismatch - Amount Differs</v>
      </c>
    </row>
    <row r="310" customFormat="false" ht="15" hidden="false" customHeight="false" outlineLevel="0" collapsed="false">
      <c r="A310" s="16" t="str">
        <f aca="false">Payment_Log_AP!A306</f>
        <v>PAY40305</v>
      </c>
      <c r="B310" s="16" t="str">
        <f aca="false">Payment_Log_AP!C306</f>
        <v>V1040</v>
      </c>
      <c r="C310" s="17" t="n">
        <f aca="false">Payment_Log_AP!D306</f>
        <v>45799</v>
      </c>
      <c r="D310" s="18" t="n">
        <f aca="false">Payment_Log_AP!E306</f>
        <v>427.04</v>
      </c>
      <c r="E310" s="18" t="n">
        <f aca="false">IFERROR(INDEX(Bank_Statement!$C$2:$C$783,MATCH(A310,Bank_Statement!$E$2:$E$783,0)),"")</f>
        <v>-427.04</v>
      </c>
      <c r="F310" s="16" t="str">
        <f aca="false">IF(E310="","No","Yes")</f>
        <v>Yes</v>
      </c>
      <c r="G310" s="18" t="n">
        <f aca="false">IF(F310="No","N/A",D310-E310)</f>
        <v>854.08</v>
      </c>
      <c r="H310" s="16" t="str">
        <f aca="false">IF(F310="No","Unmatched - Investigate",IF(ABS(D310-E310)&gt;Assumptions!$B$6,"Mismatch - Amount Differs","Matched"))</f>
        <v>Mismatch - Amount Differs</v>
      </c>
    </row>
    <row r="311" customFormat="false" ht="15" hidden="false" customHeight="false" outlineLevel="0" collapsed="false">
      <c r="A311" s="16" t="str">
        <f aca="false">Payment_Log_AP!A307</f>
        <v>PAY40306</v>
      </c>
      <c r="B311" s="16" t="str">
        <f aca="false">Payment_Log_AP!C307</f>
        <v>V1040</v>
      </c>
      <c r="C311" s="17" t="n">
        <f aca="false">Payment_Log_AP!D307</f>
        <v>45794</v>
      </c>
      <c r="D311" s="18" t="n">
        <f aca="false">Payment_Log_AP!E307</f>
        <v>427.04</v>
      </c>
      <c r="E311" s="18" t="n">
        <f aca="false">IFERROR(INDEX(Bank_Statement!$C$2:$C$783,MATCH(A311,Bank_Statement!$E$2:$E$783,0)),"")</f>
        <v>-427.04</v>
      </c>
      <c r="F311" s="16" t="str">
        <f aca="false">IF(E311="","No","Yes")</f>
        <v>Yes</v>
      </c>
      <c r="G311" s="18" t="n">
        <f aca="false">IF(F311="No","N/A",D311-E311)</f>
        <v>854.08</v>
      </c>
      <c r="H311" s="16" t="str">
        <f aca="false">IF(F311="No","Unmatched - Investigate",IF(ABS(D311-E311)&gt;Assumptions!$B$6,"Mismatch - Amount Differs","Matched"))</f>
        <v>Mismatch - Amount Differs</v>
      </c>
    </row>
    <row r="312" customFormat="false" ht="15" hidden="false" customHeight="false" outlineLevel="0" collapsed="false">
      <c r="A312" s="16" t="str">
        <f aca="false">Payment_Log_AP!A308</f>
        <v>PAY40307</v>
      </c>
      <c r="B312" s="16" t="str">
        <f aca="false">Payment_Log_AP!C308</f>
        <v>V1003</v>
      </c>
      <c r="C312" s="17" t="n">
        <f aca="false">Payment_Log_AP!D308</f>
        <v>45793</v>
      </c>
      <c r="D312" s="18" t="n">
        <f aca="false">Payment_Log_AP!E308</f>
        <v>1109.9</v>
      </c>
      <c r="E312" s="18" t="n">
        <f aca="false">IFERROR(INDEX(Bank_Statement!$C$2:$C$783,MATCH(A312,Bank_Statement!$E$2:$E$783,0)),"")</f>
        <v>-1109.9</v>
      </c>
      <c r="F312" s="16" t="str">
        <f aca="false">IF(E312="","No","Yes")</f>
        <v>Yes</v>
      </c>
      <c r="G312" s="18" t="n">
        <f aca="false">IF(F312="No","N/A",D312-E312)</f>
        <v>2219.8</v>
      </c>
      <c r="H312" s="16" t="str">
        <f aca="false">IF(F312="No","Unmatched - Investigate",IF(ABS(D312-E312)&gt;Assumptions!$B$6,"Mismatch - Amount Differs","Matched"))</f>
        <v>Mismatch - Amount Differs</v>
      </c>
    </row>
    <row r="313" customFormat="false" ht="15" hidden="false" customHeight="false" outlineLevel="0" collapsed="false">
      <c r="A313" s="16" t="str">
        <f aca="false">Payment_Log_AP!A309</f>
        <v>PAY40308</v>
      </c>
      <c r="B313" s="16" t="str">
        <f aca="false">Payment_Log_AP!C309</f>
        <v>V1001</v>
      </c>
      <c r="C313" s="17" t="n">
        <f aca="false">Payment_Log_AP!D309</f>
        <v>46060</v>
      </c>
      <c r="D313" s="18" t="n">
        <f aca="false">Payment_Log_AP!E309</f>
        <v>3284.61</v>
      </c>
      <c r="E313" s="18" t="n">
        <f aca="false">IFERROR(INDEX(Bank_Statement!$C$2:$C$783,MATCH(A313,Bank_Statement!$E$2:$E$783,0)),"")</f>
        <v>-3284.61</v>
      </c>
      <c r="F313" s="16" t="str">
        <f aca="false">IF(E313="","No","Yes")</f>
        <v>Yes</v>
      </c>
      <c r="G313" s="18" t="n">
        <f aca="false">IF(F313="No","N/A",D313-E313)</f>
        <v>6569.22</v>
      </c>
      <c r="H313" s="16" t="str">
        <f aca="false">IF(F313="No","Unmatched - Investigate",IF(ABS(D313-E313)&gt;Assumptions!$B$6,"Mismatch - Amount Differs","Matched"))</f>
        <v>Mismatch - Amount Differs</v>
      </c>
    </row>
    <row r="314" customFormat="false" ht="15" hidden="false" customHeight="false" outlineLevel="0" collapsed="false">
      <c r="A314" s="16" t="str">
        <f aca="false">Payment_Log_AP!A310</f>
        <v>PAY40309</v>
      </c>
      <c r="B314" s="16" t="str">
        <f aca="false">Payment_Log_AP!C310</f>
        <v>V1028</v>
      </c>
      <c r="C314" s="17" t="n">
        <f aca="false">Payment_Log_AP!D310</f>
        <v>45783</v>
      </c>
      <c r="D314" s="18" t="n">
        <f aca="false">Payment_Log_AP!E310</f>
        <v>2187.07</v>
      </c>
      <c r="E314" s="18" t="n">
        <f aca="false">IFERROR(INDEX(Bank_Statement!$C$2:$C$783,MATCH(A314,Bank_Statement!$E$2:$E$783,0)),"")</f>
        <v>-2187.07</v>
      </c>
      <c r="F314" s="16" t="str">
        <f aca="false">IF(E314="","No","Yes")</f>
        <v>Yes</v>
      </c>
      <c r="G314" s="18" t="n">
        <f aca="false">IF(F314="No","N/A",D314-E314)</f>
        <v>4374.14</v>
      </c>
      <c r="H314" s="16" t="str">
        <f aca="false">IF(F314="No","Unmatched - Investigate",IF(ABS(D314-E314)&gt;Assumptions!$B$6,"Mismatch - Amount Differs","Matched"))</f>
        <v>Mismatch - Amount Differs</v>
      </c>
    </row>
    <row r="315" customFormat="false" ht="15" hidden="false" customHeight="false" outlineLevel="0" collapsed="false">
      <c r="A315" s="16" t="str">
        <f aca="false">Payment_Log_AP!A311</f>
        <v>PAY40310</v>
      </c>
      <c r="B315" s="16" t="str">
        <f aca="false">Payment_Log_AP!C311</f>
        <v>V1026</v>
      </c>
      <c r="C315" s="17" t="n">
        <f aca="false">Payment_Log_AP!D311</f>
        <v>45783</v>
      </c>
      <c r="D315" s="18" t="n">
        <f aca="false">Payment_Log_AP!E311</f>
        <v>4407.35</v>
      </c>
      <c r="E315" s="18" t="n">
        <f aca="false">IFERROR(INDEX(Bank_Statement!$C$2:$C$783,MATCH(A315,Bank_Statement!$E$2:$E$783,0)),"")</f>
        <v>-4407.35</v>
      </c>
      <c r="F315" s="16" t="str">
        <f aca="false">IF(E315="","No","Yes")</f>
        <v>Yes</v>
      </c>
      <c r="G315" s="18" t="n">
        <f aca="false">IF(F315="No","N/A",D315-E315)</f>
        <v>8814.7</v>
      </c>
      <c r="H315" s="16" t="str">
        <f aca="false">IF(F315="No","Unmatched - Investigate",IF(ABS(D315-E315)&gt;Assumptions!$B$6,"Mismatch - Amount Differs","Matched"))</f>
        <v>Mismatch - Amount Differs</v>
      </c>
    </row>
    <row r="316" customFormat="false" ht="15" hidden="false" customHeight="false" outlineLevel="0" collapsed="false">
      <c r="A316" s="16" t="str">
        <f aca="false">Payment_Log_AP!A312</f>
        <v>PAY40311</v>
      </c>
      <c r="B316" s="16" t="str">
        <f aca="false">Payment_Log_AP!C312</f>
        <v>V1024</v>
      </c>
      <c r="C316" s="17" t="n">
        <f aca="false">Payment_Log_AP!D312</f>
        <v>45713</v>
      </c>
      <c r="D316" s="18" t="n">
        <f aca="false">Payment_Log_AP!E312</f>
        <v>814.56</v>
      </c>
      <c r="E316" s="18" t="n">
        <f aca="false">IFERROR(INDEX(Bank_Statement!$C$2:$C$783,MATCH(A316,Bank_Statement!$E$2:$E$783,0)),"")</f>
        <v>-814.56</v>
      </c>
      <c r="F316" s="16" t="str">
        <f aca="false">IF(E316="","No","Yes")</f>
        <v>Yes</v>
      </c>
      <c r="G316" s="18" t="n">
        <f aca="false">IF(F316="No","N/A",D316-E316)</f>
        <v>1629.12</v>
      </c>
      <c r="H316" s="16" t="str">
        <f aca="false">IF(F316="No","Unmatched - Investigate",IF(ABS(D316-E316)&gt;Assumptions!$B$6,"Mismatch - Amount Differs","Matched"))</f>
        <v>Mismatch - Amount Differs</v>
      </c>
    </row>
    <row r="317" customFormat="false" ht="15" hidden="false" customHeight="false" outlineLevel="0" collapsed="false">
      <c r="A317" s="16" t="str">
        <f aca="false">Payment_Log_AP!A313</f>
        <v>PAY40312</v>
      </c>
      <c r="B317" s="16" t="str">
        <f aca="false">Payment_Log_AP!C313</f>
        <v>V1003</v>
      </c>
      <c r="C317" s="17" t="n">
        <f aca="false">Payment_Log_AP!D313</f>
        <v>45673</v>
      </c>
      <c r="D317" s="18" t="n">
        <f aca="false">Payment_Log_AP!E313</f>
        <v>988.16</v>
      </c>
      <c r="E317" s="18" t="n">
        <f aca="false">IFERROR(INDEX(Bank_Statement!$C$2:$C$783,MATCH(A317,Bank_Statement!$E$2:$E$783,0)),"")</f>
        <v>-988.16</v>
      </c>
      <c r="F317" s="16" t="str">
        <f aca="false">IF(E317="","No","Yes")</f>
        <v>Yes</v>
      </c>
      <c r="G317" s="18" t="n">
        <f aca="false">IF(F317="No","N/A",D317-E317)</f>
        <v>1976.32</v>
      </c>
      <c r="H317" s="16" t="str">
        <f aca="false">IF(F317="No","Unmatched - Investigate",IF(ABS(D317-E317)&gt;Assumptions!$B$6,"Mismatch - Amount Differs","Matched"))</f>
        <v>Mismatch - Amount Differs</v>
      </c>
    </row>
    <row r="318" customFormat="false" ht="15" hidden="false" customHeight="false" outlineLevel="0" collapsed="false">
      <c r="A318" s="16" t="str">
        <f aca="false">Payment_Log_AP!A314</f>
        <v>PAY40313</v>
      </c>
      <c r="B318" s="16" t="str">
        <f aca="false">Payment_Log_AP!C314</f>
        <v>V1003</v>
      </c>
      <c r="C318" s="17" t="n">
        <f aca="false">Payment_Log_AP!D314</f>
        <v>45924</v>
      </c>
      <c r="D318" s="18" t="n">
        <f aca="false">Payment_Log_AP!E314</f>
        <v>721.3</v>
      </c>
      <c r="E318" s="18" t="n">
        <f aca="false">IFERROR(INDEX(Bank_Statement!$C$2:$C$783,MATCH(A318,Bank_Statement!$E$2:$E$783,0)),"")</f>
        <v>-721.3</v>
      </c>
      <c r="F318" s="16" t="str">
        <f aca="false">IF(E318="","No","Yes")</f>
        <v>Yes</v>
      </c>
      <c r="G318" s="18" t="n">
        <f aca="false">IF(F318="No","N/A",D318-E318)</f>
        <v>1442.6</v>
      </c>
      <c r="H318" s="16" t="str">
        <f aca="false">IF(F318="No","Unmatched - Investigate",IF(ABS(D318-E318)&gt;Assumptions!$B$6,"Mismatch - Amount Differs","Matched"))</f>
        <v>Mismatch - Amount Differs</v>
      </c>
    </row>
    <row r="319" customFormat="false" ht="15" hidden="false" customHeight="false" outlineLevel="0" collapsed="false">
      <c r="A319" s="16" t="str">
        <f aca="false">Payment_Log_AP!A315</f>
        <v>PAY40314</v>
      </c>
      <c r="B319" s="16" t="str">
        <f aca="false">Payment_Log_AP!C315</f>
        <v>V1004</v>
      </c>
      <c r="C319" s="17" t="n">
        <f aca="false">Payment_Log_AP!D315</f>
        <v>46006</v>
      </c>
      <c r="D319" s="18" t="n">
        <f aca="false">Payment_Log_AP!E315</f>
        <v>5762.48</v>
      </c>
      <c r="E319" s="18" t="n">
        <f aca="false">IFERROR(INDEX(Bank_Statement!$C$2:$C$783,MATCH(A319,Bank_Statement!$E$2:$E$783,0)),"")</f>
        <v>-5762.48</v>
      </c>
      <c r="F319" s="16" t="str">
        <f aca="false">IF(E319="","No","Yes")</f>
        <v>Yes</v>
      </c>
      <c r="G319" s="18" t="n">
        <f aca="false">IF(F319="No","N/A",D319-E319)</f>
        <v>11524.96</v>
      </c>
      <c r="H319" s="16" t="str">
        <f aca="false">IF(F319="No","Unmatched - Investigate",IF(ABS(D319-E319)&gt;Assumptions!$B$6,"Mismatch - Amount Differs","Matched"))</f>
        <v>Mismatch - Amount Differs</v>
      </c>
    </row>
    <row r="320" customFormat="false" ht="15" hidden="false" customHeight="false" outlineLevel="0" collapsed="false">
      <c r="A320" s="16" t="str">
        <f aca="false">Payment_Log_AP!A316</f>
        <v>PAY40315</v>
      </c>
      <c r="B320" s="16" t="str">
        <f aca="false">Payment_Log_AP!C316</f>
        <v>V1005</v>
      </c>
      <c r="C320" s="17" t="n">
        <f aca="false">Payment_Log_AP!D316</f>
        <v>45849</v>
      </c>
      <c r="D320" s="18" t="n">
        <f aca="false">Payment_Log_AP!E316</f>
        <v>3958.91</v>
      </c>
      <c r="E320" s="18" t="n">
        <f aca="false">IFERROR(INDEX(Bank_Statement!$C$2:$C$783,MATCH(A320,Bank_Statement!$E$2:$E$783,0)),"")</f>
        <v>-3958.91</v>
      </c>
      <c r="F320" s="16" t="str">
        <f aca="false">IF(E320="","No","Yes")</f>
        <v>Yes</v>
      </c>
      <c r="G320" s="18" t="n">
        <f aca="false">IF(F320="No","N/A",D320-E320)</f>
        <v>7917.82</v>
      </c>
      <c r="H320" s="16" t="str">
        <f aca="false">IF(F320="No","Unmatched - Investigate",IF(ABS(D320-E320)&gt;Assumptions!$B$6,"Mismatch - Amount Differs","Matched"))</f>
        <v>Mismatch - Amount Differs</v>
      </c>
    </row>
    <row r="321" customFormat="false" ht="15" hidden="false" customHeight="false" outlineLevel="0" collapsed="false">
      <c r="A321" s="16" t="str">
        <f aca="false">Payment_Log_AP!A317</f>
        <v>PAY40316</v>
      </c>
      <c r="B321" s="16" t="str">
        <f aca="false">Payment_Log_AP!C317</f>
        <v>V1025</v>
      </c>
      <c r="C321" s="17" t="n">
        <f aca="false">Payment_Log_AP!D317</f>
        <v>46097</v>
      </c>
      <c r="D321" s="18" t="n">
        <f aca="false">Payment_Log_AP!E317</f>
        <v>1396.44</v>
      </c>
      <c r="E321" s="18" t="n">
        <f aca="false">IFERROR(INDEX(Bank_Statement!$C$2:$C$783,MATCH(A321,Bank_Statement!$E$2:$E$783,0)),"")</f>
        <v>-1396.44</v>
      </c>
      <c r="F321" s="16" t="str">
        <f aca="false">IF(E321="","No","Yes")</f>
        <v>Yes</v>
      </c>
      <c r="G321" s="18" t="n">
        <f aca="false">IF(F321="No","N/A",D321-E321)</f>
        <v>2792.88</v>
      </c>
      <c r="H321" s="16" t="str">
        <f aca="false">IF(F321="No","Unmatched - Investigate",IF(ABS(D321-E321)&gt;Assumptions!$B$6,"Mismatch - Amount Differs","Matched"))</f>
        <v>Mismatch - Amount Differs</v>
      </c>
    </row>
    <row r="322" customFormat="false" ht="15" hidden="false" customHeight="false" outlineLevel="0" collapsed="false">
      <c r="A322" s="16" t="str">
        <f aca="false">Payment_Log_AP!A318</f>
        <v>PAY40317</v>
      </c>
      <c r="B322" s="16" t="str">
        <f aca="false">Payment_Log_AP!C318</f>
        <v>V1025</v>
      </c>
      <c r="C322" s="17" t="n">
        <f aca="false">Payment_Log_AP!D318</f>
        <v>46102</v>
      </c>
      <c r="D322" s="18" t="n">
        <f aca="false">Payment_Log_AP!E318</f>
        <v>1396.44</v>
      </c>
      <c r="E322" s="18" t="n">
        <f aca="false">IFERROR(INDEX(Bank_Statement!$C$2:$C$783,MATCH(A322,Bank_Statement!$E$2:$E$783,0)),"")</f>
        <v>-1396.44</v>
      </c>
      <c r="F322" s="16" t="str">
        <f aca="false">IF(E322="","No","Yes")</f>
        <v>Yes</v>
      </c>
      <c r="G322" s="18" t="n">
        <f aca="false">IF(F322="No","N/A",D322-E322)</f>
        <v>2792.88</v>
      </c>
      <c r="H322" s="16" t="str">
        <f aca="false">IF(F322="No","Unmatched - Investigate",IF(ABS(D322-E322)&gt;Assumptions!$B$6,"Mismatch - Amount Differs","Matched"))</f>
        <v>Mismatch - Amount Differs</v>
      </c>
    </row>
    <row r="323" customFormat="false" ht="15" hidden="false" customHeight="false" outlineLevel="0" collapsed="false">
      <c r="A323" s="16" t="str">
        <f aca="false">Payment_Log_AP!A319</f>
        <v>PAY40318</v>
      </c>
      <c r="B323" s="16" t="str">
        <f aca="false">Payment_Log_AP!C319</f>
        <v>V1001</v>
      </c>
      <c r="C323" s="17" t="n">
        <f aca="false">Payment_Log_AP!D319</f>
        <v>45955</v>
      </c>
      <c r="D323" s="18" t="n">
        <f aca="false">Payment_Log_AP!E319</f>
        <v>1682.49</v>
      </c>
      <c r="E323" s="18" t="n">
        <f aca="false">IFERROR(INDEX(Bank_Statement!$C$2:$C$783,MATCH(A323,Bank_Statement!$E$2:$E$783,0)),"")</f>
        <v>-1682.49</v>
      </c>
      <c r="F323" s="16" t="str">
        <f aca="false">IF(E323="","No","Yes")</f>
        <v>Yes</v>
      </c>
      <c r="G323" s="18" t="n">
        <f aca="false">IF(F323="No","N/A",D323-E323)</f>
        <v>3364.98</v>
      </c>
      <c r="H323" s="16" t="str">
        <f aca="false">IF(F323="No","Unmatched - Investigate",IF(ABS(D323-E323)&gt;Assumptions!$B$6,"Mismatch - Amount Differs","Matched"))</f>
        <v>Mismatch - Amount Differs</v>
      </c>
    </row>
    <row r="324" customFormat="false" ht="15" hidden="false" customHeight="false" outlineLevel="0" collapsed="false">
      <c r="A324" s="16" t="str">
        <f aca="false">Payment_Log_AP!A320</f>
        <v>PAY40319</v>
      </c>
      <c r="B324" s="16" t="str">
        <f aca="false">Payment_Log_AP!C320</f>
        <v>V1037</v>
      </c>
      <c r="C324" s="17" t="n">
        <f aca="false">Payment_Log_AP!D320</f>
        <v>46049</v>
      </c>
      <c r="D324" s="18" t="n">
        <f aca="false">Payment_Log_AP!E320</f>
        <v>1974.18</v>
      </c>
      <c r="E324" s="18" t="n">
        <f aca="false">IFERROR(INDEX(Bank_Statement!$C$2:$C$783,MATCH(A324,Bank_Statement!$E$2:$E$783,0)),"")</f>
        <v>-1974.18</v>
      </c>
      <c r="F324" s="16" t="str">
        <f aca="false">IF(E324="","No","Yes")</f>
        <v>Yes</v>
      </c>
      <c r="G324" s="18" t="n">
        <f aca="false">IF(F324="No","N/A",D324-E324)</f>
        <v>3948.36</v>
      </c>
      <c r="H324" s="16" t="str">
        <f aca="false">IF(F324="No","Unmatched - Investigate",IF(ABS(D324-E324)&gt;Assumptions!$B$6,"Mismatch - Amount Differs","Matched"))</f>
        <v>Mismatch - Amount Differs</v>
      </c>
    </row>
    <row r="325" customFormat="false" ht="15" hidden="false" customHeight="false" outlineLevel="0" collapsed="false">
      <c r="A325" s="16" t="str">
        <f aca="false">Payment_Log_AP!A321</f>
        <v>PAY40320</v>
      </c>
      <c r="B325" s="16" t="str">
        <f aca="false">Payment_Log_AP!C321</f>
        <v>V1020</v>
      </c>
      <c r="C325" s="17" t="n">
        <f aca="false">Payment_Log_AP!D321</f>
        <v>46016</v>
      </c>
      <c r="D325" s="18" t="n">
        <f aca="false">Payment_Log_AP!E321</f>
        <v>2928.06</v>
      </c>
      <c r="E325" s="18" t="n">
        <f aca="false">IFERROR(INDEX(Bank_Statement!$C$2:$C$783,MATCH(A325,Bank_Statement!$E$2:$E$783,0)),"")</f>
        <v>-2928.06</v>
      </c>
      <c r="F325" s="16" t="str">
        <f aca="false">IF(E325="","No","Yes")</f>
        <v>Yes</v>
      </c>
      <c r="G325" s="18" t="n">
        <f aca="false">IF(F325="No","N/A",D325-E325)</f>
        <v>5856.12</v>
      </c>
      <c r="H325" s="16" t="str">
        <f aca="false">IF(F325="No","Unmatched - Investigate",IF(ABS(D325-E325)&gt;Assumptions!$B$6,"Mismatch - Amount Differs","Matched"))</f>
        <v>Mismatch - Amount Differs</v>
      </c>
    </row>
    <row r="326" customFormat="false" ht="15" hidden="false" customHeight="false" outlineLevel="0" collapsed="false">
      <c r="A326" s="16" t="str">
        <f aca="false">Payment_Log_AP!A322</f>
        <v>PAY40321</v>
      </c>
      <c r="B326" s="16" t="str">
        <f aca="false">Payment_Log_AP!C322</f>
        <v>V1040</v>
      </c>
      <c r="C326" s="17" t="n">
        <f aca="false">Payment_Log_AP!D322</f>
        <v>46044</v>
      </c>
      <c r="D326" s="18" t="n">
        <f aca="false">Payment_Log_AP!E322</f>
        <v>3306.72</v>
      </c>
      <c r="E326" s="18" t="n">
        <f aca="false">IFERROR(INDEX(Bank_Statement!$C$2:$C$783,MATCH(A326,Bank_Statement!$E$2:$E$783,0)),"")</f>
        <v>-3306.72</v>
      </c>
      <c r="F326" s="16" t="str">
        <f aca="false">IF(E326="","No","Yes")</f>
        <v>Yes</v>
      </c>
      <c r="G326" s="18" t="n">
        <f aca="false">IF(F326="No","N/A",D326-E326)</f>
        <v>6613.44</v>
      </c>
      <c r="H326" s="16" t="str">
        <f aca="false">IF(F326="No","Unmatched - Investigate",IF(ABS(D326-E326)&gt;Assumptions!$B$6,"Mismatch - Amount Differs","Matched"))</f>
        <v>Mismatch - Amount Differs</v>
      </c>
    </row>
    <row r="327" customFormat="false" ht="15" hidden="false" customHeight="false" outlineLevel="0" collapsed="false">
      <c r="A327" s="16" t="str">
        <f aca="false">Payment_Log_AP!A323</f>
        <v>PAY40322</v>
      </c>
      <c r="B327" s="16" t="str">
        <f aca="false">Payment_Log_AP!C323</f>
        <v>V1019</v>
      </c>
      <c r="C327" s="17" t="n">
        <f aca="false">Payment_Log_AP!D323</f>
        <v>46179</v>
      </c>
      <c r="D327" s="18" t="n">
        <f aca="false">Payment_Log_AP!E323</f>
        <v>7330.11</v>
      </c>
      <c r="E327" s="18" t="n">
        <f aca="false">IFERROR(INDEX(Bank_Statement!$C$2:$C$783,MATCH(A327,Bank_Statement!$E$2:$E$783,0)),"")</f>
        <v>-7330.11</v>
      </c>
      <c r="F327" s="16" t="str">
        <f aca="false">IF(E327="","No","Yes")</f>
        <v>Yes</v>
      </c>
      <c r="G327" s="18" t="n">
        <f aca="false">IF(F327="No","N/A",D327-E327)</f>
        <v>14660.22</v>
      </c>
      <c r="H327" s="16" t="str">
        <f aca="false">IF(F327="No","Unmatched - Investigate",IF(ABS(D327-E327)&gt;Assumptions!$B$6,"Mismatch - Amount Differs","Matched"))</f>
        <v>Mismatch - Amount Differs</v>
      </c>
    </row>
    <row r="328" customFormat="false" ht="15" hidden="false" customHeight="false" outlineLevel="0" collapsed="false">
      <c r="A328" s="16" t="str">
        <f aca="false">Payment_Log_AP!A324</f>
        <v>PAY40323</v>
      </c>
      <c r="B328" s="16" t="str">
        <f aca="false">Payment_Log_AP!C324</f>
        <v>V1040</v>
      </c>
      <c r="C328" s="17" t="n">
        <f aca="false">Payment_Log_AP!D324</f>
        <v>45919</v>
      </c>
      <c r="D328" s="18" t="n">
        <f aca="false">Payment_Log_AP!E324</f>
        <v>305.65</v>
      </c>
      <c r="E328" s="18" t="n">
        <f aca="false">IFERROR(INDEX(Bank_Statement!$C$2:$C$783,MATCH(A328,Bank_Statement!$E$2:$E$783,0)),"")</f>
        <v>-305.65</v>
      </c>
      <c r="F328" s="16" t="str">
        <f aca="false">IF(E328="","No","Yes")</f>
        <v>Yes</v>
      </c>
      <c r="G328" s="18" t="n">
        <f aca="false">IF(F328="No","N/A",D328-E328)</f>
        <v>611.3</v>
      </c>
      <c r="H328" s="16" t="str">
        <f aca="false">IF(F328="No","Unmatched - Investigate",IF(ABS(D328-E328)&gt;Assumptions!$B$6,"Mismatch - Amount Differs","Matched"))</f>
        <v>Mismatch - Amount Differs</v>
      </c>
    </row>
    <row r="329" customFormat="false" ht="15" hidden="false" customHeight="false" outlineLevel="0" collapsed="false">
      <c r="A329" s="16" t="str">
        <f aca="false">Payment_Log_AP!A325</f>
        <v>PAY40324</v>
      </c>
      <c r="B329" s="16" t="str">
        <f aca="false">Payment_Log_AP!C325</f>
        <v>V1012</v>
      </c>
      <c r="C329" s="17" t="n">
        <f aca="false">Payment_Log_AP!D325</f>
        <v>45972</v>
      </c>
      <c r="D329" s="18" t="n">
        <f aca="false">Payment_Log_AP!E325</f>
        <v>695.44</v>
      </c>
      <c r="E329" s="18" t="n">
        <f aca="false">IFERROR(INDEX(Bank_Statement!$C$2:$C$783,MATCH(A329,Bank_Statement!$E$2:$E$783,0)),"")</f>
        <v>-695.44</v>
      </c>
      <c r="F329" s="16" t="str">
        <f aca="false">IF(E329="","No","Yes")</f>
        <v>Yes</v>
      </c>
      <c r="G329" s="18" t="n">
        <f aca="false">IF(F329="No","N/A",D329-E329)</f>
        <v>1390.88</v>
      </c>
      <c r="H329" s="16" t="str">
        <f aca="false">IF(F329="No","Unmatched - Investigate",IF(ABS(D329-E329)&gt;Assumptions!$B$6,"Mismatch - Amount Differs","Matched"))</f>
        <v>Mismatch - Amount Differs</v>
      </c>
    </row>
    <row r="330" customFormat="false" ht="15" hidden="false" customHeight="false" outlineLevel="0" collapsed="false">
      <c r="A330" s="16" t="str">
        <f aca="false">Payment_Log_AP!A326</f>
        <v>PAY40325</v>
      </c>
      <c r="B330" s="16" t="str">
        <f aca="false">Payment_Log_AP!C326</f>
        <v>V1004</v>
      </c>
      <c r="C330" s="17" t="n">
        <f aca="false">Payment_Log_AP!D326</f>
        <v>46055</v>
      </c>
      <c r="D330" s="18" t="n">
        <f aca="false">Payment_Log_AP!E326</f>
        <v>8378.51</v>
      </c>
      <c r="E330" s="18" t="n">
        <f aca="false">IFERROR(INDEX(Bank_Statement!$C$2:$C$783,MATCH(A330,Bank_Statement!$E$2:$E$783,0)),"")</f>
        <v>-8378.51</v>
      </c>
      <c r="F330" s="16" t="str">
        <f aca="false">IF(E330="","No","Yes")</f>
        <v>Yes</v>
      </c>
      <c r="G330" s="18" t="n">
        <f aca="false">IF(F330="No","N/A",D330-E330)</f>
        <v>16757.02</v>
      </c>
      <c r="H330" s="16" t="str">
        <f aca="false">IF(F330="No","Unmatched - Investigate",IF(ABS(D330-E330)&gt;Assumptions!$B$6,"Mismatch - Amount Differs","Matched"))</f>
        <v>Mismatch - Amount Differs</v>
      </c>
    </row>
    <row r="331" customFormat="false" ht="15" hidden="false" customHeight="false" outlineLevel="0" collapsed="false">
      <c r="A331" s="16" t="str">
        <f aca="false">Payment_Log_AP!A327</f>
        <v>PAY40326</v>
      </c>
      <c r="B331" s="16" t="str">
        <f aca="false">Payment_Log_AP!C327</f>
        <v>V1005</v>
      </c>
      <c r="C331" s="17" t="n">
        <f aca="false">Payment_Log_AP!D327</f>
        <v>46196</v>
      </c>
      <c r="D331" s="18" t="n">
        <f aca="false">Payment_Log_AP!E327</f>
        <v>1194.11</v>
      </c>
      <c r="E331" s="18" t="n">
        <f aca="false">IFERROR(INDEX(Bank_Statement!$C$2:$C$783,MATCH(A331,Bank_Statement!$E$2:$E$783,0)),"")</f>
        <v>-1194.11</v>
      </c>
      <c r="F331" s="16" t="str">
        <f aca="false">IF(E331="","No","Yes")</f>
        <v>Yes</v>
      </c>
      <c r="G331" s="18" t="n">
        <f aca="false">IF(F331="No","N/A",D331-E331)</f>
        <v>2388.22</v>
      </c>
      <c r="H331" s="16" t="str">
        <f aca="false">IF(F331="No","Unmatched - Investigate",IF(ABS(D331-E331)&gt;Assumptions!$B$6,"Mismatch - Amount Differs","Matched"))</f>
        <v>Mismatch - Amount Differs</v>
      </c>
    </row>
    <row r="332" customFormat="false" ht="15" hidden="false" customHeight="false" outlineLevel="0" collapsed="false">
      <c r="A332" s="16" t="str">
        <f aca="false">Payment_Log_AP!A328</f>
        <v>PAY40327</v>
      </c>
      <c r="B332" s="16" t="str">
        <f aca="false">Payment_Log_AP!C328</f>
        <v>V1013</v>
      </c>
      <c r="C332" s="17" t="n">
        <f aca="false">Payment_Log_AP!D328</f>
        <v>46140</v>
      </c>
      <c r="D332" s="18" t="n">
        <f aca="false">Payment_Log_AP!E328</f>
        <v>755.76</v>
      </c>
      <c r="E332" s="18" t="n">
        <f aca="false">IFERROR(INDEX(Bank_Statement!$C$2:$C$783,MATCH(A332,Bank_Statement!$E$2:$E$783,0)),"")</f>
        <v>-755.76</v>
      </c>
      <c r="F332" s="16" t="str">
        <f aca="false">IF(E332="","No","Yes")</f>
        <v>Yes</v>
      </c>
      <c r="G332" s="18" t="n">
        <f aca="false">IF(F332="No","N/A",D332-E332)</f>
        <v>1511.52</v>
      </c>
      <c r="H332" s="16" t="str">
        <f aca="false">IF(F332="No","Unmatched - Investigate",IF(ABS(D332-E332)&gt;Assumptions!$B$6,"Mismatch - Amount Differs","Matched"))</f>
        <v>Mismatch - Amount Differs</v>
      </c>
    </row>
    <row r="333" customFormat="false" ht="15" hidden="false" customHeight="false" outlineLevel="0" collapsed="false">
      <c r="A333" s="16" t="str">
        <f aca="false">Payment_Log_AP!A329</f>
        <v>PAY40328</v>
      </c>
      <c r="B333" s="16" t="str">
        <f aca="false">Payment_Log_AP!C329</f>
        <v>V1033</v>
      </c>
      <c r="C333" s="17" t="n">
        <f aca="false">Payment_Log_AP!D329</f>
        <v>45701</v>
      </c>
      <c r="D333" s="18" t="n">
        <f aca="false">Payment_Log_AP!E329</f>
        <v>14821.15</v>
      </c>
      <c r="E333" s="18" t="n">
        <f aca="false">IFERROR(INDEX(Bank_Statement!$C$2:$C$783,MATCH(A333,Bank_Statement!$E$2:$E$783,0)),"")</f>
        <v>-14821.15</v>
      </c>
      <c r="F333" s="16" t="str">
        <f aca="false">IF(E333="","No","Yes")</f>
        <v>Yes</v>
      </c>
      <c r="G333" s="18" t="n">
        <f aca="false">IF(F333="No","N/A",D333-E333)</f>
        <v>29642.3</v>
      </c>
      <c r="H333" s="16" t="str">
        <f aca="false">IF(F333="No","Unmatched - Investigate",IF(ABS(D333-E333)&gt;Assumptions!$B$6,"Mismatch - Amount Differs","Matched"))</f>
        <v>Mismatch - Amount Differs</v>
      </c>
    </row>
    <row r="334" customFormat="false" ht="15" hidden="false" customHeight="false" outlineLevel="0" collapsed="false">
      <c r="A334" s="16" t="str">
        <f aca="false">Payment_Log_AP!A330</f>
        <v>PAY40329</v>
      </c>
      <c r="B334" s="16" t="str">
        <f aca="false">Payment_Log_AP!C330</f>
        <v>V1037</v>
      </c>
      <c r="C334" s="17" t="n">
        <f aca="false">Payment_Log_AP!D330</f>
        <v>45855</v>
      </c>
      <c r="D334" s="18" t="n">
        <f aca="false">Payment_Log_AP!E330</f>
        <v>4303.23</v>
      </c>
      <c r="E334" s="18" t="n">
        <f aca="false">IFERROR(INDEX(Bank_Statement!$C$2:$C$783,MATCH(A334,Bank_Statement!$E$2:$E$783,0)),"")</f>
        <v>-4303.23</v>
      </c>
      <c r="F334" s="16" t="str">
        <f aca="false">IF(E334="","No","Yes")</f>
        <v>Yes</v>
      </c>
      <c r="G334" s="18" t="n">
        <f aca="false">IF(F334="No","N/A",D334-E334)</f>
        <v>8606.46</v>
      </c>
      <c r="H334" s="16" t="str">
        <f aca="false">IF(F334="No","Unmatched - Investigate",IF(ABS(D334-E334)&gt;Assumptions!$B$6,"Mismatch - Amount Differs","Matched"))</f>
        <v>Mismatch - Amount Differs</v>
      </c>
    </row>
    <row r="335" customFormat="false" ht="15" hidden="false" customHeight="false" outlineLevel="0" collapsed="false">
      <c r="A335" s="16" t="str">
        <f aca="false">Payment_Log_AP!A331</f>
        <v>PAY40330</v>
      </c>
      <c r="B335" s="16" t="str">
        <f aca="false">Payment_Log_AP!C331</f>
        <v>V1035</v>
      </c>
      <c r="C335" s="17" t="n">
        <f aca="false">Payment_Log_AP!D331</f>
        <v>46125</v>
      </c>
      <c r="D335" s="18" t="n">
        <f aca="false">Payment_Log_AP!E331</f>
        <v>525.18</v>
      </c>
      <c r="E335" s="18" t="n">
        <f aca="false">IFERROR(INDEX(Bank_Statement!$C$2:$C$783,MATCH(A335,Bank_Statement!$E$2:$E$783,0)),"")</f>
        <v>-525.18</v>
      </c>
      <c r="F335" s="16" t="str">
        <f aca="false">IF(E335="","No","Yes")</f>
        <v>Yes</v>
      </c>
      <c r="G335" s="18" t="n">
        <f aca="false">IF(F335="No","N/A",D335-E335)</f>
        <v>1050.36</v>
      </c>
      <c r="H335" s="16" t="str">
        <f aca="false">IF(F335="No","Unmatched - Investigate",IF(ABS(D335-E335)&gt;Assumptions!$B$6,"Mismatch - Amount Differs","Matched"))</f>
        <v>Mismatch - Amount Differs</v>
      </c>
    </row>
    <row r="336" customFormat="false" ht="15" hidden="false" customHeight="false" outlineLevel="0" collapsed="false">
      <c r="A336" s="16" t="str">
        <f aca="false">Payment_Log_AP!A332</f>
        <v>PAY40331</v>
      </c>
      <c r="B336" s="16" t="str">
        <f aca="false">Payment_Log_AP!C332</f>
        <v>V1020</v>
      </c>
      <c r="C336" s="17" t="n">
        <f aca="false">Payment_Log_AP!D332</f>
        <v>46002</v>
      </c>
      <c r="D336" s="18" t="n">
        <f aca="false">Payment_Log_AP!E332</f>
        <v>2740.38</v>
      </c>
      <c r="E336" s="18" t="n">
        <f aca="false">IFERROR(INDEX(Bank_Statement!$C$2:$C$783,MATCH(A336,Bank_Statement!$E$2:$E$783,0)),"")</f>
        <v>-2740.38</v>
      </c>
      <c r="F336" s="16" t="str">
        <f aca="false">IF(E336="","No","Yes")</f>
        <v>Yes</v>
      </c>
      <c r="G336" s="18" t="n">
        <f aca="false">IF(F336="No","N/A",D336-E336)</f>
        <v>5480.76</v>
      </c>
      <c r="H336" s="16" t="str">
        <f aca="false">IF(F336="No","Unmatched - Investigate",IF(ABS(D336-E336)&gt;Assumptions!$B$6,"Mismatch - Amount Differs","Matched"))</f>
        <v>Mismatch - Amount Differs</v>
      </c>
    </row>
    <row r="337" customFormat="false" ht="15" hidden="false" customHeight="false" outlineLevel="0" collapsed="false">
      <c r="A337" s="16" t="str">
        <f aca="false">Payment_Log_AP!A333</f>
        <v>PAY40332</v>
      </c>
      <c r="B337" s="16" t="str">
        <f aca="false">Payment_Log_AP!C333</f>
        <v>V1008</v>
      </c>
      <c r="C337" s="17" t="n">
        <f aca="false">Payment_Log_AP!D333</f>
        <v>45849</v>
      </c>
      <c r="D337" s="18" t="n">
        <f aca="false">Payment_Log_AP!E333</f>
        <v>9606.11</v>
      </c>
      <c r="E337" s="18" t="n">
        <f aca="false">IFERROR(INDEX(Bank_Statement!$C$2:$C$783,MATCH(A337,Bank_Statement!$E$2:$E$783,0)),"")</f>
        <v>-9606.11</v>
      </c>
      <c r="F337" s="16" t="str">
        <f aca="false">IF(E337="","No","Yes")</f>
        <v>Yes</v>
      </c>
      <c r="G337" s="18" t="n">
        <f aca="false">IF(F337="No","N/A",D337-E337)</f>
        <v>19212.22</v>
      </c>
      <c r="H337" s="16" t="str">
        <f aca="false">IF(F337="No","Unmatched - Investigate",IF(ABS(D337-E337)&gt;Assumptions!$B$6,"Mismatch - Amount Differs","Matched"))</f>
        <v>Mismatch - Amount Differs</v>
      </c>
    </row>
    <row r="338" customFormat="false" ht="15" hidden="false" customHeight="false" outlineLevel="0" collapsed="false">
      <c r="A338" s="16" t="str">
        <f aca="false">Payment_Log_AP!A334</f>
        <v>PAY40333</v>
      </c>
      <c r="B338" s="16" t="str">
        <f aca="false">Payment_Log_AP!C334</f>
        <v>V1021</v>
      </c>
      <c r="C338" s="17" t="n">
        <f aca="false">Payment_Log_AP!D334</f>
        <v>45741</v>
      </c>
      <c r="D338" s="18" t="n">
        <f aca="false">Payment_Log_AP!E334</f>
        <v>3156.13</v>
      </c>
      <c r="E338" s="18" t="n">
        <f aca="false">IFERROR(INDEX(Bank_Statement!$C$2:$C$783,MATCH(A338,Bank_Statement!$E$2:$E$783,0)),"")</f>
        <v>-3156.13</v>
      </c>
      <c r="F338" s="16" t="str">
        <f aca="false">IF(E338="","No","Yes")</f>
        <v>Yes</v>
      </c>
      <c r="G338" s="18" t="n">
        <f aca="false">IF(F338="No","N/A",D338-E338)</f>
        <v>6312.26</v>
      </c>
      <c r="H338" s="16" t="str">
        <f aca="false">IF(F338="No","Unmatched - Investigate",IF(ABS(D338-E338)&gt;Assumptions!$B$6,"Mismatch - Amount Differs","Matched"))</f>
        <v>Mismatch - Amount Differs</v>
      </c>
    </row>
    <row r="339" customFormat="false" ht="15" hidden="false" customHeight="false" outlineLevel="0" collapsed="false">
      <c r="A339" s="16" t="str">
        <f aca="false">Payment_Log_AP!A335</f>
        <v>PAY40334</v>
      </c>
      <c r="B339" s="16" t="str">
        <f aca="false">Payment_Log_AP!C335</f>
        <v>V1037</v>
      </c>
      <c r="C339" s="17" t="n">
        <f aca="false">Payment_Log_AP!D335</f>
        <v>46067</v>
      </c>
      <c r="D339" s="18" t="n">
        <f aca="false">Payment_Log_AP!E335</f>
        <v>4442.2</v>
      </c>
      <c r="E339" s="18" t="n">
        <f aca="false">IFERROR(INDEX(Bank_Statement!$C$2:$C$783,MATCH(A339,Bank_Statement!$E$2:$E$783,0)),"")</f>
        <v>-4442.2</v>
      </c>
      <c r="F339" s="16" t="str">
        <f aca="false">IF(E339="","No","Yes")</f>
        <v>Yes</v>
      </c>
      <c r="G339" s="18" t="n">
        <f aca="false">IF(F339="No","N/A",D339-E339)</f>
        <v>8884.4</v>
      </c>
      <c r="H339" s="16" t="str">
        <f aca="false">IF(F339="No","Unmatched - Investigate",IF(ABS(D339-E339)&gt;Assumptions!$B$6,"Mismatch - Amount Differs","Matched"))</f>
        <v>Mismatch - Amount Differs</v>
      </c>
    </row>
    <row r="340" customFormat="false" ht="15" hidden="false" customHeight="false" outlineLevel="0" collapsed="false">
      <c r="A340" s="16" t="str">
        <f aca="false">Payment_Log_AP!A336</f>
        <v>PAY40335</v>
      </c>
      <c r="B340" s="16" t="str">
        <f aca="false">Payment_Log_AP!C336</f>
        <v>V1004</v>
      </c>
      <c r="C340" s="17" t="n">
        <f aca="false">Payment_Log_AP!D336</f>
        <v>45970</v>
      </c>
      <c r="D340" s="18" t="n">
        <f aca="false">Payment_Log_AP!E336</f>
        <v>2002.66</v>
      </c>
      <c r="E340" s="18" t="n">
        <f aca="false">IFERROR(INDEX(Bank_Statement!$C$2:$C$783,MATCH(A340,Bank_Statement!$E$2:$E$783,0)),"")</f>
        <v>-2002.66</v>
      </c>
      <c r="F340" s="16" t="str">
        <f aca="false">IF(E340="","No","Yes")</f>
        <v>Yes</v>
      </c>
      <c r="G340" s="18" t="n">
        <f aca="false">IF(F340="No","N/A",D340-E340)</f>
        <v>4005.32</v>
      </c>
      <c r="H340" s="16" t="str">
        <f aca="false">IF(F340="No","Unmatched - Investigate",IF(ABS(D340-E340)&gt;Assumptions!$B$6,"Mismatch - Amount Differs","Matched"))</f>
        <v>Mismatch - Amount Differs</v>
      </c>
    </row>
    <row r="341" customFormat="false" ht="15" hidden="false" customHeight="false" outlineLevel="0" collapsed="false">
      <c r="A341" s="16" t="str">
        <f aca="false">Payment_Log_AP!A337</f>
        <v>PAY40336</v>
      </c>
      <c r="B341" s="16" t="str">
        <f aca="false">Payment_Log_AP!C337</f>
        <v>V1024</v>
      </c>
      <c r="C341" s="17" t="n">
        <f aca="false">Payment_Log_AP!D337</f>
        <v>45969</v>
      </c>
      <c r="D341" s="18" t="n">
        <f aca="false">Payment_Log_AP!E337</f>
        <v>1387.72</v>
      </c>
      <c r="E341" s="18" t="n">
        <f aca="false">IFERROR(INDEX(Bank_Statement!$C$2:$C$783,MATCH(A341,Bank_Statement!$E$2:$E$783,0)),"")</f>
        <v>-1387.72</v>
      </c>
      <c r="F341" s="16" t="str">
        <f aca="false">IF(E341="","No","Yes")</f>
        <v>Yes</v>
      </c>
      <c r="G341" s="18" t="n">
        <f aca="false">IF(F341="No","N/A",D341-E341)</f>
        <v>2775.44</v>
      </c>
      <c r="H341" s="16" t="str">
        <f aca="false">IF(F341="No","Unmatched - Investigate",IF(ABS(D341-E341)&gt;Assumptions!$B$6,"Mismatch - Amount Differs","Matched"))</f>
        <v>Mismatch - Amount Differs</v>
      </c>
    </row>
    <row r="342" customFormat="false" ht="15" hidden="false" customHeight="false" outlineLevel="0" collapsed="false">
      <c r="A342" s="16" t="str">
        <f aca="false">Payment_Log_AP!A338</f>
        <v>PAY40337</v>
      </c>
      <c r="B342" s="16" t="str">
        <f aca="false">Payment_Log_AP!C338</f>
        <v>V1034</v>
      </c>
      <c r="C342" s="17" t="n">
        <f aca="false">Payment_Log_AP!D338</f>
        <v>45752</v>
      </c>
      <c r="D342" s="18" t="n">
        <f aca="false">Payment_Log_AP!E338</f>
        <v>2387.19</v>
      </c>
      <c r="E342" s="18" t="n">
        <f aca="false">IFERROR(INDEX(Bank_Statement!$C$2:$C$783,MATCH(A342,Bank_Statement!$E$2:$E$783,0)),"")</f>
        <v>-2387.19</v>
      </c>
      <c r="F342" s="16" t="str">
        <f aca="false">IF(E342="","No","Yes")</f>
        <v>Yes</v>
      </c>
      <c r="G342" s="18" t="n">
        <f aca="false">IF(F342="No","N/A",D342-E342)</f>
        <v>4774.38</v>
      </c>
      <c r="H342" s="16" t="str">
        <f aca="false">IF(F342="No","Unmatched - Investigate",IF(ABS(D342-E342)&gt;Assumptions!$B$6,"Mismatch - Amount Differs","Matched"))</f>
        <v>Mismatch - Amount Differs</v>
      </c>
    </row>
    <row r="343" customFormat="false" ht="15" hidden="false" customHeight="false" outlineLevel="0" collapsed="false">
      <c r="A343" s="16" t="str">
        <f aca="false">Payment_Log_AP!A339</f>
        <v>PAY40338</v>
      </c>
      <c r="B343" s="16" t="str">
        <f aca="false">Payment_Log_AP!C339</f>
        <v>V1015</v>
      </c>
      <c r="C343" s="17" t="n">
        <f aca="false">Payment_Log_AP!D339</f>
        <v>45699</v>
      </c>
      <c r="D343" s="18" t="n">
        <f aca="false">Payment_Log_AP!E339</f>
        <v>4785.43</v>
      </c>
      <c r="E343" s="18" t="n">
        <f aca="false">IFERROR(INDEX(Bank_Statement!$C$2:$C$783,MATCH(A343,Bank_Statement!$E$2:$E$783,0)),"")</f>
        <v>-4785.43</v>
      </c>
      <c r="F343" s="16" t="str">
        <f aca="false">IF(E343="","No","Yes")</f>
        <v>Yes</v>
      </c>
      <c r="G343" s="18" t="n">
        <f aca="false">IF(F343="No","N/A",D343-E343)</f>
        <v>9570.86</v>
      </c>
      <c r="H343" s="16" t="str">
        <f aca="false">IF(F343="No","Unmatched - Investigate",IF(ABS(D343-E343)&gt;Assumptions!$B$6,"Mismatch - Amount Differs","Matched"))</f>
        <v>Mismatch - Amount Differs</v>
      </c>
    </row>
    <row r="344" customFormat="false" ht="15" hidden="false" customHeight="false" outlineLevel="0" collapsed="false">
      <c r="A344" s="16" t="str">
        <f aca="false">Payment_Log_AP!A340</f>
        <v>PAY40339</v>
      </c>
      <c r="B344" s="16" t="str">
        <f aca="false">Payment_Log_AP!C340</f>
        <v>V1004</v>
      </c>
      <c r="C344" s="17" t="n">
        <f aca="false">Payment_Log_AP!D340</f>
        <v>45934</v>
      </c>
      <c r="D344" s="18" t="n">
        <f aca="false">Payment_Log_AP!E340</f>
        <v>543.23</v>
      </c>
      <c r="E344" s="18" t="n">
        <f aca="false">IFERROR(INDEX(Bank_Statement!$C$2:$C$783,MATCH(A344,Bank_Statement!$E$2:$E$783,0)),"")</f>
        <v>-543.23</v>
      </c>
      <c r="F344" s="16" t="str">
        <f aca="false">IF(E344="","No","Yes")</f>
        <v>Yes</v>
      </c>
      <c r="G344" s="18" t="n">
        <f aca="false">IF(F344="No","N/A",D344-E344)</f>
        <v>1086.46</v>
      </c>
      <c r="H344" s="16" t="str">
        <f aca="false">IF(F344="No","Unmatched - Investigate",IF(ABS(D344-E344)&gt;Assumptions!$B$6,"Mismatch - Amount Differs","Matched"))</f>
        <v>Mismatch - Amount Differs</v>
      </c>
    </row>
    <row r="345" customFormat="false" ht="15" hidden="false" customHeight="false" outlineLevel="0" collapsed="false">
      <c r="A345" s="16" t="str">
        <f aca="false">Payment_Log_AP!A341</f>
        <v>PAY40340</v>
      </c>
      <c r="B345" s="16" t="str">
        <f aca="false">Payment_Log_AP!C341</f>
        <v>V1027</v>
      </c>
      <c r="C345" s="17" t="n">
        <f aca="false">Payment_Log_AP!D341</f>
        <v>45883</v>
      </c>
      <c r="D345" s="18" t="n">
        <f aca="false">Payment_Log_AP!E341</f>
        <v>327.34</v>
      </c>
      <c r="E345" s="18" t="n">
        <f aca="false">IFERROR(INDEX(Bank_Statement!$C$2:$C$783,MATCH(A345,Bank_Statement!$E$2:$E$783,0)),"")</f>
        <v>-327.34</v>
      </c>
      <c r="F345" s="16" t="str">
        <f aca="false">IF(E345="","No","Yes")</f>
        <v>Yes</v>
      </c>
      <c r="G345" s="18" t="n">
        <f aca="false">IF(F345="No","N/A",D345-E345)</f>
        <v>654.68</v>
      </c>
      <c r="H345" s="16" t="str">
        <f aca="false">IF(F345="No","Unmatched - Investigate",IF(ABS(D345-E345)&gt;Assumptions!$B$6,"Mismatch - Amount Differs","Matched"))</f>
        <v>Mismatch - Amount Differs</v>
      </c>
    </row>
    <row r="346" customFormat="false" ht="15" hidden="false" customHeight="false" outlineLevel="0" collapsed="false">
      <c r="A346" s="16" t="str">
        <f aca="false">Payment_Log_AP!A342</f>
        <v>PAY40341</v>
      </c>
      <c r="B346" s="16" t="str">
        <f aca="false">Payment_Log_AP!C342</f>
        <v>V1027</v>
      </c>
      <c r="C346" s="17" t="n">
        <f aca="false">Payment_Log_AP!D342</f>
        <v>45863</v>
      </c>
      <c r="D346" s="18" t="n">
        <f aca="false">Payment_Log_AP!E342</f>
        <v>327.34</v>
      </c>
      <c r="E346" s="18" t="n">
        <f aca="false">IFERROR(INDEX(Bank_Statement!$C$2:$C$783,MATCH(A346,Bank_Statement!$E$2:$E$783,0)),"")</f>
        <v>-327.34</v>
      </c>
      <c r="F346" s="16" t="str">
        <f aca="false">IF(E346="","No","Yes")</f>
        <v>Yes</v>
      </c>
      <c r="G346" s="18" t="n">
        <f aca="false">IF(F346="No","N/A",D346-E346)</f>
        <v>654.68</v>
      </c>
      <c r="H346" s="16" t="str">
        <f aca="false">IF(F346="No","Unmatched - Investigate",IF(ABS(D346-E346)&gt;Assumptions!$B$6,"Mismatch - Amount Differs","Matched"))</f>
        <v>Mismatch - Amount Differs</v>
      </c>
    </row>
    <row r="347" customFormat="false" ht="15" hidden="false" customHeight="false" outlineLevel="0" collapsed="false">
      <c r="A347" s="16" t="str">
        <f aca="false">Payment_Log_AP!A343</f>
        <v>PAY40342</v>
      </c>
      <c r="B347" s="16" t="str">
        <f aca="false">Payment_Log_AP!C343</f>
        <v>V1004</v>
      </c>
      <c r="C347" s="17" t="n">
        <f aca="false">Payment_Log_AP!D343</f>
        <v>45826</v>
      </c>
      <c r="D347" s="18" t="n">
        <f aca="false">Payment_Log_AP!E343</f>
        <v>2106.84</v>
      </c>
      <c r="E347" s="18" t="n">
        <f aca="false">IFERROR(INDEX(Bank_Statement!$C$2:$C$783,MATCH(A347,Bank_Statement!$E$2:$E$783,0)),"")</f>
        <v>-2106.84</v>
      </c>
      <c r="F347" s="16" t="str">
        <f aca="false">IF(E347="","No","Yes")</f>
        <v>Yes</v>
      </c>
      <c r="G347" s="18" t="n">
        <f aca="false">IF(F347="No","N/A",D347-E347)</f>
        <v>4213.68</v>
      </c>
      <c r="H347" s="16" t="str">
        <f aca="false">IF(F347="No","Unmatched - Investigate",IF(ABS(D347-E347)&gt;Assumptions!$B$6,"Mismatch - Amount Differs","Matched"))</f>
        <v>Mismatch - Amount Differs</v>
      </c>
    </row>
    <row r="348" customFormat="false" ht="15" hidden="false" customHeight="false" outlineLevel="0" collapsed="false">
      <c r="A348" s="16" t="str">
        <f aca="false">Payment_Log_AP!A344</f>
        <v>PAY40343</v>
      </c>
      <c r="B348" s="16" t="str">
        <f aca="false">Payment_Log_AP!C344</f>
        <v>V1020</v>
      </c>
      <c r="C348" s="17" t="n">
        <f aca="false">Payment_Log_AP!D344</f>
        <v>45746</v>
      </c>
      <c r="D348" s="18" t="n">
        <f aca="false">Payment_Log_AP!E344</f>
        <v>175.5</v>
      </c>
      <c r="E348" s="18" t="n">
        <f aca="false">IFERROR(INDEX(Bank_Statement!$C$2:$C$783,MATCH(A348,Bank_Statement!$E$2:$E$783,0)),"")</f>
        <v>-175.5</v>
      </c>
      <c r="F348" s="16" t="str">
        <f aca="false">IF(E348="","No","Yes")</f>
        <v>Yes</v>
      </c>
      <c r="G348" s="18" t="n">
        <f aca="false">IF(F348="No","N/A",D348-E348)</f>
        <v>351</v>
      </c>
      <c r="H348" s="16" t="str">
        <f aca="false">IF(F348="No","Unmatched - Investigate",IF(ABS(D348-E348)&gt;Assumptions!$B$6,"Mismatch - Amount Differs","Matched"))</f>
        <v>Mismatch - Amount Differs</v>
      </c>
    </row>
    <row r="349" customFormat="false" ht="15" hidden="false" customHeight="false" outlineLevel="0" collapsed="false">
      <c r="A349" s="16" t="str">
        <f aca="false">Payment_Log_AP!A345</f>
        <v>PAY40344</v>
      </c>
      <c r="B349" s="16" t="str">
        <f aca="false">Payment_Log_AP!C345</f>
        <v>V1024</v>
      </c>
      <c r="C349" s="17" t="n">
        <f aca="false">Payment_Log_AP!D345</f>
        <v>46146</v>
      </c>
      <c r="D349" s="18" t="n">
        <f aca="false">Payment_Log_AP!E345</f>
        <v>3683.41</v>
      </c>
      <c r="E349" s="18" t="n">
        <f aca="false">IFERROR(INDEX(Bank_Statement!$C$2:$C$783,MATCH(A349,Bank_Statement!$E$2:$E$783,0)),"")</f>
        <v>-3683.41</v>
      </c>
      <c r="F349" s="16" t="str">
        <f aca="false">IF(E349="","No","Yes")</f>
        <v>Yes</v>
      </c>
      <c r="G349" s="18" t="n">
        <f aca="false">IF(F349="No","N/A",D349-E349)</f>
        <v>7366.82</v>
      </c>
      <c r="H349" s="16" t="str">
        <f aca="false">IF(F349="No","Unmatched - Investigate",IF(ABS(D349-E349)&gt;Assumptions!$B$6,"Mismatch - Amount Differs","Matched"))</f>
        <v>Mismatch - Amount Differs</v>
      </c>
    </row>
    <row r="350" customFormat="false" ht="15" hidden="false" customHeight="false" outlineLevel="0" collapsed="false">
      <c r="A350" s="16" t="str">
        <f aca="false">Payment_Log_AP!A346</f>
        <v>PAY40345</v>
      </c>
      <c r="B350" s="16" t="str">
        <f aca="false">Payment_Log_AP!C346</f>
        <v>V1038</v>
      </c>
      <c r="C350" s="17" t="n">
        <f aca="false">Payment_Log_AP!D346</f>
        <v>46004</v>
      </c>
      <c r="D350" s="18" t="n">
        <f aca="false">Payment_Log_AP!E346</f>
        <v>1037.11</v>
      </c>
      <c r="E350" s="18" t="n">
        <f aca="false">IFERROR(INDEX(Bank_Statement!$C$2:$C$783,MATCH(A350,Bank_Statement!$E$2:$E$783,0)),"")</f>
        <v>-1037.11</v>
      </c>
      <c r="F350" s="16" t="str">
        <f aca="false">IF(E350="","No","Yes")</f>
        <v>Yes</v>
      </c>
      <c r="G350" s="18" t="n">
        <f aca="false">IF(F350="No","N/A",D350-E350)</f>
        <v>2074.22</v>
      </c>
      <c r="H350" s="16" t="str">
        <f aca="false">IF(F350="No","Unmatched - Investigate",IF(ABS(D350-E350)&gt;Assumptions!$B$6,"Mismatch - Amount Differs","Matched"))</f>
        <v>Mismatch - Amount Differs</v>
      </c>
    </row>
    <row r="351" customFormat="false" ht="15" hidden="false" customHeight="false" outlineLevel="0" collapsed="false">
      <c r="A351" s="16" t="str">
        <f aca="false">Payment_Log_AP!A347</f>
        <v>PAY40346</v>
      </c>
      <c r="B351" s="16" t="str">
        <f aca="false">Payment_Log_AP!C347</f>
        <v>V1008</v>
      </c>
      <c r="C351" s="17" t="n">
        <f aca="false">Payment_Log_AP!D347</f>
        <v>46059</v>
      </c>
      <c r="D351" s="18" t="n">
        <f aca="false">Payment_Log_AP!E347</f>
        <v>688.7</v>
      </c>
      <c r="E351" s="18" t="n">
        <f aca="false">IFERROR(INDEX(Bank_Statement!$C$2:$C$783,MATCH(A351,Bank_Statement!$E$2:$E$783,0)),"")</f>
        <v>-688.7</v>
      </c>
      <c r="F351" s="16" t="str">
        <f aca="false">IF(E351="","No","Yes")</f>
        <v>Yes</v>
      </c>
      <c r="G351" s="18" t="n">
        <f aca="false">IF(F351="No","N/A",D351-E351)</f>
        <v>1377.4</v>
      </c>
      <c r="H351" s="16" t="str">
        <f aca="false">IF(F351="No","Unmatched - Investigate",IF(ABS(D351-E351)&gt;Assumptions!$B$6,"Mismatch - Amount Differs","Matched"))</f>
        <v>Mismatch - Amount Differs</v>
      </c>
    </row>
    <row r="352" customFormat="false" ht="15" hidden="false" customHeight="false" outlineLevel="0" collapsed="false">
      <c r="A352" s="16" t="str">
        <f aca="false">Payment_Log_AP!A348</f>
        <v>PAY40347</v>
      </c>
      <c r="B352" s="16" t="str">
        <f aca="false">Payment_Log_AP!C348</f>
        <v>V1025</v>
      </c>
      <c r="C352" s="17" t="n">
        <f aca="false">Payment_Log_AP!D348</f>
        <v>45835</v>
      </c>
      <c r="D352" s="18" t="n">
        <f aca="false">Payment_Log_AP!E348</f>
        <v>8582.35</v>
      </c>
      <c r="E352" s="18" t="n">
        <f aca="false">IFERROR(INDEX(Bank_Statement!$C$2:$C$783,MATCH(A352,Bank_Statement!$E$2:$E$783,0)),"")</f>
        <v>-8582.35</v>
      </c>
      <c r="F352" s="16" t="str">
        <f aca="false">IF(E352="","No","Yes")</f>
        <v>Yes</v>
      </c>
      <c r="G352" s="18" t="n">
        <f aca="false">IF(F352="No","N/A",D352-E352)</f>
        <v>17164.7</v>
      </c>
      <c r="H352" s="16" t="str">
        <f aca="false">IF(F352="No","Unmatched - Investigate",IF(ABS(D352-E352)&gt;Assumptions!$B$6,"Mismatch - Amount Differs","Matched"))</f>
        <v>Mismatch - Amount Differs</v>
      </c>
    </row>
    <row r="353" customFormat="false" ht="15" hidden="false" customHeight="false" outlineLevel="0" collapsed="false">
      <c r="A353" s="16" t="str">
        <f aca="false">Payment_Log_AP!A349</f>
        <v>PAY40348</v>
      </c>
      <c r="B353" s="16" t="str">
        <f aca="false">Payment_Log_AP!C349</f>
        <v>V1011</v>
      </c>
      <c r="C353" s="17" t="n">
        <f aca="false">Payment_Log_AP!D349</f>
        <v>45709</v>
      </c>
      <c r="D353" s="18" t="n">
        <f aca="false">Payment_Log_AP!E349</f>
        <v>4765.55</v>
      </c>
      <c r="E353" s="18" t="n">
        <f aca="false">IFERROR(INDEX(Bank_Statement!$C$2:$C$783,MATCH(A353,Bank_Statement!$E$2:$E$783,0)),"")</f>
        <v>-4765.55</v>
      </c>
      <c r="F353" s="16" t="str">
        <f aca="false">IF(E353="","No","Yes")</f>
        <v>Yes</v>
      </c>
      <c r="G353" s="18" t="n">
        <f aca="false">IF(F353="No","N/A",D353-E353)</f>
        <v>9531.1</v>
      </c>
      <c r="H353" s="16" t="str">
        <f aca="false">IF(F353="No","Unmatched - Investigate",IF(ABS(D353-E353)&gt;Assumptions!$B$6,"Mismatch - Amount Differs","Matched"))</f>
        <v>Mismatch - Amount Differs</v>
      </c>
    </row>
    <row r="354" customFormat="false" ht="15" hidden="false" customHeight="false" outlineLevel="0" collapsed="false">
      <c r="A354" s="16" t="str">
        <f aca="false">Payment_Log_AP!A350</f>
        <v>PAY40349</v>
      </c>
      <c r="B354" s="16" t="str">
        <f aca="false">Payment_Log_AP!C350</f>
        <v>V1002</v>
      </c>
      <c r="C354" s="17" t="n">
        <f aca="false">Payment_Log_AP!D350</f>
        <v>46095</v>
      </c>
      <c r="D354" s="18" t="n">
        <f aca="false">Payment_Log_AP!E350</f>
        <v>3276.88</v>
      </c>
      <c r="E354" s="18" t="n">
        <f aca="false">IFERROR(INDEX(Bank_Statement!$C$2:$C$783,MATCH(A354,Bank_Statement!$E$2:$E$783,0)),"")</f>
        <v>-3276.88</v>
      </c>
      <c r="F354" s="16" t="str">
        <f aca="false">IF(E354="","No","Yes")</f>
        <v>Yes</v>
      </c>
      <c r="G354" s="18" t="n">
        <f aca="false">IF(F354="No","N/A",D354-E354)</f>
        <v>6553.76</v>
      </c>
      <c r="H354" s="16" t="str">
        <f aca="false">IF(F354="No","Unmatched - Investigate",IF(ABS(D354-E354)&gt;Assumptions!$B$6,"Mismatch - Amount Differs","Matched"))</f>
        <v>Mismatch - Amount Differs</v>
      </c>
    </row>
    <row r="355" customFormat="false" ht="15" hidden="false" customHeight="false" outlineLevel="0" collapsed="false">
      <c r="A355" s="16" t="str">
        <f aca="false">Payment_Log_AP!A351</f>
        <v>PAY40350</v>
      </c>
      <c r="B355" s="16" t="str">
        <f aca="false">Payment_Log_AP!C351</f>
        <v>V1033</v>
      </c>
      <c r="C355" s="17" t="n">
        <f aca="false">Payment_Log_AP!D351</f>
        <v>45933</v>
      </c>
      <c r="D355" s="18" t="n">
        <f aca="false">Payment_Log_AP!E351</f>
        <v>1027.11</v>
      </c>
      <c r="E355" s="18" t="n">
        <f aca="false">IFERROR(INDEX(Bank_Statement!$C$2:$C$783,MATCH(A355,Bank_Statement!$E$2:$E$783,0)),"")</f>
        <v>-1027.11</v>
      </c>
      <c r="F355" s="16" t="str">
        <f aca="false">IF(E355="","No","Yes")</f>
        <v>Yes</v>
      </c>
      <c r="G355" s="18" t="n">
        <f aca="false">IF(F355="No","N/A",D355-E355)</f>
        <v>2054.22</v>
      </c>
      <c r="H355" s="16" t="str">
        <f aca="false">IF(F355="No","Unmatched - Investigate",IF(ABS(D355-E355)&gt;Assumptions!$B$6,"Mismatch - Amount Differs","Matched"))</f>
        <v>Mismatch - Amount Differs</v>
      </c>
    </row>
    <row r="356" customFormat="false" ht="15" hidden="false" customHeight="false" outlineLevel="0" collapsed="false">
      <c r="A356" s="16" t="str">
        <f aca="false">Payment_Log_AP!A352</f>
        <v>PAY40351</v>
      </c>
      <c r="B356" s="16" t="str">
        <f aca="false">Payment_Log_AP!C352</f>
        <v>V1033</v>
      </c>
      <c r="C356" s="17" t="n">
        <f aca="false">Payment_Log_AP!D352</f>
        <v>45949</v>
      </c>
      <c r="D356" s="18" t="n">
        <f aca="false">Payment_Log_AP!E352</f>
        <v>1027.11</v>
      </c>
      <c r="E356" s="18" t="n">
        <f aca="false">IFERROR(INDEX(Bank_Statement!$C$2:$C$783,MATCH(A356,Bank_Statement!$E$2:$E$783,0)),"")</f>
        <v>-1027.11</v>
      </c>
      <c r="F356" s="16" t="str">
        <f aca="false">IF(E356="","No","Yes")</f>
        <v>Yes</v>
      </c>
      <c r="G356" s="18" t="n">
        <f aca="false">IF(F356="No","N/A",D356-E356)</f>
        <v>2054.22</v>
      </c>
      <c r="H356" s="16" t="str">
        <f aca="false">IF(F356="No","Unmatched - Investigate",IF(ABS(D356-E356)&gt;Assumptions!$B$6,"Mismatch - Amount Differs","Matched"))</f>
        <v>Mismatch - Amount Differs</v>
      </c>
    </row>
    <row r="357" customFormat="false" ht="15" hidden="false" customHeight="false" outlineLevel="0" collapsed="false">
      <c r="A357" s="16" t="str">
        <f aca="false">Payment_Log_AP!A353</f>
        <v>PAY40352</v>
      </c>
      <c r="B357" s="16" t="str">
        <f aca="false">Payment_Log_AP!C353</f>
        <v>V1030</v>
      </c>
      <c r="C357" s="17" t="n">
        <f aca="false">Payment_Log_AP!D353</f>
        <v>46065</v>
      </c>
      <c r="D357" s="18" t="n">
        <f aca="false">Payment_Log_AP!E353</f>
        <v>4853.33</v>
      </c>
      <c r="E357" s="18" t="n">
        <f aca="false">IFERROR(INDEX(Bank_Statement!$C$2:$C$783,MATCH(A357,Bank_Statement!$E$2:$E$783,0)),"")</f>
        <v>-4853.33</v>
      </c>
      <c r="F357" s="16" t="str">
        <f aca="false">IF(E357="","No","Yes")</f>
        <v>Yes</v>
      </c>
      <c r="G357" s="18" t="n">
        <f aca="false">IF(F357="No","N/A",D357-E357)</f>
        <v>9706.66</v>
      </c>
      <c r="H357" s="16" t="str">
        <f aca="false">IF(F357="No","Unmatched - Investigate",IF(ABS(D357-E357)&gt;Assumptions!$B$6,"Mismatch - Amount Differs","Matched"))</f>
        <v>Mismatch - Amount Differs</v>
      </c>
    </row>
    <row r="358" customFormat="false" ht="15" hidden="false" customHeight="false" outlineLevel="0" collapsed="false">
      <c r="A358" s="16" t="str">
        <f aca="false">Payment_Log_AP!A354</f>
        <v>PAY40353</v>
      </c>
      <c r="B358" s="16" t="str">
        <f aca="false">Payment_Log_AP!C354</f>
        <v>V1017</v>
      </c>
      <c r="C358" s="17" t="n">
        <f aca="false">Payment_Log_AP!D354</f>
        <v>46192</v>
      </c>
      <c r="D358" s="18" t="n">
        <f aca="false">Payment_Log_AP!E354</f>
        <v>4213.88</v>
      </c>
      <c r="E358" s="18" t="n">
        <f aca="false">IFERROR(INDEX(Bank_Statement!$C$2:$C$783,MATCH(A358,Bank_Statement!$E$2:$E$783,0)),"")</f>
        <v>-4213.88</v>
      </c>
      <c r="F358" s="16" t="str">
        <f aca="false">IF(E358="","No","Yes")</f>
        <v>Yes</v>
      </c>
      <c r="G358" s="18" t="n">
        <f aca="false">IF(F358="No","N/A",D358-E358)</f>
        <v>8427.76</v>
      </c>
      <c r="H358" s="16" t="str">
        <f aca="false">IF(F358="No","Unmatched - Investigate",IF(ABS(D358-E358)&gt;Assumptions!$B$6,"Mismatch - Amount Differs","Matched"))</f>
        <v>Mismatch - Amount Differs</v>
      </c>
    </row>
    <row r="359" customFormat="false" ht="15" hidden="false" customHeight="false" outlineLevel="0" collapsed="false">
      <c r="A359" s="16" t="str">
        <f aca="false">Payment_Log_AP!A355</f>
        <v>PAY40354</v>
      </c>
      <c r="B359" s="16" t="str">
        <f aca="false">Payment_Log_AP!C355</f>
        <v>V1018</v>
      </c>
      <c r="C359" s="17" t="n">
        <f aca="false">Payment_Log_AP!D355</f>
        <v>45787</v>
      </c>
      <c r="D359" s="18" t="n">
        <f aca="false">Payment_Log_AP!E355</f>
        <v>1024.13</v>
      </c>
      <c r="E359" s="18" t="n">
        <f aca="false">IFERROR(INDEX(Bank_Statement!$C$2:$C$783,MATCH(A359,Bank_Statement!$E$2:$E$783,0)),"")</f>
        <v>-1024.13</v>
      </c>
      <c r="F359" s="16" t="str">
        <f aca="false">IF(E359="","No","Yes")</f>
        <v>Yes</v>
      </c>
      <c r="G359" s="18" t="n">
        <f aca="false">IF(F359="No","N/A",D359-E359)</f>
        <v>2048.26</v>
      </c>
      <c r="H359" s="16" t="str">
        <f aca="false">IF(F359="No","Unmatched - Investigate",IF(ABS(D359-E359)&gt;Assumptions!$B$6,"Mismatch - Amount Differs","Matched"))</f>
        <v>Mismatch - Amount Differs</v>
      </c>
    </row>
    <row r="360" customFormat="false" ht="15" hidden="false" customHeight="false" outlineLevel="0" collapsed="false">
      <c r="A360" s="16" t="str">
        <f aca="false">Payment_Log_AP!A356</f>
        <v>PAY40355</v>
      </c>
      <c r="B360" s="16" t="str">
        <f aca="false">Payment_Log_AP!C356</f>
        <v>V1002</v>
      </c>
      <c r="C360" s="17" t="n">
        <f aca="false">Payment_Log_AP!D356</f>
        <v>45994</v>
      </c>
      <c r="D360" s="18" t="n">
        <f aca="false">Payment_Log_AP!E356</f>
        <v>6836.7</v>
      </c>
      <c r="E360" s="18" t="n">
        <f aca="false">IFERROR(INDEX(Bank_Statement!$C$2:$C$783,MATCH(A360,Bank_Statement!$E$2:$E$783,0)),"")</f>
        <v>-6836.7</v>
      </c>
      <c r="F360" s="16" t="str">
        <f aca="false">IF(E360="","No","Yes")</f>
        <v>Yes</v>
      </c>
      <c r="G360" s="18" t="n">
        <f aca="false">IF(F360="No","N/A",D360-E360)</f>
        <v>13673.4</v>
      </c>
      <c r="H360" s="16" t="str">
        <f aca="false">IF(F360="No","Unmatched - Investigate",IF(ABS(D360-E360)&gt;Assumptions!$B$6,"Mismatch - Amount Differs","Matched"))</f>
        <v>Mismatch - Amount Differs</v>
      </c>
    </row>
    <row r="361" customFormat="false" ht="15" hidden="false" customHeight="false" outlineLevel="0" collapsed="false">
      <c r="A361" s="16" t="str">
        <f aca="false">Payment_Log_AP!A357</f>
        <v>PAY40356</v>
      </c>
      <c r="B361" s="16" t="str">
        <f aca="false">Payment_Log_AP!C357</f>
        <v>V1029</v>
      </c>
      <c r="C361" s="17" t="n">
        <f aca="false">Payment_Log_AP!D357</f>
        <v>46058</v>
      </c>
      <c r="D361" s="18" t="n">
        <f aca="false">Payment_Log_AP!E357</f>
        <v>2800.96</v>
      </c>
      <c r="E361" s="18" t="n">
        <f aca="false">IFERROR(INDEX(Bank_Statement!$C$2:$C$783,MATCH(A361,Bank_Statement!$E$2:$E$783,0)),"")</f>
        <v>-2800.96</v>
      </c>
      <c r="F361" s="16" t="str">
        <f aca="false">IF(E361="","No","Yes")</f>
        <v>Yes</v>
      </c>
      <c r="G361" s="18" t="n">
        <f aca="false">IF(F361="No","N/A",D361-E361)</f>
        <v>5601.92</v>
      </c>
      <c r="H361" s="16" t="str">
        <f aca="false">IF(F361="No","Unmatched - Investigate",IF(ABS(D361-E361)&gt;Assumptions!$B$6,"Mismatch - Amount Differs","Matched"))</f>
        <v>Mismatch - Amount Differs</v>
      </c>
    </row>
    <row r="362" customFormat="false" ht="15" hidden="false" customHeight="false" outlineLevel="0" collapsed="false">
      <c r="A362" s="16" t="str">
        <f aca="false">Payment_Log_AP!A358</f>
        <v>PAY40357</v>
      </c>
      <c r="B362" s="16" t="str">
        <f aca="false">Payment_Log_AP!C358</f>
        <v>V1004</v>
      </c>
      <c r="C362" s="17" t="n">
        <f aca="false">Payment_Log_AP!D358</f>
        <v>45958</v>
      </c>
      <c r="D362" s="18" t="n">
        <f aca="false">Payment_Log_AP!E358</f>
        <v>2607.21</v>
      </c>
      <c r="E362" s="18" t="n">
        <f aca="false">IFERROR(INDEX(Bank_Statement!$C$2:$C$783,MATCH(A362,Bank_Statement!$E$2:$E$783,0)),"")</f>
        <v>-2607.21</v>
      </c>
      <c r="F362" s="16" t="str">
        <f aca="false">IF(E362="","No","Yes")</f>
        <v>Yes</v>
      </c>
      <c r="G362" s="18" t="n">
        <f aca="false">IF(F362="No","N/A",D362-E362)</f>
        <v>5214.42</v>
      </c>
      <c r="H362" s="16" t="str">
        <f aca="false">IF(F362="No","Unmatched - Investigate",IF(ABS(D362-E362)&gt;Assumptions!$B$6,"Mismatch - Amount Differs","Matched"))</f>
        <v>Mismatch - Amount Differs</v>
      </c>
    </row>
    <row r="363" customFormat="false" ht="15" hidden="false" customHeight="false" outlineLevel="0" collapsed="false">
      <c r="A363" s="16" t="str">
        <f aca="false">Payment_Log_AP!A359</f>
        <v>PAY40358</v>
      </c>
      <c r="B363" s="16" t="str">
        <f aca="false">Payment_Log_AP!C359</f>
        <v>V1014</v>
      </c>
      <c r="C363" s="17" t="n">
        <f aca="false">Payment_Log_AP!D359</f>
        <v>45742</v>
      </c>
      <c r="D363" s="18" t="n">
        <f aca="false">Payment_Log_AP!E359</f>
        <v>3346.97</v>
      </c>
      <c r="E363" s="18" t="n">
        <f aca="false">IFERROR(INDEX(Bank_Statement!$C$2:$C$783,MATCH(A363,Bank_Statement!$E$2:$E$783,0)),"")</f>
        <v>-3346.97</v>
      </c>
      <c r="F363" s="16" t="str">
        <f aca="false">IF(E363="","No","Yes")</f>
        <v>Yes</v>
      </c>
      <c r="G363" s="18" t="n">
        <f aca="false">IF(F363="No","N/A",D363-E363)</f>
        <v>6693.94</v>
      </c>
      <c r="H363" s="16" t="str">
        <f aca="false">IF(F363="No","Unmatched - Investigate",IF(ABS(D363-E363)&gt;Assumptions!$B$6,"Mismatch - Amount Differs","Matched"))</f>
        <v>Mismatch - Amount Differs</v>
      </c>
    </row>
    <row r="364" customFormat="false" ht="15" hidden="false" customHeight="false" outlineLevel="0" collapsed="false">
      <c r="A364" s="16" t="str">
        <f aca="false">Payment_Log_AP!A360</f>
        <v>PAY40359</v>
      </c>
      <c r="B364" s="16" t="str">
        <f aca="false">Payment_Log_AP!C360</f>
        <v>V1028</v>
      </c>
      <c r="C364" s="17" t="n">
        <f aca="false">Payment_Log_AP!D360</f>
        <v>45871</v>
      </c>
      <c r="D364" s="18" t="n">
        <f aca="false">Payment_Log_AP!E360</f>
        <v>927.7</v>
      </c>
      <c r="E364" s="18" t="n">
        <f aca="false">IFERROR(INDEX(Bank_Statement!$C$2:$C$783,MATCH(A364,Bank_Statement!$E$2:$E$783,0)),"")</f>
        <v>-927.7</v>
      </c>
      <c r="F364" s="16" t="str">
        <f aca="false">IF(E364="","No","Yes")</f>
        <v>Yes</v>
      </c>
      <c r="G364" s="18" t="n">
        <f aca="false">IF(F364="No","N/A",D364-E364)</f>
        <v>1855.4</v>
      </c>
      <c r="H364" s="16" t="str">
        <f aca="false">IF(F364="No","Unmatched - Investigate",IF(ABS(D364-E364)&gt;Assumptions!$B$6,"Mismatch - Amount Differs","Matched"))</f>
        <v>Mismatch - Amount Differs</v>
      </c>
    </row>
    <row r="365" customFormat="false" ht="15" hidden="false" customHeight="false" outlineLevel="0" collapsed="false">
      <c r="A365" s="16" t="str">
        <f aca="false">Payment_Log_AP!A361</f>
        <v>PAY40360</v>
      </c>
      <c r="B365" s="16" t="str">
        <f aca="false">Payment_Log_AP!C361</f>
        <v>V1018</v>
      </c>
      <c r="C365" s="17" t="n">
        <f aca="false">Payment_Log_AP!D361</f>
        <v>45871</v>
      </c>
      <c r="D365" s="18" t="n">
        <f aca="false">Payment_Log_AP!E361</f>
        <v>1759.54</v>
      </c>
      <c r="E365" s="18" t="n">
        <f aca="false">IFERROR(INDEX(Bank_Statement!$C$2:$C$783,MATCH(A365,Bank_Statement!$E$2:$E$783,0)),"")</f>
        <v>-1759.54</v>
      </c>
      <c r="F365" s="16" t="str">
        <f aca="false">IF(E365="","No","Yes")</f>
        <v>Yes</v>
      </c>
      <c r="G365" s="18" t="n">
        <f aca="false">IF(F365="No","N/A",D365-E365)</f>
        <v>3519.08</v>
      </c>
      <c r="H365" s="16" t="str">
        <f aca="false">IF(F365="No","Unmatched - Investigate",IF(ABS(D365-E365)&gt;Assumptions!$B$6,"Mismatch - Amount Differs","Matched"))</f>
        <v>Mismatch - Amount Differs</v>
      </c>
    </row>
    <row r="366" customFormat="false" ht="15" hidden="false" customHeight="false" outlineLevel="0" collapsed="false">
      <c r="A366" s="16" t="str">
        <f aca="false">Payment_Log_AP!A362</f>
        <v>PAY40361</v>
      </c>
      <c r="B366" s="16" t="str">
        <f aca="false">Payment_Log_AP!C362</f>
        <v>V1029</v>
      </c>
      <c r="C366" s="17" t="n">
        <f aca="false">Payment_Log_AP!D362</f>
        <v>46061</v>
      </c>
      <c r="D366" s="18" t="n">
        <f aca="false">Payment_Log_AP!E362</f>
        <v>1478.45</v>
      </c>
      <c r="E366" s="18" t="n">
        <f aca="false">IFERROR(INDEX(Bank_Statement!$C$2:$C$783,MATCH(A366,Bank_Statement!$E$2:$E$783,0)),"")</f>
        <v>-1478.45</v>
      </c>
      <c r="F366" s="16" t="str">
        <f aca="false">IF(E366="","No","Yes")</f>
        <v>Yes</v>
      </c>
      <c r="G366" s="18" t="n">
        <f aca="false">IF(F366="No","N/A",D366-E366)</f>
        <v>2956.9</v>
      </c>
      <c r="H366" s="16" t="str">
        <f aca="false">IF(F366="No","Unmatched - Investigate",IF(ABS(D366-E366)&gt;Assumptions!$B$6,"Mismatch - Amount Differs","Matched"))</f>
        <v>Mismatch - Amount Differs</v>
      </c>
    </row>
    <row r="367" customFormat="false" ht="15" hidden="false" customHeight="false" outlineLevel="0" collapsed="false">
      <c r="A367" s="16" t="str">
        <f aca="false">Payment_Log_AP!A363</f>
        <v>PAY40362</v>
      </c>
      <c r="B367" s="16" t="str">
        <f aca="false">Payment_Log_AP!C363</f>
        <v>V1026</v>
      </c>
      <c r="C367" s="17" t="n">
        <f aca="false">Payment_Log_AP!D363</f>
        <v>46145</v>
      </c>
      <c r="D367" s="18" t="n">
        <f aca="false">Payment_Log_AP!E363</f>
        <v>5195.5</v>
      </c>
      <c r="E367" s="18" t="n">
        <f aca="false">IFERROR(INDEX(Bank_Statement!$C$2:$C$783,MATCH(A367,Bank_Statement!$E$2:$E$783,0)),"")</f>
        <v>-5195.5</v>
      </c>
      <c r="F367" s="16" t="str">
        <f aca="false">IF(E367="","No","Yes")</f>
        <v>Yes</v>
      </c>
      <c r="G367" s="18" t="n">
        <f aca="false">IF(F367="No","N/A",D367-E367)</f>
        <v>10391</v>
      </c>
      <c r="H367" s="16" t="str">
        <f aca="false">IF(F367="No","Unmatched - Investigate",IF(ABS(D367-E367)&gt;Assumptions!$B$6,"Mismatch - Amount Differs","Matched"))</f>
        <v>Mismatch - Amount Differs</v>
      </c>
    </row>
    <row r="368" customFormat="false" ht="15" hidden="false" customHeight="false" outlineLevel="0" collapsed="false">
      <c r="A368" s="16" t="str">
        <f aca="false">Payment_Log_AP!A364</f>
        <v>PAY40363</v>
      </c>
      <c r="B368" s="16" t="str">
        <f aca="false">Payment_Log_AP!C364</f>
        <v>V1025</v>
      </c>
      <c r="C368" s="17" t="n">
        <f aca="false">Payment_Log_AP!D364</f>
        <v>45892</v>
      </c>
      <c r="D368" s="18" t="n">
        <f aca="false">Payment_Log_AP!E364</f>
        <v>3949.44</v>
      </c>
      <c r="E368" s="18" t="n">
        <f aca="false">IFERROR(INDEX(Bank_Statement!$C$2:$C$783,MATCH(A368,Bank_Statement!$E$2:$E$783,0)),"")</f>
        <v>-3949.44</v>
      </c>
      <c r="F368" s="16" t="str">
        <f aca="false">IF(E368="","No","Yes")</f>
        <v>Yes</v>
      </c>
      <c r="G368" s="18" t="n">
        <f aca="false">IF(F368="No","N/A",D368-E368)</f>
        <v>7898.88</v>
      </c>
      <c r="H368" s="16" t="str">
        <f aca="false">IF(F368="No","Unmatched - Investigate",IF(ABS(D368-E368)&gt;Assumptions!$B$6,"Mismatch - Amount Differs","Matched"))</f>
        <v>Mismatch - Amount Differs</v>
      </c>
    </row>
    <row r="369" customFormat="false" ht="15" hidden="false" customHeight="false" outlineLevel="0" collapsed="false">
      <c r="A369" s="16" t="str">
        <f aca="false">Payment_Log_AP!A365</f>
        <v>PAY40364</v>
      </c>
      <c r="B369" s="16" t="str">
        <f aca="false">Payment_Log_AP!C365</f>
        <v>V1031</v>
      </c>
      <c r="C369" s="17" t="n">
        <f aca="false">Payment_Log_AP!D365</f>
        <v>46048</v>
      </c>
      <c r="D369" s="18" t="n">
        <f aca="false">Payment_Log_AP!E365</f>
        <v>1814.72</v>
      </c>
      <c r="E369" s="18" t="n">
        <f aca="false">IFERROR(INDEX(Bank_Statement!$C$2:$C$783,MATCH(A369,Bank_Statement!$E$2:$E$783,0)),"")</f>
        <v>-1814.72</v>
      </c>
      <c r="F369" s="16" t="str">
        <f aca="false">IF(E369="","No","Yes")</f>
        <v>Yes</v>
      </c>
      <c r="G369" s="18" t="n">
        <f aca="false">IF(F369="No","N/A",D369-E369)</f>
        <v>3629.44</v>
      </c>
      <c r="H369" s="16" t="str">
        <f aca="false">IF(F369="No","Unmatched - Investigate",IF(ABS(D369-E369)&gt;Assumptions!$B$6,"Mismatch - Amount Differs","Matched"))</f>
        <v>Mismatch - Amount Differs</v>
      </c>
    </row>
    <row r="370" customFormat="false" ht="15" hidden="false" customHeight="false" outlineLevel="0" collapsed="false">
      <c r="A370" s="16" t="str">
        <f aca="false">Payment_Log_AP!A366</f>
        <v>PAY40365</v>
      </c>
      <c r="B370" s="16" t="str">
        <f aca="false">Payment_Log_AP!C366</f>
        <v>V1003</v>
      </c>
      <c r="C370" s="17" t="n">
        <f aca="false">Payment_Log_AP!D366</f>
        <v>45833</v>
      </c>
      <c r="D370" s="18" t="n">
        <f aca="false">Payment_Log_AP!E366</f>
        <v>3826.85</v>
      </c>
      <c r="E370" s="18" t="n">
        <f aca="false">IFERROR(INDEX(Bank_Statement!$C$2:$C$783,MATCH(A370,Bank_Statement!$E$2:$E$783,0)),"")</f>
        <v>-3826.85</v>
      </c>
      <c r="F370" s="16" t="str">
        <f aca="false">IF(E370="","No","Yes")</f>
        <v>Yes</v>
      </c>
      <c r="G370" s="18" t="n">
        <f aca="false">IF(F370="No","N/A",D370-E370)</f>
        <v>7653.7</v>
      </c>
      <c r="H370" s="16" t="str">
        <f aca="false">IF(F370="No","Unmatched - Investigate",IF(ABS(D370-E370)&gt;Assumptions!$B$6,"Mismatch - Amount Differs","Matched"))</f>
        <v>Mismatch - Amount Differs</v>
      </c>
    </row>
    <row r="371" customFormat="false" ht="15" hidden="false" customHeight="false" outlineLevel="0" collapsed="false">
      <c r="A371" s="16" t="str">
        <f aca="false">Payment_Log_AP!A367</f>
        <v>PAY40366</v>
      </c>
      <c r="B371" s="16" t="str">
        <f aca="false">Payment_Log_AP!C367</f>
        <v>V1013</v>
      </c>
      <c r="C371" s="17" t="n">
        <f aca="false">Payment_Log_AP!D367</f>
        <v>46200</v>
      </c>
      <c r="D371" s="18" t="n">
        <f aca="false">Payment_Log_AP!E367</f>
        <v>1836.32</v>
      </c>
      <c r="E371" s="18" t="n">
        <f aca="false">IFERROR(INDEX(Bank_Statement!$C$2:$C$783,MATCH(A371,Bank_Statement!$E$2:$E$783,0)),"")</f>
        <v>-1836.32</v>
      </c>
      <c r="F371" s="16" t="str">
        <f aca="false">IF(E371="","No","Yes")</f>
        <v>Yes</v>
      </c>
      <c r="G371" s="18" t="n">
        <f aca="false">IF(F371="No","N/A",D371-E371)</f>
        <v>3672.64</v>
      </c>
      <c r="H371" s="16" t="str">
        <f aca="false">IF(F371="No","Unmatched - Investigate",IF(ABS(D371-E371)&gt;Assumptions!$B$6,"Mismatch - Amount Differs","Matched"))</f>
        <v>Mismatch - Amount Differs</v>
      </c>
    </row>
    <row r="372" customFormat="false" ht="15" hidden="false" customHeight="false" outlineLevel="0" collapsed="false">
      <c r="A372" s="16" t="str">
        <f aca="false">Payment_Log_AP!A368</f>
        <v>PAY40367</v>
      </c>
      <c r="B372" s="16" t="str">
        <f aca="false">Payment_Log_AP!C368</f>
        <v>V1012</v>
      </c>
      <c r="C372" s="17" t="n">
        <f aca="false">Payment_Log_AP!D368</f>
        <v>45978</v>
      </c>
      <c r="D372" s="18" t="n">
        <f aca="false">Payment_Log_AP!E368</f>
        <v>7023.92</v>
      </c>
      <c r="E372" s="18" t="n">
        <f aca="false">IFERROR(INDEX(Bank_Statement!$C$2:$C$783,MATCH(A372,Bank_Statement!$E$2:$E$783,0)),"")</f>
        <v>-7023.92</v>
      </c>
      <c r="F372" s="16" t="str">
        <f aca="false">IF(E372="","No","Yes")</f>
        <v>Yes</v>
      </c>
      <c r="G372" s="18" t="n">
        <f aca="false">IF(F372="No","N/A",D372-E372)</f>
        <v>14047.84</v>
      </c>
      <c r="H372" s="16" t="str">
        <f aca="false">IF(F372="No","Unmatched - Investigate",IF(ABS(D372-E372)&gt;Assumptions!$B$6,"Mismatch - Amount Differs","Matched"))</f>
        <v>Mismatch - Amount Differs</v>
      </c>
    </row>
    <row r="373" customFormat="false" ht="15" hidden="false" customHeight="false" outlineLevel="0" collapsed="false">
      <c r="A373" s="16" t="str">
        <f aca="false">Payment_Log_AP!A369</f>
        <v>PAY40368</v>
      </c>
      <c r="B373" s="16" t="str">
        <f aca="false">Payment_Log_AP!C369</f>
        <v>V1022</v>
      </c>
      <c r="C373" s="17" t="n">
        <f aca="false">Payment_Log_AP!D369</f>
        <v>45920</v>
      </c>
      <c r="D373" s="18" t="n">
        <f aca="false">Payment_Log_AP!E369</f>
        <v>3586.35</v>
      </c>
      <c r="E373" s="18" t="n">
        <f aca="false">IFERROR(INDEX(Bank_Statement!$C$2:$C$783,MATCH(A373,Bank_Statement!$E$2:$E$783,0)),"")</f>
        <v>-3586.35</v>
      </c>
      <c r="F373" s="16" t="str">
        <f aca="false">IF(E373="","No","Yes")</f>
        <v>Yes</v>
      </c>
      <c r="G373" s="18" t="n">
        <f aca="false">IF(F373="No","N/A",D373-E373)</f>
        <v>7172.7</v>
      </c>
      <c r="H373" s="16" t="str">
        <f aca="false">IF(F373="No","Unmatched - Investigate",IF(ABS(D373-E373)&gt;Assumptions!$B$6,"Mismatch - Amount Differs","Matched"))</f>
        <v>Mismatch - Amount Differs</v>
      </c>
    </row>
    <row r="374" customFormat="false" ht="15" hidden="false" customHeight="false" outlineLevel="0" collapsed="false">
      <c r="A374" s="16" t="str">
        <f aca="false">Payment_Log_AP!A370</f>
        <v>PAY40369</v>
      </c>
      <c r="B374" s="16" t="str">
        <f aca="false">Payment_Log_AP!C370</f>
        <v>V1029</v>
      </c>
      <c r="C374" s="17" t="n">
        <f aca="false">Payment_Log_AP!D370</f>
        <v>45862</v>
      </c>
      <c r="D374" s="18" t="n">
        <f aca="false">Payment_Log_AP!E370</f>
        <v>3705.05</v>
      </c>
      <c r="E374" s="18" t="n">
        <f aca="false">IFERROR(INDEX(Bank_Statement!$C$2:$C$783,MATCH(A374,Bank_Statement!$E$2:$E$783,0)),"")</f>
        <v>-3705.05</v>
      </c>
      <c r="F374" s="16" t="str">
        <f aca="false">IF(E374="","No","Yes")</f>
        <v>Yes</v>
      </c>
      <c r="G374" s="18" t="n">
        <f aca="false">IF(F374="No","N/A",D374-E374)</f>
        <v>7410.1</v>
      </c>
      <c r="H374" s="16" t="str">
        <f aca="false">IF(F374="No","Unmatched - Investigate",IF(ABS(D374-E374)&gt;Assumptions!$B$6,"Mismatch - Amount Differs","Matched"))</f>
        <v>Mismatch - Amount Differs</v>
      </c>
    </row>
    <row r="375" customFormat="false" ht="15" hidden="false" customHeight="false" outlineLevel="0" collapsed="false">
      <c r="A375" s="16" t="str">
        <f aca="false">Payment_Log_AP!A371</f>
        <v>PAY40370</v>
      </c>
      <c r="B375" s="16" t="str">
        <f aca="false">Payment_Log_AP!C371</f>
        <v>V1005</v>
      </c>
      <c r="C375" s="17" t="n">
        <f aca="false">Payment_Log_AP!D371</f>
        <v>45860</v>
      </c>
      <c r="D375" s="18" t="n">
        <f aca="false">Payment_Log_AP!E371</f>
        <v>4579.99</v>
      </c>
      <c r="E375" s="18" t="n">
        <f aca="false">IFERROR(INDEX(Bank_Statement!$C$2:$C$783,MATCH(A375,Bank_Statement!$E$2:$E$783,0)),"")</f>
        <v>-4579.99</v>
      </c>
      <c r="F375" s="16" t="str">
        <f aca="false">IF(E375="","No","Yes")</f>
        <v>Yes</v>
      </c>
      <c r="G375" s="18" t="n">
        <f aca="false">IF(F375="No","N/A",D375-E375)</f>
        <v>9159.98</v>
      </c>
      <c r="H375" s="16" t="str">
        <f aca="false">IF(F375="No","Unmatched - Investigate",IF(ABS(D375-E375)&gt;Assumptions!$B$6,"Mismatch - Amount Differs","Matched"))</f>
        <v>Mismatch - Amount Differs</v>
      </c>
    </row>
    <row r="376" customFormat="false" ht="15" hidden="false" customHeight="false" outlineLevel="0" collapsed="false">
      <c r="A376" s="16" t="str">
        <f aca="false">Payment_Log_AP!A372</f>
        <v>PAY40371</v>
      </c>
      <c r="B376" s="16" t="str">
        <f aca="false">Payment_Log_AP!C372</f>
        <v>V1010</v>
      </c>
      <c r="C376" s="17" t="n">
        <f aca="false">Payment_Log_AP!D372</f>
        <v>45907</v>
      </c>
      <c r="D376" s="18" t="n">
        <f aca="false">Payment_Log_AP!E372</f>
        <v>1348.19</v>
      </c>
      <c r="E376" s="18" t="n">
        <f aca="false">IFERROR(INDEX(Bank_Statement!$C$2:$C$783,MATCH(A376,Bank_Statement!$E$2:$E$783,0)),"")</f>
        <v>-1348.19</v>
      </c>
      <c r="F376" s="16" t="str">
        <f aca="false">IF(E376="","No","Yes")</f>
        <v>Yes</v>
      </c>
      <c r="G376" s="18" t="n">
        <f aca="false">IF(F376="No","N/A",D376-E376)</f>
        <v>2696.38</v>
      </c>
      <c r="H376" s="16" t="str">
        <f aca="false">IF(F376="No","Unmatched - Investigate",IF(ABS(D376-E376)&gt;Assumptions!$B$6,"Mismatch - Amount Differs","Matched"))</f>
        <v>Mismatch - Amount Differs</v>
      </c>
    </row>
    <row r="377" customFormat="false" ht="15" hidden="false" customHeight="false" outlineLevel="0" collapsed="false">
      <c r="A377" s="16" t="str">
        <f aca="false">Payment_Log_AP!A373</f>
        <v>PAY40372</v>
      </c>
      <c r="B377" s="16" t="str">
        <f aca="false">Payment_Log_AP!C373</f>
        <v>V1010</v>
      </c>
      <c r="C377" s="17" t="n">
        <f aca="false">Payment_Log_AP!D373</f>
        <v>45913</v>
      </c>
      <c r="D377" s="18" t="n">
        <f aca="false">Payment_Log_AP!E373</f>
        <v>1348.19</v>
      </c>
      <c r="E377" s="18" t="n">
        <f aca="false">IFERROR(INDEX(Bank_Statement!$C$2:$C$783,MATCH(A377,Bank_Statement!$E$2:$E$783,0)),"")</f>
        <v>-1348.19</v>
      </c>
      <c r="F377" s="16" t="str">
        <f aca="false">IF(E377="","No","Yes")</f>
        <v>Yes</v>
      </c>
      <c r="G377" s="18" t="n">
        <f aca="false">IF(F377="No","N/A",D377-E377)</f>
        <v>2696.38</v>
      </c>
      <c r="H377" s="16" t="str">
        <f aca="false">IF(F377="No","Unmatched - Investigate",IF(ABS(D377-E377)&gt;Assumptions!$B$6,"Mismatch - Amount Differs","Matched"))</f>
        <v>Mismatch - Amount Differs</v>
      </c>
    </row>
    <row r="378" customFormat="false" ht="15" hidden="false" customHeight="false" outlineLevel="0" collapsed="false">
      <c r="A378" s="16" t="str">
        <f aca="false">Payment_Log_AP!A374</f>
        <v>PAY40373</v>
      </c>
      <c r="B378" s="16" t="str">
        <f aca="false">Payment_Log_AP!C374</f>
        <v>V1018</v>
      </c>
      <c r="C378" s="17" t="n">
        <f aca="false">Payment_Log_AP!D374</f>
        <v>45991</v>
      </c>
      <c r="D378" s="18" t="n">
        <f aca="false">Payment_Log_AP!E374</f>
        <v>2579.5</v>
      </c>
      <c r="E378" s="18" t="n">
        <f aca="false">IFERROR(INDEX(Bank_Statement!$C$2:$C$783,MATCH(A378,Bank_Statement!$E$2:$E$783,0)),"")</f>
        <v>-2579.5</v>
      </c>
      <c r="F378" s="16" t="str">
        <f aca="false">IF(E378="","No","Yes")</f>
        <v>Yes</v>
      </c>
      <c r="G378" s="18" t="n">
        <f aca="false">IF(F378="No","N/A",D378-E378)</f>
        <v>5159</v>
      </c>
      <c r="H378" s="16" t="str">
        <f aca="false">IF(F378="No","Unmatched - Investigate",IF(ABS(D378-E378)&gt;Assumptions!$B$6,"Mismatch - Amount Differs","Matched"))</f>
        <v>Mismatch - Amount Differs</v>
      </c>
    </row>
    <row r="379" customFormat="false" ht="15" hidden="false" customHeight="false" outlineLevel="0" collapsed="false">
      <c r="A379" s="16" t="str">
        <f aca="false">Payment_Log_AP!A375</f>
        <v>PAY40374</v>
      </c>
      <c r="B379" s="16" t="str">
        <f aca="false">Payment_Log_AP!C375</f>
        <v>V1034</v>
      </c>
      <c r="C379" s="17" t="n">
        <f aca="false">Payment_Log_AP!D375</f>
        <v>46052</v>
      </c>
      <c r="D379" s="18" t="n">
        <f aca="false">Payment_Log_AP!E375</f>
        <v>1850.75</v>
      </c>
      <c r="E379" s="18" t="n">
        <f aca="false">IFERROR(INDEX(Bank_Statement!$C$2:$C$783,MATCH(A379,Bank_Statement!$E$2:$E$783,0)),"")</f>
        <v>-1850.75</v>
      </c>
      <c r="F379" s="16" t="str">
        <f aca="false">IF(E379="","No","Yes")</f>
        <v>Yes</v>
      </c>
      <c r="G379" s="18" t="n">
        <f aca="false">IF(F379="No","N/A",D379-E379)</f>
        <v>3701.5</v>
      </c>
      <c r="H379" s="16" t="str">
        <f aca="false">IF(F379="No","Unmatched - Investigate",IF(ABS(D379-E379)&gt;Assumptions!$B$6,"Mismatch - Amount Differs","Matched"))</f>
        <v>Mismatch - Amount Differs</v>
      </c>
    </row>
    <row r="380" customFormat="false" ht="15" hidden="false" customHeight="false" outlineLevel="0" collapsed="false">
      <c r="A380" s="16" t="str">
        <f aca="false">Payment_Log_AP!A376</f>
        <v>PAY40375</v>
      </c>
      <c r="B380" s="16" t="str">
        <f aca="false">Payment_Log_AP!C376</f>
        <v>V1006</v>
      </c>
      <c r="C380" s="17" t="n">
        <f aca="false">Payment_Log_AP!D376</f>
        <v>45972</v>
      </c>
      <c r="D380" s="18" t="n">
        <f aca="false">Payment_Log_AP!E376</f>
        <v>1673.73</v>
      </c>
      <c r="E380" s="18" t="n">
        <f aca="false">IFERROR(INDEX(Bank_Statement!$C$2:$C$783,MATCH(A380,Bank_Statement!$E$2:$E$783,0)),"")</f>
        <v>-1673.73</v>
      </c>
      <c r="F380" s="16" t="str">
        <f aca="false">IF(E380="","No","Yes")</f>
        <v>Yes</v>
      </c>
      <c r="G380" s="18" t="n">
        <f aca="false">IF(F380="No","N/A",D380-E380)</f>
        <v>3347.46</v>
      </c>
      <c r="H380" s="16" t="str">
        <f aca="false">IF(F380="No","Unmatched - Investigate",IF(ABS(D380-E380)&gt;Assumptions!$B$6,"Mismatch - Amount Differs","Matched"))</f>
        <v>Mismatch - Amount Differs</v>
      </c>
    </row>
    <row r="381" customFormat="false" ht="15" hidden="false" customHeight="false" outlineLevel="0" collapsed="false">
      <c r="A381" s="16" t="str">
        <f aca="false">Payment_Log_AP!A377</f>
        <v>PAY40376</v>
      </c>
      <c r="B381" s="16" t="str">
        <f aca="false">Payment_Log_AP!C377</f>
        <v>V1002</v>
      </c>
      <c r="C381" s="17" t="n">
        <f aca="false">Payment_Log_AP!D377</f>
        <v>45929</v>
      </c>
      <c r="D381" s="18" t="n">
        <f aca="false">Payment_Log_AP!E377</f>
        <v>3809.51</v>
      </c>
      <c r="E381" s="18" t="n">
        <f aca="false">IFERROR(INDEX(Bank_Statement!$C$2:$C$783,MATCH(A381,Bank_Statement!$E$2:$E$783,0)),"")</f>
        <v>-3809.51</v>
      </c>
      <c r="F381" s="16" t="str">
        <f aca="false">IF(E381="","No","Yes")</f>
        <v>Yes</v>
      </c>
      <c r="G381" s="18" t="n">
        <f aca="false">IF(F381="No","N/A",D381-E381)</f>
        <v>7619.02</v>
      </c>
      <c r="H381" s="16" t="str">
        <f aca="false">IF(F381="No","Unmatched - Investigate",IF(ABS(D381-E381)&gt;Assumptions!$B$6,"Mismatch - Amount Differs","Matched"))</f>
        <v>Mismatch - Amount Differs</v>
      </c>
    </row>
    <row r="382" customFormat="false" ht="15" hidden="false" customHeight="false" outlineLevel="0" collapsed="false">
      <c r="A382" s="16" t="str">
        <f aca="false">Payment_Log_AP!A378</f>
        <v>PAY40377</v>
      </c>
      <c r="B382" s="16" t="str">
        <f aca="false">Payment_Log_AP!C378</f>
        <v>V1007</v>
      </c>
      <c r="C382" s="17" t="n">
        <f aca="false">Payment_Log_AP!D378</f>
        <v>45885</v>
      </c>
      <c r="D382" s="18" t="n">
        <f aca="false">Payment_Log_AP!E378</f>
        <v>1115.7</v>
      </c>
      <c r="E382" s="18" t="n">
        <f aca="false">IFERROR(INDEX(Bank_Statement!$C$2:$C$783,MATCH(A382,Bank_Statement!$E$2:$E$783,0)),"")</f>
        <v>-1115.7</v>
      </c>
      <c r="F382" s="16" t="str">
        <f aca="false">IF(E382="","No","Yes")</f>
        <v>Yes</v>
      </c>
      <c r="G382" s="18" t="n">
        <f aca="false">IF(F382="No","N/A",D382-E382)</f>
        <v>2231.4</v>
      </c>
      <c r="H382" s="16" t="str">
        <f aca="false">IF(F382="No","Unmatched - Investigate",IF(ABS(D382-E382)&gt;Assumptions!$B$6,"Mismatch - Amount Differs","Matched"))</f>
        <v>Mismatch - Amount Differs</v>
      </c>
    </row>
    <row r="383" customFormat="false" ht="15" hidden="false" customHeight="false" outlineLevel="0" collapsed="false">
      <c r="A383" s="16" t="str">
        <f aca="false">Payment_Log_AP!A379</f>
        <v>PAY40378</v>
      </c>
      <c r="B383" s="16" t="str">
        <f aca="false">Payment_Log_AP!C379</f>
        <v>V1019</v>
      </c>
      <c r="C383" s="17" t="n">
        <f aca="false">Payment_Log_AP!D379</f>
        <v>46104</v>
      </c>
      <c r="D383" s="18" t="n">
        <f aca="false">Payment_Log_AP!E379</f>
        <v>1572.78</v>
      </c>
      <c r="E383" s="18" t="n">
        <f aca="false">IFERROR(INDEX(Bank_Statement!$C$2:$C$783,MATCH(A383,Bank_Statement!$E$2:$E$783,0)),"")</f>
        <v>-1572.78</v>
      </c>
      <c r="F383" s="16" t="str">
        <f aca="false">IF(E383="","No","Yes")</f>
        <v>Yes</v>
      </c>
      <c r="G383" s="18" t="n">
        <f aca="false">IF(F383="No","N/A",D383-E383)</f>
        <v>3145.56</v>
      </c>
      <c r="H383" s="16" t="str">
        <f aca="false">IF(F383="No","Unmatched - Investigate",IF(ABS(D383-E383)&gt;Assumptions!$B$6,"Mismatch - Amount Differs","Matched"))</f>
        <v>Mismatch - Amount Differs</v>
      </c>
    </row>
    <row r="384" customFormat="false" ht="15" hidden="false" customHeight="false" outlineLevel="0" collapsed="false">
      <c r="A384" s="16" t="str">
        <f aca="false">Payment_Log_AP!A380</f>
        <v>PAY40379</v>
      </c>
      <c r="B384" s="16" t="str">
        <f aca="false">Payment_Log_AP!C380</f>
        <v>V1025</v>
      </c>
      <c r="C384" s="17" t="n">
        <f aca="false">Payment_Log_AP!D380</f>
        <v>46029</v>
      </c>
      <c r="D384" s="18" t="n">
        <f aca="false">Payment_Log_AP!E380</f>
        <v>1440.58</v>
      </c>
      <c r="E384" s="18" t="n">
        <f aca="false">IFERROR(INDEX(Bank_Statement!$C$2:$C$783,MATCH(A384,Bank_Statement!$E$2:$E$783,0)),"")</f>
        <v>-1440.58</v>
      </c>
      <c r="F384" s="16" t="str">
        <f aca="false">IF(E384="","No","Yes")</f>
        <v>Yes</v>
      </c>
      <c r="G384" s="18" t="n">
        <f aca="false">IF(F384="No","N/A",D384-E384)</f>
        <v>2881.16</v>
      </c>
      <c r="H384" s="16" t="str">
        <f aca="false">IF(F384="No","Unmatched - Investigate",IF(ABS(D384-E384)&gt;Assumptions!$B$6,"Mismatch - Amount Differs","Matched"))</f>
        <v>Mismatch - Amount Differs</v>
      </c>
    </row>
    <row r="385" customFormat="false" ht="15" hidden="false" customHeight="false" outlineLevel="0" collapsed="false">
      <c r="A385" s="16" t="str">
        <f aca="false">Payment_Log_AP!A381</f>
        <v>PAY40380</v>
      </c>
      <c r="B385" s="16" t="str">
        <f aca="false">Payment_Log_AP!C381</f>
        <v>V1020</v>
      </c>
      <c r="C385" s="17" t="n">
        <f aca="false">Payment_Log_AP!D381</f>
        <v>46124</v>
      </c>
      <c r="D385" s="18" t="n">
        <f aca="false">Payment_Log_AP!E381</f>
        <v>308.34</v>
      </c>
      <c r="E385" s="18" t="n">
        <f aca="false">IFERROR(INDEX(Bank_Statement!$C$2:$C$783,MATCH(A385,Bank_Statement!$E$2:$E$783,0)),"")</f>
        <v>-308.34</v>
      </c>
      <c r="F385" s="16" t="str">
        <f aca="false">IF(E385="","No","Yes")</f>
        <v>Yes</v>
      </c>
      <c r="G385" s="18" t="n">
        <f aca="false">IF(F385="No","N/A",D385-E385)</f>
        <v>616.68</v>
      </c>
      <c r="H385" s="16" t="str">
        <f aca="false">IF(F385="No","Unmatched - Investigate",IF(ABS(D385-E385)&gt;Assumptions!$B$6,"Mismatch - Amount Differs","Matched"))</f>
        <v>Mismatch - Amount Differs</v>
      </c>
    </row>
    <row r="386" customFormat="false" ht="15" hidden="false" customHeight="false" outlineLevel="0" collapsed="false">
      <c r="A386" s="16" t="str">
        <f aca="false">Payment_Log_AP!A382</f>
        <v>PAY40381</v>
      </c>
      <c r="B386" s="16" t="str">
        <f aca="false">Payment_Log_AP!C382</f>
        <v>V1034</v>
      </c>
      <c r="C386" s="17" t="n">
        <f aca="false">Payment_Log_AP!D382</f>
        <v>45790</v>
      </c>
      <c r="D386" s="18" t="n">
        <f aca="false">Payment_Log_AP!E382</f>
        <v>303.89</v>
      </c>
      <c r="E386" s="18" t="n">
        <f aca="false">IFERROR(INDEX(Bank_Statement!$C$2:$C$783,MATCH(A386,Bank_Statement!$E$2:$E$783,0)),"")</f>
        <v>-303.89</v>
      </c>
      <c r="F386" s="16" t="str">
        <f aca="false">IF(E386="","No","Yes")</f>
        <v>Yes</v>
      </c>
      <c r="G386" s="18" t="n">
        <f aca="false">IF(F386="No","N/A",D386-E386)</f>
        <v>607.78</v>
      </c>
      <c r="H386" s="16" t="str">
        <f aca="false">IF(F386="No","Unmatched - Investigate",IF(ABS(D386-E386)&gt;Assumptions!$B$6,"Mismatch - Amount Differs","Matched"))</f>
        <v>Mismatch - Amount Differs</v>
      </c>
    </row>
    <row r="387" customFormat="false" ht="15" hidden="false" customHeight="false" outlineLevel="0" collapsed="false">
      <c r="A387" s="16" t="str">
        <f aca="false">Payment_Log_AP!A383</f>
        <v>PAY40382</v>
      </c>
      <c r="B387" s="16" t="str">
        <f aca="false">Payment_Log_AP!C383</f>
        <v>V1023</v>
      </c>
      <c r="C387" s="17" t="n">
        <f aca="false">Payment_Log_AP!D383</f>
        <v>45984</v>
      </c>
      <c r="D387" s="18" t="n">
        <f aca="false">Payment_Log_AP!E383</f>
        <v>4223.32</v>
      </c>
      <c r="E387" s="18" t="n">
        <f aca="false">IFERROR(INDEX(Bank_Statement!$C$2:$C$783,MATCH(A387,Bank_Statement!$E$2:$E$783,0)),"")</f>
        <v>-4223.32</v>
      </c>
      <c r="F387" s="16" t="str">
        <f aca="false">IF(E387="","No","Yes")</f>
        <v>Yes</v>
      </c>
      <c r="G387" s="18" t="n">
        <f aca="false">IF(F387="No","N/A",D387-E387)</f>
        <v>8446.64</v>
      </c>
      <c r="H387" s="16" t="str">
        <f aca="false">IF(F387="No","Unmatched - Investigate",IF(ABS(D387-E387)&gt;Assumptions!$B$6,"Mismatch - Amount Differs","Matched"))</f>
        <v>Mismatch - Amount Differs</v>
      </c>
    </row>
    <row r="388" customFormat="false" ht="15" hidden="false" customHeight="false" outlineLevel="0" collapsed="false">
      <c r="A388" s="16" t="str">
        <f aca="false">Payment_Log_AP!A384</f>
        <v>PAY40383</v>
      </c>
      <c r="B388" s="16" t="str">
        <f aca="false">Payment_Log_AP!C384</f>
        <v>V1015</v>
      </c>
      <c r="C388" s="17" t="n">
        <f aca="false">Payment_Log_AP!D384</f>
        <v>46185</v>
      </c>
      <c r="D388" s="18" t="n">
        <f aca="false">Payment_Log_AP!E384</f>
        <v>1084.38</v>
      </c>
      <c r="E388" s="18" t="n">
        <f aca="false">IFERROR(INDEX(Bank_Statement!$C$2:$C$783,MATCH(A388,Bank_Statement!$E$2:$E$783,0)),"")</f>
        <v>-1084.38</v>
      </c>
      <c r="F388" s="16" t="str">
        <f aca="false">IF(E388="","No","Yes")</f>
        <v>Yes</v>
      </c>
      <c r="G388" s="18" t="n">
        <f aca="false">IF(F388="No","N/A",D388-E388)</f>
        <v>2168.76</v>
      </c>
      <c r="H388" s="16" t="str">
        <f aca="false">IF(F388="No","Unmatched - Investigate",IF(ABS(D388-E388)&gt;Assumptions!$B$6,"Mismatch - Amount Differs","Matched"))</f>
        <v>Mismatch - Amount Differs</v>
      </c>
    </row>
    <row r="389" customFormat="false" ht="15" hidden="false" customHeight="false" outlineLevel="0" collapsed="false">
      <c r="A389" s="16" t="str">
        <f aca="false">Payment_Log_AP!A385</f>
        <v>PAY40384</v>
      </c>
      <c r="B389" s="16" t="str">
        <f aca="false">Payment_Log_AP!C385</f>
        <v>V1037</v>
      </c>
      <c r="C389" s="17" t="n">
        <f aca="false">Payment_Log_AP!D385</f>
        <v>45908</v>
      </c>
      <c r="D389" s="18" t="n">
        <f aca="false">Payment_Log_AP!E385</f>
        <v>3288.85</v>
      </c>
      <c r="E389" s="18" t="n">
        <f aca="false">IFERROR(INDEX(Bank_Statement!$C$2:$C$783,MATCH(A389,Bank_Statement!$E$2:$E$783,0)),"")</f>
        <v>-3288.85</v>
      </c>
      <c r="F389" s="16" t="str">
        <f aca="false">IF(E389="","No","Yes")</f>
        <v>Yes</v>
      </c>
      <c r="G389" s="18" t="n">
        <f aca="false">IF(F389="No","N/A",D389-E389)</f>
        <v>6577.7</v>
      </c>
      <c r="H389" s="16" t="str">
        <f aca="false">IF(F389="No","Unmatched - Investigate",IF(ABS(D389-E389)&gt;Assumptions!$B$6,"Mismatch - Amount Differs","Matched"))</f>
        <v>Mismatch - Amount Differs</v>
      </c>
    </row>
    <row r="390" customFormat="false" ht="15" hidden="false" customHeight="false" outlineLevel="0" collapsed="false">
      <c r="A390" s="16" t="str">
        <f aca="false">Payment_Log_AP!A386</f>
        <v>PAY40385</v>
      </c>
      <c r="B390" s="16" t="str">
        <f aca="false">Payment_Log_AP!C386</f>
        <v>V1002</v>
      </c>
      <c r="C390" s="17" t="n">
        <f aca="false">Payment_Log_AP!D386</f>
        <v>46078</v>
      </c>
      <c r="D390" s="18" t="n">
        <f aca="false">Payment_Log_AP!E386</f>
        <v>2979.58</v>
      </c>
      <c r="E390" s="18" t="n">
        <f aca="false">IFERROR(INDEX(Bank_Statement!$C$2:$C$783,MATCH(A390,Bank_Statement!$E$2:$E$783,0)),"")</f>
        <v>-2979.58</v>
      </c>
      <c r="F390" s="16" t="str">
        <f aca="false">IF(E390="","No","Yes")</f>
        <v>Yes</v>
      </c>
      <c r="G390" s="18" t="n">
        <f aca="false">IF(F390="No","N/A",D390-E390)</f>
        <v>5959.16</v>
      </c>
      <c r="H390" s="16" t="str">
        <f aca="false">IF(F390="No","Unmatched - Investigate",IF(ABS(D390-E390)&gt;Assumptions!$B$6,"Mismatch - Amount Differs","Matched"))</f>
        <v>Mismatch - Amount Differs</v>
      </c>
    </row>
    <row r="391" customFormat="false" ht="15" hidden="false" customHeight="false" outlineLevel="0" collapsed="false">
      <c r="A391" s="16" t="str">
        <f aca="false">Payment_Log_AP!A387</f>
        <v>PAY40386</v>
      </c>
      <c r="B391" s="16" t="str">
        <f aca="false">Payment_Log_AP!C387</f>
        <v>V1018</v>
      </c>
      <c r="C391" s="17" t="n">
        <f aca="false">Payment_Log_AP!D387</f>
        <v>45732</v>
      </c>
      <c r="D391" s="18" t="n">
        <f aca="false">Payment_Log_AP!E387</f>
        <v>209.66</v>
      </c>
      <c r="E391" s="18" t="n">
        <f aca="false">IFERROR(INDEX(Bank_Statement!$C$2:$C$783,MATCH(A391,Bank_Statement!$E$2:$E$783,0)),"")</f>
        <v>-209.66</v>
      </c>
      <c r="F391" s="16" t="str">
        <f aca="false">IF(E391="","No","Yes")</f>
        <v>Yes</v>
      </c>
      <c r="G391" s="18" t="n">
        <f aca="false">IF(F391="No","N/A",D391-E391)</f>
        <v>419.32</v>
      </c>
      <c r="H391" s="16" t="str">
        <f aca="false">IF(F391="No","Unmatched - Investigate",IF(ABS(D391-E391)&gt;Assumptions!$B$6,"Mismatch - Amount Differs","Matched"))</f>
        <v>Mismatch - Amount Differs</v>
      </c>
    </row>
    <row r="392" customFormat="false" ht="15" hidden="false" customHeight="false" outlineLevel="0" collapsed="false">
      <c r="A392" s="16" t="str">
        <f aca="false">Payment_Log_AP!A388</f>
        <v>PAY40387</v>
      </c>
      <c r="B392" s="16" t="str">
        <f aca="false">Payment_Log_AP!C388</f>
        <v>V1037</v>
      </c>
      <c r="C392" s="17" t="n">
        <f aca="false">Payment_Log_AP!D388</f>
        <v>46198</v>
      </c>
      <c r="D392" s="18" t="n">
        <f aca="false">Payment_Log_AP!E388</f>
        <v>3415.67</v>
      </c>
      <c r="E392" s="18" t="n">
        <f aca="false">IFERROR(INDEX(Bank_Statement!$C$2:$C$783,MATCH(A392,Bank_Statement!$E$2:$E$783,0)),"")</f>
        <v>-3415.67</v>
      </c>
      <c r="F392" s="16" t="str">
        <f aca="false">IF(E392="","No","Yes")</f>
        <v>Yes</v>
      </c>
      <c r="G392" s="18" t="n">
        <f aca="false">IF(F392="No","N/A",D392-E392)</f>
        <v>6831.34</v>
      </c>
      <c r="H392" s="16" t="str">
        <f aca="false">IF(F392="No","Unmatched - Investigate",IF(ABS(D392-E392)&gt;Assumptions!$B$6,"Mismatch - Amount Differs","Matched"))</f>
        <v>Mismatch - Amount Differs</v>
      </c>
    </row>
    <row r="393" customFormat="false" ht="15" hidden="false" customHeight="false" outlineLevel="0" collapsed="false">
      <c r="A393" s="16" t="str">
        <f aca="false">Payment_Log_AP!A389</f>
        <v>PAY40388</v>
      </c>
      <c r="B393" s="16" t="str">
        <f aca="false">Payment_Log_AP!C389</f>
        <v>V1026</v>
      </c>
      <c r="C393" s="17" t="n">
        <f aca="false">Payment_Log_AP!D389</f>
        <v>46011</v>
      </c>
      <c r="D393" s="18" t="n">
        <f aca="false">Payment_Log_AP!E389</f>
        <v>1992.56</v>
      </c>
      <c r="E393" s="18" t="n">
        <f aca="false">IFERROR(INDEX(Bank_Statement!$C$2:$C$783,MATCH(A393,Bank_Statement!$E$2:$E$783,0)),"")</f>
        <v>-1992.56</v>
      </c>
      <c r="F393" s="16" t="str">
        <f aca="false">IF(E393="","No","Yes")</f>
        <v>Yes</v>
      </c>
      <c r="G393" s="18" t="n">
        <f aca="false">IF(F393="No","N/A",D393-E393)</f>
        <v>3985.12</v>
      </c>
      <c r="H393" s="16" t="str">
        <f aca="false">IF(F393="No","Unmatched - Investigate",IF(ABS(D393-E393)&gt;Assumptions!$B$6,"Mismatch - Amount Differs","Matched"))</f>
        <v>Mismatch - Amount Differs</v>
      </c>
    </row>
    <row r="394" customFormat="false" ht="15" hidden="false" customHeight="false" outlineLevel="0" collapsed="false">
      <c r="A394" s="16" t="str">
        <f aca="false">Payment_Log_AP!A390</f>
        <v>PAY40389</v>
      </c>
      <c r="B394" s="16" t="str">
        <f aca="false">Payment_Log_AP!C390</f>
        <v>V1001</v>
      </c>
      <c r="C394" s="17" t="n">
        <f aca="false">Payment_Log_AP!D390</f>
        <v>45820</v>
      </c>
      <c r="D394" s="18" t="n">
        <f aca="false">Payment_Log_AP!E390</f>
        <v>2035.46</v>
      </c>
      <c r="E394" s="18" t="n">
        <f aca="false">IFERROR(INDEX(Bank_Statement!$C$2:$C$783,MATCH(A394,Bank_Statement!$E$2:$E$783,0)),"")</f>
        <v>-2035.46</v>
      </c>
      <c r="F394" s="16" t="str">
        <f aca="false">IF(E394="","No","Yes")</f>
        <v>Yes</v>
      </c>
      <c r="G394" s="18" t="n">
        <f aca="false">IF(F394="No","N/A",D394-E394)</f>
        <v>4070.92</v>
      </c>
      <c r="H394" s="16" t="str">
        <f aca="false">IF(F394="No","Unmatched - Investigate",IF(ABS(D394-E394)&gt;Assumptions!$B$6,"Mismatch - Amount Differs","Matched"))</f>
        <v>Mismatch - Amount Differs</v>
      </c>
    </row>
    <row r="395" customFormat="false" ht="15" hidden="false" customHeight="false" outlineLevel="0" collapsed="false">
      <c r="A395" s="16" t="str">
        <f aca="false">Payment_Log_AP!A391</f>
        <v>PAY40390</v>
      </c>
      <c r="B395" s="16" t="str">
        <f aca="false">Payment_Log_AP!C391</f>
        <v>V1006</v>
      </c>
      <c r="C395" s="17" t="n">
        <f aca="false">Payment_Log_AP!D391</f>
        <v>45757</v>
      </c>
      <c r="D395" s="18" t="n">
        <f aca="false">Payment_Log_AP!E391</f>
        <v>9019.36</v>
      </c>
      <c r="E395" s="18" t="n">
        <f aca="false">IFERROR(INDEX(Bank_Statement!$C$2:$C$783,MATCH(A395,Bank_Statement!$E$2:$E$783,0)),"")</f>
        <v>-9019.36</v>
      </c>
      <c r="F395" s="16" t="str">
        <f aca="false">IF(E395="","No","Yes")</f>
        <v>Yes</v>
      </c>
      <c r="G395" s="18" t="n">
        <f aca="false">IF(F395="No","N/A",D395-E395)</f>
        <v>18038.72</v>
      </c>
      <c r="H395" s="16" t="str">
        <f aca="false">IF(F395="No","Unmatched - Investigate",IF(ABS(D395-E395)&gt;Assumptions!$B$6,"Mismatch - Amount Differs","Matched"))</f>
        <v>Mismatch - Amount Differs</v>
      </c>
    </row>
    <row r="396" customFormat="false" ht="15" hidden="false" customHeight="false" outlineLevel="0" collapsed="false">
      <c r="A396" s="16" t="str">
        <f aca="false">Payment_Log_AP!A392</f>
        <v>PAY40391</v>
      </c>
      <c r="B396" s="16" t="str">
        <f aca="false">Payment_Log_AP!C392</f>
        <v>V1016</v>
      </c>
      <c r="C396" s="17" t="n">
        <f aca="false">Payment_Log_AP!D392</f>
        <v>45989</v>
      </c>
      <c r="D396" s="18" t="n">
        <f aca="false">Payment_Log_AP!E392</f>
        <v>1812.95</v>
      </c>
      <c r="E396" s="18" t="n">
        <f aca="false">IFERROR(INDEX(Bank_Statement!$C$2:$C$783,MATCH(A396,Bank_Statement!$E$2:$E$783,0)),"")</f>
        <v>-1812.95</v>
      </c>
      <c r="F396" s="16" t="str">
        <f aca="false">IF(E396="","No","Yes")</f>
        <v>Yes</v>
      </c>
      <c r="G396" s="18" t="n">
        <f aca="false">IF(F396="No","N/A",D396-E396)</f>
        <v>3625.9</v>
      </c>
      <c r="H396" s="16" t="str">
        <f aca="false">IF(F396="No","Unmatched - Investigate",IF(ABS(D396-E396)&gt;Assumptions!$B$6,"Mismatch - Amount Differs","Matched"))</f>
        <v>Mismatch - Amount Differs</v>
      </c>
    </row>
    <row r="397" customFormat="false" ht="15" hidden="false" customHeight="false" outlineLevel="0" collapsed="false">
      <c r="A397" s="16" t="str">
        <f aca="false">Payment_Log_AP!A393</f>
        <v>PAY40392</v>
      </c>
      <c r="B397" s="16" t="str">
        <f aca="false">Payment_Log_AP!C393</f>
        <v>V1023</v>
      </c>
      <c r="C397" s="17" t="n">
        <f aca="false">Payment_Log_AP!D393</f>
        <v>45997</v>
      </c>
      <c r="D397" s="18" t="n">
        <f aca="false">Payment_Log_AP!E393</f>
        <v>1047.46</v>
      </c>
      <c r="E397" s="18" t="n">
        <f aca="false">IFERROR(INDEX(Bank_Statement!$C$2:$C$783,MATCH(A397,Bank_Statement!$E$2:$E$783,0)),"")</f>
        <v>-1047.46</v>
      </c>
      <c r="F397" s="16" t="str">
        <f aca="false">IF(E397="","No","Yes")</f>
        <v>Yes</v>
      </c>
      <c r="G397" s="18" t="n">
        <f aca="false">IF(F397="No","N/A",D397-E397)</f>
        <v>2094.92</v>
      </c>
      <c r="H397" s="16" t="str">
        <f aca="false">IF(F397="No","Unmatched - Investigate",IF(ABS(D397-E397)&gt;Assumptions!$B$6,"Mismatch - Amount Differs","Matched"))</f>
        <v>Mismatch - Amount Differs</v>
      </c>
    </row>
    <row r="398" customFormat="false" ht="15" hidden="false" customHeight="false" outlineLevel="0" collapsed="false">
      <c r="A398" s="16" t="str">
        <f aca="false">Payment_Log_AP!A394</f>
        <v>PAY40393</v>
      </c>
      <c r="B398" s="16" t="str">
        <f aca="false">Payment_Log_AP!C394</f>
        <v>V1009</v>
      </c>
      <c r="C398" s="17" t="n">
        <f aca="false">Payment_Log_AP!D394</f>
        <v>45727</v>
      </c>
      <c r="D398" s="18" t="n">
        <f aca="false">Payment_Log_AP!E394</f>
        <v>3396.34</v>
      </c>
      <c r="E398" s="18" t="n">
        <f aca="false">IFERROR(INDEX(Bank_Statement!$C$2:$C$783,MATCH(A398,Bank_Statement!$E$2:$E$783,0)),"")</f>
        <v>-3396.34</v>
      </c>
      <c r="F398" s="16" t="str">
        <f aca="false">IF(E398="","No","Yes")</f>
        <v>Yes</v>
      </c>
      <c r="G398" s="18" t="n">
        <f aca="false">IF(F398="No","N/A",D398-E398)</f>
        <v>6792.68</v>
      </c>
      <c r="H398" s="16" t="str">
        <f aca="false">IF(F398="No","Unmatched - Investigate",IF(ABS(D398-E398)&gt;Assumptions!$B$6,"Mismatch - Amount Differs","Matched"))</f>
        <v>Mismatch - Amount Differs</v>
      </c>
    </row>
    <row r="399" customFormat="false" ht="15" hidden="false" customHeight="false" outlineLevel="0" collapsed="false">
      <c r="A399" s="16" t="str">
        <f aca="false">Payment_Log_AP!A395</f>
        <v>PAY40394</v>
      </c>
      <c r="B399" s="16" t="str">
        <f aca="false">Payment_Log_AP!C395</f>
        <v>V1013</v>
      </c>
      <c r="C399" s="17" t="n">
        <f aca="false">Payment_Log_AP!D395</f>
        <v>46171</v>
      </c>
      <c r="D399" s="18" t="n">
        <f aca="false">Payment_Log_AP!E395</f>
        <v>1201.82</v>
      </c>
      <c r="E399" s="18" t="n">
        <f aca="false">IFERROR(INDEX(Bank_Statement!$C$2:$C$783,MATCH(A399,Bank_Statement!$E$2:$E$783,0)),"")</f>
        <v>-1201.82</v>
      </c>
      <c r="F399" s="16" t="str">
        <f aca="false">IF(E399="","No","Yes")</f>
        <v>Yes</v>
      </c>
      <c r="G399" s="18" t="n">
        <f aca="false">IF(F399="No","N/A",D399-E399)</f>
        <v>2403.64</v>
      </c>
      <c r="H399" s="16" t="str">
        <f aca="false">IF(F399="No","Unmatched - Investigate",IF(ABS(D399-E399)&gt;Assumptions!$B$6,"Mismatch - Amount Differs","Matched"))</f>
        <v>Mismatch - Amount Differs</v>
      </c>
    </row>
    <row r="400" customFormat="false" ht="15" hidden="false" customHeight="false" outlineLevel="0" collapsed="false">
      <c r="A400" s="16" t="str">
        <f aca="false">Payment_Log_AP!A396</f>
        <v>PAY40395</v>
      </c>
      <c r="B400" s="16" t="str">
        <f aca="false">Payment_Log_AP!C396</f>
        <v>V1010</v>
      </c>
      <c r="C400" s="17" t="n">
        <f aca="false">Payment_Log_AP!D396</f>
        <v>45954</v>
      </c>
      <c r="D400" s="18" t="n">
        <f aca="false">Payment_Log_AP!E396</f>
        <v>1494.41</v>
      </c>
      <c r="E400" s="18" t="n">
        <f aca="false">IFERROR(INDEX(Bank_Statement!$C$2:$C$783,MATCH(A400,Bank_Statement!$E$2:$E$783,0)),"")</f>
        <v>-1494.41</v>
      </c>
      <c r="F400" s="16" t="str">
        <f aca="false">IF(E400="","No","Yes")</f>
        <v>Yes</v>
      </c>
      <c r="G400" s="18" t="n">
        <f aca="false">IF(F400="No","N/A",D400-E400)</f>
        <v>2988.82</v>
      </c>
      <c r="H400" s="16" t="str">
        <f aca="false">IF(F400="No","Unmatched - Investigate",IF(ABS(D400-E400)&gt;Assumptions!$B$6,"Mismatch - Amount Differs","Matched"))</f>
        <v>Mismatch - Amount Differs</v>
      </c>
    </row>
    <row r="401" customFormat="false" ht="15" hidden="false" customHeight="false" outlineLevel="0" collapsed="false">
      <c r="A401" s="16" t="str">
        <f aca="false">Payment_Log_AP!A397</f>
        <v>PAY40396</v>
      </c>
      <c r="B401" s="16" t="str">
        <f aca="false">Payment_Log_AP!C397</f>
        <v>V1018</v>
      </c>
      <c r="C401" s="17" t="n">
        <f aca="false">Payment_Log_AP!D397</f>
        <v>46150</v>
      </c>
      <c r="D401" s="18" t="n">
        <f aca="false">Payment_Log_AP!E397</f>
        <v>2064.66</v>
      </c>
      <c r="E401" s="18" t="n">
        <f aca="false">IFERROR(INDEX(Bank_Statement!$C$2:$C$783,MATCH(A401,Bank_Statement!$E$2:$E$783,0)),"")</f>
        <v>-2064.66</v>
      </c>
      <c r="F401" s="16" t="str">
        <f aca="false">IF(E401="","No","Yes")</f>
        <v>Yes</v>
      </c>
      <c r="G401" s="18" t="n">
        <f aca="false">IF(F401="No","N/A",D401-E401)</f>
        <v>4129.32</v>
      </c>
      <c r="H401" s="16" t="str">
        <f aca="false">IF(F401="No","Unmatched - Investigate",IF(ABS(D401-E401)&gt;Assumptions!$B$6,"Mismatch - Amount Differs","Matched"))</f>
        <v>Mismatch - Amount Differs</v>
      </c>
    </row>
    <row r="402" customFormat="false" ht="15" hidden="false" customHeight="false" outlineLevel="0" collapsed="false">
      <c r="A402" s="16" t="str">
        <f aca="false">Payment_Log_AP!A398</f>
        <v>PAY40397</v>
      </c>
      <c r="B402" s="16" t="str">
        <f aca="false">Payment_Log_AP!C398</f>
        <v>V1018</v>
      </c>
      <c r="C402" s="17" t="n">
        <f aca="false">Payment_Log_AP!D398</f>
        <v>45966</v>
      </c>
      <c r="D402" s="18" t="n">
        <f aca="false">Payment_Log_AP!E398</f>
        <v>882.52</v>
      </c>
      <c r="E402" s="18" t="n">
        <f aca="false">IFERROR(INDEX(Bank_Statement!$C$2:$C$783,MATCH(A402,Bank_Statement!$E$2:$E$783,0)),"")</f>
        <v>-882.52</v>
      </c>
      <c r="F402" s="16" t="str">
        <f aca="false">IF(E402="","No","Yes")</f>
        <v>Yes</v>
      </c>
      <c r="G402" s="18" t="n">
        <f aca="false">IF(F402="No","N/A",D402-E402)</f>
        <v>1765.04</v>
      </c>
      <c r="H402" s="16" t="str">
        <f aca="false">IF(F402="No","Unmatched - Investigate",IF(ABS(D402-E402)&gt;Assumptions!$B$6,"Mismatch - Amount Differs","Matched"))</f>
        <v>Mismatch - Amount Differs</v>
      </c>
    </row>
    <row r="403" customFormat="false" ht="15" hidden="false" customHeight="false" outlineLevel="0" collapsed="false">
      <c r="A403" s="16" t="str">
        <f aca="false">Payment_Log_AP!A399</f>
        <v>PAY40398</v>
      </c>
      <c r="B403" s="16" t="str">
        <f aca="false">Payment_Log_AP!C399</f>
        <v>V1028</v>
      </c>
      <c r="C403" s="17" t="n">
        <f aca="false">Payment_Log_AP!D399</f>
        <v>46086</v>
      </c>
      <c r="D403" s="18" t="n">
        <f aca="false">Payment_Log_AP!E399</f>
        <v>3855.85</v>
      </c>
      <c r="E403" s="18" t="n">
        <f aca="false">IFERROR(INDEX(Bank_Statement!$C$2:$C$783,MATCH(A403,Bank_Statement!$E$2:$E$783,0)),"")</f>
        <v>-3855.85</v>
      </c>
      <c r="F403" s="16" t="str">
        <f aca="false">IF(E403="","No","Yes")</f>
        <v>Yes</v>
      </c>
      <c r="G403" s="18" t="n">
        <f aca="false">IF(F403="No","N/A",D403-E403)</f>
        <v>7711.7</v>
      </c>
      <c r="H403" s="16" t="str">
        <f aca="false">IF(F403="No","Unmatched - Investigate",IF(ABS(D403-E403)&gt;Assumptions!$B$6,"Mismatch - Amount Differs","Matched"))</f>
        <v>Mismatch - Amount Differs</v>
      </c>
    </row>
    <row r="404" customFormat="false" ht="15" hidden="false" customHeight="false" outlineLevel="0" collapsed="false">
      <c r="A404" s="16" t="str">
        <f aca="false">Payment_Log_AP!A400</f>
        <v>PAY40399</v>
      </c>
      <c r="B404" s="16" t="str">
        <f aca="false">Payment_Log_AP!C400</f>
        <v>V1027</v>
      </c>
      <c r="C404" s="17" t="n">
        <f aca="false">Payment_Log_AP!D400</f>
        <v>45939</v>
      </c>
      <c r="D404" s="18" t="n">
        <f aca="false">Payment_Log_AP!E400</f>
        <v>1396.94</v>
      </c>
      <c r="E404" s="18" t="n">
        <f aca="false">IFERROR(INDEX(Bank_Statement!$C$2:$C$783,MATCH(A404,Bank_Statement!$E$2:$E$783,0)),"")</f>
        <v>-1396.94</v>
      </c>
      <c r="F404" s="16" t="str">
        <f aca="false">IF(E404="","No","Yes")</f>
        <v>Yes</v>
      </c>
      <c r="G404" s="18" t="n">
        <f aca="false">IF(F404="No","N/A",D404-E404)</f>
        <v>2793.88</v>
      </c>
      <c r="H404" s="16" t="str">
        <f aca="false">IF(F404="No","Unmatched - Investigate",IF(ABS(D404-E404)&gt;Assumptions!$B$6,"Mismatch - Amount Differs","Matched"))</f>
        <v>Mismatch - Amount Differs</v>
      </c>
    </row>
    <row r="405" customFormat="false" ht="15" hidden="false" customHeight="false" outlineLevel="0" collapsed="false">
      <c r="A405" s="16" t="str">
        <f aca="false">Payment_Log_AP!A401</f>
        <v>PAY40400</v>
      </c>
      <c r="B405" s="16" t="str">
        <f aca="false">Payment_Log_AP!C401</f>
        <v>V1038</v>
      </c>
      <c r="C405" s="17" t="n">
        <f aca="false">Payment_Log_AP!D401</f>
        <v>45832</v>
      </c>
      <c r="D405" s="18" t="n">
        <f aca="false">Payment_Log_AP!E401</f>
        <v>1284.51</v>
      </c>
      <c r="E405" s="18" t="n">
        <f aca="false">IFERROR(INDEX(Bank_Statement!$C$2:$C$783,MATCH(A405,Bank_Statement!$E$2:$E$783,0)),"")</f>
        <v>-1284.51</v>
      </c>
      <c r="F405" s="16" t="str">
        <f aca="false">IF(E405="","No","Yes")</f>
        <v>Yes</v>
      </c>
      <c r="G405" s="18" t="n">
        <f aca="false">IF(F405="No","N/A",D405-E405)</f>
        <v>2569.02</v>
      </c>
      <c r="H405" s="16" t="str">
        <f aca="false">IF(F405="No","Unmatched - Investigate",IF(ABS(D405-E405)&gt;Assumptions!$B$6,"Mismatch - Amount Differs","Matched"))</f>
        <v>Mismatch - Amount Differs</v>
      </c>
    </row>
    <row r="406" customFormat="false" ht="15" hidden="false" customHeight="false" outlineLevel="0" collapsed="false">
      <c r="A406" s="16" t="str">
        <f aca="false">Payment_Log_AP!A402</f>
        <v>PAY40401</v>
      </c>
      <c r="B406" s="16" t="str">
        <f aca="false">Payment_Log_AP!C402</f>
        <v>V1030</v>
      </c>
      <c r="C406" s="17" t="n">
        <f aca="false">Payment_Log_AP!D402</f>
        <v>46149</v>
      </c>
      <c r="D406" s="18" t="n">
        <f aca="false">Payment_Log_AP!E402</f>
        <v>3088.46</v>
      </c>
      <c r="E406" s="18" t="n">
        <f aca="false">IFERROR(INDEX(Bank_Statement!$C$2:$C$783,MATCH(A406,Bank_Statement!$E$2:$E$783,0)),"")</f>
        <v>-3088.46</v>
      </c>
      <c r="F406" s="16" t="str">
        <f aca="false">IF(E406="","No","Yes")</f>
        <v>Yes</v>
      </c>
      <c r="G406" s="18" t="n">
        <f aca="false">IF(F406="No","N/A",D406-E406)</f>
        <v>6176.92</v>
      </c>
      <c r="H406" s="16" t="str">
        <f aca="false">IF(F406="No","Unmatched - Investigate",IF(ABS(D406-E406)&gt;Assumptions!$B$6,"Mismatch - Amount Differs","Matched"))</f>
        <v>Mismatch - Amount Differs</v>
      </c>
    </row>
    <row r="407" customFormat="false" ht="15" hidden="false" customHeight="false" outlineLevel="0" collapsed="false">
      <c r="A407" s="16" t="str">
        <f aca="false">Payment_Log_AP!A403</f>
        <v>PAY40402</v>
      </c>
      <c r="B407" s="16" t="str">
        <f aca="false">Payment_Log_AP!C403</f>
        <v>V1009</v>
      </c>
      <c r="C407" s="17" t="n">
        <f aca="false">Payment_Log_AP!D403</f>
        <v>45810</v>
      </c>
      <c r="D407" s="18" t="n">
        <f aca="false">Payment_Log_AP!E403</f>
        <v>3083.99</v>
      </c>
      <c r="E407" s="18" t="n">
        <f aca="false">IFERROR(INDEX(Bank_Statement!$C$2:$C$783,MATCH(A407,Bank_Statement!$E$2:$E$783,0)),"")</f>
        <v>-3083.99</v>
      </c>
      <c r="F407" s="16" t="str">
        <f aca="false">IF(E407="","No","Yes")</f>
        <v>Yes</v>
      </c>
      <c r="G407" s="18" t="n">
        <f aca="false">IF(F407="No","N/A",D407-E407)</f>
        <v>6167.98</v>
      </c>
      <c r="H407" s="16" t="str">
        <f aca="false">IF(F407="No","Unmatched - Investigate",IF(ABS(D407-E407)&gt;Assumptions!$B$6,"Mismatch - Amount Differs","Matched"))</f>
        <v>Mismatch - Amount Differs</v>
      </c>
    </row>
    <row r="408" customFormat="false" ht="15" hidden="false" customHeight="false" outlineLevel="0" collapsed="false">
      <c r="A408" s="16" t="str">
        <f aca="false">Payment_Log_AP!A404</f>
        <v>PAY40403</v>
      </c>
      <c r="B408" s="16" t="str">
        <f aca="false">Payment_Log_AP!C404</f>
        <v>V1019</v>
      </c>
      <c r="C408" s="17" t="n">
        <f aca="false">Payment_Log_AP!D404</f>
        <v>45903</v>
      </c>
      <c r="D408" s="18" t="n">
        <f aca="false">Payment_Log_AP!E404</f>
        <v>1846.25</v>
      </c>
      <c r="E408" s="18" t="n">
        <f aca="false">IFERROR(INDEX(Bank_Statement!$C$2:$C$783,MATCH(A408,Bank_Statement!$E$2:$E$783,0)),"")</f>
        <v>-1846.25</v>
      </c>
      <c r="F408" s="16" t="str">
        <f aca="false">IF(E408="","No","Yes")</f>
        <v>Yes</v>
      </c>
      <c r="G408" s="18" t="n">
        <f aca="false">IF(F408="No","N/A",D408-E408)</f>
        <v>3692.5</v>
      </c>
      <c r="H408" s="16" t="str">
        <f aca="false">IF(F408="No","Unmatched - Investigate",IF(ABS(D408-E408)&gt;Assumptions!$B$6,"Mismatch - Amount Differs","Matched"))</f>
        <v>Mismatch - Amount Differs</v>
      </c>
    </row>
    <row r="409" customFormat="false" ht="15" hidden="false" customHeight="false" outlineLevel="0" collapsed="false">
      <c r="A409" s="16" t="str">
        <f aca="false">Payment_Log_AP!A405</f>
        <v>PAY40404</v>
      </c>
      <c r="B409" s="16" t="str">
        <f aca="false">Payment_Log_AP!C405</f>
        <v>V1016</v>
      </c>
      <c r="C409" s="17" t="n">
        <f aca="false">Payment_Log_AP!D405</f>
        <v>46168</v>
      </c>
      <c r="D409" s="18" t="n">
        <f aca="false">Payment_Log_AP!E405</f>
        <v>4660.66</v>
      </c>
      <c r="E409" s="18" t="n">
        <f aca="false">IFERROR(INDEX(Bank_Statement!$C$2:$C$783,MATCH(A409,Bank_Statement!$E$2:$E$783,0)),"")</f>
        <v>-4660.66</v>
      </c>
      <c r="F409" s="16" t="str">
        <f aca="false">IF(E409="","No","Yes")</f>
        <v>Yes</v>
      </c>
      <c r="G409" s="18" t="n">
        <f aca="false">IF(F409="No","N/A",D409-E409)</f>
        <v>9321.32</v>
      </c>
      <c r="H409" s="16" t="str">
        <f aca="false">IF(F409="No","Unmatched - Investigate",IF(ABS(D409-E409)&gt;Assumptions!$B$6,"Mismatch - Amount Differs","Matched"))</f>
        <v>Mismatch - Amount Differs</v>
      </c>
    </row>
    <row r="410" customFormat="false" ht="15" hidden="false" customHeight="false" outlineLevel="0" collapsed="false">
      <c r="A410" s="16" t="str">
        <f aca="false">Payment_Log_AP!A406</f>
        <v>PAY40405</v>
      </c>
      <c r="B410" s="16" t="str">
        <f aca="false">Payment_Log_AP!C406</f>
        <v>V1011</v>
      </c>
      <c r="C410" s="17" t="n">
        <f aca="false">Payment_Log_AP!D406</f>
        <v>45854</v>
      </c>
      <c r="D410" s="18" t="n">
        <f aca="false">Payment_Log_AP!E406</f>
        <v>4354.54</v>
      </c>
      <c r="E410" s="18" t="n">
        <f aca="false">IFERROR(INDEX(Bank_Statement!$C$2:$C$783,MATCH(A410,Bank_Statement!$E$2:$E$783,0)),"")</f>
        <v>-4354.54</v>
      </c>
      <c r="F410" s="16" t="str">
        <f aca="false">IF(E410="","No","Yes")</f>
        <v>Yes</v>
      </c>
      <c r="G410" s="18" t="n">
        <f aca="false">IF(F410="No","N/A",D410-E410)</f>
        <v>8709.08</v>
      </c>
      <c r="H410" s="16" t="str">
        <f aca="false">IF(F410="No","Unmatched - Investigate",IF(ABS(D410-E410)&gt;Assumptions!$B$6,"Mismatch - Amount Differs","Matched"))</f>
        <v>Mismatch - Amount Differs</v>
      </c>
    </row>
    <row r="411" customFormat="false" ht="15" hidden="false" customHeight="false" outlineLevel="0" collapsed="false">
      <c r="A411" s="16" t="str">
        <f aca="false">Payment_Log_AP!A407</f>
        <v>PAY40406</v>
      </c>
      <c r="B411" s="16" t="str">
        <f aca="false">Payment_Log_AP!C407</f>
        <v>V1007</v>
      </c>
      <c r="C411" s="17" t="n">
        <f aca="false">Payment_Log_AP!D407</f>
        <v>46115</v>
      </c>
      <c r="D411" s="18" t="n">
        <f aca="false">Payment_Log_AP!E407</f>
        <v>1820.28</v>
      </c>
      <c r="E411" s="18" t="n">
        <f aca="false">IFERROR(INDEX(Bank_Statement!$C$2:$C$783,MATCH(A411,Bank_Statement!$E$2:$E$783,0)),"")</f>
        <v>-1820.28</v>
      </c>
      <c r="F411" s="16" t="str">
        <f aca="false">IF(E411="","No","Yes")</f>
        <v>Yes</v>
      </c>
      <c r="G411" s="18" t="n">
        <f aca="false">IF(F411="No","N/A",D411-E411)</f>
        <v>3640.56</v>
      </c>
      <c r="H411" s="16" t="str">
        <f aca="false">IF(F411="No","Unmatched - Investigate",IF(ABS(D411-E411)&gt;Assumptions!$B$6,"Mismatch - Amount Differs","Matched"))</f>
        <v>Mismatch - Amount Differs</v>
      </c>
    </row>
    <row r="412" customFormat="false" ht="15" hidden="false" customHeight="false" outlineLevel="0" collapsed="false">
      <c r="A412" s="16" t="str">
        <f aca="false">Payment_Log_AP!A408</f>
        <v>PAY40407</v>
      </c>
      <c r="B412" s="16" t="str">
        <f aca="false">Payment_Log_AP!C408</f>
        <v>V1013</v>
      </c>
      <c r="C412" s="17" t="n">
        <f aca="false">Payment_Log_AP!D408</f>
        <v>45983</v>
      </c>
      <c r="D412" s="18" t="n">
        <f aca="false">Payment_Log_AP!E408</f>
        <v>1334.13</v>
      </c>
      <c r="E412" s="18" t="n">
        <f aca="false">IFERROR(INDEX(Bank_Statement!$C$2:$C$783,MATCH(A412,Bank_Statement!$E$2:$E$783,0)),"")</f>
        <v>-1334.13</v>
      </c>
      <c r="F412" s="16" t="str">
        <f aca="false">IF(E412="","No","Yes")</f>
        <v>Yes</v>
      </c>
      <c r="G412" s="18" t="n">
        <f aca="false">IF(F412="No","N/A",D412-E412)</f>
        <v>2668.26</v>
      </c>
      <c r="H412" s="16" t="str">
        <f aca="false">IF(F412="No","Unmatched - Investigate",IF(ABS(D412-E412)&gt;Assumptions!$B$6,"Mismatch - Amount Differs","Matched"))</f>
        <v>Mismatch - Amount Differs</v>
      </c>
    </row>
    <row r="413" customFormat="false" ht="15" hidden="false" customHeight="false" outlineLevel="0" collapsed="false">
      <c r="A413" s="16" t="str">
        <f aca="false">Payment_Log_AP!A409</f>
        <v>PAY40408</v>
      </c>
      <c r="B413" s="16" t="str">
        <f aca="false">Payment_Log_AP!C409</f>
        <v>V1011</v>
      </c>
      <c r="C413" s="17" t="n">
        <f aca="false">Payment_Log_AP!D409</f>
        <v>46154</v>
      </c>
      <c r="D413" s="18" t="n">
        <f aca="false">Payment_Log_AP!E409</f>
        <v>2328.91</v>
      </c>
      <c r="E413" s="18" t="n">
        <f aca="false">IFERROR(INDEX(Bank_Statement!$C$2:$C$783,MATCH(A413,Bank_Statement!$E$2:$E$783,0)),"")</f>
        <v>-2328.91</v>
      </c>
      <c r="F413" s="16" t="str">
        <f aca="false">IF(E413="","No","Yes")</f>
        <v>Yes</v>
      </c>
      <c r="G413" s="18" t="n">
        <f aca="false">IF(F413="No","N/A",D413-E413)</f>
        <v>4657.82</v>
      </c>
      <c r="H413" s="16" t="str">
        <f aca="false">IF(F413="No","Unmatched - Investigate",IF(ABS(D413-E413)&gt;Assumptions!$B$6,"Mismatch - Amount Differs","Matched"))</f>
        <v>Mismatch - Amount Differs</v>
      </c>
    </row>
    <row r="414" customFormat="false" ht="15" hidden="false" customHeight="false" outlineLevel="0" collapsed="false">
      <c r="A414" s="16" t="str">
        <f aca="false">Payment_Log_AP!A410</f>
        <v>PAY40409</v>
      </c>
      <c r="B414" s="16" t="str">
        <f aca="false">Payment_Log_AP!C410</f>
        <v>V1036</v>
      </c>
      <c r="C414" s="17" t="n">
        <f aca="false">Payment_Log_AP!D410</f>
        <v>45843</v>
      </c>
      <c r="D414" s="18" t="n">
        <f aca="false">Payment_Log_AP!E410</f>
        <v>460.42</v>
      </c>
      <c r="E414" s="18" t="n">
        <f aca="false">IFERROR(INDEX(Bank_Statement!$C$2:$C$783,MATCH(A414,Bank_Statement!$E$2:$E$783,0)),"")</f>
        <v>-460.42</v>
      </c>
      <c r="F414" s="16" t="str">
        <f aca="false">IF(E414="","No","Yes")</f>
        <v>Yes</v>
      </c>
      <c r="G414" s="18" t="n">
        <f aca="false">IF(F414="No","N/A",D414-E414)</f>
        <v>920.84</v>
      </c>
      <c r="H414" s="16" t="str">
        <f aca="false">IF(F414="No","Unmatched - Investigate",IF(ABS(D414-E414)&gt;Assumptions!$B$6,"Mismatch - Amount Differs","Matched"))</f>
        <v>Mismatch - Amount Differs</v>
      </c>
    </row>
    <row r="415" customFormat="false" ht="15" hidden="false" customHeight="false" outlineLevel="0" collapsed="false">
      <c r="A415" s="16" t="str">
        <f aca="false">Payment_Log_AP!A411</f>
        <v>PAY40410</v>
      </c>
      <c r="B415" s="16" t="str">
        <f aca="false">Payment_Log_AP!C411</f>
        <v>V1030</v>
      </c>
      <c r="C415" s="17" t="n">
        <f aca="false">Payment_Log_AP!D411</f>
        <v>45849</v>
      </c>
      <c r="D415" s="18" t="n">
        <f aca="false">Payment_Log_AP!E411</f>
        <v>820.42</v>
      </c>
      <c r="E415" s="18" t="n">
        <f aca="false">IFERROR(INDEX(Bank_Statement!$C$2:$C$783,MATCH(A415,Bank_Statement!$E$2:$E$783,0)),"")</f>
        <v>-820.42</v>
      </c>
      <c r="F415" s="16" t="str">
        <f aca="false">IF(E415="","No","Yes")</f>
        <v>Yes</v>
      </c>
      <c r="G415" s="18" t="n">
        <f aca="false">IF(F415="No","N/A",D415-E415)</f>
        <v>1640.84</v>
      </c>
      <c r="H415" s="16" t="str">
        <f aca="false">IF(F415="No","Unmatched - Investigate",IF(ABS(D415-E415)&gt;Assumptions!$B$6,"Mismatch - Amount Differs","Matched"))</f>
        <v>Mismatch - Amount Differs</v>
      </c>
    </row>
    <row r="416" customFormat="false" ht="15" hidden="false" customHeight="false" outlineLevel="0" collapsed="false">
      <c r="A416" s="16" t="str">
        <f aca="false">Payment_Log_AP!A412</f>
        <v>PAY40411</v>
      </c>
      <c r="B416" s="16" t="str">
        <f aca="false">Payment_Log_AP!C412</f>
        <v>V1028</v>
      </c>
      <c r="C416" s="17" t="n">
        <f aca="false">Payment_Log_AP!D412</f>
        <v>46010</v>
      </c>
      <c r="D416" s="18" t="n">
        <f aca="false">Payment_Log_AP!E412</f>
        <v>1135.98</v>
      </c>
      <c r="E416" s="18" t="n">
        <f aca="false">IFERROR(INDEX(Bank_Statement!$C$2:$C$783,MATCH(A416,Bank_Statement!$E$2:$E$783,0)),"")</f>
        <v>-1135.98</v>
      </c>
      <c r="F416" s="16" t="str">
        <f aca="false">IF(E416="","No","Yes")</f>
        <v>Yes</v>
      </c>
      <c r="G416" s="18" t="n">
        <f aca="false">IF(F416="No","N/A",D416-E416)</f>
        <v>2271.96</v>
      </c>
      <c r="H416" s="16" t="str">
        <f aca="false">IF(F416="No","Unmatched - Investigate",IF(ABS(D416-E416)&gt;Assumptions!$B$6,"Mismatch - Amount Differs","Matched"))</f>
        <v>Mismatch - Amount Differs</v>
      </c>
    </row>
    <row r="417" customFormat="false" ht="15" hidden="false" customHeight="false" outlineLevel="0" collapsed="false">
      <c r="A417" s="16" t="str">
        <f aca="false">Payment_Log_AP!A413</f>
        <v>PAY40412</v>
      </c>
      <c r="B417" s="16" t="str">
        <f aca="false">Payment_Log_AP!C413</f>
        <v>V1028</v>
      </c>
      <c r="C417" s="17" t="n">
        <f aca="false">Payment_Log_AP!D413</f>
        <v>46012</v>
      </c>
      <c r="D417" s="18" t="n">
        <f aca="false">Payment_Log_AP!E413</f>
        <v>1135.98</v>
      </c>
      <c r="E417" s="18" t="n">
        <f aca="false">IFERROR(INDEX(Bank_Statement!$C$2:$C$783,MATCH(A417,Bank_Statement!$E$2:$E$783,0)),"")</f>
        <v>-1135.98</v>
      </c>
      <c r="F417" s="16" t="str">
        <f aca="false">IF(E417="","No","Yes")</f>
        <v>Yes</v>
      </c>
      <c r="G417" s="18" t="n">
        <f aca="false">IF(F417="No","N/A",D417-E417)</f>
        <v>2271.96</v>
      </c>
      <c r="H417" s="16" t="str">
        <f aca="false">IF(F417="No","Unmatched - Investigate",IF(ABS(D417-E417)&gt;Assumptions!$B$6,"Mismatch - Amount Differs","Matched"))</f>
        <v>Mismatch - Amount Differs</v>
      </c>
    </row>
    <row r="418" customFormat="false" ht="15" hidden="false" customHeight="false" outlineLevel="0" collapsed="false">
      <c r="A418" s="16" t="str">
        <f aca="false">Payment_Log_AP!A414</f>
        <v>PAY40413</v>
      </c>
      <c r="B418" s="16" t="str">
        <f aca="false">Payment_Log_AP!C414</f>
        <v>V1028</v>
      </c>
      <c r="C418" s="17" t="n">
        <f aca="false">Payment_Log_AP!D414</f>
        <v>46000</v>
      </c>
      <c r="D418" s="18" t="n">
        <f aca="false">Payment_Log_AP!E414</f>
        <v>1135.98</v>
      </c>
      <c r="E418" s="18" t="n">
        <f aca="false">IFERROR(INDEX(Bank_Statement!$C$2:$C$783,MATCH(A418,Bank_Statement!$E$2:$E$783,0)),"")</f>
        <v>-1135.98</v>
      </c>
      <c r="F418" s="16" t="str">
        <f aca="false">IF(E418="","No","Yes")</f>
        <v>Yes</v>
      </c>
      <c r="G418" s="18" t="n">
        <f aca="false">IF(F418="No","N/A",D418-E418)</f>
        <v>2271.96</v>
      </c>
      <c r="H418" s="16" t="str">
        <f aca="false">IF(F418="No","Unmatched - Investigate",IF(ABS(D418-E418)&gt;Assumptions!$B$6,"Mismatch - Amount Differs","Matched"))</f>
        <v>Mismatch - Amount Differs</v>
      </c>
    </row>
    <row r="419" customFormat="false" ht="15" hidden="false" customHeight="false" outlineLevel="0" collapsed="false">
      <c r="A419" s="16" t="str">
        <f aca="false">Payment_Log_AP!A415</f>
        <v>PAY40414</v>
      </c>
      <c r="B419" s="16" t="str">
        <f aca="false">Payment_Log_AP!C415</f>
        <v>V1001</v>
      </c>
      <c r="C419" s="17" t="n">
        <f aca="false">Payment_Log_AP!D415</f>
        <v>45949</v>
      </c>
      <c r="D419" s="18" t="n">
        <f aca="false">Payment_Log_AP!E415</f>
        <v>15313.53</v>
      </c>
      <c r="E419" s="18" t="n">
        <f aca="false">IFERROR(INDEX(Bank_Statement!$C$2:$C$783,MATCH(A419,Bank_Statement!$E$2:$E$783,0)),"")</f>
        <v>-15313.53</v>
      </c>
      <c r="F419" s="16" t="str">
        <f aca="false">IF(E419="","No","Yes")</f>
        <v>Yes</v>
      </c>
      <c r="G419" s="18" t="n">
        <f aca="false">IF(F419="No","N/A",D419-E419)</f>
        <v>30627.06</v>
      </c>
      <c r="H419" s="16" t="str">
        <f aca="false">IF(F419="No","Unmatched - Investigate",IF(ABS(D419-E419)&gt;Assumptions!$B$6,"Mismatch - Amount Differs","Matched"))</f>
        <v>Mismatch - Amount Differs</v>
      </c>
    </row>
    <row r="420" customFormat="false" ht="15" hidden="false" customHeight="false" outlineLevel="0" collapsed="false">
      <c r="A420" s="16" t="str">
        <f aca="false">Payment_Log_AP!A416</f>
        <v>PAY40415</v>
      </c>
      <c r="B420" s="16" t="str">
        <f aca="false">Payment_Log_AP!C416</f>
        <v>V1007</v>
      </c>
      <c r="C420" s="17" t="n">
        <f aca="false">Payment_Log_AP!D416</f>
        <v>45749</v>
      </c>
      <c r="D420" s="18" t="n">
        <f aca="false">Payment_Log_AP!E416</f>
        <v>653.1</v>
      </c>
      <c r="E420" s="18" t="n">
        <f aca="false">IFERROR(INDEX(Bank_Statement!$C$2:$C$783,MATCH(A420,Bank_Statement!$E$2:$E$783,0)),"")</f>
        <v>-653.1</v>
      </c>
      <c r="F420" s="16" t="str">
        <f aca="false">IF(E420="","No","Yes")</f>
        <v>Yes</v>
      </c>
      <c r="G420" s="18" t="n">
        <f aca="false">IF(F420="No","N/A",D420-E420)</f>
        <v>1306.2</v>
      </c>
      <c r="H420" s="16" t="str">
        <f aca="false">IF(F420="No","Unmatched - Investigate",IF(ABS(D420-E420)&gt;Assumptions!$B$6,"Mismatch - Amount Differs","Matched"))</f>
        <v>Mismatch - Amount Differs</v>
      </c>
    </row>
    <row r="421" customFormat="false" ht="15" hidden="false" customHeight="false" outlineLevel="0" collapsed="false">
      <c r="A421" s="16" t="str">
        <f aca="false">Payment_Log_AP!A417</f>
        <v>PAY40416</v>
      </c>
      <c r="B421" s="16" t="str">
        <f aca="false">Payment_Log_AP!C417</f>
        <v>V1008</v>
      </c>
      <c r="C421" s="17" t="n">
        <f aca="false">Payment_Log_AP!D417</f>
        <v>45985</v>
      </c>
      <c r="D421" s="18" t="n">
        <f aca="false">Payment_Log_AP!E417</f>
        <v>2324.66</v>
      </c>
      <c r="E421" s="18" t="n">
        <f aca="false">IFERROR(INDEX(Bank_Statement!$C$2:$C$783,MATCH(A421,Bank_Statement!$E$2:$E$783,0)),"")</f>
        <v>-2324.66</v>
      </c>
      <c r="F421" s="16" t="str">
        <f aca="false">IF(E421="","No","Yes")</f>
        <v>Yes</v>
      </c>
      <c r="G421" s="18" t="n">
        <f aca="false">IF(F421="No","N/A",D421-E421)</f>
        <v>4649.32</v>
      </c>
      <c r="H421" s="16" t="str">
        <f aca="false">IF(F421="No","Unmatched - Investigate",IF(ABS(D421-E421)&gt;Assumptions!$B$6,"Mismatch - Amount Differs","Matched"))</f>
        <v>Mismatch - Amount Differs</v>
      </c>
    </row>
    <row r="422" customFormat="false" ht="15" hidden="false" customHeight="false" outlineLevel="0" collapsed="false">
      <c r="A422" s="16" t="str">
        <f aca="false">Payment_Log_AP!A418</f>
        <v>PAY40417</v>
      </c>
      <c r="B422" s="16" t="str">
        <f aca="false">Payment_Log_AP!C418</f>
        <v>V1031</v>
      </c>
      <c r="C422" s="17" t="n">
        <f aca="false">Payment_Log_AP!D418</f>
        <v>45887</v>
      </c>
      <c r="D422" s="18" t="n">
        <f aca="false">Payment_Log_AP!E418</f>
        <v>1644.55</v>
      </c>
      <c r="E422" s="18" t="n">
        <f aca="false">IFERROR(INDEX(Bank_Statement!$C$2:$C$783,MATCH(A422,Bank_Statement!$E$2:$E$783,0)),"")</f>
        <v>-1644.55</v>
      </c>
      <c r="F422" s="16" t="str">
        <f aca="false">IF(E422="","No","Yes")</f>
        <v>Yes</v>
      </c>
      <c r="G422" s="18" t="n">
        <f aca="false">IF(F422="No","N/A",D422-E422)</f>
        <v>3289.1</v>
      </c>
      <c r="H422" s="16" t="str">
        <f aca="false">IF(F422="No","Unmatched - Investigate",IF(ABS(D422-E422)&gt;Assumptions!$B$6,"Mismatch - Amount Differs","Matched"))</f>
        <v>Mismatch - Amount Differs</v>
      </c>
    </row>
    <row r="423" customFormat="false" ht="15" hidden="false" customHeight="false" outlineLevel="0" collapsed="false">
      <c r="A423" s="16" t="str">
        <f aca="false">Payment_Log_AP!A419</f>
        <v>PAY40418</v>
      </c>
      <c r="B423" s="16" t="str">
        <f aca="false">Payment_Log_AP!C419</f>
        <v>V1031</v>
      </c>
      <c r="C423" s="17" t="n">
        <f aca="false">Payment_Log_AP!D419</f>
        <v>45890</v>
      </c>
      <c r="D423" s="18" t="n">
        <f aca="false">Payment_Log_AP!E419</f>
        <v>1644.55</v>
      </c>
      <c r="E423" s="18" t="n">
        <f aca="false">IFERROR(INDEX(Bank_Statement!$C$2:$C$783,MATCH(A423,Bank_Statement!$E$2:$E$783,0)),"")</f>
        <v>-1644.55</v>
      </c>
      <c r="F423" s="16" t="str">
        <f aca="false">IF(E423="","No","Yes")</f>
        <v>Yes</v>
      </c>
      <c r="G423" s="18" t="n">
        <f aca="false">IF(F423="No","N/A",D423-E423)</f>
        <v>3289.1</v>
      </c>
      <c r="H423" s="16" t="str">
        <f aca="false">IF(F423="No","Unmatched - Investigate",IF(ABS(D423-E423)&gt;Assumptions!$B$6,"Mismatch - Amount Differs","Matched"))</f>
        <v>Mismatch - Amount Differs</v>
      </c>
    </row>
    <row r="424" customFormat="false" ht="15" hidden="false" customHeight="false" outlineLevel="0" collapsed="false">
      <c r="A424" s="16" t="str">
        <f aca="false">Payment_Log_AP!A420</f>
        <v>PAY40419</v>
      </c>
      <c r="B424" s="16" t="str">
        <f aca="false">Payment_Log_AP!C420</f>
        <v>V1003</v>
      </c>
      <c r="C424" s="17" t="n">
        <f aca="false">Payment_Log_AP!D420</f>
        <v>45970</v>
      </c>
      <c r="D424" s="18" t="n">
        <f aca="false">Payment_Log_AP!E420</f>
        <v>236.77</v>
      </c>
      <c r="E424" s="18" t="n">
        <f aca="false">IFERROR(INDEX(Bank_Statement!$C$2:$C$783,MATCH(A424,Bank_Statement!$E$2:$E$783,0)),"")</f>
        <v>-236.77</v>
      </c>
      <c r="F424" s="16" t="str">
        <f aca="false">IF(E424="","No","Yes")</f>
        <v>Yes</v>
      </c>
      <c r="G424" s="18" t="n">
        <f aca="false">IF(F424="No","N/A",D424-E424)</f>
        <v>473.54</v>
      </c>
      <c r="H424" s="16" t="str">
        <f aca="false">IF(F424="No","Unmatched - Investigate",IF(ABS(D424-E424)&gt;Assumptions!$B$6,"Mismatch - Amount Differs","Matched"))</f>
        <v>Mismatch - Amount Differs</v>
      </c>
    </row>
    <row r="425" customFormat="false" ht="15" hidden="false" customHeight="false" outlineLevel="0" collapsed="false">
      <c r="A425" s="16" t="str">
        <f aca="false">Payment_Log_AP!A421</f>
        <v>PAY40420</v>
      </c>
      <c r="B425" s="16" t="str">
        <f aca="false">Payment_Log_AP!C421</f>
        <v>V1025</v>
      </c>
      <c r="C425" s="17" t="n">
        <f aca="false">Payment_Log_AP!D421</f>
        <v>45994</v>
      </c>
      <c r="D425" s="18" t="n">
        <f aca="false">Payment_Log_AP!E421</f>
        <v>1018.47</v>
      </c>
      <c r="E425" s="18" t="n">
        <f aca="false">IFERROR(INDEX(Bank_Statement!$C$2:$C$783,MATCH(A425,Bank_Statement!$E$2:$E$783,0)),"")</f>
        <v>-1018.47</v>
      </c>
      <c r="F425" s="16" t="str">
        <f aca="false">IF(E425="","No","Yes")</f>
        <v>Yes</v>
      </c>
      <c r="G425" s="18" t="n">
        <f aca="false">IF(F425="No","N/A",D425-E425)</f>
        <v>2036.94</v>
      </c>
      <c r="H425" s="16" t="str">
        <f aca="false">IF(F425="No","Unmatched - Investigate",IF(ABS(D425-E425)&gt;Assumptions!$B$6,"Mismatch - Amount Differs","Matched"))</f>
        <v>Mismatch - Amount Differs</v>
      </c>
    </row>
    <row r="426" customFormat="false" ht="15" hidden="false" customHeight="false" outlineLevel="0" collapsed="false">
      <c r="A426" s="16" t="str">
        <f aca="false">Payment_Log_AP!A422</f>
        <v>PAY40421</v>
      </c>
      <c r="B426" s="16" t="str">
        <f aca="false">Payment_Log_AP!C422</f>
        <v>V1024</v>
      </c>
      <c r="C426" s="17" t="n">
        <f aca="false">Payment_Log_AP!D422</f>
        <v>45930</v>
      </c>
      <c r="D426" s="18" t="n">
        <f aca="false">Payment_Log_AP!E422</f>
        <v>3142.38</v>
      </c>
      <c r="E426" s="18" t="n">
        <f aca="false">IFERROR(INDEX(Bank_Statement!$C$2:$C$783,MATCH(A426,Bank_Statement!$E$2:$E$783,0)),"")</f>
        <v>-3142.38</v>
      </c>
      <c r="F426" s="16" t="str">
        <f aca="false">IF(E426="","No","Yes")</f>
        <v>Yes</v>
      </c>
      <c r="G426" s="18" t="n">
        <f aca="false">IF(F426="No","N/A",D426-E426)</f>
        <v>6284.76</v>
      </c>
      <c r="H426" s="16" t="str">
        <f aca="false">IF(F426="No","Unmatched - Investigate",IF(ABS(D426-E426)&gt;Assumptions!$B$6,"Mismatch - Amount Differs","Matched"))</f>
        <v>Mismatch - Amount Differs</v>
      </c>
    </row>
    <row r="427" customFormat="false" ht="15" hidden="false" customHeight="false" outlineLevel="0" collapsed="false">
      <c r="A427" s="16" t="str">
        <f aca="false">Payment_Log_AP!A423</f>
        <v>PAY40422</v>
      </c>
      <c r="B427" s="16" t="str">
        <f aca="false">Payment_Log_AP!C423</f>
        <v>V1034</v>
      </c>
      <c r="C427" s="17" t="n">
        <f aca="false">Payment_Log_AP!D423</f>
        <v>45853</v>
      </c>
      <c r="D427" s="18" t="n">
        <f aca="false">Payment_Log_AP!E423</f>
        <v>2788.31</v>
      </c>
      <c r="E427" s="18" t="n">
        <f aca="false">IFERROR(INDEX(Bank_Statement!$C$2:$C$783,MATCH(A427,Bank_Statement!$E$2:$E$783,0)),"")</f>
        <v>-2788.31</v>
      </c>
      <c r="F427" s="16" t="str">
        <f aca="false">IF(E427="","No","Yes")</f>
        <v>Yes</v>
      </c>
      <c r="G427" s="18" t="n">
        <f aca="false">IF(F427="No","N/A",D427-E427)</f>
        <v>5576.62</v>
      </c>
      <c r="H427" s="16" t="str">
        <f aca="false">IF(F427="No","Unmatched - Investigate",IF(ABS(D427-E427)&gt;Assumptions!$B$6,"Mismatch - Amount Differs","Matched"))</f>
        <v>Mismatch - Amount Differs</v>
      </c>
    </row>
    <row r="428" customFormat="false" ht="15" hidden="false" customHeight="false" outlineLevel="0" collapsed="false">
      <c r="A428" s="16" t="str">
        <f aca="false">Payment_Log_AP!A424</f>
        <v>PAY40423</v>
      </c>
      <c r="B428" s="16" t="str">
        <f aca="false">Payment_Log_AP!C424</f>
        <v>V1022</v>
      </c>
      <c r="C428" s="17" t="n">
        <f aca="false">Payment_Log_AP!D424</f>
        <v>45796</v>
      </c>
      <c r="D428" s="18" t="n">
        <f aca="false">Payment_Log_AP!E424</f>
        <v>12520.7</v>
      </c>
      <c r="E428" s="18" t="n">
        <f aca="false">IFERROR(INDEX(Bank_Statement!$C$2:$C$783,MATCH(A428,Bank_Statement!$E$2:$E$783,0)),"")</f>
        <v>-12520.7</v>
      </c>
      <c r="F428" s="16" t="str">
        <f aca="false">IF(E428="","No","Yes")</f>
        <v>Yes</v>
      </c>
      <c r="G428" s="18" t="n">
        <f aca="false">IF(F428="No","N/A",D428-E428)</f>
        <v>25041.4</v>
      </c>
      <c r="H428" s="16" t="str">
        <f aca="false">IF(F428="No","Unmatched - Investigate",IF(ABS(D428-E428)&gt;Assumptions!$B$6,"Mismatch - Amount Differs","Matched"))</f>
        <v>Mismatch - Amount Differs</v>
      </c>
    </row>
    <row r="429" customFormat="false" ht="15" hidden="false" customHeight="false" outlineLevel="0" collapsed="false">
      <c r="A429" s="16" t="str">
        <f aca="false">Payment_Log_AP!A425</f>
        <v>PAY40424</v>
      </c>
      <c r="B429" s="16" t="str">
        <f aca="false">Payment_Log_AP!C425</f>
        <v>V1019</v>
      </c>
      <c r="C429" s="17" t="n">
        <f aca="false">Payment_Log_AP!D425</f>
        <v>46075</v>
      </c>
      <c r="D429" s="18" t="n">
        <f aca="false">Payment_Log_AP!E425</f>
        <v>1099.38</v>
      </c>
      <c r="E429" s="18" t="n">
        <f aca="false">IFERROR(INDEX(Bank_Statement!$C$2:$C$783,MATCH(A429,Bank_Statement!$E$2:$E$783,0)),"")</f>
        <v>-1099.38</v>
      </c>
      <c r="F429" s="16" t="str">
        <f aca="false">IF(E429="","No","Yes")</f>
        <v>Yes</v>
      </c>
      <c r="G429" s="18" t="n">
        <f aca="false">IF(F429="No","N/A",D429-E429)</f>
        <v>2198.76</v>
      </c>
      <c r="H429" s="16" t="str">
        <f aca="false">IF(F429="No","Unmatched - Investigate",IF(ABS(D429-E429)&gt;Assumptions!$B$6,"Mismatch - Amount Differs","Matched"))</f>
        <v>Mismatch - Amount Differs</v>
      </c>
    </row>
    <row r="430" customFormat="false" ht="15" hidden="false" customHeight="false" outlineLevel="0" collapsed="false">
      <c r="A430" s="16" t="str">
        <f aca="false">Payment_Log_AP!A426</f>
        <v>PAY40425</v>
      </c>
      <c r="B430" s="16" t="str">
        <f aca="false">Payment_Log_AP!C426</f>
        <v>V1023</v>
      </c>
      <c r="C430" s="17" t="n">
        <f aca="false">Payment_Log_AP!D426</f>
        <v>46018</v>
      </c>
      <c r="D430" s="18" t="n">
        <f aca="false">Payment_Log_AP!E426</f>
        <v>3207.79</v>
      </c>
      <c r="E430" s="18" t="n">
        <f aca="false">IFERROR(INDEX(Bank_Statement!$C$2:$C$783,MATCH(A430,Bank_Statement!$E$2:$E$783,0)),"")</f>
        <v>-3207.79</v>
      </c>
      <c r="F430" s="16" t="str">
        <f aca="false">IF(E430="","No","Yes")</f>
        <v>Yes</v>
      </c>
      <c r="G430" s="18" t="n">
        <f aca="false">IF(F430="No","N/A",D430-E430)</f>
        <v>6415.58</v>
      </c>
      <c r="H430" s="16" t="str">
        <f aca="false">IF(F430="No","Unmatched - Investigate",IF(ABS(D430-E430)&gt;Assumptions!$B$6,"Mismatch - Amount Differs","Matched"))</f>
        <v>Mismatch - Amount Differs</v>
      </c>
    </row>
    <row r="431" customFormat="false" ht="15" hidden="false" customHeight="false" outlineLevel="0" collapsed="false">
      <c r="A431" s="16" t="str">
        <f aca="false">Payment_Log_AP!A427</f>
        <v>PAY40426</v>
      </c>
      <c r="B431" s="16" t="str">
        <f aca="false">Payment_Log_AP!C427</f>
        <v>V1001</v>
      </c>
      <c r="C431" s="17" t="n">
        <f aca="false">Payment_Log_AP!D427</f>
        <v>45809</v>
      </c>
      <c r="D431" s="18" t="n">
        <f aca="false">Payment_Log_AP!E427</f>
        <v>182.59</v>
      </c>
      <c r="E431" s="18" t="n">
        <f aca="false">IFERROR(INDEX(Bank_Statement!$C$2:$C$783,MATCH(A431,Bank_Statement!$E$2:$E$783,0)),"")</f>
        <v>-182.59</v>
      </c>
      <c r="F431" s="16" t="str">
        <f aca="false">IF(E431="","No","Yes")</f>
        <v>Yes</v>
      </c>
      <c r="G431" s="18" t="n">
        <f aca="false">IF(F431="No","N/A",D431-E431)</f>
        <v>365.18</v>
      </c>
      <c r="H431" s="16" t="str">
        <f aca="false">IF(F431="No","Unmatched - Investigate",IF(ABS(D431-E431)&gt;Assumptions!$B$6,"Mismatch - Amount Differs","Matched"))</f>
        <v>Mismatch - Amount Differs</v>
      </c>
    </row>
    <row r="432" customFormat="false" ht="15" hidden="false" customHeight="false" outlineLevel="0" collapsed="false">
      <c r="A432" s="16" t="str">
        <f aca="false">Payment_Log_AP!A428</f>
        <v>PAY40427</v>
      </c>
      <c r="B432" s="16" t="str">
        <f aca="false">Payment_Log_AP!C428</f>
        <v>V1040</v>
      </c>
      <c r="C432" s="17" t="n">
        <f aca="false">Payment_Log_AP!D428</f>
        <v>46116</v>
      </c>
      <c r="D432" s="18" t="n">
        <f aca="false">Payment_Log_AP!E428</f>
        <v>1223.73</v>
      </c>
      <c r="E432" s="18" t="n">
        <f aca="false">IFERROR(INDEX(Bank_Statement!$C$2:$C$783,MATCH(A432,Bank_Statement!$E$2:$E$783,0)),"")</f>
        <v>-1223.73</v>
      </c>
      <c r="F432" s="16" t="str">
        <f aca="false">IF(E432="","No","Yes")</f>
        <v>Yes</v>
      </c>
      <c r="G432" s="18" t="n">
        <f aca="false">IF(F432="No","N/A",D432-E432)</f>
        <v>2447.46</v>
      </c>
      <c r="H432" s="16" t="str">
        <f aca="false">IF(F432="No","Unmatched - Investigate",IF(ABS(D432-E432)&gt;Assumptions!$B$6,"Mismatch - Amount Differs","Matched"))</f>
        <v>Mismatch - Amount Differs</v>
      </c>
    </row>
    <row r="433" customFormat="false" ht="15" hidden="false" customHeight="false" outlineLevel="0" collapsed="false">
      <c r="A433" s="16" t="str">
        <f aca="false">Payment_Log_AP!A429</f>
        <v>PAY40428</v>
      </c>
      <c r="B433" s="16" t="str">
        <f aca="false">Payment_Log_AP!C429</f>
        <v>V1015</v>
      </c>
      <c r="C433" s="17" t="n">
        <f aca="false">Payment_Log_AP!D429</f>
        <v>45709</v>
      </c>
      <c r="D433" s="18" t="n">
        <f aca="false">Payment_Log_AP!E429</f>
        <v>585.34</v>
      </c>
      <c r="E433" s="18" t="n">
        <f aca="false">IFERROR(INDEX(Bank_Statement!$C$2:$C$783,MATCH(A433,Bank_Statement!$E$2:$E$783,0)),"")</f>
        <v>-585.34</v>
      </c>
      <c r="F433" s="16" t="str">
        <f aca="false">IF(E433="","No","Yes")</f>
        <v>Yes</v>
      </c>
      <c r="G433" s="18" t="n">
        <f aca="false">IF(F433="No","N/A",D433-E433)</f>
        <v>1170.68</v>
      </c>
      <c r="H433" s="16" t="str">
        <f aca="false">IF(F433="No","Unmatched - Investigate",IF(ABS(D433-E433)&gt;Assumptions!$B$6,"Mismatch - Amount Differs","Matched"))</f>
        <v>Mismatch - Amount Differs</v>
      </c>
    </row>
    <row r="434" customFormat="false" ht="15" hidden="false" customHeight="false" outlineLevel="0" collapsed="false">
      <c r="A434" s="16" t="str">
        <f aca="false">Payment_Log_AP!A430</f>
        <v>PAY40429</v>
      </c>
      <c r="B434" s="16" t="str">
        <f aca="false">Payment_Log_AP!C430</f>
        <v>V1039</v>
      </c>
      <c r="C434" s="17" t="n">
        <f aca="false">Payment_Log_AP!D430</f>
        <v>46081</v>
      </c>
      <c r="D434" s="18" t="n">
        <f aca="false">Payment_Log_AP!E430</f>
        <v>40497.91</v>
      </c>
      <c r="E434" s="18" t="n">
        <f aca="false">IFERROR(INDEX(Bank_Statement!$C$2:$C$783,MATCH(A434,Bank_Statement!$E$2:$E$783,0)),"")</f>
        <v>-40497.91</v>
      </c>
      <c r="F434" s="16" t="str">
        <f aca="false">IF(E434="","No","Yes")</f>
        <v>Yes</v>
      </c>
      <c r="G434" s="18" t="n">
        <f aca="false">IF(F434="No","N/A",D434-E434)</f>
        <v>80995.82</v>
      </c>
      <c r="H434" s="16" t="str">
        <f aca="false">IF(F434="No","Unmatched - Investigate",IF(ABS(D434-E434)&gt;Assumptions!$B$6,"Mismatch - Amount Differs","Matched"))</f>
        <v>Mismatch - Amount Differs</v>
      </c>
    </row>
    <row r="435" customFormat="false" ht="15" hidden="false" customHeight="false" outlineLevel="0" collapsed="false">
      <c r="A435" s="16" t="str">
        <f aca="false">Payment_Log_AP!A431</f>
        <v>PAY40430</v>
      </c>
      <c r="B435" s="16" t="str">
        <f aca="false">Payment_Log_AP!C431</f>
        <v>V1016</v>
      </c>
      <c r="C435" s="17" t="n">
        <f aca="false">Payment_Log_AP!D431</f>
        <v>46051</v>
      </c>
      <c r="D435" s="18" t="n">
        <f aca="false">Payment_Log_AP!E431</f>
        <v>8071.8</v>
      </c>
      <c r="E435" s="18" t="n">
        <f aca="false">IFERROR(INDEX(Bank_Statement!$C$2:$C$783,MATCH(A435,Bank_Statement!$E$2:$E$783,0)),"")</f>
        <v>-8071.8</v>
      </c>
      <c r="F435" s="16" t="str">
        <f aca="false">IF(E435="","No","Yes")</f>
        <v>Yes</v>
      </c>
      <c r="G435" s="18" t="n">
        <f aca="false">IF(F435="No","N/A",D435-E435)</f>
        <v>16143.6</v>
      </c>
      <c r="H435" s="16" t="str">
        <f aca="false">IF(F435="No","Unmatched - Investigate",IF(ABS(D435-E435)&gt;Assumptions!$B$6,"Mismatch - Amount Differs","Matched"))</f>
        <v>Mismatch - Amount Differs</v>
      </c>
    </row>
    <row r="436" customFormat="false" ht="15" hidden="false" customHeight="false" outlineLevel="0" collapsed="false">
      <c r="A436" s="16" t="str">
        <f aca="false">Payment_Log_AP!A432</f>
        <v>PAY40431</v>
      </c>
      <c r="B436" s="16" t="str">
        <f aca="false">Payment_Log_AP!C432</f>
        <v>V1012</v>
      </c>
      <c r="C436" s="17" t="n">
        <f aca="false">Payment_Log_AP!D432</f>
        <v>45923</v>
      </c>
      <c r="D436" s="18" t="n">
        <f aca="false">Payment_Log_AP!E432</f>
        <v>1395.93</v>
      </c>
      <c r="E436" s="18" t="n">
        <f aca="false">IFERROR(INDEX(Bank_Statement!$C$2:$C$783,MATCH(A436,Bank_Statement!$E$2:$E$783,0)),"")</f>
        <v>-1395.93</v>
      </c>
      <c r="F436" s="16" t="str">
        <f aca="false">IF(E436="","No","Yes")</f>
        <v>Yes</v>
      </c>
      <c r="G436" s="18" t="n">
        <f aca="false">IF(F436="No","N/A",D436-E436)</f>
        <v>2791.86</v>
      </c>
      <c r="H436" s="16" t="str">
        <f aca="false">IF(F436="No","Unmatched - Investigate",IF(ABS(D436-E436)&gt;Assumptions!$B$6,"Mismatch - Amount Differs","Matched"))</f>
        <v>Mismatch - Amount Differs</v>
      </c>
    </row>
    <row r="437" customFormat="false" ht="15" hidden="false" customHeight="false" outlineLevel="0" collapsed="false">
      <c r="A437" s="16" t="str">
        <f aca="false">Payment_Log_AP!A433</f>
        <v>PAY40432</v>
      </c>
      <c r="B437" s="16" t="str">
        <f aca="false">Payment_Log_AP!C433</f>
        <v>V1019</v>
      </c>
      <c r="C437" s="17" t="n">
        <f aca="false">Payment_Log_AP!D433</f>
        <v>46055</v>
      </c>
      <c r="D437" s="18" t="n">
        <f aca="false">Payment_Log_AP!E433</f>
        <v>2578.48</v>
      </c>
      <c r="E437" s="18" t="n">
        <f aca="false">IFERROR(INDEX(Bank_Statement!$C$2:$C$783,MATCH(A437,Bank_Statement!$E$2:$E$783,0)),"")</f>
        <v>-2578.48</v>
      </c>
      <c r="F437" s="16" t="str">
        <f aca="false">IF(E437="","No","Yes")</f>
        <v>Yes</v>
      </c>
      <c r="G437" s="18" t="n">
        <f aca="false">IF(F437="No","N/A",D437-E437)</f>
        <v>5156.96</v>
      </c>
      <c r="H437" s="16" t="str">
        <f aca="false">IF(F437="No","Unmatched - Investigate",IF(ABS(D437-E437)&gt;Assumptions!$B$6,"Mismatch - Amount Differs","Matched"))</f>
        <v>Mismatch - Amount Differs</v>
      </c>
    </row>
    <row r="438" customFormat="false" ht="15" hidden="false" customHeight="false" outlineLevel="0" collapsed="false">
      <c r="A438" s="16" t="str">
        <f aca="false">Payment_Log_AP!A434</f>
        <v>PAY40433</v>
      </c>
      <c r="B438" s="16" t="str">
        <f aca="false">Payment_Log_AP!C434</f>
        <v>V1004</v>
      </c>
      <c r="C438" s="17" t="n">
        <f aca="false">Payment_Log_AP!D434</f>
        <v>46134</v>
      </c>
      <c r="D438" s="18" t="n">
        <f aca="false">Payment_Log_AP!E434</f>
        <v>891.87</v>
      </c>
      <c r="E438" s="18" t="n">
        <f aca="false">IFERROR(INDEX(Bank_Statement!$C$2:$C$783,MATCH(A438,Bank_Statement!$E$2:$E$783,0)),"")</f>
        <v>-891.87</v>
      </c>
      <c r="F438" s="16" t="str">
        <f aca="false">IF(E438="","No","Yes")</f>
        <v>Yes</v>
      </c>
      <c r="G438" s="18" t="n">
        <f aca="false">IF(F438="No","N/A",D438-E438)</f>
        <v>1783.74</v>
      </c>
      <c r="H438" s="16" t="str">
        <f aca="false">IF(F438="No","Unmatched - Investigate",IF(ABS(D438-E438)&gt;Assumptions!$B$6,"Mismatch - Amount Differs","Matched"))</f>
        <v>Mismatch - Amount Differs</v>
      </c>
    </row>
    <row r="439" customFormat="false" ht="15" hidden="false" customHeight="false" outlineLevel="0" collapsed="false">
      <c r="A439" s="16" t="str">
        <f aca="false">Payment_Log_AP!A435</f>
        <v>PAY40434</v>
      </c>
      <c r="B439" s="16" t="str">
        <f aca="false">Payment_Log_AP!C435</f>
        <v>V1006</v>
      </c>
      <c r="C439" s="17" t="n">
        <f aca="false">Payment_Log_AP!D435</f>
        <v>45965</v>
      </c>
      <c r="D439" s="18" t="n">
        <f aca="false">Payment_Log_AP!E435</f>
        <v>1155.61</v>
      </c>
      <c r="E439" s="18" t="n">
        <f aca="false">IFERROR(INDEX(Bank_Statement!$C$2:$C$783,MATCH(A439,Bank_Statement!$E$2:$E$783,0)),"")</f>
        <v>-1155.61</v>
      </c>
      <c r="F439" s="16" t="str">
        <f aca="false">IF(E439="","No","Yes")</f>
        <v>Yes</v>
      </c>
      <c r="G439" s="18" t="n">
        <f aca="false">IF(F439="No","N/A",D439-E439)</f>
        <v>2311.22</v>
      </c>
      <c r="H439" s="16" t="str">
        <f aca="false">IF(F439="No","Unmatched - Investigate",IF(ABS(D439-E439)&gt;Assumptions!$B$6,"Mismatch - Amount Differs","Matched"))</f>
        <v>Mismatch - Amount Differs</v>
      </c>
    </row>
    <row r="440" customFormat="false" ht="15" hidden="false" customHeight="false" outlineLevel="0" collapsed="false">
      <c r="A440" s="16" t="str">
        <f aca="false">Payment_Log_AP!A436</f>
        <v>PAY40435</v>
      </c>
      <c r="B440" s="16" t="str">
        <f aca="false">Payment_Log_AP!C436</f>
        <v>V1007</v>
      </c>
      <c r="C440" s="17" t="n">
        <f aca="false">Payment_Log_AP!D436</f>
        <v>45708</v>
      </c>
      <c r="D440" s="18" t="n">
        <f aca="false">Payment_Log_AP!E436</f>
        <v>542.8</v>
      </c>
      <c r="E440" s="18" t="n">
        <f aca="false">IFERROR(INDEX(Bank_Statement!$C$2:$C$783,MATCH(A440,Bank_Statement!$E$2:$E$783,0)),"")</f>
        <v>-542.8</v>
      </c>
      <c r="F440" s="16" t="str">
        <f aca="false">IF(E440="","No","Yes")</f>
        <v>Yes</v>
      </c>
      <c r="G440" s="18" t="n">
        <f aca="false">IF(F440="No","N/A",D440-E440)</f>
        <v>1085.6</v>
      </c>
      <c r="H440" s="16" t="str">
        <f aca="false">IF(F440="No","Unmatched - Investigate",IF(ABS(D440-E440)&gt;Assumptions!$B$6,"Mismatch - Amount Differs","Matched"))</f>
        <v>Mismatch - Amount Differs</v>
      </c>
    </row>
    <row r="441" customFormat="false" ht="15" hidden="false" customHeight="false" outlineLevel="0" collapsed="false">
      <c r="A441" s="16" t="str">
        <f aca="false">Payment_Log_AP!A437</f>
        <v>PAY40436</v>
      </c>
      <c r="B441" s="16" t="str">
        <f aca="false">Payment_Log_AP!C437</f>
        <v>V1021</v>
      </c>
      <c r="C441" s="17" t="n">
        <f aca="false">Payment_Log_AP!D437</f>
        <v>45983</v>
      </c>
      <c r="D441" s="18" t="n">
        <f aca="false">Payment_Log_AP!E437</f>
        <v>1208.25</v>
      </c>
      <c r="E441" s="18" t="n">
        <f aca="false">IFERROR(INDEX(Bank_Statement!$C$2:$C$783,MATCH(A441,Bank_Statement!$E$2:$E$783,0)),"")</f>
        <v>-1208.25</v>
      </c>
      <c r="F441" s="16" t="str">
        <f aca="false">IF(E441="","No","Yes")</f>
        <v>Yes</v>
      </c>
      <c r="G441" s="18" t="n">
        <f aca="false">IF(F441="No","N/A",D441-E441)</f>
        <v>2416.5</v>
      </c>
      <c r="H441" s="16" t="str">
        <f aca="false">IF(F441="No","Unmatched - Investigate",IF(ABS(D441-E441)&gt;Assumptions!$B$6,"Mismatch - Amount Differs","Matched"))</f>
        <v>Mismatch - Amount Differs</v>
      </c>
    </row>
    <row r="442" customFormat="false" ht="15" hidden="false" customHeight="false" outlineLevel="0" collapsed="false">
      <c r="A442" s="16" t="str">
        <f aca="false">Payment_Log_AP!A438</f>
        <v>PAY40437</v>
      </c>
      <c r="B442" s="16" t="str">
        <f aca="false">Payment_Log_AP!C438</f>
        <v>V1038</v>
      </c>
      <c r="C442" s="17" t="n">
        <f aca="false">Payment_Log_AP!D438</f>
        <v>46006</v>
      </c>
      <c r="D442" s="18" t="n">
        <f aca="false">Payment_Log_AP!E438</f>
        <v>1492.36</v>
      </c>
      <c r="E442" s="18" t="n">
        <f aca="false">IFERROR(INDEX(Bank_Statement!$C$2:$C$783,MATCH(A442,Bank_Statement!$E$2:$E$783,0)),"")</f>
        <v>-1492.36</v>
      </c>
      <c r="F442" s="16" t="str">
        <f aca="false">IF(E442="","No","Yes")</f>
        <v>Yes</v>
      </c>
      <c r="G442" s="18" t="n">
        <f aca="false">IF(F442="No","N/A",D442-E442)</f>
        <v>2984.72</v>
      </c>
      <c r="H442" s="16" t="str">
        <f aca="false">IF(F442="No","Unmatched - Investigate",IF(ABS(D442-E442)&gt;Assumptions!$B$6,"Mismatch - Amount Differs","Matched"))</f>
        <v>Mismatch - Amount Differs</v>
      </c>
    </row>
    <row r="443" customFormat="false" ht="15" hidden="false" customHeight="false" outlineLevel="0" collapsed="false">
      <c r="A443" s="16" t="str">
        <f aca="false">Payment_Log_AP!A439</f>
        <v>PAY40438</v>
      </c>
      <c r="B443" s="16" t="str">
        <f aca="false">Payment_Log_AP!C439</f>
        <v>V1013</v>
      </c>
      <c r="C443" s="17" t="n">
        <f aca="false">Payment_Log_AP!D439</f>
        <v>46165</v>
      </c>
      <c r="D443" s="18" t="n">
        <f aca="false">Payment_Log_AP!E439</f>
        <v>916.33</v>
      </c>
      <c r="E443" s="18" t="n">
        <f aca="false">IFERROR(INDEX(Bank_Statement!$C$2:$C$783,MATCH(A443,Bank_Statement!$E$2:$E$783,0)),"")</f>
        <v>-916.33</v>
      </c>
      <c r="F443" s="16" t="str">
        <f aca="false">IF(E443="","No","Yes")</f>
        <v>Yes</v>
      </c>
      <c r="G443" s="18" t="n">
        <f aca="false">IF(F443="No","N/A",D443-E443)</f>
        <v>1832.66</v>
      </c>
      <c r="H443" s="16" t="str">
        <f aca="false">IF(F443="No","Unmatched - Investigate",IF(ABS(D443-E443)&gt;Assumptions!$B$6,"Mismatch - Amount Differs","Matched"))</f>
        <v>Mismatch - Amount Differs</v>
      </c>
    </row>
    <row r="444" customFormat="false" ht="15" hidden="false" customHeight="false" outlineLevel="0" collapsed="false">
      <c r="A444" s="16" t="str">
        <f aca="false">Payment_Log_AP!A440</f>
        <v>PAY40439</v>
      </c>
      <c r="B444" s="16" t="str">
        <f aca="false">Payment_Log_AP!C440</f>
        <v>V1016</v>
      </c>
      <c r="C444" s="17" t="n">
        <f aca="false">Payment_Log_AP!D440</f>
        <v>46160</v>
      </c>
      <c r="D444" s="18" t="n">
        <f aca="false">Payment_Log_AP!E440</f>
        <v>13637.91</v>
      </c>
      <c r="E444" s="18" t="n">
        <f aca="false">IFERROR(INDEX(Bank_Statement!$C$2:$C$783,MATCH(A444,Bank_Statement!$E$2:$E$783,0)),"")</f>
        <v>-13637.91</v>
      </c>
      <c r="F444" s="16" t="str">
        <f aca="false">IF(E444="","No","Yes")</f>
        <v>Yes</v>
      </c>
      <c r="G444" s="18" t="n">
        <f aca="false">IF(F444="No","N/A",D444-E444)</f>
        <v>27275.82</v>
      </c>
      <c r="H444" s="16" t="str">
        <f aca="false">IF(F444="No","Unmatched - Investigate",IF(ABS(D444-E444)&gt;Assumptions!$B$6,"Mismatch - Amount Differs","Matched"))</f>
        <v>Mismatch - Amount Differs</v>
      </c>
    </row>
    <row r="445" customFormat="false" ht="15" hidden="false" customHeight="false" outlineLevel="0" collapsed="false">
      <c r="A445" s="16" t="str">
        <f aca="false">Payment_Log_AP!A441</f>
        <v>PAY40440</v>
      </c>
      <c r="B445" s="16" t="str">
        <f aca="false">Payment_Log_AP!C441</f>
        <v>V1004</v>
      </c>
      <c r="C445" s="17" t="n">
        <f aca="false">Payment_Log_AP!D441</f>
        <v>45927</v>
      </c>
      <c r="D445" s="18" t="n">
        <f aca="false">Payment_Log_AP!E441</f>
        <v>984.21</v>
      </c>
      <c r="E445" s="18" t="n">
        <f aca="false">IFERROR(INDEX(Bank_Statement!$C$2:$C$783,MATCH(A445,Bank_Statement!$E$2:$E$783,0)),"")</f>
        <v>-984.21</v>
      </c>
      <c r="F445" s="16" t="str">
        <f aca="false">IF(E445="","No","Yes")</f>
        <v>Yes</v>
      </c>
      <c r="G445" s="18" t="n">
        <f aca="false">IF(F445="No","N/A",D445-E445)</f>
        <v>1968.42</v>
      </c>
      <c r="H445" s="16" t="str">
        <f aca="false">IF(F445="No","Unmatched - Investigate",IF(ABS(D445-E445)&gt;Assumptions!$B$6,"Mismatch - Amount Differs","Matched"))</f>
        <v>Mismatch - Amount Differs</v>
      </c>
    </row>
    <row r="446" customFormat="false" ht="15" hidden="false" customHeight="false" outlineLevel="0" collapsed="false">
      <c r="A446" s="16" t="str">
        <f aca="false">Payment_Log_AP!A442</f>
        <v>PAY40441</v>
      </c>
      <c r="B446" s="16" t="str">
        <f aca="false">Payment_Log_AP!C442</f>
        <v>V1012</v>
      </c>
      <c r="C446" s="17" t="n">
        <f aca="false">Payment_Log_AP!D442</f>
        <v>45972</v>
      </c>
      <c r="D446" s="18" t="n">
        <f aca="false">Payment_Log_AP!E442</f>
        <v>2718.82</v>
      </c>
      <c r="E446" s="18" t="n">
        <f aca="false">IFERROR(INDEX(Bank_Statement!$C$2:$C$783,MATCH(A446,Bank_Statement!$E$2:$E$783,0)),"")</f>
        <v>-2718.82</v>
      </c>
      <c r="F446" s="16" t="str">
        <f aca="false">IF(E446="","No","Yes")</f>
        <v>Yes</v>
      </c>
      <c r="G446" s="18" t="n">
        <f aca="false">IF(F446="No","N/A",D446-E446)</f>
        <v>5437.64</v>
      </c>
      <c r="H446" s="16" t="str">
        <f aca="false">IF(F446="No","Unmatched - Investigate",IF(ABS(D446-E446)&gt;Assumptions!$B$6,"Mismatch - Amount Differs","Matched"))</f>
        <v>Mismatch - Amount Differs</v>
      </c>
    </row>
    <row r="447" customFormat="false" ht="15" hidden="false" customHeight="false" outlineLevel="0" collapsed="false">
      <c r="A447" s="16" t="str">
        <f aca="false">Payment_Log_AP!A443</f>
        <v>PAY40442</v>
      </c>
      <c r="B447" s="16" t="str">
        <f aca="false">Payment_Log_AP!C443</f>
        <v>V1014</v>
      </c>
      <c r="C447" s="17" t="n">
        <f aca="false">Payment_Log_AP!D443</f>
        <v>46036</v>
      </c>
      <c r="D447" s="18" t="n">
        <f aca="false">Payment_Log_AP!E443</f>
        <v>790.15</v>
      </c>
      <c r="E447" s="18" t="n">
        <f aca="false">IFERROR(INDEX(Bank_Statement!$C$2:$C$783,MATCH(A447,Bank_Statement!$E$2:$E$783,0)),"")</f>
        <v>-790.15</v>
      </c>
      <c r="F447" s="16" t="str">
        <f aca="false">IF(E447="","No","Yes")</f>
        <v>Yes</v>
      </c>
      <c r="G447" s="18" t="n">
        <f aca="false">IF(F447="No","N/A",D447-E447)</f>
        <v>1580.3</v>
      </c>
      <c r="H447" s="16" t="str">
        <f aca="false">IF(F447="No","Unmatched - Investigate",IF(ABS(D447-E447)&gt;Assumptions!$B$6,"Mismatch - Amount Differs","Matched"))</f>
        <v>Mismatch - Amount Differs</v>
      </c>
    </row>
    <row r="448" customFormat="false" ht="15" hidden="false" customHeight="false" outlineLevel="0" collapsed="false">
      <c r="A448" s="16" t="str">
        <f aca="false">Payment_Log_AP!A444</f>
        <v>PAY40443</v>
      </c>
      <c r="B448" s="16" t="str">
        <f aca="false">Payment_Log_AP!C444</f>
        <v>V1009</v>
      </c>
      <c r="C448" s="17" t="n">
        <f aca="false">Payment_Log_AP!D444</f>
        <v>45775</v>
      </c>
      <c r="D448" s="18" t="n">
        <f aca="false">Payment_Log_AP!E444</f>
        <v>2141.21</v>
      </c>
      <c r="E448" s="18" t="n">
        <f aca="false">IFERROR(INDEX(Bank_Statement!$C$2:$C$783,MATCH(A448,Bank_Statement!$E$2:$E$783,0)),"")</f>
        <v>-2141.21</v>
      </c>
      <c r="F448" s="16" t="str">
        <f aca="false">IF(E448="","No","Yes")</f>
        <v>Yes</v>
      </c>
      <c r="G448" s="18" t="n">
        <f aca="false">IF(F448="No","N/A",D448-E448)</f>
        <v>4282.42</v>
      </c>
      <c r="H448" s="16" t="str">
        <f aca="false">IF(F448="No","Unmatched - Investigate",IF(ABS(D448-E448)&gt;Assumptions!$B$6,"Mismatch - Amount Differs","Matched"))</f>
        <v>Mismatch - Amount Differs</v>
      </c>
    </row>
    <row r="449" customFormat="false" ht="15" hidden="false" customHeight="false" outlineLevel="0" collapsed="false">
      <c r="A449" s="16" t="str">
        <f aca="false">Payment_Log_AP!A445</f>
        <v>PAY40444</v>
      </c>
      <c r="B449" s="16" t="str">
        <f aca="false">Payment_Log_AP!C445</f>
        <v>V1010</v>
      </c>
      <c r="C449" s="17" t="n">
        <f aca="false">Payment_Log_AP!D445</f>
        <v>45955</v>
      </c>
      <c r="D449" s="18" t="n">
        <f aca="false">Payment_Log_AP!E445</f>
        <v>506.73</v>
      </c>
      <c r="E449" s="18" t="n">
        <f aca="false">IFERROR(INDEX(Bank_Statement!$C$2:$C$783,MATCH(A449,Bank_Statement!$E$2:$E$783,0)),"")</f>
        <v>-506.73</v>
      </c>
      <c r="F449" s="16" t="str">
        <f aca="false">IF(E449="","No","Yes")</f>
        <v>Yes</v>
      </c>
      <c r="G449" s="18" t="n">
        <f aca="false">IF(F449="No","N/A",D449-E449)</f>
        <v>1013.46</v>
      </c>
      <c r="H449" s="16" t="str">
        <f aca="false">IF(F449="No","Unmatched - Investigate",IF(ABS(D449-E449)&gt;Assumptions!$B$6,"Mismatch - Amount Differs","Matched"))</f>
        <v>Mismatch - Amount Differs</v>
      </c>
    </row>
    <row r="450" customFormat="false" ht="15" hidden="false" customHeight="false" outlineLevel="0" collapsed="false">
      <c r="A450" s="16" t="str">
        <f aca="false">Payment_Log_AP!A446</f>
        <v>PAY40445</v>
      </c>
      <c r="B450" s="16" t="str">
        <f aca="false">Payment_Log_AP!C446</f>
        <v>V1010</v>
      </c>
      <c r="C450" s="17" t="n">
        <f aca="false">Payment_Log_AP!D446</f>
        <v>45938</v>
      </c>
      <c r="D450" s="18" t="n">
        <f aca="false">Payment_Log_AP!E446</f>
        <v>426.29</v>
      </c>
      <c r="E450" s="18" t="n">
        <f aca="false">IFERROR(INDEX(Bank_Statement!$C$2:$C$783,MATCH(A450,Bank_Statement!$E$2:$E$783,0)),"")</f>
        <v>-426.29</v>
      </c>
      <c r="F450" s="16" t="str">
        <f aca="false">IF(E450="","No","Yes")</f>
        <v>Yes</v>
      </c>
      <c r="G450" s="18" t="n">
        <f aca="false">IF(F450="No","N/A",D450-E450)</f>
        <v>852.58</v>
      </c>
      <c r="H450" s="16" t="str">
        <f aca="false">IF(F450="No","Unmatched - Investigate",IF(ABS(D450-E450)&gt;Assumptions!$B$6,"Mismatch - Amount Differs","Matched"))</f>
        <v>Mismatch - Amount Differs</v>
      </c>
    </row>
    <row r="451" customFormat="false" ht="15" hidden="false" customHeight="false" outlineLevel="0" collapsed="false">
      <c r="A451" s="16" t="str">
        <f aca="false">Payment_Log_AP!A447</f>
        <v>PAY40446</v>
      </c>
      <c r="B451" s="16" t="str">
        <f aca="false">Payment_Log_AP!C447</f>
        <v>V1030</v>
      </c>
      <c r="C451" s="17" t="n">
        <f aca="false">Payment_Log_AP!D447</f>
        <v>45863</v>
      </c>
      <c r="D451" s="18" t="n">
        <f aca="false">Payment_Log_AP!E447</f>
        <v>3958.3</v>
      </c>
      <c r="E451" s="18" t="n">
        <f aca="false">IFERROR(INDEX(Bank_Statement!$C$2:$C$783,MATCH(A451,Bank_Statement!$E$2:$E$783,0)),"")</f>
        <v>-3958.3</v>
      </c>
      <c r="F451" s="16" t="str">
        <f aca="false">IF(E451="","No","Yes")</f>
        <v>Yes</v>
      </c>
      <c r="G451" s="18" t="n">
        <f aca="false">IF(F451="No","N/A",D451-E451)</f>
        <v>7916.6</v>
      </c>
      <c r="H451" s="16" t="str">
        <f aca="false">IF(F451="No","Unmatched - Investigate",IF(ABS(D451-E451)&gt;Assumptions!$B$6,"Mismatch - Amount Differs","Matched"))</f>
        <v>Mismatch - Amount Differs</v>
      </c>
    </row>
    <row r="452" customFormat="false" ht="15" hidden="false" customHeight="false" outlineLevel="0" collapsed="false">
      <c r="A452" s="16" t="str">
        <f aca="false">Payment_Log_AP!A448</f>
        <v>PAY40447</v>
      </c>
      <c r="B452" s="16" t="str">
        <f aca="false">Payment_Log_AP!C448</f>
        <v>V1025</v>
      </c>
      <c r="C452" s="17" t="n">
        <f aca="false">Payment_Log_AP!D448</f>
        <v>46070</v>
      </c>
      <c r="D452" s="18" t="n">
        <f aca="false">Payment_Log_AP!E448</f>
        <v>3426.38</v>
      </c>
      <c r="E452" s="18" t="n">
        <f aca="false">IFERROR(INDEX(Bank_Statement!$C$2:$C$783,MATCH(A452,Bank_Statement!$E$2:$E$783,0)),"")</f>
        <v>-3426.38</v>
      </c>
      <c r="F452" s="16" t="str">
        <f aca="false">IF(E452="","No","Yes")</f>
        <v>Yes</v>
      </c>
      <c r="G452" s="18" t="n">
        <f aca="false">IF(F452="No","N/A",D452-E452)</f>
        <v>6852.76</v>
      </c>
      <c r="H452" s="16" t="str">
        <f aca="false">IF(F452="No","Unmatched - Investigate",IF(ABS(D452-E452)&gt;Assumptions!$B$6,"Mismatch - Amount Differs","Matched"))</f>
        <v>Mismatch - Amount Differs</v>
      </c>
    </row>
    <row r="453" customFormat="false" ht="15" hidden="false" customHeight="false" outlineLevel="0" collapsed="false">
      <c r="A453" s="16" t="str">
        <f aca="false">Payment_Log_AP!A449</f>
        <v>PAY40448</v>
      </c>
      <c r="B453" s="16" t="str">
        <f aca="false">Payment_Log_AP!C449</f>
        <v>V1033</v>
      </c>
      <c r="C453" s="17" t="n">
        <f aca="false">Payment_Log_AP!D449</f>
        <v>46034</v>
      </c>
      <c r="D453" s="18" t="n">
        <f aca="false">Payment_Log_AP!E449</f>
        <v>663.66</v>
      </c>
      <c r="E453" s="18" t="n">
        <f aca="false">IFERROR(INDEX(Bank_Statement!$C$2:$C$783,MATCH(A453,Bank_Statement!$E$2:$E$783,0)),"")</f>
        <v>-663.66</v>
      </c>
      <c r="F453" s="16" t="str">
        <f aca="false">IF(E453="","No","Yes")</f>
        <v>Yes</v>
      </c>
      <c r="G453" s="18" t="n">
        <f aca="false">IF(F453="No","N/A",D453-E453)</f>
        <v>1327.32</v>
      </c>
      <c r="H453" s="16" t="str">
        <f aca="false">IF(F453="No","Unmatched - Investigate",IF(ABS(D453-E453)&gt;Assumptions!$B$6,"Mismatch - Amount Differs","Matched"))</f>
        <v>Mismatch - Amount Differs</v>
      </c>
    </row>
    <row r="454" customFormat="false" ht="15" hidden="false" customHeight="false" outlineLevel="0" collapsed="false">
      <c r="A454" s="16" t="str">
        <f aca="false">Payment_Log_AP!A450</f>
        <v>PAY40449</v>
      </c>
      <c r="B454" s="16" t="str">
        <f aca="false">Payment_Log_AP!C450</f>
        <v>V1010</v>
      </c>
      <c r="C454" s="17" t="n">
        <f aca="false">Payment_Log_AP!D450</f>
        <v>46146</v>
      </c>
      <c r="D454" s="18" t="n">
        <f aca="false">Payment_Log_AP!E450</f>
        <v>980.08</v>
      </c>
      <c r="E454" s="18" t="n">
        <f aca="false">IFERROR(INDEX(Bank_Statement!$C$2:$C$783,MATCH(A454,Bank_Statement!$E$2:$E$783,0)),"")</f>
        <v>-980.08</v>
      </c>
      <c r="F454" s="16" t="str">
        <f aca="false">IF(E454="","No","Yes")</f>
        <v>Yes</v>
      </c>
      <c r="G454" s="18" t="n">
        <f aca="false">IF(F454="No","N/A",D454-E454)</f>
        <v>1960.16</v>
      </c>
      <c r="H454" s="16" t="str">
        <f aca="false">IF(F454="No","Unmatched - Investigate",IF(ABS(D454-E454)&gt;Assumptions!$B$6,"Mismatch - Amount Differs","Matched"))</f>
        <v>Mismatch - Amount Differs</v>
      </c>
    </row>
    <row r="455" customFormat="false" ht="15" hidden="false" customHeight="false" outlineLevel="0" collapsed="false">
      <c r="A455" s="16" t="str">
        <f aca="false">Payment_Log_AP!A451</f>
        <v>PAY40450</v>
      </c>
      <c r="B455" s="16" t="str">
        <f aca="false">Payment_Log_AP!C451</f>
        <v>V1004</v>
      </c>
      <c r="C455" s="17" t="n">
        <f aca="false">Payment_Log_AP!D451</f>
        <v>46166</v>
      </c>
      <c r="D455" s="18" t="n">
        <f aca="false">Payment_Log_AP!E451</f>
        <v>2579.28</v>
      </c>
      <c r="E455" s="18" t="n">
        <f aca="false">IFERROR(INDEX(Bank_Statement!$C$2:$C$783,MATCH(A455,Bank_Statement!$E$2:$E$783,0)),"")</f>
        <v>-2579.28</v>
      </c>
      <c r="F455" s="16" t="str">
        <f aca="false">IF(E455="","No","Yes")</f>
        <v>Yes</v>
      </c>
      <c r="G455" s="18" t="n">
        <f aca="false">IF(F455="No","N/A",D455-E455)</f>
        <v>5158.56</v>
      </c>
      <c r="H455" s="16" t="str">
        <f aca="false">IF(F455="No","Unmatched - Investigate",IF(ABS(D455-E455)&gt;Assumptions!$B$6,"Mismatch - Amount Differs","Matched"))</f>
        <v>Mismatch - Amount Differs</v>
      </c>
    </row>
    <row r="456" customFormat="false" ht="15" hidden="false" customHeight="false" outlineLevel="0" collapsed="false">
      <c r="A456" s="16" t="str">
        <f aca="false">Payment_Log_AP!A452</f>
        <v>PAY40451</v>
      </c>
      <c r="B456" s="16" t="str">
        <f aca="false">Payment_Log_AP!C452</f>
        <v>V1029</v>
      </c>
      <c r="C456" s="17" t="n">
        <f aca="false">Payment_Log_AP!D452</f>
        <v>45905</v>
      </c>
      <c r="D456" s="18" t="n">
        <f aca="false">Payment_Log_AP!E452</f>
        <v>3221.77</v>
      </c>
      <c r="E456" s="18" t="n">
        <f aca="false">IFERROR(INDEX(Bank_Statement!$C$2:$C$783,MATCH(A456,Bank_Statement!$E$2:$E$783,0)),"")</f>
        <v>-3221.77</v>
      </c>
      <c r="F456" s="16" t="str">
        <f aca="false">IF(E456="","No","Yes")</f>
        <v>Yes</v>
      </c>
      <c r="G456" s="18" t="n">
        <f aca="false">IF(F456="No","N/A",D456-E456)</f>
        <v>6443.54</v>
      </c>
      <c r="H456" s="16" t="str">
        <f aca="false">IF(F456="No","Unmatched - Investigate",IF(ABS(D456-E456)&gt;Assumptions!$B$6,"Mismatch - Amount Differs","Matched"))</f>
        <v>Mismatch - Amount Differs</v>
      </c>
    </row>
    <row r="457" customFormat="false" ht="15" hidden="false" customHeight="false" outlineLevel="0" collapsed="false">
      <c r="A457" s="16" t="str">
        <f aca="false">Payment_Log_AP!A453</f>
        <v>PAY40452</v>
      </c>
      <c r="B457" s="16" t="str">
        <f aca="false">Payment_Log_AP!C453</f>
        <v>V1029</v>
      </c>
      <c r="C457" s="17" t="n">
        <f aca="false">Payment_Log_AP!D453</f>
        <v>45841</v>
      </c>
      <c r="D457" s="18" t="n">
        <f aca="false">Payment_Log_AP!E453</f>
        <v>130.66</v>
      </c>
      <c r="E457" s="18" t="n">
        <f aca="false">IFERROR(INDEX(Bank_Statement!$C$2:$C$783,MATCH(A457,Bank_Statement!$E$2:$E$783,0)),"")</f>
        <v>-130.66</v>
      </c>
      <c r="F457" s="16" t="str">
        <f aca="false">IF(E457="","No","Yes")</f>
        <v>Yes</v>
      </c>
      <c r="G457" s="18" t="n">
        <f aca="false">IF(F457="No","N/A",D457-E457)</f>
        <v>261.32</v>
      </c>
      <c r="H457" s="16" t="str">
        <f aca="false">IF(F457="No","Unmatched - Investigate",IF(ABS(D457-E457)&gt;Assumptions!$B$6,"Mismatch - Amount Differs","Matched"))</f>
        <v>Mismatch - Amount Differs</v>
      </c>
    </row>
    <row r="458" customFormat="false" ht="15" hidden="false" customHeight="false" outlineLevel="0" collapsed="false">
      <c r="A458" s="16" t="str">
        <f aca="false">Payment_Log_AP!A454</f>
        <v>PAY40453</v>
      </c>
      <c r="B458" s="16" t="str">
        <f aca="false">Payment_Log_AP!C454</f>
        <v>V1014</v>
      </c>
      <c r="C458" s="17" t="n">
        <f aca="false">Payment_Log_AP!D454</f>
        <v>46086</v>
      </c>
      <c r="D458" s="18" t="n">
        <f aca="false">Payment_Log_AP!E454</f>
        <v>1768.65</v>
      </c>
      <c r="E458" s="18" t="n">
        <f aca="false">IFERROR(INDEX(Bank_Statement!$C$2:$C$783,MATCH(A458,Bank_Statement!$E$2:$E$783,0)),"")</f>
        <v>-1768.65</v>
      </c>
      <c r="F458" s="16" t="str">
        <f aca="false">IF(E458="","No","Yes")</f>
        <v>Yes</v>
      </c>
      <c r="G458" s="18" t="n">
        <f aca="false">IF(F458="No","N/A",D458-E458)</f>
        <v>3537.3</v>
      </c>
      <c r="H458" s="16" t="str">
        <f aca="false">IF(F458="No","Unmatched - Investigate",IF(ABS(D458-E458)&gt;Assumptions!$B$6,"Mismatch - Amount Differs","Matched"))</f>
        <v>Mismatch - Amount Differs</v>
      </c>
    </row>
    <row r="459" customFormat="false" ht="15" hidden="false" customHeight="false" outlineLevel="0" collapsed="false">
      <c r="A459" s="16" t="str">
        <f aca="false">Payment_Log_AP!A455</f>
        <v>PAY40454</v>
      </c>
      <c r="B459" s="16" t="str">
        <f aca="false">Payment_Log_AP!C455</f>
        <v>V1034</v>
      </c>
      <c r="C459" s="17" t="n">
        <f aca="false">Payment_Log_AP!D455</f>
        <v>46116</v>
      </c>
      <c r="D459" s="18" t="n">
        <f aca="false">Payment_Log_AP!E455</f>
        <v>359.03</v>
      </c>
      <c r="E459" s="18" t="n">
        <f aca="false">IFERROR(INDEX(Bank_Statement!$C$2:$C$783,MATCH(A459,Bank_Statement!$E$2:$E$783,0)),"")</f>
        <v>-359.03</v>
      </c>
      <c r="F459" s="16" t="str">
        <f aca="false">IF(E459="","No","Yes")</f>
        <v>Yes</v>
      </c>
      <c r="G459" s="18" t="n">
        <f aca="false">IF(F459="No","N/A",D459-E459)</f>
        <v>718.06</v>
      </c>
      <c r="H459" s="16" t="str">
        <f aca="false">IF(F459="No","Unmatched - Investigate",IF(ABS(D459-E459)&gt;Assumptions!$B$6,"Mismatch - Amount Differs","Matched"))</f>
        <v>Mismatch - Amount Differs</v>
      </c>
    </row>
    <row r="460" customFormat="false" ht="15" hidden="false" customHeight="false" outlineLevel="0" collapsed="false">
      <c r="A460" s="16" t="str">
        <f aca="false">Payment_Log_AP!A456</f>
        <v>PAY40455</v>
      </c>
      <c r="B460" s="16" t="str">
        <f aca="false">Payment_Log_AP!C456</f>
        <v>V1017</v>
      </c>
      <c r="C460" s="17" t="n">
        <f aca="false">Payment_Log_AP!D456</f>
        <v>46155</v>
      </c>
      <c r="D460" s="18" t="n">
        <f aca="false">Payment_Log_AP!E456</f>
        <v>2508.58</v>
      </c>
      <c r="E460" s="18" t="n">
        <f aca="false">IFERROR(INDEX(Bank_Statement!$C$2:$C$783,MATCH(A460,Bank_Statement!$E$2:$E$783,0)),"")</f>
        <v>-2508.58</v>
      </c>
      <c r="F460" s="16" t="str">
        <f aca="false">IF(E460="","No","Yes")</f>
        <v>Yes</v>
      </c>
      <c r="G460" s="18" t="n">
        <f aca="false">IF(F460="No","N/A",D460-E460)</f>
        <v>5017.16</v>
      </c>
      <c r="H460" s="16" t="str">
        <f aca="false">IF(F460="No","Unmatched - Investigate",IF(ABS(D460-E460)&gt;Assumptions!$B$6,"Mismatch - Amount Differs","Matched"))</f>
        <v>Mismatch - Amount Differs</v>
      </c>
    </row>
    <row r="461" customFormat="false" ht="15" hidden="false" customHeight="false" outlineLevel="0" collapsed="false">
      <c r="A461" s="16" t="str">
        <f aca="false">Payment_Log_AP!A457</f>
        <v>PAY40456</v>
      </c>
      <c r="B461" s="16" t="str">
        <f aca="false">Payment_Log_AP!C457</f>
        <v>V1010</v>
      </c>
      <c r="C461" s="17" t="n">
        <f aca="false">Payment_Log_AP!D457</f>
        <v>45740</v>
      </c>
      <c r="D461" s="18" t="n">
        <f aca="false">Payment_Log_AP!E457</f>
        <v>1846.15</v>
      </c>
      <c r="E461" s="18" t="n">
        <f aca="false">IFERROR(INDEX(Bank_Statement!$C$2:$C$783,MATCH(A461,Bank_Statement!$E$2:$E$783,0)),"")</f>
        <v>-1846.15</v>
      </c>
      <c r="F461" s="16" t="str">
        <f aca="false">IF(E461="","No","Yes")</f>
        <v>Yes</v>
      </c>
      <c r="G461" s="18" t="n">
        <f aca="false">IF(F461="No","N/A",D461-E461)</f>
        <v>3692.3</v>
      </c>
      <c r="H461" s="16" t="str">
        <f aca="false">IF(F461="No","Unmatched - Investigate",IF(ABS(D461-E461)&gt;Assumptions!$B$6,"Mismatch - Amount Differs","Matched"))</f>
        <v>Mismatch - Amount Differs</v>
      </c>
    </row>
    <row r="462" customFormat="false" ht="15" hidden="false" customHeight="false" outlineLevel="0" collapsed="false">
      <c r="A462" s="16" t="str">
        <f aca="false">Payment_Log_AP!A458</f>
        <v>PAY40457</v>
      </c>
      <c r="B462" s="16" t="str">
        <f aca="false">Payment_Log_AP!C458</f>
        <v>V1018</v>
      </c>
      <c r="C462" s="17" t="n">
        <f aca="false">Payment_Log_AP!D458</f>
        <v>46041</v>
      </c>
      <c r="D462" s="18" t="n">
        <f aca="false">Payment_Log_AP!E458</f>
        <v>1888.25</v>
      </c>
      <c r="E462" s="18" t="n">
        <f aca="false">IFERROR(INDEX(Bank_Statement!$C$2:$C$783,MATCH(A462,Bank_Statement!$E$2:$E$783,0)),"")</f>
        <v>-1888.25</v>
      </c>
      <c r="F462" s="16" t="str">
        <f aca="false">IF(E462="","No","Yes")</f>
        <v>Yes</v>
      </c>
      <c r="G462" s="18" t="n">
        <f aca="false">IF(F462="No","N/A",D462-E462)</f>
        <v>3776.5</v>
      </c>
      <c r="H462" s="16" t="str">
        <f aca="false">IF(F462="No","Unmatched - Investigate",IF(ABS(D462-E462)&gt;Assumptions!$B$6,"Mismatch - Amount Differs","Matched"))</f>
        <v>Mismatch - Amount Differs</v>
      </c>
    </row>
    <row r="463" customFormat="false" ht="15" hidden="false" customHeight="false" outlineLevel="0" collapsed="false">
      <c r="A463" s="16" t="str">
        <f aca="false">Payment_Log_AP!A459</f>
        <v>PAY40458</v>
      </c>
      <c r="B463" s="16" t="str">
        <f aca="false">Payment_Log_AP!C459</f>
        <v>V1012</v>
      </c>
      <c r="C463" s="17" t="n">
        <f aca="false">Payment_Log_AP!D459</f>
        <v>46115</v>
      </c>
      <c r="D463" s="18" t="n">
        <f aca="false">Payment_Log_AP!E459</f>
        <v>28542.14</v>
      </c>
      <c r="E463" s="18" t="n">
        <f aca="false">IFERROR(INDEX(Bank_Statement!$C$2:$C$783,MATCH(A463,Bank_Statement!$E$2:$E$783,0)),"")</f>
        <v>-28542.14</v>
      </c>
      <c r="F463" s="16" t="str">
        <f aca="false">IF(E463="","No","Yes")</f>
        <v>Yes</v>
      </c>
      <c r="G463" s="18" t="n">
        <f aca="false">IF(F463="No","N/A",D463-E463)</f>
        <v>57084.28</v>
      </c>
      <c r="H463" s="16" t="str">
        <f aca="false">IF(F463="No","Unmatched - Investigate",IF(ABS(D463-E463)&gt;Assumptions!$B$6,"Mismatch - Amount Differs","Matched"))</f>
        <v>Mismatch - Amount Differs</v>
      </c>
    </row>
    <row r="464" customFormat="false" ht="15" hidden="false" customHeight="false" outlineLevel="0" collapsed="false">
      <c r="A464" s="16" t="str">
        <f aca="false">Payment_Log_AP!A460</f>
        <v>PAY40459</v>
      </c>
      <c r="B464" s="16" t="str">
        <f aca="false">Payment_Log_AP!C460</f>
        <v>V1033</v>
      </c>
      <c r="C464" s="17" t="n">
        <f aca="false">Payment_Log_AP!D460</f>
        <v>45915</v>
      </c>
      <c r="D464" s="18" t="n">
        <f aca="false">Payment_Log_AP!E460</f>
        <v>13194.36</v>
      </c>
      <c r="E464" s="18" t="n">
        <f aca="false">IFERROR(INDEX(Bank_Statement!$C$2:$C$783,MATCH(A464,Bank_Statement!$E$2:$E$783,0)),"")</f>
        <v>-13194.36</v>
      </c>
      <c r="F464" s="16" t="str">
        <f aca="false">IF(E464="","No","Yes")</f>
        <v>Yes</v>
      </c>
      <c r="G464" s="18" t="n">
        <f aca="false">IF(F464="No","N/A",D464-E464)</f>
        <v>26388.72</v>
      </c>
      <c r="H464" s="16" t="str">
        <f aca="false">IF(F464="No","Unmatched - Investigate",IF(ABS(D464-E464)&gt;Assumptions!$B$6,"Mismatch - Amount Differs","Matched"))</f>
        <v>Mismatch - Amount Differs</v>
      </c>
    </row>
    <row r="465" customFormat="false" ht="15" hidden="false" customHeight="false" outlineLevel="0" collapsed="false">
      <c r="A465" s="16" t="str">
        <f aca="false">Payment_Log_AP!A461</f>
        <v>PAY40460</v>
      </c>
      <c r="B465" s="16" t="str">
        <f aca="false">Payment_Log_AP!C461</f>
        <v>V1034</v>
      </c>
      <c r="C465" s="17" t="n">
        <f aca="false">Payment_Log_AP!D461</f>
        <v>46045</v>
      </c>
      <c r="D465" s="18" t="n">
        <f aca="false">Payment_Log_AP!E461</f>
        <v>999.65</v>
      </c>
      <c r="E465" s="18" t="n">
        <f aca="false">IFERROR(INDEX(Bank_Statement!$C$2:$C$783,MATCH(A465,Bank_Statement!$E$2:$E$783,0)),"")</f>
        <v>-999.65</v>
      </c>
      <c r="F465" s="16" t="str">
        <f aca="false">IF(E465="","No","Yes")</f>
        <v>Yes</v>
      </c>
      <c r="G465" s="18" t="n">
        <f aca="false">IF(F465="No","N/A",D465-E465)</f>
        <v>1999.3</v>
      </c>
      <c r="H465" s="16" t="str">
        <f aca="false">IF(F465="No","Unmatched - Investigate",IF(ABS(D465-E465)&gt;Assumptions!$B$6,"Mismatch - Amount Differs","Matched"))</f>
        <v>Mismatch - Amount Differs</v>
      </c>
    </row>
    <row r="466" customFormat="false" ht="15" hidden="false" customHeight="false" outlineLevel="0" collapsed="false">
      <c r="A466" s="16" t="str">
        <f aca="false">Payment_Log_AP!A462</f>
        <v>PAY40461</v>
      </c>
      <c r="B466" s="16" t="str">
        <f aca="false">Payment_Log_AP!C462</f>
        <v>V1010</v>
      </c>
      <c r="C466" s="17" t="n">
        <f aca="false">Payment_Log_AP!D462</f>
        <v>46179</v>
      </c>
      <c r="D466" s="18" t="n">
        <f aca="false">Payment_Log_AP!E462</f>
        <v>2025.11</v>
      </c>
      <c r="E466" s="18" t="n">
        <f aca="false">IFERROR(INDEX(Bank_Statement!$C$2:$C$783,MATCH(A466,Bank_Statement!$E$2:$E$783,0)),"")</f>
        <v>-2025.11</v>
      </c>
      <c r="F466" s="16" t="str">
        <f aca="false">IF(E466="","No","Yes")</f>
        <v>Yes</v>
      </c>
      <c r="G466" s="18" t="n">
        <f aca="false">IF(F466="No","N/A",D466-E466)</f>
        <v>4050.22</v>
      </c>
      <c r="H466" s="16" t="str">
        <f aca="false">IF(F466="No","Unmatched - Investigate",IF(ABS(D466-E466)&gt;Assumptions!$B$6,"Mismatch - Amount Differs","Matched"))</f>
        <v>Mismatch - Amount Differs</v>
      </c>
    </row>
    <row r="467" customFormat="false" ht="15" hidden="false" customHeight="false" outlineLevel="0" collapsed="false">
      <c r="A467" s="16" t="str">
        <f aca="false">Payment_Log_AP!A463</f>
        <v>PAY40462</v>
      </c>
      <c r="B467" s="16" t="str">
        <f aca="false">Payment_Log_AP!C463</f>
        <v>V1010</v>
      </c>
      <c r="C467" s="17" t="n">
        <f aca="false">Payment_Log_AP!D463</f>
        <v>46172</v>
      </c>
      <c r="D467" s="18" t="n">
        <f aca="false">Payment_Log_AP!E463</f>
        <v>2025.11</v>
      </c>
      <c r="E467" s="18" t="n">
        <f aca="false">IFERROR(INDEX(Bank_Statement!$C$2:$C$783,MATCH(A467,Bank_Statement!$E$2:$E$783,0)),"")</f>
        <v>-2025.11</v>
      </c>
      <c r="F467" s="16" t="str">
        <f aca="false">IF(E467="","No","Yes")</f>
        <v>Yes</v>
      </c>
      <c r="G467" s="18" t="n">
        <f aca="false">IF(F467="No","N/A",D467-E467)</f>
        <v>4050.22</v>
      </c>
      <c r="H467" s="16" t="str">
        <f aca="false">IF(F467="No","Unmatched - Investigate",IF(ABS(D467-E467)&gt;Assumptions!$B$6,"Mismatch - Amount Differs","Matched"))</f>
        <v>Mismatch - Amount Differs</v>
      </c>
    </row>
    <row r="468" customFormat="false" ht="15" hidden="false" customHeight="false" outlineLevel="0" collapsed="false">
      <c r="A468" s="16" t="str">
        <f aca="false">Payment_Log_AP!A464</f>
        <v>PAY40463</v>
      </c>
      <c r="B468" s="16" t="str">
        <f aca="false">Payment_Log_AP!C464</f>
        <v>V1013</v>
      </c>
      <c r="C468" s="17" t="n">
        <f aca="false">Payment_Log_AP!D464</f>
        <v>45933</v>
      </c>
      <c r="D468" s="18" t="n">
        <f aca="false">Payment_Log_AP!E464</f>
        <v>1346.34</v>
      </c>
      <c r="E468" s="18" t="n">
        <f aca="false">IFERROR(INDEX(Bank_Statement!$C$2:$C$783,MATCH(A468,Bank_Statement!$E$2:$E$783,0)),"")</f>
        <v>-1346.34</v>
      </c>
      <c r="F468" s="16" t="str">
        <f aca="false">IF(E468="","No","Yes")</f>
        <v>Yes</v>
      </c>
      <c r="G468" s="18" t="n">
        <f aca="false">IF(F468="No","N/A",D468-E468)</f>
        <v>2692.68</v>
      </c>
      <c r="H468" s="16" t="str">
        <f aca="false">IF(F468="No","Unmatched - Investigate",IF(ABS(D468-E468)&gt;Assumptions!$B$6,"Mismatch - Amount Differs","Matched"))</f>
        <v>Mismatch - Amount Differs</v>
      </c>
    </row>
    <row r="469" customFormat="false" ht="15" hidden="false" customHeight="false" outlineLevel="0" collapsed="false">
      <c r="A469" s="16" t="str">
        <f aca="false">Payment_Log_AP!A465</f>
        <v>PAY40464</v>
      </c>
      <c r="B469" s="16" t="str">
        <f aca="false">Payment_Log_AP!C465</f>
        <v>V1017</v>
      </c>
      <c r="C469" s="17" t="n">
        <f aca="false">Payment_Log_AP!D465</f>
        <v>46050</v>
      </c>
      <c r="D469" s="18" t="n">
        <f aca="false">Payment_Log_AP!E465</f>
        <v>473.72</v>
      </c>
      <c r="E469" s="18" t="n">
        <f aca="false">IFERROR(INDEX(Bank_Statement!$C$2:$C$783,MATCH(A469,Bank_Statement!$E$2:$E$783,0)),"")</f>
        <v>-473.72</v>
      </c>
      <c r="F469" s="16" t="str">
        <f aca="false">IF(E469="","No","Yes")</f>
        <v>Yes</v>
      </c>
      <c r="G469" s="18" t="n">
        <f aca="false">IF(F469="No","N/A",D469-E469)</f>
        <v>947.44</v>
      </c>
      <c r="H469" s="16" t="str">
        <f aca="false">IF(F469="No","Unmatched - Investigate",IF(ABS(D469-E469)&gt;Assumptions!$B$6,"Mismatch - Amount Differs","Matched"))</f>
        <v>Mismatch - Amount Differs</v>
      </c>
    </row>
    <row r="470" customFormat="false" ht="15" hidden="false" customHeight="false" outlineLevel="0" collapsed="false">
      <c r="A470" s="16" t="str">
        <f aca="false">Payment_Log_AP!A466</f>
        <v>PAY40465</v>
      </c>
      <c r="B470" s="16" t="str">
        <f aca="false">Payment_Log_AP!C466</f>
        <v>V1029</v>
      </c>
      <c r="C470" s="17" t="n">
        <f aca="false">Payment_Log_AP!D466</f>
        <v>46127</v>
      </c>
      <c r="D470" s="18" t="n">
        <f aca="false">Payment_Log_AP!E466</f>
        <v>4513.74</v>
      </c>
      <c r="E470" s="18" t="n">
        <f aca="false">IFERROR(INDEX(Bank_Statement!$C$2:$C$783,MATCH(A470,Bank_Statement!$E$2:$E$783,0)),"")</f>
        <v>-4513.74</v>
      </c>
      <c r="F470" s="16" t="str">
        <f aca="false">IF(E470="","No","Yes")</f>
        <v>Yes</v>
      </c>
      <c r="G470" s="18" t="n">
        <f aca="false">IF(F470="No","N/A",D470-E470)</f>
        <v>9027.48</v>
      </c>
      <c r="H470" s="16" t="str">
        <f aca="false">IF(F470="No","Unmatched - Investigate",IF(ABS(D470-E470)&gt;Assumptions!$B$6,"Mismatch - Amount Differs","Matched"))</f>
        <v>Mismatch - Amount Differs</v>
      </c>
    </row>
    <row r="471" customFormat="false" ht="15" hidden="false" customHeight="false" outlineLevel="0" collapsed="false">
      <c r="A471" s="16" t="str">
        <f aca="false">Payment_Log_AP!A467</f>
        <v>PAY40466</v>
      </c>
      <c r="B471" s="16" t="str">
        <f aca="false">Payment_Log_AP!C467</f>
        <v>V1028</v>
      </c>
      <c r="C471" s="17" t="n">
        <f aca="false">Payment_Log_AP!D467</f>
        <v>45840</v>
      </c>
      <c r="D471" s="18" t="n">
        <f aca="false">Payment_Log_AP!E467</f>
        <v>1308.52</v>
      </c>
      <c r="E471" s="18" t="n">
        <f aca="false">IFERROR(INDEX(Bank_Statement!$C$2:$C$783,MATCH(A471,Bank_Statement!$E$2:$E$783,0)),"")</f>
        <v>-1308.52</v>
      </c>
      <c r="F471" s="16" t="str">
        <f aca="false">IF(E471="","No","Yes")</f>
        <v>Yes</v>
      </c>
      <c r="G471" s="18" t="n">
        <f aca="false">IF(F471="No","N/A",D471-E471)</f>
        <v>2617.04</v>
      </c>
      <c r="H471" s="16" t="str">
        <f aca="false">IF(F471="No","Unmatched - Investigate",IF(ABS(D471-E471)&gt;Assumptions!$B$6,"Mismatch - Amount Differs","Matched"))</f>
        <v>Mismatch - Amount Differs</v>
      </c>
    </row>
    <row r="472" customFormat="false" ht="15" hidden="false" customHeight="false" outlineLevel="0" collapsed="false">
      <c r="A472" s="16" t="str">
        <f aca="false">Payment_Log_AP!A468</f>
        <v>PAY40467</v>
      </c>
      <c r="B472" s="16" t="str">
        <f aca="false">Payment_Log_AP!C468</f>
        <v>V1028</v>
      </c>
      <c r="C472" s="17" t="n">
        <f aca="false">Payment_Log_AP!D468</f>
        <v>45871</v>
      </c>
      <c r="D472" s="18" t="n">
        <f aca="false">Payment_Log_AP!E468</f>
        <v>2254.68</v>
      </c>
      <c r="E472" s="18" t="n">
        <f aca="false">IFERROR(INDEX(Bank_Statement!$C$2:$C$783,MATCH(A472,Bank_Statement!$E$2:$E$783,0)),"")</f>
        <v>-2254.68</v>
      </c>
      <c r="F472" s="16" t="str">
        <f aca="false">IF(E472="","No","Yes")</f>
        <v>Yes</v>
      </c>
      <c r="G472" s="18" t="n">
        <f aca="false">IF(F472="No","N/A",D472-E472)</f>
        <v>4509.36</v>
      </c>
      <c r="H472" s="16" t="str">
        <f aca="false">IF(F472="No","Unmatched - Investigate",IF(ABS(D472-E472)&gt;Assumptions!$B$6,"Mismatch - Amount Differs","Matched"))</f>
        <v>Mismatch - Amount Differs</v>
      </c>
    </row>
    <row r="473" customFormat="false" ht="15" hidden="false" customHeight="false" outlineLevel="0" collapsed="false">
      <c r="A473" s="16" t="str">
        <f aca="false">Payment_Log_AP!A469</f>
        <v>PAY40468</v>
      </c>
      <c r="B473" s="16" t="str">
        <f aca="false">Payment_Log_AP!C469</f>
        <v>V1028</v>
      </c>
      <c r="C473" s="17" t="n">
        <f aca="false">Payment_Log_AP!D469</f>
        <v>45891</v>
      </c>
      <c r="D473" s="18" t="n">
        <f aca="false">Payment_Log_AP!E469</f>
        <v>2254.68</v>
      </c>
      <c r="E473" s="18" t="n">
        <f aca="false">IFERROR(INDEX(Bank_Statement!$C$2:$C$783,MATCH(A473,Bank_Statement!$E$2:$E$783,0)),"")</f>
        <v>-2254.68</v>
      </c>
      <c r="F473" s="16" t="str">
        <f aca="false">IF(E473="","No","Yes")</f>
        <v>Yes</v>
      </c>
      <c r="G473" s="18" t="n">
        <f aca="false">IF(F473="No","N/A",D473-E473)</f>
        <v>4509.36</v>
      </c>
      <c r="H473" s="16" t="str">
        <f aca="false">IF(F473="No","Unmatched - Investigate",IF(ABS(D473-E473)&gt;Assumptions!$B$6,"Mismatch - Amount Differs","Matched"))</f>
        <v>Mismatch - Amount Differs</v>
      </c>
    </row>
    <row r="474" customFormat="false" ht="15" hidden="false" customHeight="false" outlineLevel="0" collapsed="false">
      <c r="A474" s="16" t="str">
        <f aca="false">Payment_Log_AP!A470</f>
        <v>PAY40469</v>
      </c>
      <c r="B474" s="16" t="str">
        <f aca="false">Payment_Log_AP!C470</f>
        <v>V1023</v>
      </c>
      <c r="C474" s="17" t="n">
        <f aca="false">Payment_Log_AP!D470</f>
        <v>45760</v>
      </c>
      <c r="D474" s="18" t="n">
        <f aca="false">Payment_Log_AP!E470</f>
        <v>5770.92</v>
      </c>
      <c r="E474" s="18" t="n">
        <f aca="false">IFERROR(INDEX(Bank_Statement!$C$2:$C$783,MATCH(A474,Bank_Statement!$E$2:$E$783,0)),"")</f>
        <v>-5770.92</v>
      </c>
      <c r="F474" s="16" t="str">
        <f aca="false">IF(E474="","No","Yes")</f>
        <v>Yes</v>
      </c>
      <c r="G474" s="18" t="n">
        <f aca="false">IF(F474="No","N/A",D474-E474)</f>
        <v>11541.84</v>
      </c>
      <c r="H474" s="16" t="str">
        <f aca="false">IF(F474="No","Unmatched - Investigate",IF(ABS(D474-E474)&gt;Assumptions!$B$6,"Mismatch - Amount Differs","Matched"))</f>
        <v>Mismatch - Amount Differs</v>
      </c>
    </row>
    <row r="475" customFormat="false" ht="15" hidden="false" customHeight="false" outlineLevel="0" collapsed="false">
      <c r="A475" s="16" t="str">
        <f aca="false">Payment_Log_AP!A471</f>
        <v>PAY40470</v>
      </c>
      <c r="B475" s="16" t="str">
        <f aca="false">Payment_Log_AP!C471</f>
        <v>V1016</v>
      </c>
      <c r="C475" s="17" t="n">
        <f aca="false">Payment_Log_AP!D471</f>
        <v>45972</v>
      </c>
      <c r="D475" s="18" t="n">
        <f aca="false">Payment_Log_AP!E471</f>
        <v>2271.46</v>
      </c>
      <c r="E475" s="18" t="n">
        <f aca="false">IFERROR(INDEX(Bank_Statement!$C$2:$C$783,MATCH(A475,Bank_Statement!$E$2:$E$783,0)),"")</f>
        <v>-2271.46</v>
      </c>
      <c r="F475" s="16" t="str">
        <f aca="false">IF(E475="","No","Yes")</f>
        <v>Yes</v>
      </c>
      <c r="G475" s="18" t="n">
        <f aca="false">IF(F475="No","N/A",D475-E475)</f>
        <v>4542.92</v>
      </c>
      <c r="H475" s="16" t="str">
        <f aca="false">IF(F475="No","Unmatched - Investigate",IF(ABS(D475-E475)&gt;Assumptions!$B$6,"Mismatch - Amount Differs","Matched"))</f>
        <v>Mismatch - Amount Differs</v>
      </c>
    </row>
    <row r="476" customFormat="false" ht="15" hidden="false" customHeight="false" outlineLevel="0" collapsed="false">
      <c r="A476" s="16" t="str">
        <f aca="false">Payment_Log_AP!A472</f>
        <v>PAY40471</v>
      </c>
      <c r="B476" s="16" t="str">
        <f aca="false">Payment_Log_AP!C472</f>
        <v>V1012</v>
      </c>
      <c r="C476" s="17" t="n">
        <f aca="false">Payment_Log_AP!D472</f>
        <v>45994</v>
      </c>
      <c r="D476" s="18" t="n">
        <f aca="false">Payment_Log_AP!E472</f>
        <v>567.17</v>
      </c>
      <c r="E476" s="18" t="n">
        <f aca="false">IFERROR(INDEX(Bank_Statement!$C$2:$C$783,MATCH(A476,Bank_Statement!$E$2:$E$783,0)),"")</f>
        <v>-567.17</v>
      </c>
      <c r="F476" s="16" t="str">
        <f aca="false">IF(E476="","No","Yes")</f>
        <v>Yes</v>
      </c>
      <c r="G476" s="18" t="n">
        <f aca="false">IF(F476="No","N/A",D476-E476)</f>
        <v>1134.34</v>
      </c>
      <c r="H476" s="16" t="str">
        <f aca="false">IF(F476="No","Unmatched - Investigate",IF(ABS(D476-E476)&gt;Assumptions!$B$6,"Mismatch - Amount Differs","Matched"))</f>
        <v>Mismatch - Amount Differs</v>
      </c>
    </row>
    <row r="477" customFormat="false" ht="15" hidden="false" customHeight="false" outlineLevel="0" collapsed="false">
      <c r="A477" s="16" t="str">
        <f aca="false">Payment_Log_AP!A473</f>
        <v>PAY40472</v>
      </c>
      <c r="B477" s="16" t="str">
        <f aca="false">Payment_Log_AP!C473</f>
        <v>V1010</v>
      </c>
      <c r="C477" s="17" t="n">
        <f aca="false">Payment_Log_AP!D473</f>
        <v>46104</v>
      </c>
      <c r="D477" s="18" t="n">
        <f aca="false">Payment_Log_AP!E473</f>
        <v>4021.66</v>
      </c>
      <c r="E477" s="18" t="n">
        <f aca="false">IFERROR(INDEX(Bank_Statement!$C$2:$C$783,MATCH(A477,Bank_Statement!$E$2:$E$783,0)),"")</f>
        <v>-4021.66</v>
      </c>
      <c r="F477" s="16" t="str">
        <f aca="false">IF(E477="","No","Yes")</f>
        <v>Yes</v>
      </c>
      <c r="G477" s="18" t="n">
        <f aca="false">IF(F477="No","N/A",D477-E477)</f>
        <v>8043.32</v>
      </c>
      <c r="H477" s="16" t="str">
        <f aca="false">IF(F477="No","Unmatched - Investigate",IF(ABS(D477-E477)&gt;Assumptions!$B$6,"Mismatch - Amount Differs","Matched"))</f>
        <v>Mismatch - Amount Differs</v>
      </c>
    </row>
    <row r="478" customFormat="false" ht="15" hidden="false" customHeight="false" outlineLevel="0" collapsed="false">
      <c r="A478" s="16" t="str">
        <f aca="false">Payment_Log_AP!A474</f>
        <v>PAY40473</v>
      </c>
      <c r="B478" s="16" t="str">
        <f aca="false">Payment_Log_AP!C474</f>
        <v>V1002</v>
      </c>
      <c r="C478" s="17" t="n">
        <f aca="false">Payment_Log_AP!D474</f>
        <v>45720</v>
      </c>
      <c r="D478" s="18" t="n">
        <f aca="false">Payment_Log_AP!E474</f>
        <v>21176.94</v>
      </c>
      <c r="E478" s="18" t="n">
        <f aca="false">IFERROR(INDEX(Bank_Statement!$C$2:$C$783,MATCH(A478,Bank_Statement!$E$2:$E$783,0)),"")</f>
        <v>-21176.94</v>
      </c>
      <c r="F478" s="16" t="str">
        <f aca="false">IF(E478="","No","Yes")</f>
        <v>Yes</v>
      </c>
      <c r="G478" s="18" t="n">
        <f aca="false">IF(F478="No","N/A",D478-E478)</f>
        <v>42353.88</v>
      </c>
      <c r="H478" s="16" t="str">
        <f aca="false">IF(F478="No","Unmatched - Investigate",IF(ABS(D478-E478)&gt;Assumptions!$B$6,"Mismatch - Amount Differs","Matched"))</f>
        <v>Mismatch - Amount Differs</v>
      </c>
    </row>
    <row r="479" customFormat="false" ht="15" hidden="false" customHeight="false" outlineLevel="0" collapsed="false">
      <c r="A479" s="16" t="str">
        <f aca="false">Payment_Log_AP!A475</f>
        <v>PAY40474</v>
      </c>
      <c r="B479" s="16" t="str">
        <f aca="false">Payment_Log_AP!C475</f>
        <v>V1010</v>
      </c>
      <c r="C479" s="17" t="n">
        <f aca="false">Payment_Log_AP!D475</f>
        <v>46176</v>
      </c>
      <c r="D479" s="18" t="n">
        <f aca="false">Payment_Log_AP!E475</f>
        <v>3298.58</v>
      </c>
      <c r="E479" s="18" t="n">
        <f aca="false">IFERROR(INDEX(Bank_Statement!$C$2:$C$783,MATCH(A479,Bank_Statement!$E$2:$E$783,0)),"")</f>
        <v>-3298.58</v>
      </c>
      <c r="F479" s="16" t="str">
        <f aca="false">IF(E479="","No","Yes")</f>
        <v>Yes</v>
      </c>
      <c r="G479" s="18" t="n">
        <f aca="false">IF(F479="No","N/A",D479-E479)</f>
        <v>6597.16</v>
      </c>
      <c r="H479" s="16" t="str">
        <f aca="false">IF(F479="No","Unmatched - Investigate",IF(ABS(D479-E479)&gt;Assumptions!$B$6,"Mismatch - Amount Differs","Matched"))</f>
        <v>Mismatch - Amount Differs</v>
      </c>
    </row>
    <row r="480" customFormat="false" ht="15" hidden="false" customHeight="false" outlineLevel="0" collapsed="false">
      <c r="A480" s="16" t="str">
        <f aca="false">Payment_Log_AP!A476</f>
        <v>PAY40475</v>
      </c>
      <c r="B480" s="16" t="str">
        <f aca="false">Payment_Log_AP!C476</f>
        <v>V1031</v>
      </c>
      <c r="C480" s="17" t="n">
        <f aca="false">Payment_Log_AP!D476</f>
        <v>46018</v>
      </c>
      <c r="D480" s="18" t="n">
        <f aca="false">Payment_Log_AP!E476</f>
        <v>6459.27</v>
      </c>
      <c r="E480" s="18" t="n">
        <f aca="false">IFERROR(INDEX(Bank_Statement!$C$2:$C$783,MATCH(A480,Bank_Statement!$E$2:$E$783,0)),"")</f>
        <v>-6459.27</v>
      </c>
      <c r="F480" s="16" t="str">
        <f aca="false">IF(E480="","No","Yes")</f>
        <v>Yes</v>
      </c>
      <c r="G480" s="18" t="n">
        <f aca="false">IF(F480="No","N/A",D480-E480)</f>
        <v>12918.54</v>
      </c>
      <c r="H480" s="16" t="str">
        <f aca="false">IF(F480="No","Unmatched - Investigate",IF(ABS(D480-E480)&gt;Assumptions!$B$6,"Mismatch - Amount Differs","Matched"))</f>
        <v>Mismatch - Amount Differs</v>
      </c>
    </row>
    <row r="481" customFormat="false" ht="15" hidden="false" customHeight="false" outlineLevel="0" collapsed="false">
      <c r="A481" s="16" t="str">
        <f aca="false">Payment_Log_AP!A477</f>
        <v>PAY40476</v>
      </c>
      <c r="B481" s="16" t="str">
        <f aca="false">Payment_Log_AP!C477</f>
        <v>V1012</v>
      </c>
      <c r="C481" s="17" t="n">
        <f aca="false">Payment_Log_AP!D477</f>
        <v>45823</v>
      </c>
      <c r="D481" s="18" t="n">
        <f aca="false">Payment_Log_AP!E477</f>
        <v>622.67</v>
      </c>
      <c r="E481" s="18" t="n">
        <f aca="false">IFERROR(INDEX(Bank_Statement!$C$2:$C$783,MATCH(A481,Bank_Statement!$E$2:$E$783,0)),"")</f>
        <v>-622.67</v>
      </c>
      <c r="F481" s="16" t="str">
        <f aca="false">IF(E481="","No","Yes")</f>
        <v>Yes</v>
      </c>
      <c r="G481" s="18" t="n">
        <f aca="false">IF(F481="No","N/A",D481-E481)</f>
        <v>1245.34</v>
      </c>
      <c r="H481" s="16" t="str">
        <f aca="false">IF(F481="No","Unmatched - Investigate",IF(ABS(D481-E481)&gt;Assumptions!$B$6,"Mismatch - Amount Differs","Matched"))</f>
        <v>Mismatch - Amount Differs</v>
      </c>
    </row>
    <row r="482" customFormat="false" ht="15" hidden="false" customHeight="false" outlineLevel="0" collapsed="false">
      <c r="A482" s="16" t="str">
        <f aca="false">Payment_Log_AP!A478</f>
        <v>PAY40477</v>
      </c>
      <c r="B482" s="16" t="str">
        <f aca="false">Payment_Log_AP!C478</f>
        <v>V1005</v>
      </c>
      <c r="C482" s="17" t="n">
        <f aca="false">Payment_Log_AP!D478</f>
        <v>45752</v>
      </c>
      <c r="D482" s="18" t="n">
        <f aca="false">Payment_Log_AP!E478</f>
        <v>4894.13</v>
      </c>
      <c r="E482" s="18" t="n">
        <f aca="false">IFERROR(INDEX(Bank_Statement!$C$2:$C$783,MATCH(A482,Bank_Statement!$E$2:$E$783,0)),"")</f>
        <v>-4894.13</v>
      </c>
      <c r="F482" s="16" t="str">
        <f aca="false">IF(E482="","No","Yes")</f>
        <v>Yes</v>
      </c>
      <c r="G482" s="18" t="n">
        <f aca="false">IF(F482="No","N/A",D482-E482)</f>
        <v>9788.26</v>
      </c>
      <c r="H482" s="16" t="str">
        <f aca="false">IF(F482="No","Unmatched - Investigate",IF(ABS(D482-E482)&gt;Assumptions!$B$6,"Mismatch - Amount Differs","Matched"))</f>
        <v>Mismatch - Amount Differs</v>
      </c>
    </row>
    <row r="483" customFormat="false" ht="15" hidden="false" customHeight="false" outlineLevel="0" collapsed="false">
      <c r="A483" s="16" t="str">
        <f aca="false">Payment_Log_AP!A479</f>
        <v>PAY40478</v>
      </c>
      <c r="B483" s="16" t="str">
        <f aca="false">Payment_Log_AP!C479</f>
        <v>V1024</v>
      </c>
      <c r="C483" s="17" t="n">
        <f aca="false">Payment_Log_AP!D479</f>
        <v>45946</v>
      </c>
      <c r="D483" s="18" t="n">
        <f aca="false">Payment_Log_AP!E479</f>
        <v>640.41</v>
      </c>
      <c r="E483" s="18" t="n">
        <f aca="false">IFERROR(INDEX(Bank_Statement!$C$2:$C$783,MATCH(A483,Bank_Statement!$E$2:$E$783,0)),"")</f>
        <v>-640.41</v>
      </c>
      <c r="F483" s="16" t="str">
        <f aca="false">IF(E483="","No","Yes")</f>
        <v>Yes</v>
      </c>
      <c r="G483" s="18" t="n">
        <f aca="false">IF(F483="No","N/A",D483-E483)</f>
        <v>1280.82</v>
      </c>
      <c r="H483" s="16" t="str">
        <f aca="false">IF(F483="No","Unmatched - Investigate",IF(ABS(D483-E483)&gt;Assumptions!$B$6,"Mismatch - Amount Differs","Matched"))</f>
        <v>Mismatch - Amount Differs</v>
      </c>
    </row>
    <row r="484" customFormat="false" ht="15" hidden="false" customHeight="false" outlineLevel="0" collapsed="false">
      <c r="A484" s="16" t="str">
        <f aca="false">Payment_Log_AP!A480</f>
        <v>PAY40479</v>
      </c>
      <c r="B484" s="16" t="str">
        <f aca="false">Payment_Log_AP!C480</f>
        <v>V1016</v>
      </c>
      <c r="C484" s="17" t="n">
        <f aca="false">Payment_Log_AP!D480</f>
        <v>45816</v>
      </c>
      <c r="D484" s="18" t="n">
        <f aca="false">Payment_Log_AP!E480</f>
        <v>6607.07</v>
      </c>
      <c r="E484" s="18" t="n">
        <f aca="false">IFERROR(INDEX(Bank_Statement!$C$2:$C$783,MATCH(A484,Bank_Statement!$E$2:$E$783,0)),"")</f>
        <v>-6607.07</v>
      </c>
      <c r="F484" s="16" t="str">
        <f aca="false">IF(E484="","No","Yes")</f>
        <v>Yes</v>
      </c>
      <c r="G484" s="18" t="n">
        <f aca="false">IF(F484="No","N/A",D484-E484)</f>
        <v>13214.14</v>
      </c>
      <c r="H484" s="16" t="str">
        <f aca="false">IF(F484="No","Unmatched - Investigate",IF(ABS(D484-E484)&gt;Assumptions!$B$6,"Mismatch - Amount Differs","Matched"))</f>
        <v>Mismatch - Amount Differs</v>
      </c>
    </row>
    <row r="485" customFormat="false" ht="15" hidden="false" customHeight="false" outlineLevel="0" collapsed="false">
      <c r="A485" s="16" t="str">
        <f aca="false">Payment_Log_AP!A481</f>
        <v>PAY40480</v>
      </c>
      <c r="B485" s="16" t="str">
        <f aca="false">Payment_Log_AP!C481</f>
        <v>V1028</v>
      </c>
      <c r="C485" s="17" t="n">
        <f aca="false">Payment_Log_AP!D481</f>
        <v>45845</v>
      </c>
      <c r="D485" s="18" t="n">
        <f aca="false">Payment_Log_AP!E481</f>
        <v>647.86</v>
      </c>
      <c r="E485" s="18" t="n">
        <f aca="false">IFERROR(INDEX(Bank_Statement!$C$2:$C$783,MATCH(A485,Bank_Statement!$E$2:$E$783,0)),"")</f>
        <v>-647.86</v>
      </c>
      <c r="F485" s="16" t="str">
        <f aca="false">IF(E485="","No","Yes")</f>
        <v>Yes</v>
      </c>
      <c r="G485" s="18" t="n">
        <f aca="false">IF(F485="No","N/A",D485-E485)</f>
        <v>1295.72</v>
      </c>
      <c r="H485" s="16" t="str">
        <f aca="false">IF(F485="No","Unmatched - Investigate",IF(ABS(D485-E485)&gt;Assumptions!$B$6,"Mismatch - Amount Differs","Matched"))</f>
        <v>Mismatch - Amount Differs</v>
      </c>
    </row>
    <row r="486" customFormat="false" ht="15" hidden="false" customHeight="false" outlineLevel="0" collapsed="false">
      <c r="A486" s="16" t="str">
        <f aca="false">Payment_Log_AP!A482</f>
        <v>PAY40481</v>
      </c>
      <c r="B486" s="16" t="str">
        <f aca="false">Payment_Log_AP!C482</f>
        <v>V1022</v>
      </c>
      <c r="C486" s="17" t="n">
        <f aca="false">Payment_Log_AP!D482</f>
        <v>45717</v>
      </c>
      <c r="D486" s="18" t="n">
        <f aca="false">Payment_Log_AP!E482</f>
        <v>517.06</v>
      </c>
      <c r="E486" s="18" t="n">
        <f aca="false">IFERROR(INDEX(Bank_Statement!$C$2:$C$783,MATCH(A486,Bank_Statement!$E$2:$E$783,0)),"")</f>
        <v>-517.06</v>
      </c>
      <c r="F486" s="16" t="str">
        <f aca="false">IF(E486="","No","Yes")</f>
        <v>Yes</v>
      </c>
      <c r="G486" s="18" t="n">
        <f aca="false">IF(F486="No","N/A",D486-E486)</f>
        <v>1034.12</v>
      </c>
      <c r="H486" s="16" t="str">
        <f aca="false">IF(F486="No","Unmatched - Investigate",IF(ABS(D486-E486)&gt;Assumptions!$B$6,"Mismatch - Amount Differs","Matched"))</f>
        <v>Mismatch - Amount Differs</v>
      </c>
    </row>
    <row r="487" customFormat="false" ht="15" hidden="false" customHeight="false" outlineLevel="0" collapsed="false">
      <c r="A487" s="16" t="str">
        <f aca="false">Payment_Log_AP!A483</f>
        <v>PAY40482</v>
      </c>
      <c r="B487" s="16" t="str">
        <f aca="false">Payment_Log_AP!C483</f>
        <v>V1011</v>
      </c>
      <c r="C487" s="17" t="n">
        <f aca="false">Payment_Log_AP!D483</f>
        <v>46111</v>
      </c>
      <c r="D487" s="18" t="n">
        <f aca="false">Payment_Log_AP!E483</f>
        <v>316.1</v>
      </c>
      <c r="E487" s="18" t="n">
        <f aca="false">IFERROR(INDEX(Bank_Statement!$C$2:$C$783,MATCH(A487,Bank_Statement!$E$2:$E$783,0)),"")</f>
        <v>-316.1</v>
      </c>
      <c r="F487" s="16" t="str">
        <f aca="false">IF(E487="","No","Yes")</f>
        <v>Yes</v>
      </c>
      <c r="G487" s="18" t="n">
        <f aca="false">IF(F487="No","N/A",D487-E487)</f>
        <v>632.2</v>
      </c>
      <c r="H487" s="16" t="str">
        <f aca="false">IF(F487="No","Unmatched - Investigate",IF(ABS(D487-E487)&gt;Assumptions!$B$6,"Mismatch - Amount Differs","Matched"))</f>
        <v>Mismatch - Amount Differs</v>
      </c>
    </row>
    <row r="488" customFormat="false" ht="15" hidden="false" customHeight="false" outlineLevel="0" collapsed="false">
      <c r="A488" s="16" t="str">
        <f aca="false">Payment_Log_AP!A484</f>
        <v>PAY40483</v>
      </c>
      <c r="B488" s="16" t="str">
        <f aca="false">Payment_Log_AP!C484</f>
        <v>V1034</v>
      </c>
      <c r="C488" s="17" t="n">
        <f aca="false">Payment_Log_AP!D484</f>
        <v>46190</v>
      </c>
      <c r="D488" s="18" t="n">
        <f aca="false">Payment_Log_AP!E484</f>
        <v>4436.8</v>
      </c>
      <c r="E488" s="18" t="n">
        <f aca="false">IFERROR(INDEX(Bank_Statement!$C$2:$C$783,MATCH(A488,Bank_Statement!$E$2:$E$783,0)),"")</f>
        <v>-4436.8</v>
      </c>
      <c r="F488" s="16" t="str">
        <f aca="false">IF(E488="","No","Yes")</f>
        <v>Yes</v>
      </c>
      <c r="G488" s="18" t="n">
        <f aca="false">IF(F488="No","N/A",D488-E488)</f>
        <v>8873.6</v>
      </c>
      <c r="H488" s="16" t="str">
        <f aca="false">IF(F488="No","Unmatched - Investigate",IF(ABS(D488-E488)&gt;Assumptions!$B$6,"Mismatch - Amount Differs","Matched"))</f>
        <v>Mismatch - Amount Differs</v>
      </c>
    </row>
    <row r="489" customFormat="false" ht="15" hidden="false" customHeight="false" outlineLevel="0" collapsed="false">
      <c r="A489" s="16" t="str">
        <f aca="false">Payment_Log_AP!A485</f>
        <v>PAY40484</v>
      </c>
      <c r="B489" s="16" t="str">
        <f aca="false">Payment_Log_AP!C485</f>
        <v>V1026</v>
      </c>
      <c r="C489" s="17" t="n">
        <f aca="false">Payment_Log_AP!D485</f>
        <v>46054</v>
      </c>
      <c r="D489" s="18" t="n">
        <f aca="false">Payment_Log_AP!E485</f>
        <v>6594.42</v>
      </c>
      <c r="E489" s="18" t="n">
        <f aca="false">IFERROR(INDEX(Bank_Statement!$C$2:$C$783,MATCH(A489,Bank_Statement!$E$2:$E$783,0)),"")</f>
        <v>-6594.42</v>
      </c>
      <c r="F489" s="16" t="str">
        <f aca="false">IF(E489="","No","Yes")</f>
        <v>Yes</v>
      </c>
      <c r="G489" s="18" t="n">
        <f aca="false">IF(F489="No","N/A",D489-E489)</f>
        <v>13188.84</v>
      </c>
      <c r="H489" s="16" t="str">
        <f aca="false">IF(F489="No","Unmatched - Investigate",IF(ABS(D489-E489)&gt;Assumptions!$B$6,"Mismatch - Amount Differs","Matched"))</f>
        <v>Mismatch - Amount Differs</v>
      </c>
    </row>
    <row r="490" customFormat="false" ht="15" hidden="false" customHeight="false" outlineLevel="0" collapsed="false">
      <c r="A490" s="16" t="str">
        <f aca="false">Payment_Log_AP!A486</f>
        <v>PAY40485</v>
      </c>
      <c r="B490" s="16" t="str">
        <f aca="false">Payment_Log_AP!C486</f>
        <v>V1027</v>
      </c>
      <c r="C490" s="17" t="n">
        <f aca="false">Payment_Log_AP!D486</f>
        <v>45780</v>
      </c>
      <c r="D490" s="18" t="n">
        <f aca="false">Payment_Log_AP!E486</f>
        <v>836.54</v>
      </c>
      <c r="E490" s="18" t="n">
        <f aca="false">IFERROR(INDEX(Bank_Statement!$C$2:$C$783,MATCH(A490,Bank_Statement!$E$2:$E$783,0)),"")</f>
        <v>-836.54</v>
      </c>
      <c r="F490" s="16" t="str">
        <f aca="false">IF(E490="","No","Yes")</f>
        <v>Yes</v>
      </c>
      <c r="G490" s="18" t="n">
        <f aca="false">IF(F490="No","N/A",D490-E490)</f>
        <v>1673.08</v>
      </c>
      <c r="H490" s="16" t="str">
        <f aca="false">IF(F490="No","Unmatched - Investigate",IF(ABS(D490-E490)&gt;Assumptions!$B$6,"Mismatch - Amount Differs","Matched"))</f>
        <v>Mismatch - Amount Differs</v>
      </c>
    </row>
    <row r="491" customFormat="false" ht="15" hidden="false" customHeight="false" outlineLevel="0" collapsed="false">
      <c r="A491" s="16" t="str">
        <f aca="false">Payment_Log_AP!A487</f>
        <v>PAY40486</v>
      </c>
      <c r="B491" s="16" t="str">
        <f aca="false">Payment_Log_AP!C487</f>
        <v>V1020</v>
      </c>
      <c r="C491" s="17" t="n">
        <f aca="false">Payment_Log_AP!D487</f>
        <v>45953</v>
      </c>
      <c r="D491" s="18" t="n">
        <f aca="false">Payment_Log_AP!E487</f>
        <v>1170.71</v>
      </c>
      <c r="E491" s="18" t="n">
        <f aca="false">IFERROR(INDEX(Bank_Statement!$C$2:$C$783,MATCH(A491,Bank_Statement!$E$2:$E$783,0)),"")</f>
        <v>-1170.71</v>
      </c>
      <c r="F491" s="16" t="str">
        <f aca="false">IF(E491="","No","Yes")</f>
        <v>Yes</v>
      </c>
      <c r="G491" s="18" t="n">
        <f aca="false">IF(F491="No","N/A",D491-E491)</f>
        <v>2341.42</v>
      </c>
      <c r="H491" s="16" t="str">
        <f aca="false">IF(F491="No","Unmatched - Investigate",IF(ABS(D491-E491)&gt;Assumptions!$B$6,"Mismatch - Amount Differs","Matched"))</f>
        <v>Mismatch - Amount Differs</v>
      </c>
    </row>
    <row r="492" customFormat="false" ht="15" hidden="false" customHeight="false" outlineLevel="0" collapsed="false">
      <c r="A492" s="16" t="str">
        <f aca="false">Payment_Log_AP!A488</f>
        <v>PAY40487</v>
      </c>
      <c r="B492" s="16" t="str">
        <f aca="false">Payment_Log_AP!C488</f>
        <v>V1027</v>
      </c>
      <c r="C492" s="17" t="n">
        <f aca="false">Payment_Log_AP!D488</f>
        <v>45879</v>
      </c>
      <c r="D492" s="18" t="n">
        <f aca="false">Payment_Log_AP!E488</f>
        <v>4155.49</v>
      </c>
      <c r="E492" s="18" t="n">
        <f aca="false">IFERROR(INDEX(Bank_Statement!$C$2:$C$783,MATCH(A492,Bank_Statement!$E$2:$E$783,0)),"")</f>
        <v>-4155.49</v>
      </c>
      <c r="F492" s="16" t="str">
        <f aca="false">IF(E492="","No","Yes")</f>
        <v>Yes</v>
      </c>
      <c r="G492" s="18" t="n">
        <f aca="false">IF(F492="No","N/A",D492-E492)</f>
        <v>8310.98</v>
      </c>
      <c r="H492" s="16" t="str">
        <f aca="false">IF(F492="No","Unmatched - Investigate",IF(ABS(D492-E492)&gt;Assumptions!$B$6,"Mismatch - Amount Differs","Matched"))</f>
        <v>Mismatch - Amount Differs</v>
      </c>
    </row>
    <row r="493" customFormat="false" ht="15" hidden="false" customHeight="false" outlineLevel="0" collapsed="false">
      <c r="A493" s="16" t="str">
        <f aca="false">Payment_Log_AP!A489</f>
        <v>PAY40488</v>
      </c>
      <c r="B493" s="16" t="str">
        <f aca="false">Payment_Log_AP!C489</f>
        <v>V1028</v>
      </c>
      <c r="C493" s="17" t="n">
        <f aca="false">Payment_Log_AP!D489</f>
        <v>45987</v>
      </c>
      <c r="D493" s="18" t="n">
        <f aca="false">Payment_Log_AP!E489</f>
        <v>813.95</v>
      </c>
      <c r="E493" s="18" t="n">
        <f aca="false">IFERROR(INDEX(Bank_Statement!$C$2:$C$783,MATCH(A493,Bank_Statement!$E$2:$E$783,0)),"")</f>
        <v>-813.95</v>
      </c>
      <c r="F493" s="16" t="str">
        <f aca="false">IF(E493="","No","Yes")</f>
        <v>Yes</v>
      </c>
      <c r="G493" s="18" t="n">
        <f aca="false">IF(F493="No","N/A",D493-E493)</f>
        <v>1627.9</v>
      </c>
      <c r="H493" s="16" t="str">
        <f aca="false">IF(F493="No","Unmatched - Investigate",IF(ABS(D493-E493)&gt;Assumptions!$B$6,"Mismatch - Amount Differs","Matched"))</f>
        <v>Mismatch - Amount Differs</v>
      </c>
    </row>
    <row r="494" customFormat="false" ht="15" hidden="false" customHeight="false" outlineLevel="0" collapsed="false">
      <c r="A494" s="16" t="str">
        <f aca="false">Payment_Log_AP!A490</f>
        <v>PAY40489</v>
      </c>
      <c r="B494" s="16" t="str">
        <f aca="false">Payment_Log_AP!C490</f>
        <v>V1021</v>
      </c>
      <c r="C494" s="17" t="n">
        <f aca="false">Payment_Log_AP!D490</f>
        <v>46022</v>
      </c>
      <c r="D494" s="18" t="n">
        <f aca="false">Payment_Log_AP!E490</f>
        <v>219.09</v>
      </c>
      <c r="E494" s="18" t="n">
        <f aca="false">IFERROR(INDEX(Bank_Statement!$C$2:$C$783,MATCH(A494,Bank_Statement!$E$2:$E$783,0)),"")</f>
        <v>-219.09</v>
      </c>
      <c r="F494" s="16" t="str">
        <f aca="false">IF(E494="","No","Yes")</f>
        <v>Yes</v>
      </c>
      <c r="G494" s="18" t="n">
        <f aca="false">IF(F494="No","N/A",D494-E494)</f>
        <v>438.18</v>
      </c>
      <c r="H494" s="16" t="str">
        <f aca="false">IF(F494="No","Unmatched - Investigate",IF(ABS(D494-E494)&gt;Assumptions!$B$6,"Mismatch - Amount Differs","Matched"))</f>
        <v>Mismatch - Amount Differs</v>
      </c>
    </row>
    <row r="495" customFormat="false" ht="15" hidden="false" customHeight="false" outlineLevel="0" collapsed="false">
      <c r="A495" s="16" t="str">
        <f aca="false">Payment_Log_AP!A491</f>
        <v>PAY40490</v>
      </c>
      <c r="B495" s="16" t="str">
        <f aca="false">Payment_Log_AP!C491</f>
        <v>V1018</v>
      </c>
      <c r="C495" s="17" t="n">
        <f aca="false">Payment_Log_AP!D491</f>
        <v>45908</v>
      </c>
      <c r="D495" s="18" t="n">
        <f aca="false">Payment_Log_AP!E491</f>
        <v>313.99</v>
      </c>
      <c r="E495" s="18" t="n">
        <f aca="false">IFERROR(INDEX(Bank_Statement!$C$2:$C$783,MATCH(A495,Bank_Statement!$E$2:$E$783,0)),"")</f>
        <v>-313.99</v>
      </c>
      <c r="F495" s="16" t="str">
        <f aca="false">IF(E495="","No","Yes")</f>
        <v>Yes</v>
      </c>
      <c r="G495" s="18" t="n">
        <f aca="false">IF(F495="No","N/A",D495-E495)</f>
        <v>627.98</v>
      </c>
      <c r="H495" s="16" t="str">
        <f aca="false">IF(F495="No","Unmatched - Investigate",IF(ABS(D495-E495)&gt;Assumptions!$B$6,"Mismatch - Amount Differs","Matched"))</f>
        <v>Mismatch - Amount Differs</v>
      </c>
    </row>
    <row r="496" customFormat="false" ht="15" hidden="false" customHeight="false" outlineLevel="0" collapsed="false">
      <c r="A496" s="16" t="str">
        <f aca="false">Payment_Log_AP!A492</f>
        <v>PAY40491</v>
      </c>
      <c r="B496" s="16" t="str">
        <f aca="false">Payment_Log_AP!C492</f>
        <v>V1018</v>
      </c>
      <c r="C496" s="17" t="n">
        <f aca="false">Payment_Log_AP!D492</f>
        <v>45911</v>
      </c>
      <c r="D496" s="18" t="n">
        <f aca="false">Payment_Log_AP!E492</f>
        <v>313.99</v>
      </c>
      <c r="E496" s="18" t="n">
        <f aca="false">IFERROR(INDEX(Bank_Statement!$C$2:$C$783,MATCH(A496,Bank_Statement!$E$2:$E$783,0)),"")</f>
        <v>-313.99</v>
      </c>
      <c r="F496" s="16" t="str">
        <f aca="false">IF(E496="","No","Yes")</f>
        <v>Yes</v>
      </c>
      <c r="G496" s="18" t="n">
        <f aca="false">IF(F496="No","N/A",D496-E496)</f>
        <v>627.98</v>
      </c>
      <c r="H496" s="16" t="str">
        <f aca="false">IF(F496="No","Unmatched - Investigate",IF(ABS(D496-E496)&gt;Assumptions!$B$6,"Mismatch - Amount Differs","Matched"))</f>
        <v>Mismatch - Amount Differs</v>
      </c>
    </row>
    <row r="497" customFormat="false" ht="15" hidden="false" customHeight="false" outlineLevel="0" collapsed="false">
      <c r="A497" s="16" t="str">
        <f aca="false">Payment_Log_AP!A493</f>
        <v>PAY40492</v>
      </c>
      <c r="B497" s="16" t="str">
        <f aca="false">Payment_Log_AP!C493</f>
        <v>V1005</v>
      </c>
      <c r="C497" s="17" t="n">
        <f aca="false">Payment_Log_AP!D493</f>
        <v>45818</v>
      </c>
      <c r="D497" s="18" t="n">
        <f aca="false">Payment_Log_AP!E493</f>
        <v>7086.46</v>
      </c>
      <c r="E497" s="18" t="n">
        <f aca="false">IFERROR(INDEX(Bank_Statement!$C$2:$C$783,MATCH(A497,Bank_Statement!$E$2:$E$783,0)),"")</f>
        <v>-7086.46</v>
      </c>
      <c r="F497" s="16" t="str">
        <f aca="false">IF(E497="","No","Yes")</f>
        <v>Yes</v>
      </c>
      <c r="G497" s="18" t="n">
        <f aca="false">IF(F497="No","N/A",D497-E497)</f>
        <v>14172.92</v>
      </c>
      <c r="H497" s="16" t="str">
        <f aca="false">IF(F497="No","Unmatched - Investigate",IF(ABS(D497-E497)&gt;Assumptions!$B$6,"Mismatch - Amount Differs","Matched"))</f>
        <v>Mismatch - Amount Differs</v>
      </c>
    </row>
    <row r="498" customFormat="false" ht="15" hidden="false" customHeight="false" outlineLevel="0" collapsed="false">
      <c r="A498" s="16" t="str">
        <f aca="false">Payment_Log_AP!A494</f>
        <v>PAY40493</v>
      </c>
      <c r="B498" s="16" t="str">
        <f aca="false">Payment_Log_AP!C494</f>
        <v>V1005</v>
      </c>
      <c r="C498" s="17" t="n">
        <f aca="false">Payment_Log_AP!D494</f>
        <v>45806</v>
      </c>
      <c r="D498" s="18" t="n">
        <f aca="false">Payment_Log_AP!E494</f>
        <v>745.67</v>
      </c>
      <c r="E498" s="18" t="n">
        <f aca="false">IFERROR(INDEX(Bank_Statement!$C$2:$C$783,MATCH(A498,Bank_Statement!$E$2:$E$783,0)),"")</f>
        <v>-745.67</v>
      </c>
      <c r="F498" s="16" t="str">
        <f aca="false">IF(E498="","No","Yes")</f>
        <v>Yes</v>
      </c>
      <c r="G498" s="18" t="n">
        <f aca="false">IF(F498="No","N/A",D498-E498)</f>
        <v>1491.34</v>
      </c>
      <c r="H498" s="16" t="str">
        <f aca="false">IF(F498="No","Unmatched - Investigate",IF(ABS(D498-E498)&gt;Assumptions!$B$6,"Mismatch - Amount Differs","Matched"))</f>
        <v>Mismatch - Amount Differs</v>
      </c>
    </row>
    <row r="499" customFormat="false" ht="15" hidden="false" customHeight="false" outlineLevel="0" collapsed="false">
      <c r="A499" s="16" t="str">
        <f aca="false">Payment_Log_AP!A495</f>
        <v>PAY40494</v>
      </c>
      <c r="B499" s="16" t="str">
        <f aca="false">Payment_Log_AP!C495</f>
        <v>V1005</v>
      </c>
      <c r="C499" s="17" t="n">
        <f aca="false">Payment_Log_AP!D495</f>
        <v>45808</v>
      </c>
      <c r="D499" s="18" t="n">
        <f aca="false">Payment_Log_AP!E495</f>
        <v>745.67</v>
      </c>
      <c r="E499" s="18" t="n">
        <f aca="false">IFERROR(INDEX(Bank_Statement!$C$2:$C$783,MATCH(A499,Bank_Statement!$E$2:$E$783,0)),"")</f>
        <v>-745.67</v>
      </c>
      <c r="F499" s="16" t="str">
        <f aca="false">IF(E499="","No","Yes")</f>
        <v>Yes</v>
      </c>
      <c r="G499" s="18" t="n">
        <f aca="false">IF(F499="No","N/A",D499-E499)</f>
        <v>1491.34</v>
      </c>
      <c r="H499" s="16" t="str">
        <f aca="false">IF(F499="No","Unmatched - Investigate",IF(ABS(D499-E499)&gt;Assumptions!$B$6,"Mismatch - Amount Differs","Matched"))</f>
        <v>Mismatch - Amount Differs</v>
      </c>
    </row>
    <row r="500" customFormat="false" ht="15" hidden="false" customHeight="false" outlineLevel="0" collapsed="false">
      <c r="A500" s="16" t="str">
        <f aca="false">Payment_Log_AP!A496</f>
        <v>PAY40495</v>
      </c>
      <c r="B500" s="16" t="str">
        <f aca="false">Payment_Log_AP!C496</f>
        <v>V1038</v>
      </c>
      <c r="C500" s="17" t="n">
        <f aca="false">Payment_Log_AP!D496</f>
        <v>45895</v>
      </c>
      <c r="D500" s="18" t="n">
        <f aca="false">Payment_Log_AP!E496</f>
        <v>2119.2</v>
      </c>
      <c r="E500" s="18" t="n">
        <f aca="false">IFERROR(INDEX(Bank_Statement!$C$2:$C$783,MATCH(A500,Bank_Statement!$E$2:$E$783,0)),"")</f>
        <v>-2119.2</v>
      </c>
      <c r="F500" s="16" t="str">
        <f aca="false">IF(E500="","No","Yes")</f>
        <v>Yes</v>
      </c>
      <c r="G500" s="18" t="n">
        <f aca="false">IF(F500="No","N/A",D500-E500)</f>
        <v>4238.4</v>
      </c>
      <c r="H500" s="16" t="str">
        <f aca="false">IF(F500="No","Unmatched - Investigate",IF(ABS(D500-E500)&gt;Assumptions!$B$6,"Mismatch - Amount Differs","Matched"))</f>
        <v>Mismatch - Amount Differs</v>
      </c>
    </row>
    <row r="501" customFormat="false" ht="15" hidden="false" customHeight="false" outlineLevel="0" collapsed="false">
      <c r="A501" s="16" t="str">
        <f aca="false">Payment_Log_AP!A497</f>
        <v>PAY40496</v>
      </c>
      <c r="B501" s="16" t="str">
        <f aca="false">Payment_Log_AP!C497</f>
        <v>V1015</v>
      </c>
      <c r="C501" s="17" t="n">
        <f aca="false">Payment_Log_AP!D497</f>
        <v>45946</v>
      </c>
      <c r="D501" s="18" t="n">
        <f aca="false">Payment_Log_AP!E497</f>
        <v>202.78</v>
      </c>
      <c r="E501" s="18" t="n">
        <f aca="false">IFERROR(INDEX(Bank_Statement!$C$2:$C$783,MATCH(A501,Bank_Statement!$E$2:$E$783,0)),"")</f>
        <v>-202.78</v>
      </c>
      <c r="F501" s="16" t="str">
        <f aca="false">IF(E501="","No","Yes")</f>
        <v>Yes</v>
      </c>
      <c r="G501" s="18" t="n">
        <f aca="false">IF(F501="No","N/A",D501-E501)</f>
        <v>405.56</v>
      </c>
      <c r="H501" s="16" t="str">
        <f aca="false">IF(F501="No","Unmatched - Investigate",IF(ABS(D501-E501)&gt;Assumptions!$B$6,"Mismatch - Amount Differs","Matched"))</f>
        <v>Mismatch - Amount Differs</v>
      </c>
    </row>
    <row r="502" customFormat="false" ht="15" hidden="false" customHeight="false" outlineLevel="0" collapsed="false">
      <c r="A502" s="16" t="str">
        <f aca="false">Payment_Log_AP!A498</f>
        <v>PAY40497</v>
      </c>
      <c r="B502" s="16" t="str">
        <f aca="false">Payment_Log_AP!C498</f>
        <v>V1023</v>
      </c>
      <c r="C502" s="17" t="n">
        <f aca="false">Payment_Log_AP!D498</f>
        <v>45815</v>
      </c>
      <c r="D502" s="18" t="n">
        <f aca="false">Payment_Log_AP!E498</f>
        <v>1869.57</v>
      </c>
      <c r="E502" s="18" t="n">
        <f aca="false">IFERROR(INDEX(Bank_Statement!$C$2:$C$783,MATCH(A502,Bank_Statement!$E$2:$E$783,0)),"")</f>
        <v>-1869.57</v>
      </c>
      <c r="F502" s="16" t="str">
        <f aca="false">IF(E502="","No","Yes")</f>
        <v>Yes</v>
      </c>
      <c r="G502" s="18" t="n">
        <f aca="false">IF(F502="No","N/A",D502-E502)</f>
        <v>3739.14</v>
      </c>
      <c r="H502" s="16" t="str">
        <f aca="false">IF(F502="No","Unmatched - Investigate",IF(ABS(D502-E502)&gt;Assumptions!$B$6,"Mismatch - Amount Differs","Matched"))</f>
        <v>Mismatch - Amount Differs</v>
      </c>
    </row>
    <row r="503" customFormat="false" ht="15" hidden="false" customHeight="false" outlineLevel="0" collapsed="false">
      <c r="A503" s="16" t="str">
        <f aca="false">Payment_Log_AP!A499</f>
        <v>PAY40498</v>
      </c>
      <c r="B503" s="16" t="str">
        <f aca="false">Payment_Log_AP!C499</f>
        <v>V1012</v>
      </c>
      <c r="C503" s="17" t="n">
        <f aca="false">Payment_Log_AP!D499</f>
        <v>46017</v>
      </c>
      <c r="D503" s="18" t="n">
        <f aca="false">Payment_Log_AP!E499</f>
        <v>1002.81</v>
      </c>
      <c r="E503" s="18" t="n">
        <f aca="false">IFERROR(INDEX(Bank_Statement!$C$2:$C$783,MATCH(A503,Bank_Statement!$E$2:$E$783,0)),"")</f>
        <v>-1002.81</v>
      </c>
      <c r="F503" s="16" t="str">
        <f aca="false">IF(E503="","No","Yes")</f>
        <v>Yes</v>
      </c>
      <c r="G503" s="18" t="n">
        <f aca="false">IF(F503="No","N/A",D503-E503)</f>
        <v>2005.62</v>
      </c>
      <c r="H503" s="16" t="str">
        <f aca="false">IF(F503="No","Unmatched - Investigate",IF(ABS(D503-E503)&gt;Assumptions!$B$6,"Mismatch - Amount Differs","Matched"))</f>
        <v>Mismatch - Amount Differs</v>
      </c>
    </row>
    <row r="504" customFormat="false" ht="15" hidden="false" customHeight="false" outlineLevel="0" collapsed="false">
      <c r="A504" s="16" t="str">
        <f aca="false">Payment_Log_AP!A500</f>
        <v>PAY40499</v>
      </c>
      <c r="B504" s="16" t="str">
        <f aca="false">Payment_Log_AP!C500</f>
        <v>V1019</v>
      </c>
      <c r="C504" s="17" t="n">
        <f aca="false">Payment_Log_AP!D500</f>
        <v>45987</v>
      </c>
      <c r="D504" s="18" t="n">
        <f aca="false">Payment_Log_AP!E500</f>
        <v>829.86</v>
      </c>
      <c r="E504" s="18" t="n">
        <f aca="false">IFERROR(INDEX(Bank_Statement!$C$2:$C$783,MATCH(A504,Bank_Statement!$E$2:$E$783,0)),"")</f>
        <v>-829.86</v>
      </c>
      <c r="F504" s="16" t="str">
        <f aca="false">IF(E504="","No","Yes")</f>
        <v>Yes</v>
      </c>
      <c r="G504" s="18" t="n">
        <f aca="false">IF(F504="No","N/A",D504-E504)</f>
        <v>1659.72</v>
      </c>
      <c r="H504" s="16" t="str">
        <f aca="false">IF(F504="No","Unmatched - Investigate",IF(ABS(D504-E504)&gt;Assumptions!$B$6,"Mismatch - Amount Differs","Matched"))</f>
        <v>Mismatch - Amount Differs</v>
      </c>
    </row>
    <row r="505" customFormat="false" ht="15" hidden="false" customHeight="false" outlineLevel="0" collapsed="false">
      <c r="A505" s="16" t="str">
        <f aca="false">Payment_Log_AP!A501</f>
        <v>PAY40500</v>
      </c>
      <c r="B505" s="16" t="str">
        <f aca="false">Payment_Log_AP!C501</f>
        <v>V1028</v>
      </c>
      <c r="C505" s="17" t="n">
        <f aca="false">Payment_Log_AP!D501</f>
        <v>45844</v>
      </c>
      <c r="D505" s="18" t="n">
        <f aca="false">Payment_Log_AP!E501</f>
        <v>3096.07</v>
      </c>
      <c r="E505" s="18" t="n">
        <f aca="false">IFERROR(INDEX(Bank_Statement!$C$2:$C$783,MATCH(A505,Bank_Statement!$E$2:$E$783,0)),"")</f>
        <v>-3096.07</v>
      </c>
      <c r="F505" s="16" t="str">
        <f aca="false">IF(E505="","No","Yes")</f>
        <v>Yes</v>
      </c>
      <c r="G505" s="18" t="n">
        <f aca="false">IF(F505="No","N/A",D505-E505)</f>
        <v>6192.14</v>
      </c>
      <c r="H505" s="16" t="str">
        <f aca="false">IF(F505="No","Unmatched - Investigate",IF(ABS(D505-E505)&gt;Assumptions!$B$6,"Mismatch - Amount Differs","Matched"))</f>
        <v>Mismatch - Amount Differs</v>
      </c>
    </row>
    <row r="506" customFormat="false" ht="15" hidden="false" customHeight="false" outlineLevel="0" collapsed="false">
      <c r="A506" s="16" t="str">
        <f aca="false">Payment_Log_AP!A502</f>
        <v>PAY40501</v>
      </c>
      <c r="B506" s="16" t="str">
        <f aca="false">Payment_Log_AP!C502</f>
        <v>V1003</v>
      </c>
      <c r="C506" s="17" t="n">
        <f aca="false">Payment_Log_AP!D502</f>
        <v>46061</v>
      </c>
      <c r="D506" s="18" t="n">
        <f aca="false">Payment_Log_AP!E502</f>
        <v>1462.27</v>
      </c>
      <c r="E506" s="18" t="n">
        <f aca="false">IFERROR(INDEX(Bank_Statement!$C$2:$C$783,MATCH(A506,Bank_Statement!$E$2:$E$783,0)),"")</f>
        <v>-1462.27</v>
      </c>
      <c r="F506" s="16" t="str">
        <f aca="false">IF(E506="","No","Yes")</f>
        <v>Yes</v>
      </c>
      <c r="G506" s="18" t="n">
        <f aca="false">IF(F506="No","N/A",D506-E506)</f>
        <v>2924.54</v>
      </c>
      <c r="H506" s="16" t="str">
        <f aca="false">IF(F506="No","Unmatched - Investigate",IF(ABS(D506-E506)&gt;Assumptions!$B$6,"Mismatch - Amount Differs","Matched"))</f>
        <v>Mismatch - Amount Differs</v>
      </c>
    </row>
    <row r="507" customFormat="false" ht="15" hidden="false" customHeight="false" outlineLevel="0" collapsed="false">
      <c r="A507" s="16" t="str">
        <f aca="false">Payment_Log_AP!A503</f>
        <v>PAY40502</v>
      </c>
      <c r="B507" s="16" t="str">
        <f aca="false">Payment_Log_AP!C503</f>
        <v>V1023</v>
      </c>
      <c r="C507" s="17" t="n">
        <f aca="false">Payment_Log_AP!D503</f>
        <v>45845</v>
      </c>
      <c r="D507" s="18" t="n">
        <f aca="false">Payment_Log_AP!E503</f>
        <v>1476.77</v>
      </c>
      <c r="E507" s="18" t="n">
        <f aca="false">IFERROR(INDEX(Bank_Statement!$C$2:$C$783,MATCH(A507,Bank_Statement!$E$2:$E$783,0)),"")</f>
        <v>-1476.77</v>
      </c>
      <c r="F507" s="16" t="str">
        <f aca="false">IF(E507="","No","Yes")</f>
        <v>Yes</v>
      </c>
      <c r="G507" s="18" t="n">
        <f aca="false">IF(F507="No","N/A",D507-E507)</f>
        <v>2953.54</v>
      </c>
      <c r="H507" s="16" t="str">
        <f aca="false">IF(F507="No","Unmatched - Investigate",IF(ABS(D507-E507)&gt;Assumptions!$B$6,"Mismatch - Amount Differs","Matched"))</f>
        <v>Mismatch - Amount Differs</v>
      </c>
    </row>
    <row r="508" customFormat="false" ht="15" hidden="false" customHeight="false" outlineLevel="0" collapsed="false">
      <c r="A508" s="16" t="str">
        <f aca="false">Payment_Log_AP!A504</f>
        <v>PAY40503</v>
      </c>
      <c r="B508" s="16" t="str">
        <f aca="false">Payment_Log_AP!C504</f>
        <v>V1036</v>
      </c>
      <c r="C508" s="17" t="n">
        <f aca="false">Payment_Log_AP!D504</f>
        <v>45983</v>
      </c>
      <c r="D508" s="18" t="n">
        <f aca="false">Payment_Log_AP!E504</f>
        <v>3152.95</v>
      </c>
      <c r="E508" s="18" t="n">
        <f aca="false">IFERROR(INDEX(Bank_Statement!$C$2:$C$783,MATCH(A508,Bank_Statement!$E$2:$E$783,0)),"")</f>
        <v>-3152.95</v>
      </c>
      <c r="F508" s="16" t="str">
        <f aca="false">IF(E508="","No","Yes")</f>
        <v>Yes</v>
      </c>
      <c r="G508" s="18" t="n">
        <f aca="false">IF(F508="No","N/A",D508-E508)</f>
        <v>6305.9</v>
      </c>
      <c r="H508" s="16" t="str">
        <f aca="false">IF(F508="No","Unmatched - Investigate",IF(ABS(D508-E508)&gt;Assumptions!$B$6,"Mismatch - Amount Differs","Matched"))</f>
        <v>Mismatch - Amount Differs</v>
      </c>
    </row>
    <row r="509" customFormat="false" ht="15" hidden="false" customHeight="false" outlineLevel="0" collapsed="false">
      <c r="A509" s="16" t="str">
        <f aca="false">Payment_Log_AP!A505</f>
        <v>PAY40504</v>
      </c>
      <c r="B509" s="16" t="str">
        <f aca="false">Payment_Log_AP!C505</f>
        <v>V1003</v>
      </c>
      <c r="C509" s="17" t="n">
        <f aca="false">Payment_Log_AP!D505</f>
        <v>46068</v>
      </c>
      <c r="D509" s="18" t="n">
        <f aca="false">Payment_Log_AP!E505</f>
        <v>3405.2</v>
      </c>
      <c r="E509" s="18" t="n">
        <f aca="false">IFERROR(INDEX(Bank_Statement!$C$2:$C$783,MATCH(A509,Bank_Statement!$E$2:$E$783,0)),"")</f>
        <v>-3405.2</v>
      </c>
      <c r="F509" s="16" t="str">
        <f aca="false">IF(E509="","No","Yes")</f>
        <v>Yes</v>
      </c>
      <c r="G509" s="18" t="n">
        <f aca="false">IF(F509="No","N/A",D509-E509)</f>
        <v>6810.4</v>
      </c>
      <c r="H509" s="16" t="str">
        <f aca="false">IF(F509="No","Unmatched - Investigate",IF(ABS(D509-E509)&gt;Assumptions!$B$6,"Mismatch - Amount Differs","Matched"))</f>
        <v>Mismatch - Amount Differs</v>
      </c>
    </row>
    <row r="510" customFormat="false" ht="15" hidden="false" customHeight="false" outlineLevel="0" collapsed="false">
      <c r="A510" s="16" t="str">
        <f aca="false">Payment_Log_AP!A506</f>
        <v>PAY40505</v>
      </c>
      <c r="B510" s="16" t="str">
        <f aca="false">Payment_Log_AP!C506</f>
        <v>V1013</v>
      </c>
      <c r="C510" s="17" t="n">
        <f aca="false">Payment_Log_AP!D506</f>
        <v>46093</v>
      </c>
      <c r="D510" s="18" t="n">
        <f aca="false">Payment_Log_AP!E506</f>
        <v>290.16</v>
      </c>
      <c r="E510" s="18" t="n">
        <f aca="false">IFERROR(INDEX(Bank_Statement!$C$2:$C$783,MATCH(A510,Bank_Statement!$E$2:$E$783,0)),"")</f>
        <v>-290.16</v>
      </c>
      <c r="F510" s="16" t="str">
        <f aca="false">IF(E510="","No","Yes")</f>
        <v>Yes</v>
      </c>
      <c r="G510" s="18" t="n">
        <f aca="false">IF(F510="No","N/A",D510-E510)</f>
        <v>580.32</v>
      </c>
      <c r="H510" s="16" t="str">
        <f aca="false">IF(F510="No","Unmatched - Investigate",IF(ABS(D510-E510)&gt;Assumptions!$B$6,"Mismatch - Amount Differs","Matched"))</f>
        <v>Mismatch - Amount Differs</v>
      </c>
    </row>
    <row r="511" customFormat="false" ht="15" hidden="false" customHeight="false" outlineLevel="0" collapsed="false">
      <c r="A511" s="16" t="str">
        <f aca="false">Payment_Log_AP!A507</f>
        <v>PAY40506</v>
      </c>
      <c r="B511" s="16" t="str">
        <f aca="false">Payment_Log_AP!C507</f>
        <v>V1030</v>
      </c>
      <c r="C511" s="17" t="n">
        <f aca="false">Payment_Log_AP!D507</f>
        <v>45719</v>
      </c>
      <c r="D511" s="18" t="n">
        <f aca="false">Payment_Log_AP!E507</f>
        <v>3177.82</v>
      </c>
      <c r="E511" s="18" t="n">
        <f aca="false">IFERROR(INDEX(Bank_Statement!$C$2:$C$783,MATCH(A511,Bank_Statement!$E$2:$E$783,0)),"")</f>
        <v>-3177.82</v>
      </c>
      <c r="F511" s="16" t="str">
        <f aca="false">IF(E511="","No","Yes")</f>
        <v>Yes</v>
      </c>
      <c r="G511" s="18" t="n">
        <f aca="false">IF(F511="No","N/A",D511-E511)</f>
        <v>6355.64</v>
      </c>
      <c r="H511" s="16" t="str">
        <f aca="false">IF(F511="No","Unmatched - Investigate",IF(ABS(D511-E511)&gt;Assumptions!$B$6,"Mismatch - Amount Differs","Matched"))</f>
        <v>Mismatch - Amount Differs</v>
      </c>
    </row>
    <row r="512" customFormat="false" ht="15" hidden="false" customHeight="false" outlineLevel="0" collapsed="false">
      <c r="A512" s="16" t="str">
        <f aca="false">Payment_Log_AP!A508</f>
        <v>PAY40507</v>
      </c>
      <c r="B512" s="16" t="str">
        <f aca="false">Payment_Log_AP!C508</f>
        <v>V1009</v>
      </c>
      <c r="C512" s="17" t="n">
        <f aca="false">Payment_Log_AP!D508</f>
        <v>45951</v>
      </c>
      <c r="D512" s="18" t="n">
        <f aca="false">Payment_Log_AP!E508</f>
        <v>2363.54</v>
      </c>
      <c r="E512" s="18" t="n">
        <f aca="false">IFERROR(INDEX(Bank_Statement!$C$2:$C$783,MATCH(A512,Bank_Statement!$E$2:$E$783,0)),"")</f>
        <v>-2363.54</v>
      </c>
      <c r="F512" s="16" t="str">
        <f aca="false">IF(E512="","No","Yes")</f>
        <v>Yes</v>
      </c>
      <c r="G512" s="18" t="n">
        <f aca="false">IF(F512="No","N/A",D512-E512)</f>
        <v>4727.08</v>
      </c>
      <c r="H512" s="16" t="str">
        <f aca="false">IF(F512="No","Unmatched - Investigate",IF(ABS(D512-E512)&gt;Assumptions!$B$6,"Mismatch - Amount Differs","Matched"))</f>
        <v>Mismatch - Amount Differs</v>
      </c>
    </row>
    <row r="513" customFormat="false" ht="15" hidden="false" customHeight="false" outlineLevel="0" collapsed="false">
      <c r="A513" s="16" t="str">
        <f aca="false">Payment_Log_AP!A509</f>
        <v>PAY40508</v>
      </c>
      <c r="B513" s="16" t="str">
        <f aca="false">Payment_Log_AP!C509</f>
        <v>V1006</v>
      </c>
      <c r="C513" s="17" t="n">
        <f aca="false">Payment_Log_AP!D509</f>
        <v>46174</v>
      </c>
      <c r="D513" s="18" t="n">
        <f aca="false">Payment_Log_AP!E509</f>
        <v>1328.83</v>
      </c>
      <c r="E513" s="18" t="n">
        <f aca="false">IFERROR(INDEX(Bank_Statement!$C$2:$C$783,MATCH(A513,Bank_Statement!$E$2:$E$783,0)),"")</f>
        <v>-1328.83</v>
      </c>
      <c r="F513" s="16" t="str">
        <f aca="false">IF(E513="","No","Yes")</f>
        <v>Yes</v>
      </c>
      <c r="G513" s="18" t="n">
        <f aca="false">IF(F513="No","N/A",D513-E513)</f>
        <v>2657.66</v>
      </c>
      <c r="H513" s="16" t="str">
        <f aca="false">IF(F513="No","Unmatched - Investigate",IF(ABS(D513-E513)&gt;Assumptions!$B$6,"Mismatch - Amount Differs","Matched"))</f>
        <v>Mismatch - Amount Differs</v>
      </c>
    </row>
    <row r="514" customFormat="false" ht="15" hidden="false" customHeight="false" outlineLevel="0" collapsed="false">
      <c r="A514" s="16" t="str">
        <f aca="false">Payment_Log_AP!A510</f>
        <v>PAY40509</v>
      </c>
      <c r="B514" s="16" t="str">
        <f aca="false">Payment_Log_AP!C510</f>
        <v>V1020</v>
      </c>
      <c r="C514" s="17" t="n">
        <f aca="false">Payment_Log_AP!D510</f>
        <v>45848</v>
      </c>
      <c r="D514" s="18" t="n">
        <f aca="false">Payment_Log_AP!E510</f>
        <v>940.45</v>
      </c>
      <c r="E514" s="18" t="n">
        <f aca="false">IFERROR(INDEX(Bank_Statement!$C$2:$C$783,MATCH(A514,Bank_Statement!$E$2:$E$783,0)),"")</f>
        <v>-940.45</v>
      </c>
      <c r="F514" s="16" t="str">
        <f aca="false">IF(E514="","No","Yes")</f>
        <v>Yes</v>
      </c>
      <c r="G514" s="18" t="n">
        <f aca="false">IF(F514="No","N/A",D514-E514)</f>
        <v>1880.9</v>
      </c>
      <c r="H514" s="16" t="str">
        <f aca="false">IF(F514="No","Unmatched - Investigate",IF(ABS(D514-E514)&gt;Assumptions!$B$6,"Mismatch - Amount Differs","Matched"))</f>
        <v>Mismatch - Amount Differs</v>
      </c>
    </row>
    <row r="515" customFormat="false" ht="15" hidden="false" customHeight="false" outlineLevel="0" collapsed="false">
      <c r="A515" s="16" t="str">
        <f aca="false">Payment_Log_AP!A511</f>
        <v>PAY40510</v>
      </c>
      <c r="B515" s="16" t="str">
        <f aca="false">Payment_Log_AP!C511</f>
        <v>V1036</v>
      </c>
      <c r="C515" s="17" t="n">
        <f aca="false">Payment_Log_AP!D511</f>
        <v>46106</v>
      </c>
      <c r="D515" s="18" t="n">
        <f aca="false">Payment_Log_AP!E511</f>
        <v>3318.83</v>
      </c>
      <c r="E515" s="18" t="n">
        <f aca="false">IFERROR(INDEX(Bank_Statement!$C$2:$C$783,MATCH(A515,Bank_Statement!$E$2:$E$783,0)),"")</f>
        <v>-3318.83</v>
      </c>
      <c r="F515" s="16" t="str">
        <f aca="false">IF(E515="","No","Yes")</f>
        <v>Yes</v>
      </c>
      <c r="G515" s="18" t="n">
        <f aca="false">IF(F515="No","N/A",D515-E515)</f>
        <v>6637.66</v>
      </c>
      <c r="H515" s="16" t="str">
        <f aca="false">IF(F515="No","Unmatched - Investigate",IF(ABS(D515-E515)&gt;Assumptions!$B$6,"Mismatch - Amount Differs","Matched"))</f>
        <v>Mismatch - Amount Differs</v>
      </c>
    </row>
    <row r="516" customFormat="false" ht="15" hidden="false" customHeight="false" outlineLevel="0" collapsed="false">
      <c r="A516" s="16" t="str">
        <f aca="false">Payment_Log_AP!A512</f>
        <v>PAY40511</v>
      </c>
      <c r="B516" s="16" t="str">
        <f aca="false">Payment_Log_AP!C512</f>
        <v>V1007</v>
      </c>
      <c r="C516" s="17" t="n">
        <f aca="false">Payment_Log_AP!D512</f>
        <v>46021</v>
      </c>
      <c r="D516" s="18" t="n">
        <f aca="false">Payment_Log_AP!E512</f>
        <v>2949.36</v>
      </c>
      <c r="E516" s="18" t="n">
        <f aca="false">IFERROR(INDEX(Bank_Statement!$C$2:$C$783,MATCH(A516,Bank_Statement!$E$2:$E$783,0)),"")</f>
        <v>-2949.36</v>
      </c>
      <c r="F516" s="16" t="str">
        <f aca="false">IF(E516="","No","Yes")</f>
        <v>Yes</v>
      </c>
      <c r="G516" s="18" t="n">
        <f aca="false">IF(F516="No","N/A",D516-E516)</f>
        <v>5898.72</v>
      </c>
      <c r="H516" s="16" t="str">
        <f aca="false">IF(F516="No","Unmatched - Investigate",IF(ABS(D516-E516)&gt;Assumptions!$B$6,"Mismatch - Amount Differs","Matched"))</f>
        <v>Mismatch - Amount Differs</v>
      </c>
    </row>
    <row r="517" customFormat="false" ht="15" hidden="false" customHeight="false" outlineLevel="0" collapsed="false">
      <c r="A517" s="16" t="str">
        <f aca="false">Payment_Log_AP!A513</f>
        <v>PAY40512</v>
      </c>
      <c r="B517" s="16" t="str">
        <f aca="false">Payment_Log_AP!C513</f>
        <v>V1008</v>
      </c>
      <c r="C517" s="17" t="n">
        <f aca="false">Payment_Log_AP!D513</f>
        <v>45865</v>
      </c>
      <c r="D517" s="18" t="n">
        <f aca="false">Payment_Log_AP!E513</f>
        <v>1733.53</v>
      </c>
      <c r="E517" s="18" t="n">
        <f aca="false">IFERROR(INDEX(Bank_Statement!$C$2:$C$783,MATCH(A517,Bank_Statement!$E$2:$E$783,0)),"")</f>
        <v>-1733.53</v>
      </c>
      <c r="F517" s="16" t="str">
        <f aca="false">IF(E517="","No","Yes")</f>
        <v>Yes</v>
      </c>
      <c r="G517" s="18" t="n">
        <f aca="false">IF(F517="No","N/A",D517-E517)</f>
        <v>3467.06</v>
      </c>
      <c r="H517" s="16" t="str">
        <f aca="false">IF(F517="No","Unmatched - Investigate",IF(ABS(D517-E517)&gt;Assumptions!$B$6,"Mismatch - Amount Differs","Matched"))</f>
        <v>Mismatch - Amount Differs</v>
      </c>
    </row>
    <row r="518" customFormat="false" ht="15" hidden="false" customHeight="false" outlineLevel="0" collapsed="false">
      <c r="A518" s="16" t="str">
        <f aca="false">Payment_Log_AP!A514</f>
        <v>PAY40513</v>
      </c>
      <c r="B518" s="16" t="str">
        <f aca="false">Payment_Log_AP!C514</f>
        <v>V1035</v>
      </c>
      <c r="C518" s="17" t="n">
        <f aca="false">Payment_Log_AP!D514</f>
        <v>46039</v>
      </c>
      <c r="D518" s="18" t="n">
        <f aca="false">Payment_Log_AP!E514</f>
        <v>2308.67</v>
      </c>
      <c r="E518" s="18" t="n">
        <f aca="false">IFERROR(INDEX(Bank_Statement!$C$2:$C$783,MATCH(A518,Bank_Statement!$E$2:$E$783,0)),"")</f>
        <v>-2308.67</v>
      </c>
      <c r="F518" s="16" t="str">
        <f aca="false">IF(E518="","No","Yes")</f>
        <v>Yes</v>
      </c>
      <c r="G518" s="18" t="n">
        <f aca="false">IF(F518="No","N/A",D518-E518)</f>
        <v>4617.34</v>
      </c>
      <c r="H518" s="16" t="str">
        <f aca="false">IF(F518="No","Unmatched - Investigate",IF(ABS(D518-E518)&gt;Assumptions!$B$6,"Mismatch - Amount Differs","Matched"))</f>
        <v>Mismatch - Amount Differs</v>
      </c>
    </row>
    <row r="519" customFormat="false" ht="15" hidden="false" customHeight="false" outlineLevel="0" collapsed="false">
      <c r="A519" s="16" t="str">
        <f aca="false">Payment_Log_AP!A515</f>
        <v>PAY40514</v>
      </c>
      <c r="B519" s="16" t="str">
        <f aca="false">Payment_Log_AP!C515</f>
        <v>V1029</v>
      </c>
      <c r="C519" s="17" t="n">
        <f aca="false">Payment_Log_AP!D515</f>
        <v>46045</v>
      </c>
      <c r="D519" s="18" t="n">
        <f aca="false">Payment_Log_AP!E515</f>
        <v>3697.76</v>
      </c>
      <c r="E519" s="18" t="n">
        <f aca="false">IFERROR(INDEX(Bank_Statement!$C$2:$C$783,MATCH(A519,Bank_Statement!$E$2:$E$783,0)),"")</f>
        <v>-3697.76</v>
      </c>
      <c r="F519" s="16" t="str">
        <f aca="false">IF(E519="","No","Yes")</f>
        <v>Yes</v>
      </c>
      <c r="G519" s="18" t="n">
        <f aca="false">IF(F519="No","N/A",D519-E519)</f>
        <v>7395.52</v>
      </c>
      <c r="H519" s="16" t="str">
        <f aca="false">IF(F519="No","Unmatched - Investigate",IF(ABS(D519-E519)&gt;Assumptions!$B$6,"Mismatch - Amount Differs","Matched"))</f>
        <v>Mismatch - Amount Differs</v>
      </c>
    </row>
    <row r="520" customFormat="false" ht="15" hidden="false" customHeight="false" outlineLevel="0" collapsed="false">
      <c r="A520" s="16" t="str">
        <f aca="false">Payment_Log_AP!A516</f>
        <v>PAY40515</v>
      </c>
      <c r="B520" s="16" t="str">
        <f aca="false">Payment_Log_AP!C516</f>
        <v>V1013</v>
      </c>
      <c r="C520" s="17" t="n">
        <f aca="false">Payment_Log_AP!D516</f>
        <v>46076</v>
      </c>
      <c r="D520" s="18" t="n">
        <f aca="false">Payment_Log_AP!E516</f>
        <v>1532.53</v>
      </c>
      <c r="E520" s="18" t="n">
        <f aca="false">IFERROR(INDEX(Bank_Statement!$C$2:$C$783,MATCH(A520,Bank_Statement!$E$2:$E$783,0)),"")</f>
        <v>-1532.53</v>
      </c>
      <c r="F520" s="16" t="str">
        <f aca="false">IF(E520="","No","Yes")</f>
        <v>Yes</v>
      </c>
      <c r="G520" s="18" t="n">
        <f aca="false">IF(F520="No","N/A",D520-E520)</f>
        <v>3065.06</v>
      </c>
      <c r="H520" s="16" t="str">
        <f aca="false">IF(F520="No","Unmatched - Investigate",IF(ABS(D520-E520)&gt;Assumptions!$B$6,"Mismatch - Amount Differs","Matched"))</f>
        <v>Mismatch - Amount Differs</v>
      </c>
    </row>
    <row r="521" customFormat="false" ht="15" hidden="false" customHeight="false" outlineLevel="0" collapsed="false">
      <c r="A521" s="16" t="str">
        <f aca="false">Payment_Log_AP!A517</f>
        <v>PAY40516</v>
      </c>
      <c r="B521" s="16" t="str">
        <f aca="false">Payment_Log_AP!C517</f>
        <v>V1018</v>
      </c>
      <c r="C521" s="17" t="n">
        <f aca="false">Payment_Log_AP!D517</f>
        <v>46104</v>
      </c>
      <c r="D521" s="18" t="n">
        <f aca="false">Payment_Log_AP!E517</f>
        <v>354.2</v>
      </c>
      <c r="E521" s="18" t="n">
        <f aca="false">IFERROR(INDEX(Bank_Statement!$C$2:$C$783,MATCH(A521,Bank_Statement!$E$2:$E$783,0)),"")</f>
        <v>-354.2</v>
      </c>
      <c r="F521" s="16" t="str">
        <f aca="false">IF(E521="","No","Yes")</f>
        <v>Yes</v>
      </c>
      <c r="G521" s="18" t="n">
        <f aca="false">IF(F521="No","N/A",D521-E521)</f>
        <v>708.4</v>
      </c>
      <c r="H521" s="16" t="str">
        <f aca="false">IF(F521="No","Unmatched - Investigate",IF(ABS(D521-E521)&gt;Assumptions!$B$6,"Mismatch - Amount Differs","Matched"))</f>
        <v>Mismatch - Amount Differs</v>
      </c>
    </row>
    <row r="522" customFormat="false" ht="15" hidden="false" customHeight="false" outlineLevel="0" collapsed="false">
      <c r="A522" s="16" t="str">
        <f aca="false">Payment_Log_AP!A518</f>
        <v>PAY40517</v>
      </c>
      <c r="B522" s="16" t="str">
        <f aca="false">Payment_Log_AP!C518</f>
        <v>V1021</v>
      </c>
      <c r="C522" s="17" t="n">
        <f aca="false">Payment_Log_AP!D518</f>
        <v>46052</v>
      </c>
      <c r="D522" s="18" t="n">
        <f aca="false">Payment_Log_AP!E518</f>
        <v>1077.17</v>
      </c>
      <c r="E522" s="18" t="n">
        <f aca="false">IFERROR(INDEX(Bank_Statement!$C$2:$C$783,MATCH(A522,Bank_Statement!$E$2:$E$783,0)),"")</f>
        <v>-1077.17</v>
      </c>
      <c r="F522" s="16" t="str">
        <f aca="false">IF(E522="","No","Yes")</f>
        <v>Yes</v>
      </c>
      <c r="G522" s="18" t="n">
        <f aca="false">IF(F522="No","N/A",D522-E522)</f>
        <v>2154.34</v>
      </c>
      <c r="H522" s="16" t="str">
        <f aca="false">IF(F522="No","Unmatched - Investigate",IF(ABS(D522-E522)&gt;Assumptions!$B$6,"Mismatch - Amount Differs","Matched"))</f>
        <v>Mismatch - Amount Differs</v>
      </c>
    </row>
    <row r="523" customFormat="false" ht="15" hidden="false" customHeight="false" outlineLevel="0" collapsed="false">
      <c r="A523" s="16" t="str">
        <f aca="false">Payment_Log_AP!A519</f>
        <v>PAY40518</v>
      </c>
      <c r="B523" s="16" t="str">
        <f aca="false">Payment_Log_AP!C519</f>
        <v>V1015</v>
      </c>
      <c r="C523" s="17" t="n">
        <f aca="false">Payment_Log_AP!D519</f>
        <v>46146</v>
      </c>
      <c r="D523" s="18" t="n">
        <f aca="false">Payment_Log_AP!E519</f>
        <v>968.37</v>
      </c>
      <c r="E523" s="18" t="n">
        <f aca="false">IFERROR(INDEX(Bank_Statement!$C$2:$C$783,MATCH(A523,Bank_Statement!$E$2:$E$783,0)),"")</f>
        <v>-968.37</v>
      </c>
      <c r="F523" s="16" t="str">
        <f aca="false">IF(E523="","No","Yes")</f>
        <v>Yes</v>
      </c>
      <c r="G523" s="18" t="n">
        <f aca="false">IF(F523="No","N/A",D523-E523)</f>
        <v>1936.74</v>
      </c>
      <c r="H523" s="16" t="str">
        <f aca="false">IF(F523="No","Unmatched - Investigate",IF(ABS(D523-E523)&gt;Assumptions!$B$6,"Mismatch - Amount Differs","Matched"))</f>
        <v>Mismatch - Amount Differs</v>
      </c>
    </row>
    <row r="524" customFormat="false" ht="15" hidden="false" customHeight="false" outlineLevel="0" collapsed="false">
      <c r="A524" s="16" t="str">
        <f aca="false">Payment_Log_AP!A520</f>
        <v>PAY40519</v>
      </c>
      <c r="B524" s="16" t="str">
        <f aca="false">Payment_Log_AP!C520</f>
        <v>V1005</v>
      </c>
      <c r="C524" s="17" t="n">
        <f aca="false">Payment_Log_AP!D520</f>
        <v>46028</v>
      </c>
      <c r="D524" s="18" t="n">
        <f aca="false">Payment_Log_AP!E520</f>
        <v>1370.11</v>
      </c>
      <c r="E524" s="18" t="n">
        <f aca="false">IFERROR(INDEX(Bank_Statement!$C$2:$C$783,MATCH(A524,Bank_Statement!$E$2:$E$783,0)),"")</f>
        <v>-1370.11</v>
      </c>
      <c r="F524" s="16" t="str">
        <f aca="false">IF(E524="","No","Yes")</f>
        <v>Yes</v>
      </c>
      <c r="G524" s="18" t="n">
        <f aca="false">IF(F524="No","N/A",D524-E524)</f>
        <v>2740.22</v>
      </c>
      <c r="H524" s="16" t="str">
        <f aca="false">IF(F524="No","Unmatched - Investigate",IF(ABS(D524-E524)&gt;Assumptions!$B$6,"Mismatch - Amount Differs","Matched"))</f>
        <v>Mismatch - Amount Differs</v>
      </c>
    </row>
    <row r="525" customFormat="false" ht="15" hidden="false" customHeight="false" outlineLevel="0" collapsed="false">
      <c r="A525" s="16" t="str">
        <f aca="false">Payment_Log_AP!A521</f>
        <v>PAY40520</v>
      </c>
      <c r="B525" s="16" t="str">
        <f aca="false">Payment_Log_AP!C521</f>
        <v>V1030</v>
      </c>
      <c r="C525" s="17" t="n">
        <f aca="false">Payment_Log_AP!D521</f>
        <v>46018</v>
      </c>
      <c r="D525" s="18" t="n">
        <f aca="false">Payment_Log_AP!E521</f>
        <v>3138.5</v>
      </c>
      <c r="E525" s="18" t="n">
        <f aca="false">IFERROR(INDEX(Bank_Statement!$C$2:$C$783,MATCH(A525,Bank_Statement!$E$2:$E$783,0)),"")</f>
        <v>-3138.5</v>
      </c>
      <c r="F525" s="16" t="str">
        <f aca="false">IF(E525="","No","Yes")</f>
        <v>Yes</v>
      </c>
      <c r="G525" s="18" t="n">
        <f aca="false">IF(F525="No","N/A",D525-E525)</f>
        <v>6277</v>
      </c>
      <c r="H525" s="16" t="str">
        <f aca="false">IF(F525="No","Unmatched - Investigate",IF(ABS(D525-E525)&gt;Assumptions!$B$6,"Mismatch - Amount Differs","Matched"))</f>
        <v>Mismatch - Amount Differs</v>
      </c>
    </row>
    <row r="526" customFormat="false" ht="15" hidden="false" customHeight="false" outlineLevel="0" collapsed="false">
      <c r="A526" s="16" t="str">
        <f aca="false">Payment_Log_AP!A522</f>
        <v>PAY40521</v>
      </c>
      <c r="B526" s="16" t="str">
        <f aca="false">Payment_Log_AP!C522</f>
        <v>V1011</v>
      </c>
      <c r="C526" s="17" t="n">
        <f aca="false">Payment_Log_AP!D522</f>
        <v>45869</v>
      </c>
      <c r="D526" s="18" t="n">
        <f aca="false">Payment_Log_AP!E522</f>
        <v>4085.56</v>
      </c>
      <c r="E526" s="18" t="n">
        <f aca="false">IFERROR(INDEX(Bank_Statement!$C$2:$C$783,MATCH(A526,Bank_Statement!$E$2:$E$783,0)),"")</f>
        <v>-4085.56</v>
      </c>
      <c r="F526" s="16" t="str">
        <f aca="false">IF(E526="","No","Yes")</f>
        <v>Yes</v>
      </c>
      <c r="G526" s="18" t="n">
        <f aca="false">IF(F526="No","N/A",D526-E526)</f>
        <v>8171.12</v>
      </c>
      <c r="H526" s="16" t="str">
        <f aca="false">IF(F526="No","Unmatched - Investigate",IF(ABS(D526-E526)&gt;Assumptions!$B$6,"Mismatch - Amount Differs","Matched"))</f>
        <v>Mismatch - Amount Differs</v>
      </c>
    </row>
    <row r="527" customFormat="false" ht="15" hidden="false" customHeight="false" outlineLevel="0" collapsed="false">
      <c r="A527" s="16" t="str">
        <f aca="false">Payment_Log_AP!A523</f>
        <v>PAY40522</v>
      </c>
      <c r="B527" s="16" t="str">
        <f aca="false">Payment_Log_AP!C523</f>
        <v>V1001</v>
      </c>
      <c r="C527" s="17" t="n">
        <f aca="false">Payment_Log_AP!D523</f>
        <v>45934</v>
      </c>
      <c r="D527" s="18" t="n">
        <f aca="false">Payment_Log_AP!E523</f>
        <v>2086.29</v>
      </c>
      <c r="E527" s="18" t="n">
        <f aca="false">IFERROR(INDEX(Bank_Statement!$C$2:$C$783,MATCH(A527,Bank_Statement!$E$2:$E$783,0)),"")</f>
        <v>-2086.29</v>
      </c>
      <c r="F527" s="16" t="str">
        <f aca="false">IF(E527="","No","Yes")</f>
        <v>Yes</v>
      </c>
      <c r="G527" s="18" t="n">
        <f aca="false">IF(F527="No","N/A",D527-E527)</f>
        <v>4172.58</v>
      </c>
      <c r="H527" s="16" t="str">
        <f aca="false">IF(F527="No","Unmatched - Investigate",IF(ABS(D527-E527)&gt;Assumptions!$B$6,"Mismatch - Amount Differs","Matched"))</f>
        <v>Mismatch - Amount Differs</v>
      </c>
    </row>
    <row r="528" customFormat="false" ht="15" hidden="false" customHeight="false" outlineLevel="0" collapsed="false">
      <c r="A528" s="16" t="str">
        <f aca="false">Payment_Log_AP!A524</f>
        <v>PAY40523</v>
      </c>
      <c r="B528" s="16" t="str">
        <f aca="false">Payment_Log_AP!C524</f>
        <v>V1027</v>
      </c>
      <c r="C528" s="17" t="n">
        <f aca="false">Payment_Log_AP!D524</f>
        <v>46019</v>
      </c>
      <c r="D528" s="18" t="n">
        <f aca="false">Payment_Log_AP!E524</f>
        <v>345.65</v>
      </c>
      <c r="E528" s="18" t="n">
        <f aca="false">IFERROR(INDEX(Bank_Statement!$C$2:$C$783,MATCH(A528,Bank_Statement!$E$2:$E$783,0)),"")</f>
        <v>-345.65</v>
      </c>
      <c r="F528" s="16" t="str">
        <f aca="false">IF(E528="","No","Yes")</f>
        <v>Yes</v>
      </c>
      <c r="G528" s="18" t="n">
        <f aca="false">IF(F528="No","N/A",D528-E528)</f>
        <v>691.3</v>
      </c>
      <c r="H528" s="16" t="str">
        <f aca="false">IF(F528="No","Unmatched - Investigate",IF(ABS(D528-E528)&gt;Assumptions!$B$6,"Mismatch - Amount Differs","Matched"))</f>
        <v>Mismatch - Amount Differs</v>
      </c>
    </row>
    <row r="529" customFormat="false" ht="15" hidden="false" customHeight="false" outlineLevel="0" collapsed="false">
      <c r="A529" s="16" t="str">
        <f aca="false">Payment_Log_AP!A525</f>
        <v>PAY40524</v>
      </c>
      <c r="B529" s="16" t="str">
        <f aca="false">Payment_Log_AP!C525</f>
        <v>V1020</v>
      </c>
      <c r="C529" s="17" t="n">
        <f aca="false">Payment_Log_AP!D525</f>
        <v>46080</v>
      </c>
      <c r="D529" s="18" t="n">
        <f aca="false">Payment_Log_AP!E525</f>
        <v>1516.39</v>
      </c>
      <c r="E529" s="18" t="n">
        <f aca="false">IFERROR(INDEX(Bank_Statement!$C$2:$C$783,MATCH(A529,Bank_Statement!$E$2:$E$783,0)),"")</f>
        <v>-1516.39</v>
      </c>
      <c r="F529" s="16" t="str">
        <f aca="false">IF(E529="","No","Yes")</f>
        <v>Yes</v>
      </c>
      <c r="G529" s="18" t="n">
        <f aca="false">IF(F529="No","N/A",D529-E529)</f>
        <v>3032.78</v>
      </c>
      <c r="H529" s="16" t="str">
        <f aca="false">IF(F529="No","Unmatched - Investigate",IF(ABS(D529-E529)&gt;Assumptions!$B$6,"Mismatch - Amount Differs","Matched"))</f>
        <v>Mismatch - Amount Differs</v>
      </c>
    </row>
    <row r="530" customFormat="false" ht="15" hidden="false" customHeight="false" outlineLevel="0" collapsed="false">
      <c r="A530" s="16" t="str">
        <f aca="false">Payment_Log_AP!A526</f>
        <v>PAY40525</v>
      </c>
      <c r="B530" s="16" t="str">
        <f aca="false">Payment_Log_AP!C526</f>
        <v>V1001</v>
      </c>
      <c r="C530" s="17" t="n">
        <f aca="false">Payment_Log_AP!D526</f>
        <v>45745</v>
      </c>
      <c r="D530" s="18" t="n">
        <f aca="false">Payment_Log_AP!E526</f>
        <v>19832.55</v>
      </c>
      <c r="E530" s="18" t="n">
        <f aca="false">IFERROR(INDEX(Bank_Statement!$C$2:$C$783,MATCH(A530,Bank_Statement!$E$2:$E$783,0)),"")</f>
        <v>-19832.55</v>
      </c>
      <c r="F530" s="16" t="str">
        <f aca="false">IF(E530="","No","Yes")</f>
        <v>Yes</v>
      </c>
      <c r="G530" s="18" t="n">
        <f aca="false">IF(F530="No","N/A",D530-E530)</f>
        <v>39665.1</v>
      </c>
      <c r="H530" s="16" t="str">
        <f aca="false">IF(F530="No","Unmatched - Investigate",IF(ABS(D530-E530)&gt;Assumptions!$B$6,"Mismatch - Amount Differs","Matched"))</f>
        <v>Mismatch - Amount Differs</v>
      </c>
    </row>
    <row r="531" customFormat="false" ht="15" hidden="false" customHeight="false" outlineLevel="0" collapsed="false">
      <c r="A531" s="16" t="str">
        <f aca="false">Payment_Log_AP!A527</f>
        <v>PAY40526</v>
      </c>
      <c r="B531" s="16" t="str">
        <f aca="false">Payment_Log_AP!C527</f>
        <v>V1009</v>
      </c>
      <c r="C531" s="17" t="n">
        <f aca="false">Payment_Log_AP!D527</f>
        <v>46119</v>
      </c>
      <c r="D531" s="18" t="n">
        <f aca="false">Payment_Log_AP!E527</f>
        <v>2360.64</v>
      </c>
      <c r="E531" s="18" t="n">
        <f aca="false">IFERROR(INDEX(Bank_Statement!$C$2:$C$783,MATCH(A531,Bank_Statement!$E$2:$E$783,0)),"")</f>
        <v>-2360.64</v>
      </c>
      <c r="F531" s="16" t="str">
        <f aca="false">IF(E531="","No","Yes")</f>
        <v>Yes</v>
      </c>
      <c r="G531" s="18" t="n">
        <f aca="false">IF(F531="No","N/A",D531-E531)</f>
        <v>4721.28</v>
      </c>
      <c r="H531" s="16" t="str">
        <f aca="false">IF(F531="No","Unmatched - Investigate",IF(ABS(D531-E531)&gt;Assumptions!$B$6,"Mismatch - Amount Differs","Matched"))</f>
        <v>Mismatch - Amount Differs</v>
      </c>
    </row>
    <row r="532" customFormat="false" ht="15" hidden="false" customHeight="false" outlineLevel="0" collapsed="false">
      <c r="A532" s="16" t="str">
        <f aca="false">Payment_Log_AP!A528</f>
        <v>PAY40527</v>
      </c>
      <c r="B532" s="16" t="str">
        <f aca="false">Payment_Log_AP!C528</f>
        <v>V1009</v>
      </c>
      <c r="C532" s="17" t="n">
        <f aca="false">Payment_Log_AP!D528</f>
        <v>45781</v>
      </c>
      <c r="D532" s="18" t="n">
        <f aca="false">Payment_Log_AP!E528</f>
        <v>1484.72</v>
      </c>
      <c r="E532" s="18" t="n">
        <f aca="false">IFERROR(INDEX(Bank_Statement!$C$2:$C$783,MATCH(A532,Bank_Statement!$E$2:$E$783,0)),"")</f>
        <v>-1484.72</v>
      </c>
      <c r="F532" s="16" t="str">
        <f aca="false">IF(E532="","No","Yes")</f>
        <v>Yes</v>
      </c>
      <c r="G532" s="18" t="n">
        <f aca="false">IF(F532="No","N/A",D532-E532)</f>
        <v>2969.44</v>
      </c>
      <c r="H532" s="16" t="str">
        <f aca="false">IF(F532="No","Unmatched - Investigate",IF(ABS(D532-E532)&gt;Assumptions!$B$6,"Mismatch - Amount Differs","Matched"))</f>
        <v>Mismatch - Amount Differs</v>
      </c>
    </row>
    <row r="533" customFormat="false" ht="15" hidden="false" customHeight="false" outlineLevel="0" collapsed="false">
      <c r="A533" s="16" t="str">
        <f aca="false">Payment_Log_AP!A529</f>
        <v>PAY40528</v>
      </c>
      <c r="B533" s="16" t="str">
        <f aca="false">Payment_Log_AP!C529</f>
        <v>V1018</v>
      </c>
      <c r="C533" s="17" t="n">
        <f aca="false">Payment_Log_AP!D529</f>
        <v>45771</v>
      </c>
      <c r="D533" s="18" t="n">
        <f aca="false">Payment_Log_AP!E529</f>
        <v>1627.91</v>
      </c>
      <c r="E533" s="18" t="n">
        <f aca="false">IFERROR(INDEX(Bank_Statement!$C$2:$C$783,MATCH(A533,Bank_Statement!$E$2:$E$783,0)),"")</f>
        <v>-1627.91</v>
      </c>
      <c r="F533" s="16" t="str">
        <f aca="false">IF(E533="","No","Yes")</f>
        <v>Yes</v>
      </c>
      <c r="G533" s="18" t="n">
        <f aca="false">IF(F533="No","N/A",D533-E533)</f>
        <v>3255.82</v>
      </c>
      <c r="H533" s="16" t="str">
        <f aca="false">IF(F533="No","Unmatched - Investigate",IF(ABS(D533-E533)&gt;Assumptions!$B$6,"Mismatch - Amount Differs","Matched"))</f>
        <v>Mismatch - Amount Differs</v>
      </c>
    </row>
    <row r="534" customFormat="false" ht="15" hidden="false" customHeight="false" outlineLevel="0" collapsed="false">
      <c r="A534" s="16" t="str">
        <f aca="false">Payment_Log_AP!A530</f>
        <v>PAY40529</v>
      </c>
      <c r="B534" s="16" t="str">
        <f aca="false">Payment_Log_AP!C530</f>
        <v>V1001</v>
      </c>
      <c r="C534" s="17" t="n">
        <f aca="false">Payment_Log_AP!D530</f>
        <v>45979</v>
      </c>
      <c r="D534" s="18" t="n">
        <f aca="false">Payment_Log_AP!E530</f>
        <v>1311.69</v>
      </c>
      <c r="E534" s="18" t="n">
        <f aca="false">IFERROR(INDEX(Bank_Statement!$C$2:$C$783,MATCH(A534,Bank_Statement!$E$2:$E$783,0)),"")</f>
        <v>-1311.69</v>
      </c>
      <c r="F534" s="16" t="str">
        <f aca="false">IF(E534="","No","Yes")</f>
        <v>Yes</v>
      </c>
      <c r="G534" s="18" t="n">
        <f aca="false">IF(F534="No","N/A",D534-E534)</f>
        <v>2623.38</v>
      </c>
      <c r="H534" s="16" t="str">
        <f aca="false">IF(F534="No","Unmatched - Investigate",IF(ABS(D534-E534)&gt;Assumptions!$B$6,"Mismatch - Amount Differs","Matched"))</f>
        <v>Mismatch - Amount Differs</v>
      </c>
    </row>
    <row r="535" customFormat="false" ht="15" hidden="false" customHeight="false" outlineLevel="0" collapsed="false">
      <c r="A535" s="16" t="str">
        <f aca="false">Payment_Log_AP!A531</f>
        <v>PAY40530</v>
      </c>
      <c r="B535" s="16" t="str">
        <f aca="false">Payment_Log_AP!C531</f>
        <v>V1001</v>
      </c>
      <c r="C535" s="17" t="n">
        <f aca="false">Payment_Log_AP!D531</f>
        <v>45971</v>
      </c>
      <c r="D535" s="18" t="n">
        <f aca="false">Payment_Log_AP!E531</f>
        <v>1090.07</v>
      </c>
      <c r="E535" s="18" t="n">
        <f aca="false">IFERROR(INDEX(Bank_Statement!$C$2:$C$783,MATCH(A535,Bank_Statement!$E$2:$E$783,0)),"")</f>
        <v>-1090.07</v>
      </c>
      <c r="F535" s="16" t="str">
        <f aca="false">IF(E535="","No","Yes")</f>
        <v>Yes</v>
      </c>
      <c r="G535" s="18" t="n">
        <f aca="false">IF(F535="No","N/A",D535-E535)</f>
        <v>2180.14</v>
      </c>
      <c r="H535" s="16" t="str">
        <f aca="false">IF(F535="No","Unmatched - Investigate",IF(ABS(D535-E535)&gt;Assumptions!$B$6,"Mismatch - Amount Differs","Matched"))</f>
        <v>Mismatch - Amount Differs</v>
      </c>
    </row>
    <row r="536" customFormat="false" ht="15" hidden="false" customHeight="false" outlineLevel="0" collapsed="false">
      <c r="A536" s="16" t="str">
        <f aca="false">Payment_Log_AP!A532</f>
        <v>PAY40531</v>
      </c>
      <c r="B536" s="16" t="str">
        <f aca="false">Payment_Log_AP!C532</f>
        <v>V1001</v>
      </c>
      <c r="C536" s="17" t="n">
        <f aca="false">Payment_Log_AP!D532</f>
        <v>45981</v>
      </c>
      <c r="D536" s="18" t="n">
        <f aca="false">Payment_Log_AP!E532</f>
        <v>1090.07</v>
      </c>
      <c r="E536" s="18" t="n">
        <f aca="false">IFERROR(INDEX(Bank_Statement!$C$2:$C$783,MATCH(A536,Bank_Statement!$E$2:$E$783,0)),"")</f>
        <v>-1090.07</v>
      </c>
      <c r="F536" s="16" t="str">
        <f aca="false">IF(E536="","No","Yes")</f>
        <v>Yes</v>
      </c>
      <c r="G536" s="18" t="n">
        <f aca="false">IF(F536="No","N/A",D536-E536)</f>
        <v>2180.14</v>
      </c>
      <c r="H536" s="16" t="str">
        <f aca="false">IF(F536="No","Unmatched - Investigate",IF(ABS(D536-E536)&gt;Assumptions!$B$6,"Mismatch - Amount Differs","Matched"))</f>
        <v>Mismatch - Amount Differs</v>
      </c>
    </row>
    <row r="537" customFormat="false" ht="15" hidden="false" customHeight="false" outlineLevel="0" collapsed="false">
      <c r="A537" s="16" t="str">
        <f aca="false">Payment_Log_AP!A533</f>
        <v>PAY40532</v>
      </c>
      <c r="B537" s="16" t="str">
        <f aca="false">Payment_Log_AP!C533</f>
        <v>V1024</v>
      </c>
      <c r="C537" s="17" t="n">
        <f aca="false">Payment_Log_AP!D533</f>
        <v>46116</v>
      </c>
      <c r="D537" s="18" t="n">
        <f aca="false">Payment_Log_AP!E533</f>
        <v>2753.96</v>
      </c>
      <c r="E537" s="18" t="n">
        <f aca="false">IFERROR(INDEX(Bank_Statement!$C$2:$C$783,MATCH(A537,Bank_Statement!$E$2:$E$783,0)),"")</f>
        <v>-2753.96</v>
      </c>
      <c r="F537" s="16" t="str">
        <f aca="false">IF(E537="","No","Yes")</f>
        <v>Yes</v>
      </c>
      <c r="G537" s="18" t="n">
        <f aca="false">IF(F537="No","N/A",D537-E537)</f>
        <v>5507.92</v>
      </c>
      <c r="H537" s="16" t="str">
        <f aca="false">IF(F537="No","Unmatched - Investigate",IF(ABS(D537-E537)&gt;Assumptions!$B$6,"Mismatch - Amount Differs","Matched"))</f>
        <v>Mismatch - Amount Differs</v>
      </c>
    </row>
    <row r="538" customFormat="false" ht="15" hidden="false" customHeight="false" outlineLevel="0" collapsed="false">
      <c r="A538" s="16" t="str">
        <f aca="false">Payment_Log_AP!A534</f>
        <v>PAY40533</v>
      </c>
      <c r="B538" s="16" t="str">
        <f aca="false">Payment_Log_AP!C534</f>
        <v>V1013</v>
      </c>
      <c r="C538" s="17" t="n">
        <f aca="false">Payment_Log_AP!D534</f>
        <v>45804</v>
      </c>
      <c r="D538" s="18" t="n">
        <f aca="false">Payment_Log_AP!E534</f>
        <v>5478.24</v>
      </c>
      <c r="E538" s="18" t="n">
        <f aca="false">IFERROR(INDEX(Bank_Statement!$C$2:$C$783,MATCH(A538,Bank_Statement!$E$2:$E$783,0)),"")</f>
        <v>-5478.24</v>
      </c>
      <c r="F538" s="16" t="str">
        <f aca="false">IF(E538="","No","Yes")</f>
        <v>Yes</v>
      </c>
      <c r="G538" s="18" t="n">
        <f aca="false">IF(F538="No","N/A",D538-E538)</f>
        <v>10956.48</v>
      </c>
      <c r="H538" s="16" t="str">
        <f aca="false">IF(F538="No","Unmatched - Investigate",IF(ABS(D538-E538)&gt;Assumptions!$B$6,"Mismatch - Amount Differs","Matched"))</f>
        <v>Mismatch - Amount Differs</v>
      </c>
    </row>
    <row r="539" customFormat="false" ht="15" hidden="false" customHeight="false" outlineLevel="0" collapsed="false">
      <c r="A539" s="16" t="str">
        <f aca="false">Payment_Log_AP!A535</f>
        <v>PAY40534</v>
      </c>
      <c r="B539" s="16" t="str">
        <f aca="false">Payment_Log_AP!C535</f>
        <v>V1013</v>
      </c>
      <c r="C539" s="17" t="n">
        <f aca="false">Payment_Log_AP!D535</f>
        <v>45812</v>
      </c>
      <c r="D539" s="18" t="n">
        <f aca="false">Payment_Log_AP!E535</f>
        <v>5478.24</v>
      </c>
      <c r="E539" s="18" t="n">
        <f aca="false">IFERROR(INDEX(Bank_Statement!$C$2:$C$783,MATCH(A539,Bank_Statement!$E$2:$E$783,0)),"")</f>
        <v>-5478.24</v>
      </c>
      <c r="F539" s="16" t="str">
        <f aca="false">IF(E539="","No","Yes")</f>
        <v>Yes</v>
      </c>
      <c r="G539" s="18" t="n">
        <f aca="false">IF(F539="No","N/A",D539-E539)</f>
        <v>10956.48</v>
      </c>
      <c r="H539" s="16" t="str">
        <f aca="false">IF(F539="No","Unmatched - Investigate",IF(ABS(D539-E539)&gt;Assumptions!$B$6,"Mismatch - Amount Differs","Matched"))</f>
        <v>Mismatch - Amount Differs</v>
      </c>
    </row>
    <row r="540" customFormat="false" ht="15" hidden="false" customHeight="false" outlineLevel="0" collapsed="false">
      <c r="A540" s="16" t="str">
        <f aca="false">Payment_Log_AP!A536</f>
        <v>PAY40535</v>
      </c>
      <c r="B540" s="16" t="str">
        <f aca="false">Payment_Log_AP!C536</f>
        <v>V1009</v>
      </c>
      <c r="C540" s="17" t="n">
        <f aca="false">Payment_Log_AP!D536</f>
        <v>46117</v>
      </c>
      <c r="D540" s="18" t="n">
        <f aca="false">Payment_Log_AP!E536</f>
        <v>581.73</v>
      </c>
      <c r="E540" s="18" t="n">
        <f aca="false">IFERROR(INDEX(Bank_Statement!$C$2:$C$783,MATCH(A540,Bank_Statement!$E$2:$E$783,0)),"")</f>
        <v>-581.73</v>
      </c>
      <c r="F540" s="16" t="str">
        <f aca="false">IF(E540="","No","Yes")</f>
        <v>Yes</v>
      </c>
      <c r="G540" s="18" t="n">
        <f aca="false">IF(F540="No","N/A",D540-E540)</f>
        <v>1163.46</v>
      </c>
      <c r="H540" s="16" t="str">
        <f aca="false">IF(F540="No","Unmatched - Investigate",IF(ABS(D540-E540)&gt;Assumptions!$B$6,"Mismatch - Amount Differs","Matched"))</f>
        <v>Mismatch - Amount Differs</v>
      </c>
    </row>
    <row r="541" customFormat="false" ht="15" hidden="false" customHeight="false" outlineLevel="0" collapsed="false">
      <c r="A541" s="16" t="str">
        <f aca="false">Payment_Log_AP!A537</f>
        <v>PAY40536</v>
      </c>
      <c r="B541" s="16" t="str">
        <f aca="false">Payment_Log_AP!C537</f>
        <v>V1005</v>
      </c>
      <c r="C541" s="17" t="n">
        <f aca="false">Payment_Log_AP!D537</f>
        <v>45948</v>
      </c>
      <c r="D541" s="18" t="n">
        <f aca="false">Payment_Log_AP!E537</f>
        <v>2739.78</v>
      </c>
      <c r="E541" s="18" t="n">
        <f aca="false">IFERROR(INDEX(Bank_Statement!$C$2:$C$783,MATCH(A541,Bank_Statement!$E$2:$E$783,0)),"")</f>
        <v>-2739.78</v>
      </c>
      <c r="F541" s="16" t="str">
        <f aca="false">IF(E541="","No","Yes")</f>
        <v>Yes</v>
      </c>
      <c r="G541" s="18" t="n">
        <f aca="false">IF(F541="No","N/A",D541-E541)</f>
        <v>5479.56</v>
      </c>
      <c r="H541" s="16" t="str">
        <f aca="false">IF(F541="No","Unmatched - Investigate",IF(ABS(D541-E541)&gt;Assumptions!$B$6,"Mismatch - Amount Differs","Matched"))</f>
        <v>Mismatch - Amount Differs</v>
      </c>
    </row>
    <row r="542" customFormat="false" ht="15" hidden="false" customHeight="false" outlineLevel="0" collapsed="false">
      <c r="A542" s="16" t="str">
        <f aca="false">Payment_Log_AP!A538</f>
        <v>PAY40537</v>
      </c>
      <c r="B542" s="16" t="str">
        <f aca="false">Payment_Log_AP!C538</f>
        <v>V1005</v>
      </c>
      <c r="C542" s="17" t="n">
        <f aca="false">Payment_Log_AP!D538</f>
        <v>45955</v>
      </c>
      <c r="D542" s="18" t="n">
        <f aca="false">Payment_Log_AP!E538</f>
        <v>2739.78</v>
      </c>
      <c r="E542" s="18" t="n">
        <f aca="false">IFERROR(INDEX(Bank_Statement!$C$2:$C$783,MATCH(A542,Bank_Statement!$E$2:$E$783,0)),"")</f>
        <v>-2739.78</v>
      </c>
      <c r="F542" s="16" t="str">
        <f aca="false">IF(E542="","No","Yes")</f>
        <v>Yes</v>
      </c>
      <c r="G542" s="18" t="n">
        <f aca="false">IF(F542="No","N/A",D542-E542)</f>
        <v>5479.56</v>
      </c>
      <c r="H542" s="16" t="str">
        <f aca="false">IF(F542="No","Unmatched - Investigate",IF(ABS(D542-E542)&gt;Assumptions!$B$6,"Mismatch - Amount Differs","Matched"))</f>
        <v>Mismatch - Amount Differs</v>
      </c>
    </row>
    <row r="543" customFormat="false" ht="15" hidden="false" customHeight="false" outlineLevel="0" collapsed="false">
      <c r="A543" s="16" t="str">
        <f aca="false">Payment_Log_AP!A539</f>
        <v>PAY40538</v>
      </c>
      <c r="B543" s="16" t="str">
        <f aca="false">Payment_Log_AP!C539</f>
        <v>V1011</v>
      </c>
      <c r="C543" s="17" t="n">
        <f aca="false">Payment_Log_AP!D539</f>
        <v>46142</v>
      </c>
      <c r="D543" s="18" t="n">
        <f aca="false">Payment_Log_AP!E539</f>
        <v>329.34</v>
      </c>
      <c r="E543" s="18" t="n">
        <f aca="false">IFERROR(INDEX(Bank_Statement!$C$2:$C$783,MATCH(A543,Bank_Statement!$E$2:$E$783,0)),"")</f>
        <v>-329.34</v>
      </c>
      <c r="F543" s="16" t="str">
        <f aca="false">IF(E543="","No","Yes")</f>
        <v>Yes</v>
      </c>
      <c r="G543" s="18" t="n">
        <f aca="false">IF(F543="No","N/A",D543-E543)</f>
        <v>658.68</v>
      </c>
      <c r="H543" s="16" t="str">
        <f aca="false">IF(F543="No","Unmatched - Investigate",IF(ABS(D543-E543)&gt;Assumptions!$B$6,"Mismatch - Amount Differs","Matched"))</f>
        <v>Mismatch - Amount Differs</v>
      </c>
    </row>
    <row r="544" customFormat="false" ht="15" hidden="false" customHeight="false" outlineLevel="0" collapsed="false">
      <c r="A544" s="16" t="str">
        <f aca="false">Payment_Log_AP!A540</f>
        <v>PAY40539</v>
      </c>
      <c r="B544" s="16" t="str">
        <f aca="false">Payment_Log_AP!C540</f>
        <v>V1024</v>
      </c>
      <c r="C544" s="17" t="n">
        <f aca="false">Payment_Log_AP!D540</f>
        <v>45864</v>
      </c>
      <c r="D544" s="18" t="n">
        <f aca="false">Payment_Log_AP!E540</f>
        <v>5307.07</v>
      </c>
      <c r="E544" s="18" t="n">
        <f aca="false">IFERROR(INDEX(Bank_Statement!$C$2:$C$783,MATCH(A544,Bank_Statement!$E$2:$E$783,0)),"")</f>
        <v>-5307.07</v>
      </c>
      <c r="F544" s="16" t="str">
        <f aca="false">IF(E544="","No","Yes")</f>
        <v>Yes</v>
      </c>
      <c r="G544" s="18" t="n">
        <f aca="false">IF(F544="No","N/A",D544-E544)</f>
        <v>10614.14</v>
      </c>
      <c r="H544" s="16" t="str">
        <f aca="false">IF(F544="No","Unmatched - Investigate",IF(ABS(D544-E544)&gt;Assumptions!$B$6,"Mismatch - Amount Differs","Matched"))</f>
        <v>Mismatch - Amount Differs</v>
      </c>
    </row>
    <row r="545" customFormat="false" ht="15" hidden="false" customHeight="false" outlineLevel="0" collapsed="false">
      <c r="A545" s="16" t="str">
        <f aca="false">Payment_Log_AP!A541</f>
        <v>PAY40540</v>
      </c>
      <c r="B545" s="16" t="str">
        <f aca="false">Payment_Log_AP!C541</f>
        <v>V1004</v>
      </c>
      <c r="C545" s="17" t="n">
        <f aca="false">Payment_Log_AP!D541</f>
        <v>45765</v>
      </c>
      <c r="D545" s="18" t="n">
        <f aca="false">Payment_Log_AP!E541</f>
        <v>4575.5</v>
      </c>
      <c r="E545" s="18" t="n">
        <f aca="false">IFERROR(INDEX(Bank_Statement!$C$2:$C$783,MATCH(A545,Bank_Statement!$E$2:$E$783,0)),"")</f>
        <v>-4575.5</v>
      </c>
      <c r="F545" s="16" t="str">
        <f aca="false">IF(E545="","No","Yes")</f>
        <v>Yes</v>
      </c>
      <c r="G545" s="18" t="n">
        <f aca="false">IF(F545="No","N/A",D545-E545)</f>
        <v>9151</v>
      </c>
      <c r="H545" s="16" t="str">
        <f aca="false">IF(F545="No","Unmatched - Investigate",IF(ABS(D545-E545)&gt;Assumptions!$B$6,"Mismatch - Amount Differs","Matched"))</f>
        <v>Mismatch - Amount Differs</v>
      </c>
    </row>
    <row r="546" customFormat="false" ht="15" hidden="false" customHeight="false" outlineLevel="0" collapsed="false">
      <c r="A546" s="16" t="str">
        <f aca="false">Payment_Log_AP!A542</f>
        <v>PAY40541</v>
      </c>
      <c r="B546" s="16" t="str">
        <f aca="false">Payment_Log_AP!C542</f>
        <v>V1024</v>
      </c>
      <c r="C546" s="17" t="n">
        <f aca="false">Payment_Log_AP!D542</f>
        <v>45788</v>
      </c>
      <c r="D546" s="18" t="n">
        <f aca="false">Payment_Log_AP!E542</f>
        <v>4978.47</v>
      </c>
      <c r="E546" s="18" t="n">
        <f aca="false">IFERROR(INDEX(Bank_Statement!$C$2:$C$783,MATCH(A546,Bank_Statement!$E$2:$E$783,0)),"")</f>
        <v>-4978.47</v>
      </c>
      <c r="F546" s="16" t="str">
        <f aca="false">IF(E546="","No","Yes")</f>
        <v>Yes</v>
      </c>
      <c r="G546" s="18" t="n">
        <f aca="false">IF(F546="No","N/A",D546-E546)</f>
        <v>9956.94</v>
      </c>
      <c r="H546" s="16" t="str">
        <f aca="false">IF(F546="No","Unmatched - Investigate",IF(ABS(D546-E546)&gt;Assumptions!$B$6,"Mismatch - Amount Differs","Matched"))</f>
        <v>Mismatch - Amount Differs</v>
      </c>
    </row>
    <row r="547" customFormat="false" ht="15" hidden="false" customHeight="false" outlineLevel="0" collapsed="false">
      <c r="A547" s="16" t="str">
        <f aca="false">Payment_Log_AP!A543</f>
        <v>PAY40542</v>
      </c>
      <c r="B547" s="16" t="str">
        <f aca="false">Payment_Log_AP!C543</f>
        <v>V1024</v>
      </c>
      <c r="C547" s="17" t="n">
        <f aca="false">Payment_Log_AP!D543</f>
        <v>46147</v>
      </c>
      <c r="D547" s="18" t="n">
        <f aca="false">Payment_Log_AP!E543</f>
        <v>4005.11</v>
      </c>
      <c r="E547" s="18" t="n">
        <f aca="false">IFERROR(INDEX(Bank_Statement!$C$2:$C$783,MATCH(A547,Bank_Statement!$E$2:$E$783,0)),"")</f>
        <v>-4005.11</v>
      </c>
      <c r="F547" s="16" t="str">
        <f aca="false">IF(E547="","No","Yes")</f>
        <v>Yes</v>
      </c>
      <c r="G547" s="18" t="n">
        <f aca="false">IF(F547="No","N/A",D547-E547)</f>
        <v>8010.22</v>
      </c>
      <c r="H547" s="16" t="str">
        <f aca="false">IF(F547="No","Unmatched - Investigate",IF(ABS(D547-E547)&gt;Assumptions!$B$6,"Mismatch - Amount Differs","Matched"))</f>
        <v>Mismatch - Amount Differs</v>
      </c>
    </row>
    <row r="548" customFormat="false" ht="15" hidden="false" customHeight="false" outlineLevel="0" collapsed="false">
      <c r="A548" s="16" t="str">
        <f aca="false">Payment_Log_AP!A544</f>
        <v>PAY40543</v>
      </c>
      <c r="B548" s="16" t="str">
        <f aca="false">Payment_Log_AP!C544</f>
        <v>V1003</v>
      </c>
      <c r="C548" s="17" t="n">
        <f aca="false">Payment_Log_AP!D544</f>
        <v>46090</v>
      </c>
      <c r="D548" s="18" t="n">
        <f aca="false">Payment_Log_AP!E544</f>
        <v>1866.99</v>
      </c>
      <c r="E548" s="18" t="n">
        <f aca="false">IFERROR(INDEX(Bank_Statement!$C$2:$C$783,MATCH(A548,Bank_Statement!$E$2:$E$783,0)),"")</f>
        <v>-1866.99</v>
      </c>
      <c r="F548" s="16" t="str">
        <f aca="false">IF(E548="","No","Yes")</f>
        <v>Yes</v>
      </c>
      <c r="G548" s="18" t="n">
        <f aca="false">IF(F548="No","N/A",D548-E548)</f>
        <v>3733.98</v>
      </c>
      <c r="H548" s="16" t="str">
        <f aca="false">IF(F548="No","Unmatched - Investigate",IF(ABS(D548-E548)&gt;Assumptions!$B$6,"Mismatch - Amount Differs","Matched"))</f>
        <v>Mismatch - Amount Differs</v>
      </c>
    </row>
    <row r="549" customFormat="false" ht="15" hidden="false" customHeight="false" outlineLevel="0" collapsed="false">
      <c r="A549" s="16" t="str">
        <f aca="false">Payment_Log_AP!A545</f>
        <v>PAY40544</v>
      </c>
      <c r="B549" s="16" t="str">
        <f aca="false">Payment_Log_AP!C545</f>
        <v>V1007</v>
      </c>
      <c r="C549" s="17" t="n">
        <f aca="false">Payment_Log_AP!D545</f>
        <v>45699</v>
      </c>
      <c r="D549" s="18" t="n">
        <f aca="false">Payment_Log_AP!E545</f>
        <v>4880.22</v>
      </c>
      <c r="E549" s="18" t="n">
        <f aca="false">IFERROR(INDEX(Bank_Statement!$C$2:$C$783,MATCH(A549,Bank_Statement!$E$2:$E$783,0)),"")</f>
        <v>-4880.22</v>
      </c>
      <c r="F549" s="16" t="str">
        <f aca="false">IF(E549="","No","Yes")</f>
        <v>Yes</v>
      </c>
      <c r="G549" s="18" t="n">
        <f aca="false">IF(F549="No","N/A",D549-E549)</f>
        <v>9760.44</v>
      </c>
      <c r="H549" s="16" t="str">
        <f aca="false">IF(F549="No","Unmatched - Investigate",IF(ABS(D549-E549)&gt;Assumptions!$B$6,"Mismatch - Amount Differs","Matched"))</f>
        <v>Mismatch - Amount Differs</v>
      </c>
    </row>
    <row r="550" customFormat="false" ht="15" hidden="false" customHeight="false" outlineLevel="0" collapsed="false">
      <c r="A550" s="16" t="str">
        <f aca="false">Payment_Log_AP!A546</f>
        <v>PAY40545</v>
      </c>
      <c r="B550" s="16" t="str">
        <f aca="false">Payment_Log_AP!C546</f>
        <v>V1024</v>
      </c>
      <c r="C550" s="17" t="n">
        <f aca="false">Payment_Log_AP!D546</f>
        <v>45993</v>
      </c>
      <c r="D550" s="18" t="n">
        <f aca="false">Payment_Log_AP!E546</f>
        <v>2581.16</v>
      </c>
      <c r="E550" s="18" t="n">
        <f aca="false">IFERROR(INDEX(Bank_Statement!$C$2:$C$783,MATCH(A550,Bank_Statement!$E$2:$E$783,0)),"")</f>
        <v>-2581.16</v>
      </c>
      <c r="F550" s="16" t="str">
        <f aca="false">IF(E550="","No","Yes")</f>
        <v>Yes</v>
      </c>
      <c r="G550" s="18" t="n">
        <f aca="false">IF(F550="No","N/A",D550-E550)</f>
        <v>5162.32</v>
      </c>
      <c r="H550" s="16" t="str">
        <f aca="false">IF(F550="No","Unmatched - Investigate",IF(ABS(D550-E550)&gt;Assumptions!$B$6,"Mismatch - Amount Differs","Matched"))</f>
        <v>Mismatch - Amount Differs</v>
      </c>
    </row>
    <row r="551" customFormat="false" ht="15" hidden="false" customHeight="false" outlineLevel="0" collapsed="false">
      <c r="A551" s="16" t="str">
        <f aca="false">Payment_Log_AP!A547</f>
        <v>PAY40546</v>
      </c>
      <c r="B551" s="16" t="str">
        <f aca="false">Payment_Log_AP!C547</f>
        <v>V1032</v>
      </c>
      <c r="C551" s="17" t="n">
        <f aca="false">Payment_Log_AP!D547</f>
        <v>46073</v>
      </c>
      <c r="D551" s="18" t="n">
        <f aca="false">Payment_Log_AP!E547</f>
        <v>2330.25</v>
      </c>
      <c r="E551" s="18" t="n">
        <f aca="false">IFERROR(INDEX(Bank_Statement!$C$2:$C$783,MATCH(A551,Bank_Statement!$E$2:$E$783,0)),"")</f>
        <v>-2330.25</v>
      </c>
      <c r="F551" s="16" t="str">
        <f aca="false">IF(E551="","No","Yes")</f>
        <v>Yes</v>
      </c>
      <c r="G551" s="18" t="n">
        <f aca="false">IF(F551="No","N/A",D551-E551)</f>
        <v>4660.5</v>
      </c>
      <c r="H551" s="16" t="str">
        <f aca="false">IF(F551="No","Unmatched - Investigate",IF(ABS(D551-E551)&gt;Assumptions!$B$6,"Mismatch - Amount Differs","Matched"))</f>
        <v>Mismatch - Amount Differs</v>
      </c>
    </row>
    <row r="552" customFormat="false" ht="15" hidden="false" customHeight="false" outlineLevel="0" collapsed="false">
      <c r="A552" s="16" t="str">
        <f aca="false">Payment_Log_AP!A548</f>
        <v>PAY40547</v>
      </c>
      <c r="B552" s="16" t="str">
        <f aca="false">Payment_Log_AP!C548</f>
        <v>V1029</v>
      </c>
      <c r="C552" s="17" t="n">
        <f aca="false">Payment_Log_AP!D548</f>
        <v>46036</v>
      </c>
      <c r="D552" s="18" t="n">
        <f aca="false">Payment_Log_AP!E548</f>
        <v>1142.31</v>
      </c>
      <c r="E552" s="18" t="n">
        <f aca="false">IFERROR(INDEX(Bank_Statement!$C$2:$C$783,MATCH(A552,Bank_Statement!$E$2:$E$783,0)),"")</f>
        <v>-1142.31</v>
      </c>
      <c r="F552" s="16" t="str">
        <f aca="false">IF(E552="","No","Yes")</f>
        <v>Yes</v>
      </c>
      <c r="G552" s="18" t="n">
        <f aca="false">IF(F552="No","N/A",D552-E552)</f>
        <v>2284.62</v>
      </c>
      <c r="H552" s="16" t="str">
        <f aca="false">IF(F552="No","Unmatched - Investigate",IF(ABS(D552-E552)&gt;Assumptions!$B$6,"Mismatch - Amount Differs","Matched"))</f>
        <v>Mismatch - Amount Differs</v>
      </c>
    </row>
    <row r="553" customFormat="false" ht="15" hidden="false" customHeight="false" outlineLevel="0" collapsed="false">
      <c r="A553" s="16" t="str">
        <f aca="false">Payment_Log_AP!A549</f>
        <v>PAY40548</v>
      </c>
      <c r="B553" s="16" t="str">
        <f aca="false">Payment_Log_AP!C549</f>
        <v>V1030</v>
      </c>
      <c r="C553" s="17" t="n">
        <f aca="false">Payment_Log_AP!D549</f>
        <v>45999</v>
      </c>
      <c r="D553" s="18" t="n">
        <f aca="false">Payment_Log_AP!E549</f>
        <v>5378.13</v>
      </c>
      <c r="E553" s="18" t="n">
        <f aca="false">IFERROR(INDEX(Bank_Statement!$C$2:$C$783,MATCH(A553,Bank_Statement!$E$2:$E$783,0)),"")</f>
        <v>-5378.13</v>
      </c>
      <c r="F553" s="16" t="str">
        <f aca="false">IF(E553="","No","Yes")</f>
        <v>Yes</v>
      </c>
      <c r="G553" s="18" t="n">
        <f aca="false">IF(F553="No","N/A",D553-E553)</f>
        <v>10756.26</v>
      </c>
      <c r="H553" s="16" t="str">
        <f aca="false">IF(F553="No","Unmatched - Investigate",IF(ABS(D553-E553)&gt;Assumptions!$B$6,"Mismatch - Amount Differs","Matched"))</f>
        <v>Mismatch - Amount Differs</v>
      </c>
    </row>
    <row r="554" customFormat="false" ht="15" hidden="false" customHeight="false" outlineLevel="0" collapsed="false">
      <c r="A554" s="16" t="str">
        <f aca="false">Payment_Log_AP!A550</f>
        <v>PAY40549</v>
      </c>
      <c r="B554" s="16" t="str">
        <f aca="false">Payment_Log_AP!C550</f>
        <v>V1002</v>
      </c>
      <c r="C554" s="17" t="n">
        <f aca="false">Payment_Log_AP!D550</f>
        <v>46114</v>
      </c>
      <c r="D554" s="18" t="n">
        <f aca="false">Payment_Log_AP!E550</f>
        <v>1479.77</v>
      </c>
      <c r="E554" s="18" t="n">
        <f aca="false">IFERROR(INDEX(Bank_Statement!$C$2:$C$783,MATCH(A554,Bank_Statement!$E$2:$E$783,0)),"")</f>
        <v>-1479.77</v>
      </c>
      <c r="F554" s="16" t="str">
        <f aca="false">IF(E554="","No","Yes")</f>
        <v>Yes</v>
      </c>
      <c r="G554" s="18" t="n">
        <f aca="false">IF(F554="No","N/A",D554-E554)</f>
        <v>2959.54</v>
      </c>
      <c r="H554" s="16" t="str">
        <f aca="false">IF(F554="No","Unmatched - Investigate",IF(ABS(D554-E554)&gt;Assumptions!$B$6,"Mismatch - Amount Differs","Matched"))</f>
        <v>Mismatch - Amount Differs</v>
      </c>
    </row>
    <row r="555" customFormat="false" ht="15" hidden="false" customHeight="false" outlineLevel="0" collapsed="false">
      <c r="A555" s="16" t="str">
        <f aca="false">Payment_Log_AP!A551</f>
        <v>PAY40550</v>
      </c>
      <c r="B555" s="16" t="str">
        <f aca="false">Payment_Log_AP!C551</f>
        <v>V1002</v>
      </c>
      <c r="C555" s="17" t="n">
        <f aca="false">Payment_Log_AP!D551</f>
        <v>46133</v>
      </c>
      <c r="D555" s="18" t="n">
        <f aca="false">Payment_Log_AP!E551</f>
        <v>1479.77</v>
      </c>
      <c r="E555" s="18" t="n">
        <f aca="false">IFERROR(INDEX(Bank_Statement!$C$2:$C$783,MATCH(A555,Bank_Statement!$E$2:$E$783,0)),"")</f>
        <v>-1479.77</v>
      </c>
      <c r="F555" s="16" t="str">
        <f aca="false">IF(E555="","No","Yes")</f>
        <v>Yes</v>
      </c>
      <c r="G555" s="18" t="n">
        <f aca="false">IF(F555="No","N/A",D555-E555)</f>
        <v>2959.54</v>
      </c>
      <c r="H555" s="16" t="str">
        <f aca="false">IF(F555="No","Unmatched - Investigate",IF(ABS(D555-E555)&gt;Assumptions!$B$6,"Mismatch - Amount Differs","Matched"))</f>
        <v>Mismatch - Amount Differs</v>
      </c>
    </row>
    <row r="556" customFormat="false" ht="15" hidden="false" customHeight="false" outlineLevel="0" collapsed="false">
      <c r="A556" s="16" t="str">
        <f aca="false">Payment_Log_AP!A552</f>
        <v>PAY40551</v>
      </c>
      <c r="B556" s="16" t="str">
        <f aca="false">Payment_Log_AP!C552</f>
        <v>V1007</v>
      </c>
      <c r="C556" s="17" t="n">
        <f aca="false">Payment_Log_AP!D552</f>
        <v>45744</v>
      </c>
      <c r="D556" s="18" t="n">
        <f aca="false">Payment_Log_AP!E552</f>
        <v>1679.49</v>
      </c>
      <c r="E556" s="18" t="n">
        <f aca="false">IFERROR(INDEX(Bank_Statement!$C$2:$C$783,MATCH(A556,Bank_Statement!$E$2:$E$783,0)),"")</f>
        <v>-1679.49</v>
      </c>
      <c r="F556" s="16" t="str">
        <f aca="false">IF(E556="","No","Yes")</f>
        <v>Yes</v>
      </c>
      <c r="G556" s="18" t="n">
        <f aca="false">IF(F556="No","N/A",D556-E556)</f>
        <v>3358.98</v>
      </c>
      <c r="H556" s="16" t="str">
        <f aca="false">IF(F556="No","Unmatched - Investigate",IF(ABS(D556-E556)&gt;Assumptions!$B$6,"Mismatch - Amount Differs","Matched"))</f>
        <v>Mismatch - Amount Differs</v>
      </c>
    </row>
    <row r="557" customFormat="false" ht="15" hidden="false" customHeight="false" outlineLevel="0" collapsed="false">
      <c r="A557" s="16" t="str">
        <f aca="false">Payment_Log_AP!A553</f>
        <v>PAY40552</v>
      </c>
      <c r="B557" s="16" t="str">
        <f aca="false">Payment_Log_AP!C553</f>
        <v>V1034</v>
      </c>
      <c r="C557" s="17" t="n">
        <f aca="false">Payment_Log_AP!D553</f>
        <v>45832</v>
      </c>
      <c r="D557" s="18" t="n">
        <f aca="false">Payment_Log_AP!E553</f>
        <v>2035.58</v>
      </c>
      <c r="E557" s="18" t="n">
        <f aca="false">IFERROR(INDEX(Bank_Statement!$C$2:$C$783,MATCH(A557,Bank_Statement!$E$2:$E$783,0)),"")</f>
        <v>-2035.58</v>
      </c>
      <c r="F557" s="16" t="str">
        <f aca="false">IF(E557="","No","Yes")</f>
        <v>Yes</v>
      </c>
      <c r="G557" s="18" t="n">
        <f aca="false">IF(F557="No","N/A",D557-E557)</f>
        <v>4071.16</v>
      </c>
      <c r="H557" s="16" t="str">
        <f aca="false">IF(F557="No","Unmatched - Investigate",IF(ABS(D557-E557)&gt;Assumptions!$B$6,"Mismatch - Amount Differs","Matched"))</f>
        <v>Mismatch - Amount Differs</v>
      </c>
    </row>
    <row r="558" customFormat="false" ht="15" hidden="false" customHeight="false" outlineLevel="0" collapsed="false">
      <c r="A558" s="16" t="str">
        <f aca="false">Payment_Log_AP!A554</f>
        <v>PAY40553</v>
      </c>
      <c r="B558" s="16" t="str">
        <f aca="false">Payment_Log_AP!C554</f>
        <v>V1025</v>
      </c>
      <c r="C558" s="17" t="n">
        <f aca="false">Payment_Log_AP!D554</f>
        <v>45700</v>
      </c>
      <c r="D558" s="18" t="n">
        <f aca="false">Payment_Log_AP!E554</f>
        <v>1499.87</v>
      </c>
      <c r="E558" s="18" t="n">
        <f aca="false">IFERROR(INDEX(Bank_Statement!$C$2:$C$783,MATCH(A558,Bank_Statement!$E$2:$E$783,0)),"")</f>
        <v>-1499.87</v>
      </c>
      <c r="F558" s="16" t="str">
        <f aca="false">IF(E558="","No","Yes")</f>
        <v>Yes</v>
      </c>
      <c r="G558" s="18" t="n">
        <f aca="false">IF(F558="No","N/A",D558-E558)</f>
        <v>2999.74</v>
      </c>
      <c r="H558" s="16" t="str">
        <f aca="false">IF(F558="No","Unmatched - Investigate",IF(ABS(D558-E558)&gt;Assumptions!$B$6,"Mismatch - Amount Differs","Matched"))</f>
        <v>Mismatch - Amount Differs</v>
      </c>
    </row>
    <row r="559" customFormat="false" ht="15" hidden="false" customHeight="false" outlineLevel="0" collapsed="false">
      <c r="A559" s="16" t="str">
        <f aca="false">Payment_Log_AP!A555</f>
        <v>PAY40554</v>
      </c>
      <c r="B559" s="16" t="str">
        <f aca="false">Payment_Log_AP!C555</f>
        <v>V1005</v>
      </c>
      <c r="C559" s="17" t="n">
        <f aca="false">Payment_Log_AP!D555</f>
        <v>46157</v>
      </c>
      <c r="D559" s="18" t="n">
        <f aca="false">Payment_Log_AP!E555</f>
        <v>2691.6</v>
      </c>
      <c r="E559" s="18" t="n">
        <f aca="false">IFERROR(INDEX(Bank_Statement!$C$2:$C$783,MATCH(A559,Bank_Statement!$E$2:$E$783,0)),"")</f>
        <v>-2691.6</v>
      </c>
      <c r="F559" s="16" t="str">
        <f aca="false">IF(E559="","No","Yes")</f>
        <v>Yes</v>
      </c>
      <c r="G559" s="18" t="n">
        <f aca="false">IF(F559="No","N/A",D559-E559)</f>
        <v>5383.2</v>
      </c>
      <c r="H559" s="16" t="str">
        <f aca="false">IF(F559="No","Unmatched - Investigate",IF(ABS(D559-E559)&gt;Assumptions!$B$6,"Mismatch - Amount Differs","Matched"))</f>
        <v>Mismatch - Amount Differs</v>
      </c>
    </row>
    <row r="560" customFormat="false" ht="15" hidden="false" customHeight="false" outlineLevel="0" collapsed="false">
      <c r="A560" s="16" t="str">
        <f aca="false">Payment_Log_AP!A556</f>
        <v>PAY40555</v>
      </c>
      <c r="B560" s="16" t="str">
        <f aca="false">Payment_Log_AP!C556</f>
        <v>V1008</v>
      </c>
      <c r="C560" s="17" t="n">
        <f aca="false">Payment_Log_AP!D556</f>
        <v>45998</v>
      </c>
      <c r="D560" s="18" t="n">
        <f aca="false">Payment_Log_AP!E556</f>
        <v>687.41</v>
      </c>
      <c r="E560" s="18" t="n">
        <f aca="false">IFERROR(INDEX(Bank_Statement!$C$2:$C$783,MATCH(A560,Bank_Statement!$E$2:$E$783,0)),"")</f>
        <v>-687.41</v>
      </c>
      <c r="F560" s="16" t="str">
        <f aca="false">IF(E560="","No","Yes")</f>
        <v>Yes</v>
      </c>
      <c r="G560" s="18" t="n">
        <f aca="false">IF(F560="No","N/A",D560-E560)</f>
        <v>1374.82</v>
      </c>
      <c r="H560" s="16" t="str">
        <f aca="false">IF(F560="No","Unmatched - Investigate",IF(ABS(D560-E560)&gt;Assumptions!$B$6,"Mismatch - Amount Differs","Matched"))</f>
        <v>Mismatch - Amount Differs</v>
      </c>
    </row>
    <row r="561" customFormat="false" ht="15" hidden="false" customHeight="false" outlineLevel="0" collapsed="false">
      <c r="A561" s="16" t="str">
        <f aca="false">Payment_Log_AP!A557</f>
        <v>PAY40556</v>
      </c>
      <c r="B561" s="16" t="str">
        <f aca="false">Payment_Log_AP!C557</f>
        <v>V1031</v>
      </c>
      <c r="C561" s="17" t="n">
        <f aca="false">Payment_Log_AP!D557</f>
        <v>46172</v>
      </c>
      <c r="D561" s="18" t="n">
        <f aca="false">Payment_Log_AP!E557</f>
        <v>915.68</v>
      </c>
      <c r="E561" s="18" t="n">
        <f aca="false">IFERROR(INDEX(Bank_Statement!$C$2:$C$783,MATCH(A561,Bank_Statement!$E$2:$E$783,0)),"")</f>
        <v>-915.68</v>
      </c>
      <c r="F561" s="16" t="str">
        <f aca="false">IF(E561="","No","Yes")</f>
        <v>Yes</v>
      </c>
      <c r="G561" s="18" t="n">
        <f aca="false">IF(F561="No","N/A",D561-E561)</f>
        <v>1831.36</v>
      </c>
      <c r="H561" s="16" t="str">
        <f aca="false">IF(F561="No","Unmatched - Investigate",IF(ABS(D561-E561)&gt;Assumptions!$B$6,"Mismatch - Amount Differs","Matched"))</f>
        <v>Mismatch - Amount Differs</v>
      </c>
    </row>
    <row r="562" customFormat="false" ht="15" hidden="false" customHeight="false" outlineLevel="0" collapsed="false">
      <c r="A562" s="16" t="str">
        <f aca="false">Payment_Log_AP!A558</f>
        <v>PAY40557</v>
      </c>
      <c r="B562" s="16" t="str">
        <f aca="false">Payment_Log_AP!C558</f>
        <v>V1017</v>
      </c>
      <c r="C562" s="17" t="n">
        <f aca="false">Payment_Log_AP!D558</f>
        <v>45822</v>
      </c>
      <c r="D562" s="18" t="n">
        <f aca="false">Payment_Log_AP!E558</f>
        <v>1560.82</v>
      </c>
      <c r="E562" s="18" t="n">
        <f aca="false">IFERROR(INDEX(Bank_Statement!$C$2:$C$783,MATCH(A562,Bank_Statement!$E$2:$E$783,0)),"")</f>
        <v>-1560.82</v>
      </c>
      <c r="F562" s="16" t="str">
        <f aca="false">IF(E562="","No","Yes")</f>
        <v>Yes</v>
      </c>
      <c r="G562" s="18" t="n">
        <f aca="false">IF(F562="No","N/A",D562-E562)</f>
        <v>3121.64</v>
      </c>
      <c r="H562" s="16" t="str">
        <f aca="false">IF(F562="No","Unmatched - Investigate",IF(ABS(D562-E562)&gt;Assumptions!$B$6,"Mismatch - Amount Differs","Matched"))</f>
        <v>Mismatch - Amount Differs</v>
      </c>
    </row>
    <row r="563" customFormat="false" ht="15" hidden="false" customHeight="false" outlineLevel="0" collapsed="false">
      <c r="A563" s="16" t="str">
        <f aca="false">Payment_Log_AP!A559</f>
        <v>PAY40558</v>
      </c>
      <c r="B563" s="16" t="str">
        <f aca="false">Payment_Log_AP!C559</f>
        <v>V1032</v>
      </c>
      <c r="C563" s="17" t="n">
        <f aca="false">Payment_Log_AP!D559</f>
        <v>46142</v>
      </c>
      <c r="D563" s="18" t="n">
        <f aca="false">Payment_Log_AP!E559</f>
        <v>827.43</v>
      </c>
      <c r="E563" s="18" t="n">
        <f aca="false">IFERROR(INDEX(Bank_Statement!$C$2:$C$783,MATCH(A563,Bank_Statement!$E$2:$E$783,0)),"")</f>
        <v>-827.43</v>
      </c>
      <c r="F563" s="16" t="str">
        <f aca="false">IF(E563="","No","Yes")</f>
        <v>Yes</v>
      </c>
      <c r="G563" s="18" t="n">
        <f aca="false">IF(F563="No","N/A",D563-E563)</f>
        <v>1654.86</v>
      </c>
      <c r="H563" s="16" t="str">
        <f aca="false">IF(F563="No","Unmatched - Investigate",IF(ABS(D563-E563)&gt;Assumptions!$B$6,"Mismatch - Amount Differs","Matched"))</f>
        <v>Mismatch - Amount Differs</v>
      </c>
    </row>
    <row r="564" customFormat="false" ht="15" hidden="false" customHeight="false" outlineLevel="0" collapsed="false">
      <c r="A564" s="16" t="str">
        <f aca="false">Payment_Log_AP!A560</f>
        <v>PAY40559</v>
      </c>
      <c r="B564" s="16" t="str">
        <f aca="false">Payment_Log_AP!C560</f>
        <v>V1036</v>
      </c>
      <c r="C564" s="17" t="n">
        <f aca="false">Payment_Log_AP!D560</f>
        <v>46175</v>
      </c>
      <c r="D564" s="18" t="n">
        <f aca="false">Payment_Log_AP!E560</f>
        <v>11648.06</v>
      </c>
      <c r="E564" s="18" t="n">
        <f aca="false">IFERROR(INDEX(Bank_Statement!$C$2:$C$783,MATCH(A564,Bank_Statement!$E$2:$E$783,0)),"")</f>
        <v>-11648.06</v>
      </c>
      <c r="F564" s="16" t="str">
        <f aca="false">IF(E564="","No","Yes")</f>
        <v>Yes</v>
      </c>
      <c r="G564" s="18" t="n">
        <f aca="false">IF(F564="No","N/A",D564-E564)</f>
        <v>23296.12</v>
      </c>
      <c r="H564" s="16" t="str">
        <f aca="false">IF(F564="No","Unmatched - Investigate",IF(ABS(D564-E564)&gt;Assumptions!$B$6,"Mismatch - Amount Differs","Matched"))</f>
        <v>Mismatch - Amount Differs</v>
      </c>
    </row>
    <row r="565" customFormat="false" ht="15" hidden="false" customHeight="false" outlineLevel="0" collapsed="false">
      <c r="A565" s="16" t="str">
        <f aca="false">Payment_Log_AP!A561</f>
        <v>PAY40560</v>
      </c>
      <c r="B565" s="16" t="str">
        <f aca="false">Payment_Log_AP!C561</f>
        <v>V1036</v>
      </c>
      <c r="C565" s="17" t="n">
        <f aca="false">Payment_Log_AP!D561</f>
        <v>46185</v>
      </c>
      <c r="D565" s="18" t="n">
        <f aca="false">Payment_Log_AP!E561</f>
        <v>11648.06</v>
      </c>
      <c r="E565" s="18" t="n">
        <f aca="false">IFERROR(INDEX(Bank_Statement!$C$2:$C$783,MATCH(A565,Bank_Statement!$E$2:$E$783,0)),"")</f>
        <v>-11648.06</v>
      </c>
      <c r="F565" s="16" t="str">
        <f aca="false">IF(E565="","No","Yes")</f>
        <v>Yes</v>
      </c>
      <c r="G565" s="18" t="n">
        <f aca="false">IF(F565="No","N/A",D565-E565)</f>
        <v>23296.12</v>
      </c>
      <c r="H565" s="16" t="str">
        <f aca="false">IF(F565="No","Unmatched - Investigate",IF(ABS(D565-E565)&gt;Assumptions!$B$6,"Mismatch - Amount Differs","Matched"))</f>
        <v>Mismatch - Amount Differs</v>
      </c>
    </row>
    <row r="566" customFormat="false" ht="15" hidden="false" customHeight="false" outlineLevel="0" collapsed="false">
      <c r="A566" s="16" t="str">
        <f aca="false">Payment_Log_AP!A562</f>
        <v>PAY40561</v>
      </c>
      <c r="B566" s="16" t="str">
        <f aca="false">Payment_Log_AP!C562</f>
        <v>V1012</v>
      </c>
      <c r="C566" s="17" t="n">
        <f aca="false">Payment_Log_AP!D562</f>
        <v>45846</v>
      </c>
      <c r="D566" s="18" t="n">
        <f aca="false">Payment_Log_AP!E562</f>
        <v>12577.05</v>
      </c>
      <c r="E566" s="18" t="n">
        <f aca="false">IFERROR(INDEX(Bank_Statement!$C$2:$C$783,MATCH(A566,Bank_Statement!$E$2:$E$783,0)),"")</f>
        <v>-12577.05</v>
      </c>
      <c r="F566" s="16" t="str">
        <f aca="false">IF(E566="","No","Yes")</f>
        <v>Yes</v>
      </c>
      <c r="G566" s="18" t="n">
        <f aca="false">IF(F566="No","N/A",D566-E566)</f>
        <v>25154.1</v>
      </c>
      <c r="H566" s="16" t="str">
        <f aca="false">IF(F566="No","Unmatched - Investigate",IF(ABS(D566-E566)&gt;Assumptions!$B$6,"Mismatch - Amount Differs","Matched"))</f>
        <v>Mismatch - Amount Differs</v>
      </c>
    </row>
    <row r="567" customFormat="false" ht="15" hidden="false" customHeight="false" outlineLevel="0" collapsed="false">
      <c r="A567" s="16" t="str">
        <f aca="false">Payment_Log_AP!A563</f>
        <v>PAY40562</v>
      </c>
      <c r="B567" s="16" t="str">
        <f aca="false">Payment_Log_AP!C563</f>
        <v>V1012</v>
      </c>
      <c r="C567" s="17" t="n">
        <f aca="false">Payment_Log_AP!D563</f>
        <v>45852</v>
      </c>
      <c r="D567" s="18" t="n">
        <f aca="false">Payment_Log_AP!E563</f>
        <v>12577.05</v>
      </c>
      <c r="E567" s="18" t="n">
        <f aca="false">IFERROR(INDEX(Bank_Statement!$C$2:$C$783,MATCH(A567,Bank_Statement!$E$2:$E$783,0)),"")</f>
        <v>-12577.05</v>
      </c>
      <c r="F567" s="16" t="str">
        <f aca="false">IF(E567="","No","Yes")</f>
        <v>Yes</v>
      </c>
      <c r="G567" s="18" t="n">
        <f aca="false">IF(F567="No","N/A",D567-E567)</f>
        <v>25154.1</v>
      </c>
      <c r="H567" s="16" t="str">
        <f aca="false">IF(F567="No","Unmatched - Investigate",IF(ABS(D567-E567)&gt;Assumptions!$B$6,"Mismatch - Amount Differs","Matched"))</f>
        <v>Mismatch - Amount Differs</v>
      </c>
    </row>
    <row r="568" customFormat="false" ht="15" hidden="false" customHeight="false" outlineLevel="0" collapsed="false">
      <c r="A568" s="16" t="str">
        <f aca="false">Payment_Log_AP!A564</f>
        <v>PAY40563</v>
      </c>
      <c r="B568" s="16" t="str">
        <f aca="false">Payment_Log_AP!C564</f>
        <v>V1010</v>
      </c>
      <c r="C568" s="17" t="n">
        <f aca="false">Payment_Log_AP!D564</f>
        <v>45910</v>
      </c>
      <c r="D568" s="18" t="n">
        <f aca="false">Payment_Log_AP!E564</f>
        <v>1362.33</v>
      </c>
      <c r="E568" s="18" t="n">
        <f aca="false">IFERROR(INDEX(Bank_Statement!$C$2:$C$783,MATCH(A568,Bank_Statement!$E$2:$E$783,0)),"")</f>
        <v>-1362.33</v>
      </c>
      <c r="F568" s="16" t="str">
        <f aca="false">IF(E568="","No","Yes")</f>
        <v>Yes</v>
      </c>
      <c r="G568" s="18" t="n">
        <f aca="false">IF(F568="No","N/A",D568-E568)</f>
        <v>2724.66</v>
      </c>
      <c r="H568" s="16" t="str">
        <f aca="false">IF(F568="No","Unmatched - Investigate",IF(ABS(D568-E568)&gt;Assumptions!$B$6,"Mismatch - Amount Differs","Matched"))</f>
        <v>Mismatch - Amount Differs</v>
      </c>
    </row>
    <row r="569" customFormat="false" ht="15" hidden="false" customHeight="false" outlineLevel="0" collapsed="false">
      <c r="A569" s="16" t="str">
        <f aca="false">Payment_Log_AP!A565</f>
        <v>PAY40564</v>
      </c>
      <c r="B569" s="16" t="str">
        <f aca="false">Payment_Log_AP!C565</f>
        <v>V1034</v>
      </c>
      <c r="C569" s="17" t="n">
        <f aca="false">Payment_Log_AP!D565</f>
        <v>45775</v>
      </c>
      <c r="D569" s="18" t="n">
        <f aca="false">Payment_Log_AP!E565</f>
        <v>2061.29</v>
      </c>
      <c r="E569" s="18" t="n">
        <f aca="false">IFERROR(INDEX(Bank_Statement!$C$2:$C$783,MATCH(A569,Bank_Statement!$E$2:$E$783,0)),"")</f>
        <v>-2061.29</v>
      </c>
      <c r="F569" s="16" t="str">
        <f aca="false">IF(E569="","No","Yes")</f>
        <v>Yes</v>
      </c>
      <c r="G569" s="18" t="n">
        <f aca="false">IF(F569="No","N/A",D569-E569)</f>
        <v>4122.58</v>
      </c>
      <c r="H569" s="16" t="str">
        <f aca="false">IF(F569="No","Unmatched - Investigate",IF(ABS(D569-E569)&gt;Assumptions!$B$6,"Mismatch - Amount Differs","Matched"))</f>
        <v>Mismatch - Amount Differs</v>
      </c>
    </row>
    <row r="570" customFormat="false" ht="15" hidden="false" customHeight="false" outlineLevel="0" collapsed="false">
      <c r="A570" s="16" t="str">
        <f aca="false">Payment_Log_AP!A566</f>
        <v>PAY40565</v>
      </c>
      <c r="B570" s="16" t="str">
        <f aca="false">Payment_Log_AP!C566</f>
        <v>V1002</v>
      </c>
      <c r="C570" s="17" t="n">
        <f aca="false">Payment_Log_AP!D566</f>
        <v>46182</v>
      </c>
      <c r="D570" s="18" t="n">
        <f aca="false">Payment_Log_AP!E566</f>
        <v>1760.94</v>
      </c>
      <c r="E570" s="18" t="n">
        <f aca="false">IFERROR(INDEX(Bank_Statement!$C$2:$C$783,MATCH(A570,Bank_Statement!$E$2:$E$783,0)),"")</f>
        <v>-1760.94</v>
      </c>
      <c r="F570" s="16" t="str">
        <f aca="false">IF(E570="","No","Yes")</f>
        <v>Yes</v>
      </c>
      <c r="G570" s="18" t="n">
        <f aca="false">IF(F570="No","N/A",D570-E570)</f>
        <v>3521.88</v>
      </c>
      <c r="H570" s="16" t="str">
        <f aca="false">IF(F570="No","Unmatched - Investigate",IF(ABS(D570-E570)&gt;Assumptions!$B$6,"Mismatch - Amount Differs","Matched"))</f>
        <v>Mismatch - Amount Differs</v>
      </c>
    </row>
    <row r="571" customFormat="false" ht="15" hidden="false" customHeight="false" outlineLevel="0" collapsed="false">
      <c r="A571" s="16" t="str">
        <f aca="false">Payment_Log_AP!A567</f>
        <v>PAY40566</v>
      </c>
      <c r="B571" s="16" t="str">
        <f aca="false">Payment_Log_AP!C567</f>
        <v>V1009</v>
      </c>
      <c r="C571" s="17" t="n">
        <f aca="false">Payment_Log_AP!D567</f>
        <v>45864</v>
      </c>
      <c r="D571" s="18" t="n">
        <f aca="false">Payment_Log_AP!E567</f>
        <v>4559.69</v>
      </c>
      <c r="E571" s="18" t="n">
        <f aca="false">IFERROR(INDEX(Bank_Statement!$C$2:$C$783,MATCH(A571,Bank_Statement!$E$2:$E$783,0)),"")</f>
        <v>-4559.69</v>
      </c>
      <c r="F571" s="16" t="str">
        <f aca="false">IF(E571="","No","Yes")</f>
        <v>Yes</v>
      </c>
      <c r="G571" s="18" t="n">
        <f aca="false">IF(F571="No","N/A",D571-E571)</f>
        <v>9119.38</v>
      </c>
      <c r="H571" s="16" t="str">
        <f aca="false">IF(F571="No","Unmatched - Investigate",IF(ABS(D571-E571)&gt;Assumptions!$B$6,"Mismatch - Amount Differs","Matched"))</f>
        <v>Mismatch - Amount Differs</v>
      </c>
    </row>
    <row r="572" customFormat="false" ht="15" hidden="false" customHeight="false" outlineLevel="0" collapsed="false">
      <c r="A572" s="16" t="str">
        <f aca="false">Payment_Log_AP!A568</f>
        <v>PAY40567</v>
      </c>
      <c r="B572" s="16" t="str">
        <f aca="false">Payment_Log_AP!C568</f>
        <v>V1032</v>
      </c>
      <c r="C572" s="17" t="n">
        <f aca="false">Payment_Log_AP!D568</f>
        <v>45966</v>
      </c>
      <c r="D572" s="18" t="n">
        <f aca="false">Payment_Log_AP!E568</f>
        <v>285.04</v>
      </c>
      <c r="E572" s="18" t="n">
        <f aca="false">IFERROR(INDEX(Bank_Statement!$C$2:$C$783,MATCH(A572,Bank_Statement!$E$2:$E$783,0)),"")</f>
        <v>-285.04</v>
      </c>
      <c r="F572" s="16" t="str">
        <f aca="false">IF(E572="","No","Yes")</f>
        <v>Yes</v>
      </c>
      <c r="G572" s="18" t="n">
        <f aca="false">IF(F572="No","N/A",D572-E572)</f>
        <v>570.08</v>
      </c>
      <c r="H572" s="16" t="str">
        <f aca="false">IF(F572="No","Unmatched - Investigate",IF(ABS(D572-E572)&gt;Assumptions!$B$6,"Mismatch - Amount Differs","Matched"))</f>
        <v>Mismatch - Amount Differs</v>
      </c>
    </row>
    <row r="573" customFormat="false" ht="15" hidden="false" customHeight="false" outlineLevel="0" collapsed="false">
      <c r="A573" s="16" t="str">
        <f aca="false">Payment_Log_AP!A569</f>
        <v>PAY40568</v>
      </c>
      <c r="B573" s="16" t="str">
        <f aca="false">Payment_Log_AP!C569</f>
        <v>V1028</v>
      </c>
      <c r="C573" s="17" t="n">
        <f aca="false">Payment_Log_AP!D569</f>
        <v>45734</v>
      </c>
      <c r="D573" s="18" t="n">
        <f aca="false">Payment_Log_AP!E569</f>
        <v>2954.28</v>
      </c>
      <c r="E573" s="18" t="n">
        <f aca="false">IFERROR(INDEX(Bank_Statement!$C$2:$C$783,MATCH(A573,Bank_Statement!$E$2:$E$783,0)),"")</f>
        <v>-2954.28</v>
      </c>
      <c r="F573" s="16" t="str">
        <f aca="false">IF(E573="","No","Yes")</f>
        <v>Yes</v>
      </c>
      <c r="G573" s="18" t="n">
        <f aca="false">IF(F573="No","N/A",D573-E573)</f>
        <v>5908.56</v>
      </c>
      <c r="H573" s="16" t="str">
        <f aca="false">IF(F573="No","Unmatched - Investigate",IF(ABS(D573-E573)&gt;Assumptions!$B$6,"Mismatch - Amount Differs","Matched"))</f>
        <v>Mismatch - Amount Differs</v>
      </c>
    </row>
    <row r="574" customFormat="false" ht="15" hidden="false" customHeight="false" outlineLevel="0" collapsed="false">
      <c r="A574" s="16" t="str">
        <f aca="false">Payment_Log_AP!A570</f>
        <v>PAY40569</v>
      </c>
      <c r="B574" s="16" t="str">
        <f aca="false">Payment_Log_AP!C570</f>
        <v>V1028</v>
      </c>
      <c r="C574" s="17" t="n">
        <f aca="false">Payment_Log_AP!D570</f>
        <v>45754</v>
      </c>
      <c r="D574" s="18" t="n">
        <f aca="false">Payment_Log_AP!E570</f>
        <v>603.77</v>
      </c>
      <c r="E574" s="18" t="n">
        <f aca="false">IFERROR(INDEX(Bank_Statement!$C$2:$C$783,MATCH(A574,Bank_Statement!$E$2:$E$783,0)),"")</f>
        <v>-603.77</v>
      </c>
      <c r="F574" s="16" t="str">
        <f aca="false">IF(E574="","No","Yes")</f>
        <v>Yes</v>
      </c>
      <c r="G574" s="18" t="n">
        <f aca="false">IF(F574="No","N/A",D574-E574)</f>
        <v>1207.54</v>
      </c>
      <c r="H574" s="16" t="str">
        <f aca="false">IF(F574="No","Unmatched - Investigate",IF(ABS(D574-E574)&gt;Assumptions!$B$6,"Mismatch - Amount Differs","Matched"))</f>
        <v>Mismatch - Amount Differs</v>
      </c>
    </row>
    <row r="575" customFormat="false" ht="15" hidden="false" customHeight="false" outlineLevel="0" collapsed="false">
      <c r="A575" s="16" t="str">
        <f aca="false">Payment_Log_AP!A571</f>
        <v>PAY40570</v>
      </c>
      <c r="B575" s="16" t="str">
        <f aca="false">Payment_Log_AP!C571</f>
        <v>V1040</v>
      </c>
      <c r="C575" s="17" t="n">
        <f aca="false">Payment_Log_AP!D571</f>
        <v>46063</v>
      </c>
      <c r="D575" s="18" t="n">
        <f aca="false">Payment_Log_AP!E571</f>
        <v>767.92</v>
      </c>
      <c r="E575" s="18" t="n">
        <f aca="false">IFERROR(INDEX(Bank_Statement!$C$2:$C$783,MATCH(A575,Bank_Statement!$E$2:$E$783,0)),"")</f>
        <v>-767.92</v>
      </c>
      <c r="F575" s="16" t="str">
        <f aca="false">IF(E575="","No","Yes")</f>
        <v>Yes</v>
      </c>
      <c r="G575" s="18" t="n">
        <f aca="false">IF(F575="No","N/A",D575-E575)</f>
        <v>1535.84</v>
      </c>
      <c r="H575" s="16" t="str">
        <f aca="false">IF(F575="No","Unmatched - Investigate",IF(ABS(D575-E575)&gt;Assumptions!$B$6,"Mismatch - Amount Differs","Matched"))</f>
        <v>Mismatch - Amount Differs</v>
      </c>
    </row>
    <row r="576" customFormat="false" ht="15" hidden="false" customHeight="false" outlineLevel="0" collapsed="false">
      <c r="A576" s="16" t="str">
        <f aca="false">Payment_Log_AP!A572</f>
        <v>PAY40571</v>
      </c>
      <c r="B576" s="16" t="str">
        <f aca="false">Payment_Log_AP!C572</f>
        <v>V1010</v>
      </c>
      <c r="C576" s="17" t="n">
        <f aca="false">Payment_Log_AP!D572</f>
        <v>46083</v>
      </c>
      <c r="D576" s="18" t="n">
        <f aca="false">Payment_Log_AP!E572</f>
        <v>2186.62</v>
      </c>
      <c r="E576" s="18" t="n">
        <f aca="false">IFERROR(INDEX(Bank_Statement!$C$2:$C$783,MATCH(A576,Bank_Statement!$E$2:$E$783,0)),"")</f>
        <v>-2186.62</v>
      </c>
      <c r="F576" s="16" t="str">
        <f aca="false">IF(E576="","No","Yes")</f>
        <v>Yes</v>
      </c>
      <c r="G576" s="18" t="n">
        <f aca="false">IF(F576="No","N/A",D576-E576)</f>
        <v>4373.24</v>
      </c>
      <c r="H576" s="16" t="str">
        <f aca="false">IF(F576="No","Unmatched - Investigate",IF(ABS(D576-E576)&gt;Assumptions!$B$6,"Mismatch - Amount Differs","Matched"))</f>
        <v>Mismatch - Amount Differs</v>
      </c>
    </row>
    <row r="577" customFormat="false" ht="15" hidden="false" customHeight="false" outlineLevel="0" collapsed="false">
      <c r="A577" s="16" t="str">
        <f aca="false">Payment_Log_AP!A573</f>
        <v>PAY40572</v>
      </c>
      <c r="B577" s="16" t="str">
        <f aca="false">Payment_Log_AP!C573</f>
        <v>V1022</v>
      </c>
      <c r="C577" s="17" t="n">
        <f aca="false">Payment_Log_AP!D573</f>
        <v>46201</v>
      </c>
      <c r="D577" s="18" t="n">
        <f aca="false">Payment_Log_AP!E573</f>
        <v>2778.4</v>
      </c>
      <c r="E577" s="18" t="n">
        <f aca="false">IFERROR(INDEX(Bank_Statement!$C$2:$C$783,MATCH(A577,Bank_Statement!$E$2:$E$783,0)),"")</f>
        <v>-2778.4</v>
      </c>
      <c r="F577" s="16" t="str">
        <f aca="false">IF(E577="","No","Yes")</f>
        <v>Yes</v>
      </c>
      <c r="G577" s="18" t="n">
        <f aca="false">IF(F577="No","N/A",D577-E577)</f>
        <v>5556.8</v>
      </c>
      <c r="H577" s="16" t="str">
        <f aca="false">IF(F577="No","Unmatched - Investigate",IF(ABS(D577-E577)&gt;Assumptions!$B$6,"Mismatch - Amount Differs","Matched"))</f>
        <v>Mismatch - Amount Differs</v>
      </c>
    </row>
    <row r="578" customFormat="false" ht="15" hidden="false" customHeight="false" outlineLevel="0" collapsed="false">
      <c r="A578" s="16" t="str">
        <f aca="false">Payment_Log_AP!A574</f>
        <v>PAY40573</v>
      </c>
      <c r="B578" s="16" t="str">
        <f aca="false">Payment_Log_AP!C574</f>
        <v>V1037</v>
      </c>
      <c r="C578" s="17" t="n">
        <f aca="false">Payment_Log_AP!D574</f>
        <v>45916</v>
      </c>
      <c r="D578" s="18" t="n">
        <f aca="false">Payment_Log_AP!E574</f>
        <v>989.27</v>
      </c>
      <c r="E578" s="18" t="n">
        <f aca="false">IFERROR(INDEX(Bank_Statement!$C$2:$C$783,MATCH(A578,Bank_Statement!$E$2:$E$783,0)),"")</f>
        <v>-989.27</v>
      </c>
      <c r="F578" s="16" t="str">
        <f aca="false">IF(E578="","No","Yes")</f>
        <v>Yes</v>
      </c>
      <c r="G578" s="18" t="n">
        <f aca="false">IF(F578="No","N/A",D578-E578)</f>
        <v>1978.54</v>
      </c>
      <c r="H578" s="16" t="str">
        <f aca="false">IF(F578="No","Unmatched - Investigate",IF(ABS(D578-E578)&gt;Assumptions!$B$6,"Mismatch - Amount Differs","Matched"))</f>
        <v>Mismatch - Amount Differs</v>
      </c>
    </row>
    <row r="579" customFormat="false" ht="15" hidden="false" customHeight="false" outlineLevel="0" collapsed="false">
      <c r="A579" s="16" t="str">
        <f aca="false">Payment_Log_AP!A575</f>
        <v>PAY40574</v>
      </c>
      <c r="B579" s="16" t="str">
        <f aca="false">Payment_Log_AP!C575</f>
        <v>V1032</v>
      </c>
      <c r="C579" s="17" t="n">
        <f aca="false">Payment_Log_AP!D575</f>
        <v>46115</v>
      </c>
      <c r="D579" s="18" t="n">
        <f aca="false">Payment_Log_AP!E575</f>
        <v>1556.9</v>
      </c>
      <c r="E579" s="18" t="n">
        <f aca="false">IFERROR(INDEX(Bank_Statement!$C$2:$C$783,MATCH(A579,Bank_Statement!$E$2:$E$783,0)),"")</f>
        <v>-1556.9</v>
      </c>
      <c r="F579" s="16" t="str">
        <f aca="false">IF(E579="","No","Yes")</f>
        <v>Yes</v>
      </c>
      <c r="G579" s="18" t="n">
        <f aca="false">IF(F579="No","N/A",D579-E579)</f>
        <v>3113.8</v>
      </c>
      <c r="H579" s="16" t="str">
        <f aca="false">IF(F579="No","Unmatched - Investigate",IF(ABS(D579-E579)&gt;Assumptions!$B$6,"Mismatch - Amount Differs","Matched"))</f>
        <v>Mismatch - Amount Differs</v>
      </c>
    </row>
    <row r="580" customFormat="false" ht="15" hidden="false" customHeight="false" outlineLevel="0" collapsed="false">
      <c r="A580" s="16" t="str">
        <f aca="false">Payment_Log_AP!A576</f>
        <v>PAY40575</v>
      </c>
      <c r="B580" s="16" t="str">
        <f aca="false">Payment_Log_AP!C576</f>
        <v>V1011</v>
      </c>
      <c r="C580" s="17" t="n">
        <f aca="false">Payment_Log_AP!D576</f>
        <v>45755</v>
      </c>
      <c r="D580" s="18" t="n">
        <f aca="false">Payment_Log_AP!E576</f>
        <v>6662.15</v>
      </c>
      <c r="E580" s="18" t="n">
        <f aca="false">IFERROR(INDEX(Bank_Statement!$C$2:$C$783,MATCH(A580,Bank_Statement!$E$2:$E$783,0)),"")</f>
        <v>-6662.15</v>
      </c>
      <c r="F580" s="16" t="str">
        <f aca="false">IF(E580="","No","Yes")</f>
        <v>Yes</v>
      </c>
      <c r="G580" s="18" t="n">
        <f aca="false">IF(F580="No","N/A",D580-E580)</f>
        <v>13324.3</v>
      </c>
      <c r="H580" s="16" t="str">
        <f aca="false">IF(F580="No","Unmatched - Investigate",IF(ABS(D580-E580)&gt;Assumptions!$B$6,"Mismatch - Amount Differs","Matched"))</f>
        <v>Mismatch - Amount Differs</v>
      </c>
    </row>
    <row r="581" customFormat="false" ht="15" hidden="false" customHeight="false" outlineLevel="0" collapsed="false">
      <c r="A581" s="16" t="str">
        <f aca="false">Payment_Log_AP!A577</f>
        <v>PAY40576</v>
      </c>
      <c r="B581" s="16" t="str">
        <f aca="false">Payment_Log_AP!C577</f>
        <v>V1039</v>
      </c>
      <c r="C581" s="17" t="n">
        <f aca="false">Payment_Log_AP!D577</f>
        <v>45905</v>
      </c>
      <c r="D581" s="18" t="n">
        <f aca="false">Payment_Log_AP!E577</f>
        <v>5757.86</v>
      </c>
      <c r="E581" s="18" t="n">
        <f aca="false">IFERROR(INDEX(Bank_Statement!$C$2:$C$783,MATCH(A581,Bank_Statement!$E$2:$E$783,0)),"")</f>
        <v>-5757.86</v>
      </c>
      <c r="F581" s="16" t="str">
        <f aca="false">IF(E581="","No","Yes")</f>
        <v>Yes</v>
      </c>
      <c r="G581" s="18" t="n">
        <f aca="false">IF(F581="No","N/A",D581-E581)</f>
        <v>11515.72</v>
      </c>
      <c r="H581" s="16" t="str">
        <f aca="false">IF(F581="No","Unmatched - Investigate",IF(ABS(D581-E581)&gt;Assumptions!$B$6,"Mismatch - Amount Differs","Matched"))</f>
        <v>Mismatch - Amount Differs</v>
      </c>
    </row>
    <row r="582" customFormat="false" ht="15" hidden="false" customHeight="false" outlineLevel="0" collapsed="false">
      <c r="A582" s="16" t="str">
        <f aca="false">Payment_Log_AP!A578</f>
        <v>PAY40577</v>
      </c>
      <c r="B582" s="16" t="str">
        <f aca="false">Payment_Log_AP!C578</f>
        <v>V1030</v>
      </c>
      <c r="C582" s="17" t="n">
        <f aca="false">Payment_Log_AP!D578</f>
        <v>45754</v>
      </c>
      <c r="D582" s="18" t="n">
        <f aca="false">Payment_Log_AP!E578</f>
        <v>6869</v>
      </c>
      <c r="E582" s="18" t="n">
        <f aca="false">IFERROR(INDEX(Bank_Statement!$C$2:$C$783,MATCH(A582,Bank_Statement!$E$2:$E$783,0)),"")</f>
        <v>-6869</v>
      </c>
      <c r="F582" s="16" t="str">
        <f aca="false">IF(E582="","No","Yes")</f>
        <v>Yes</v>
      </c>
      <c r="G582" s="18" t="n">
        <f aca="false">IF(F582="No","N/A",D582-E582)</f>
        <v>13738</v>
      </c>
      <c r="H582" s="16" t="str">
        <f aca="false">IF(F582="No","Unmatched - Investigate",IF(ABS(D582-E582)&gt;Assumptions!$B$6,"Mismatch - Amount Differs","Matched"))</f>
        <v>Mismatch - Amount Differs</v>
      </c>
    </row>
    <row r="583" customFormat="false" ht="15" hidden="false" customHeight="false" outlineLevel="0" collapsed="false">
      <c r="A583" s="16" t="str">
        <f aca="false">Payment_Log_AP!A579</f>
        <v>PAY40578</v>
      </c>
      <c r="B583" s="16" t="str">
        <f aca="false">Payment_Log_AP!C579</f>
        <v>V1029</v>
      </c>
      <c r="C583" s="17" t="n">
        <f aca="false">Payment_Log_AP!D579</f>
        <v>45958</v>
      </c>
      <c r="D583" s="18" t="n">
        <f aca="false">Payment_Log_AP!E579</f>
        <v>228.89</v>
      </c>
      <c r="E583" s="18" t="n">
        <f aca="false">IFERROR(INDEX(Bank_Statement!$C$2:$C$783,MATCH(A583,Bank_Statement!$E$2:$E$783,0)),"")</f>
        <v>-228.89</v>
      </c>
      <c r="F583" s="16" t="str">
        <f aca="false">IF(E583="","No","Yes")</f>
        <v>Yes</v>
      </c>
      <c r="G583" s="18" t="n">
        <f aca="false">IF(F583="No","N/A",D583-E583)</f>
        <v>457.78</v>
      </c>
      <c r="H583" s="16" t="str">
        <f aca="false">IF(F583="No","Unmatched - Investigate",IF(ABS(D583-E583)&gt;Assumptions!$B$6,"Mismatch - Amount Differs","Matched"))</f>
        <v>Mismatch - Amount Differs</v>
      </c>
    </row>
    <row r="584" customFormat="false" ht="15" hidden="false" customHeight="false" outlineLevel="0" collapsed="false">
      <c r="A584" s="16" t="str">
        <f aca="false">Payment_Log_AP!A580</f>
        <v>PAY40579</v>
      </c>
      <c r="B584" s="16" t="str">
        <f aca="false">Payment_Log_AP!C580</f>
        <v>V1020</v>
      </c>
      <c r="C584" s="17" t="n">
        <f aca="false">Payment_Log_AP!D580</f>
        <v>45912</v>
      </c>
      <c r="D584" s="18" t="n">
        <f aca="false">Payment_Log_AP!E580</f>
        <v>887.06</v>
      </c>
      <c r="E584" s="18" t="n">
        <f aca="false">IFERROR(INDEX(Bank_Statement!$C$2:$C$783,MATCH(A584,Bank_Statement!$E$2:$E$783,0)),"")</f>
        <v>-887.06</v>
      </c>
      <c r="F584" s="16" t="str">
        <f aca="false">IF(E584="","No","Yes")</f>
        <v>Yes</v>
      </c>
      <c r="G584" s="18" t="n">
        <f aca="false">IF(F584="No","N/A",D584-E584)</f>
        <v>1774.12</v>
      </c>
      <c r="H584" s="16" t="str">
        <f aca="false">IF(F584="No","Unmatched - Investigate",IF(ABS(D584-E584)&gt;Assumptions!$B$6,"Mismatch - Amount Differs","Matched"))</f>
        <v>Mismatch - Amount Differs</v>
      </c>
    </row>
    <row r="585" customFormat="false" ht="15" hidden="false" customHeight="false" outlineLevel="0" collapsed="false">
      <c r="A585" s="16" t="str">
        <f aca="false">Payment_Log_AP!A581</f>
        <v>PAY40580</v>
      </c>
      <c r="B585" s="16" t="str">
        <f aca="false">Payment_Log_AP!C581</f>
        <v>V1002</v>
      </c>
      <c r="C585" s="17" t="n">
        <f aca="false">Payment_Log_AP!D581</f>
        <v>46179</v>
      </c>
      <c r="D585" s="18" t="n">
        <f aca="false">Payment_Log_AP!E581</f>
        <v>2875.96</v>
      </c>
      <c r="E585" s="18" t="n">
        <f aca="false">IFERROR(INDEX(Bank_Statement!$C$2:$C$783,MATCH(A585,Bank_Statement!$E$2:$E$783,0)),"")</f>
        <v>-2875.96</v>
      </c>
      <c r="F585" s="16" t="str">
        <f aca="false">IF(E585="","No","Yes")</f>
        <v>Yes</v>
      </c>
      <c r="G585" s="18" t="n">
        <f aca="false">IF(F585="No","N/A",D585-E585)</f>
        <v>5751.92</v>
      </c>
      <c r="H585" s="16" t="str">
        <f aca="false">IF(F585="No","Unmatched - Investigate",IF(ABS(D585-E585)&gt;Assumptions!$B$6,"Mismatch - Amount Differs","Matched"))</f>
        <v>Mismatch - Amount Differs</v>
      </c>
    </row>
    <row r="586" customFormat="false" ht="15" hidden="false" customHeight="false" outlineLevel="0" collapsed="false">
      <c r="A586" s="16" t="str">
        <f aca="false">Payment_Log_AP!A582</f>
        <v>PAY40581</v>
      </c>
      <c r="B586" s="16" t="str">
        <f aca="false">Payment_Log_AP!C582</f>
        <v>V1004</v>
      </c>
      <c r="C586" s="17" t="n">
        <f aca="false">Payment_Log_AP!D582</f>
        <v>45709</v>
      </c>
      <c r="D586" s="18" t="n">
        <f aca="false">Payment_Log_AP!E582</f>
        <v>3337.25</v>
      </c>
      <c r="E586" s="18" t="n">
        <f aca="false">IFERROR(INDEX(Bank_Statement!$C$2:$C$783,MATCH(A586,Bank_Statement!$E$2:$E$783,0)),"")</f>
        <v>-3337.25</v>
      </c>
      <c r="F586" s="16" t="str">
        <f aca="false">IF(E586="","No","Yes")</f>
        <v>Yes</v>
      </c>
      <c r="G586" s="18" t="n">
        <f aca="false">IF(F586="No","N/A",D586-E586)</f>
        <v>6674.5</v>
      </c>
      <c r="H586" s="16" t="str">
        <f aca="false">IF(F586="No","Unmatched - Investigate",IF(ABS(D586-E586)&gt;Assumptions!$B$6,"Mismatch - Amount Differs","Matched"))</f>
        <v>Mismatch - Amount Differs</v>
      </c>
    </row>
    <row r="587" customFormat="false" ht="15" hidden="false" customHeight="false" outlineLevel="0" collapsed="false">
      <c r="A587" s="16" t="str">
        <f aca="false">Payment_Log_AP!A583</f>
        <v>PAY40582</v>
      </c>
      <c r="B587" s="16" t="str">
        <f aca="false">Payment_Log_AP!C583</f>
        <v>V1038</v>
      </c>
      <c r="C587" s="17" t="n">
        <f aca="false">Payment_Log_AP!D583</f>
        <v>45892</v>
      </c>
      <c r="D587" s="18" t="n">
        <f aca="false">Payment_Log_AP!E583</f>
        <v>3555.6</v>
      </c>
      <c r="E587" s="18" t="n">
        <f aca="false">IFERROR(INDEX(Bank_Statement!$C$2:$C$783,MATCH(A587,Bank_Statement!$E$2:$E$783,0)),"")</f>
        <v>-3555.6</v>
      </c>
      <c r="F587" s="16" t="str">
        <f aca="false">IF(E587="","No","Yes")</f>
        <v>Yes</v>
      </c>
      <c r="G587" s="18" t="n">
        <f aca="false">IF(F587="No","N/A",D587-E587)</f>
        <v>7111.2</v>
      </c>
      <c r="H587" s="16" t="str">
        <f aca="false">IF(F587="No","Unmatched - Investigate",IF(ABS(D587-E587)&gt;Assumptions!$B$6,"Mismatch - Amount Differs","Matched"))</f>
        <v>Mismatch - Amount Differs</v>
      </c>
    </row>
    <row r="588" customFormat="false" ht="15" hidden="false" customHeight="false" outlineLevel="0" collapsed="false">
      <c r="A588" s="16" t="str">
        <f aca="false">Payment_Log_AP!A584</f>
        <v>PAY40583</v>
      </c>
      <c r="B588" s="16" t="str">
        <f aca="false">Payment_Log_AP!C584</f>
        <v>V1012</v>
      </c>
      <c r="C588" s="17" t="n">
        <f aca="false">Payment_Log_AP!D584</f>
        <v>45939</v>
      </c>
      <c r="D588" s="18" t="n">
        <f aca="false">Payment_Log_AP!E584</f>
        <v>313.22</v>
      </c>
      <c r="E588" s="18" t="n">
        <f aca="false">IFERROR(INDEX(Bank_Statement!$C$2:$C$783,MATCH(A588,Bank_Statement!$E$2:$E$783,0)),"")</f>
        <v>-313.22</v>
      </c>
      <c r="F588" s="16" t="str">
        <f aca="false">IF(E588="","No","Yes")</f>
        <v>Yes</v>
      </c>
      <c r="G588" s="18" t="n">
        <f aca="false">IF(F588="No","N/A",D588-E588)</f>
        <v>626.44</v>
      </c>
      <c r="H588" s="16" t="str">
        <f aca="false">IF(F588="No","Unmatched - Investigate",IF(ABS(D588-E588)&gt;Assumptions!$B$6,"Mismatch - Amount Differs","Matched"))</f>
        <v>Mismatch - Amount Differs</v>
      </c>
    </row>
    <row r="589" customFormat="false" ht="15" hidden="false" customHeight="false" outlineLevel="0" collapsed="false">
      <c r="A589" s="16" t="str">
        <f aca="false">Payment_Log_AP!A585</f>
        <v>PAY40584</v>
      </c>
      <c r="B589" s="16" t="str">
        <f aca="false">Payment_Log_AP!C585</f>
        <v>V1001</v>
      </c>
      <c r="C589" s="17" t="n">
        <f aca="false">Payment_Log_AP!D585</f>
        <v>46203</v>
      </c>
      <c r="D589" s="18" t="n">
        <f aca="false">Payment_Log_AP!E585</f>
        <v>36063.86</v>
      </c>
      <c r="E589" s="18" t="n">
        <f aca="false">IFERROR(INDEX(Bank_Statement!$C$2:$C$783,MATCH(A589,Bank_Statement!$E$2:$E$783,0)),"")</f>
        <v>-36063.86</v>
      </c>
      <c r="F589" s="16" t="str">
        <f aca="false">IF(E589="","No","Yes")</f>
        <v>Yes</v>
      </c>
      <c r="G589" s="18" t="n">
        <f aca="false">IF(F589="No","N/A",D589-E589)</f>
        <v>72127.72</v>
      </c>
      <c r="H589" s="16" t="str">
        <f aca="false">IF(F589="No","Unmatched - Investigate",IF(ABS(D589-E589)&gt;Assumptions!$B$6,"Mismatch - Amount Differs","Matched"))</f>
        <v>Mismatch - Amount Differs</v>
      </c>
    </row>
    <row r="590" customFormat="false" ht="15" hidden="false" customHeight="false" outlineLevel="0" collapsed="false">
      <c r="A590" s="16" t="str">
        <f aca="false">Payment_Log_AP!A586</f>
        <v>PAY40585</v>
      </c>
      <c r="B590" s="16" t="str">
        <f aca="false">Payment_Log_AP!C586</f>
        <v>V1007</v>
      </c>
      <c r="C590" s="17" t="n">
        <f aca="false">Payment_Log_AP!D586</f>
        <v>46164</v>
      </c>
      <c r="D590" s="18" t="n">
        <f aca="false">Payment_Log_AP!E586</f>
        <v>1139.17</v>
      </c>
      <c r="E590" s="18" t="n">
        <f aca="false">IFERROR(INDEX(Bank_Statement!$C$2:$C$783,MATCH(A590,Bank_Statement!$E$2:$E$783,0)),"")</f>
        <v>-1139.17</v>
      </c>
      <c r="F590" s="16" t="str">
        <f aca="false">IF(E590="","No","Yes")</f>
        <v>Yes</v>
      </c>
      <c r="G590" s="18" t="n">
        <f aca="false">IF(F590="No","N/A",D590-E590)</f>
        <v>2278.34</v>
      </c>
      <c r="H590" s="16" t="str">
        <f aca="false">IF(F590="No","Unmatched - Investigate",IF(ABS(D590-E590)&gt;Assumptions!$B$6,"Mismatch - Amount Differs","Matched"))</f>
        <v>Mismatch - Amount Differs</v>
      </c>
    </row>
    <row r="591" customFormat="false" ht="15" hidden="false" customHeight="false" outlineLevel="0" collapsed="false">
      <c r="A591" s="16" t="str">
        <f aca="false">Payment_Log_AP!A587</f>
        <v>PAY40586</v>
      </c>
      <c r="B591" s="16" t="str">
        <f aca="false">Payment_Log_AP!C587</f>
        <v>V1025</v>
      </c>
      <c r="C591" s="17" t="n">
        <f aca="false">Payment_Log_AP!D587</f>
        <v>45741</v>
      </c>
      <c r="D591" s="18" t="n">
        <f aca="false">Payment_Log_AP!E587</f>
        <v>989.07</v>
      </c>
      <c r="E591" s="18" t="n">
        <f aca="false">IFERROR(INDEX(Bank_Statement!$C$2:$C$783,MATCH(A591,Bank_Statement!$E$2:$E$783,0)),"")</f>
        <v>-989.07</v>
      </c>
      <c r="F591" s="16" t="str">
        <f aca="false">IF(E591="","No","Yes")</f>
        <v>Yes</v>
      </c>
      <c r="G591" s="18" t="n">
        <f aca="false">IF(F591="No","N/A",D591-E591)</f>
        <v>1978.14</v>
      </c>
      <c r="H591" s="16" t="str">
        <f aca="false">IF(F591="No","Unmatched - Investigate",IF(ABS(D591-E591)&gt;Assumptions!$B$6,"Mismatch - Amount Differs","Matched"))</f>
        <v>Mismatch - Amount Differs</v>
      </c>
    </row>
    <row r="592" customFormat="false" ht="15" hidden="false" customHeight="false" outlineLevel="0" collapsed="false">
      <c r="A592" s="16" t="str">
        <f aca="false">Payment_Log_AP!A588</f>
        <v>PAY40587</v>
      </c>
      <c r="B592" s="16" t="str">
        <f aca="false">Payment_Log_AP!C588</f>
        <v>V1032</v>
      </c>
      <c r="C592" s="17" t="n">
        <f aca="false">Payment_Log_AP!D588</f>
        <v>45987</v>
      </c>
      <c r="D592" s="18" t="n">
        <f aca="false">Payment_Log_AP!E588</f>
        <v>2408.69</v>
      </c>
      <c r="E592" s="18" t="n">
        <f aca="false">IFERROR(INDEX(Bank_Statement!$C$2:$C$783,MATCH(A592,Bank_Statement!$E$2:$E$783,0)),"")</f>
        <v>-2408.69</v>
      </c>
      <c r="F592" s="16" t="str">
        <f aca="false">IF(E592="","No","Yes")</f>
        <v>Yes</v>
      </c>
      <c r="G592" s="18" t="n">
        <f aca="false">IF(F592="No","N/A",D592-E592)</f>
        <v>4817.38</v>
      </c>
      <c r="H592" s="16" t="str">
        <f aca="false">IF(F592="No","Unmatched - Investigate",IF(ABS(D592-E592)&gt;Assumptions!$B$6,"Mismatch - Amount Differs","Matched"))</f>
        <v>Mismatch - Amount Differs</v>
      </c>
    </row>
    <row r="593" customFormat="false" ht="15" hidden="false" customHeight="false" outlineLevel="0" collapsed="false">
      <c r="A593" s="16" t="str">
        <f aca="false">Payment_Log_AP!A589</f>
        <v>PAY40588</v>
      </c>
      <c r="B593" s="16" t="str">
        <f aca="false">Payment_Log_AP!C589</f>
        <v>V1030</v>
      </c>
      <c r="C593" s="17" t="n">
        <f aca="false">Payment_Log_AP!D589</f>
        <v>45888</v>
      </c>
      <c r="D593" s="18" t="n">
        <f aca="false">Payment_Log_AP!E589</f>
        <v>526.61</v>
      </c>
      <c r="E593" s="18" t="n">
        <f aca="false">IFERROR(INDEX(Bank_Statement!$C$2:$C$783,MATCH(A593,Bank_Statement!$E$2:$E$783,0)),"")</f>
        <v>-526.61</v>
      </c>
      <c r="F593" s="16" t="str">
        <f aca="false">IF(E593="","No","Yes")</f>
        <v>Yes</v>
      </c>
      <c r="G593" s="18" t="n">
        <f aca="false">IF(F593="No","N/A",D593-E593)</f>
        <v>1053.22</v>
      </c>
      <c r="H593" s="16" t="str">
        <f aca="false">IF(F593="No","Unmatched - Investigate",IF(ABS(D593-E593)&gt;Assumptions!$B$6,"Mismatch - Amount Differs","Matched"))</f>
        <v>Mismatch - Amount Differs</v>
      </c>
    </row>
    <row r="594" customFormat="false" ht="15" hidden="false" customHeight="false" outlineLevel="0" collapsed="false">
      <c r="A594" s="16" t="str">
        <f aca="false">Payment_Log_AP!A590</f>
        <v>PAY40589</v>
      </c>
      <c r="B594" s="16" t="str">
        <f aca="false">Payment_Log_AP!C590</f>
        <v>V1008</v>
      </c>
      <c r="C594" s="17" t="n">
        <f aca="false">Payment_Log_AP!D590</f>
        <v>45750</v>
      </c>
      <c r="D594" s="18" t="n">
        <f aca="false">Payment_Log_AP!E590</f>
        <v>3315.09</v>
      </c>
      <c r="E594" s="18" t="n">
        <f aca="false">IFERROR(INDEX(Bank_Statement!$C$2:$C$783,MATCH(A594,Bank_Statement!$E$2:$E$783,0)),"")</f>
        <v>-3315.09</v>
      </c>
      <c r="F594" s="16" t="str">
        <f aca="false">IF(E594="","No","Yes")</f>
        <v>Yes</v>
      </c>
      <c r="G594" s="18" t="n">
        <f aca="false">IF(F594="No","N/A",D594-E594)</f>
        <v>6630.18</v>
      </c>
      <c r="H594" s="16" t="str">
        <f aca="false">IF(F594="No","Unmatched - Investigate",IF(ABS(D594-E594)&gt;Assumptions!$B$6,"Mismatch - Amount Differs","Matched"))</f>
        <v>Mismatch - Amount Differs</v>
      </c>
    </row>
    <row r="595" customFormat="false" ht="15" hidden="false" customHeight="false" outlineLevel="0" collapsed="false">
      <c r="A595" s="16" t="str">
        <f aca="false">Payment_Log_AP!A591</f>
        <v>PAY40590</v>
      </c>
      <c r="B595" s="16" t="str">
        <f aca="false">Payment_Log_AP!C591</f>
        <v>V1009</v>
      </c>
      <c r="C595" s="17" t="n">
        <f aca="false">Payment_Log_AP!D591</f>
        <v>46152</v>
      </c>
      <c r="D595" s="18" t="n">
        <f aca="false">Payment_Log_AP!E591</f>
        <v>1645.78</v>
      </c>
      <c r="E595" s="18" t="n">
        <f aca="false">IFERROR(INDEX(Bank_Statement!$C$2:$C$783,MATCH(A595,Bank_Statement!$E$2:$E$783,0)),"")</f>
        <v>-1645.78</v>
      </c>
      <c r="F595" s="16" t="str">
        <f aca="false">IF(E595="","No","Yes")</f>
        <v>Yes</v>
      </c>
      <c r="G595" s="18" t="n">
        <f aca="false">IF(F595="No","N/A",D595-E595)</f>
        <v>3291.56</v>
      </c>
      <c r="H595" s="16" t="str">
        <f aca="false">IF(F595="No","Unmatched - Investigate",IF(ABS(D595-E595)&gt;Assumptions!$B$6,"Mismatch - Amount Differs","Matched"))</f>
        <v>Mismatch - Amount Differs</v>
      </c>
    </row>
    <row r="596" customFormat="false" ht="15" hidden="false" customHeight="false" outlineLevel="0" collapsed="false">
      <c r="A596" s="16" t="str">
        <f aca="false">Payment_Log_AP!A592</f>
        <v>PAY40591</v>
      </c>
      <c r="B596" s="16" t="str">
        <f aca="false">Payment_Log_AP!C592</f>
        <v>V1009</v>
      </c>
      <c r="C596" s="17" t="n">
        <f aca="false">Payment_Log_AP!D592</f>
        <v>46162</v>
      </c>
      <c r="D596" s="18" t="n">
        <f aca="false">Payment_Log_AP!E592</f>
        <v>1645.78</v>
      </c>
      <c r="E596" s="18" t="n">
        <f aca="false">IFERROR(INDEX(Bank_Statement!$C$2:$C$783,MATCH(A596,Bank_Statement!$E$2:$E$783,0)),"")</f>
        <v>-1645.78</v>
      </c>
      <c r="F596" s="16" t="str">
        <f aca="false">IF(E596="","No","Yes")</f>
        <v>Yes</v>
      </c>
      <c r="G596" s="18" t="n">
        <f aca="false">IF(F596="No","N/A",D596-E596)</f>
        <v>3291.56</v>
      </c>
      <c r="H596" s="16" t="str">
        <f aca="false">IF(F596="No","Unmatched - Investigate",IF(ABS(D596-E596)&gt;Assumptions!$B$6,"Mismatch - Amount Differs","Matched"))</f>
        <v>Mismatch - Amount Differs</v>
      </c>
    </row>
    <row r="597" customFormat="false" ht="15" hidden="false" customHeight="false" outlineLevel="0" collapsed="false">
      <c r="A597" s="16" t="str">
        <f aca="false">Payment_Log_AP!A593</f>
        <v>PAY40592</v>
      </c>
      <c r="B597" s="16" t="str">
        <f aca="false">Payment_Log_AP!C593</f>
        <v>V1009</v>
      </c>
      <c r="C597" s="17" t="n">
        <f aca="false">Payment_Log_AP!D593</f>
        <v>45939</v>
      </c>
      <c r="D597" s="18" t="n">
        <f aca="false">Payment_Log_AP!E593</f>
        <v>2048.02</v>
      </c>
      <c r="E597" s="18" t="n">
        <f aca="false">IFERROR(INDEX(Bank_Statement!$C$2:$C$783,MATCH(A597,Bank_Statement!$E$2:$E$783,0)),"")</f>
        <v>-2048.02</v>
      </c>
      <c r="F597" s="16" t="str">
        <f aca="false">IF(E597="","No","Yes")</f>
        <v>Yes</v>
      </c>
      <c r="G597" s="18" t="n">
        <f aca="false">IF(F597="No","N/A",D597-E597)</f>
        <v>4096.04</v>
      </c>
      <c r="H597" s="16" t="str">
        <f aca="false">IF(F597="No","Unmatched - Investigate",IF(ABS(D597-E597)&gt;Assumptions!$B$6,"Mismatch - Amount Differs","Matched"))</f>
        <v>Mismatch - Amount Differs</v>
      </c>
    </row>
    <row r="598" customFormat="false" ht="15" hidden="false" customHeight="false" outlineLevel="0" collapsed="false">
      <c r="A598" s="16" t="str">
        <f aca="false">Payment_Log_AP!A594</f>
        <v>PAY40593</v>
      </c>
      <c r="B598" s="16" t="str">
        <f aca="false">Payment_Log_AP!C594</f>
        <v>V1025</v>
      </c>
      <c r="C598" s="17" t="n">
        <f aca="false">Payment_Log_AP!D594</f>
        <v>46059</v>
      </c>
      <c r="D598" s="18" t="n">
        <f aca="false">Payment_Log_AP!E594</f>
        <v>1796.9</v>
      </c>
      <c r="E598" s="18" t="n">
        <f aca="false">IFERROR(INDEX(Bank_Statement!$C$2:$C$783,MATCH(A598,Bank_Statement!$E$2:$E$783,0)),"")</f>
        <v>-1796.9</v>
      </c>
      <c r="F598" s="16" t="str">
        <f aca="false">IF(E598="","No","Yes")</f>
        <v>Yes</v>
      </c>
      <c r="G598" s="18" t="n">
        <f aca="false">IF(F598="No","N/A",D598-E598)</f>
        <v>3593.8</v>
      </c>
      <c r="H598" s="16" t="str">
        <f aca="false">IF(F598="No","Unmatched - Investigate",IF(ABS(D598-E598)&gt;Assumptions!$B$6,"Mismatch - Amount Differs","Matched"))</f>
        <v>Mismatch - Amount Differs</v>
      </c>
    </row>
    <row r="599" customFormat="false" ht="15" hidden="false" customHeight="false" outlineLevel="0" collapsed="false">
      <c r="A599" s="16" t="str">
        <f aca="false">Payment_Log_AP!A595</f>
        <v>PAY40594</v>
      </c>
      <c r="B599" s="16" t="str">
        <f aca="false">Payment_Log_AP!C595</f>
        <v>V1012</v>
      </c>
      <c r="C599" s="17" t="n">
        <f aca="false">Payment_Log_AP!D595</f>
        <v>46062</v>
      </c>
      <c r="D599" s="18" t="n">
        <f aca="false">Payment_Log_AP!E595</f>
        <v>2764.38</v>
      </c>
      <c r="E599" s="18" t="n">
        <f aca="false">IFERROR(INDEX(Bank_Statement!$C$2:$C$783,MATCH(A599,Bank_Statement!$E$2:$E$783,0)),"")</f>
        <v>-2764.38</v>
      </c>
      <c r="F599" s="16" t="str">
        <f aca="false">IF(E599="","No","Yes")</f>
        <v>Yes</v>
      </c>
      <c r="G599" s="18" t="n">
        <f aca="false">IF(F599="No","N/A",D599-E599)</f>
        <v>5528.76</v>
      </c>
      <c r="H599" s="16" t="str">
        <f aca="false">IF(F599="No","Unmatched - Investigate",IF(ABS(D599-E599)&gt;Assumptions!$B$6,"Mismatch - Amount Differs","Matched"))</f>
        <v>Mismatch - Amount Differs</v>
      </c>
    </row>
    <row r="600" customFormat="false" ht="15" hidden="false" customHeight="false" outlineLevel="0" collapsed="false">
      <c r="A600" s="16" t="str">
        <f aca="false">Payment_Log_AP!A596</f>
        <v>PAY40595</v>
      </c>
      <c r="B600" s="16" t="str">
        <f aca="false">Payment_Log_AP!C596</f>
        <v>V1012</v>
      </c>
      <c r="C600" s="17" t="n">
        <f aca="false">Payment_Log_AP!D596</f>
        <v>46009</v>
      </c>
      <c r="D600" s="18" t="n">
        <f aca="false">Payment_Log_AP!E596</f>
        <v>3596.65</v>
      </c>
      <c r="E600" s="18" t="n">
        <f aca="false">IFERROR(INDEX(Bank_Statement!$C$2:$C$783,MATCH(A600,Bank_Statement!$E$2:$E$783,0)),"")</f>
        <v>-3596.65</v>
      </c>
      <c r="F600" s="16" t="str">
        <f aca="false">IF(E600="","No","Yes")</f>
        <v>Yes</v>
      </c>
      <c r="G600" s="18" t="n">
        <f aca="false">IF(F600="No","N/A",D600-E600)</f>
        <v>7193.3</v>
      </c>
      <c r="H600" s="16" t="str">
        <f aca="false">IF(F600="No","Unmatched - Investigate",IF(ABS(D600-E600)&gt;Assumptions!$B$6,"Mismatch - Amount Differs","Matched"))</f>
        <v>Mismatch - Amount Differs</v>
      </c>
    </row>
    <row r="601" customFormat="false" ht="15" hidden="false" customHeight="false" outlineLevel="0" collapsed="false">
      <c r="A601" s="16" t="str">
        <f aca="false">Payment_Log_AP!A597</f>
        <v>PAY40596</v>
      </c>
      <c r="B601" s="16" t="str">
        <f aca="false">Payment_Log_AP!C597</f>
        <v>V1039</v>
      </c>
      <c r="C601" s="17" t="n">
        <f aca="false">Payment_Log_AP!D597</f>
        <v>46129</v>
      </c>
      <c r="D601" s="18" t="n">
        <f aca="false">Payment_Log_AP!E597</f>
        <v>2397.02</v>
      </c>
      <c r="E601" s="18" t="n">
        <f aca="false">IFERROR(INDEX(Bank_Statement!$C$2:$C$783,MATCH(A601,Bank_Statement!$E$2:$E$783,0)),"")</f>
        <v>-2397.02</v>
      </c>
      <c r="F601" s="16" t="str">
        <f aca="false">IF(E601="","No","Yes")</f>
        <v>Yes</v>
      </c>
      <c r="G601" s="18" t="n">
        <f aca="false">IF(F601="No","N/A",D601-E601)</f>
        <v>4794.04</v>
      </c>
      <c r="H601" s="16" t="str">
        <f aca="false">IF(F601="No","Unmatched - Investigate",IF(ABS(D601-E601)&gt;Assumptions!$B$6,"Mismatch - Amount Differs","Matched"))</f>
        <v>Mismatch - Amount Differs</v>
      </c>
    </row>
    <row r="602" customFormat="false" ht="15" hidden="false" customHeight="false" outlineLevel="0" collapsed="false">
      <c r="A602" s="16" t="str">
        <f aca="false">Payment_Log_AP!A598</f>
        <v>PAY40597</v>
      </c>
      <c r="B602" s="16" t="str">
        <f aca="false">Payment_Log_AP!C598</f>
        <v>V1035</v>
      </c>
      <c r="C602" s="17" t="n">
        <f aca="false">Payment_Log_AP!D598</f>
        <v>45824</v>
      </c>
      <c r="D602" s="18" t="n">
        <f aca="false">Payment_Log_AP!E598</f>
        <v>15935.12</v>
      </c>
      <c r="E602" s="18" t="n">
        <f aca="false">IFERROR(INDEX(Bank_Statement!$C$2:$C$783,MATCH(A602,Bank_Statement!$E$2:$E$783,0)),"")</f>
        <v>-15935.12</v>
      </c>
      <c r="F602" s="16" t="str">
        <f aca="false">IF(E602="","No","Yes")</f>
        <v>Yes</v>
      </c>
      <c r="G602" s="18" t="n">
        <f aca="false">IF(F602="No","N/A",D602-E602)</f>
        <v>31870.24</v>
      </c>
      <c r="H602" s="16" t="str">
        <f aca="false">IF(F602="No","Unmatched - Investigate",IF(ABS(D602-E602)&gt;Assumptions!$B$6,"Mismatch - Amount Differs","Matched"))</f>
        <v>Mismatch - Amount Differs</v>
      </c>
    </row>
    <row r="603" customFormat="false" ht="15" hidden="false" customHeight="false" outlineLevel="0" collapsed="false">
      <c r="A603" s="16" t="str">
        <f aca="false">Payment_Log_AP!A599</f>
        <v>PAY40598</v>
      </c>
      <c r="B603" s="16" t="str">
        <f aca="false">Payment_Log_AP!C599</f>
        <v>V1028</v>
      </c>
      <c r="C603" s="17" t="n">
        <f aca="false">Payment_Log_AP!D599</f>
        <v>45761</v>
      </c>
      <c r="D603" s="18" t="n">
        <f aca="false">Payment_Log_AP!E599</f>
        <v>524.67</v>
      </c>
      <c r="E603" s="18" t="n">
        <f aca="false">IFERROR(INDEX(Bank_Statement!$C$2:$C$783,MATCH(A603,Bank_Statement!$E$2:$E$783,0)),"")</f>
        <v>-524.67</v>
      </c>
      <c r="F603" s="16" t="str">
        <f aca="false">IF(E603="","No","Yes")</f>
        <v>Yes</v>
      </c>
      <c r="G603" s="18" t="n">
        <f aca="false">IF(F603="No","N/A",D603-E603)</f>
        <v>1049.34</v>
      </c>
      <c r="H603" s="16" t="str">
        <f aca="false">IF(F603="No","Unmatched - Investigate",IF(ABS(D603-E603)&gt;Assumptions!$B$6,"Mismatch - Amount Differs","Matched"))</f>
        <v>Mismatch - Amount Differs</v>
      </c>
    </row>
    <row r="604" customFormat="false" ht="15" hidden="false" customHeight="false" outlineLevel="0" collapsed="false">
      <c r="A604" s="16" t="str">
        <f aca="false">Payment_Log_AP!A600</f>
        <v>PAY40599</v>
      </c>
      <c r="B604" s="16" t="str">
        <f aca="false">Payment_Log_AP!C600</f>
        <v>V1040</v>
      </c>
      <c r="C604" s="17" t="n">
        <f aca="false">Payment_Log_AP!D600</f>
        <v>45754</v>
      </c>
      <c r="D604" s="18" t="n">
        <f aca="false">Payment_Log_AP!E600</f>
        <v>979.13</v>
      </c>
      <c r="E604" s="18" t="n">
        <f aca="false">IFERROR(INDEX(Bank_Statement!$C$2:$C$783,MATCH(A604,Bank_Statement!$E$2:$E$783,0)),"")</f>
        <v>-979.13</v>
      </c>
      <c r="F604" s="16" t="str">
        <f aca="false">IF(E604="","No","Yes")</f>
        <v>Yes</v>
      </c>
      <c r="G604" s="18" t="n">
        <f aca="false">IF(F604="No","N/A",D604-E604)</f>
        <v>1958.26</v>
      </c>
      <c r="H604" s="16" t="str">
        <f aca="false">IF(F604="No","Unmatched - Investigate",IF(ABS(D604-E604)&gt;Assumptions!$B$6,"Mismatch - Amount Differs","Matched"))</f>
        <v>Mismatch - Amount Differs</v>
      </c>
    </row>
    <row r="605" customFormat="false" ht="15" hidden="false" customHeight="false" outlineLevel="0" collapsed="false">
      <c r="A605" s="16" t="str">
        <f aca="false">Payment_Log_AP!A601</f>
        <v>PAY40600</v>
      </c>
      <c r="B605" s="16" t="str">
        <f aca="false">Payment_Log_AP!C601</f>
        <v>V1006</v>
      </c>
      <c r="C605" s="17" t="n">
        <f aca="false">Payment_Log_AP!D601</f>
        <v>46092</v>
      </c>
      <c r="D605" s="18" t="n">
        <f aca="false">Payment_Log_AP!E601</f>
        <v>3602.11</v>
      </c>
      <c r="E605" s="18" t="n">
        <f aca="false">IFERROR(INDEX(Bank_Statement!$C$2:$C$783,MATCH(A605,Bank_Statement!$E$2:$E$783,0)),"")</f>
        <v>-3602.11</v>
      </c>
      <c r="F605" s="16" t="str">
        <f aca="false">IF(E605="","No","Yes")</f>
        <v>Yes</v>
      </c>
      <c r="G605" s="18" t="n">
        <f aca="false">IF(F605="No","N/A",D605-E605)</f>
        <v>7204.22</v>
      </c>
      <c r="H605" s="16" t="str">
        <f aca="false">IF(F605="No","Unmatched - Investigate",IF(ABS(D605-E605)&gt;Assumptions!$B$6,"Mismatch - Amount Differs","Matched"))</f>
        <v>Mismatch - Amount Differs</v>
      </c>
    </row>
    <row r="606" customFormat="false" ht="15" hidden="false" customHeight="false" outlineLevel="0" collapsed="false">
      <c r="A606" s="16" t="str">
        <f aca="false">Payment_Log_AP!A602</f>
        <v>PAY40601</v>
      </c>
      <c r="B606" s="16" t="str">
        <f aca="false">Payment_Log_AP!C602</f>
        <v>V1015</v>
      </c>
      <c r="C606" s="17" t="n">
        <f aca="false">Payment_Log_AP!D602</f>
        <v>45774</v>
      </c>
      <c r="D606" s="18" t="n">
        <f aca="false">Payment_Log_AP!E602</f>
        <v>579.61</v>
      </c>
      <c r="E606" s="18" t="n">
        <f aca="false">IFERROR(INDEX(Bank_Statement!$C$2:$C$783,MATCH(A606,Bank_Statement!$E$2:$E$783,0)),"")</f>
        <v>-579.61</v>
      </c>
      <c r="F606" s="16" t="str">
        <f aca="false">IF(E606="","No","Yes")</f>
        <v>Yes</v>
      </c>
      <c r="G606" s="18" t="n">
        <f aca="false">IF(F606="No","N/A",D606-E606)</f>
        <v>1159.22</v>
      </c>
      <c r="H606" s="16" t="str">
        <f aca="false">IF(F606="No","Unmatched - Investigate",IF(ABS(D606-E606)&gt;Assumptions!$B$6,"Mismatch - Amount Differs","Matched"))</f>
        <v>Mismatch - Amount Differs</v>
      </c>
    </row>
    <row r="607" customFormat="false" ht="15" hidden="false" customHeight="false" outlineLevel="0" collapsed="false">
      <c r="A607" s="16" t="str">
        <f aca="false">Payment_Log_AP!A603</f>
        <v>PAY40602</v>
      </c>
      <c r="B607" s="16" t="str">
        <f aca="false">Payment_Log_AP!C603</f>
        <v>V1018</v>
      </c>
      <c r="C607" s="17" t="n">
        <f aca="false">Payment_Log_AP!D603</f>
        <v>45810</v>
      </c>
      <c r="D607" s="18" t="n">
        <f aca="false">Payment_Log_AP!E603</f>
        <v>2463.86</v>
      </c>
      <c r="E607" s="18" t="n">
        <f aca="false">IFERROR(INDEX(Bank_Statement!$C$2:$C$783,MATCH(A607,Bank_Statement!$E$2:$E$783,0)),"")</f>
        <v>-2463.86</v>
      </c>
      <c r="F607" s="16" t="str">
        <f aca="false">IF(E607="","No","Yes")</f>
        <v>Yes</v>
      </c>
      <c r="G607" s="18" t="n">
        <f aca="false">IF(F607="No","N/A",D607-E607)</f>
        <v>4927.72</v>
      </c>
      <c r="H607" s="16" t="str">
        <f aca="false">IF(F607="No","Unmatched - Investigate",IF(ABS(D607-E607)&gt;Assumptions!$B$6,"Mismatch - Amount Differs","Matched"))</f>
        <v>Mismatch - Amount Differs</v>
      </c>
    </row>
    <row r="608" customFormat="false" ht="15" hidden="false" customHeight="false" outlineLevel="0" collapsed="false">
      <c r="A608" s="16" t="str">
        <f aca="false">Payment_Log_AP!A604</f>
        <v>PAY40603</v>
      </c>
      <c r="B608" s="16" t="str">
        <f aca="false">Payment_Log_AP!C604</f>
        <v>V1020</v>
      </c>
      <c r="C608" s="17" t="n">
        <f aca="false">Payment_Log_AP!D604</f>
        <v>46149</v>
      </c>
      <c r="D608" s="18" t="n">
        <f aca="false">Payment_Log_AP!E604</f>
        <v>2741.68</v>
      </c>
      <c r="E608" s="18" t="n">
        <f aca="false">IFERROR(INDEX(Bank_Statement!$C$2:$C$783,MATCH(A608,Bank_Statement!$E$2:$E$783,0)),"")</f>
        <v>-2741.68</v>
      </c>
      <c r="F608" s="16" t="str">
        <f aca="false">IF(E608="","No","Yes")</f>
        <v>Yes</v>
      </c>
      <c r="G608" s="18" t="n">
        <f aca="false">IF(F608="No","N/A",D608-E608)</f>
        <v>5483.36</v>
      </c>
      <c r="H608" s="16" t="str">
        <f aca="false">IF(F608="No","Unmatched - Investigate",IF(ABS(D608-E608)&gt;Assumptions!$B$6,"Mismatch - Amount Differs","Matched"))</f>
        <v>Mismatch - Amount Differs</v>
      </c>
    </row>
    <row r="609" customFormat="false" ht="15" hidden="false" customHeight="false" outlineLevel="0" collapsed="false">
      <c r="A609" s="16" t="str">
        <f aca="false">Payment_Log_AP!A605</f>
        <v>PAY40604</v>
      </c>
      <c r="B609" s="16" t="str">
        <f aca="false">Payment_Log_AP!C605</f>
        <v>V1022</v>
      </c>
      <c r="C609" s="17" t="n">
        <f aca="false">Payment_Log_AP!D605</f>
        <v>45862</v>
      </c>
      <c r="D609" s="18" t="n">
        <f aca="false">Payment_Log_AP!E605</f>
        <v>683.18</v>
      </c>
      <c r="E609" s="18" t="n">
        <f aca="false">IFERROR(INDEX(Bank_Statement!$C$2:$C$783,MATCH(A609,Bank_Statement!$E$2:$E$783,0)),"")</f>
        <v>-683.18</v>
      </c>
      <c r="F609" s="16" t="str">
        <f aca="false">IF(E609="","No","Yes")</f>
        <v>Yes</v>
      </c>
      <c r="G609" s="18" t="n">
        <f aca="false">IF(F609="No","N/A",D609-E609)</f>
        <v>1366.36</v>
      </c>
      <c r="H609" s="16" t="str">
        <f aca="false">IF(F609="No","Unmatched - Investigate",IF(ABS(D609-E609)&gt;Assumptions!$B$6,"Mismatch - Amount Differs","Matched"))</f>
        <v>Mismatch - Amount Differs</v>
      </c>
    </row>
    <row r="610" customFormat="false" ht="15" hidden="false" customHeight="false" outlineLevel="0" collapsed="false">
      <c r="A610" s="16" t="str">
        <f aca="false">Payment_Log_AP!A606</f>
        <v>PAY40605</v>
      </c>
      <c r="B610" s="16" t="str">
        <f aca="false">Payment_Log_AP!C606</f>
        <v>V1029</v>
      </c>
      <c r="C610" s="17" t="n">
        <f aca="false">Payment_Log_AP!D606</f>
        <v>45780</v>
      </c>
      <c r="D610" s="18" t="n">
        <f aca="false">Payment_Log_AP!E606</f>
        <v>1624.72</v>
      </c>
      <c r="E610" s="18" t="n">
        <f aca="false">IFERROR(INDEX(Bank_Statement!$C$2:$C$783,MATCH(A610,Bank_Statement!$E$2:$E$783,0)),"")</f>
        <v>-1624.72</v>
      </c>
      <c r="F610" s="16" t="str">
        <f aca="false">IF(E610="","No","Yes")</f>
        <v>Yes</v>
      </c>
      <c r="G610" s="18" t="n">
        <f aca="false">IF(F610="No","N/A",D610-E610)</f>
        <v>3249.44</v>
      </c>
      <c r="H610" s="16" t="str">
        <f aca="false">IF(F610="No","Unmatched - Investigate",IF(ABS(D610-E610)&gt;Assumptions!$B$6,"Mismatch - Amount Differs","Matched"))</f>
        <v>Mismatch - Amount Differs</v>
      </c>
    </row>
    <row r="611" customFormat="false" ht="15" hidden="false" customHeight="false" outlineLevel="0" collapsed="false">
      <c r="A611" s="16" t="str">
        <f aca="false">Payment_Log_AP!A607</f>
        <v>PAY40606</v>
      </c>
      <c r="B611" s="16" t="str">
        <f aca="false">Payment_Log_AP!C607</f>
        <v>V1018</v>
      </c>
      <c r="C611" s="17" t="n">
        <f aca="false">Payment_Log_AP!D607</f>
        <v>46168</v>
      </c>
      <c r="D611" s="18" t="n">
        <f aca="false">Payment_Log_AP!E607</f>
        <v>1846.75</v>
      </c>
      <c r="E611" s="18" t="n">
        <f aca="false">IFERROR(INDEX(Bank_Statement!$C$2:$C$783,MATCH(A611,Bank_Statement!$E$2:$E$783,0)),"")</f>
        <v>-1846.75</v>
      </c>
      <c r="F611" s="16" t="str">
        <f aca="false">IF(E611="","No","Yes")</f>
        <v>Yes</v>
      </c>
      <c r="G611" s="18" t="n">
        <f aca="false">IF(F611="No","N/A",D611-E611)</f>
        <v>3693.5</v>
      </c>
      <c r="H611" s="16" t="str">
        <f aca="false">IF(F611="No","Unmatched - Investigate",IF(ABS(D611-E611)&gt;Assumptions!$B$6,"Mismatch - Amount Differs","Matched"))</f>
        <v>Mismatch - Amount Differs</v>
      </c>
    </row>
    <row r="612" customFormat="false" ht="15" hidden="false" customHeight="false" outlineLevel="0" collapsed="false">
      <c r="A612" s="16" t="str">
        <f aca="false">Payment_Log_AP!A608</f>
        <v>PAY40607</v>
      </c>
      <c r="B612" s="16" t="str">
        <f aca="false">Payment_Log_AP!C608</f>
        <v>V1034</v>
      </c>
      <c r="C612" s="17" t="n">
        <f aca="false">Payment_Log_AP!D608</f>
        <v>45698</v>
      </c>
      <c r="D612" s="18" t="n">
        <f aca="false">Payment_Log_AP!E608</f>
        <v>1307.64</v>
      </c>
      <c r="E612" s="18" t="n">
        <f aca="false">IFERROR(INDEX(Bank_Statement!$C$2:$C$783,MATCH(A612,Bank_Statement!$E$2:$E$783,0)),"")</f>
        <v>-1307.64</v>
      </c>
      <c r="F612" s="16" t="str">
        <f aca="false">IF(E612="","No","Yes")</f>
        <v>Yes</v>
      </c>
      <c r="G612" s="18" t="n">
        <f aca="false">IF(F612="No","N/A",D612-E612)</f>
        <v>2615.28</v>
      </c>
      <c r="H612" s="16" t="str">
        <f aca="false">IF(F612="No","Unmatched - Investigate",IF(ABS(D612-E612)&gt;Assumptions!$B$6,"Mismatch - Amount Differs","Matched"))</f>
        <v>Mismatch - Amount Differs</v>
      </c>
    </row>
    <row r="613" customFormat="false" ht="15" hidden="false" customHeight="false" outlineLevel="0" collapsed="false">
      <c r="A613" s="16" t="str">
        <f aca="false">Payment_Log_AP!A609</f>
        <v>PAY40608</v>
      </c>
      <c r="B613" s="16" t="str">
        <f aca="false">Payment_Log_AP!C609</f>
        <v>V1033</v>
      </c>
      <c r="C613" s="17" t="n">
        <f aca="false">Payment_Log_AP!D609</f>
        <v>46171</v>
      </c>
      <c r="D613" s="18" t="n">
        <f aca="false">Payment_Log_AP!E609</f>
        <v>1035.87</v>
      </c>
      <c r="E613" s="18" t="n">
        <f aca="false">IFERROR(INDEX(Bank_Statement!$C$2:$C$783,MATCH(A613,Bank_Statement!$E$2:$E$783,0)),"")</f>
        <v>-1035.87</v>
      </c>
      <c r="F613" s="16" t="str">
        <f aca="false">IF(E613="","No","Yes")</f>
        <v>Yes</v>
      </c>
      <c r="G613" s="18" t="n">
        <f aca="false">IF(F613="No","N/A",D613-E613)</f>
        <v>2071.74</v>
      </c>
      <c r="H613" s="16" t="str">
        <f aca="false">IF(F613="No","Unmatched - Investigate",IF(ABS(D613-E613)&gt;Assumptions!$B$6,"Mismatch - Amount Differs","Matched"))</f>
        <v>Mismatch - Amount Differs</v>
      </c>
    </row>
    <row r="614" customFormat="false" ht="15" hidden="false" customHeight="false" outlineLevel="0" collapsed="false">
      <c r="A614" s="16" t="str">
        <f aca="false">Payment_Log_AP!A610</f>
        <v>PAY40609</v>
      </c>
      <c r="B614" s="16" t="str">
        <f aca="false">Payment_Log_AP!C610</f>
        <v>V1037</v>
      </c>
      <c r="C614" s="17" t="n">
        <f aca="false">Payment_Log_AP!D610</f>
        <v>45770</v>
      </c>
      <c r="D614" s="18" t="n">
        <f aca="false">Payment_Log_AP!E610</f>
        <v>7340.64</v>
      </c>
      <c r="E614" s="18" t="n">
        <f aca="false">IFERROR(INDEX(Bank_Statement!$C$2:$C$783,MATCH(A614,Bank_Statement!$E$2:$E$783,0)),"")</f>
        <v>-7340.64</v>
      </c>
      <c r="F614" s="16" t="str">
        <f aca="false">IF(E614="","No","Yes")</f>
        <v>Yes</v>
      </c>
      <c r="G614" s="18" t="n">
        <f aca="false">IF(F614="No","N/A",D614-E614)</f>
        <v>14681.28</v>
      </c>
      <c r="H614" s="16" t="str">
        <f aca="false">IF(F614="No","Unmatched - Investigate",IF(ABS(D614-E614)&gt;Assumptions!$B$6,"Mismatch - Amount Differs","Matched"))</f>
        <v>Mismatch - Amount Differs</v>
      </c>
    </row>
    <row r="615" customFormat="false" ht="15" hidden="false" customHeight="false" outlineLevel="0" collapsed="false">
      <c r="A615" s="16" t="str">
        <f aca="false">Payment_Log_AP!A611</f>
        <v>PAY40610</v>
      </c>
      <c r="B615" s="16" t="str">
        <f aca="false">Payment_Log_AP!C611</f>
        <v>V1037</v>
      </c>
      <c r="C615" s="17" t="n">
        <f aca="false">Payment_Log_AP!D611</f>
        <v>45774</v>
      </c>
      <c r="D615" s="18" t="n">
        <f aca="false">Payment_Log_AP!E611</f>
        <v>7340.64</v>
      </c>
      <c r="E615" s="18" t="n">
        <f aca="false">IFERROR(INDEX(Bank_Statement!$C$2:$C$783,MATCH(A615,Bank_Statement!$E$2:$E$783,0)),"")</f>
        <v>-7340.64</v>
      </c>
      <c r="F615" s="16" t="str">
        <f aca="false">IF(E615="","No","Yes")</f>
        <v>Yes</v>
      </c>
      <c r="G615" s="18" t="n">
        <f aca="false">IF(F615="No","N/A",D615-E615)</f>
        <v>14681.28</v>
      </c>
      <c r="H615" s="16" t="str">
        <f aca="false">IF(F615="No","Unmatched - Investigate",IF(ABS(D615-E615)&gt;Assumptions!$B$6,"Mismatch - Amount Differs","Matched"))</f>
        <v>Mismatch - Amount Differs</v>
      </c>
    </row>
    <row r="616" customFormat="false" ht="15" hidden="false" customHeight="false" outlineLevel="0" collapsed="false">
      <c r="A616" s="16" t="str">
        <f aca="false">Payment_Log_AP!A612</f>
        <v>PAY40611</v>
      </c>
      <c r="B616" s="16" t="str">
        <f aca="false">Payment_Log_AP!C612</f>
        <v>V1011</v>
      </c>
      <c r="C616" s="17" t="n">
        <f aca="false">Payment_Log_AP!D612</f>
        <v>45770</v>
      </c>
      <c r="D616" s="18" t="n">
        <f aca="false">Payment_Log_AP!E612</f>
        <v>957.43</v>
      </c>
      <c r="E616" s="18" t="n">
        <f aca="false">IFERROR(INDEX(Bank_Statement!$C$2:$C$783,MATCH(A616,Bank_Statement!$E$2:$E$783,0)),"")</f>
        <v>-957.43</v>
      </c>
      <c r="F616" s="16" t="str">
        <f aca="false">IF(E616="","No","Yes")</f>
        <v>Yes</v>
      </c>
      <c r="G616" s="18" t="n">
        <f aca="false">IF(F616="No","N/A",D616-E616)</f>
        <v>1914.86</v>
      </c>
      <c r="H616" s="16" t="str">
        <f aca="false">IF(F616="No","Unmatched - Investigate",IF(ABS(D616-E616)&gt;Assumptions!$B$6,"Mismatch - Amount Differs","Matched"))</f>
        <v>Mismatch - Amount Differs</v>
      </c>
    </row>
    <row r="617" customFormat="false" ht="15" hidden="false" customHeight="false" outlineLevel="0" collapsed="false">
      <c r="A617" s="16" t="str">
        <f aca="false">Payment_Log_AP!A613</f>
        <v>PAY40612</v>
      </c>
      <c r="B617" s="16" t="str">
        <f aca="false">Payment_Log_AP!C613</f>
        <v>V1010</v>
      </c>
      <c r="C617" s="17" t="n">
        <f aca="false">Payment_Log_AP!D613</f>
        <v>45841</v>
      </c>
      <c r="D617" s="18" t="n">
        <f aca="false">Payment_Log_AP!E613</f>
        <v>2509.24</v>
      </c>
      <c r="E617" s="18" t="n">
        <f aca="false">IFERROR(INDEX(Bank_Statement!$C$2:$C$783,MATCH(A617,Bank_Statement!$E$2:$E$783,0)),"")</f>
        <v>-2509.24</v>
      </c>
      <c r="F617" s="16" t="str">
        <f aca="false">IF(E617="","No","Yes")</f>
        <v>Yes</v>
      </c>
      <c r="G617" s="18" t="n">
        <f aca="false">IF(F617="No","N/A",D617-E617)</f>
        <v>5018.48</v>
      </c>
      <c r="H617" s="16" t="str">
        <f aca="false">IF(F617="No","Unmatched - Investigate",IF(ABS(D617-E617)&gt;Assumptions!$B$6,"Mismatch - Amount Differs","Matched"))</f>
        <v>Mismatch - Amount Differs</v>
      </c>
    </row>
    <row r="618" customFormat="false" ht="15" hidden="false" customHeight="false" outlineLevel="0" collapsed="false">
      <c r="A618" s="16" t="str">
        <f aca="false">Payment_Log_AP!A614</f>
        <v>PAY40613</v>
      </c>
      <c r="B618" s="16" t="str">
        <f aca="false">Payment_Log_AP!C614</f>
        <v>V1039</v>
      </c>
      <c r="C618" s="17" t="n">
        <f aca="false">Payment_Log_AP!D614</f>
        <v>46062</v>
      </c>
      <c r="D618" s="18" t="n">
        <f aca="false">Payment_Log_AP!E614</f>
        <v>629.25</v>
      </c>
      <c r="E618" s="18" t="n">
        <f aca="false">IFERROR(INDEX(Bank_Statement!$C$2:$C$783,MATCH(A618,Bank_Statement!$E$2:$E$783,0)),"")</f>
        <v>-629.25</v>
      </c>
      <c r="F618" s="16" t="str">
        <f aca="false">IF(E618="","No","Yes")</f>
        <v>Yes</v>
      </c>
      <c r="G618" s="18" t="n">
        <f aca="false">IF(F618="No","N/A",D618-E618)</f>
        <v>1258.5</v>
      </c>
      <c r="H618" s="16" t="str">
        <f aca="false">IF(F618="No","Unmatched - Investigate",IF(ABS(D618-E618)&gt;Assumptions!$B$6,"Mismatch - Amount Differs","Matched"))</f>
        <v>Mismatch - Amount Differs</v>
      </c>
    </row>
    <row r="619" customFormat="false" ht="15" hidden="false" customHeight="false" outlineLevel="0" collapsed="false">
      <c r="A619" s="16" t="str">
        <f aca="false">Payment_Log_AP!A615</f>
        <v>PAY40614</v>
      </c>
      <c r="B619" s="16" t="str">
        <f aca="false">Payment_Log_AP!C615</f>
        <v>V1029</v>
      </c>
      <c r="C619" s="17" t="n">
        <f aca="false">Payment_Log_AP!D615</f>
        <v>45700</v>
      </c>
      <c r="D619" s="18" t="n">
        <f aca="false">Payment_Log_AP!E615</f>
        <v>24756.78</v>
      </c>
      <c r="E619" s="18" t="n">
        <f aca="false">IFERROR(INDEX(Bank_Statement!$C$2:$C$783,MATCH(A619,Bank_Statement!$E$2:$E$783,0)),"")</f>
        <v>-24756.78</v>
      </c>
      <c r="F619" s="16" t="str">
        <f aca="false">IF(E619="","No","Yes")</f>
        <v>Yes</v>
      </c>
      <c r="G619" s="18" t="n">
        <f aca="false">IF(F619="No","N/A",D619-E619)</f>
        <v>49513.56</v>
      </c>
      <c r="H619" s="16" t="str">
        <f aca="false">IF(F619="No","Unmatched - Investigate",IF(ABS(D619-E619)&gt;Assumptions!$B$6,"Mismatch - Amount Differs","Matched"))</f>
        <v>Mismatch - Amount Differs</v>
      </c>
    </row>
    <row r="620" customFormat="false" ht="15" hidden="false" customHeight="false" outlineLevel="0" collapsed="false">
      <c r="A620" s="16" t="str">
        <f aca="false">Payment_Log_AP!A616</f>
        <v>PAY40615</v>
      </c>
      <c r="B620" s="16" t="str">
        <f aca="false">Payment_Log_AP!C616</f>
        <v>V1017</v>
      </c>
      <c r="C620" s="17" t="n">
        <f aca="false">Payment_Log_AP!D616</f>
        <v>45696</v>
      </c>
      <c r="D620" s="18" t="n">
        <f aca="false">Payment_Log_AP!E616</f>
        <v>2964.49</v>
      </c>
      <c r="E620" s="18" t="n">
        <f aca="false">IFERROR(INDEX(Bank_Statement!$C$2:$C$783,MATCH(A620,Bank_Statement!$E$2:$E$783,0)),"")</f>
        <v>-2964.49</v>
      </c>
      <c r="F620" s="16" t="str">
        <f aca="false">IF(E620="","No","Yes")</f>
        <v>Yes</v>
      </c>
      <c r="G620" s="18" t="n">
        <f aca="false">IF(F620="No","N/A",D620-E620)</f>
        <v>5928.98</v>
      </c>
      <c r="H620" s="16" t="str">
        <f aca="false">IF(F620="No","Unmatched - Investigate",IF(ABS(D620-E620)&gt;Assumptions!$B$6,"Mismatch - Amount Differs","Matched"))</f>
        <v>Mismatch - Amount Differs</v>
      </c>
    </row>
    <row r="621" customFormat="false" ht="15" hidden="false" customHeight="false" outlineLevel="0" collapsed="false">
      <c r="A621" s="16" t="str">
        <f aca="false">Payment_Log_AP!A617</f>
        <v>PAY40616</v>
      </c>
      <c r="B621" s="16" t="str">
        <f aca="false">Payment_Log_AP!C617</f>
        <v>V1010</v>
      </c>
      <c r="C621" s="17" t="n">
        <f aca="false">Payment_Log_AP!D617</f>
        <v>46128</v>
      </c>
      <c r="D621" s="18" t="n">
        <f aca="false">Payment_Log_AP!E617</f>
        <v>3993.23</v>
      </c>
      <c r="E621" s="18" t="n">
        <f aca="false">IFERROR(INDEX(Bank_Statement!$C$2:$C$783,MATCH(A621,Bank_Statement!$E$2:$E$783,0)),"")</f>
        <v>-3993.23</v>
      </c>
      <c r="F621" s="16" t="str">
        <f aca="false">IF(E621="","No","Yes")</f>
        <v>Yes</v>
      </c>
      <c r="G621" s="18" t="n">
        <f aca="false">IF(F621="No","N/A",D621-E621)</f>
        <v>7986.46</v>
      </c>
      <c r="H621" s="16" t="str">
        <f aca="false">IF(F621="No","Unmatched - Investigate",IF(ABS(D621-E621)&gt;Assumptions!$B$6,"Mismatch - Amount Differs","Matched"))</f>
        <v>Mismatch - Amount Differs</v>
      </c>
    </row>
    <row r="622" customFormat="false" ht="15" hidden="false" customHeight="false" outlineLevel="0" collapsed="false">
      <c r="A622" s="16" t="str">
        <f aca="false">Payment_Log_AP!A618</f>
        <v>PAY40617</v>
      </c>
      <c r="B622" s="16" t="str">
        <f aca="false">Payment_Log_AP!C618</f>
        <v>V1035</v>
      </c>
      <c r="C622" s="17" t="n">
        <f aca="false">Payment_Log_AP!D618</f>
        <v>45823</v>
      </c>
      <c r="D622" s="18" t="n">
        <f aca="false">Payment_Log_AP!E618</f>
        <v>1604.06</v>
      </c>
      <c r="E622" s="18" t="n">
        <f aca="false">IFERROR(INDEX(Bank_Statement!$C$2:$C$783,MATCH(A622,Bank_Statement!$E$2:$E$783,0)),"")</f>
        <v>-1604.06</v>
      </c>
      <c r="F622" s="16" t="str">
        <f aca="false">IF(E622="","No","Yes")</f>
        <v>Yes</v>
      </c>
      <c r="G622" s="18" t="n">
        <f aca="false">IF(F622="No","N/A",D622-E622)</f>
        <v>3208.12</v>
      </c>
      <c r="H622" s="16" t="str">
        <f aca="false">IF(F622="No","Unmatched - Investigate",IF(ABS(D622-E622)&gt;Assumptions!$B$6,"Mismatch - Amount Differs","Matched"))</f>
        <v>Mismatch - Amount Differs</v>
      </c>
    </row>
    <row r="623" customFormat="false" ht="15" hidden="false" customHeight="false" outlineLevel="0" collapsed="false">
      <c r="A623" s="16" t="str">
        <f aca="false">Payment_Log_AP!A619</f>
        <v>PAY40618</v>
      </c>
      <c r="B623" s="16" t="str">
        <f aca="false">Payment_Log_AP!C619</f>
        <v>V1039</v>
      </c>
      <c r="C623" s="17" t="n">
        <f aca="false">Payment_Log_AP!D619</f>
        <v>45885</v>
      </c>
      <c r="D623" s="18" t="n">
        <f aca="false">Payment_Log_AP!E619</f>
        <v>2211.07</v>
      </c>
      <c r="E623" s="18" t="n">
        <f aca="false">IFERROR(INDEX(Bank_Statement!$C$2:$C$783,MATCH(A623,Bank_Statement!$E$2:$E$783,0)),"")</f>
        <v>-2211.07</v>
      </c>
      <c r="F623" s="16" t="str">
        <f aca="false">IF(E623="","No","Yes")</f>
        <v>Yes</v>
      </c>
      <c r="G623" s="18" t="n">
        <f aca="false">IF(F623="No","N/A",D623-E623)</f>
        <v>4422.14</v>
      </c>
      <c r="H623" s="16" t="str">
        <f aca="false">IF(F623="No","Unmatched - Investigate",IF(ABS(D623-E623)&gt;Assumptions!$B$6,"Mismatch - Amount Differs","Matched"))</f>
        <v>Mismatch - Amount Differs</v>
      </c>
    </row>
    <row r="624" customFormat="false" ht="15" hidden="false" customHeight="false" outlineLevel="0" collapsed="false">
      <c r="A624" s="16" t="str">
        <f aca="false">Payment_Log_AP!A620</f>
        <v>PAY40619</v>
      </c>
      <c r="B624" s="16" t="str">
        <f aca="false">Payment_Log_AP!C620</f>
        <v>V1010</v>
      </c>
      <c r="C624" s="17" t="n">
        <f aca="false">Payment_Log_AP!D620</f>
        <v>45763</v>
      </c>
      <c r="D624" s="18" t="n">
        <f aca="false">Payment_Log_AP!E620</f>
        <v>1034.65</v>
      </c>
      <c r="E624" s="18" t="n">
        <f aca="false">IFERROR(INDEX(Bank_Statement!$C$2:$C$783,MATCH(A624,Bank_Statement!$E$2:$E$783,0)),"")</f>
        <v>-1034.65</v>
      </c>
      <c r="F624" s="16" t="str">
        <f aca="false">IF(E624="","No","Yes")</f>
        <v>Yes</v>
      </c>
      <c r="G624" s="18" t="n">
        <f aca="false">IF(F624="No","N/A",D624-E624)</f>
        <v>2069.3</v>
      </c>
      <c r="H624" s="16" t="str">
        <f aca="false">IF(F624="No","Unmatched - Investigate",IF(ABS(D624-E624)&gt;Assumptions!$B$6,"Mismatch - Amount Differs","Matched"))</f>
        <v>Mismatch - Amount Differs</v>
      </c>
    </row>
    <row r="625" customFormat="false" ht="15" hidden="false" customHeight="false" outlineLevel="0" collapsed="false">
      <c r="A625" s="16" t="str">
        <f aca="false">Payment_Log_AP!A621</f>
        <v>PAY40620</v>
      </c>
      <c r="B625" s="16" t="str">
        <f aca="false">Payment_Log_AP!C621</f>
        <v>V1032</v>
      </c>
      <c r="C625" s="17" t="n">
        <f aca="false">Payment_Log_AP!D621</f>
        <v>46083</v>
      </c>
      <c r="D625" s="18" t="n">
        <f aca="false">Payment_Log_AP!E621</f>
        <v>1848.76</v>
      </c>
      <c r="E625" s="18" t="n">
        <f aca="false">IFERROR(INDEX(Bank_Statement!$C$2:$C$783,MATCH(A625,Bank_Statement!$E$2:$E$783,0)),"")</f>
        <v>-1848.76</v>
      </c>
      <c r="F625" s="16" t="str">
        <f aca="false">IF(E625="","No","Yes")</f>
        <v>Yes</v>
      </c>
      <c r="G625" s="18" t="n">
        <f aca="false">IF(F625="No","N/A",D625-E625)</f>
        <v>3697.52</v>
      </c>
      <c r="H625" s="16" t="str">
        <f aca="false">IF(F625="No","Unmatched - Investigate",IF(ABS(D625-E625)&gt;Assumptions!$B$6,"Mismatch - Amount Differs","Matched"))</f>
        <v>Mismatch - Amount Differs</v>
      </c>
    </row>
    <row r="626" customFormat="false" ht="15" hidden="false" customHeight="false" outlineLevel="0" collapsed="false">
      <c r="A626" s="16" t="str">
        <f aca="false">Payment_Log_AP!A622</f>
        <v>PAY40621</v>
      </c>
      <c r="B626" s="16" t="str">
        <f aca="false">Payment_Log_AP!C622</f>
        <v>V1039</v>
      </c>
      <c r="C626" s="17" t="n">
        <f aca="false">Payment_Log_AP!D622</f>
        <v>45988</v>
      </c>
      <c r="D626" s="18" t="n">
        <f aca="false">Payment_Log_AP!E622</f>
        <v>2842.44</v>
      </c>
      <c r="E626" s="18" t="n">
        <f aca="false">IFERROR(INDEX(Bank_Statement!$C$2:$C$783,MATCH(A626,Bank_Statement!$E$2:$E$783,0)),"")</f>
        <v>-2842.44</v>
      </c>
      <c r="F626" s="16" t="str">
        <f aca="false">IF(E626="","No","Yes")</f>
        <v>Yes</v>
      </c>
      <c r="G626" s="18" t="n">
        <f aca="false">IF(F626="No","N/A",D626-E626)</f>
        <v>5684.88</v>
      </c>
      <c r="H626" s="16" t="str">
        <f aca="false">IF(F626="No","Unmatched - Investigate",IF(ABS(D626-E626)&gt;Assumptions!$B$6,"Mismatch - Amount Differs","Matched"))</f>
        <v>Mismatch - Amount Differs</v>
      </c>
    </row>
    <row r="627" customFormat="false" ht="15" hidden="false" customHeight="false" outlineLevel="0" collapsed="false">
      <c r="A627" s="16" t="str">
        <f aca="false">Payment_Log_AP!A623</f>
        <v>PAY40622</v>
      </c>
      <c r="B627" s="16" t="str">
        <f aca="false">Payment_Log_AP!C623</f>
        <v>V1018</v>
      </c>
      <c r="C627" s="17" t="n">
        <f aca="false">Payment_Log_AP!D623</f>
        <v>46103</v>
      </c>
      <c r="D627" s="18" t="n">
        <f aca="false">Payment_Log_AP!E623</f>
        <v>2826.44</v>
      </c>
      <c r="E627" s="18" t="n">
        <f aca="false">IFERROR(INDEX(Bank_Statement!$C$2:$C$783,MATCH(A627,Bank_Statement!$E$2:$E$783,0)),"")</f>
        <v>-2826.44</v>
      </c>
      <c r="F627" s="16" t="str">
        <f aca="false">IF(E627="","No","Yes")</f>
        <v>Yes</v>
      </c>
      <c r="G627" s="18" t="n">
        <f aca="false">IF(F627="No","N/A",D627-E627)</f>
        <v>5652.88</v>
      </c>
      <c r="H627" s="16" t="str">
        <f aca="false">IF(F627="No","Unmatched - Investigate",IF(ABS(D627-E627)&gt;Assumptions!$B$6,"Mismatch - Amount Differs","Matched"))</f>
        <v>Mismatch - Amount Differs</v>
      </c>
    </row>
    <row r="628" customFormat="false" ht="15" hidden="false" customHeight="false" outlineLevel="0" collapsed="false">
      <c r="A628" s="16" t="str">
        <f aca="false">Payment_Log_AP!A624</f>
        <v>PAY40623</v>
      </c>
      <c r="B628" s="16" t="str">
        <f aca="false">Payment_Log_AP!C624</f>
        <v>V1038</v>
      </c>
      <c r="C628" s="17" t="n">
        <f aca="false">Payment_Log_AP!D624</f>
        <v>46131</v>
      </c>
      <c r="D628" s="18" t="n">
        <f aca="false">Payment_Log_AP!E624</f>
        <v>4662.39</v>
      </c>
      <c r="E628" s="18" t="n">
        <f aca="false">IFERROR(INDEX(Bank_Statement!$C$2:$C$783,MATCH(A628,Bank_Statement!$E$2:$E$783,0)),"")</f>
        <v>-4662.39</v>
      </c>
      <c r="F628" s="16" t="str">
        <f aca="false">IF(E628="","No","Yes")</f>
        <v>Yes</v>
      </c>
      <c r="G628" s="18" t="n">
        <f aca="false">IF(F628="No","N/A",D628-E628)</f>
        <v>9324.78</v>
      </c>
      <c r="H628" s="16" t="str">
        <f aca="false">IF(F628="No","Unmatched - Investigate",IF(ABS(D628-E628)&gt;Assumptions!$B$6,"Mismatch - Amount Differs","Matched"))</f>
        <v>Mismatch - Amount Differs</v>
      </c>
    </row>
    <row r="629" customFormat="false" ht="15" hidden="false" customHeight="false" outlineLevel="0" collapsed="false">
      <c r="A629" s="16" t="str">
        <f aca="false">Payment_Log_AP!A625</f>
        <v>PAY40624</v>
      </c>
      <c r="B629" s="16" t="str">
        <f aca="false">Payment_Log_AP!C625</f>
        <v>V1040</v>
      </c>
      <c r="C629" s="17" t="n">
        <f aca="false">Payment_Log_AP!D625</f>
        <v>45970</v>
      </c>
      <c r="D629" s="18" t="n">
        <f aca="false">Payment_Log_AP!E625</f>
        <v>369.39</v>
      </c>
      <c r="E629" s="18" t="n">
        <f aca="false">IFERROR(INDEX(Bank_Statement!$C$2:$C$783,MATCH(A629,Bank_Statement!$E$2:$E$783,0)),"")</f>
        <v>-369.39</v>
      </c>
      <c r="F629" s="16" t="str">
        <f aca="false">IF(E629="","No","Yes")</f>
        <v>Yes</v>
      </c>
      <c r="G629" s="18" t="n">
        <f aca="false">IF(F629="No","N/A",D629-E629)</f>
        <v>738.78</v>
      </c>
      <c r="H629" s="16" t="str">
        <f aca="false">IF(F629="No","Unmatched - Investigate",IF(ABS(D629-E629)&gt;Assumptions!$B$6,"Mismatch - Amount Differs","Matched"))</f>
        <v>Mismatch - Amount Differs</v>
      </c>
    </row>
    <row r="630" customFormat="false" ht="15" hidden="false" customHeight="false" outlineLevel="0" collapsed="false">
      <c r="A630" s="16" t="str">
        <f aca="false">Payment_Log_AP!A626</f>
        <v>PAY40625</v>
      </c>
      <c r="B630" s="16" t="str">
        <f aca="false">Payment_Log_AP!C626</f>
        <v>V1030</v>
      </c>
      <c r="C630" s="17" t="n">
        <f aca="false">Payment_Log_AP!D626</f>
        <v>45719</v>
      </c>
      <c r="D630" s="18" t="n">
        <f aca="false">Payment_Log_AP!E626</f>
        <v>1081.06</v>
      </c>
      <c r="E630" s="18" t="n">
        <f aca="false">IFERROR(INDEX(Bank_Statement!$C$2:$C$783,MATCH(A630,Bank_Statement!$E$2:$E$783,0)),"")</f>
        <v>-1081.06</v>
      </c>
      <c r="F630" s="16" t="str">
        <f aca="false">IF(E630="","No","Yes")</f>
        <v>Yes</v>
      </c>
      <c r="G630" s="18" t="n">
        <f aca="false">IF(F630="No","N/A",D630-E630)</f>
        <v>2162.12</v>
      </c>
      <c r="H630" s="16" t="str">
        <f aca="false">IF(F630="No","Unmatched - Investigate",IF(ABS(D630-E630)&gt;Assumptions!$B$6,"Mismatch - Amount Differs","Matched"))</f>
        <v>Mismatch - Amount Differs</v>
      </c>
    </row>
    <row r="631" customFormat="false" ht="15" hidden="false" customHeight="false" outlineLevel="0" collapsed="false">
      <c r="A631" s="16" t="str">
        <f aca="false">Payment_Log_AP!A627</f>
        <v>PAY40626</v>
      </c>
      <c r="B631" s="16" t="str">
        <f aca="false">Payment_Log_AP!C627</f>
        <v>V1023</v>
      </c>
      <c r="C631" s="17" t="n">
        <f aca="false">Payment_Log_AP!D627</f>
        <v>46118</v>
      </c>
      <c r="D631" s="18" t="n">
        <f aca="false">Payment_Log_AP!E627</f>
        <v>199.69</v>
      </c>
      <c r="E631" s="18" t="n">
        <f aca="false">IFERROR(INDEX(Bank_Statement!$C$2:$C$783,MATCH(A631,Bank_Statement!$E$2:$E$783,0)),"")</f>
        <v>-199.69</v>
      </c>
      <c r="F631" s="16" t="str">
        <f aca="false">IF(E631="","No","Yes")</f>
        <v>Yes</v>
      </c>
      <c r="G631" s="18" t="n">
        <f aca="false">IF(F631="No","N/A",D631-E631)</f>
        <v>399.38</v>
      </c>
      <c r="H631" s="16" t="str">
        <f aca="false">IF(F631="No","Unmatched - Investigate",IF(ABS(D631-E631)&gt;Assumptions!$B$6,"Mismatch - Amount Differs","Matched"))</f>
        <v>Mismatch - Amount Differs</v>
      </c>
    </row>
    <row r="632" customFormat="false" ht="15" hidden="false" customHeight="false" outlineLevel="0" collapsed="false">
      <c r="A632" s="16" t="str">
        <f aca="false">Payment_Log_AP!A628</f>
        <v>PAY40627</v>
      </c>
      <c r="B632" s="16" t="str">
        <f aca="false">Payment_Log_AP!C628</f>
        <v>V1039</v>
      </c>
      <c r="C632" s="17" t="n">
        <f aca="false">Payment_Log_AP!D628</f>
        <v>46133</v>
      </c>
      <c r="D632" s="18" t="n">
        <f aca="false">Payment_Log_AP!E628</f>
        <v>1143.13</v>
      </c>
      <c r="E632" s="18" t="n">
        <f aca="false">IFERROR(INDEX(Bank_Statement!$C$2:$C$783,MATCH(A632,Bank_Statement!$E$2:$E$783,0)),"")</f>
        <v>-1143.13</v>
      </c>
      <c r="F632" s="16" t="str">
        <f aca="false">IF(E632="","No","Yes")</f>
        <v>Yes</v>
      </c>
      <c r="G632" s="18" t="n">
        <f aca="false">IF(F632="No","N/A",D632-E632)</f>
        <v>2286.26</v>
      </c>
      <c r="H632" s="16" t="str">
        <f aca="false">IF(F632="No","Unmatched - Investigate",IF(ABS(D632-E632)&gt;Assumptions!$B$6,"Mismatch - Amount Differs","Matched"))</f>
        <v>Mismatch - Amount Differs</v>
      </c>
    </row>
    <row r="633" customFormat="false" ht="15" hidden="false" customHeight="false" outlineLevel="0" collapsed="false">
      <c r="A633" s="16" t="str">
        <f aca="false">Payment_Log_AP!A629</f>
        <v>PAY40628</v>
      </c>
      <c r="B633" s="16" t="str">
        <f aca="false">Payment_Log_AP!C629</f>
        <v>V1033</v>
      </c>
      <c r="C633" s="17" t="n">
        <f aca="false">Payment_Log_AP!D629</f>
        <v>45979</v>
      </c>
      <c r="D633" s="18" t="n">
        <f aca="false">Payment_Log_AP!E629</f>
        <v>3047.46</v>
      </c>
      <c r="E633" s="18" t="n">
        <f aca="false">IFERROR(INDEX(Bank_Statement!$C$2:$C$783,MATCH(A633,Bank_Statement!$E$2:$E$783,0)),"")</f>
        <v>-3047.46</v>
      </c>
      <c r="F633" s="16" t="str">
        <f aca="false">IF(E633="","No","Yes")</f>
        <v>Yes</v>
      </c>
      <c r="G633" s="18" t="n">
        <f aca="false">IF(F633="No","N/A",D633-E633)</f>
        <v>6094.92</v>
      </c>
      <c r="H633" s="16" t="str">
        <f aca="false">IF(F633="No","Unmatched - Investigate",IF(ABS(D633-E633)&gt;Assumptions!$B$6,"Mismatch - Amount Differs","Matched"))</f>
        <v>Mismatch - Amount Differs</v>
      </c>
    </row>
    <row r="634" customFormat="false" ht="15" hidden="false" customHeight="false" outlineLevel="0" collapsed="false">
      <c r="A634" s="16" t="str">
        <f aca="false">Payment_Log_AP!A630</f>
        <v>PAY40629</v>
      </c>
      <c r="B634" s="16" t="str">
        <f aca="false">Payment_Log_AP!C630</f>
        <v>V1011</v>
      </c>
      <c r="C634" s="17" t="n">
        <f aca="false">Payment_Log_AP!D630</f>
        <v>45936</v>
      </c>
      <c r="D634" s="18" t="n">
        <f aca="false">Payment_Log_AP!E630</f>
        <v>2282.24</v>
      </c>
      <c r="E634" s="18" t="n">
        <f aca="false">IFERROR(INDEX(Bank_Statement!$C$2:$C$783,MATCH(A634,Bank_Statement!$E$2:$E$783,0)),"")</f>
        <v>-2282.24</v>
      </c>
      <c r="F634" s="16" t="str">
        <f aca="false">IF(E634="","No","Yes")</f>
        <v>Yes</v>
      </c>
      <c r="G634" s="18" t="n">
        <f aca="false">IF(F634="No","N/A",D634-E634)</f>
        <v>4564.48</v>
      </c>
      <c r="H634" s="16" t="str">
        <f aca="false">IF(F634="No","Unmatched - Investigate",IF(ABS(D634-E634)&gt;Assumptions!$B$6,"Mismatch - Amount Differs","Matched"))</f>
        <v>Mismatch - Amount Differs</v>
      </c>
    </row>
    <row r="635" customFormat="false" ht="15" hidden="false" customHeight="false" outlineLevel="0" collapsed="false">
      <c r="A635" s="16" t="str">
        <f aca="false">Payment_Log_AP!A631</f>
        <v>PAY40630</v>
      </c>
      <c r="B635" s="16" t="str">
        <f aca="false">Payment_Log_AP!C631</f>
        <v>V1008</v>
      </c>
      <c r="C635" s="17" t="n">
        <f aca="false">Payment_Log_AP!D631</f>
        <v>46204</v>
      </c>
      <c r="D635" s="18" t="n">
        <f aca="false">Payment_Log_AP!E631</f>
        <v>866.83</v>
      </c>
      <c r="E635" s="18" t="n">
        <f aca="false">IFERROR(INDEX(Bank_Statement!$C$2:$C$783,MATCH(A635,Bank_Statement!$E$2:$E$783,0)),"")</f>
        <v>-866.83</v>
      </c>
      <c r="F635" s="16" t="str">
        <f aca="false">IF(E635="","No","Yes")</f>
        <v>Yes</v>
      </c>
      <c r="G635" s="18" t="n">
        <f aca="false">IF(F635="No","N/A",D635-E635)</f>
        <v>1733.66</v>
      </c>
      <c r="H635" s="16" t="str">
        <f aca="false">IF(F635="No","Unmatched - Investigate",IF(ABS(D635-E635)&gt;Assumptions!$B$6,"Mismatch - Amount Differs","Matched"))</f>
        <v>Mismatch - Amount Differs</v>
      </c>
    </row>
    <row r="636" customFormat="false" ht="15" hidden="false" customHeight="false" outlineLevel="0" collapsed="false">
      <c r="A636" s="16" t="str">
        <f aca="false">Payment_Log_AP!A632</f>
        <v>PAY40631</v>
      </c>
      <c r="B636" s="16" t="str">
        <f aca="false">Payment_Log_AP!C632</f>
        <v>V1021</v>
      </c>
      <c r="C636" s="17" t="n">
        <f aca="false">Payment_Log_AP!D632</f>
        <v>45729</v>
      </c>
      <c r="D636" s="18" t="n">
        <f aca="false">Payment_Log_AP!E632</f>
        <v>9584.39</v>
      </c>
      <c r="E636" s="18" t="n">
        <f aca="false">IFERROR(INDEX(Bank_Statement!$C$2:$C$783,MATCH(A636,Bank_Statement!$E$2:$E$783,0)),"")</f>
        <v>-9584.39</v>
      </c>
      <c r="F636" s="16" t="str">
        <f aca="false">IF(E636="","No","Yes")</f>
        <v>Yes</v>
      </c>
      <c r="G636" s="18" t="n">
        <f aca="false">IF(F636="No","N/A",D636-E636)</f>
        <v>19168.78</v>
      </c>
      <c r="H636" s="16" t="str">
        <f aca="false">IF(F636="No","Unmatched - Investigate",IF(ABS(D636-E636)&gt;Assumptions!$B$6,"Mismatch - Amount Differs","Matched"))</f>
        <v>Mismatch - Amount Differs</v>
      </c>
    </row>
    <row r="637" customFormat="false" ht="15" hidden="false" customHeight="false" outlineLevel="0" collapsed="false">
      <c r="A637" s="16" t="str">
        <f aca="false">Payment_Log_AP!A633</f>
        <v>PAY40632</v>
      </c>
      <c r="B637" s="16" t="str">
        <f aca="false">Payment_Log_AP!C633</f>
        <v>V1007</v>
      </c>
      <c r="C637" s="17" t="n">
        <f aca="false">Payment_Log_AP!D633</f>
        <v>45948</v>
      </c>
      <c r="D637" s="18" t="n">
        <f aca="false">Payment_Log_AP!E633</f>
        <v>1413.3</v>
      </c>
      <c r="E637" s="18" t="n">
        <f aca="false">IFERROR(INDEX(Bank_Statement!$C$2:$C$783,MATCH(A637,Bank_Statement!$E$2:$E$783,0)),"")</f>
        <v>-1413.3</v>
      </c>
      <c r="F637" s="16" t="str">
        <f aca="false">IF(E637="","No","Yes")</f>
        <v>Yes</v>
      </c>
      <c r="G637" s="18" t="n">
        <f aca="false">IF(F637="No","N/A",D637-E637)</f>
        <v>2826.6</v>
      </c>
      <c r="H637" s="16" t="str">
        <f aca="false">IF(F637="No","Unmatched - Investigate",IF(ABS(D637-E637)&gt;Assumptions!$B$6,"Mismatch - Amount Differs","Matched"))</f>
        <v>Mismatch - Amount Differs</v>
      </c>
    </row>
    <row r="638" customFormat="false" ht="15" hidden="false" customHeight="false" outlineLevel="0" collapsed="false">
      <c r="A638" s="16" t="str">
        <f aca="false">Payment_Log_AP!A634</f>
        <v>PAY40633</v>
      </c>
      <c r="B638" s="16" t="str">
        <f aca="false">Payment_Log_AP!C634</f>
        <v>V1035</v>
      </c>
      <c r="C638" s="17" t="n">
        <f aca="false">Payment_Log_AP!D634</f>
        <v>45926</v>
      </c>
      <c r="D638" s="18" t="n">
        <f aca="false">Payment_Log_AP!E634</f>
        <v>9255.12</v>
      </c>
      <c r="E638" s="18" t="n">
        <f aca="false">IFERROR(INDEX(Bank_Statement!$C$2:$C$783,MATCH(A638,Bank_Statement!$E$2:$E$783,0)),"")</f>
        <v>-9255.12</v>
      </c>
      <c r="F638" s="16" t="str">
        <f aca="false">IF(E638="","No","Yes")</f>
        <v>Yes</v>
      </c>
      <c r="G638" s="18" t="n">
        <f aca="false">IF(F638="No","N/A",D638-E638)</f>
        <v>18510.24</v>
      </c>
      <c r="H638" s="16" t="str">
        <f aca="false">IF(F638="No","Unmatched - Investigate",IF(ABS(D638-E638)&gt;Assumptions!$B$6,"Mismatch - Amount Differs","Matched"))</f>
        <v>Mismatch - Amount Differs</v>
      </c>
    </row>
    <row r="639" customFormat="false" ht="15" hidden="false" customHeight="false" outlineLevel="0" collapsed="false">
      <c r="A639" s="16" t="str">
        <f aca="false">Payment_Log_AP!A635</f>
        <v>PAY40634</v>
      </c>
      <c r="B639" s="16" t="str">
        <f aca="false">Payment_Log_AP!C635</f>
        <v>V1030</v>
      </c>
      <c r="C639" s="17" t="n">
        <f aca="false">Payment_Log_AP!D635</f>
        <v>46059</v>
      </c>
      <c r="D639" s="18" t="n">
        <f aca="false">Payment_Log_AP!E635</f>
        <v>363.94</v>
      </c>
      <c r="E639" s="18" t="n">
        <f aca="false">IFERROR(INDEX(Bank_Statement!$C$2:$C$783,MATCH(A639,Bank_Statement!$E$2:$E$783,0)),"")</f>
        <v>-363.94</v>
      </c>
      <c r="F639" s="16" t="str">
        <f aca="false">IF(E639="","No","Yes")</f>
        <v>Yes</v>
      </c>
      <c r="G639" s="18" t="n">
        <f aca="false">IF(F639="No","N/A",D639-E639)</f>
        <v>727.88</v>
      </c>
      <c r="H639" s="16" t="str">
        <f aca="false">IF(F639="No","Unmatched - Investigate",IF(ABS(D639-E639)&gt;Assumptions!$B$6,"Mismatch - Amount Differs","Matched"))</f>
        <v>Mismatch - Amount Differs</v>
      </c>
    </row>
    <row r="640" customFormat="false" ht="15" hidden="false" customHeight="false" outlineLevel="0" collapsed="false">
      <c r="A640" s="16" t="str">
        <f aca="false">Payment_Log_AP!A636</f>
        <v>PAY40635</v>
      </c>
      <c r="B640" s="16" t="str">
        <f aca="false">Payment_Log_AP!C636</f>
        <v>V1009</v>
      </c>
      <c r="C640" s="17" t="n">
        <f aca="false">Payment_Log_AP!D636</f>
        <v>45939</v>
      </c>
      <c r="D640" s="18" t="n">
        <f aca="false">Payment_Log_AP!E636</f>
        <v>12071.44</v>
      </c>
      <c r="E640" s="18" t="n">
        <f aca="false">IFERROR(INDEX(Bank_Statement!$C$2:$C$783,MATCH(A640,Bank_Statement!$E$2:$E$783,0)),"")</f>
        <v>-12071.44</v>
      </c>
      <c r="F640" s="16" t="str">
        <f aca="false">IF(E640="","No","Yes")</f>
        <v>Yes</v>
      </c>
      <c r="G640" s="18" t="n">
        <f aca="false">IF(F640="No","N/A",D640-E640)</f>
        <v>24142.88</v>
      </c>
      <c r="H640" s="16" t="str">
        <f aca="false">IF(F640="No","Unmatched - Investigate",IF(ABS(D640-E640)&gt;Assumptions!$B$6,"Mismatch - Amount Differs","Matched"))</f>
        <v>Mismatch - Amount Differs</v>
      </c>
    </row>
    <row r="641" customFormat="false" ht="15" hidden="false" customHeight="false" outlineLevel="0" collapsed="false">
      <c r="A641" s="16" t="str">
        <f aca="false">Payment_Log_AP!A637</f>
        <v>PAY40636</v>
      </c>
      <c r="B641" s="16" t="str">
        <f aca="false">Payment_Log_AP!C637</f>
        <v>V1006</v>
      </c>
      <c r="C641" s="17" t="n">
        <f aca="false">Payment_Log_AP!D637</f>
        <v>46180</v>
      </c>
      <c r="D641" s="18" t="n">
        <f aca="false">Payment_Log_AP!E637</f>
        <v>345.86</v>
      </c>
      <c r="E641" s="18" t="n">
        <f aca="false">IFERROR(INDEX(Bank_Statement!$C$2:$C$783,MATCH(A641,Bank_Statement!$E$2:$E$783,0)),"")</f>
        <v>-345.86</v>
      </c>
      <c r="F641" s="16" t="str">
        <f aca="false">IF(E641="","No","Yes")</f>
        <v>Yes</v>
      </c>
      <c r="G641" s="18" t="n">
        <f aca="false">IF(F641="No","N/A",D641-E641)</f>
        <v>691.72</v>
      </c>
      <c r="H641" s="16" t="str">
        <f aca="false">IF(F641="No","Unmatched - Investigate",IF(ABS(D641-E641)&gt;Assumptions!$B$6,"Mismatch - Amount Differs","Matched"))</f>
        <v>Mismatch - Amount Differs</v>
      </c>
    </row>
    <row r="642" customFormat="false" ht="15" hidden="false" customHeight="false" outlineLevel="0" collapsed="false">
      <c r="A642" s="16" t="str">
        <f aca="false">Payment_Log_AP!A638</f>
        <v>PAY40637</v>
      </c>
      <c r="B642" s="16" t="str">
        <f aca="false">Payment_Log_AP!C638</f>
        <v>V1006</v>
      </c>
      <c r="C642" s="17" t="n">
        <f aca="false">Payment_Log_AP!D638</f>
        <v>46187</v>
      </c>
      <c r="D642" s="18" t="n">
        <f aca="false">Payment_Log_AP!E638</f>
        <v>345.86</v>
      </c>
      <c r="E642" s="18" t="n">
        <f aca="false">IFERROR(INDEX(Bank_Statement!$C$2:$C$783,MATCH(A642,Bank_Statement!$E$2:$E$783,0)),"")</f>
        <v>-345.86</v>
      </c>
      <c r="F642" s="16" t="str">
        <f aca="false">IF(E642="","No","Yes")</f>
        <v>Yes</v>
      </c>
      <c r="G642" s="18" t="n">
        <f aca="false">IF(F642="No","N/A",D642-E642)</f>
        <v>691.72</v>
      </c>
      <c r="H642" s="16" t="str">
        <f aca="false">IF(F642="No","Unmatched - Investigate",IF(ABS(D642-E642)&gt;Assumptions!$B$6,"Mismatch - Amount Differs","Matched"))</f>
        <v>Mismatch - Amount Differs</v>
      </c>
    </row>
    <row r="643" customFormat="false" ht="15" hidden="false" customHeight="false" outlineLevel="0" collapsed="false">
      <c r="A643" s="16" t="str">
        <f aca="false">Payment_Log_AP!A639</f>
        <v>PAY40638</v>
      </c>
      <c r="B643" s="16" t="str">
        <f aca="false">Payment_Log_AP!C639</f>
        <v>V1039</v>
      </c>
      <c r="C643" s="17" t="n">
        <f aca="false">Payment_Log_AP!D639</f>
        <v>45742</v>
      </c>
      <c r="D643" s="18" t="n">
        <f aca="false">Payment_Log_AP!E639</f>
        <v>146.21</v>
      </c>
      <c r="E643" s="18" t="n">
        <f aca="false">IFERROR(INDEX(Bank_Statement!$C$2:$C$783,MATCH(A643,Bank_Statement!$E$2:$E$783,0)),"")</f>
        <v>-146.21</v>
      </c>
      <c r="F643" s="16" t="str">
        <f aca="false">IF(E643="","No","Yes")</f>
        <v>Yes</v>
      </c>
      <c r="G643" s="18" t="n">
        <f aca="false">IF(F643="No","N/A",D643-E643)</f>
        <v>292.42</v>
      </c>
      <c r="H643" s="16" t="str">
        <f aca="false">IF(F643="No","Unmatched - Investigate",IF(ABS(D643-E643)&gt;Assumptions!$B$6,"Mismatch - Amount Differs","Matched"))</f>
        <v>Mismatch - Amount Differs</v>
      </c>
    </row>
    <row r="644" customFormat="false" ht="15" hidden="false" customHeight="false" outlineLevel="0" collapsed="false">
      <c r="A644" s="16" t="str">
        <f aca="false">Payment_Log_AP!A640</f>
        <v>PAY40639</v>
      </c>
      <c r="B644" s="16" t="str">
        <f aca="false">Payment_Log_AP!C640</f>
        <v>V1015</v>
      </c>
      <c r="C644" s="17" t="n">
        <f aca="false">Payment_Log_AP!D640</f>
        <v>45744</v>
      </c>
      <c r="D644" s="18" t="n">
        <f aca="false">Payment_Log_AP!E640</f>
        <v>2671.57</v>
      </c>
      <c r="E644" s="18" t="n">
        <f aca="false">IFERROR(INDEX(Bank_Statement!$C$2:$C$783,MATCH(A644,Bank_Statement!$E$2:$E$783,0)),"")</f>
        <v>-2671.57</v>
      </c>
      <c r="F644" s="16" t="str">
        <f aca="false">IF(E644="","No","Yes")</f>
        <v>Yes</v>
      </c>
      <c r="G644" s="18" t="n">
        <f aca="false">IF(F644="No","N/A",D644-E644)</f>
        <v>5343.14</v>
      </c>
      <c r="H644" s="16" t="str">
        <f aca="false">IF(F644="No","Unmatched - Investigate",IF(ABS(D644-E644)&gt;Assumptions!$B$6,"Mismatch - Amount Differs","Matched"))</f>
        <v>Mismatch - Amount Differs</v>
      </c>
    </row>
    <row r="645" customFormat="false" ht="15" hidden="false" customHeight="false" outlineLevel="0" collapsed="false">
      <c r="A645" s="16" t="str">
        <f aca="false">Payment_Log_AP!A641</f>
        <v>PAY40640</v>
      </c>
      <c r="B645" s="16" t="str">
        <f aca="false">Payment_Log_AP!C641</f>
        <v>V1021</v>
      </c>
      <c r="C645" s="17" t="n">
        <f aca="false">Payment_Log_AP!D641</f>
        <v>46000</v>
      </c>
      <c r="D645" s="18" t="n">
        <f aca="false">Payment_Log_AP!E641</f>
        <v>1652.24</v>
      </c>
      <c r="E645" s="18" t="n">
        <f aca="false">IFERROR(INDEX(Bank_Statement!$C$2:$C$783,MATCH(A645,Bank_Statement!$E$2:$E$783,0)),"")</f>
        <v>-1652.24</v>
      </c>
      <c r="F645" s="16" t="str">
        <f aca="false">IF(E645="","No","Yes")</f>
        <v>Yes</v>
      </c>
      <c r="G645" s="18" t="n">
        <f aca="false">IF(F645="No","N/A",D645-E645)</f>
        <v>3304.48</v>
      </c>
      <c r="H645" s="16" t="str">
        <f aca="false">IF(F645="No","Unmatched - Investigate",IF(ABS(D645-E645)&gt;Assumptions!$B$6,"Mismatch - Amount Differs","Matched"))</f>
        <v>Mismatch - Amount Differs</v>
      </c>
    </row>
    <row r="646" customFormat="false" ht="15" hidden="false" customHeight="false" outlineLevel="0" collapsed="false">
      <c r="A646" s="16" t="str">
        <f aca="false">Payment_Log_AP!A642</f>
        <v>PAY40641</v>
      </c>
      <c r="B646" s="16" t="str">
        <f aca="false">Payment_Log_AP!C642</f>
        <v>V1006</v>
      </c>
      <c r="C646" s="17" t="n">
        <f aca="false">Payment_Log_AP!D642</f>
        <v>45712</v>
      </c>
      <c r="D646" s="18" t="n">
        <f aca="false">Payment_Log_AP!E642</f>
        <v>2766.5</v>
      </c>
      <c r="E646" s="18" t="n">
        <f aca="false">IFERROR(INDEX(Bank_Statement!$C$2:$C$783,MATCH(A646,Bank_Statement!$E$2:$E$783,0)),"")</f>
        <v>-2766.5</v>
      </c>
      <c r="F646" s="16" t="str">
        <f aca="false">IF(E646="","No","Yes")</f>
        <v>Yes</v>
      </c>
      <c r="G646" s="18" t="n">
        <f aca="false">IF(F646="No","N/A",D646-E646)</f>
        <v>5533</v>
      </c>
      <c r="H646" s="16" t="str">
        <f aca="false">IF(F646="No","Unmatched - Investigate",IF(ABS(D646-E646)&gt;Assumptions!$B$6,"Mismatch - Amount Differs","Matched"))</f>
        <v>Mismatch - Amount Differs</v>
      </c>
    </row>
    <row r="647" customFormat="false" ht="15" hidden="false" customHeight="false" outlineLevel="0" collapsed="false">
      <c r="A647" s="16" t="str">
        <f aca="false">Payment_Log_AP!A643</f>
        <v>PAY40642</v>
      </c>
      <c r="B647" s="16" t="str">
        <f aca="false">Payment_Log_AP!C643</f>
        <v>V1029</v>
      </c>
      <c r="C647" s="17" t="n">
        <f aca="false">Payment_Log_AP!D643</f>
        <v>45853</v>
      </c>
      <c r="D647" s="18" t="n">
        <f aca="false">Payment_Log_AP!E643</f>
        <v>5537.55</v>
      </c>
      <c r="E647" s="18" t="n">
        <f aca="false">IFERROR(INDEX(Bank_Statement!$C$2:$C$783,MATCH(A647,Bank_Statement!$E$2:$E$783,0)),"")</f>
        <v>-5537.55</v>
      </c>
      <c r="F647" s="16" t="str">
        <f aca="false">IF(E647="","No","Yes")</f>
        <v>Yes</v>
      </c>
      <c r="G647" s="18" t="n">
        <f aca="false">IF(F647="No","N/A",D647-E647)</f>
        <v>11075.1</v>
      </c>
      <c r="H647" s="16" t="str">
        <f aca="false">IF(F647="No","Unmatched - Investigate",IF(ABS(D647-E647)&gt;Assumptions!$B$6,"Mismatch - Amount Differs","Matched"))</f>
        <v>Mismatch - Amount Differs</v>
      </c>
    </row>
    <row r="648" customFormat="false" ht="15" hidden="false" customHeight="false" outlineLevel="0" collapsed="false">
      <c r="A648" s="16" t="str">
        <f aca="false">Payment_Log_AP!A644</f>
        <v>PAY40643</v>
      </c>
      <c r="B648" s="16" t="str">
        <f aca="false">Payment_Log_AP!C644</f>
        <v>V1031</v>
      </c>
      <c r="C648" s="17" t="n">
        <f aca="false">Payment_Log_AP!D644</f>
        <v>46057</v>
      </c>
      <c r="D648" s="18" t="n">
        <f aca="false">Payment_Log_AP!E644</f>
        <v>4823.29</v>
      </c>
      <c r="E648" s="18" t="n">
        <f aca="false">IFERROR(INDEX(Bank_Statement!$C$2:$C$783,MATCH(A648,Bank_Statement!$E$2:$E$783,0)),"")</f>
        <v>-4823.29</v>
      </c>
      <c r="F648" s="16" t="str">
        <f aca="false">IF(E648="","No","Yes")</f>
        <v>Yes</v>
      </c>
      <c r="G648" s="18" t="n">
        <f aca="false">IF(F648="No","N/A",D648-E648)</f>
        <v>9646.58</v>
      </c>
      <c r="H648" s="16" t="str">
        <f aca="false">IF(F648="No","Unmatched - Investigate",IF(ABS(D648-E648)&gt;Assumptions!$B$6,"Mismatch - Amount Differs","Matched"))</f>
        <v>Mismatch - Amount Differs</v>
      </c>
    </row>
    <row r="649" customFormat="false" ht="15" hidden="false" customHeight="false" outlineLevel="0" collapsed="false">
      <c r="A649" s="16" t="str">
        <f aca="false">Payment_Log_AP!A645</f>
        <v>PAY40644</v>
      </c>
      <c r="B649" s="16" t="str">
        <f aca="false">Payment_Log_AP!C645</f>
        <v>V1013</v>
      </c>
      <c r="C649" s="17" t="n">
        <f aca="false">Payment_Log_AP!D645</f>
        <v>45990</v>
      </c>
      <c r="D649" s="18" t="n">
        <f aca="false">Payment_Log_AP!E645</f>
        <v>2004.87</v>
      </c>
      <c r="E649" s="18" t="n">
        <f aca="false">IFERROR(INDEX(Bank_Statement!$C$2:$C$783,MATCH(A649,Bank_Statement!$E$2:$E$783,0)),"")</f>
        <v>-2004.87</v>
      </c>
      <c r="F649" s="16" t="str">
        <f aca="false">IF(E649="","No","Yes")</f>
        <v>Yes</v>
      </c>
      <c r="G649" s="18" t="n">
        <f aca="false">IF(F649="No","N/A",D649-E649)</f>
        <v>4009.74</v>
      </c>
      <c r="H649" s="16" t="str">
        <f aca="false">IF(F649="No","Unmatched - Investigate",IF(ABS(D649-E649)&gt;Assumptions!$B$6,"Mismatch - Amount Differs","Matched"))</f>
        <v>Mismatch - Amount Differs</v>
      </c>
    </row>
    <row r="650" customFormat="false" ht="15" hidden="false" customHeight="false" outlineLevel="0" collapsed="false">
      <c r="A650" s="16" t="str">
        <f aca="false">Payment_Log_AP!A646</f>
        <v>PAY40645</v>
      </c>
      <c r="B650" s="16" t="str">
        <f aca="false">Payment_Log_AP!C646</f>
        <v>V1023</v>
      </c>
      <c r="C650" s="17" t="n">
        <f aca="false">Payment_Log_AP!D646</f>
        <v>45859</v>
      </c>
      <c r="D650" s="18" t="n">
        <f aca="false">Payment_Log_AP!E646</f>
        <v>368.64</v>
      </c>
      <c r="E650" s="18" t="n">
        <f aca="false">IFERROR(INDEX(Bank_Statement!$C$2:$C$783,MATCH(A650,Bank_Statement!$E$2:$E$783,0)),"")</f>
        <v>-368.64</v>
      </c>
      <c r="F650" s="16" t="str">
        <f aca="false">IF(E650="","No","Yes")</f>
        <v>Yes</v>
      </c>
      <c r="G650" s="18" t="n">
        <f aca="false">IF(F650="No","N/A",D650-E650)</f>
        <v>737.28</v>
      </c>
      <c r="H650" s="16" t="str">
        <f aca="false">IF(F650="No","Unmatched - Investigate",IF(ABS(D650-E650)&gt;Assumptions!$B$6,"Mismatch - Amount Differs","Matched"))</f>
        <v>Mismatch - Amount Differs</v>
      </c>
    </row>
    <row r="651" customFormat="false" ht="15" hidden="false" customHeight="false" outlineLevel="0" collapsed="false">
      <c r="A651" s="16" t="str">
        <f aca="false">Payment_Log_AP!A647</f>
        <v>PAY40646</v>
      </c>
      <c r="B651" s="16" t="str">
        <f aca="false">Payment_Log_AP!C647</f>
        <v>V1011</v>
      </c>
      <c r="C651" s="17" t="n">
        <f aca="false">Payment_Log_AP!D647</f>
        <v>45968</v>
      </c>
      <c r="D651" s="18" t="n">
        <f aca="false">Payment_Log_AP!E647</f>
        <v>18808.64</v>
      </c>
      <c r="E651" s="18" t="n">
        <f aca="false">IFERROR(INDEX(Bank_Statement!$C$2:$C$783,MATCH(A651,Bank_Statement!$E$2:$E$783,0)),"")</f>
        <v>-18808.64</v>
      </c>
      <c r="F651" s="16" t="str">
        <f aca="false">IF(E651="","No","Yes")</f>
        <v>Yes</v>
      </c>
      <c r="G651" s="18" t="n">
        <f aca="false">IF(F651="No","N/A",D651-E651)</f>
        <v>37617.28</v>
      </c>
      <c r="H651" s="16" t="str">
        <f aca="false">IF(F651="No","Unmatched - Investigate",IF(ABS(D651-E651)&gt;Assumptions!$B$6,"Mismatch - Amount Differs","Matched"))</f>
        <v>Mismatch - Amount Differs</v>
      </c>
    </row>
    <row r="652" customFormat="false" ht="15" hidden="false" customHeight="false" outlineLevel="0" collapsed="false">
      <c r="A652" s="16" t="str">
        <f aca="false">Payment_Log_AP!A648</f>
        <v>PAY40647</v>
      </c>
      <c r="B652" s="16" t="str">
        <f aca="false">Payment_Log_AP!C648</f>
        <v>V1003</v>
      </c>
      <c r="C652" s="17" t="n">
        <f aca="false">Payment_Log_AP!D648</f>
        <v>45956</v>
      </c>
      <c r="D652" s="18" t="n">
        <f aca="false">Payment_Log_AP!E648</f>
        <v>2123.75</v>
      </c>
      <c r="E652" s="18" t="n">
        <f aca="false">IFERROR(INDEX(Bank_Statement!$C$2:$C$783,MATCH(A652,Bank_Statement!$E$2:$E$783,0)),"")</f>
        <v>-2123.75</v>
      </c>
      <c r="F652" s="16" t="str">
        <f aca="false">IF(E652="","No","Yes")</f>
        <v>Yes</v>
      </c>
      <c r="G652" s="18" t="n">
        <f aca="false">IF(F652="No","N/A",D652-E652)</f>
        <v>4247.5</v>
      </c>
      <c r="H652" s="16" t="str">
        <f aca="false">IF(F652="No","Unmatched - Investigate",IF(ABS(D652-E652)&gt;Assumptions!$B$6,"Mismatch - Amount Differs","Matched"))</f>
        <v>Mismatch - Amount Differs</v>
      </c>
    </row>
    <row r="653" customFormat="false" ht="15" hidden="false" customHeight="false" outlineLevel="0" collapsed="false">
      <c r="A653" s="16" t="str">
        <f aca="false">Payment_Log_AP!A649</f>
        <v>PAY40648</v>
      </c>
      <c r="B653" s="16" t="str">
        <f aca="false">Payment_Log_AP!C649</f>
        <v>V1010</v>
      </c>
      <c r="C653" s="17" t="n">
        <f aca="false">Payment_Log_AP!D649</f>
        <v>46030</v>
      </c>
      <c r="D653" s="18" t="n">
        <f aca="false">Payment_Log_AP!E649</f>
        <v>2641.8</v>
      </c>
      <c r="E653" s="18" t="n">
        <f aca="false">IFERROR(INDEX(Bank_Statement!$C$2:$C$783,MATCH(A653,Bank_Statement!$E$2:$E$783,0)),"")</f>
        <v>-2641.8</v>
      </c>
      <c r="F653" s="16" t="str">
        <f aca="false">IF(E653="","No","Yes")</f>
        <v>Yes</v>
      </c>
      <c r="G653" s="18" t="n">
        <f aca="false">IF(F653="No","N/A",D653-E653)</f>
        <v>5283.6</v>
      </c>
      <c r="H653" s="16" t="str">
        <f aca="false">IF(F653="No","Unmatched - Investigate",IF(ABS(D653-E653)&gt;Assumptions!$B$6,"Mismatch - Amount Differs","Matched"))</f>
        <v>Mismatch - Amount Differs</v>
      </c>
    </row>
    <row r="654" customFormat="false" ht="15" hidden="false" customHeight="false" outlineLevel="0" collapsed="false">
      <c r="A654" s="16" t="str">
        <f aca="false">Payment_Log_AP!A650</f>
        <v>PAY40649</v>
      </c>
      <c r="B654" s="16" t="str">
        <f aca="false">Payment_Log_AP!C650</f>
        <v>V1015</v>
      </c>
      <c r="C654" s="17" t="n">
        <f aca="false">Payment_Log_AP!D650</f>
        <v>45761</v>
      </c>
      <c r="D654" s="18" t="n">
        <f aca="false">Payment_Log_AP!E650</f>
        <v>2661.22</v>
      </c>
      <c r="E654" s="18" t="n">
        <f aca="false">IFERROR(INDEX(Bank_Statement!$C$2:$C$783,MATCH(A654,Bank_Statement!$E$2:$E$783,0)),"")</f>
        <v>-2661.22</v>
      </c>
      <c r="F654" s="16" t="str">
        <f aca="false">IF(E654="","No","Yes")</f>
        <v>Yes</v>
      </c>
      <c r="G654" s="18" t="n">
        <f aca="false">IF(F654="No","N/A",D654-E654)</f>
        <v>5322.44</v>
      </c>
      <c r="H654" s="16" t="str">
        <f aca="false">IF(F654="No","Unmatched - Investigate",IF(ABS(D654-E654)&gt;Assumptions!$B$6,"Mismatch - Amount Differs","Matched"))</f>
        <v>Mismatch - Amount Differs</v>
      </c>
    </row>
    <row r="655" customFormat="false" ht="15" hidden="false" customHeight="false" outlineLevel="0" collapsed="false">
      <c r="A655" s="16" t="str">
        <f aca="false">Payment_Log_AP!A651</f>
        <v>PAY40650</v>
      </c>
      <c r="B655" s="16" t="str">
        <f aca="false">Payment_Log_AP!C651</f>
        <v>V1022</v>
      </c>
      <c r="C655" s="17" t="n">
        <f aca="false">Payment_Log_AP!D651</f>
        <v>46090</v>
      </c>
      <c r="D655" s="18" t="n">
        <f aca="false">Payment_Log_AP!E651</f>
        <v>2608</v>
      </c>
      <c r="E655" s="18" t="n">
        <f aca="false">IFERROR(INDEX(Bank_Statement!$C$2:$C$783,MATCH(A655,Bank_Statement!$E$2:$E$783,0)),"")</f>
        <v>-2608</v>
      </c>
      <c r="F655" s="16" t="str">
        <f aca="false">IF(E655="","No","Yes")</f>
        <v>Yes</v>
      </c>
      <c r="G655" s="18" t="n">
        <f aca="false">IF(F655="No","N/A",D655-E655)</f>
        <v>5216</v>
      </c>
      <c r="H655" s="16" t="str">
        <f aca="false">IF(F655="No","Unmatched - Investigate",IF(ABS(D655-E655)&gt;Assumptions!$B$6,"Mismatch - Amount Differs","Matched"))</f>
        <v>Mismatch - Amount Differs</v>
      </c>
    </row>
    <row r="656" customFormat="false" ht="15" hidden="false" customHeight="false" outlineLevel="0" collapsed="false">
      <c r="A656" s="16" t="str">
        <f aca="false">Payment_Log_AP!A652</f>
        <v>PAY40651</v>
      </c>
      <c r="B656" s="16" t="str">
        <f aca="false">Payment_Log_AP!C652</f>
        <v>V1033</v>
      </c>
      <c r="C656" s="17" t="n">
        <f aca="false">Payment_Log_AP!D652</f>
        <v>46146</v>
      </c>
      <c r="D656" s="18" t="n">
        <f aca="false">Payment_Log_AP!E652</f>
        <v>19774.14</v>
      </c>
      <c r="E656" s="18" t="n">
        <f aca="false">IFERROR(INDEX(Bank_Statement!$C$2:$C$783,MATCH(A656,Bank_Statement!$E$2:$E$783,0)),"")</f>
        <v>-19774.14</v>
      </c>
      <c r="F656" s="16" t="str">
        <f aca="false">IF(E656="","No","Yes")</f>
        <v>Yes</v>
      </c>
      <c r="G656" s="18" t="n">
        <f aca="false">IF(F656="No","N/A",D656-E656)</f>
        <v>39548.28</v>
      </c>
      <c r="H656" s="16" t="str">
        <f aca="false">IF(F656="No","Unmatched - Investigate",IF(ABS(D656-E656)&gt;Assumptions!$B$6,"Mismatch - Amount Differs","Matched"))</f>
        <v>Mismatch - Amount Differs</v>
      </c>
    </row>
    <row r="657" customFormat="false" ht="15" hidden="false" customHeight="false" outlineLevel="0" collapsed="false">
      <c r="A657" s="16" t="str">
        <f aca="false">Payment_Log_AP!A653</f>
        <v>PAY40652</v>
      </c>
      <c r="B657" s="16" t="str">
        <f aca="false">Payment_Log_AP!C653</f>
        <v>V1018</v>
      </c>
      <c r="C657" s="17" t="n">
        <f aca="false">Payment_Log_AP!D653</f>
        <v>46033</v>
      </c>
      <c r="D657" s="18" t="n">
        <f aca="false">Payment_Log_AP!E653</f>
        <v>393.39</v>
      </c>
      <c r="E657" s="18" t="n">
        <f aca="false">IFERROR(INDEX(Bank_Statement!$C$2:$C$783,MATCH(A657,Bank_Statement!$E$2:$E$783,0)),"")</f>
        <v>-393.39</v>
      </c>
      <c r="F657" s="16" t="str">
        <f aca="false">IF(E657="","No","Yes")</f>
        <v>Yes</v>
      </c>
      <c r="G657" s="18" t="n">
        <f aca="false">IF(F657="No","N/A",D657-E657)</f>
        <v>786.78</v>
      </c>
      <c r="H657" s="16" t="str">
        <f aca="false">IF(F657="No","Unmatched - Investigate",IF(ABS(D657-E657)&gt;Assumptions!$B$6,"Mismatch - Amount Differs","Matched"))</f>
        <v>Mismatch - Amount Differs</v>
      </c>
    </row>
    <row r="658" customFormat="false" ht="15" hidden="false" customHeight="false" outlineLevel="0" collapsed="false">
      <c r="A658" s="16" t="str">
        <f aca="false">Payment_Log_AP!A654</f>
        <v>PAY40653</v>
      </c>
      <c r="B658" s="16" t="str">
        <f aca="false">Payment_Log_AP!C654</f>
        <v>V1026</v>
      </c>
      <c r="C658" s="17" t="n">
        <f aca="false">Payment_Log_AP!D654</f>
        <v>46096</v>
      </c>
      <c r="D658" s="18" t="n">
        <f aca="false">Payment_Log_AP!E654</f>
        <v>19934.95</v>
      </c>
      <c r="E658" s="18" t="n">
        <f aca="false">IFERROR(INDEX(Bank_Statement!$C$2:$C$783,MATCH(A658,Bank_Statement!$E$2:$E$783,0)),"")</f>
        <v>-19934.95</v>
      </c>
      <c r="F658" s="16" t="str">
        <f aca="false">IF(E658="","No","Yes")</f>
        <v>Yes</v>
      </c>
      <c r="G658" s="18" t="n">
        <f aca="false">IF(F658="No","N/A",D658-E658)</f>
        <v>39869.9</v>
      </c>
      <c r="H658" s="16" t="str">
        <f aca="false">IF(F658="No","Unmatched - Investigate",IF(ABS(D658-E658)&gt;Assumptions!$B$6,"Mismatch - Amount Differs","Matched"))</f>
        <v>Mismatch - Amount Differs</v>
      </c>
    </row>
    <row r="659" customFormat="false" ht="15" hidden="false" customHeight="false" outlineLevel="0" collapsed="false">
      <c r="A659" s="16" t="str">
        <f aca="false">Payment_Log_AP!A655</f>
        <v>PAY40654</v>
      </c>
      <c r="B659" s="16" t="str">
        <f aca="false">Payment_Log_AP!C655</f>
        <v>V1008</v>
      </c>
      <c r="C659" s="17" t="n">
        <f aca="false">Payment_Log_AP!D655</f>
        <v>45802</v>
      </c>
      <c r="D659" s="18" t="n">
        <f aca="false">Payment_Log_AP!E655</f>
        <v>812.03</v>
      </c>
      <c r="E659" s="18" t="n">
        <f aca="false">IFERROR(INDEX(Bank_Statement!$C$2:$C$783,MATCH(A659,Bank_Statement!$E$2:$E$783,0)),"")</f>
        <v>-812.03</v>
      </c>
      <c r="F659" s="16" t="str">
        <f aca="false">IF(E659="","No","Yes")</f>
        <v>Yes</v>
      </c>
      <c r="G659" s="18" t="n">
        <f aca="false">IF(F659="No","N/A",D659-E659)</f>
        <v>1624.06</v>
      </c>
      <c r="H659" s="16" t="str">
        <f aca="false">IF(F659="No","Unmatched - Investigate",IF(ABS(D659-E659)&gt;Assumptions!$B$6,"Mismatch - Amount Differs","Matched"))</f>
        <v>Mismatch - Amount Differs</v>
      </c>
    </row>
    <row r="660" customFormat="false" ht="15" hidden="false" customHeight="false" outlineLevel="0" collapsed="false">
      <c r="A660" s="16" t="str">
        <f aca="false">Payment_Log_AP!A656</f>
        <v>PAY40655</v>
      </c>
      <c r="B660" s="16" t="str">
        <f aca="false">Payment_Log_AP!C656</f>
        <v>V1025</v>
      </c>
      <c r="C660" s="17" t="n">
        <f aca="false">Payment_Log_AP!D656</f>
        <v>45936</v>
      </c>
      <c r="D660" s="18" t="n">
        <f aca="false">Payment_Log_AP!E656</f>
        <v>26179.49</v>
      </c>
      <c r="E660" s="18" t="n">
        <f aca="false">IFERROR(INDEX(Bank_Statement!$C$2:$C$783,MATCH(A660,Bank_Statement!$E$2:$E$783,0)),"")</f>
        <v>-26179.49</v>
      </c>
      <c r="F660" s="16" t="str">
        <f aca="false">IF(E660="","No","Yes")</f>
        <v>Yes</v>
      </c>
      <c r="G660" s="18" t="n">
        <f aca="false">IF(F660="No","N/A",D660-E660)</f>
        <v>52358.98</v>
      </c>
      <c r="H660" s="16" t="str">
        <f aca="false">IF(F660="No","Unmatched - Investigate",IF(ABS(D660-E660)&gt;Assumptions!$B$6,"Mismatch - Amount Differs","Matched"))</f>
        <v>Mismatch - Amount Differs</v>
      </c>
    </row>
    <row r="661" customFormat="false" ht="15" hidden="false" customHeight="false" outlineLevel="0" collapsed="false">
      <c r="A661" s="16" t="str">
        <f aca="false">Payment_Log_AP!A657</f>
        <v>PAY40656</v>
      </c>
      <c r="B661" s="16" t="str">
        <f aca="false">Payment_Log_AP!C657</f>
        <v>V1007</v>
      </c>
      <c r="C661" s="17" t="n">
        <f aca="false">Payment_Log_AP!D657</f>
        <v>45816</v>
      </c>
      <c r="D661" s="18" t="n">
        <f aca="false">Payment_Log_AP!E657</f>
        <v>8117.27</v>
      </c>
      <c r="E661" s="18" t="n">
        <f aca="false">IFERROR(INDEX(Bank_Statement!$C$2:$C$783,MATCH(A661,Bank_Statement!$E$2:$E$783,0)),"")</f>
        <v>-8117.27</v>
      </c>
      <c r="F661" s="16" t="str">
        <f aca="false">IF(E661="","No","Yes")</f>
        <v>Yes</v>
      </c>
      <c r="G661" s="18" t="n">
        <f aca="false">IF(F661="No","N/A",D661-E661)</f>
        <v>16234.54</v>
      </c>
      <c r="H661" s="16" t="str">
        <f aca="false">IF(F661="No","Unmatched - Investigate",IF(ABS(D661-E661)&gt;Assumptions!$B$6,"Mismatch - Amount Differs","Matched"))</f>
        <v>Mismatch - Amount Differs</v>
      </c>
    </row>
    <row r="662" customFormat="false" ht="15" hidden="false" customHeight="false" outlineLevel="0" collapsed="false">
      <c r="A662" s="16" t="str">
        <f aca="false">Payment_Log_AP!A658</f>
        <v>PAY40657</v>
      </c>
      <c r="B662" s="16" t="str">
        <f aca="false">Payment_Log_AP!C658</f>
        <v>V1038</v>
      </c>
      <c r="C662" s="17" t="n">
        <f aca="false">Payment_Log_AP!D658</f>
        <v>45880</v>
      </c>
      <c r="D662" s="18" t="n">
        <f aca="false">Payment_Log_AP!E658</f>
        <v>9161.11</v>
      </c>
      <c r="E662" s="18" t="n">
        <f aca="false">IFERROR(INDEX(Bank_Statement!$C$2:$C$783,MATCH(A662,Bank_Statement!$E$2:$E$783,0)),"")</f>
        <v>-9161.11</v>
      </c>
      <c r="F662" s="16" t="str">
        <f aca="false">IF(E662="","No","Yes")</f>
        <v>Yes</v>
      </c>
      <c r="G662" s="18" t="n">
        <f aca="false">IF(F662="No","N/A",D662-E662)</f>
        <v>18322.22</v>
      </c>
      <c r="H662" s="16" t="str">
        <f aca="false">IF(F662="No","Unmatched - Investigate",IF(ABS(D662-E662)&gt;Assumptions!$B$6,"Mismatch - Amount Differs","Matched"))</f>
        <v>Mismatch - Amount Differs</v>
      </c>
    </row>
    <row r="663" customFormat="false" ht="15" hidden="false" customHeight="false" outlineLevel="0" collapsed="false">
      <c r="A663" s="16" t="str">
        <f aca="false">Payment_Log_AP!A659</f>
        <v>PAY40658</v>
      </c>
      <c r="B663" s="16" t="str">
        <f aca="false">Payment_Log_AP!C659</f>
        <v>V1022</v>
      </c>
      <c r="C663" s="17" t="n">
        <f aca="false">Payment_Log_AP!D659</f>
        <v>45926</v>
      </c>
      <c r="D663" s="18" t="n">
        <f aca="false">Payment_Log_AP!E659</f>
        <v>1056.4</v>
      </c>
      <c r="E663" s="18" t="n">
        <f aca="false">IFERROR(INDEX(Bank_Statement!$C$2:$C$783,MATCH(A663,Bank_Statement!$E$2:$E$783,0)),"")</f>
        <v>-1056.4</v>
      </c>
      <c r="F663" s="16" t="str">
        <f aca="false">IF(E663="","No","Yes")</f>
        <v>Yes</v>
      </c>
      <c r="G663" s="18" t="n">
        <f aca="false">IF(F663="No","N/A",D663-E663)</f>
        <v>2112.8</v>
      </c>
      <c r="H663" s="16" t="str">
        <f aca="false">IF(F663="No","Unmatched - Investigate",IF(ABS(D663-E663)&gt;Assumptions!$B$6,"Mismatch - Amount Differs","Matched"))</f>
        <v>Mismatch - Amount Differs</v>
      </c>
    </row>
    <row r="664" customFormat="false" ht="15" hidden="false" customHeight="false" outlineLevel="0" collapsed="false">
      <c r="A664" s="16" t="str">
        <f aca="false">Payment_Log_AP!A660</f>
        <v>PAY40659</v>
      </c>
      <c r="B664" s="16" t="str">
        <f aca="false">Payment_Log_AP!C660</f>
        <v>V1015</v>
      </c>
      <c r="C664" s="17" t="n">
        <f aca="false">Payment_Log_AP!D660</f>
        <v>45889</v>
      </c>
      <c r="D664" s="18" t="n">
        <f aca="false">Payment_Log_AP!E660</f>
        <v>3577.81</v>
      </c>
      <c r="E664" s="18" t="n">
        <f aca="false">IFERROR(INDEX(Bank_Statement!$C$2:$C$783,MATCH(A664,Bank_Statement!$E$2:$E$783,0)),"")</f>
        <v>-3577.81</v>
      </c>
      <c r="F664" s="16" t="str">
        <f aca="false">IF(E664="","No","Yes")</f>
        <v>Yes</v>
      </c>
      <c r="G664" s="18" t="n">
        <f aca="false">IF(F664="No","N/A",D664-E664)</f>
        <v>7155.62</v>
      </c>
      <c r="H664" s="16" t="str">
        <f aca="false">IF(F664="No","Unmatched - Investigate",IF(ABS(D664-E664)&gt;Assumptions!$B$6,"Mismatch - Amount Differs","Matched"))</f>
        <v>Mismatch - Amount Differs</v>
      </c>
    </row>
    <row r="665" customFormat="false" ht="15" hidden="false" customHeight="false" outlineLevel="0" collapsed="false">
      <c r="A665" s="16" t="str">
        <f aca="false">Payment_Log_AP!A661</f>
        <v>PAY40660</v>
      </c>
      <c r="B665" s="16" t="str">
        <f aca="false">Payment_Log_AP!C661</f>
        <v>V1006</v>
      </c>
      <c r="C665" s="17" t="n">
        <f aca="false">Payment_Log_AP!D661</f>
        <v>45737</v>
      </c>
      <c r="D665" s="18" t="n">
        <f aca="false">Payment_Log_AP!E661</f>
        <v>1478.7</v>
      </c>
      <c r="E665" s="18" t="n">
        <f aca="false">IFERROR(INDEX(Bank_Statement!$C$2:$C$783,MATCH(A665,Bank_Statement!$E$2:$E$783,0)),"")</f>
        <v>-1478.7</v>
      </c>
      <c r="F665" s="16" t="str">
        <f aca="false">IF(E665="","No","Yes")</f>
        <v>Yes</v>
      </c>
      <c r="G665" s="18" t="n">
        <f aca="false">IF(F665="No","N/A",D665-E665)</f>
        <v>2957.4</v>
      </c>
      <c r="H665" s="16" t="str">
        <f aca="false">IF(F665="No","Unmatched - Investigate",IF(ABS(D665-E665)&gt;Assumptions!$B$6,"Mismatch - Amount Differs","Matched"))</f>
        <v>Mismatch - Amount Differs</v>
      </c>
    </row>
    <row r="666" customFormat="false" ht="15" hidden="false" customHeight="false" outlineLevel="0" collapsed="false">
      <c r="A666" s="16" t="str">
        <f aca="false">Payment_Log_AP!A662</f>
        <v>PAY40661</v>
      </c>
      <c r="B666" s="16" t="str">
        <f aca="false">Payment_Log_AP!C662</f>
        <v>V1026</v>
      </c>
      <c r="C666" s="17" t="n">
        <f aca="false">Payment_Log_AP!D662</f>
        <v>45926</v>
      </c>
      <c r="D666" s="18" t="n">
        <f aca="false">Payment_Log_AP!E662</f>
        <v>5071.62</v>
      </c>
      <c r="E666" s="18" t="n">
        <f aca="false">IFERROR(INDEX(Bank_Statement!$C$2:$C$783,MATCH(A666,Bank_Statement!$E$2:$E$783,0)),"")</f>
        <v>-5071.62</v>
      </c>
      <c r="F666" s="16" t="str">
        <f aca="false">IF(E666="","No","Yes")</f>
        <v>Yes</v>
      </c>
      <c r="G666" s="18" t="n">
        <f aca="false">IF(F666="No","N/A",D666-E666)</f>
        <v>10143.24</v>
      </c>
      <c r="H666" s="16" t="str">
        <f aca="false">IF(F666="No","Unmatched - Investigate",IF(ABS(D666-E666)&gt;Assumptions!$B$6,"Mismatch - Amount Differs","Matched"))</f>
        <v>Mismatch - Amount Differs</v>
      </c>
    </row>
    <row r="667" customFormat="false" ht="15" hidden="false" customHeight="false" outlineLevel="0" collapsed="false">
      <c r="A667" s="16" t="str">
        <f aca="false">Payment_Log_AP!A663</f>
        <v>PAY40662</v>
      </c>
      <c r="B667" s="16" t="str">
        <f aca="false">Payment_Log_AP!C663</f>
        <v>V1033</v>
      </c>
      <c r="C667" s="17" t="n">
        <f aca="false">Payment_Log_AP!D663</f>
        <v>46060</v>
      </c>
      <c r="D667" s="18" t="n">
        <f aca="false">Payment_Log_AP!E663</f>
        <v>3714.97</v>
      </c>
      <c r="E667" s="18" t="n">
        <f aca="false">IFERROR(INDEX(Bank_Statement!$C$2:$C$783,MATCH(A667,Bank_Statement!$E$2:$E$783,0)),"")</f>
        <v>-3714.97</v>
      </c>
      <c r="F667" s="16" t="str">
        <f aca="false">IF(E667="","No","Yes")</f>
        <v>Yes</v>
      </c>
      <c r="G667" s="18" t="n">
        <f aca="false">IF(F667="No","N/A",D667-E667)</f>
        <v>7429.94</v>
      </c>
      <c r="H667" s="16" t="str">
        <f aca="false">IF(F667="No","Unmatched - Investigate",IF(ABS(D667-E667)&gt;Assumptions!$B$6,"Mismatch - Amount Differs","Matched"))</f>
        <v>Mismatch - Amount Differs</v>
      </c>
    </row>
    <row r="668" customFormat="false" ht="15" hidden="false" customHeight="false" outlineLevel="0" collapsed="false">
      <c r="A668" s="16" t="str">
        <f aca="false">Payment_Log_AP!A664</f>
        <v>PAY40663</v>
      </c>
      <c r="B668" s="16" t="str">
        <f aca="false">Payment_Log_AP!C664</f>
        <v>V1025</v>
      </c>
      <c r="C668" s="17" t="n">
        <f aca="false">Payment_Log_AP!D664</f>
        <v>45889</v>
      </c>
      <c r="D668" s="18" t="n">
        <f aca="false">Payment_Log_AP!E664</f>
        <v>577.47</v>
      </c>
      <c r="E668" s="18" t="n">
        <f aca="false">IFERROR(INDEX(Bank_Statement!$C$2:$C$783,MATCH(A668,Bank_Statement!$E$2:$E$783,0)),"")</f>
        <v>-577.47</v>
      </c>
      <c r="F668" s="16" t="str">
        <f aca="false">IF(E668="","No","Yes")</f>
        <v>Yes</v>
      </c>
      <c r="G668" s="18" t="n">
        <f aca="false">IF(F668="No","N/A",D668-E668)</f>
        <v>1154.94</v>
      </c>
      <c r="H668" s="16" t="str">
        <f aca="false">IF(F668="No","Unmatched - Investigate",IF(ABS(D668-E668)&gt;Assumptions!$B$6,"Mismatch - Amount Differs","Matched"))</f>
        <v>Mismatch - Amount Differs</v>
      </c>
    </row>
    <row r="669" customFormat="false" ht="15" hidden="false" customHeight="false" outlineLevel="0" collapsed="false">
      <c r="A669" s="16" t="str">
        <f aca="false">Payment_Log_AP!A665</f>
        <v>PAY40664</v>
      </c>
      <c r="B669" s="16" t="str">
        <f aca="false">Payment_Log_AP!C665</f>
        <v>V1002</v>
      </c>
      <c r="C669" s="17" t="n">
        <f aca="false">Payment_Log_AP!D665</f>
        <v>46203</v>
      </c>
      <c r="D669" s="18" t="n">
        <f aca="false">Payment_Log_AP!E665</f>
        <v>2429.18</v>
      </c>
      <c r="E669" s="18" t="n">
        <f aca="false">IFERROR(INDEX(Bank_Statement!$C$2:$C$783,MATCH(A669,Bank_Statement!$E$2:$E$783,0)),"")</f>
        <v>-2429.18</v>
      </c>
      <c r="F669" s="16" t="str">
        <f aca="false">IF(E669="","No","Yes")</f>
        <v>Yes</v>
      </c>
      <c r="G669" s="18" t="n">
        <f aca="false">IF(F669="No","N/A",D669-E669)</f>
        <v>4858.36</v>
      </c>
      <c r="H669" s="16" t="str">
        <f aca="false">IF(F669="No","Unmatched - Investigate",IF(ABS(D669-E669)&gt;Assumptions!$B$6,"Mismatch - Amount Differs","Matched"))</f>
        <v>Mismatch - Amount Differs</v>
      </c>
    </row>
    <row r="670" customFormat="false" ht="15" hidden="false" customHeight="false" outlineLevel="0" collapsed="false">
      <c r="A670" s="16" t="str">
        <f aca="false">Payment_Log_AP!A666</f>
        <v>PAY40665</v>
      </c>
      <c r="B670" s="16" t="str">
        <f aca="false">Payment_Log_AP!C666</f>
        <v>V1010</v>
      </c>
      <c r="C670" s="17" t="n">
        <f aca="false">Payment_Log_AP!D666</f>
        <v>45721</v>
      </c>
      <c r="D670" s="18" t="n">
        <f aca="false">Payment_Log_AP!E666</f>
        <v>5420.25</v>
      </c>
      <c r="E670" s="18" t="n">
        <f aca="false">IFERROR(INDEX(Bank_Statement!$C$2:$C$783,MATCH(A670,Bank_Statement!$E$2:$E$783,0)),"")</f>
        <v>-5420.25</v>
      </c>
      <c r="F670" s="16" t="str">
        <f aca="false">IF(E670="","No","Yes")</f>
        <v>Yes</v>
      </c>
      <c r="G670" s="18" t="n">
        <f aca="false">IF(F670="No","N/A",D670-E670)</f>
        <v>10840.5</v>
      </c>
      <c r="H670" s="16" t="str">
        <f aca="false">IF(F670="No","Unmatched - Investigate",IF(ABS(D670-E670)&gt;Assumptions!$B$6,"Mismatch - Amount Differs","Matched"))</f>
        <v>Mismatch - Amount Differs</v>
      </c>
    </row>
    <row r="671" customFormat="false" ht="15" hidden="false" customHeight="false" outlineLevel="0" collapsed="false">
      <c r="A671" s="16" t="str">
        <f aca="false">Payment_Log_AP!A667</f>
        <v>PAY40666</v>
      </c>
      <c r="B671" s="16" t="str">
        <f aca="false">Payment_Log_AP!C667</f>
        <v>V1034</v>
      </c>
      <c r="C671" s="17" t="n">
        <f aca="false">Payment_Log_AP!D667</f>
        <v>45711</v>
      </c>
      <c r="D671" s="18" t="n">
        <f aca="false">Payment_Log_AP!E667</f>
        <v>5970.05</v>
      </c>
      <c r="E671" s="18" t="n">
        <f aca="false">IFERROR(INDEX(Bank_Statement!$C$2:$C$783,MATCH(A671,Bank_Statement!$E$2:$E$783,0)),"")</f>
        <v>-5970.05</v>
      </c>
      <c r="F671" s="16" t="str">
        <f aca="false">IF(E671="","No","Yes")</f>
        <v>Yes</v>
      </c>
      <c r="G671" s="18" t="n">
        <f aca="false">IF(F671="No","N/A",D671-E671)</f>
        <v>11940.1</v>
      </c>
      <c r="H671" s="16" t="str">
        <f aca="false">IF(F671="No","Unmatched - Investigate",IF(ABS(D671-E671)&gt;Assumptions!$B$6,"Mismatch - Amount Differs","Matched"))</f>
        <v>Mismatch - Amount Differs</v>
      </c>
    </row>
    <row r="672" customFormat="false" ht="15" hidden="false" customHeight="false" outlineLevel="0" collapsed="false">
      <c r="A672" s="16" t="str">
        <f aca="false">Payment_Log_AP!A668</f>
        <v>PAY40667</v>
      </c>
      <c r="B672" s="16" t="str">
        <f aca="false">Payment_Log_AP!C668</f>
        <v>V1020</v>
      </c>
      <c r="C672" s="17" t="n">
        <f aca="false">Payment_Log_AP!D668</f>
        <v>45719</v>
      </c>
      <c r="D672" s="18" t="n">
        <f aca="false">Payment_Log_AP!E668</f>
        <v>1166.53</v>
      </c>
      <c r="E672" s="18" t="n">
        <f aca="false">IFERROR(INDEX(Bank_Statement!$C$2:$C$783,MATCH(A672,Bank_Statement!$E$2:$E$783,0)),"")</f>
        <v>-1166.53</v>
      </c>
      <c r="F672" s="16" t="str">
        <f aca="false">IF(E672="","No","Yes")</f>
        <v>Yes</v>
      </c>
      <c r="G672" s="18" t="n">
        <f aca="false">IF(F672="No","N/A",D672-E672)</f>
        <v>2333.06</v>
      </c>
      <c r="H672" s="16" t="str">
        <f aca="false">IF(F672="No","Unmatched - Investigate",IF(ABS(D672-E672)&gt;Assumptions!$B$6,"Mismatch - Amount Differs","Matched"))</f>
        <v>Mismatch - Amount Differs</v>
      </c>
    </row>
    <row r="673" customFormat="false" ht="15" hidden="false" customHeight="false" outlineLevel="0" collapsed="false">
      <c r="A673" s="16" t="str">
        <f aca="false">Payment_Log_AP!A669</f>
        <v>PAY40668</v>
      </c>
      <c r="B673" s="16" t="str">
        <f aca="false">Payment_Log_AP!C669</f>
        <v>V1040</v>
      </c>
      <c r="C673" s="17" t="n">
        <f aca="false">Payment_Log_AP!D669</f>
        <v>46103</v>
      </c>
      <c r="D673" s="18" t="n">
        <f aca="false">Payment_Log_AP!E669</f>
        <v>305.02</v>
      </c>
      <c r="E673" s="18" t="n">
        <f aca="false">IFERROR(INDEX(Bank_Statement!$C$2:$C$783,MATCH(A673,Bank_Statement!$E$2:$E$783,0)),"")</f>
        <v>-305.02</v>
      </c>
      <c r="F673" s="16" t="str">
        <f aca="false">IF(E673="","No","Yes")</f>
        <v>Yes</v>
      </c>
      <c r="G673" s="18" t="n">
        <f aca="false">IF(F673="No","N/A",D673-E673)</f>
        <v>610.04</v>
      </c>
      <c r="H673" s="16" t="str">
        <f aca="false">IF(F673="No","Unmatched - Investigate",IF(ABS(D673-E673)&gt;Assumptions!$B$6,"Mismatch - Amount Differs","Matched"))</f>
        <v>Mismatch - Amount Differs</v>
      </c>
    </row>
    <row r="674" customFormat="false" ht="15" hidden="false" customHeight="false" outlineLevel="0" collapsed="false">
      <c r="A674" s="16" t="str">
        <f aca="false">Payment_Log_AP!A670</f>
        <v>PAY40669</v>
      </c>
      <c r="B674" s="16" t="str">
        <f aca="false">Payment_Log_AP!C670</f>
        <v>V1008</v>
      </c>
      <c r="C674" s="17" t="n">
        <f aca="false">Payment_Log_AP!D670</f>
        <v>46133</v>
      </c>
      <c r="D674" s="18" t="n">
        <f aca="false">Payment_Log_AP!E670</f>
        <v>888.47</v>
      </c>
      <c r="E674" s="18" t="n">
        <f aca="false">IFERROR(INDEX(Bank_Statement!$C$2:$C$783,MATCH(A674,Bank_Statement!$E$2:$E$783,0)),"")</f>
        <v>-888.47</v>
      </c>
      <c r="F674" s="16" t="str">
        <f aca="false">IF(E674="","No","Yes")</f>
        <v>Yes</v>
      </c>
      <c r="G674" s="18" t="n">
        <f aca="false">IF(F674="No","N/A",D674-E674)</f>
        <v>1776.94</v>
      </c>
      <c r="H674" s="16" t="str">
        <f aca="false">IF(F674="No","Unmatched - Investigate",IF(ABS(D674-E674)&gt;Assumptions!$B$6,"Mismatch - Amount Differs","Matched"))</f>
        <v>Mismatch - Amount Differs</v>
      </c>
    </row>
    <row r="675" customFormat="false" ht="15" hidden="false" customHeight="false" outlineLevel="0" collapsed="false">
      <c r="A675" s="16" t="str">
        <f aca="false">Payment_Log_AP!A671</f>
        <v>PAY40670</v>
      </c>
      <c r="B675" s="16" t="str">
        <f aca="false">Payment_Log_AP!C671</f>
        <v>V1013</v>
      </c>
      <c r="C675" s="17" t="n">
        <f aca="false">Payment_Log_AP!D671</f>
        <v>46004</v>
      </c>
      <c r="D675" s="18" t="n">
        <f aca="false">Payment_Log_AP!E671</f>
        <v>6115.66</v>
      </c>
      <c r="E675" s="18" t="n">
        <f aca="false">IFERROR(INDEX(Bank_Statement!$C$2:$C$783,MATCH(A675,Bank_Statement!$E$2:$E$783,0)),"")</f>
        <v>-6115.66</v>
      </c>
      <c r="F675" s="16" t="str">
        <f aca="false">IF(E675="","No","Yes")</f>
        <v>Yes</v>
      </c>
      <c r="G675" s="18" t="n">
        <f aca="false">IF(F675="No","N/A",D675-E675)</f>
        <v>12231.32</v>
      </c>
      <c r="H675" s="16" t="str">
        <f aca="false">IF(F675="No","Unmatched - Investigate",IF(ABS(D675-E675)&gt;Assumptions!$B$6,"Mismatch - Amount Differs","Matched"))</f>
        <v>Mismatch - Amount Differs</v>
      </c>
    </row>
    <row r="676" customFormat="false" ht="15" hidden="false" customHeight="false" outlineLevel="0" collapsed="false">
      <c r="A676" s="16" t="str">
        <f aca="false">Payment_Log_AP!A672</f>
        <v>PAY40671</v>
      </c>
      <c r="B676" s="16" t="str">
        <f aca="false">Payment_Log_AP!C672</f>
        <v>V1029</v>
      </c>
      <c r="C676" s="17" t="n">
        <f aca="false">Payment_Log_AP!D672</f>
        <v>46000</v>
      </c>
      <c r="D676" s="18" t="n">
        <f aca="false">Payment_Log_AP!E672</f>
        <v>723.52</v>
      </c>
      <c r="E676" s="18" t="n">
        <f aca="false">IFERROR(INDEX(Bank_Statement!$C$2:$C$783,MATCH(A676,Bank_Statement!$E$2:$E$783,0)),"")</f>
        <v>-723.52</v>
      </c>
      <c r="F676" s="16" t="str">
        <f aca="false">IF(E676="","No","Yes")</f>
        <v>Yes</v>
      </c>
      <c r="G676" s="18" t="n">
        <f aca="false">IF(F676="No","N/A",D676-E676)</f>
        <v>1447.04</v>
      </c>
      <c r="H676" s="16" t="str">
        <f aca="false">IF(F676="No","Unmatched - Investigate",IF(ABS(D676-E676)&gt;Assumptions!$B$6,"Mismatch - Amount Differs","Matched"))</f>
        <v>Mismatch - Amount Differs</v>
      </c>
    </row>
    <row r="677" customFormat="false" ht="15" hidden="false" customHeight="false" outlineLevel="0" collapsed="false">
      <c r="A677" s="16" t="str">
        <f aca="false">Payment_Log_AP!A673</f>
        <v>PAY40672</v>
      </c>
      <c r="B677" s="16" t="str">
        <f aca="false">Payment_Log_AP!C673</f>
        <v>V1040</v>
      </c>
      <c r="C677" s="17" t="n">
        <f aca="false">Payment_Log_AP!D673</f>
        <v>45771</v>
      </c>
      <c r="D677" s="18" t="n">
        <f aca="false">Payment_Log_AP!E673</f>
        <v>1751.47</v>
      </c>
      <c r="E677" s="18" t="n">
        <f aca="false">IFERROR(INDEX(Bank_Statement!$C$2:$C$783,MATCH(A677,Bank_Statement!$E$2:$E$783,0)),"")</f>
        <v>-1751.47</v>
      </c>
      <c r="F677" s="16" t="str">
        <f aca="false">IF(E677="","No","Yes")</f>
        <v>Yes</v>
      </c>
      <c r="G677" s="18" t="n">
        <f aca="false">IF(F677="No","N/A",D677-E677)</f>
        <v>3502.94</v>
      </c>
      <c r="H677" s="16" t="str">
        <f aca="false">IF(F677="No","Unmatched - Investigate",IF(ABS(D677-E677)&gt;Assumptions!$B$6,"Mismatch - Amount Differs","Matched"))</f>
        <v>Mismatch - Amount Differs</v>
      </c>
    </row>
    <row r="678" customFormat="false" ht="15" hidden="false" customHeight="false" outlineLevel="0" collapsed="false">
      <c r="A678" s="16" t="str">
        <f aca="false">Payment_Log_AP!A674</f>
        <v>PAY40673</v>
      </c>
      <c r="B678" s="16" t="str">
        <f aca="false">Payment_Log_AP!C674</f>
        <v>V1014</v>
      </c>
      <c r="C678" s="17" t="n">
        <f aca="false">Payment_Log_AP!D674</f>
        <v>45883</v>
      </c>
      <c r="D678" s="18" t="n">
        <f aca="false">Payment_Log_AP!E674</f>
        <v>17936.73</v>
      </c>
      <c r="E678" s="18" t="n">
        <f aca="false">IFERROR(INDEX(Bank_Statement!$C$2:$C$783,MATCH(A678,Bank_Statement!$E$2:$E$783,0)),"")</f>
        <v>-17936.73</v>
      </c>
      <c r="F678" s="16" t="str">
        <f aca="false">IF(E678="","No","Yes")</f>
        <v>Yes</v>
      </c>
      <c r="G678" s="18" t="n">
        <f aca="false">IF(F678="No","N/A",D678-E678)</f>
        <v>35873.46</v>
      </c>
      <c r="H678" s="16" t="str">
        <f aca="false">IF(F678="No","Unmatched - Investigate",IF(ABS(D678-E678)&gt;Assumptions!$B$6,"Mismatch - Amount Differs","Matched"))</f>
        <v>Mismatch - Amount Differs</v>
      </c>
    </row>
    <row r="679" customFormat="false" ht="15" hidden="false" customHeight="false" outlineLevel="0" collapsed="false">
      <c r="A679" s="16" t="str">
        <f aca="false">Payment_Log_AP!A675</f>
        <v>PAY40674</v>
      </c>
      <c r="B679" s="16" t="str">
        <f aca="false">Payment_Log_AP!C675</f>
        <v>V1039</v>
      </c>
      <c r="C679" s="17" t="n">
        <f aca="false">Payment_Log_AP!D675</f>
        <v>46061</v>
      </c>
      <c r="D679" s="18" t="n">
        <f aca="false">Payment_Log_AP!E675</f>
        <v>7872.8</v>
      </c>
      <c r="E679" s="18" t="n">
        <f aca="false">IFERROR(INDEX(Bank_Statement!$C$2:$C$783,MATCH(A679,Bank_Statement!$E$2:$E$783,0)),"")</f>
        <v>-7872.8</v>
      </c>
      <c r="F679" s="16" t="str">
        <f aca="false">IF(E679="","No","Yes")</f>
        <v>Yes</v>
      </c>
      <c r="G679" s="18" t="n">
        <f aca="false">IF(F679="No","N/A",D679-E679)</f>
        <v>15745.6</v>
      </c>
      <c r="H679" s="16" t="str">
        <f aca="false">IF(F679="No","Unmatched - Investigate",IF(ABS(D679-E679)&gt;Assumptions!$B$6,"Mismatch - Amount Differs","Matched"))</f>
        <v>Mismatch - Amount Differs</v>
      </c>
    </row>
    <row r="680" customFormat="false" ht="15" hidden="false" customHeight="false" outlineLevel="0" collapsed="false">
      <c r="A680" s="16" t="str">
        <f aca="false">Payment_Log_AP!A676</f>
        <v>PAY40675</v>
      </c>
      <c r="B680" s="16" t="str">
        <f aca="false">Payment_Log_AP!C676</f>
        <v>V1029</v>
      </c>
      <c r="C680" s="17" t="n">
        <f aca="false">Payment_Log_AP!D676</f>
        <v>46101</v>
      </c>
      <c r="D680" s="18" t="n">
        <f aca="false">Payment_Log_AP!E676</f>
        <v>886.11</v>
      </c>
      <c r="E680" s="18" t="n">
        <f aca="false">IFERROR(INDEX(Bank_Statement!$C$2:$C$783,MATCH(A680,Bank_Statement!$E$2:$E$783,0)),"")</f>
        <v>-886.11</v>
      </c>
      <c r="F680" s="16" t="str">
        <f aca="false">IF(E680="","No","Yes")</f>
        <v>Yes</v>
      </c>
      <c r="G680" s="18" t="n">
        <f aca="false">IF(F680="No","N/A",D680-E680)</f>
        <v>1772.22</v>
      </c>
      <c r="H680" s="16" t="str">
        <f aca="false">IF(F680="No","Unmatched - Investigate",IF(ABS(D680-E680)&gt;Assumptions!$B$6,"Mismatch - Amount Differs","Matched"))</f>
        <v>Mismatch - Amount Differs</v>
      </c>
    </row>
    <row r="681" customFormat="false" ht="15" hidden="false" customHeight="false" outlineLevel="0" collapsed="false">
      <c r="A681" s="16" t="str">
        <f aca="false">Payment_Log_AP!A677</f>
        <v>PAY40676</v>
      </c>
      <c r="B681" s="16" t="str">
        <f aca="false">Payment_Log_AP!C677</f>
        <v>V1022</v>
      </c>
      <c r="C681" s="17" t="n">
        <f aca="false">Payment_Log_AP!D677</f>
        <v>46061</v>
      </c>
      <c r="D681" s="18" t="n">
        <f aca="false">Payment_Log_AP!E677</f>
        <v>270.06</v>
      </c>
      <c r="E681" s="18" t="n">
        <f aca="false">IFERROR(INDEX(Bank_Statement!$C$2:$C$783,MATCH(A681,Bank_Statement!$E$2:$E$783,0)),"")</f>
        <v>-270.06</v>
      </c>
      <c r="F681" s="16" t="str">
        <f aca="false">IF(E681="","No","Yes")</f>
        <v>Yes</v>
      </c>
      <c r="G681" s="18" t="n">
        <f aca="false">IF(F681="No","N/A",D681-E681)</f>
        <v>540.12</v>
      </c>
      <c r="H681" s="16" t="str">
        <f aca="false">IF(F681="No","Unmatched - Investigate",IF(ABS(D681-E681)&gt;Assumptions!$B$6,"Mismatch - Amount Differs","Matched"))</f>
        <v>Mismatch - Amount Differs</v>
      </c>
    </row>
    <row r="682" customFormat="false" ht="15" hidden="false" customHeight="false" outlineLevel="0" collapsed="false">
      <c r="A682" s="16" t="str">
        <f aca="false">Payment_Log_AP!A678</f>
        <v>PAY40677</v>
      </c>
      <c r="B682" s="16" t="str">
        <f aca="false">Payment_Log_AP!C678</f>
        <v>V1025</v>
      </c>
      <c r="C682" s="17" t="n">
        <f aca="false">Payment_Log_AP!D678</f>
        <v>46204</v>
      </c>
      <c r="D682" s="18" t="n">
        <f aca="false">Payment_Log_AP!E678</f>
        <v>6371.15</v>
      </c>
      <c r="E682" s="18" t="n">
        <f aca="false">IFERROR(INDEX(Bank_Statement!$C$2:$C$783,MATCH(A682,Bank_Statement!$E$2:$E$783,0)),"")</f>
        <v>-6371.15</v>
      </c>
      <c r="F682" s="16" t="str">
        <f aca="false">IF(E682="","No","Yes")</f>
        <v>Yes</v>
      </c>
      <c r="G682" s="18" t="n">
        <f aca="false">IF(F682="No","N/A",D682-E682)</f>
        <v>12742.3</v>
      </c>
      <c r="H682" s="16" t="str">
        <f aca="false">IF(F682="No","Unmatched - Investigate",IF(ABS(D682-E682)&gt;Assumptions!$B$6,"Mismatch - Amount Differs","Matched"))</f>
        <v>Mismatch - Amount Differs</v>
      </c>
    </row>
    <row r="683" customFormat="false" ht="15" hidden="false" customHeight="false" outlineLevel="0" collapsed="false">
      <c r="A683" s="16" t="str">
        <f aca="false">Payment_Log_AP!A679</f>
        <v>PAY40678</v>
      </c>
      <c r="B683" s="16" t="str">
        <f aca="false">Payment_Log_AP!C679</f>
        <v>V1028</v>
      </c>
      <c r="C683" s="17" t="n">
        <f aca="false">Payment_Log_AP!D679</f>
        <v>46030</v>
      </c>
      <c r="D683" s="18" t="n">
        <f aca="false">Payment_Log_AP!E679</f>
        <v>2179.28</v>
      </c>
      <c r="E683" s="18" t="n">
        <f aca="false">IFERROR(INDEX(Bank_Statement!$C$2:$C$783,MATCH(A683,Bank_Statement!$E$2:$E$783,0)),"")</f>
        <v>-2179.28</v>
      </c>
      <c r="F683" s="16" t="str">
        <f aca="false">IF(E683="","No","Yes")</f>
        <v>Yes</v>
      </c>
      <c r="G683" s="18" t="n">
        <f aca="false">IF(F683="No","N/A",D683-E683)</f>
        <v>4358.56</v>
      </c>
      <c r="H683" s="16" t="str">
        <f aca="false">IF(F683="No","Unmatched - Investigate",IF(ABS(D683-E683)&gt;Assumptions!$B$6,"Mismatch - Amount Differs","Matched"))</f>
        <v>Mismatch - Amount Differs</v>
      </c>
    </row>
    <row r="684" customFormat="false" ht="15" hidden="false" customHeight="false" outlineLevel="0" collapsed="false">
      <c r="A684" s="16" t="str">
        <f aca="false">Payment_Log_AP!A680</f>
        <v>PAY40679</v>
      </c>
      <c r="B684" s="16" t="str">
        <f aca="false">Payment_Log_AP!C680</f>
        <v>V1032</v>
      </c>
      <c r="C684" s="17" t="n">
        <f aca="false">Payment_Log_AP!D680</f>
        <v>45873</v>
      </c>
      <c r="D684" s="18" t="n">
        <f aca="false">Payment_Log_AP!E680</f>
        <v>4559.19</v>
      </c>
      <c r="E684" s="18" t="n">
        <f aca="false">IFERROR(INDEX(Bank_Statement!$C$2:$C$783,MATCH(A684,Bank_Statement!$E$2:$E$783,0)),"")</f>
        <v>-4559.19</v>
      </c>
      <c r="F684" s="16" t="str">
        <f aca="false">IF(E684="","No","Yes")</f>
        <v>Yes</v>
      </c>
      <c r="G684" s="18" t="n">
        <f aca="false">IF(F684="No","N/A",D684-E684)</f>
        <v>9118.38</v>
      </c>
      <c r="H684" s="16" t="str">
        <f aca="false">IF(F684="No","Unmatched - Investigate",IF(ABS(D684-E684)&gt;Assumptions!$B$6,"Mismatch - Amount Differs","Matched"))</f>
        <v>Mismatch - Amount Differs</v>
      </c>
    </row>
    <row r="685" customFormat="false" ht="15" hidden="false" customHeight="false" outlineLevel="0" collapsed="false">
      <c r="A685" s="16" t="str">
        <f aca="false">Payment_Log_AP!A681</f>
        <v>PAY40680</v>
      </c>
      <c r="B685" s="16" t="str">
        <f aca="false">Payment_Log_AP!C681</f>
        <v>V1037</v>
      </c>
      <c r="C685" s="17" t="n">
        <f aca="false">Payment_Log_AP!D681</f>
        <v>46026</v>
      </c>
      <c r="D685" s="18" t="n">
        <f aca="false">Payment_Log_AP!E681</f>
        <v>1738.1</v>
      </c>
      <c r="E685" s="18" t="n">
        <f aca="false">IFERROR(INDEX(Bank_Statement!$C$2:$C$783,MATCH(A685,Bank_Statement!$E$2:$E$783,0)),"")</f>
        <v>-1738.1</v>
      </c>
      <c r="F685" s="16" t="str">
        <f aca="false">IF(E685="","No","Yes")</f>
        <v>Yes</v>
      </c>
      <c r="G685" s="18" t="n">
        <f aca="false">IF(F685="No","N/A",D685-E685)</f>
        <v>3476.2</v>
      </c>
      <c r="H685" s="16" t="str">
        <f aca="false">IF(F685="No","Unmatched - Investigate",IF(ABS(D685-E685)&gt;Assumptions!$B$6,"Mismatch - Amount Differs","Matched"))</f>
        <v>Mismatch - Amount Differs</v>
      </c>
    </row>
    <row r="686" customFormat="false" ht="15" hidden="false" customHeight="false" outlineLevel="0" collapsed="false">
      <c r="A686" s="16" t="str">
        <f aca="false">Payment_Log_AP!A682</f>
        <v>PAY40681</v>
      </c>
      <c r="B686" s="16" t="str">
        <f aca="false">Payment_Log_AP!C682</f>
        <v>V1010</v>
      </c>
      <c r="C686" s="17" t="n">
        <f aca="false">Payment_Log_AP!D682</f>
        <v>45815</v>
      </c>
      <c r="D686" s="18" t="n">
        <f aca="false">Payment_Log_AP!E682</f>
        <v>8655.91</v>
      </c>
      <c r="E686" s="18" t="n">
        <f aca="false">IFERROR(INDEX(Bank_Statement!$C$2:$C$783,MATCH(A686,Bank_Statement!$E$2:$E$783,0)),"")</f>
        <v>-8655.91</v>
      </c>
      <c r="F686" s="16" t="str">
        <f aca="false">IF(E686="","No","Yes")</f>
        <v>Yes</v>
      </c>
      <c r="G686" s="18" t="n">
        <f aca="false">IF(F686="No","N/A",D686-E686)</f>
        <v>17311.82</v>
      </c>
      <c r="H686" s="16" t="str">
        <f aca="false">IF(F686="No","Unmatched - Investigate",IF(ABS(D686-E686)&gt;Assumptions!$B$6,"Mismatch - Amount Differs","Matched"))</f>
        <v>Mismatch - Amount Differs</v>
      </c>
    </row>
    <row r="687" customFormat="false" ht="15" hidden="false" customHeight="false" outlineLevel="0" collapsed="false">
      <c r="A687" s="16" t="str">
        <f aca="false">Payment_Log_AP!A683</f>
        <v>PAY40682</v>
      </c>
      <c r="B687" s="16" t="str">
        <f aca="false">Payment_Log_AP!C683</f>
        <v>V1028</v>
      </c>
      <c r="C687" s="17" t="n">
        <f aca="false">Payment_Log_AP!D683</f>
        <v>46042</v>
      </c>
      <c r="D687" s="18" t="n">
        <f aca="false">Payment_Log_AP!E683</f>
        <v>3002.81</v>
      </c>
      <c r="E687" s="18" t="n">
        <f aca="false">IFERROR(INDEX(Bank_Statement!$C$2:$C$783,MATCH(A687,Bank_Statement!$E$2:$E$783,0)),"")</f>
        <v>-3002.81</v>
      </c>
      <c r="F687" s="16" t="str">
        <f aca="false">IF(E687="","No","Yes")</f>
        <v>Yes</v>
      </c>
      <c r="G687" s="18" t="n">
        <f aca="false">IF(F687="No","N/A",D687-E687)</f>
        <v>6005.62</v>
      </c>
      <c r="H687" s="16" t="str">
        <f aca="false">IF(F687="No","Unmatched - Investigate",IF(ABS(D687-E687)&gt;Assumptions!$B$6,"Mismatch - Amount Differs","Matched"))</f>
        <v>Mismatch - Amount Differs</v>
      </c>
    </row>
    <row r="688" customFormat="false" ht="15" hidden="false" customHeight="false" outlineLevel="0" collapsed="false">
      <c r="A688" s="16" t="str">
        <f aca="false">Payment_Log_AP!A684</f>
        <v>PAY40683</v>
      </c>
      <c r="B688" s="16" t="str">
        <f aca="false">Payment_Log_AP!C684</f>
        <v>V1038</v>
      </c>
      <c r="C688" s="17" t="n">
        <f aca="false">Payment_Log_AP!D684</f>
        <v>45822</v>
      </c>
      <c r="D688" s="18" t="n">
        <f aca="false">Payment_Log_AP!E684</f>
        <v>2069.86</v>
      </c>
      <c r="E688" s="18" t="n">
        <f aca="false">IFERROR(INDEX(Bank_Statement!$C$2:$C$783,MATCH(A688,Bank_Statement!$E$2:$E$783,0)),"")</f>
        <v>-2069.86</v>
      </c>
      <c r="F688" s="16" t="str">
        <f aca="false">IF(E688="","No","Yes")</f>
        <v>Yes</v>
      </c>
      <c r="G688" s="18" t="n">
        <f aca="false">IF(F688="No","N/A",D688-E688)</f>
        <v>4139.72</v>
      </c>
      <c r="H688" s="16" t="str">
        <f aca="false">IF(F688="No","Unmatched - Investigate",IF(ABS(D688-E688)&gt;Assumptions!$B$6,"Mismatch - Amount Differs","Matched"))</f>
        <v>Mismatch - Amount Differs</v>
      </c>
    </row>
    <row r="689" customFormat="false" ht="15" hidden="false" customHeight="false" outlineLevel="0" collapsed="false">
      <c r="A689" s="16" t="str">
        <f aca="false">Payment_Log_AP!A685</f>
        <v>PAY40684</v>
      </c>
      <c r="B689" s="16" t="str">
        <f aca="false">Payment_Log_AP!C685</f>
        <v>V1019</v>
      </c>
      <c r="C689" s="17" t="n">
        <f aca="false">Payment_Log_AP!D685</f>
        <v>45742</v>
      </c>
      <c r="D689" s="18" t="n">
        <f aca="false">Payment_Log_AP!E685</f>
        <v>1217.09</v>
      </c>
      <c r="E689" s="18" t="n">
        <f aca="false">IFERROR(INDEX(Bank_Statement!$C$2:$C$783,MATCH(A689,Bank_Statement!$E$2:$E$783,0)),"")</f>
        <v>-1217.09</v>
      </c>
      <c r="F689" s="16" t="str">
        <f aca="false">IF(E689="","No","Yes")</f>
        <v>Yes</v>
      </c>
      <c r="G689" s="18" t="n">
        <f aca="false">IF(F689="No","N/A",D689-E689)</f>
        <v>2434.18</v>
      </c>
      <c r="H689" s="16" t="str">
        <f aca="false">IF(F689="No","Unmatched - Investigate",IF(ABS(D689-E689)&gt;Assumptions!$B$6,"Mismatch - Amount Differs","Matched"))</f>
        <v>Mismatch - Amount Differs</v>
      </c>
    </row>
    <row r="690" customFormat="false" ht="15" hidden="false" customHeight="false" outlineLevel="0" collapsed="false">
      <c r="A690" s="16" t="str">
        <f aca="false">Payment_Log_AP!A686</f>
        <v>PAY40685</v>
      </c>
      <c r="B690" s="16" t="str">
        <f aca="false">Payment_Log_AP!C686</f>
        <v>V1009</v>
      </c>
      <c r="C690" s="17" t="n">
        <f aca="false">Payment_Log_AP!D686</f>
        <v>46133</v>
      </c>
      <c r="D690" s="18" t="n">
        <f aca="false">Payment_Log_AP!E686</f>
        <v>680.64</v>
      </c>
      <c r="E690" s="18" t="n">
        <f aca="false">IFERROR(INDEX(Bank_Statement!$C$2:$C$783,MATCH(A690,Bank_Statement!$E$2:$E$783,0)),"")</f>
        <v>-680.64</v>
      </c>
      <c r="F690" s="16" t="str">
        <f aca="false">IF(E690="","No","Yes")</f>
        <v>Yes</v>
      </c>
      <c r="G690" s="18" t="n">
        <f aca="false">IF(F690="No","N/A",D690-E690)</f>
        <v>1361.28</v>
      </c>
      <c r="H690" s="16" t="str">
        <f aca="false">IF(F690="No","Unmatched - Investigate",IF(ABS(D690-E690)&gt;Assumptions!$B$6,"Mismatch - Amount Differs","Matched"))</f>
        <v>Mismatch - Amount Differs</v>
      </c>
    </row>
    <row r="691" customFormat="false" ht="15" hidden="false" customHeight="false" outlineLevel="0" collapsed="false">
      <c r="A691" s="16" t="str">
        <f aca="false">Payment_Log_AP!A687</f>
        <v>PAY40686</v>
      </c>
      <c r="B691" s="16" t="str">
        <f aca="false">Payment_Log_AP!C687</f>
        <v>V1035</v>
      </c>
      <c r="C691" s="17" t="n">
        <f aca="false">Payment_Log_AP!D687</f>
        <v>45911</v>
      </c>
      <c r="D691" s="18" t="n">
        <f aca="false">Payment_Log_AP!E687</f>
        <v>1467.37</v>
      </c>
      <c r="E691" s="18" t="n">
        <f aca="false">IFERROR(INDEX(Bank_Statement!$C$2:$C$783,MATCH(A691,Bank_Statement!$E$2:$E$783,0)),"")</f>
        <v>-1467.37</v>
      </c>
      <c r="F691" s="16" t="str">
        <f aca="false">IF(E691="","No","Yes")</f>
        <v>Yes</v>
      </c>
      <c r="G691" s="18" t="n">
        <f aca="false">IF(F691="No","N/A",D691-E691)</f>
        <v>2934.74</v>
      </c>
      <c r="H691" s="16" t="str">
        <f aca="false">IF(F691="No","Unmatched - Investigate",IF(ABS(D691-E691)&gt;Assumptions!$B$6,"Mismatch - Amount Differs","Matched"))</f>
        <v>Mismatch - Amount Differs</v>
      </c>
    </row>
    <row r="692" customFormat="false" ht="15" hidden="false" customHeight="false" outlineLevel="0" collapsed="false">
      <c r="A692" s="16" t="str">
        <f aca="false">Payment_Log_AP!A688</f>
        <v>PAY40687</v>
      </c>
      <c r="B692" s="16" t="str">
        <f aca="false">Payment_Log_AP!C688</f>
        <v>V1011</v>
      </c>
      <c r="C692" s="17" t="n">
        <f aca="false">Payment_Log_AP!D688</f>
        <v>46099</v>
      </c>
      <c r="D692" s="18" t="n">
        <f aca="false">Payment_Log_AP!E688</f>
        <v>816.48</v>
      </c>
      <c r="E692" s="18" t="n">
        <f aca="false">IFERROR(INDEX(Bank_Statement!$C$2:$C$783,MATCH(A692,Bank_Statement!$E$2:$E$783,0)),"")</f>
        <v>-816.48</v>
      </c>
      <c r="F692" s="16" t="str">
        <f aca="false">IF(E692="","No","Yes")</f>
        <v>Yes</v>
      </c>
      <c r="G692" s="18" t="n">
        <f aca="false">IF(F692="No","N/A",D692-E692)</f>
        <v>1632.96</v>
      </c>
      <c r="H692" s="16" t="str">
        <f aca="false">IF(F692="No","Unmatched - Investigate",IF(ABS(D692-E692)&gt;Assumptions!$B$6,"Mismatch - Amount Differs","Matched"))</f>
        <v>Mismatch - Amount Differs</v>
      </c>
    </row>
    <row r="693" customFormat="false" ht="15" hidden="false" customHeight="false" outlineLevel="0" collapsed="false">
      <c r="A693" s="16" t="str">
        <f aca="false">Payment_Log_AP!A689</f>
        <v>PAY40688</v>
      </c>
      <c r="B693" s="16" t="str">
        <f aca="false">Payment_Log_AP!C689</f>
        <v>V1002</v>
      </c>
      <c r="C693" s="17" t="n">
        <f aca="false">Payment_Log_AP!D689</f>
        <v>45982</v>
      </c>
      <c r="D693" s="18" t="n">
        <f aca="false">Payment_Log_AP!E689</f>
        <v>1016.58</v>
      </c>
      <c r="E693" s="18" t="n">
        <f aca="false">IFERROR(INDEX(Bank_Statement!$C$2:$C$783,MATCH(A693,Bank_Statement!$E$2:$E$783,0)),"")</f>
        <v>-1016.58</v>
      </c>
      <c r="F693" s="16" t="str">
        <f aca="false">IF(E693="","No","Yes")</f>
        <v>Yes</v>
      </c>
      <c r="G693" s="18" t="n">
        <f aca="false">IF(F693="No","N/A",D693-E693)</f>
        <v>2033.16</v>
      </c>
      <c r="H693" s="16" t="str">
        <f aca="false">IF(F693="No","Unmatched - Investigate",IF(ABS(D693-E693)&gt;Assumptions!$B$6,"Mismatch - Amount Differs","Matched"))</f>
        <v>Mismatch - Amount Differs</v>
      </c>
    </row>
    <row r="694" customFormat="false" ht="15" hidden="false" customHeight="false" outlineLevel="0" collapsed="false">
      <c r="A694" s="16" t="str">
        <f aca="false">Payment_Log_AP!A690</f>
        <v>PAY40689</v>
      </c>
      <c r="B694" s="16" t="str">
        <f aca="false">Payment_Log_AP!C690</f>
        <v>V1035</v>
      </c>
      <c r="C694" s="17" t="n">
        <f aca="false">Payment_Log_AP!D690</f>
        <v>46132</v>
      </c>
      <c r="D694" s="18" t="n">
        <f aca="false">Payment_Log_AP!E690</f>
        <v>7498.53</v>
      </c>
      <c r="E694" s="18" t="n">
        <f aca="false">IFERROR(INDEX(Bank_Statement!$C$2:$C$783,MATCH(A694,Bank_Statement!$E$2:$E$783,0)),"")</f>
        <v>-7498.53</v>
      </c>
      <c r="F694" s="16" t="str">
        <f aca="false">IF(E694="","No","Yes")</f>
        <v>Yes</v>
      </c>
      <c r="G694" s="18" t="n">
        <f aca="false">IF(F694="No","N/A",D694-E694)</f>
        <v>14997.06</v>
      </c>
      <c r="H694" s="16" t="str">
        <f aca="false">IF(F694="No","Unmatched - Investigate",IF(ABS(D694-E694)&gt;Assumptions!$B$6,"Mismatch - Amount Differs","Matched"))</f>
        <v>Mismatch - Amount Differs</v>
      </c>
    </row>
    <row r="695" customFormat="false" ht="15" hidden="false" customHeight="false" outlineLevel="0" collapsed="false">
      <c r="A695" s="16" t="str">
        <f aca="false">Payment_Log_AP!A691</f>
        <v>PAY40690</v>
      </c>
      <c r="B695" s="16" t="str">
        <f aca="false">Payment_Log_AP!C691</f>
        <v>V1039</v>
      </c>
      <c r="C695" s="17" t="n">
        <f aca="false">Payment_Log_AP!D691</f>
        <v>46139</v>
      </c>
      <c r="D695" s="18" t="n">
        <f aca="false">Payment_Log_AP!E691</f>
        <v>396.51</v>
      </c>
      <c r="E695" s="18" t="n">
        <f aca="false">IFERROR(INDEX(Bank_Statement!$C$2:$C$783,MATCH(A695,Bank_Statement!$E$2:$E$783,0)),"")</f>
        <v>-396.51</v>
      </c>
      <c r="F695" s="16" t="str">
        <f aca="false">IF(E695="","No","Yes")</f>
        <v>Yes</v>
      </c>
      <c r="G695" s="18" t="n">
        <f aca="false">IF(F695="No","N/A",D695-E695)</f>
        <v>793.02</v>
      </c>
      <c r="H695" s="16" t="str">
        <f aca="false">IF(F695="No","Unmatched - Investigate",IF(ABS(D695-E695)&gt;Assumptions!$B$6,"Mismatch - Amount Differs","Matched"))</f>
        <v>Mismatch - Amount Differs</v>
      </c>
    </row>
    <row r="696" customFormat="false" ht="15" hidden="false" customHeight="false" outlineLevel="0" collapsed="false">
      <c r="A696" s="16" t="str">
        <f aca="false">Payment_Log_AP!A692</f>
        <v>PAY40691</v>
      </c>
      <c r="B696" s="16" t="str">
        <f aca="false">Payment_Log_AP!C692</f>
        <v>V1004</v>
      </c>
      <c r="C696" s="17" t="n">
        <f aca="false">Payment_Log_AP!D692</f>
        <v>46142</v>
      </c>
      <c r="D696" s="18" t="n">
        <f aca="false">Payment_Log_AP!E692</f>
        <v>1497.3</v>
      </c>
      <c r="E696" s="18" t="n">
        <f aca="false">IFERROR(INDEX(Bank_Statement!$C$2:$C$783,MATCH(A696,Bank_Statement!$E$2:$E$783,0)),"")</f>
        <v>-1497.3</v>
      </c>
      <c r="F696" s="16" t="str">
        <f aca="false">IF(E696="","No","Yes")</f>
        <v>Yes</v>
      </c>
      <c r="G696" s="18" t="n">
        <f aca="false">IF(F696="No","N/A",D696-E696)</f>
        <v>2994.6</v>
      </c>
      <c r="H696" s="16" t="str">
        <f aca="false">IF(F696="No","Unmatched - Investigate",IF(ABS(D696-E696)&gt;Assumptions!$B$6,"Mismatch - Amount Differs","Matched"))</f>
        <v>Mismatch - Amount Differs</v>
      </c>
    </row>
    <row r="697" customFormat="false" ht="15" hidden="false" customHeight="false" outlineLevel="0" collapsed="false">
      <c r="A697" s="16" t="str">
        <f aca="false">Payment_Log_AP!A693</f>
        <v>PAY40692</v>
      </c>
      <c r="B697" s="16" t="str">
        <f aca="false">Payment_Log_AP!C693</f>
        <v>V1013</v>
      </c>
      <c r="C697" s="17" t="n">
        <f aca="false">Payment_Log_AP!D693</f>
        <v>46048</v>
      </c>
      <c r="D697" s="18" t="n">
        <f aca="false">Payment_Log_AP!E693</f>
        <v>2091.54</v>
      </c>
      <c r="E697" s="18" t="n">
        <f aca="false">IFERROR(INDEX(Bank_Statement!$C$2:$C$783,MATCH(A697,Bank_Statement!$E$2:$E$783,0)),"")</f>
        <v>-2091.54</v>
      </c>
      <c r="F697" s="16" t="str">
        <f aca="false">IF(E697="","No","Yes")</f>
        <v>Yes</v>
      </c>
      <c r="G697" s="18" t="n">
        <f aca="false">IF(F697="No","N/A",D697-E697)</f>
        <v>4183.08</v>
      </c>
      <c r="H697" s="16" t="str">
        <f aca="false">IF(F697="No","Unmatched - Investigate",IF(ABS(D697-E697)&gt;Assumptions!$B$6,"Mismatch - Amount Differs","Matched"))</f>
        <v>Mismatch - Amount Differs</v>
      </c>
    </row>
    <row r="698" customFormat="false" ht="15" hidden="false" customHeight="false" outlineLevel="0" collapsed="false">
      <c r="A698" s="16" t="str">
        <f aca="false">Payment_Log_AP!A694</f>
        <v>PAY40693</v>
      </c>
      <c r="B698" s="16" t="str">
        <f aca="false">Payment_Log_AP!C694</f>
        <v>V1013</v>
      </c>
      <c r="C698" s="17" t="n">
        <f aca="false">Payment_Log_AP!D694</f>
        <v>46054</v>
      </c>
      <c r="D698" s="18" t="n">
        <f aca="false">Payment_Log_AP!E694</f>
        <v>2091.54</v>
      </c>
      <c r="E698" s="18" t="n">
        <f aca="false">IFERROR(INDEX(Bank_Statement!$C$2:$C$783,MATCH(A698,Bank_Statement!$E$2:$E$783,0)),"")</f>
        <v>-2091.54</v>
      </c>
      <c r="F698" s="16" t="str">
        <f aca="false">IF(E698="","No","Yes")</f>
        <v>Yes</v>
      </c>
      <c r="G698" s="18" t="n">
        <f aca="false">IF(F698="No","N/A",D698-E698)</f>
        <v>4183.08</v>
      </c>
      <c r="H698" s="16" t="str">
        <f aca="false">IF(F698="No","Unmatched - Investigate",IF(ABS(D698-E698)&gt;Assumptions!$B$6,"Mismatch - Amount Differs","Matched"))</f>
        <v>Mismatch - Amount Differs</v>
      </c>
    </row>
    <row r="699" customFormat="false" ht="15" hidden="false" customHeight="false" outlineLevel="0" collapsed="false">
      <c r="A699" s="16" t="str">
        <f aca="false">Payment_Log_AP!A695</f>
        <v>PAY40694</v>
      </c>
      <c r="B699" s="16" t="str">
        <f aca="false">Payment_Log_AP!C695</f>
        <v>V1030</v>
      </c>
      <c r="C699" s="17" t="n">
        <f aca="false">Payment_Log_AP!D695</f>
        <v>45692</v>
      </c>
      <c r="D699" s="18" t="n">
        <f aca="false">Payment_Log_AP!E695</f>
        <v>994.15</v>
      </c>
      <c r="E699" s="18" t="n">
        <f aca="false">IFERROR(INDEX(Bank_Statement!$C$2:$C$783,MATCH(A699,Bank_Statement!$E$2:$E$783,0)),"")</f>
        <v>-994.15</v>
      </c>
      <c r="F699" s="16" t="str">
        <f aca="false">IF(E699="","No","Yes")</f>
        <v>Yes</v>
      </c>
      <c r="G699" s="18" t="n">
        <f aca="false">IF(F699="No","N/A",D699-E699)</f>
        <v>1988.3</v>
      </c>
      <c r="H699" s="16" t="str">
        <f aca="false">IF(F699="No","Unmatched - Investigate",IF(ABS(D699-E699)&gt;Assumptions!$B$6,"Mismatch - Amount Differs","Matched"))</f>
        <v>Mismatch - Amount Differs</v>
      </c>
    </row>
    <row r="700" customFormat="false" ht="15" hidden="false" customHeight="false" outlineLevel="0" collapsed="false">
      <c r="A700" s="16" t="str">
        <f aca="false">Payment_Log_AP!A696</f>
        <v>PAY40695</v>
      </c>
      <c r="B700" s="16" t="str">
        <f aca="false">Payment_Log_AP!C696</f>
        <v>V1016</v>
      </c>
      <c r="C700" s="17" t="n">
        <f aca="false">Payment_Log_AP!D696</f>
        <v>46180</v>
      </c>
      <c r="D700" s="18" t="n">
        <f aca="false">Payment_Log_AP!E696</f>
        <v>2802.36</v>
      </c>
      <c r="E700" s="18" t="n">
        <f aca="false">IFERROR(INDEX(Bank_Statement!$C$2:$C$783,MATCH(A700,Bank_Statement!$E$2:$E$783,0)),"")</f>
        <v>-2802.36</v>
      </c>
      <c r="F700" s="16" t="str">
        <f aca="false">IF(E700="","No","Yes")</f>
        <v>Yes</v>
      </c>
      <c r="G700" s="18" t="n">
        <f aca="false">IF(F700="No","N/A",D700-E700)</f>
        <v>5604.72</v>
      </c>
      <c r="H700" s="16" t="str">
        <f aca="false">IF(F700="No","Unmatched - Investigate",IF(ABS(D700-E700)&gt;Assumptions!$B$6,"Mismatch - Amount Differs","Matched"))</f>
        <v>Mismatch - Amount Differs</v>
      </c>
    </row>
    <row r="701" customFormat="false" ht="15" hidden="false" customHeight="false" outlineLevel="0" collapsed="false">
      <c r="A701" s="16" t="str">
        <f aca="false">Payment_Log_AP!A697</f>
        <v>PAY40696</v>
      </c>
      <c r="B701" s="16" t="str">
        <f aca="false">Payment_Log_AP!C697</f>
        <v>V1016</v>
      </c>
      <c r="C701" s="17" t="n">
        <f aca="false">Payment_Log_AP!D697</f>
        <v>46195</v>
      </c>
      <c r="D701" s="18" t="n">
        <f aca="false">Payment_Log_AP!E697</f>
        <v>2802.36</v>
      </c>
      <c r="E701" s="18" t="n">
        <f aca="false">IFERROR(INDEX(Bank_Statement!$C$2:$C$783,MATCH(A701,Bank_Statement!$E$2:$E$783,0)),"")</f>
        <v>-2802.36</v>
      </c>
      <c r="F701" s="16" t="str">
        <f aca="false">IF(E701="","No","Yes")</f>
        <v>Yes</v>
      </c>
      <c r="G701" s="18" t="n">
        <f aca="false">IF(F701="No","N/A",D701-E701)</f>
        <v>5604.72</v>
      </c>
      <c r="H701" s="16" t="str">
        <f aca="false">IF(F701="No","Unmatched - Investigate",IF(ABS(D701-E701)&gt;Assumptions!$B$6,"Mismatch - Amount Differs","Matched"))</f>
        <v>Mismatch - Amount Differs</v>
      </c>
    </row>
    <row r="702" customFormat="false" ht="15" hidden="false" customHeight="false" outlineLevel="0" collapsed="false">
      <c r="A702" s="16" t="str">
        <f aca="false">Payment_Log_AP!A698</f>
        <v>PAY40697</v>
      </c>
      <c r="B702" s="16" t="str">
        <f aca="false">Payment_Log_AP!C698</f>
        <v>V1031</v>
      </c>
      <c r="C702" s="17" t="n">
        <f aca="false">Payment_Log_AP!D698</f>
        <v>46127</v>
      </c>
      <c r="D702" s="18" t="n">
        <f aca="false">Payment_Log_AP!E698</f>
        <v>851.07</v>
      </c>
      <c r="E702" s="18" t="n">
        <f aca="false">IFERROR(INDEX(Bank_Statement!$C$2:$C$783,MATCH(A702,Bank_Statement!$E$2:$E$783,0)),"")</f>
        <v>-851.07</v>
      </c>
      <c r="F702" s="16" t="str">
        <f aca="false">IF(E702="","No","Yes")</f>
        <v>Yes</v>
      </c>
      <c r="G702" s="18" t="n">
        <f aca="false">IF(F702="No","N/A",D702-E702)</f>
        <v>1702.14</v>
      </c>
      <c r="H702" s="16" t="str">
        <f aca="false">IF(F702="No","Unmatched - Investigate",IF(ABS(D702-E702)&gt;Assumptions!$B$6,"Mismatch - Amount Differs","Matched"))</f>
        <v>Mismatch - Amount Differs</v>
      </c>
    </row>
    <row r="703" customFormat="false" ht="15" hidden="false" customHeight="false" outlineLevel="0" collapsed="false">
      <c r="A703" s="16" t="str">
        <f aca="false">Payment_Log_AP!A699</f>
        <v>PAY40698</v>
      </c>
      <c r="B703" s="16" t="str">
        <f aca="false">Payment_Log_AP!C699</f>
        <v>V1037</v>
      </c>
      <c r="C703" s="17" t="n">
        <f aca="false">Payment_Log_AP!D699</f>
        <v>45851</v>
      </c>
      <c r="D703" s="18" t="n">
        <f aca="false">Payment_Log_AP!E699</f>
        <v>14407.31</v>
      </c>
      <c r="E703" s="18" t="n">
        <f aca="false">IFERROR(INDEX(Bank_Statement!$C$2:$C$783,MATCH(A703,Bank_Statement!$E$2:$E$783,0)),"")</f>
        <v>-14407.31</v>
      </c>
      <c r="F703" s="16" t="str">
        <f aca="false">IF(E703="","No","Yes")</f>
        <v>Yes</v>
      </c>
      <c r="G703" s="18" t="n">
        <f aca="false">IF(F703="No","N/A",D703-E703)</f>
        <v>28814.62</v>
      </c>
      <c r="H703" s="16" t="str">
        <f aca="false">IF(F703="No","Unmatched - Investigate",IF(ABS(D703-E703)&gt;Assumptions!$B$6,"Mismatch - Amount Differs","Matched"))</f>
        <v>Mismatch - Amount Differs</v>
      </c>
    </row>
    <row r="704" customFormat="false" ht="15" hidden="false" customHeight="false" outlineLevel="0" collapsed="false">
      <c r="A704" s="16" t="str">
        <f aca="false">Payment_Log_AP!A700</f>
        <v>PAY40699</v>
      </c>
      <c r="B704" s="16" t="str">
        <f aca="false">Payment_Log_AP!C700</f>
        <v>V1039</v>
      </c>
      <c r="C704" s="17" t="n">
        <f aca="false">Payment_Log_AP!D700</f>
        <v>45790</v>
      </c>
      <c r="D704" s="18" t="n">
        <f aca="false">Payment_Log_AP!E700</f>
        <v>562.05</v>
      </c>
      <c r="E704" s="18" t="n">
        <f aca="false">IFERROR(INDEX(Bank_Statement!$C$2:$C$783,MATCH(A704,Bank_Statement!$E$2:$E$783,0)),"")</f>
        <v>-562.05</v>
      </c>
      <c r="F704" s="16" t="str">
        <f aca="false">IF(E704="","No","Yes")</f>
        <v>Yes</v>
      </c>
      <c r="G704" s="18" t="n">
        <f aca="false">IF(F704="No","N/A",D704-E704)</f>
        <v>1124.1</v>
      </c>
      <c r="H704" s="16" t="str">
        <f aca="false">IF(F704="No","Unmatched - Investigate",IF(ABS(D704-E704)&gt;Assumptions!$B$6,"Mismatch - Amount Differs","Matched"))</f>
        <v>Mismatch - Amount Differs</v>
      </c>
    </row>
    <row r="705" customFormat="false" ht="15" hidden="false" customHeight="false" outlineLevel="0" collapsed="false">
      <c r="A705" s="16" t="str">
        <f aca="false">Payment_Log_AP!A701</f>
        <v>PAY40700</v>
      </c>
      <c r="B705" s="16" t="str">
        <f aca="false">Payment_Log_AP!C701</f>
        <v>V1036</v>
      </c>
      <c r="C705" s="17" t="n">
        <f aca="false">Payment_Log_AP!D701</f>
        <v>46065</v>
      </c>
      <c r="D705" s="18" t="n">
        <f aca="false">Payment_Log_AP!E701</f>
        <v>4017.91</v>
      </c>
      <c r="E705" s="18" t="n">
        <f aca="false">IFERROR(INDEX(Bank_Statement!$C$2:$C$783,MATCH(A705,Bank_Statement!$E$2:$E$783,0)),"")</f>
        <v>-4017.91</v>
      </c>
      <c r="F705" s="16" t="str">
        <f aca="false">IF(E705="","No","Yes")</f>
        <v>Yes</v>
      </c>
      <c r="G705" s="18" t="n">
        <f aca="false">IF(F705="No","N/A",D705-E705)</f>
        <v>8035.82</v>
      </c>
      <c r="H705" s="16" t="str">
        <f aca="false">IF(F705="No","Unmatched - Investigate",IF(ABS(D705-E705)&gt;Assumptions!$B$6,"Mismatch - Amount Differs","Matched"))</f>
        <v>Mismatch - Amount Differs</v>
      </c>
    </row>
    <row r="706" customFormat="false" ht="15" hidden="false" customHeight="false" outlineLevel="0" collapsed="false">
      <c r="A706" s="16" t="str">
        <f aca="false">Payment_Log_AP!A702</f>
        <v>PAY40701</v>
      </c>
      <c r="B706" s="16" t="str">
        <f aca="false">Payment_Log_AP!C702</f>
        <v>V1028</v>
      </c>
      <c r="C706" s="17" t="n">
        <f aca="false">Payment_Log_AP!D702</f>
        <v>45880</v>
      </c>
      <c r="D706" s="18" t="n">
        <f aca="false">Payment_Log_AP!E702</f>
        <v>474.6</v>
      </c>
      <c r="E706" s="18" t="n">
        <f aca="false">IFERROR(INDEX(Bank_Statement!$C$2:$C$783,MATCH(A706,Bank_Statement!$E$2:$E$783,0)),"")</f>
        <v>-474.6</v>
      </c>
      <c r="F706" s="16" t="str">
        <f aca="false">IF(E706="","No","Yes")</f>
        <v>Yes</v>
      </c>
      <c r="G706" s="18" t="n">
        <f aca="false">IF(F706="No","N/A",D706-E706)</f>
        <v>949.2</v>
      </c>
      <c r="H706" s="16" t="str">
        <f aca="false">IF(F706="No","Unmatched - Investigate",IF(ABS(D706-E706)&gt;Assumptions!$B$6,"Mismatch - Amount Differs","Matched"))</f>
        <v>Mismatch - Amount Differs</v>
      </c>
    </row>
    <row r="707" customFormat="false" ht="15" hidden="false" customHeight="false" outlineLevel="0" collapsed="false">
      <c r="A707" s="16" t="str">
        <f aca="false">Payment_Log_AP!A703</f>
        <v>PAY40702</v>
      </c>
      <c r="B707" s="16" t="str">
        <f aca="false">Payment_Log_AP!C703</f>
        <v>V1023</v>
      </c>
      <c r="C707" s="17" t="n">
        <f aca="false">Payment_Log_AP!D703</f>
        <v>45683</v>
      </c>
      <c r="D707" s="18" t="n">
        <f aca="false">Payment_Log_AP!E703</f>
        <v>857.39</v>
      </c>
      <c r="E707" s="18" t="n">
        <f aca="false">IFERROR(INDEX(Bank_Statement!$C$2:$C$783,MATCH(A707,Bank_Statement!$E$2:$E$783,0)),"")</f>
        <v>-857.39</v>
      </c>
      <c r="F707" s="16" t="str">
        <f aca="false">IF(E707="","No","Yes")</f>
        <v>Yes</v>
      </c>
      <c r="G707" s="18" t="n">
        <f aca="false">IF(F707="No","N/A",D707-E707)</f>
        <v>1714.78</v>
      </c>
      <c r="H707" s="16" t="str">
        <f aca="false">IF(F707="No","Unmatched - Investigate",IF(ABS(D707-E707)&gt;Assumptions!$B$6,"Mismatch - Amount Differs","Matched"))</f>
        <v>Mismatch - Amount Differs</v>
      </c>
    </row>
    <row r="708" customFormat="false" ht="15" hidden="false" customHeight="false" outlineLevel="0" collapsed="false">
      <c r="A708" s="16" t="str">
        <f aca="false">Payment_Log_AP!A704</f>
        <v>PAY40703</v>
      </c>
      <c r="B708" s="16" t="str">
        <f aca="false">Payment_Log_AP!C704</f>
        <v>V1003</v>
      </c>
      <c r="C708" s="17" t="n">
        <f aca="false">Payment_Log_AP!D704</f>
        <v>46150</v>
      </c>
      <c r="D708" s="18" t="n">
        <f aca="false">Payment_Log_AP!E704</f>
        <v>8319.43</v>
      </c>
      <c r="E708" s="18" t="n">
        <f aca="false">IFERROR(INDEX(Bank_Statement!$C$2:$C$783,MATCH(A708,Bank_Statement!$E$2:$E$783,0)),"")</f>
        <v>-8319.43</v>
      </c>
      <c r="F708" s="16" t="str">
        <f aca="false">IF(E708="","No","Yes")</f>
        <v>Yes</v>
      </c>
      <c r="G708" s="18" t="n">
        <f aca="false">IF(F708="No","N/A",D708-E708)</f>
        <v>16638.86</v>
      </c>
      <c r="H708" s="16" t="str">
        <f aca="false">IF(F708="No","Unmatched - Investigate",IF(ABS(D708-E708)&gt;Assumptions!$B$6,"Mismatch - Amount Differs","Matched"))</f>
        <v>Mismatch - Amount Differs</v>
      </c>
    </row>
    <row r="709" customFormat="false" ht="15" hidden="false" customHeight="false" outlineLevel="0" collapsed="false">
      <c r="A709" s="16" t="str">
        <f aca="false">Payment_Log_AP!A705</f>
        <v>PAY40704</v>
      </c>
      <c r="B709" s="16" t="str">
        <f aca="false">Payment_Log_AP!C705</f>
        <v>V1030</v>
      </c>
      <c r="C709" s="17" t="n">
        <f aca="false">Payment_Log_AP!D705</f>
        <v>46002</v>
      </c>
      <c r="D709" s="18" t="n">
        <f aca="false">Payment_Log_AP!E705</f>
        <v>259.66</v>
      </c>
      <c r="E709" s="18" t="n">
        <f aca="false">IFERROR(INDEX(Bank_Statement!$C$2:$C$783,MATCH(A709,Bank_Statement!$E$2:$E$783,0)),"")</f>
        <v>-259.66</v>
      </c>
      <c r="F709" s="16" t="str">
        <f aca="false">IF(E709="","No","Yes")</f>
        <v>Yes</v>
      </c>
      <c r="G709" s="18" t="n">
        <f aca="false">IF(F709="No","N/A",D709-E709)</f>
        <v>519.32</v>
      </c>
      <c r="H709" s="16" t="str">
        <f aca="false">IF(F709="No","Unmatched - Investigate",IF(ABS(D709-E709)&gt;Assumptions!$B$6,"Mismatch - Amount Differs","Matched"))</f>
        <v>Mismatch - Amount Differs</v>
      </c>
    </row>
    <row r="710" customFormat="false" ht="15" hidden="false" customHeight="false" outlineLevel="0" collapsed="false">
      <c r="A710" s="16" t="str">
        <f aca="false">Payment_Log_AP!A706</f>
        <v>PAY40705</v>
      </c>
      <c r="B710" s="16" t="str">
        <f aca="false">Payment_Log_AP!C706</f>
        <v>V1025</v>
      </c>
      <c r="C710" s="17" t="n">
        <f aca="false">Payment_Log_AP!D706</f>
        <v>45919</v>
      </c>
      <c r="D710" s="18" t="n">
        <f aca="false">Payment_Log_AP!E706</f>
        <v>1164.71</v>
      </c>
      <c r="E710" s="18" t="n">
        <f aca="false">IFERROR(INDEX(Bank_Statement!$C$2:$C$783,MATCH(A710,Bank_Statement!$E$2:$E$783,0)),"")</f>
        <v>-1164.71</v>
      </c>
      <c r="F710" s="16" t="str">
        <f aca="false">IF(E710="","No","Yes")</f>
        <v>Yes</v>
      </c>
      <c r="G710" s="18" t="n">
        <f aca="false">IF(F710="No","N/A",D710-E710)</f>
        <v>2329.42</v>
      </c>
      <c r="H710" s="16" t="str">
        <f aca="false">IF(F710="No","Unmatched - Investigate",IF(ABS(D710-E710)&gt;Assumptions!$B$6,"Mismatch - Amount Differs","Matched"))</f>
        <v>Mismatch - Amount Differs</v>
      </c>
    </row>
    <row r="711" customFormat="false" ht="15" hidden="false" customHeight="false" outlineLevel="0" collapsed="false">
      <c r="A711" s="16" t="str">
        <f aca="false">Payment_Log_AP!A707</f>
        <v>PAY40706</v>
      </c>
      <c r="B711" s="16" t="str">
        <f aca="false">Payment_Log_AP!C707</f>
        <v>V1002</v>
      </c>
      <c r="C711" s="17" t="n">
        <f aca="false">Payment_Log_AP!D707</f>
        <v>45788</v>
      </c>
      <c r="D711" s="18" t="n">
        <f aca="false">Payment_Log_AP!E707</f>
        <v>820.16</v>
      </c>
      <c r="E711" s="18" t="n">
        <f aca="false">IFERROR(INDEX(Bank_Statement!$C$2:$C$783,MATCH(A711,Bank_Statement!$E$2:$E$783,0)),"")</f>
        <v>-820.16</v>
      </c>
      <c r="F711" s="16" t="str">
        <f aca="false">IF(E711="","No","Yes")</f>
        <v>Yes</v>
      </c>
      <c r="G711" s="18" t="n">
        <f aca="false">IF(F711="No","N/A",D711-E711)</f>
        <v>1640.32</v>
      </c>
      <c r="H711" s="16" t="str">
        <f aca="false">IF(F711="No","Unmatched - Investigate",IF(ABS(D711-E711)&gt;Assumptions!$B$6,"Mismatch - Amount Differs","Matched"))</f>
        <v>Mismatch - Amount Differs</v>
      </c>
    </row>
    <row r="712" customFormat="false" ht="15" hidden="false" customHeight="false" outlineLevel="0" collapsed="false">
      <c r="A712" s="16" t="str">
        <f aca="false">Payment_Log_AP!A708</f>
        <v>PAY40707</v>
      </c>
      <c r="B712" s="16" t="str">
        <f aca="false">Payment_Log_AP!C708</f>
        <v>V1030</v>
      </c>
      <c r="C712" s="17" t="n">
        <f aca="false">Payment_Log_AP!D708</f>
        <v>46023</v>
      </c>
      <c r="D712" s="18" t="n">
        <f aca="false">Payment_Log_AP!E708</f>
        <v>309.11</v>
      </c>
      <c r="E712" s="18" t="n">
        <f aca="false">IFERROR(INDEX(Bank_Statement!$C$2:$C$783,MATCH(A712,Bank_Statement!$E$2:$E$783,0)),"")</f>
        <v>-309.11</v>
      </c>
      <c r="F712" s="16" t="str">
        <f aca="false">IF(E712="","No","Yes")</f>
        <v>Yes</v>
      </c>
      <c r="G712" s="18" t="n">
        <f aca="false">IF(F712="No","N/A",D712-E712)</f>
        <v>618.22</v>
      </c>
      <c r="H712" s="16" t="str">
        <f aca="false">IF(F712="No","Unmatched - Investigate",IF(ABS(D712-E712)&gt;Assumptions!$B$6,"Mismatch - Amount Differs","Matched"))</f>
        <v>Mismatch - Amount Differs</v>
      </c>
    </row>
    <row r="713" customFormat="false" ht="15" hidden="false" customHeight="false" outlineLevel="0" collapsed="false">
      <c r="A713" s="16" t="str">
        <f aca="false">Payment_Log_AP!A709</f>
        <v>PAY40708</v>
      </c>
      <c r="B713" s="16" t="str">
        <f aca="false">Payment_Log_AP!C709</f>
        <v>V1024</v>
      </c>
      <c r="C713" s="17" t="n">
        <f aca="false">Payment_Log_AP!D709</f>
        <v>45691</v>
      </c>
      <c r="D713" s="18" t="n">
        <f aca="false">Payment_Log_AP!E709</f>
        <v>1722.25</v>
      </c>
      <c r="E713" s="18" t="n">
        <f aca="false">IFERROR(INDEX(Bank_Statement!$C$2:$C$783,MATCH(A713,Bank_Statement!$E$2:$E$783,0)),"")</f>
        <v>-1722.25</v>
      </c>
      <c r="F713" s="16" t="str">
        <f aca="false">IF(E713="","No","Yes")</f>
        <v>Yes</v>
      </c>
      <c r="G713" s="18" t="n">
        <f aca="false">IF(F713="No","N/A",D713-E713)</f>
        <v>3444.5</v>
      </c>
      <c r="H713" s="16" t="str">
        <f aca="false">IF(F713="No","Unmatched - Investigate",IF(ABS(D713-E713)&gt;Assumptions!$B$6,"Mismatch - Amount Differs","Matched"))</f>
        <v>Mismatch - Amount Differs</v>
      </c>
    </row>
    <row r="714" customFormat="false" ht="15" hidden="false" customHeight="false" outlineLevel="0" collapsed="false">
      <c r="A714" s="16" t="str">
        <f aca="false">Payment_Log_AP!A710</f>
        <v>PAY40709</v>
      </c>
      <c r="B714" s="16" t="str">
        <f aca="false">Payment_Log_AP!C710</f>
        <v>V1004</v>
      </c>
      <c r="C714" s="17" t="n">
        <f aca="false">Payment_Log_AP!D710</f>
        <v>46103</v>
      </c>
      <c r="D714" s="18" t="n">
        <f aca="false">Payment_Log_AP!E710</f>
        <v>1834.48</v>
      </c>
      <c r="E714" s="18" t="n">
        <f aca="false">IFERROR(INDEX(Bank_Statement!$C$2:$C$783,MATCH(A714,Bank_Statement!$E$2:$E$783,0)),"")</f>
        <v>-1834.48</v>
      </c>
      <c r="F714" s="16" t="str">
        <f aca="false">IF(E714="","No","Yes")</f>
        <v>Yes</v>
      </c>
      <c r="G714" s="18" t="n">
        <f aca="false">IF(F714="No","N/A",D714-E714)</f>
        <v>3668.96</v>
      </c>
      <c r="H714" s="16" t="str">
        <f aca="false">IF(F714="No","Unmatched - Investigate",IF(ABS(D714-E714)&gt;Assumptions!$B$6,"Mismatch - Amount Differs","Matched"))</f>
        <v>Mismatch - Amount Differs</v>
      </c>
    </row>
    <row r="715" customFormat="false" ht="15" hidden="false" customHeight="false" outlineLevel="0" collapsed="false">
      <c r="A715" s="16" t="str">
        <f aca="false">Payment_Log_AP!A711</f>
        <v>PAY40710</v>
      </c>
      <c r="B715" s="16" t="str">
        <f aca="false">Payment_Log_AP!C711</f>
        <v>V1037</v>
      </c>
      <c r="C715" s="17" t="n">
        <f aca="false">Payment_Log_AP!D711</f>
        <v>45865</v>
      </c>
      <c r="D715" s="18" t="n">
        <f aca="false">Payment_Log_AP!E711</f>
        <v>2804.48</v>
      </c>
      <c r="E715" s="18" t="n">
        <f aca="false">IFERROR(INDEX(Bank_Statement!$C$2:$C$783,MATCH(A715,Bank_Statement!$E$2:$E$783,0)),"")</f>
        <v>-2804.48</v>
      </c>
      <c r="F715" s="16" t="str">
        <f aca="false">IF(E715="","No","Yes")</f>
        <v>Yes</v>
      </c>
      <c r="G715" s="18" t="n">
        <f aca="false">IF(F715="No","N/A",D715-E715)</f>
        <v>5608.96</v>
      </c>
      <c r="H715" s="16" t="str">
        <f aca="false">IF(F715="No","Unmatched - Investigate",IF(ABS(D715-E715)&gt;Assumptions!$B$6,"Mismatch - Amount Differs","Matched"))</f>
        <v>Mismatch - Amount Differs</v>
      </c>
    </row>
    <row r="716" customFormat="false" ht="15" hidden="false" customHeight="false" outlineLevel="0" collapsed="false">
      <c r="A716" s="16" t="str">
        <f aca="false">Payment_Log_AP!A712</f>
        <v>PAY40711</v>
      </c>
      <c r="B716" s="16" t="str">
        <f aca="false">Payment_Log_AP!C712</f>
        <v>V1036</v>
      </c>
      <c r="C716" s="17" t="n">
        <f aca="false">Payment_Log_AP!D712</f>
        <v>45901</v>
      </c>
      <c r="D716" s="18" t="n">
        <f aca="false">Payment_Log_AP!E712</f>
        <v>241.56</v>
      </c>
      <c r="E716" s="18" t="n">
        <f aca="false">IFERROR(INDEX(Bank_Statement!$C$2:$C$783,MATCH(A716,Bank_Statement!$E$2:$E$783,0)),"")</f>
        <v>-241.56</v>
      </c>
      <c r="F716" s="16" t="str">
        <f aca="false">IF(E716="","No","Yes")</f>
        <v>Yes</v>
      </c>
      <c r="G716" s="18" t="n">
        <f aca="false">IF(F716="No","N/A",D716-E716)</f>
        <v>483.12</v>
      </c>
      <c r="H716" s="16" t="str">
        <f aca="false">IF(F716="No","Unmatched - Investigate",IF(ABS(D716-E716)&gt;Assumptions!$B$6,"Mismatch - Amount Differs","Matched"))</f>
        <v>Mismatch - Amount Differs</v>
      </c>
    </row>
    <row r="717" customFormat="false" ht="15" hidden="false" customHeight="false" outlineLevel="0" collapsed="false">
      <c r="A717" s="16" t="str">
        <f aca="false">Payment_Log_AP!A713</f>
        <v>PAY40712</v>
      </c>
      <c r="B717" s="16" t="str">
        <f aca="false">Payment_Log_AP!C713</f>
        <v>V1024</v>
      </c>
      <c r="C717" s="17" t="n">
        <f aca="false">Payment_Log_AP!D713</f>
        <v>46103</v>
      </c>
      <c r="D717" s="18" t="n">
        <f aca="false">Payment_Log_AP!E713</f>
        <v>2328.97</v>
      </c>
      <c r="E717" s="18" t="n">
        <f aca="false">IFERROR(INDEX(Bank_Statement!$C$2:$C$783,MATCH(A717,Bank_Statement!$E$2:$E$783,0)),"")</f>
        <v>-2328.97</v>
      </c>
      <c r="F717" s="16" t="str">
        <f aca="false">IF(E717="","No","Yes")</f>
        <v>Yes</v>
      </c>
      <c r="G717" s="18" t="n">
        <f aca="false">IF(F717="No","N/A",D717-E717)</f>
        <v>4657.94</v>
      </c>
      <c r="H717" s="16" t="str">
        <f aca="false">IF(F717="No","Unmatched - Investigate",IF(ABS(D717-E717)&gt;Assumptions!$B$6,"Mismatch - Amount Differs","Matched"))</f>
        <v>Mismatch - Amount Differs</v>
      </c>
    </row>
    <row r="718" customFormat="false" ht="15" hidden="false" customHeight="false" outlineLevel="0" collapsed="false">
      <c r="A718" s="16" t="str">
        <f aca="false">Payment_Log_AP!A714</f>
        <v>PAY40713</v>
      </c>
      <c r="B718" s="16" t="str">
        <f aca="false">Payment_Log_AP!C714</f>
        <v>V1030</v>
      </c>
      <c r="C718" s="17" t="n">
        <f aca="false">Payment_Log_AP!D714</f>
        <v>46086</v>
      </c>
      <c r="D718" s="18" t="n">
        <f aca="false">Payment_Log_AP!E714</f>
        <v>830.55</v>
      </c>
      <c r="E718" s="18" t="n">
        <f aca="false">IFERROR(INDEX(Bank_Statement!$C$2:$C$783,MATCH(A718,Bank_Statement!$E$2:$E$783,0)),"")</f>
        <v>-830.55</v>
      </c>
      <c r="F718" s="16" t="str">
        <f aca="false">IF(E718="","No","Yes")</f>
        <v>Yes</v>
      </c>
      <c r="G718" s="18" t="n">
        <f aca="false">IF(F718="No","N/A",D718-E718)</f>
        <v>1661.1</v>
      </c>
      <c r="H718" s="16" t="str">
        <f aca="false">IF(F718="No","Unmatched - Investigate",IF(ABS(D718-E718)&gt;Assumptions!$B$6,"Mismatch - Amount Differs","Matched"))</f>
        <v>Mismatch - Amount Differs</v>
      </c>
    </row>
    <row r="719" customFormat="false" ht="15" hidden="false" customHeight="false" outlineLevel="0" collapsed="false">
      <c r="A719" s="16" t="str">
        <f aca="false">Payment_Log_AP!A715</f>
        <v>PAY40714</v>
      </c>
      <c r="B719" s="16" t="str">
        <f aca="false">Payment_Log_AP!C715</f>
        <v>V1029</v>
      </c>
      <c r="C719" s="17" t="n">
        <f aca="false">Payment_Log_AP!D715</f>
        <v>46002</v>
      </c>
      <c r="D719" s="18" t="n">
        <f aca="false">Payment_Log_AP!E715</f>
        <v>1962.84</v>
      </c>
      <c r="E719" s="18" t="n">
        <f aca="false">IFERROR(INDEX(Bank_Statement!$C$2:$C$783,MATCH(A719,Bank_Statement!$E$2:$E$783,0)),"")</f>
        <v>-1962.84</v>
      </c>
      <c r="F719" s="16" t="str">
        <f aca="false">IF(E719="","No","Yes")</f>
        <v>Yes</v>
      </c>
      <c r="G719" s="18" t="n">
        <f aca="false">IF(F719="No","N/A",D719-E719)</f>
        <v>3925.68</v>
      </c>
      <c r="H719" s="16" t="str">
        <f aca="false">IF(F719="No","Unmatched - Investigate",IF(ABS(D719-E719)&gt;Assumptions!$B$6,"Mismatch - Amount Differs","Matched"))</f>
        <v>Mismatch - Amount Differs</v>
      </c>
    </row>
    <row r="720" customFormat="false" ht="15" hidden="false" customHeight="false" outlineLevel="0" collapsed="false">
      <c r="A720" s="16" t="str">
        <f aca="false">Payment_Log_AP!A716</f>
        <v>PAY40715</v>
      </c>
      <c r="B720" s="16" t="str">
        <f aca="false">Payment_Log_AP!C716</f>
        <v>V1026</v>
      </c>
      <c r="C720" s="17" t="n">
        <f aca="false">Payment_Log_AP!D716</f>
        <v>45735</v>
      </c>
      <c r="D720" s="18" t="n">
        <f aca="false">Payment_Log_AP!E716</f>
        <v>254.85</v>
      </c>
      <c r="E720" s="18" t="n">
        <f aca="false">IFERROR(INDEX(Bank_Statement!$C$2:$C$783,MATCH(A720,Bank_Statement!$E$2:$E$783,0)),"")</f>
        <v>-254.85</v>
      </c>
      <c r="F720" s="16" t="str">
        <f aca="false">IF(E720="","No","Yes")</f>
        <v>Yes</v>
      </c>
      <c r="G720" s="18" t="n">
        <f aca="false">IF(F720="No","N/A",D720-E720)</f>
        <v>509.7</v>
      </c>
      <c r="H720" s="16" t="str">
        <f aca="false">IF(F720="No","Unmatched - Investigate",IF(ABS(D720-E720)&gt;Assumptions!$B$6,"Mismatch - Amount Differs","Matched"))</f>
        <v>Mismatch - Amount Differs</v>
      </c>
    </row>
    <row r="721" customFormat="false" ht="15" hidden="false" customHeight="false" outlineLevel="0" collapsed="false">
      <c r="A721" s="16" t="str">
        <f aca="false">Payment_Log_AP!A717</f>
        <v>PAY40716</v>
      </c>
      <c r="B721" s="16" t="str">
        <f aca="false">Payment_Log_AP!C717</f>
        <v>V1023</v>
      </c>
      <c r="C721" s="17" t="n">
        <f aca="false">Payment_Log_AP!D717</f>
        <v>45794</v>
      </c>
      <c r="D721" s="18" t="n">
        <f aca="false">Payment_Log_AP!E717</f>
        <v>6224.71</v>
      </c>
      <c r="E721" s="18" t="n">
        <f aca="false">IFERROR(INDEX(Bank_Statement!$C$2:$C$783,MATCH(A721,Bank_Statement!$E$2:$E$783,0)),"")</f>
        <v>-6224.71</v>
      </c>
      <c r="F721" s="16" t="str">
        <f aca="false">IF(E721="","No","Yes")</f>
        <v>Yes</v>
      </c>
      <c r="G721" s="18" t="n">
        <f aca="false">IF(F721="No","N/A",D721-E721)</f>
        <v>12449.42</v>
      </c>
      <c r="H721" s="16" t="str">
        <f aca="false">IF(F721="No","Unmatched - Investigate",IF(ABS(D721-E721)&gt;Assumptions!$B$6,"Mismatch - Amount Differs","Matched"))</f>
        <v>Mismatch - Amount Differs</v>
      </c>
    </row>
    <row r="722" customFormat="false" ht="15" hidden="false" customHeight="false" outlineLevel="0" collapsed="false">
      <c r="A722" s="16" t="str">
        <f aca="false">Payment_Log_AP!A718</f>
        <v>PAY40717</v>
      </c>
      <c r="B722" s="16" t="str">
        <f aca="false">Payment_Log_AP!C718</f>
        <v>V1033</v>
      </c>
      <c r="C722" s="17" t="n">
        <f aca="false">Payment_Log_AP!D718</f>
        <v>46031</v>
      </c>
      <c r="D722" s="18" t="n">
        <f aca="false">Payment_Log_AP!E718</f>
        <v>505.83</v>
      </c>
      <c r="E722" s="18" t="n">
        <f aca="false">IFERROR(INDEX(Bank_Statement!$C$2:$C$783,MATCH(A722,Bank_Statement!$E$2:$E$783,0)),"")</f>
        <v>-505.83</v>
      </c>
      <c r="F722" s="16" t="str">
        <f aca="false">IF(E722="","No","Yes")</f>
        <v>Yes</v>
      </c>
      <c r="G722" s="18" t="n">
        <f aca="false">IF(F722="No","N/A",D722-E722)</f>
        <v>1011.66</v>
      </c>
      <c r="H722" s="16" t="str">
        <f aca="false">IF(F722="No","Unmatched - Investigate",IF(ABS(D722-E722)&gt;Assumptions!$B$6,"Mismatch - Amount Differs","Matched"))</f>
        <v>Mismatch - Amount Differs</v>
      </c>
    </row>
    <row r="723" customFormat="false" ht="15" hidden="false" customHeight="false" outlineLevel="0" collapsed="false">
      <c r="A723" s="16" t="str">
        <f aca="false">Payment_Log_AP!A719</f>
        <v>PAY40718</v>
      </c>
      <c r="B723" s="16" t="str">
        <f aca="false">Payment_Log_AP!C719</f>
        <v>V1029</v>
      </c>
      <c r="C723" s="17" t="n">
        <f aca="false">Payment_Log_AP!D719</f>
        <v>46053</v>
      </c>
      <c r="D723" s="18" t="n">
        <f aca="false">Payment_Log_AP!E719</f>
        <v>3028.33</v>
      </c>
      <c r="E723" s="18" t="n">
        <f aca="false">IFERROR(INDEX(Bank_Statement!$C$2:$C$783,MATCH(A723,Bank_Statement!$E$2:$E$783,0)),"")</f>
        <v>-3028.33</v>
      </c>
      <c r="F723" s="16" t="str">
        <f aca="false">IF(E723="","No","Yes")</f>
        <v>Yes</v>
      </c>
      <c r="G723" s="18" t="n">
        <f aca="false">IF(F723="No","N/A",D723-E723)</f>
        <v>6056.66</v>
      </c>
      <c r="H723" s="16" t="str">
        <f aca="false">IF(F723="No","Unmatched - Investigate",IF(ABS(D723-E723)&gt;Assumptions!$B$6,"Mismatch - Amount Differs","Matched"))</f>
        <v>Mismatch - Amount Differs</v>
      </c>
    </row>
    <row r="724" customFormat="false" ht="15" hidden="false" customHeight="false" outlineLevel="0" collapsed="false">
      <c r="A724" s="16" t="str">
        <f aca="false">Payment_Log_AP!A720</f>
        <v>PAY40719</v>
      </c>
      <c r="B724" s="16" t="str">
        <f aca="false">Payment_Log_AP!C720</f>
        <v>V1035</v>
      </c>
      <c r="C724" s="17" t="n">
        <f aca="false">Payment_Log_AP!D720</f>
        <v>45838</v>
      </c>
      <c r="D724" s="18" t="n">
        <f aca="false">Payment_Log_AP!E720</f>
        <v>556.23</v>
      </c>
      <c r="E724" s="18" t="n">
        <f aca="false">IFERROR(INDEX(Bank_Statement!$C$2:$C$783,MATCH(A724,Bank_Statement!$E$2:$E$783,0)),"")</f>
        <v>-556.23</v>
      </c>
      <c r="F724" s="16" t="str">
        <f aca="false">IF(E724="","No","Yes")</f>
        <v>Yes</v>
      </c>
      <c r="G724" s="18" t="n">
        <f aca="false">IF(F724="No","N/A",D724-E724)</f>
        <v>1112.46</v>
      </c>
      <c r="H724" s="16" t="str">
        <f aca="false">IF(F724="No","Unmatched - Investigate",IF(ABS(D724-E724)&gt;Assumptions!$B$6,"Mismatch - Amount Differs","Matched"))</f>
        <v>Mismatch - Amount Differs</v>
      </c>
    </row>
    <row r="725" customFormat="false" ht="15" hidden="false" customHeight="false" outlineLevel="0" collapsed="false">
      <c r="A725" s="16" t="str">
        <f aca="false">Payment_Log_AP!A721</f>
        <v>PAY40720</v>
      </c>
      <c r="B725" s="16" t="str">
        <f aca="false">Payment_Log_AP!C721</f>
        <v>V1021</v>
      </c>
      <c r="C725" s="17" t="n">
        <f aca="false">Payment_Log_AP!D721</f>
        <v>46059</v>
      </c>
      <c r="D725" s="18" t="n">
        <f aca="false">Payment_Log_AP!E721</f>
        <v>12577.38</v>
      </c>
      <c r="E725" s="18" t="n">
        <f aca="false">IFERROR(INDEX(Bank_Statement!$C$2:$C$783,MATCH(A725,Bank_Statement!$E$2:$E$783,0)),"")</f>
        <v>-12577.38</v>
      </c>
      <c r="F725" s="16" t="str">
        <f aca="false">IF(E725="","No","Yes")</f>
        <v>Yes</v>
      </c>
      <c r="G725" s="18" t="n">
        <f aca="false">IF(F725="No","N/A",D725-E725)</f>
        <v>25154.76</v>
      </c>
      <c r="H725" s="16" t="str">
        <f aca="false">IF(F725="No","Unmatched - Investigate",IF(ABS(D725-E725)&gt;Assumptions!$B$6,"Mismatch - Amount Differs","Matched"))</f>
        <v>Mismatch - Amount Differs</v>
      </c>
    </row>
    <row r="726" customFormat="false" ht="15" hidden="false" customHeight="false" outlineLevel="0" collapsed="false">
      <c r="A726" s="16" t="str">
        <f aca="false">Payment_Log_AP!A722</f>
        <v>PAY40721</v>
      </c>
      <c r="B726" s="16" t="str">
        <f aca="false">Payment_Log_AP!C722</f>
        <v>V1040</v>
      </c>
      <c r="C726" s="17" t="n">
        <f aca="false">Payment_Log_AP!D722</f>
        <v>45855</v>
      </c>
      <c r="D726" s="18" t="n">
        <f aca="false">Payment_Log_AP!E722</f>
        <v>1844.19</v>
      </c>
      <c r="E726" s="18" t="n">
        <f aca="false">IFERROR(INDEX(Bank_Statement!$C$2:$C$783,MATCH(A726,Bank_Statement!$E$2:$E$783,0)),"")</f>
        <v>-1844.19</v>
      </c>
      <c r="F726" s="16" t="str">
        <f aca="false">IF(E726="","No","Yes")</f>
        <v>Yes</v>
      </c>
      <c r="G726" s="18" t="n">
        <f aca="false">IF(F726="No","N/A",D726-E726)</f>
        <v>3688.38</v>
      </c>
      <c r="H726" s="16" t="str">
        <f aca="false">IF(F726="No","Unmatched - Investigate",IF(ABS(D726-E726)&gt;Assumptions!$B$6,"Mismatch - Amount Differs","Matched"))</f>
        <v>Mismatch - Amount Differs</v>
      </c>
    </row>
    <row r="727" customFormat="false" ht="15" hidden="false" customHeight="false" outlineLevel="0" collapsed="false">
      <c r="A727" s="16" t="str">
        <f aca="false">Payment_Log_AP!A723</f>
        <v>PAY40722</v>
      </c>
      <c r="B727" s="16" t="str">
        <f aca="false">Payment_Log_AP!C723</f>
        <v>V1016</v>
      </c>
      <c r="C727" s="17" t="n">
        <f aca="false">Payment_Log_AP!D723</f>
        <v>46090</v>
      </c>
      <c r="D727" s="18" t="n">
        <f aca="false">Payment_Log_AP!E723</f>
        <v>2123.23</v>
      </c>
      <c r="E727" s="18" t="n">
        <f aca="false">IFERROR(INDEX(Bank_Statement!$C$2:$C$783,MATCH(A727,Bank_Statement!$E$2:$E$783,0)),"")</f>
        <v>-2123.23</v>
      </c>
      <c r="F727" s="16" t="str">
        <f aca="false">IF(E727="","No","Yes")</f>
        <v>Yes</v>
      </c>
      <c r="G727" s="18" t="n">
        <f aca="false">IF(F727="No","N/A",D727-E727)</f>
        <v>4246.46</v>
      </c>
      <c r="H727" s="16" t="str">
        <f aca="false">IF(F727="No","Unmatched - Investigate",IF(ABS(D727-E727)&gt;Assumptions!$B$6,"Mismatch - Amount Differs","Matched"))</f>
        <v>Mismatch - Amount Differs</v>
      </c>
    </row>
    <row r="728" customFormat="false" ht="15" hidden="false" customHeight="false" outlineLevel="0" collapsed="false">
      <c r="A728" s="16" t="str">
        <f aca="false">Payment_Log_AP!A724</f>
        <v>PAY40723</v>
      </c>
      <c r="B728" s="16" t="str">
        <f aca="false">Payment_Log_AP!C724</f>
        <v>V1017</v>
      </c>
      <c r="C728" s="17" t="n">
        <f aca="false">Payment_Log_AP!D724</f>
        <v>45748</v>
      </c>
      <c r="D728" s="18" t="n">
        <f aca="false">Payment_Log_AP!E724</f>
        <v>424.45</v>
      </c>
      <c r="E728" s="18" t="n">
        <f aca="false">IFERROR(INDEX(Bank_Statement!$C$2:$C$783,MATCH(A728,Bank_Statement!$E$2:$E$783,0)),"")</f>
        <v>-424.45</v>
      </c>
      <c r="F728" s="16" t="str">
        <f aca="false">IF(E728="","No","Yes")</f>
        <v>Yes</v>
      </c>
      <c r="G728" s="18" t="n">
        <f aca="false">IF(F728="No","N/A",D728-E728)</f>
        <v>848.9</v>
      </c>
      <c r="H728" s="16" t="str">
        <f aca="false">IF(F728="No","Unmatched - Investigate",IF(ABS(D728-E728)&gt;Assumptions!$B$6,"Mismatch - Amount Differs","Matched"))</f>
        <v>Mismatch - Amount Differs</v>
      </c>
    </row>
    <row r="729" customFormat="false" ht="15" hidden="false" customHeight="false" outlineLevel="0" collapsed="false">
      <c r="A729" s="16" t="str">
        <f aca="false">Payment_Log_AP!A725</f>
        <v>PAY40724</v>
      </c>
      <c r="B729" s="16" t="str">
        <f aca="false">Payment_Log_AP!C725</f>
        <v>V1006</v>
      </c>
      <c r="C729" s="17" t="n">
        <f aca="false">Payment_Log_AP!D725</f>
        <v>45937</v>
      </c>
      <c r="D729" s="18" t="n">
        <f aca="false">Payment_Log_AP!E725</f>
        <v>751.88</v>
      </c>
      <c r="E729" s="18" t="n">
        <f aca="false">IFERROR(INDEX(Bank_Statement!$C$2:$C$783,MATCH(A729,Bank_Statement!$E$2:$E$783,0)),"")</f>
        <v>-751.88</v>
      </c>
      <c r="F729" s="16" t="str">
        <f aca="false">IF(E729="","No","Yes")</f>
        <v>Yes</v>
      </c>
      <c r="G729" s="18" t="n">
        <f aca="false">IF(F729="No","N/A",D729-E729)</f>
        <v>1503.76</v>
      </c>
      <c r="H729" s="16" t="str">
        <f aca="false">IF(F729="No","Unmatched - Investigate",IF(ABS(D729-E729)&gt;Assumptions!$B$6,"Mismatch - Amount Differs","Matched"))</f>
        <v>Mismatch - Amount Differs</v>
      </c>
    </row>
    <row r="730" customFormat="false" ht="15" hidden="false" customHeight="false" outlineLevel="0" collapsed="false">
      <c r="A730" s="16" t="str">
        <f aca="false">Payment_Log_AP!A726</f>
        <v>PAY40725</v>
      </c>
      <c r="B730" s="16" t="str">
        <f aca="false">Payment_Log_AP!C726</f>
        <v>V1026</v>
      </c>
      <c r="C730" s="17" t="n">
        <f aca="false">Payment_Log_AP!D726</f>
        <v>45847</v>
      </c>
      <c r="D730" s="18" t="n">
        <f aca="false">Payment_Log_AP!E726</f>
        <v>2408.48</v>
      </c>
      <c r="E730" s="18" t="n">
        <f aca="false">IFERROR(INDEX(Bank_Statement!$C$2:$C$783,MATCH(A730,Bank_Statement!$E$2:$E$783,0)),"")</f>
        <v>-2408.48</v>
      </c>
      <c r="F730" s="16" t="str">
        <f aca="false">IF(E730="","No","Yes")</f>
        <v>Yes</v>
      </c>
      <c r="G730" s="18" t="n">
        <f aca="false">IF(F730="No","N/A",D730-E730)</f>
        <v>4816.96</v>
      </c>
      <c r="H730" s="16" t="str">
        <f aca="false">IF(F730="No","Unmatched - Investigate",IF(ABS(D730-E730)&gt;Assumptions!$B$6,"Mismatch - Amount Differs","Matched"))</f>
        <v>Mismatch - Amount Differs</v>
      </c>
    </row>
    <row r="731" customFormat="false" ht="15" hidden="false" customHeight="false" outlineLevel="0" collapsed="false">
      <c r="A731" s="16" t="str">
        <f aca="false">Payment_Log_AP!A727</f>
        <v>PAY40726</v>
      </c>
      <c r="B731" s="16" t="str">
        <f aca="false">Payment_Log_AP!C727</f>
        <v>V1025</v>
      </c>
      <c r="C731" s="17" t="n">
        <f aca="false">Payment_Log_AP!D727</f>
        <v>46048</v>
      </c>
      <c r="D731" s="18" t="n">
        <f aca="false">Payment_Log_AP!E727</f>
        <v>197.82</v>
      </c>
      <c r="E731" s="18" t="n">
        <f aca="false">IFERROR(INDEX(Bank_Statement!$C$2:$C$783,MATCH(A731,Bank_Statement!$E$2:$E$783,0)),"")</f>
        <v>-197.82</v>
      </c>
      <c r="F731" s="16" t="str">
        <f aca="false">IF(E731="","No","Yes")</f>
        <v>Yes</v>
      </c>
      <c r="G731" s="18" t="n">
        <f aca="false">IF(F731="No","N/A",D731-E731)</f>
        <v>395.64</v>
      </c>
      <c r="H731" s="16" t="str">
        <f aca="false">IF(F731="No","Unmatched - Investigate",IF(ABS(D731-E731)&gt;Assumptions!$B$6,"Mismatch - Amount Differs","Matched"))</f>
        <v>Mismatch - Amount Differs</v>
      </c>
    </row>
    <row r="732" customFormat="false" ht="15" hidden="false" customHeight="false" outlineLevel="0" collapsed="false">
      <c r="A732" s="16" t="str">
        <f aca="false">Payment_Log_AP!A728</f>
        <v>PAY40727</v>
      </c>
      <c r="B732" s="16" t="str">
        <f aca="false">Payment_Log_AP!C728</f>
        <v>V1014</v>
      </c>
      <c r="C732" s="17" t="n">
        <f aca="false">Payment_Log_AP!D728</f>
        <v>45936</v>
      </c>
      <c r="D732" s="18" t="n">
        <f aca="false">Payment_Log_AP!E728</f>
        <v>5024.64</v>
      </c>
      <c r="E732" s="18" t="n">
        <f aca="false">IFERROR(INDEX(Bank_Statement!$C$2:$C$783,MATCH(A732,Bank_Statement!$E$2:$E$783,0)),"")</f>
        <v>-5024.64</v>
      </c>
      <c r="F732" s="16" t="str">
        <f aca="false">IF(E732="","No","Yes")</f>
        <v>Yes</v>
      </c>
      <c r="G732" s="18" t="n">
        <f aca="false">IF(F732="No","N/A",D732-E732)</f>
        <v>10049.28</v>
      </c>
      <c r="H732" s="16" t="str">
        <f aca="false">IF(F732="No","Unmatched - Investigate",IF(ABS(D732-E732)&gt;Assumptions!$B$6,"Mismatch - Amount Differs","Matched"))</f>
        <v>Mismatch - Amount Differs</v>
      </c>
    </row>
    <row r="733" customFormat="false" ht="15" hidden="false" customHeight="false" outlineLevel="0" collapsed="false">
      <c r="A733" s="16" t="str">
        <f aca="false">Payment_Log_AP!A729</f>
        <v>PAY40728</v>
      </c>
      <c r="B733" s="16" t="str">
        <f aca="false">Payment_Log_AP!C729</f>
        <v>V1014</v>
      </c>
      <c r="C733" s="17" t="n">
        <f aca="false">Payment_Log_AP!D729</f>
        <v>45956</v>
      </c>
      <c r="D733" s="18" t="n">
        <f aca="false">Payment_Log_AP!E729</f>
        <v>5024.64</v>
      </c>
      <c r="E733" s="18" t="n">
        <f aca="false">IFERROR(INDEX(Bank_Statement!$C$2:$C$783,MATCH(A733,Bank_Statement!$E$2:$E$783,0)),"")</f>
        <v>-5024.64</v>
      </c>
      <c r="F733" s="16" t="str">
        <f aca="false">IF(E733="","No","Yes")</f>
        <v>Yes</v>
      </c>
      <c r="G733" s="18" t="n">
        <f aca="false">IF(F733="No","N/A",D733-E733)</f>
        <v>10049.28</v>
      </c>
      <c r="H733" s="16" t="str">
        <f aca="false">IF(F733="No","Unmatched - Investigate",IF(ABS(D733-E733)&gt;Assumptions!$B$6,"Mismatch - Amount Differs","Matched"))</f>
        <v>Mismatch - Amount Differs</v>
      </c>
    </row>
    <row r="734" customFormat="false" ht="15" hidden="false" customHeight="false" outlineLevel="0" collapsed="false">
      <c r="A734" s="16" t="str">
        <f aca="false">Payment_Log_AP!A730</f>
        <v>PAY40729</v>
      </c>
      <c r="B734" s="16" t="str">
        <f aca="false">Payment_Log_AP!C730</f>
        <v>V1034</v>
      </c>
      <c r="C734" s="17" t="n">
        <f aca="false">Payment_Log_AP!D730</f>
        <v>46048</v>
      </c>
      <c r="D734" s="18" t="n">
        <f aca="false">Payment_Log_AP!E730</f>
        <v>4289.12</v>
      </c>
      <c r="E734" s="18" t="n">
        <f aca="false">IFERROR(INDEX(Bank_Statement!$C$2:$C$783,MATCH(A734,Bank_Statement!$E$2:$E$783,0)),"")</f>
        <v>-4289.12</v>
      </c>
      <c r="F734" s="16" t="str">
        <f aca="false">IF(E734="","No","Yes")</f>
        <v>Yes</v>
      </c>
      <c r="G734" s="18" t="n">
        <f aca="false">IF(F734="No","N/A",D734-E734)</f>
        <v>8578.24</v>
      </c>
      <c r="H734" s="16" t="str">
        <f aca="false">IF(F734="No","Unmatched - Investigate",IF(ABS(D734-E734)&gt;Assumptions!$B$6,"Mismatch - Amount Differs","Matched"))</f>
        <v>Mismatch - Amount Differs</v>
      </c>
    </row>
    <row r="735" customFormat="false" ht="15" hidden="false" customHeight="false" outlineLevel="0" collapsed="false">
      <c r="A735" s="16" t="str">
        <f aca="false">Payment_Log_AP!A731</f>
        <v>PAY40730</v>
      </c>
      <c r="B735" s="16" t="str">
        <f aca="false">Payment_Log_AP!C731</f>
        <v>V1002</v>
      </c>
      <c r="C735" s="17" t="n">
        <f aca="false">Payment_Log_AP!D731</f>
        <v>45730</v>
      </c>
      <c r="D735" s="18" t="n">
        <f aca="false">Payment_Log_AP!E731</f>
        <v>264.62</v>
      </c>
      <c r="E735" s="18" t="n">
        <f aca="false">IFERROR(INDEX(Bank_Statement!$C$2:$C$783,MATCH(A735,Bank_Statement!$E$2:$E$783,0)),"")</f>
        <v>-264.62</v>
      </c>
      <c r="F735" s="16" t="str">
        <f aca="false">IF(E735="","No","Yes")</f>
        <v>Yes</v>
      </c>
      <c r="G735" s="18" t="n">
        <f aca="false">IF(F735="No","N/A",D735-E735)</f>
        <v>529.24</v>
      </c>
      <c r="H735" s="16" t="str">
        <f aca="false">IF(F735="No","Unmatched - Investigate",IF(ABS(D735-E735)&gt;Assumptions!$B$6,"Mismatch - Amount Differs","Matched"))</f>
        <v>Mismatch - Amount Differs</v>
      </c>
    </row>
    <row r="736" customFormat="false" ht="15" hidden="false" customHeight="false" outlineLevel="0" collapsed="false">
      <c r="A736" s="16" t="str">
        <f aca="false">Payment_Log_AP!A732</f>
        <v>PAY40731</v>
      </c>
      <c r="B736" s="16" t="str">
        <f aca="false">Payment_Log_AP!C732</f>
        <v>V1002</v>
      </c>
      <c r="C736" s="17" t="n">
        <f aca="false">Payment_Log_AP!D732</f>
        <v>45896</v>
      </c>
      <c r="D736" s="18" t="n">
        <f aca="false">Payment_Log_AP!E732</f>
        <v>18783.05</v>
      </c>
      <c r="E736" s="18" t="n">
        <f aca="false">IFERROR(INDEX(Bank_Statement!$C$2:$C$783,MATCH(A736,Bank_Statement!$E$2:$E$783,0)),"")</f>
        <v>-18783.05</v>
      </c>
      <c r="F736" s="16" t="str">
        <f aca="false">IF(E736="","No","Yes")</f>
        <v>Yes</v>
      </c>
      <c r="G736" s="18" t="n">
        <f aca="false">IF(F736="No","N/A",D736-E736)</f>
        <v>37566.1</v>
      </c>
      <c r="H736" s="16" t="str">
        <f aca="false">IF(F736="No","Unmatched - Investigate",IF(ABS(D736-E736)&gt;Assumptions!$B$6,"Mismatch - Amount Differs","Matched"))</f>
        <v>Mismatch - Amount Differs</v>
      </c>
    </row>
    <row r="737" customFormat="false" ht="15" hidden="false" customHeight="false" outlineLevel="0" collapsed="false">
      <c r="A737" s="16" t="str">
        <f aca="false">Payment_Log_AP!A733</f>
        <v>PAY40732</v>
      </c>
      <c r="B737" s="16" t="str">
        <f aca="false">Payment_Log_AP!C733</f>
        <v>V1031</v>
      </c>
      <c r="C737" s="17" t="n">
        <f aca="false">Payment_Log_AP!D733</f>
        <v>46027</v>
      </c>
      <c r="D737" s="18" t="n">
        <f aca="false">Payment_Log_AP!E733</f>
        <v>796.83</v>
      </c>
      <c r="E737" s="18" t="n">
        <f aca="false">IFERROR(INDEX(Bank_Statement!$C$2:$C$783,MATCH(A737,Bank_Statement!$E$2:$E$783,0)),"")</f>
        <v>-796.83</v>
      </c>
      <c r="F737" s="16" t="str">
        <f aca="false">IF(E737="","No","Yes")</f>
        <v>Yes</v>
      </c>
      <c r="G737" s="18" t="n">
        <f aca="false">IF(F737="No","N/A",D737-E737)</f>
        <v>1593.66</v>
      </c>
      <c r="H737" s="16" t="str">
        <f aca="false">IF(F737="No","Unmatched - Investigate",IF(ABS(D737-E737)&gt;Assumptions!$B$6,"Mismatch - Amount Differs","Matched"))</f>
        <v>Mismatch - Amount Differs</v>
      </c>
    </row>
    <row r="738" customFormat="false" ht="15" hidden="false" customHeight="false" outlineLevel="0" collapsed="false">
      <c r="A738" s="16" t="str">
        <f aca="false">Payment_Log_AP!A734</f>
        <v>PAY40733</v>
      </c>
      <c r="B738" s="16" t="str">
        <f aca="false">Payment_Log_AP!C734</f>
        <v>V1034</v>
      </c>
      <c r="C738" s="17" t="n">
        <f aca="false">Payment_Log_AP!D734</f>
        <v>45691</v>
      </c>
      <c r="D738" s="18" t="n">
        <f aca="false">Payment_Log_AP!E734</f>
        <v>115.93</v>
      </c>
      <c r="E738" s="18" t="n">
        <f aca="false">IFERROR(INDEX(Bank_Statement!$C$2:$C$783,MATCH(A738,Bank_Statement!$E$2:$E$783,0)),"")</f>
        <v>-115.93</v>
      </c>
      <c r="F738" s="16" t="str">
        <f aca="false">IF(E738="","No","Yes")</f>
        <v>Yes</v>
      </c>
      <c r="G738" s="18" t="n">
        <f aca="false">IF(F738="No","N/A",D738-E738)</f>
        <v>231.86</v>
      </c>
      <c r="H738" s="16" t="str">
        <f aca="false">IF(F738="No","Unmatched - Investigate",IF(ABS(D738-E738)&gt;Assumptions!$B$6,"Mismatch - Amount Differs","Matched"))</f>
        <v>Mismatch - Amount Differs</v>
      </c>
    </row>
    <row r="739" customFormat="false" ht="15" hidden="false" customHeight="false" outlineLevel="0" collapsed="false">
      <c r="A739" s="16" t="str">
        <f aca="false">Payment_Log_AP!A735</f>
        <v>PAY40734</v>
      </c>
      <c r="B739" s="16" t="str">
        <f aca="false">Payment_Log_AP!C735</f>
        <v>V1039</v>
      </c>
      <c r="C739" s="17" t="n">
        <f aca="false">Payment_Log_AP!D735</f>
        <v>45832</v>
      </c>
      <c r="D739" s="18" t="n">
        <f aca="false">Payment_Log_AP!E735</f>
        <v>2115.29</v>
      </c>
      <c r="E739" s="18" t="n">
        <f aca="false">IFERROR(INDEX(Bank_Statement!$C$2:$C$783,MATCH(A739,Bank_Statement!$E$2:$E$783,0)),"")</f>
        <v>-2115.29</v>
      </c>
      <c r="F739" s="16" t="str">
        <f aca="false">IF(E739="","No","Yes")</f>
        <v>Yes</v>
      </c>
      <c r="G739" s="18" t="n">
        <f aca="false">IF(F739="No","N/A",D739-E739)</f>
        <v>4230.58</v>
      </c>
      <c r="H739" s="16" t="str">
        <f aca="false">IF(F739="No","Unmatched - Investigate",IF(ABS(D739-E739)&gt;Assumptions!$B$6,"Mismatch - Amount Differs","Matched"))</f>
        <v>Mismatch - Amount Differs</v>
      </c>
    </row>
    <row r="740" customFormat="false" ht="15" hidden="false" customHeight="false" outlineLevel="0" collapsed="false">
      <c r="A740" s="16" t="str">
        <f aca="false">Payment_Log_AP!A736</f>
        <v>PAY40735</v>
      </c>
      <c r="B740" s="16" t="str">
        <f aca="false">Payment_Log_AP!C736</f>
        <v>V1037</v>
      </c>
      <c r="C740" s="17" t="n">
        <f aca="false">Payment_Log_AP!D736</f>
        <v>45785</v>
      </c>
      <c r="D740" s="18" t="n">
        <f aca="false">Payment_Log_AP!E736</f>
        <v>1027.6</v>
      </c>
      <c r="E740" s="18" t="n">
        <f aca="false">IFERROR(INDEX(Bank_Statement!$C$2:$C$783,MATCH(A740,Bank_Statement!$E$2:$E$783,0)),"")</f>
        <v>-1027.6</v>
      </c>
      <c r="F740" s="16" t="str">
        <f aca="false">IF(E740="","No","Yes")</f>
        <v>Yes</v>
      </c>
      <c r="G740" s="18" t="n">
        <f aca="false">IF(F740="No","N/A",D740-E740)</f>
        <v>2055.2</v>
      </c>
      <c r="H740" s="16" t="str">
        <f aca="false">IF(F740="No","Unmatched - Investigate",IF(ABS(D740-E740)&gt;Assumptions!$B$6,"Mismatch - Amount Differs","Matched"))</f>
        <v>Mismatch - Amount Differs</v>
      </c>
    </row>
    <row r="741" customFormat="false" ht="15" hidden="false" customHeight="false" outlineLevel="0" collapsed="false">
      <c r="A741" s="16" t="str">
        <f aca="false">Payment_Log_AP!A737</f>
        <v>PAY40736</v>
      </c>
      <c r="B741" s="16" t="str">
        <f aca="false">Payment_Log_AP!C737</f>
        <v>V1003</v>
      </c>
      <c r="C741" s="17" t="n">
        <f aca="false">Payment_Log_AP!D737</f>
        <v>45752</v>
      </c>
      <c r="D741" s="18" t="n">
        <f aca="false">Payment_Log_AP!E737</f>
        <v>1165</v>
      </c>
      <c r="E741" s="18" t="n">
        <f aca="false">IFERROR(INDEX(Bank_Statement!$C$2:$C$783,MATCH(A741,Bank_Statement!$E$2:$E$783,0)),"")</f>
        <v>-1165</v>
      </c>
      <c r="F741" s="16" t="str">
        <f aca="false">IF(E741="","No","Yes")</f>
        <v>Yes</v>
      </c>
      <c r="G741" s="18" t="n">
        <f aca="false">IF(F741="No","N/A",D741-E741)</f>
        <v>2330</v>
      </c>
      <c r="H741" s="16" t="str">
        <f aca="false">IF(F741="No","Unmatched - Investigate",IF(ABS(D741-E741)&gt;Assumptions!$B$6,"Mismatch - Amount Differs","Matched"))</f>
        <v>Mismatch - Amount Differs</v>
      </c>
    </row>
    <row r="742" customFormat="false" ht="15" hidden="false" customHeight="false" outlineLevel="0" collapsed="false">
      <c r="A742" s="16" t="str">
        <f aca="false">Payment_Log_AP!A738</f>
        <v>PAY40737</v>
      </c>
      <c r="B742" s="16" t="str">
        <f aca="false">Payment_Log_AP!C738</f>
        <v>V1037</v>
      </c>
      <c r="C742" s="17" t="n">
        <f aca="false">Payment_Log_AP!D738</f>
        <v>45818</v>
      </c>
      <c r="D742" s="18" t="n">
        <f aca="false">Payment_Log_AP!E738</f>
        <v>1553.94</v>
      </c>
      <c r="E742" s="18" t="n">
        <f aca="false">IFERROR(INDEX(Bank_Statement!$C$2:$C$783,MATCH(A742,Bank_Statement!$E$2:$E$783,0)),"")</f>
        <v>-1553.94</v>
      </c>
      <c r="F742" s="16" t="str">
        <f aca="false">IF(E742="","No","Yes")</f>
        <v>Yes</v>
      </c>
      <c r="G742" s="18" t="n">
        <f aca="false">IF(F742="No","N/A",D742-E742)</f>
        <v>3107.88</v>
      </c>
      <c r="H742" s="16" t="str">
        <f aca="false">IF(F742="No","Unmatched - Investigate",IF(ABS(D742-E742)&gt;Assumptions!$B$6,"Mismatch - Amount Differs","Matched"))</f>
        <v>Mismatch - Amount Differs</v>
      </c>
    </row>
    <row r="743" customFormat="false" ht="15" hidden="false" customHeight="false" outlineLevel="0" collapsed="false">
      <c r="A743" s="16" t="str">
        <f aca="false">Payment_Log_AP!A739</f>
        <v>PAY40738</v>
      </c>
      <c r="B743" s="16" t="str">
        <f aca="false">Payment_Log_AP!C739</f>
        <v>V1037</v>
      </c>
      <c r="C743" s="17" t="n">
        <f aca="false">Payment_Log_AP!D739</f>
        <v>45835</v>
      </c>
      <c r="D743" s="18" t="n">
        <f aca="false">Payment_Log_AP!E739</f>
        <v>1553.94</v>
      </c>
      <c r="E743" s="18" t="n">
        <f aca="false">IFERROR(INDEX(Bank_Statement!$C$2:$C$783,MATCH(A743,Bank_Statement!$E$2:$E$783,0)),"")</f>
        <v>-1553.94</v>
      </c>
      <c r="F743" s="16" t="str">
        <f aca="false">IF(E743="","No","Yes")</f>
        <v>Yes</v>
      </c>
      <c r="G743" s="18" t="n">
        <f aca="false">IF(F743="No","N/A",D743-E743)</f>
        <v>3107.88</v>
      </c>
      <c r="H743" s="16" t="str">
        <f aca="false">IF(F743="No","Unmatched - Investigate",IF(ABS(D743-E743)&gt;Assumptions!$B$6,"Mismatch - Amount Differs","Matched"))</f>
        <v>Mismatch - Amount Differs</v>
      </c>
    </row>
    <row r="744" customFormat="false" ht="15" hidden="false" customHeight="false" outlineLevel="0" collapsed="false">
      <c r="A744" s="16" t="str">
        <f aca="false">Payment_Log_AP!A740</f>
        <v>PAY40739</v>
      </c>
      <c r="B744" s="16" t="str">
        <f aca="false">Payment_Log_AP!C740</f>
        <v>V1024</v>
      </c>
      <c r="C744" s="17" t="n">
        <f aca="false">Payment_Log_AP!D740</f>
        <v>45865</v>
      </c>
      <c r="D744" s="18" t="n">
        <f aca="false">Payment_Log_AP!E740</f>
        <v>764.25</v>
      </c>
      <c r="E744" s="18" t="n">
        <f aca="false">IFERROR(INDEX(Bank_Statement!$C$2:$C$783,MATCH(A744,Bank_Statement!$E$2:$E$783,0)),"")</f>
        <v>-764.25</v>
      </c>
      <c r="F744" s="16" t="str">
        <f aca="false">IF(E744="","No","Yes")</f>
        <v>Yes</v>
      </c>
      <c r="G744" s="18" t="n">
        <f aca="false">IF(F744="No","N/A",D744-E744)</f>
        <v>1528.5</v>
      </c>
      <c r="H744" s="16" t="str">
        <f aca="false">IF(F744="No","Unmatched - Investigate",IF(ABS(D744-E744)&gt;Assumptions!$B$6,"Mismatch - Amount Differs","Matched"))</f>
        <v>Mismatch - Amount Differs</v>
      </c>
    </row>
    <row r="745" customFormat="false" ht="15" hidden="false" customHeight="false" outlineLevel="0" collapsed="false">
      <c r="A745" s="16" t="str">
        <f aca="false">Payment_Log_AP!A741</f>
        <v>PAY40740</v>
      </c>
      <c r="B745" s="16" t="str">
        <f aca="false">Payment_Log_AP!C741</f>
        <v>V1022</v>
      </c>
      <c r="C745" s="17" t="n">
        <f aca="false">Payment_Log_AP!D741</f>
        <v>45708</v>
      </c>
      <c r="D745" s="18" t="n">
        <f aca="false">Payment_Log_AP!E741</f>
        <v>8318.12</v>
      </c>
      <c r="E745" s="18" t="n">
        <f aca="false">IFERROR(INDEX(Bank_Statement!$C$2:$C$783,MATCH(A745,Bank_Statement!$E$2:$E$783,0)),"")</f>
        <v>-8318.12</v>
      </c>
      <c r="F745" s="16" t="str">
        <f aca="false">IF(E745="","No","Yes")</f>
        <v>Yes</v>
      </c>
      <c r="G745" s="18" t="n">
        <f aca="false">IF(F745="No","N/A",D745-E745)</f>
        <v>16636.24</v>
      </c>
      <c r="H745" s="16" t="str">
        <f aca="false">IF(F745="No","Unmatched - Investigate",IF(ABS(D745-E745)&gt;Assumptions!$B$6,"Mismatch - Amount Differs","Matched"))</f>
        <v>Mismatch - Amount Differs</v>
      </c>
    </row>
    <row r="746" customFormat="false" ht="15" hidden="false" customHeight="false" outlineLevel="0" collapsed="false">
      <c r="A746" s="16" t="str">
        <f aca="false">Payment_Log_AP!A742</f>
        <v>PAY40741</v>
      </c>
      <c r="B746" s="16" t="str">
        <f aca="false">Payment_Log_AP!C742</f>
        <v>V1027</v>
      </c>
      <c r="C746" s="17" t="n">
        <f aca="false">Payment_Log_AP!D742</f>
        <v>46094</v>
      </c>
      <c r="D746" s="18" t="n">
        <f aca="false">Payment_Log_AP!E742</f>
        <v>2564.63</v>
      </c>
      <c r="E746" s="18" t="n">
        <f aca="false">IFERROR(INDEX(Bank_Statement!$C$2:$C$783,MATCH(A746,Bank_Statement!$E$2:$E$783,0)),"")</f>
        <v>-2564.63</v>
      </c>
      <c r="F746" s="16" t="str">
        <f aca="false">IF(E746="","No","Yes")</f>
        <v>Yes</v>
      </c>
      <c r="G746" s="18" t="n">
        <f aca="false">IF(F746="No","N/A",D746-E746)</f>
        <v>5129.26</v>
      </c>
      <c r="H746" s="16" t="str">
        <f aca="false">IF(F746="No","Unmatched - Investigate",IF(ABS(D746-E746)&gt;Assumptions!$B$6,"Mismatch - Amount Differs","Matched"))</f>
        <v>Mismatch - Amount Differs</v>
      </c>
    </row>
    <row r="747" customFormat="false" ht="15" hidden="false" customHeight="false" outlineLevel="0" collapsed="false">
      <c r="A747" s="16" t="str">
        <f aca="false">Payment_Log_AP!A743</f>
        <v>PAY40742</v>
      </c>
      <c r="B747" s="16" t="str">
        <f aca="false">Payment_Log_AP!C743</f>
        <v>V1036</v>
      </c>
      <c r="C747" s="17" t="n">
        <f aca="false">Payment_Log_AP!D743</f>
        <v>45796</v>
      </c>
      <c r="D747" s="18" t="n">
        <f aca="false">Payment_Log_AP!E743</f>
        <v>5467.62</v>
      </c>
      <c r="E747" s="18" t="n">
        <f aca="false">IFERROR(INDEX(Bank_Statement!$C$2:$C$783,MATCH(A747,Bank_Statement!$E$2:$E$783,0)),"")</f>
        <v>-5467.62</v>
      </c>
      <c r="F747" s="16" t="str">
        <f aca="false">IF(E747="","No","Yes")</f>
        <v>Yes</v>
      </c>
      <c r="G747" s="18" t="n">
        <f aca="false">IF(F747="No","N/A",D747-E747)</f>
        <v>10935.24</v>
      </c>
      <c r="H747" s="16" t="str">
        <f aca="false">IF(F747="No","Unmatched - Investigate",IF(ABS(D747-E747)&gt;Assumptions!$B$6,"Mismatch - Amount Differs","Matched"))</f>
        <v>Mismatch - Amount Differs</v>
      </c>
    </row>
    <row r="748" customFormat="false" ht="15" hidden="false" customHeight="false" outlineLevel="0" collapsed="false">
      <c r="A748" s="16" t="str">
        <f aca="false">Payment_Log_AP!A744</f>
        <v>PAY40743</v>
      </c>
      <c r="B748" s="16" t="str">
        <f aca="false">Payment_Log_AP!C744</f>
        <v>V1009</v>
      </c>
      <c r="C748" s="17" t="n">
        <f aca="false">Payment_Log_AP!D744</f>
        <v>45873</v>
      </c>
      <c r="D748" s="18" t="n">
        <f aca="false">Payment_Log_AP!E744</f>
        <v>4948.03</v>
      </c>
      <c r="E748" s="18" t="n">
        <f aca="false">IFERROR(INDEX(Bank_Statement!$C$2:$C$783,MATCH(A748,Bank_Statement!$E$2:$E$783,0)),"")</f>
        <v>-4948.03</v>
      </c>
      <c r="F748" s="16" t="str">
        <f aca="false">IF(E748="","No","Yes")</f>
        <v>Yes</v>
      </c>
      <c r="G748" s="18" t="n">
        <f aca="false">IF(F748="No","N/A",D748-E748)</f>
        <v>9896.06</v>
      </c>
      <c r="H748" s="16" t="str">
        <f aca="false">IF(F748="No","Unmatched - Investigate",IF(ABS(D748-E748)&gt;Assumptions!$B$6,"Mismatch - Amount Differs","Matched"))</f>
        <v>Mismatch - Amount Differs</v>
      </c>
    </row>
    <row r="749" customFormat="false" ht="15" hidden="false" customHeight="false" outlineLevel="0" collapsed="false">
      <c r="A749" s="16" t="str">
        <f aca="false">Payment_Log_AP!A745</f>
        <v>PAY40744</v>
      </c>
      <c r="B749" s="16" t="str">
        <f aca="false">Payment_Log_AP!C745</f>
        <v>V1029</v>
      </c>
      <c r="C749" s="17" t="n">
        <f aca="false">Payment_Log_AP!D745</f>
        <v>46066</v>
      </c>
      <c r="D749" s="18" t="n">
        <f aca="false">Payment_Log_AP!E745</f>
        <v>1631.21</v>
      </c>
      <c r="E749" s="18" t="n">
        <f aca="false">IFERROR(INDEX(Bank_Statement!$C$2:$C$783,MATCH(A749,Bank_Statement!$E$2:$E$783,0)),"")</f>
        <v>-1631.21</v>
      </c>
      <c r="F749" s="16" t="str">
        <f aca="false">IF(E749="","No","Yes")</f>
        <v>Yes</v>
      </c>
      <c r="G749" s="18" t="n">
        <f aca="false">IF(F749="No","N/A",D749-E749)</f>
        <v>3262.42</v>
      </c>
      <c r="H749" s="16" t="str">
        <f aca="false">IF(F749="No","Unmatched - Investigate",IF(ABS(D749-E749)&gt;Assumptions!$B$6,"Mismatch - Amount Differs","Matched"))</f>
        <v>Mismatch - Amount Differs</v>
      </c>
    </row>
    <row r="750" customFormat="false" ht="15" hidden="false" customHeight="false" outlineLevel="0" collapsed="false">
      <c r="A750" s="16" t="str">
        <f aca="false">Payment_Log_AP!A746</f>
        <v>PAY40745</v>
      </c>
      <c r="B750" s="16" t="str">
        <f aca="false">Payment_Log_AP!C746</f>
        <v>V1040</v>
      </c>
      <c r="C750" s="17" t="n">
        <f aca="false">Payment_Log_AP!D746</f>
        <v>45987</v>
      </c>
      <c r="D750" s="18" t="n">
        <f aca="false">Payment_Log_AP!E746</f>
        <v>819.06</v>
      </c>
      <c r="E750" s="18" t="n">
        <f aca="false">IFERROR(INDEX(Bank_Statement!$C$2:$C$783,MATCH(A750,Bank_Statement!$E$2:$E$783,0)),"")</f>
        <v>-819.06</v>
      </c>
      <c r="F750" s="16" t="str">
        <f aca="false">IF(E750="","No","Yes")</f>
        <v>Yes</v>
      </c>
      <c r="G750" s="18" t="n">
        <f aca="false">IF(F750="No","N/A",D750-E750)</f>
        <v>1638.12</v>
      </c>
      <c r="H750" s="16" t="str">
        <f aca="false">IF(F750="No","Unmatched - Investigate",IF(ABS(D750-E750)&gt;Assumptions!$B$6,"Mismatch - Amount Differs","Matched"))</f>
        <v>Mismatch - Amount Differs</v>
      </c>
    </row>
    <row r="751" customFormat="false" ht="15" hidden="false" customHeight="false" outlineLevel="0" collapsed="false">
      <c r="A751" s="16" t="str">
        <f aca="false">Payment_Log_AP!A747</f>
        <v>PAY40746</v>
      </c>
      <c r="B751" s="16" t="str">
        <f aca="false">Payment_Log_AP!C747</f>
        <v>V1009</v>
      </c>
      <c r="C751" s="17" t="n">
        <f aca="false">Payment_Log_AP!D747</f>
        <v>46138</v>
      </c>
      <c r="D751" s="18" t="n">
        <f aca="false">Payment_Log_AP!E747</f>
        <v>1380.81</v>
      </c>
      <c r="E751" s="18" t="n">
        <f aca="false">IFERROR(INDEX(Bank_Statement!$C$2:$C$783,MATCH(A751,Bank_Statement!$E$2:$E$783,0)),"")</f>
        <v>-1380.81</v>
      </c>
      <c r="F751" s="16" t="str">
        <f aca="false">IF(E751="","No","Yes")</f>
        <v>Yes</v>
      </c>
      <c r="G751" s="18" t="n">
        <f aca="false">IF(F751="No","N/A",D751-E751)</f>
        <v>2761.62</v>
      </c>
      <c r="H751" s="16" t="str">
        <f aca="false">IF(F751="No","Unmatched - Investigate",IF(ABS(D751-E751)&gt;Assumptions!$B$6,"Mismatch - Amount Differs","Matched"))</f>
        <v>Mismatch - Amount Differs</v>
      </c>
    </row>
    <row r="752" customFormat="false" ht="15" hidden="false" customHeight="false" outlineLevel="0" collapsed="false">
      <c r="A752" s="16" t="str">
        <f aca="false">Payment_Log_AP!A748</f>
        <v>PAY40747</v>
      </c>
      <c r="B752" s="16" t="str">
        <f aca="false">Payment_Log_AP!C748</f>
        <v>V1028</v>
      </c>
      <c r="C752" s="17" t="n">
        <f aca="false">Payment_Log_AP!D748</f>
        <v>46112</v>
      </c>
      <c r="D752" s="18" t="n">
        <f aca="false">Payment_Log_AP!E748</f>
        <v>537.91</v>
      </c>
      <c r="E752" s="18" t="n">
        <f aca="false">IFERROR(INDEX(Bank_Statement!$C$2:$C$783,MATCH(A752,Bank_Statement!$E$2:$E$783,0)),"")</f>
        <v>-537.91</v>
      </c>
      <c r="F752" s="16" t="str">
        <f aca="false">IF(E752="","No","Yes")</f>
        <v>Yes</v>
      </c>
      <c r="G752" s="18" t="n">
        <f aca="false">IF(F752="No","N/A",D752-E752)</f>
        <v>1075.82</v>
      </c>
      <c r="H752" s="16" t="str">
        <f aca="false">IF(F752="No","Unmatched - Investigate",IF(ABS(D752-E752)&gt;Assumptions!$B$6,"Mismatch - Amount Differs","Matched"))</f>
        <v>Mismatch - Amount Differs</v>
      </c>
    </row>
    <row r="753" customFormat="false" ht="15" hidden="false" customHeight="false" outlineLevel="0" collapsed="false">
      <c r="A753" s="16" t="str">
        <f aca="false">Payment_Log_AP!A749</f>
        <v>PAY40748</v>
      </c>
      <c r="B753" s="16" t="str">
        <f aca="false">Payment_Log_AP!C749</f>
        <v>V1039</v>
      </c>
      <c r="C753" s="17" t="n">
        <f aca="false">Payment_Log_AP!D749</f>
        <v>45728</v>
      </c>
      <c r="D753" s="18" t="n">
        <f aca="false">Payment_Log_AP!E749</f>
        <v>2224.01</v>
      </c>
      <c r="E753" s="18" t="n">
        <f aca="false">IFERROR(INDEX(Bank_Statement!$C$2:$C$783,MATCH(A753,Bank_Statement!$E$2:$E$783,0)),"")</f>
        <v>-2224.01</v>
      </c>
      <c r="F753" s="16" t="str">
        <f aca="false">IF(E753="","No","Yes")</f>
        <v>Yes</v>
      </c>
      <c r="G753" s="18" t="n">
        <f aca="false">IF(F753="No","N/A",D753-E753)</f>
        <v>4448.02</v>
      </c>
      <c r="H753" s="16" t="str">
        <f aca="false">IF(F753="No","Unmatched - Investigate",IF(ABS(D753-E753)&gt;Assumptions!$B$6,"Mismatch - Amount Differs","Matched"))</f>
        <v>Mismatch - Amount Differs</v>
      </c>
    </row>
    <row r="754" customFormat="false" ht="15" hidden="false" customHeight="false" outlineLevel="0" collapsed="false">
      <c r="A754" s="16" t="str">
        <f aca="false">Payment_Log_AP!A750</f>
        <v>PAY40749</v>
      </c>
      <c r="B754" s="16" t="str">
        <f aca="false">Payment_Log_AP!C750</f>
        <v>V1019</v>
      </c>
      <c r="C754" s="17" t="n">
        <f aca="false">Payment_Log_AP!D750</f>
        <v>46179</v>
      </c>
      <c r="D754" s="18" t="n">
        <f aca="false">Payment_Log_AP!E750</f>
        <v>972.49</v>
      </c>
      <c r="E754" s="18" t="n">
        <f aca="false">IFERROR(INDEX(Bank_Statement!$C$2:$C$783,MATCH(A754,Bank_Statement!$E$2:$E$783,0)),"")</f>
        <v>-972.49</v>
      </c>
      <c r="F754" s="16" t="str">
        <f aca="false">IF(E754="","No","Yes")</f>
        <v>Yes</v>
      </c>
      <c r="G754" s="18" t="n">
        <f aca="false">IF(F754="No","N/A",D754-E754)</f>
        <v>1944.98</v>
      </c>
      <c r="H754" s="16" t="str">
        <f aca="false">IF(F754="No","Unmatched - Investigate",IF(ABS(D754-E754)&gt;Assumptions!$B$6,"Mismatch - Amount Differs","Matched"))</f>
        <v>Mismatch - Amount Differs</v>
      </c>
    </row>
    <row r="755" customFormat="false" ht="15" hidden="false" customHeight="false" outlineLevel="0" collapsed="false">
      <c r="A755" s="16" t="str">
        <f aca="false">Payment_Log_AP!A751</f>
        <v>PAY40750</v>
      </c>
      <c r="B755" s="16" t="str">
        <f aca="false">Payment_Log_AP!C751</f>
        <v>V1020</v>
      </c>
      <c r="C755" s="17" t="n">
        <f aca="false">Payment_Log_AP!D751</f>
        <v>46195</v>
      </c>
      <c r="D755" s="18" t="n">
        <f aca="false">Payment_Log_AP!E751</f>
        <v>7892.6</v>
      </c>
      <c r="E755" s="18" t="n">
        <f aca="false">IFERROR(INDEX(Bank_Statement!$C$2:$C$783,MATCH(A755,Bank_Statement!$E$2:$E$783,0)),"")</f>
        <v>-7892.6</v>
      </c>
      <c r="F755" s="16" t="str">
        <f aca="false">IF(E755="","No","Yes")</f>
        <v>Yes</v>
      </c>
      <c r="G755" s="18" t="n">
        <f aca="false">IF(F755="No","N/A",D755-E755)</f>
        <v>15785.2</v>
      </c>
      <c r="H755" s="16" t="str">
        <f aca="false">IF(F755="No","Unmatched - Investigate",IF(ABS(D755-E755)&gt;Assumptions!$B$6,"Mismatch - Amount Differs","Matched"))</f>
        <v>Mismatch - Amount Differs</v>
      </c>
    </row>
    <row r="756" customFormat="false" ht="15" hidden="false" customHeight="false" outlineLevel="0" collapsed="false">
      <c r="A756" s="16" t="str">
        <f aca="false">Payment_Log_AP!A752</f>
        <v>PAY40751</v>
      </c>
      <c r="B756" s="16" t="str">
        <f aca="false">Payment_Log_AP!C752</f>
        <v>V1029</v>
      </c>
      <c r="C756" s="17" t="n">
        <f aca="false">Payment_Log_AP!D752</f>
        <v>46171</v>
      </c>
      <c r="D756" s="18" t="n">
        <f aca="false">Payment_Log_AP!E752</f>
        <v>5336.94</v>
      </c>
      <c r="E756" s="18" t="n">
        <f aca="false">IFERROR(INDEX(Bank_Statement!$C$2:$C$783,MATCH(A756,Bank_Statement!$E$2:$E$783,0)),"")</f>
        <v>-5336.94</v>
      </c>
      <c r="F756" s="16" t="str">
        <f aca="false">IF(E756="","No","Yes")</f>
        <v>Yes</v>
      </c>
      <c r="G756" s="18" t="n">
        <f aca="false">IF(F756="No","N/A",D756-E756)</f>
        <v>10673.88</v>
      </c>
      <c r="H756" s="16" t="str">
        <f aca="false">IF(F756="No","Unmatched - Investigate",IF(ABS(D756-E756)&gt;Assumptions!$B$6,"Mismatch - Amount Differs","Matched"))</f>
        <v>Mismatch - Amount Differs</v>
      </c>
    </row>
    <row r="757" customFormat="false" ht="15" hidden="false" customHeight="false" outlineLevel="0" collapsed="false">
      <c r="A757" s="16" t="str">
        <f aca="false">Payment_Log_AP!A753</f>
        <v>PAY40752</v>
      </c>
      <c r="B757" s="16" t="str">
        <f aca="false">Payment_Log_AP!C753</f>
        <v>V1014</v>
      </c>
      <c r="C757" s="17" t="n">
        <f aca="false">Payment_Log_AP!D753</f>
        <v>46002</v>
      </c>
      <c r="D757" s="18" t="n">
        <f aca="false">Payment_Log_AP!E753</f>
        <v>4104.49</v>
      </c>
      <c r="E757" s="18" t="n">
        <f aca="false">IFERROR(INDEX(Bank_Statement!$C$2:$C$783,MATCH(A757,Bank_Statement!$E$2:$E$783,0)),"")</f>
        <v>-4104.49</v>
      </c>
      <c r="F757" s="16" t="str">
        <f aca="false">IF(E757="","No","Yes")</f>
        <v>Yes</v>
      </c>
      <c r="G757" s="18" t="n">
        <f aca="false">IF(F757="No","N/A",D757-E757)</f>
        <v>8208.98</v>
      </c>
      <c r="H757" s="16" t="str">
        <f aca="false">IF(F757="No","Unmatched - Investigate",IF(ABS(D757-E757)&gt;Assumptions!$B$6,"Mismatch - Amount Differs","Matched"))</f>
        <v>Mismatch - Amount Differs</v>
      </c>
    </row>
    <row r="760" customFormat="false" ht="15" hidden="false" customHeight="false" outlineLevel="0" collapsed="false">
      <c r="A760" s="3" t="s">
        <v>5544</v>
      </c>
      <c r="B760" s="4"/>
      <c r="C760" s="4"/>
      <c r="D760" s="4"/>
      <c r="E760" s="4"/>
      <c r="F760" s="4"/>
    </row>
    <row r="761" customFormat="false" ht="27.75" hidden="false" customHeight="true" outlineLevel="0" collapsed="false">
      <c r="A761" s="7" t="s">
        <v>3593</v>
      </c>
      <c r="B761" s="7" t="s">
        <v>3594</v>
      </c>
      <c r="C761" s="7" t="s">
        <v>3595</v>
      </c>
      <c r="D761" s="7" t="s">
        <v>3596</v>
      </c>
      <c r="E761" s="7" t="s">
        <v>3597</v>
      </c>
      <c r="F761" s="7" t="s">
        <v>5545</v>
      </c>
      <c r="G761" s="7" t="s">
        <v>5546</v>
      </c>
    </row>
    <row r="762" customFormat="false" ht="15" hidden="false" customHeight="false" outlineLevel="0" collapsed="false">
      <c r="A762" s="16" t="str">
        <f aca="false">Bank_Statement!A2</f>
        <v>BNK50001</v>
      </c>
      <c r="B762" s="17" t="n">
        <f aca="false">Bank_Statement!B2</f>
        <v>46144</v>
      </c>
      <c r="C762" s="18" t="n">
        <f aca="false">Bank_Statement!C2</f>
        <v>-1417.41</v>
      </c>
      <c r="D762" s="16" t="str">
        <f aca="false">Bank_Statement!D2</f>
        <v>PMT-V1020</v>
      </c>
      <c r="E762" s="16" t="str">
        <f aca="false">Bank_Statement!E2</f>
        <v>PAY40001</v>
      </c>
      <c r="F762" s="16" t="str">
        <f aca="false">IF(E762="","N/A",IF(COUNTIF(Payment_Log_AP!$A$2:$A$753,E762)&gt;0,"Yes","No"))</f>
        <v>Yes</v>
      </c>
      <c r="G762" s="16" t="str">
        <f aca="false">IF(E762="","Unexplained Bank Item (fee/other - review)",IF(F762="Yes","Matched","Payment Reference Not Found in AP Log"))</f>
        <v>Matched</v>
      </c>
    </row>
    <row r="763" customFormat="false" ht="15" hidden="false" customHeight="false" outlineLevel="0" collapsed="false">
      <c r="A763" s="16" t="str">
        <f aca="false">Bank_Statement!A3</f>
        <v>BNK50002</v>
      </c>
      <c r="B763" s="17" t="n">
        <f aca="false">Bank_Statement!B3</f>
        <v>45807</v>
      </c>
      <c r="C763" s="18" t="n">
        <f aca="false">Bank_Statement!C3</f>
        <v>-1749.66</v>
      </c>
      <c r="D763" s="16" t="str">
        <f aca="false">Bank_Statement!D3</f>
        <v>PMT-V1034</v>
      </c>
      <c r="E763" s="16" t="str">
        <f aca="false">Bank_Statement!E3</f>
        <v>PAY40002</v>
      </c>
      <c r="F763" s="16" t="str">
        <f aca="false">IF(E763="","N/A",IF(COUNTIF(Payment_Log_AP!$A$2:$A$753,E763)&gt;0,"Yes","No"))</f>
        <v>Yes</v>
      </c>
      <c r="G763" s="16" t="str">
        <f aca="false">IF(E763="","Unexplained Bank Item (fee/other - review)",IF(F763="Yes","Matched","Payment Reference Not Found in AP Log"))</f>
        <v>Matched</v>
      </c>
    </row>
    <row r="764" customFormat="false" ht="15" hidden="false" customHeight="false" outlineLevel="0" collapsed="false">
      <c r="A764" s="16" t="str">
        <f aca="false">Bank_Statement!A4</f>
        <v>BNK50003</v>
      </c>
      <c r="B764" s="17" t="n">
        <f aca="false">Bank_Statement!B4</f>
        <v>45683</v>
      </c>
      <c r="C764" s="18" t="n">
        <f aca="false">Bank_Statement!C4</f>
        <v>-2691.35</v>
      </c>
      <c r="D764" s="16" t="str">
        <f aca="false">Bank_Statement!D4</f>
        <v>PMT-V1014</v>
      </c>
      <c r="E764" s="16" t="str">
        <f aca="false">Bank_Statement!E4</f>
        <v>PAY40003</v>
      </c>
      <c r="F764" s="16" t="str">
        <f aca="false">IF(E764="","N/A",IF(COUNTIF(Payment_Log_AP!$A$2:$A$753,E764)&gt;0,"Yes","No"))</f>
        <v>Yes</v>
      </c>
      <c r="G764" s="16" t="str">
        <f aca="false">IF(E764="","Unexplained Bank Item (fee/other - review)",IF(F764="Yes","Matched","Payment Reference Not Found in AP Log"))</f>
        <v>Matched</v>
      </c>
    </row>
    <row r="765" customFormat="false" ht="15" hidden="false" customHeight="false" outlineLevel="0" collapsed="false">
      <c r="A765" s="16" t="str">
        <f aca="false">Bank_Statement!A5</f>
        <v>BNK50004</v>
      </c>
      <c r="B765" s="17" t="n">
        <f aca="false">Bank_Statement!B5</f>
        <v>45808</v>
      </c>
      <c r="C765" s="18" t="n">
        <f aca="false">Bank_Statement!C5</f>
        <v>-889.24</v>
      </c>
      <c r="D765" s="16" t="str">
        <f aca="false">Bank_Statement!D5</f>
        <v>PMT-V1040</v>
      </c>
      <c r="E765" s="16" t="str">
        <f aca="false">Bank_Statement!E5</f>
        <v>PAY40004</v>
      </c>
      <c r="F765" s="16" t="str">
        <f aca="false">IF(E765="","N/A",IF(COUNTIF(Payment_Log_AP!$A$2:$A$753,E765)&gt;0,"Yes","No"))</f>
        <v>Yes</v>
      </c>
      <c r="G765" s="16" t="str">
        <f aca="false">IF(E765="","Unexplained Bank Item (fee/other - review)",IF(F765="Yes","Matched","Payment Reference Not Found in AP Log"))</f>
        <v>Matched</v>
      </c>
    </row>
    <row r="766" customFormat="false" ht="15" hidden="false" customHeight="false" outlineLevel="0" collapsed="false">
      <c r="A766" s="16" t="str">
        <f aca="false">Bank_Statement!A6</f>
        <v>BNK50005</v>
      </c>
      <c r="B766" s="17" t="n">
        <f aca="false">Bank_Statement!B6</f>
        <v>45886</v>
      </c>
      <c r="C766" s="18" t="n">
        <f aca="false">Bank_Statement!C6</f>
        <v>-3058.04</v>
      </c>
      <c r="D766" s="16" t="str">
        <f aca="false">Bank_Statement!D6</f>
        <v>PMT-V1022</v>
      </c>
      <c r="E766" s="16" t="str">
        <f aca="false">Bank_Statement!E6</f>
        <v>PAY40005</v>
      </c>
      <c r="F766" s="16" t="str">
        <f aca="false">IF(E766="","N/A",IF(COUNTIF(Payment_Log_AP!$A$2:$A$753,E766)&gt;0,"Yes","No"))</f>
        <v>Yes</v>
      </c>
      <c r="G766" s="16" t="str">
        <f aca="false">IF(E766="","Unexplained Bank Item (fee/other - review)",IF(F766="Yes","Matched","Payment Reference Not Found in AP Log"))</f>
        <v>Matched</v>
      </c>
    </row>
    <row r="767" customFormat="false" ht="15" hidden="false" customHeight="false" outlineLevel="0" collapsed="false">
      <c r="A767" s="16" t="str">
        <f aca="false">Bank_Statement!A7</f>
        <v>BNK50006</v>
      </c>
      <c r="B767" s="17" t="n">
        <f aca="false">Bank_Statement!B7</f>
        <v>46161</v>
      </c>
      <c r="C767" s="18" t="n">
        <f aca="false">Bank_Statement!C7</f>
        <v>-1359.77</v>
      </c>
      <c r="D767" s="16" t="str">
        <f aca="false">Bank_Statement!D7</f>
        <v>PMT-V1040</v>
      </c>
      <c r="E767" s="16" t="str">
        <f aca="false">Bank_Statement!E7</f>
        <v>PAY40006</v>
      </c>
      <c r="F767" s="16" t="str">
        <f aca="false">IF(E767="","N/A",IF(COUNTIF(Payment_Log_AP!$A$2:$A$753,E767)&gt;0,"Yes","No"))</f>
        <v>Yes</v>
      </c>
      <c r="G767" s="16" t="str">
        <f aca="false">IF(E767="","Unexplained Bank Item (fee/other - review)",IF(F767="Yes","Matched","Payment Reference Not Found in AP Log"))</f>
        <v>Matched</v>
      </c>
    </row>
    <row r="768" customFormat="false" ht="15" hidden="false" customHeight="false" outlineLevel="0" collapsed="false">
      <c r="A768" s="16" t="str">
        <f aca="false">Bank_Statement!A8</f>
        <v>BNK50007</v>
      </c>
      <c r="B768" s="17" t="n">
        <f aca="false">Bank_Statement!B8</f>
        <v>46195</v>
      </c>
      <c r="C768" s="18" t="n">
        <f aca="false">Bank_Statement!C8</f>
        <v>-3708.39</v>
      </c>
      <c r="D768" s="16" t="str">
        <f aca="false">Bank_Statement!D8</f>
        <v>PMT-V1040</v>
      </c>
      <c r="E768" s="16" t="str">
        <f aca="false">Bank_Statement!E8</f>
        <v>PAY40007</v>
      </c>
      <c r="F768" s="16" t="str">
        <f aca="false">IF(E768="","N/A",IF(COUNTIF(Payment_Log_AP!$A$2:$A$753,E768)&gt;0,"Yes","No"))</f>
        <v>Yes</v>
      </c>
      <c r="G768" s="16" t="str">
        <f aca="false">IF(E768="","Unexplained Bank Item (fee/other - review)",IF(F768="Yes","Matched","Payment Reference Not Found in AP Log"))</f>
        <v>Matched</v>
      </c>
    </row>
    <row r="769" customFormat="false" ht="15" hidden="false" customHeight="false" outlineLevel="0" collapsed="false">
      <c r="A769" s="16" t="str">
        <f aca="false">Bank_Statement!A9</f>
        <v>BNK50008</v>
      </c>
      <c r="B769" s="17" t="n">
        <f aca="false">Bank_Statement!B9</f>
        <v>45861</v>
      </c>
      <c r="C769" s="18" t="n">
        <f aca="false">Bank_Statement!C9</f>
        <v>-6081.19</v>
      </c>
      <c r="D769" s="16" t="str">
        <f aca="false">Bank_Statement!D9</f>
        <v>PMT-V1015</v>
      </c>
      <c r="E769" s="16" t="str">
        <f aca="false">Bank_Statement!E9</f>
        <v>PAY40008</v>
      </c>
      <c r="F769" s="16" t="str">
        <f aca="false">IF(E769="","N/A",IF(COUNTIF(Payment_Log_AP!$A$2:$A$753,E769)&gt;0,"Yes","No"))</f>
        <v>Yes</v>
      </c>
      <c r="G769" s="16" t="str">
        <f aca="false">IF(E769="","Unexplained Bank Item (fee/other - review)",IF(F769="Yes","Matched","Payment Reference Not Found in AP Log"))</f>
        <v>Matched</v>
      </c>
    </row>
    <row r="770" customFormat="false" ht="15" hidden="false" customHeight="false" outlineLevel="0" collapsed="false">
      <c r="A770" s="16" t="str">
        <f aca="false">Bank_Statement!A10</f>
        <v>BNK50009</v>
      </c>
      <c r="B770" s="17" t="n">
        <f aca="false">Bank_Statement!B10</f>
        <v>45885</v>
      </c>
      <c r="C770" s="18" t="n">
        <f aca="false">Bank_Statement!C10</f>
        <v>-1466.07</v>
      </c>
      <c r="D770" s="16" t="str">
        <f aca="false">Bank_Statement!D10</f>
        <v>PMT-V1005</v>
      </c>
      <c r="E770" s="16" t="str">
        <f aca="false">Bank_Statement!E10</f>
        <v>PAY40009</v>
      </c>
      <c r="F770" s="16" t="str">
        <f aca="false">IF(E770="","N/A",IF(COUNTIF(Payment_Log_AP!$A$2:$A$753,E770)&gt;0,"Yes","No"))</f>
        <v>Yes</v>
      </c>
      <c r="G770" s="16" t="str">
        <f aca="false">IF(E770="","Unexplained Bank Item (fee/other - review)",IF(F770="Yes","Matched","Payment Reference Not Found in AP Log"))</f>
        <v>Matched</v>
      </c>
    </row>
    <row r="771" customFormat="false" ht="15" hidden="false" customHeight="false" outlineLevel="0" collapsed="false">
      <c r="A771" s="16" t="str">
        <f aca="false">Bank_Statement!A11</f>
        <v>BNK50010</v>
      </c>
      <c r="B771" s="17" t="n">
        <f aca="false">Bank_Statement!B11</f>
        <v>45992</v>
      </c>
      <c r="C771" s="18" t="n">
        <f aca="false">Bank_Statement!C11</f>
        <v>-15002.72</v>
      </c>
      <c r="D771" s="16" t="str">
        <f aca="false">Bank_Statement!D11</f>
        <v>PMT-V1035</v>
      </c>
      <c r="E771" s="16" t="str">
        <f aca="false">Bank_Statement!E11</f>
        <v>PAY40010</v>
      </c>
      <c r="F771" s="16" t="str">
        <f aca="false">IF(E771="","N/A",IF(COUNTIF(Payment_Log_AP!$A$2:$A$753,E771)&gt;0,"Yes","No"))</f>
        <v>Yes</v>
      </c>
      <c r="G771" s="16" t="str">
        <f aca="false">IF(E771="","Unexplained Bank Item (fee/other - review)",IF(F771="Yes","Matched","Payment Reference Not Found in AP Log"))</f>
        <v>Matched</v>
      </c>
    </row>
    <row r="772" customFormat="false" ht="15" hidden="false" customHeight="false" outlineLevel="0" collapsed="false">
      <c r="A772" s="16" t="str">
        <f aca="false">Bank_Statement!A12</f>
        <v>BNK50011</v>
      </c>
      <c r="B772" s="17" t="n">
        <f aca="false">Bank_Statement!B12</f>
        <v>46197</v>
      </c>
      <c r="C772" s="18" t="n">
        <f aca="false">Bank_Statement!C12</f>
        <v>-911.91</v>
      </c>
      <c r="D772" s="16" t="str">
        <f aca="false">Bank_Statement!D12</f>
        <v>PMT-V1016</v>
      </c>
      <c r="E772" s="16" t="str">
        <f aca="false">Bank_Statement!E12</f>
        <v>PAY40011</v>
      </c>
      <c r="F772" s="16" t="str">
        <f aca="false">IF(E772="","N/A",IF(COUNTIF(Payment_Log_AP!$A$2:$A$753,E772)&gt;0,"Yes","No"))</f>
        <v>Yes</v>
      </c>
      <c r="G772" s="16" t="str">
        <f aca="false">IF(E772="","Unexplained Bank Item (fee/other - review)",IF(F772="Yes","Matched","Payment Reference Not Found in AP Log"))</f>
        <v>Matched</v>
      </c>
    </row>
    <row r="773" customFormat="false" ht="15" hidden="false" customHeight="false" outlineLevel="0" collapsed="false">
      <c r="A773" s="16" t="str">
        <f aca="false">Bank_Statement!A13</f>
        <v>BNK50012</v>
      </c>
      <c r="B773" s="17" t="n">
        <f aca="false">Bank_Statement!B13</f>
        <v>45753</v>
      </c>
      <c r="C773" s="18" t="n">
        <f aca="false">Bank_Statement!C13</f>
        <v>-1222.88</v>
      </c>
      <c r="D773" s="16" t="str">
        <f aca="false">Bank_Statement!D13</f>
        <v>PMT-V1002</v>
      </c>
      <c r="E773" s="16" t="str">
        <f aca="false">Bank_Statement!E13</f>
        <v>PAY40012</v>
      </c>
      <c r="F773" s="16" t="str">
        <f aca="false">IF(E773="","N/A",IF(COUNTIF(Payment_Log_AP!$A$2:$A$753,E773)&gt;0,"Yes","No"))</f>
        <v>Yes</v>
      </c>
      <c r="G773" s="16" t="str">
        <f aca="false">IF(E773="","Unexplained Bank Item (fee/other - review)",IF(F773="Yes","Matched","Payment Reference Not Found in AP Log"))</f>
        <v>Matched</v>
      </c>
    </row>
    <row r="774" customFormat="false" ht="15" hidden="false" customHeight="false" outlineLevel="0" collapsed="false">
      <c r="A774" s="16" t="str">
        <f aca="false">Bank_Statement!A14</f>
        <v>BNK50013</v>
      </c>
      <c r="B774" s="17" t="n">
        <f aca="false">Bank_Statement!B14</f>
        <v>45778</v>
      </c>
      <c r="C774" s="18" t="n">
        <f aca="false">Bank_Statement!C14</f>
        <v>-4721.09</v>
      </c>
      <c r="D774" s="16" t="str">
        <f aca="false">Bank_Statement!D14</f>
        <v>PMT-V1026</v>
      </c>
      <c r="E774" s="16" t="str">
        <f aca="false">Bank_Statement!E14</f>
        <v>PAY40013</v>
      </c>
      <c r="F774" s="16" t="str">
        <f aca="false">IF(E774="","N/A",IF(COUNTIF(Payment_Log_AP!$A$2:$A$753,E774)&gt;0,"Yes","No"))</f>
        <v>Yes</v>
      </c>
      <c r="G774" s="16" t="str">
        <f aca="false">IF(E774="","Unexplained Bank Item (fee/other - review)",IF(F774="Yes","Matched","Payment Reference Not Found in AP Log"))</f>
        <v>Matched</v>
      </c>
    </row>
    <row r="775" customFormat="false" ht="15" hidden="false" customHeight="false" outlineLevel="0" collapsed="false">
      <c r="A775" s="16" t="str">
        <f aca="false">Bank_Statement!A15</f>
        <v>BNK50014</v>
      </c>
      <c r="B775" s="17" t="n">
        <f aca="false">Bank_Statement!B15</f>
        <v>45840</v>
      </c>
      <c r="C775" s="18" t="n">
        <f aca="false">Bank_Statement!C15</f>
        <v>-302.18</v>
      </c>
      <c r="D775" s="16" t="str">
        <f aca="false">Bank_Statement!D15</f>
        <v>PMT-V1004</v>
      </c>
      <c r="E775" s="16" t="str">
        <f aca="false">Bank_Statement!E15</f>
        <v>PAY40014</v>
      </c>
      <c r="F775" s="16" t="str">
        <f aca="false">IF(E775="","N/A",IF(COUNTIF(Payment_Log_AP!$A$2:$A$753,E775)&gt;0,"Yes","No"))</f>
        <v>Yes</v>
      </c>
      <c r="G775" s="16" t="str">
        <f aca="false">IF(E775="","Unexplained Bank Item (fee/other - review)",IF(F775="Yes","Matched","Payment Reference Not Found in AP Log"))</f>
        <v>Matched</v>
      </c>
    </row>
    <row r="776" customFormat="false" ht="15" hidden="false" customHeight="false" outlineLevel="0" collapsed="false">
      <c r="A776" s="16" t="str">
        <f aca="false">Bank_Statement!A16</f>
        <v>BNK50015</v>
      </c>
      <c r="B776" s="17" t="n">
        <f aca="false">Bank_Statement!B16</f>
        <v>45756</v>
      </c>
      <c r="C776" s="18" t="n">
        <f aca="false">Bank_Statement!C16</f>
        <v>-2051.54</v>
      </c>
      <c r="D776" s="16" t="str">
        <f aca="false">Bank_Statement!D16</f>
        <v>PMT-V1024</v>
      </c>
      <c r="E776" s="16" t="str">
        <f aca="false">Bank_Statement!E16</f>
        <v>PAY40015</v>
      </c>
      <c r="F776" s="16" t="str">
        <f aca="false">IF(E776="","N/A",IF(COUNTIF(Payment_Log_AP!$A$2:$A$753,E776)&gt;0,"Yes","No"))</f>
        <v>Yes</v>
      </c>
      <c r="G776" s="16" t="str">
        <f aca="false">IF(E776="","Unexplained Bank Item (fee/other - review)",IF(F776="Yes","Matched","Payment Reference Not Found in AP Log"))</f>
        <v>Matched</v>
      </c>
    </row>
    <row r="777" customFormat="false" ht="15" hidden="false" customHeight="false" outlineLevel="0" collapsed="false">
      <c r="A777" s="16" t="str">
        <f aca="false">Bank_Statement!A17</f>
        <v>BNK50016</v>
      </c>
      <c r="B777" s="17" t="n">
        <f aca="false">Bank_Statement!B17</f>
        <v>45914</v>
      </c>
      <c r="C777" s="18" t="n">
        <f aca="false">Bank_Statement!C17</f>
        <v>-9960.57</v>
      </c>
      <c r="D777" s="16" t="str">
        <f aca="false">Bank_Statement!D17</f>
        <v>PMT-V1028</v>
      </c>
      <c r="E777" s="16" t="str">
        <f aca="false">Bank_Statement!E17</f>
        <v>PAY40016</v>
      </c>
      <c r="F777" s="16" t="str">
        <f aca="false">IF(E777="","N/A",IF(COUNTIF(Payment_Log_AP!$A$2:$A$753,E777)&gt;0,"Yes","No"))</f>
        <v>Yes</v>
      </c>
      <c r="G777" s="16" t="str">
        <f aca="false">IF(E777="","Unexplained Bank Item (fee/other - review)",IF(F777="Yes","Matched","Payment Reference Not Found in AP Log"))</f>
        <v>Matched</v>
      </c>
    </row>
    <row r="778" customFormat="false" ht="15" hidden="false" customHeight="false" outlineLevel="0" collapsed="false">
      <c r="A778" s="16" t="str">
        <f aca="false">Bank_Statement!A18</f>
        <v>BNK50017</v>
      </c>
      <c r="B778" s="17" t="n">
        <f aca="false">Bank_Statement!B18</f>
        <v>46099</v>
      </c>
      <c r="C778" s="18" t="n">
        <f aca="false">Bank_Statement!C18</f>
        <v>-15696.57</v>
      </c>
      <c r="D778" s="16" t="str">
        <f aca="false">Bank_Statement!D18</f>
        <v>PMT-V1018</v>
      </c>
      <c r="E778" s="16" t="str">
        <f aca="false">Bank_Statement!E18</f>
        <v>PAY40017</v>
      </c>
      <c r="F778" s="16" t="str">
        <f aca="false">IF(E778="","N/A",IF(COUNTIF(Payment_Log_AP!$A$2:$A$753,E778)&gt;0,"Yes","No"))</f>
        <v>Yes</v>
      </c>
      <c r="G778" s="16" t="str">
        <f aca="false">IF(E778="","Unexplained Bank Item (fee/other - review)",IF(F778="Yes","Matched","Payment Reference Not Found in AP Log"))</f>
        <v>Matched</v>
      </c>
    </row>
    <row r="779" customFormat="false" ht="15" hidden="false" customHeight="false" outlineLevel="0" collapsed="false">
      <c r="A779" s="16" t="str">
        <f aca="false">Bank_Statement!A19</f>
        <v>BNK50018</v>
      </c>
      <c r="B779" s="17" t="n">
        <f aca="false">Bank_Statement!B19</f>
        <v>45842</v>
      </c>
      <c r="C779" s="18" t="n">
        <f aca="false">Bank_Statement!C19</f>
        <v>-1879.55</v>
      </c>
      <c r="D779" s="16" t="str">
        <f aca="false">Bank_Statement!D19</f>
        <v>PMT-V1016</v>
      </c>
      <c r="E779" s="16" t="str">
        <f aca="false">Bank_Statement!E19</f>
        <v>PAY40018</v>
      </c>
      <c r="F779" s="16" t="str">
        <f aca="false">IF(E779="","N/A",IF(COUNTIF(Payment_Log_AP!$A$2:$A$753,E779)&gt;0,"Yes","No"))</f>
        <v>Yes</v>
      </c>
      <c r="G779" s="16" t="str">
        <f aca="false">IF(E779="","Unexplained Bank Item (fee/other - review)",IF(F779="Yes","Matched","Payment Reference Not Found in AP Log"))</f>
        <v>Matched</v>
      </c>
    </row>
    <row r="780" customFormat="false" ht="15" hidden="false" customHeight="false" outlineLevel="0" collapsed="false">
      <c r="A780" s="16" t="str">
        <f aca="false">Bank_Statement!A20</f>
        <v>BNK50019</v>
      </c>
      <c r="B780" s="17" t="n">
        <f aca="false">Bank_Statement!B20</f>
        <v>46012</v>
      </c>
      <c r="C780" s="18" t="n">
        <f aca="false">Bank_Statement!C20</f>
        <v>-883.86</v>
      </c>
      <c r="D780" s="16" t="str">
        <f aca="false">Bank_Statement!D20</f>
        <v>PMT-V1027</v>
      </c>
      <c r="E780" s="16" t="str">
        <f aca="false">Bank_Statement!E20</f>
        <v>PAY40019</v>
      </c>
      <c r="F780" s="16" t="str">
        <f aca="false">IF(E780="","N/A",IF(COUNTIF(Payment_Log_AP!$A$2:$A$753,E780)&gt;0,"Yes","No"))</f>
        <v>Yes</v>
      </c>
      <c r="G780" s="16" t="str">
        <f aca="false">IF(E780="","Unexplained Bank Item (fee/other - review)",IF(F780="Yes","Matched","Payment Reference Not Found in AP Log"))</f>
        <v>Matched</v>
      </c>
    </row>
    <row r="781" customFormat="false" ht="15" hidden="false" customHeight="false" outlineLevel="0" collapsed="false">
      <c r="A781" s="16" t="str">
        <f aca="false">Bank_Statement!A21</f>
        <v>BNK50020</v>
      </c>
      <c r="B781" s="17" t="n">
        <f aca="false">Bank_Statement!B21</f>
        <v>45971</v>
      </c>
      <c r="C781" s="18" t="n">
        <f aca="false">Bank_Statement!C21</f>
        <v>-1058.03</v>
      </c>
      <c r="D781" s="16" t="str">
        <f aca="false">Bank_Statement!D21</f>
        <v>PMT-V1007</v>
      </c>
      <c r="E781" s="16" t="str">
        <f aca="false">Bank_Statement!E21</f>
        <v>PAY40020</v>
      </c>
      <c r="F781" s="16" t="str">
        <f aca="false">IF(E781="","N/A",IF(COUNTIF(Payment_Log_AP!$A$2:$A$753,E781)&gt;0,"Yes","No"))</f>
        <v>Yes</v>
      </c>
      <c r="G781" s="16" t="str">
        <f aca="false">IF(E781="","Unexplained Bank Item (fee/other - review)",IF(F781="Yes","Matched","Payment Reference Not Found in AP Log"))</f>
        <v>Matched</v>
      </c>
    </row>
    <row r="782" customFormat="false" ht="15" hidden="false" customHeight="false" outlineLevel="0" collapsed="false">
      <c r="A782" s="16" t="str">
        <f aca="false">Bank_Statement!A22</f>
        <v>BNK50021</v>
      </c>
      <c r="B782" s="17" t="n">
        <f aca="false">Bank_Statement!B22</f>
        <v>45900</v>
      </c>
      <c r="C782" s="18" t="n">
        <f aca="false">Bank_Statement!C22</f>
        <v>-2265.24</v>
      </c>
      <c r="D782" s="16" t="str">
        <f aca="false">Bank_Statement!D22</f>
        <v>PMT-V1039</v>
      </c>
      <c r="E782" s="16" t="str">
        <f aca="false">Bank_Statement!E22</f>
        <v>PAY40021</v>
      </c>
      <c r="F782" s="16" t="str">
        <f aca="false">IF(E782="","N/A",IF(COUNTIF(Payment_Log_AP!$A$2:$A$753,E782)&gt;0,"Yes","No"))</f>
        <v>Yes</v>
      </c>
      <c r="G782" s="16" t="str">
        <f aca="false">IF(E782="","Unexplained Bank Item (fee/other - review)",IF(F782="Yes","Matched","Payment Reference Not Found in AP Log"))</f>
        <v>Matched</v>
      </c>
    </row>
    <row r="783" customFormat="false" ht="15" hidden="false" customHeight="false" outlineLevel="0" collapsed="false">
      <c r="A783" s="16" t="str">
        <f aca="false">Bank_Statement!A23</f>
        <v>BNK50022</v>
      </c>
      <c r="B783" s="17" t="n">
        <f aca="false">Bank_Statement!B23</f>
        <v>46010</v>
      </c>
      <c r="C783" s="18" t="n">
        <f aca="false">Bank_Statement!C23</f>
        <v>-1994.87</v>
      </c>
      <c r="D783" s="16" t="str">
        <f aca="false">Bank_Statement!D23</f>
        <v>PMT-V1027</v>
      </c>
      <c r="E783" s="16" t="str">
        <f aca="false">Bank_Statement!E23</f>
        <v>PAY40022</v>
      </c>
      <c r="F783" s="16" t="str">
        <f aca="false">IF(E783="","N/A",IF(COUNTIF(Payment_Log_AP!$A$2:$A$753,E783)&gt;0,"Yes","No"))</f>
        <v>Yes</v>
      </c>
      <c r="G783" s="16" t="str">
        <f aca="false">IF(E783="","Unexplained Bank Item (fee/other - review)",IF(F783="Yes","Matched","Payment Reference Not Found in AP Log"))</f>
        <v>Matched</v>
      </c>
    </row>
    <row r="784" customFormat="false" ht="15" hidden="false" customHeight="false" outlineLevel="0" collapsed="false">
      <c r="A784" s="16" t="str">
        <f aca="false">Bank_Statement!A24</f>
        <v>BNK50023</v>
      </c>
      <c r="B784" s="17" t="n">
        <f aca="false">Bank_Statement!B24</f>
        <v>45828</v>
      </c>
      <c r="C784" s="18" t="n">
        <f aca="false">Bank_Statement!C24</f>
        <v>-1863.09</v>
      </c>
      <c r="D784" s="16" t="str">
        <f aca="false">Bank_Statement!D24</f>
        <v>PMT-V1017</v>
      </c>
      <c r="E784" s="16" t="str">
        <f aca="false">Bank_Statement!E24</f>
        <v>PAY40023</v>
      </c>
      <c r="F784" s="16" t="str">
        <f aca="false">IF(E784="","N/A",IF(COUNTIF(Payment_Log_AP!$A$2:$A$753,E784)&gt;0,"Yes","No"))</f>
        <v>Yes</v>
      </c>
      <c r="G784" s="16" t="str">
        <f aca="false">IF(E784="","Unexplained Bank Item (fee/other - review)",IF(F784="Yes","Matched","Payment Reference Not Found in AP Log"))</f>
        <v>Matched</v>
      </c>
    </row>
    <row r="785" customFormat="false" ht="15" hidden="false" customHeight="false" outlineLevel="0" collapsed="false">
      <c r="A785" s="16" t="str">
        <f aca="false">Bank_Statement!A25</f>
        <v>BNK50024</v>
      </c>
      <c r="B785" s="17" t="n">
        <f aca="false">Bank_Statement!B25</f>
        <v>46071</v>
      </c>
      <c r="C785" s="18" t="n">
        <f aca="false">Bank_Statement!C25</f>
        <v>-1558.36</v>
      </c>
      <c r="D785" s="16" t="str">
        <f aca="false">Bank_Statement!D25</f>
        <v>PMT-V1009</v>
      </c>
      <c r="E785" s="16" t="str">
        <f aca="false">Bank_Statement!E25</f>
        <v>PAY40024</v>
      </c>
      <c r="F785" s="16" t="str">
        <f aca="false">IF(E785="","N/A",IF(COUNTIF(Payment_Log_AP!$A$2:$A$753,E785)&gt;0,"Yes","No"))</f>
        <v>Yes</v>
      </c>
      <c r="G785" s="16" t="str">
        <f aca="false">IF(E785="","Unexplained Bank Item (fee/other - review)",IF(F785="Yes","Matched","Payment Reference Not Found in AP Log"))</f>
        <v>Matched</v>
      </c>
    </row>
    <row r="786" customFormat="false" ht="15" hidden="false" customHeight="false" outlineLevel="0" collapsed="false">
      <c r="A786" s="16" t="str">
        <f aca="false">Bank_Statement!A26</f>
        <v>BNK50025</v>
      </c>
      <c r="B786" s="17" t="n">
        <f aca="false">Bank_Statement!B26</f>
        <v>45711</v>
      </c>
      <c r="C786" s="18" t="n">
        <f aca="false">Bank_Statement!C26</f>
        <v>-1249.67</v>
      </c>
      <c r="D786" s="16" t="str">
        <f aca="false">Bank_Statement!D26</f>
        <v>PMT-V1013</v>
      </c>
      <c r="E786" s="16" t="str">
        <f aca="false">Bank_Statement!E26</f>
        <v>PAY40025</v>
      </c>
      <c r="F786" s="16" t="str">
        <f aca="false">IF(E786="","N/A",IF(COUNTIF(Payment_Log_AP!$A$2:$A$753,E786)&gt;0,"Yes","No"))</f>
        <v>Yes</v>
      </c>
      <c r="G786" s="16" t="str">
        <f aca="false">IF(E786="","Unexplained Bank Item (fee/other - review)",IF(F786="Yes","Matched","Payment Reference Not Found in AP Log"))</f>
        <v>Matched</v>
      </c>
    </row>
    <row r="787" customFormat="false" ht="15" hidden="false" customHeight="false" outlineLevel="0" collapsed="false">
      <c r="A787" s="16" t="str">
        <f aca="false">Bank_Statement!A27</f>
        <v>BNK50026</v>
      </c>
      <c r="B787" s="17" t="n">
        <f aca="false">Bank_Statement!B27</f>
        <v>45960</v>
      </c>
      <c r="C787" s="18" t="n">
        <f aca="false">Bank_Statement!C27</f>
        <v>-877.47</v>
      </c>
      <c r="D787" s="16" t="str">
        <f aca="false">Bank_Statement!D27</f>
        <v>PMT-V1016</v>
      </c>
      <c r="E787" s="16" t="str">
        <f aca="false">Bank_Statement!E27</f>
        <v>PAY40026</v>
      </c>
      <c r="F787" s="16" t="str">
        <f aca="false">IF(E787="","N/A",IF(COUNTIF(Payment_Log_AP!$A$2:$A$753,E787)&gt;0,"Yes","No"))</f>
        <v>Yes</v>
      </c>
      <c r="G787" s="16" t="str">
        <f aca="false">IF(E787="","Unexplained Bank Item (fee/other - review)",IF(F787="Yes","Matched","Payment Reference Not Found in AP Log"))</f>
        <v>Matched</v>
      </c>
    </row>
    <row r="788" customFormat="false" ht="15" hidden="false" customHeight="false" outlineLevel="0" collapsed="false">
      <c r="A788" s="16" t="str">
        <f aca="false">Bank_Statement!A28</f>
        <v>BNK50027</v>
      </c>
      <c r="B788" s="17" t="n">
        <f aca="false">Bank_Statement!B28</f>
        <v>46074</v>
      </c>
      <c r="C788" s="18" t="n">
        <f aca="false">Bank_Statement!C28</f>
        <v>-644.78</v>
      </c>
      <c r="D788" s="16" t="str">
        <f aca="false">Bank_Statement!D28</f>
        <v>PMT-V1017</v>
      </c>
      <c r="E788" s="16" t="str">
        <f aca="false">Bank_Statement!E28</f>
        <v>PAY40027</v>
      </c>
      <c r="F788" s="16" t="str">
        <f aca="false">IF(E788="","N/A",IF(COUNTIF(Payment_Log_AP!$A$2:$A$753,E788)&gt;0,"Yes","No"))</f>
        <v>Yes</v>
      </c>
      <c r="G788" s="16" t="str">
        <f aca="false">IF(E788="","Unexplained Bank Item (fee/other - review)",IF(F788="Yes","Matched","Payment Reference Not Found in AP Log"))</f>
        <v>Matched</v>
      </c>
    </row>
    <row r="789" customFormat="false" ht="15" hidden="false" customHeight="false" outlineLevel="0" collapsed="false">
      <c r="A789" s="16" t="str">
        <f aca="false">Bank_Statement!A29</f>
        <v>BNK50028</v>
      </c>
      <c r="B789" s="17" t="n">
        <f aca="false">Bank_Statement!B29</f>
        <v>46088</v>
      </c>
      <c r="C789" s="18" t="n">
        <f aca="false">Bank_Statement!C29</f>
        <v>-10749.2</v>
      </c>
      <c r="D789" s="16" t="str">
        <f aca="false">Bank_Statement!D29</f>
        <v>PMT-V1040</v>
      </c>
      <c r="E789" s="16" t="str">
        <f aca="false">Bank_Statement!E29</f>
        <v>PAY40028</v>
      </c>
      <c r="F789" s="16" t="str">
        <f aca="false">IF(E789="","N/A",IF(COUNTIF(Payment_Log_AP!$A$2:$A$753,E789)&gt;0,"Yes","No"))</f>
        <v>Yes</v>
      </c>
      <c r="G789" s="16" t="str">
        <f aca="false">IF(E789="","Unexplained Bank Item (fee/other - review)",IF(F789="Yes","Matched","Payment Reference Not Found in AP Log"))</f>
        <v>Matched</v>
      </c>
    </row>
    <row r="790" customFormat="false" ht="15" hidden="false" customHeight="false" outlineLevel="0" collapsed="false">
      <c r="A790" s="16" t="str">
        <f aca="false">Bank_Statement!A30</f>
        <v>BNK50029</v>
      </c>
      <c r="B790" s="17" t="n">
        <f aca="false">Bank_Statement!B30</f>
        <v>46040</v>
      </c>
      <c r="C790" s="18" t="n">
        <f aca="false">Bank_Statement!C30</f>
        <v>-10173.53</v>
      </c>
      <c r="D790" s="16" t="str">
        <f aca="false">Bank_Statement!D30</f>
        <v>PMT-V1018</v>
      </c>
      <c r="E790" s="16" t="str">
        <f aca="false">Bank_Statement!E30</f>
        <v>PAY40029</v>
      </c>
      <c r="F790" s="16" t="str">
        <f aca="false">IF(E790="","N/A",IF(COUNTIF(Payment_Log_AP!$A$2:$A$753,E790)&gt;0,"Yes","No"))</f>
        <v>Yes</v>
      </c>
      <c r="G790" s="16" t="str">
        <f aca="false">IF(E790="","Unexplained Bank Item (fee/other - review)",IF(F790="Yes","Matched","Payment Reference Not Found in AP Log"))</f>
        <v>Matched</v>
      </c>
    </row>
    <row r="791" customFormat="false" ht="15" hidden="false" customHeight="false" outlineLevel="0" collapsed="false">
      <c r="A791" s="16" t="str">
        <f aca="false">Bank_Statement!A31</f>
        <v>BNK50030</v>
      </c>
      <c r="B791" s="17" t="n">
        <f aca="false">Bank_Statement!B31</f>
        <v>45872</v>
      </c>
      <c r="C791" s="18" t="n">
        <f aca="false">Bank_Statement!C31</f>
        <v>-7427.81</v>
      </c>
      <c r="D791" s="16" t="str">
        <f aca="false">Bank_Statement!D31</f>
        <v>PMT-V1023</v>
      </c>
      <c r="E791" s="16" t="str">
        <f aca="false">Bank_Statement!E31</f>
        <v>PAY40030</v>
      </c>
      <c r="F791" s="16" t="str">
        <f aca="false">IF(E791="","N/A",IF(COUNTIF(Payment_Log_AP!$A$2:$A$753,E791)&gt;0,"Yes","No"))</f>
        <v>Yes</v>
      </c>
      <c r="G791" s="16" t="str">
        <f aca="false">IF(E791="","Unexplained Bank Item (fee/other - review)",IF(F791="Yes","Matched","Payment Reference Not Found in AP Log"))</f>
        <v>Matched</v>
      </c>
    </row>
    <row r="792" customFormat="false" ht="15" hidden="false" customHeight="false" outlineLevel="0" collapsed="false">
      <c r="A792" s="16" t="str">
        <f aca="false">Bank_Statement!A32</f>
        <v>BNK50031</v>
      </c>
      <c r="B792" s="17" t="n">
        <f aca="false">Bank_Statement!B32</f>
        <v>45739</v>
      </c>
      <c r="C792" s="18" t="n">
        <f aca="false">Bank_Statement!C32</f>
        <v>-3858.14</v>
      </c>
      <c r="D792" s="16" t="str">
        <f aca="false">Bank_Statement!D32</f>
        <v>PMT-V1024</v>
      </c>
      <c r="E792" s="16" t="str">
        <f aca="false">Bank_Statement!E32</f>
        <v>PAY40031</v>
      </c>
      <c r="F792" s="16" t="str">
        <f aca="false">IF(E792="","N/A",IF(COUNTIF(Payment_Log_AP!$A$2:$A$753,E792)&gt;0,"Yes","No"))</f>
        <v>Yes</v>
      </c>
      <c r="G792" s="16" t="str">
        <f aca="false">IF(E792="","Unexplained Bank Item (fee/other - review)",IF(F792="Yes","Matched","Payment Reference Not Found in AP Log"))</f>
        <v>Matched</v>
      </c>
    </row>
    <row r="793" customFormat="false" ht="15" hidden="false" customHeight="false" outlineLevel="0" collapsed="false">
      <c r="A793" s="16" t="str">
        <f aca="false">Bank_Statement!A33</f>
        <v>BNK50032</v>
      </c>
      <c r="B793" s="17" t="n">
        <f aca="false">Bank_Statement!B33</f>
        <v>46041</v>
      </c>
      <c r="C793" s="18" t="n">
        <f aca="false">Bank_Statement!C33</f>
        <v>-1031.9</v>
      </c>
      <c r="D793" s="16" t="str">
        <f aca="false">Bank_Statement!D33</f>
        <v>PMT-V1008</v>
      </c>
      <c r="E793" s="16" t="str">
        <f aca="false">Bank_Statement!E33</f>
        <v>PAY40032</v>
      </c>
      <c r="F793" s="16" t="str">
        <f aca="false">IF(E793="","N/A",IF(COUNTIF(Payment_Log_AP!$A$2:$A$753,E793)&gt;0,"Yes","No"))</f>
        <v>Yes</v>
      </c>
      <c r="G793" s="16" t="str">
        <f aca="false">IF(E793="","Unexplained Bank Item (fee/other - review)",IF(F793="Yes","Matched","Payment Reference Not Found in AP Log"))</f>
        <v>Matched</v>
      </c>
    </row>
    <row r="794" customFormat="false" ht="15" hidden="false" customHeight="false" outlineLevel="0" collapsed="false">
      <c r="A794" s="16" t="str">
        <f aca="false">Bank_Statement!A34</f>
        <v>BNK50033</v>
      </c>
      <c r="B794" s="17" t="n">
        <f aca="false">Bank_Statement!B34</f>
        <v>45872</v>
      </c>
      <c r="C794" s="18" t="n">
        <f aca="false">Bank_Statement!C34</f>
        <v>-117.56</v>
      </c>
      <c r="D794" s="16" t="str">
        <f aca="false">Bank_Statement!D34</f>
        <v>PMT-V1023</v>
      </c>
      <c r="E794" s="16" t="str">
        <f aca="false">Bank_Statement!E34</f>
        <v>PAY40033</v>
      </c>
      <c r="F794" s="16" t="str">
        <f aca="false">IF(E794="","N/A",IF(COUNTIF(Payment_Log_AP!$A$2:$A$753,E794)&gt;0,"Yes","No"))</f>
        <v>Yes</v>
      </c>
      <c r="G794" s="16" t="str">
        <f aca="false">IF(E794="","Unexplained Bank Item (fee/other - review)",IF(F794="Yes","Matched","Payment Reference Not Found in AP Log"))</f>
        <v>Matched</v>
      </c>
    </row>
    <row r="795" customFormat="false" ht="15" hidden="false" customHeight="false" outlineLevel="0" collapsed="false">
      <c r="A795" s="16" t="str">
        <f aca="false">Bank_Statement!A35</f>
        <v>BNK50034</v>
      </c>
      <c r="B795" s="17" t="n">
        <f aca="false">Bank_Statement!B35</f>
        <v>45889</v>
      </c>
      <c r="C795" s="18" t="n">
        <f aca="false">Bank_Statement!C35</f>
        <v>-21146.76</v>
      </c>
      <c r="D795" s="16" t="str">
        <f aca="false">Bank_Statement!D35</f>
        <v>PMT-V1012</v>
      </c>
      <c r="E795" s="16" t="str">
        <f aca="false">Bank_Statement!E35</f>
        <v>PAY40034</v>
      </c>
      <c r="F795" s="16" t="str">
        <f aca="false">IF(E795="","N/A",IF(COUNTIF(Payment_Log_AP!$A$2:$A$753,E795)&gt;0,"Yes","No"))</f>
        <v>Yes</v>
      </c>
      <c r="G795" s="16" t="str">
        <f aca="false">IF(E795="","Unexplained Bank Item (fee/other - review)",IF(F795="Yes","Matched","Payment Reference Not Found in AP Log"))</f>
        <v>Matched</v>
      </c>
    </row>
    <row r="796" customFormat="false" ht="15" hidden="false" customHeight="false" outlineLevel="0" collapsed="false">
      <c r="A796" s="16" t="str">
        <f aca="false">Bank_Statement!A36</f>
        <v>BNK50035</v>
      </c>
      <c r="B796" s="17" t="n">
        <f aca="false">Bank_Statement!B36</f>
        <v>46160</v>
      </c>
      <c r="C796" s="18" t="n">
        <f aca="false">Bank_Statement!C36</f>
        <v>-869.11</v>
      </c>
      <c r="D796" s="16" t="str">
        <f aca="false">Bank_Statement!D36</f>
        <v>PMT-V1038</v>
      </c>
      <c r="E796" s="16" t="str">
        <f aca="false">Bank_Statement!E36</f>
        <v>PAY40035</v>
      </c>
      <c r="F796" s="16" t="str">
        <f aca="false">IF(E796="","N/A",IF(COUNTIF(Payment_Log_AP!$A$2:$A$753,E796)&gt;0,"Yes","No"))</f>
        <v>Yes</v>
      </c>
      <c r="G796" s="16" t="str">
        <f aca="false">IF(E796="","Unexplained Bank Item (fee/other - review)",IF(F796="Yes","Matched","Payment Reference Not Found in AP Log"))</f>
        <v>Matched</v>
      </c>
    </row>
    <row r="797" customFormat="false" ht="15" hidden="false" customHeight="false" outlineLevel="0" collapsed="false">
      <c r="A797" s="16" t="str">
        <f aca="false">Bank_Statement!A37</f>
        <v>BNK50036</v>
      </c>
      <c r="B797" s="17" t="n">
        <f aca="false">Bank_Statement!B37</f>
        <v>46091</v>
      </c>
      <c r="C797" s="18" t="n">
        <f aca="false">Bank_Statement!C37</f>
        <v>-1696.08</v>
      </c>
      <c r="D797" s="16" t="str">
        <f aca="false">Bank_Statement!D37</f>
        <v>PMT-V1015</v>
      </c>
      <c r="E797" s="16" t="str">
        <f aca="false">Bank_Statement!E37</f>
        <v>PAY40036</v>
      </c>
      <c r="F797" s="16" t="str">
        <f aca="false">IF(E797="","N/A",IF(COUNTIF(Payment_Log_AP!$A$2:$A$753,E797)&gt;0,"Yes","No"))</f>
        <v>Yes</v>
      </c>
      <c r="G797" s="16" t="str">
        <f aca="false">IF(E797="","Unexplained Bank Item (fee/other - review)",IF(F797="Yes","Matched","Payment Reference Not Found in AP Log"))</f>
        <v>Matched</v>
      </c>
    </row>
    <row r="798" customFormat="false" ht="15" hidden="false" customHeight="false" outlineLevel="0" collapsed="false">
      <c r="A798" s="16" t="str">
        <f aca="false">Bank_Statement!A38</f>
        <v>BNK50037</v>
      </c>
      <c r="B798" s="17" t="n">
        <f aca="false">Bank_Statement!B38</f>
        <v>45847</v>
      </c>
      <c r="C798" s="18" t="n">
        <f aca="false">Bank_Statement!C38</f>
        <v>-1814.85</v>
      </c>
      <c r="D798" s="16" t="str">
        <f aca="false">Bank_Statement!D38</f>
        <v>PMT-V1011</v>
      </c>
      <c r="E798" s="16" t="str">
        <f aca="false">Bank_Statement!E38</f>
        <v>PAY40037</v>
      </c>
      <c r="F798" s="16" t="str">
        <f aca="false">IF(E798="","N/A",IF(COUNTIF(Payment_Log_AP!$A$2:$A$753,E798)&gt;0,"Yes","No"))</f>
        <v>Yes</v>
      </c>
      <c r="G798" s="16" t="str">
        <f aca="false">IF(E798="","Unexplained Bank Item (fee/other - review)",IF(F798="Yes","Matched","Payment Reference Not Found in AP Log"))</f>
        <v>Matched</v>
      </c>
    </row>
    <row r="799" customFormat="false" ht="15" hidden="false" customHeight="false" outlineLevel="0" collapsed="false">
      <c r="A799" s="16" t="str">
        <f aca="false">Bank_Statement!A39</f>
        <v>BNK50038</v>
      </c>
      <c r="B799" s="17" t="n">
        <f aca="false">Bank_Statement!B39</f>
        <v>45910</v>
      </c>
      <c r="C799" s="18" t="n">
        <f aca="false">Bank_Statement!C39</f>
        <v>-9938.09</v>
      </c>
      <c r="D799" s="16" t="str">
        <f aca="false">Bank_Statement!D39</f>
        <v>PMT-V1011</v>
      </c>
      <c r="E799" s="16" t="str">
        <f aca="false">Bank_Statement!E39</f>
        <v>PAY40038</v>
      </c>
      <c r="F799" s="16" t="str">
        <f aca="false">IF(E799="","N/A",IF(COUNTIF(Payment_Log_AP!$A$2:$A$753,E799)&gt;0,"Yes","No"))</f>
        <v>Yes</v>
      </c>
      <c r="G799" s="16" t="str">
        <f aca="false">IF(E799="","Unexplained Bank Item (fee/other - review)",IF(F799="Yes","Matched","Payment Reference Not Found in AP Log"))</f>
        <v>Matched</v>
      </c>
    </row>
    <row r="800" customFormat="false" ht="15" hidden="false" customHeight="false" outlineLevel="0" collapsed="false">
      <c r="A800" s="16" t="str">
        <f aca="false">Bank_Statement!A40</f>
        <v>BNK50039</v>
      </c>
      <c r="B800" s="17" t="n">
        <f aca="false">Bank_Statement!B40</f>
        <v>45924</v>
      </c>
      <c r="C800" s="18" t="n">
        <f aca="false">Bank_Statement!C40</f>
        <v>-9938.09</v>
      </c>
      <c r="D800" s="16" t="str">
        <f aca="false">Bank_Statement!D40</f>
        <v>PMT-V1011</v>
      </c>
      <c r="E800" s="16" t="str">
        <f aca="false">Bank_Statement!E40</f>
        <v>PAY40039</v>
      </c>
      <c r="F800" s="16" t="str">
        <f aca="false">IF(E800="","N/A",IF(COUNTIF(Payment_Log_AP!$A$2:$A$753,E800)&gt;0,"Yes","No"))</f>
        <v>Yes</v>
      </c>
      <c r="G800" s="16" t="str">
        <f aca="false">IF(E800="","Unexplained Bank Item (fee/other - review)",IF(F800="Yes","Matched","Payment Reference Not Found in AP Log"))</f>
        <v>Matched</v>
      </c>
    </row>
    <row r="801" customFormat="false" ht="15" hidden="false" customHeight="false" outlineLevel="0" collapsed="false">
      <c r="A801" s="16" t="str">
        <f aca="false">Bank_Statement!A41</f>
        <v>BNK50040</v>
      </c>
      <c r="B801" s="17" t="n">
        <f aca="false">Bank_Statement!B41</f>
        <v>45931</v>
      </c>
      <c r="C801" s="18" t="n">
        <f aca="false">Bank_Statement!C41</f>
        <v>-1076.83</v>
      </c>
      <c r="D801" s="16" t="str">
        <f aca="false">Bank_Statement!D41</f>
        <v>PMT-V1016</v>
      </c>
      <c r="E801" s="16" t="str">
        <f aca="false">Bank_Statement!E41</f>
        <v>PAY40040</v>
      </c>
      <c r="F801" s="16" t="str">
        <f aca="false">IF(E801="","N/A",IF(COUNTIF(Payment_Log_AP!$A$2:$A$753,E801)&gt;0,"Yes","No"))</f>
        <v>Yes</v>
      </c>
      <c r="G801" s="16" t="str">
        <f aca="false">IF(E801="","Unexplained Bank Item (fee/other - review)",IF(F801="Yes","Matched","Payment Reference Not Found in AP Log"))</f>
        <v>Matched</v>
      </c>
    </row>
    <row r="802" customFormat="false" ht="15" hidden="false" customHeight="false" outlineLevel="0" collapsed="false">
      <c r="A802" s="16" t="str">
        <f aca="false">Bank_Statement!A42</f>
        <v>BNK50041</v>
      </c>
      <c r="B802" s="17" t="n">
        <f aca="false">Bank_Statement!B42</f>
        <v>45937</v>
      </c>
      <c r="C802" s="18" t="n">
        <f aca="false">Bank_Statement!C42</f>
        <v>-1076.83</v>
      </c>
      <c r="D802" s="16" t="str">
        <f aca="false">Bank_Statement!D42</f>
        <v>PMT-V1016</v>
      </c>
      <c r="E802" s="16" t="str">
        <f aca="false">Bank_Statement!E42</f>
        <v>PAY40041</v>
      </c>
      <c r="F802" s="16" t="str">
        <f aca="false">IF(E802="","N/A",IF(COUNTIF(Payment_Log_AP!$A$2:$A$753,E802)&gt;0,"Yes","No"))</f>
        <v>Yes</v>
      </c>
      <c r="G802" s="16" t="str">
        <f aca="false">IF(E802="","Unexplained Bank Item (fee/other - review)",IF(F802="Yes","Matched","Payment Reference Not Found in AP Log"))</f>
        <v>Matched</v>
      </c>
    </row>
    <row r="803" customFormat="false" ht="15" hidden="false" customHeight="false" outlineLevel="0" collapsed="false">
      <c r="A803" s="16" t="str">
        <f aca="false">Bank_Statement!A43</f>
        <v>BNK50042</v>
      </c>
      <c r="B803" s="17" t="n">
        <f aca="false">Bank_Statement!B43</f>
        <v>45855</v>
      </c>
      <c r="C803" s="18" t="n">
        <f aca="false">Bank_Statement!C43</f>
        <v>-5899.58</v>
      </c>
      <c r="D803" s="16" t="str">
        <f aca="false">Bank_Statement!D43</f>
        <v>PMT-V1001</v>
      </c>
      <c r="E803" s="16" t="str">
        <f aca="false">Bank_Statement!E43</f>
        <v>PAY40042</v>
      </c>
      <c r="F803" s="16" t="str">
        <f aca="false">IF(E803="","N/A",IF(COUNTIF(Payment_Log_AP!$A$2:$A$753,E803)&gt;0,"Yes","No"))</f>
        <v>Yes</v>
      </c>
      <c r="G803" s="16" t="str">
        <f aca="false">IF(E803="","Unexplained Bank Item (fee/other - review)",IF(F803="Yes","Matched","Payment Reference Not Found in AP Log"))</f>
        <v>Matched</v>
      </c>
    </row>
    <row r="804" customFormat="false" ht="15" hidden="false" customHeight="false" outlineLevel="0" collapsed="false">
      <c r="A804" s="16" t="str">
        <f aca="false">Bank_Statement!A44</f>
        <v>BNK50043</v>
      </c>
      <c r="B804" s="17" t="n">
        <f aca="false">Bank_Statement!B44</f>
        <v>45778</v>
      </c>
      <c r="C804" s="18" t="n">
        <f aca="false">Bank_Statement!C44</f>
        <v>-31348.72</v>
      </c>
      <c r="D804" s="16" t="str">
        <f aca="false">Bank_Statement!D44</f>
        <v>PMT-V1020</v>
      </c>
      <c r="E804" s="16" t="str">
        <f aca="false">Bank_Statement!E44</f>
        <v>PAY40043</v>
      </c>
      <c r="F804" s="16" t="str">
        <f aca="false">IF(E804="","N/A",IF(COUNTIF(Payment_Log_AP!$A$2:$A$753,E804)&gt;0,"Yes","No"))</f>
        <v>Yes</v>
      </c>
      <c r="G804" s="16" t="str">
        <f aca="false">IF(E804="","Unexplained Bank Item (fee/other - review)",IF(F804="Yes","Matched","Payment Reference Not Found in AP Log"))</f>
        <v>Matched</v>
      </c>
    </row>
    <row r="805" customFormat="false" ht="15" hidden="false" customHeight="false" outlineLevel="0" collapsed="false">
      <c r="A805" s="16" t="str">
        <f aca="false">Bank_Statement!A45</f>
        <v>BNK50044</v>
      </c>
      <c r="B805" s="17" t="n">
        <f aca="false">Bank_Statement!B45</f>
        <v>45939</v>
      </c>
      <c r="C805" s="18" t="n">
        <f aca="false">Bank_Statement!C45</f>
        <v>-2845.35</v>
      </c>
      <c r="D805" s="16" t="str">
        <f aca="false">Bank_Statement!D45</f>
        <v>PMT-V1022</v>
      </c>
      <c r="E805" s="16" t="str">
        <f aca="false">Bank_Statement!E45</f>
        <v>PAY40044</v>
      </c>
      <c r="F805" s="16" t="str">
        <f aca="false">IF(E805="","N/A",IF(COUNTIF(Payment_Log_AP!$A$2:$A$753,E805)&gt;0,"Yes","No"))</f>
        <v>Yes</v>
      </c>
      <c r="G805" s="16" t="str">
        <f aca="false">IF(E805="","Unexplained Bank Item (fee/other - review)",IF(F805="Yes","Matched","Payment Reference Not Found in AP Log"))</f>
        <v>Matched</v>
      </c>
    </row>
    <row r="806" customFormat="false" ht="15" hidden="false" customHeight="false" outlineLevel="0" collapsed="false">
      <c r="A806" s="16" t="str">
        <f aca="false">Bank_Statement!A46</f>
        <v>BNK50045</v>
      </c>
      <c r="B806" s="17" t="n">
        <f aca="false">Bank_Statement!B46</f>
        <v>46059</v>
      </c>
      <c r="C806" s="18" t="n">
        <f aca="false">Bank_Statement!C46</f>
        <v>-22892.64</v>
      </c>
      <c r="D806" s="16" t="str">
        <f aca="false">Bank_Statement!D46</f>
        <v>PMT-V1025</v>
      </c>
      <c r="E806" s="16" t="str">
        <f aca="false">Bank_Statement!E46</f>
        <v>PAY40045</v>
      </c>
      <c r="F806" s="16" t="str">
        <f aca="false">IF(E806="","N/A",IF(COUNTIF(Payment_Log_AP!$A$2:$A$753,E806)&gt;0,"Yes","No"))</f>
        <v>Yes</v>
      </c>
      <c r="G806" s="16" t="str">
        <f aca="false">IF(E806="","Unexplained Bank Item (fee/other - review)",IF(F806="Yes","Matched","Payment Reference Not Found in AP Log"))</f>
        <v>Matched</v>
      </c>
    </row>
    <row r="807" customFormat="false" ht="15" hidden="false" customHeight="false" outlineLevel="0" collapsed="false">
      <c r="A807" s="16" t="str">
        <f aca="false">Bank_Statement!A47</f>
        <v>BNK50046</v>
      </c>
      <c r="B807" s="17" t="n">
        <f aca="false">Bank_Statement!B47</f>
        <v>46172</v>
      </c>
      <c r="C807" s="18" t="n">
        <f aca="false">Bank_Statement!C47</f>
        <v>-306.49</v>
      </c>
      <c r="D807" s="16" t="str">
        <f aca="false">Bank_Statement!D47</f>
        <v>PMT-V1006</v>
      </c>
      <c r="E807" s="16" t="str">
        <f aca="false">Bank_Statement!E47</f>
        <v>PAY40046</v>
      </c>
      <c r="F807" s="16" t="str">
        <f aca="false">IF(E807="","N/A",IF(COUNTIF(Payment_Log_AP!$A$2:$A$753,E807)&gt;0,"Yes","No"))</f>
        <v>Yes</v>
      </c>
      <c r="G807" s="16" t="str">
        <f aca="false">IF(E807="","Unexplained Bank Item (fee/other - review)",IF(F807="Yes","Matched","Payment Reference Not Found in AP Log"))</f>
        <v>Matched</v>
      </c>
    </row>
    <row r="808" customFormat="false" ht="15" hidden="false" customHeight="false" outlineLevel="0" collapsed="false">
      <c r="A808" s="16" t="str">
        <f aca="false">Bank_Statement!A48</f>
        <v>BNK50047</v>
      </c>
      <c r="B808" s="17" t="n">
        <f aca="false">Bank_Statement!B48</f>
        <v>46043</v>
      </c>
      <c r="C808" s="18" t="n">
        <f aca="false">Bank_Statement!C48</f>
        <v>-5034.71</v>
      </c>
      <c r="D808" s="16" t="str">
        <f aca="false">Bank_Statement!D48</f>
        <v>PMT-V1024</v>
      </c>
      <c r="E808" s="16" t="str">
        <f aca="false">Bank_Statement!E48</f>
        <v>PAY40047</v>
      </c>
      <c r="F808" s="16" t="str">
        <f aca="false">IF(E808="","N/A",IF(COUNTIF(Payment_Log_AP!$A$2:$A$753,E808)&gt;0,"Yes","No"))</f>
        <v>Yes</v>
      </c>
      <c r="G808" s="16" t="str">
        <f aca="false">IF(E808="","Unexplained Bank Item (fee/other - review)",IF(F808="Yes","Matched","Payment Reference Not Found in AP Log"))</f>
        <v>Matched</v>
      </c>
    </row>
    <row r="809" customFormat="false" ht="15" hidden="false" customHeight="false" outlineLevel="0" collapsed="false">
      <c r="A809" s="16" t="str">
        <f aca="false">Bank_Statement!A49</f>
        <v>BNK50048</v>
      </c>
      <c r="B809" s="17" t="n">
        <f aca="false">Bank_Statement!B49</f>
        <v>46034</v>
      </c>
      <c r="C809" s="18" t="n">
        <f aca="false">Bank_Statement!C49</f>
        <v>-5034.71</v>
      </c>
      <c r="D809" s="16" t="str">
        <f aca="false">Bank_Statement!D49</f>
        <v>PMT-V1024</v>
      </c>
      <c r="E809" s="16" t="str">
        <f aca="false">Bank_Statement!E49</f>
        <v>PAY40048</v>
      </c>
      <c r="F809" s="16" t="str">
        <f aca="false">IF(E809="","N/A",IF(COUNTIF(Payment_Log_AP!$A$2:$A$753,E809)&gt;0,"Yes","No"))</f>
        <v>Yes</v>
      </c>
      <c r="G809" s="16" t="str">
        <f aca="false">IF(E809="","Unexplained Bank Item (fee/other - review)",IF(F809="Yes","Matched","Payment Reference Not Found in AP Log"))</f>
        <v>Matched</v>
      </c>
    </row>
    <row r="810" customFormat="false" ht="15" hidden="false" customHeight="false" outlineLevel="0" collapsed="false">
      <c r="A810" s="16" t="str">
        <f aca="false">Bank_Statement!A50</f>
        <v>BNK50049</v>
      </c>
      <c r="B810" s="17" t="n">
        <f aca="false">Bank_Statement!B50</f>
        <v>45851</v>
      </c>
      <c r="C810" s="18" t="n">
        <f aca="false">Bank_Statement!C50</f>
        <v>-1369.29</v>
      </c>
      <c r="D810" s="16" t="str">
        <f aca="false">Bank_Statement!D50</f>
        <v>PMT-V1029</v>
      </c>
      <c r="E810" s="16" t="str">
        <f aca="false">Bank_Statement!E50</f>
        <v>PAY40049</v>
      </c>
      <c r="F810" s="16" t="str">
        <f aca="false">IF(E810="","N/A",IF(COUNTIF(Payment_Log_AP!$A$2:$A$753,E810)&gt;0,"Yes","No"))</f>
        <v>Yes</v>
      </c>
      <c r="G810" s="16" t="str">
        <f aca="false">IF(E810="","Unexplained Bank Item (fee/other - review)",IF(F810="Yes","Matched","Payment Reference Not Found in AP Log"))</f>
        <v>Matched</v>
      </c>
    </row>
    <row r="811" customFormat="false" ht="15" hidden="false" customHeight="false" outlineLevel="0" collapsed="false">
      <c r="A811" s="16" t="str">
        <f aca="false">Bank_Statement!A51</f>
        <v>BNK50050</v>
      </c>
      <c r="B811" s="17" t="n">
        <f aca="false">Bank_Statement!B51</f>
        <v>45997</v>
      </c>
      <c r="C811" s="18" t="n">
        <f aca="false">Bank_Statement!C51</f>
        <v>-2783.02</v>
      </c>
      <c r="D811" s="16" t="str">
        <f aca="false">Bank_Statement!D51</f>
        <v>PMT-V1025</v>
      </c>
      <c r="E811" s="16" t="str">
        <f aca="false">Bank_Statement!E51</f>
        <v>PAY40050</v>
      </c>
      <c r="F811" s="16" t="str">
        <f aca="false">IF(E811="","N/A",IF(COUNTIF(Payment_Log_AP!$A$2:$A$753,E811)&gt;0,"Yes","No"))</f>
        <v>Yes</v>
      </c>
      <c r="G811" s="16" t="str">
        <f aca="false">IF(E811="","Unexplained Bank Item (fee/other - review)",IF(F811="Yes","Matched","Payment Reference Not Found in AP Log"))</f>
        <v>Matched</v>
      </c>
    </row>
    <row r="812" customFormat="false" ht="15" hidden="false" customHeight="false" outlineLevel="0" collapsed="false">
      <c r="A812" s="16" t="str">
        <f aca="false">Bank_Statement!A52</f>
        <v>BNK50051</v>
      </c>
      <c r="B812" s="17" t="n">
        <f aca="false">Bank_Statement!B52</f>
        <v>45681</v>
      </c>
      <c r="C812" s="18" t="n">
        <f aca="false">Bank_Statement!C52</f>
        <v>-1474.66</v>
      </c>
      <c r="D812" s="16" t="str">
        <f aca="false">Bank_Statement!D52</f>
        <v>PMT-V1031</v>
      </c>
      <c r="E812" s="16" t="str">
        <f aca="false">Bank_Statement!E52</f>
        <v>PAY40051</v>
      </c>
      <c r="F812" s="16" t="str">
        <f aca="false">IF(E812="","N/A",IF(COUNTIF(Payment_Log_AP!$A$2:$A$753,E812)&gt;0,"Yes","No"))</f>
        <v>Yes</v>
      </c>
      <c r="G812" s="16" t="str">
        <f aca="false">IF(E812="","Unexplained Bank Item (fee/other - review)",IF(F812="Yes","Matched","Payment Reference Not Found in AP Log"))</f>
        <v>Matched</v>
      </c>
    </row>
    <row r="813" customFormat="false" ht="15" hidden="false" customHeight="false" outlineLevel="0" collapsed="false">
      <c r="A813" s="16" t="str">
        <f aca="false">Bank_Statement!A53</f>
        <v>BNK50052</v>
      </c>
      <c r="B813" s="17" t="n">
        <f aca="false">Bank_Statement!B53</f>
        <v>45844</v>
      </c>
      <c r="C813" s="18" t="n">
        <f aca="false">Bank_Statement!C53</f>
        <v>-1567.44</v>
      </c>
      <c r="D813" s="16" t="str">
        <f aca="false">Bank_Statement!D53</f>
        <v>PMT-V1031</v>
      </c>
      <c r="E813" s="16" t="str">
        <f aca="false">Bank_Statement!E53</f>
        <v>PAY40052</v>
      </c>
      <c r="F813" s="16" t="str">
        <f aca="false">IF(E813="","N/A",IF(COUNTIF(Payment_Log_AP!$A$2:$A$753,E813)&gt;0,"Yes","No"))</f>
        <v>Yes</v>
      </c>
      <c r="G813" s="16" t="str">
        <f aca="false">IF(E813="","Unexplained Bank Item (fee/other - review)",IF(F813="Yes","Matched","Payment Reference Not Found in AP Log"))</f>
        <v>Matched</v>
      </c>
    </row>
    <row r="814" customFormat="false" ht="15" hidden="false" customHeight="false" outlineLevel="0" collapsed="false">
      <c r="A814" s="16" t="str">
        <f aca="false">Bank_Statement!A54</f>
        <v>BNK50053</v>
      </c>
      <c r="B814" s="17" t="n">
        <f aca="false">Bank_Statement!B54</f>
        <v>45934</v>
      </c>
      <c r="C814" s="18" t="n">
        <f aca="false">Bank_Statement!C54</f>
        <v>-7649.01</v>
      </c>
      <c r="D814" s="16" t="str">
        <f aca="false">Bank_Statement!D54</f>
        <v>PMT-V1029</v>
      </c>
      <c r="E814" s="16" t="str">
        <f aca="false">Bank_Statement!E54</f>
        <v>PAY40053</v>
      </c>
      <c r="F814" s="16" t="str">
        <f aca="false">IF(E814="","N/A",IF(COUNTIF(Payment_Log_AP!$A$2:$A$753,E814)&gt;0,"Yes","No"))</f>
        <v>Yes</v>
      </c>
      <c r="G814" s="16" t="str">
        <f aca="false">IF(E814="","Unexplained Bank Item (fee/other - review)",IF(F814="Yes","Matched","Payment Reference Not Found in AP Log"))</f>
        <v>Matched</v>
      </c>
    </row>
    <row r="815" customFormat="false" ht="15" hidden="false" customHeight="false" outlineLevel="0" collapsed="false">
      <c r="A815" s="16" t="str">
        <f aca="false">Bank_Statement!A55</f>
        <v>BNK50054</v>
      </c>
      <c r="B815" s="17" t="n">
        <f aca="false">Bank_Statement!B55</f>
        <v>46004</v>
      </c>
      <c r="C815" s="18" t="n">
        <f aca="false">Bank_Statement!C55</f>
        <v>-3881</v>
      </c>
      <c r="D815" s="16" t="str">
        <f aca="false">Bank_Statement!D55</f>
        <v>PMT-V1009</v>
      </c>
      <c r="E815" s="16" t="str">
        <f aca="false">Bank_Statement!E55</f>
        <v>PAY40054</v>
      </c>
      <c r="F815" s="16" t="str">
        <f aca="false">IF(E815="","N/A",IF(COUNTIF(Payment_Log_AP!$A$2:$A$753,E815)&gt;0,"Yes","No"))</f>
        <v>Yes</v>
      </c>
      <c r="G815" s="16" t="str">
        <f aca="false">IF(E815="","Unexplained Bank Item (fee/other - review)",IF(F815="Yes","Matched","Payment Reference Not Found in AP Log"))</f>
        <v>Matched</v>
      </c>
    </row>
    <row r="816" customFormat="false" ht="15" hidden="false" customHeight="false" outlineLevel="0" collapsed="false">
      <c r="A816" s="16" t="str">
        <f aca="false">Bank_Statement!A56</f>
        <v>BNK50055</v>
      </c>
      <c r="B816" s="17" t="n">
        <f aca="false">Bank_Statement!B56</f>
        <v>46043</v>
      </c>
      <c r="C816" s="18" t="n">
        <f aca="false">Bank_Statement!C56</f>
        <v>-3262.21</v>
      </c>
      <c r="D816" s="16" t="str">
        <f aca="false">Bank_Statement!D56</f>
        <v>PMT-V1019</v>
      </c>
      <c r="E816" s="16" t="str">
        <f aca="false">Bank_Statement!E56</f>
        <v>PAY40055</v>
      </c>
      <c r="F816" s="16" t="str">
        <f aca="false">IF(E816="","N/A",IF(COUNTIF(Payment_Log_AP!$A$2:$A$753,E816)&gt;0,"Yes","No"))</f>
        <v>Yes</v>
      </c>
      <c r="G816" s="16" t="str">
        <f aca="false">IF(E816="","Unexplained Bank Item (fee/other - review)",IF(F816="Yes","Matched","Payment Reference Not Found in AP Log"))</f>
        <v>Matched</v>
      </c>
    </row>
    <row r="817" customFormat="false" ht="15" hidden="false" customHeight="false" outlineLevel="0" collapsed="false">
      <c r="A817" s="16" t="str">
        <f aca="false">Bank_Statement!A57</f>
        <v>BNK50056</v>
      </c>
      <c r="B817" s="17" t="n">
        <f aca="false">Bank_Statement!B57</f>
        <v>45929</v>
      </c>
      <c r="C817" s="18" t="n">
        <f aca="false">Bank_Statement!C57</f>
        <v>-5144.03</v>
      </c>
      <c r="D817" s="16" t="str">
        <f aca="false">Bank_Statement!D57</f>
        <v>PMT-V1013</v>
      </c>
      <c r="E817" s="16" t="str">
        <f aca="false">Bank_Statement!E57</f>
        <v>PAY40056</v>
      </c>
      <c r="F817" s="16" t="str">
        <f aca="false">IF(E817="","N/A",IF(COUNTIF(Payment_Log_AP!$A$2:$A$753,E817)&gt;0,"Yes","No"))</f>
        <v>Yes</v>
      </c>
      <c r="G817" s="16" t="str">
        <f aca="false">IF(E817="","Unexplained Bank Item (fee/other - review)",IF(F817="Yes","Matched","Payment Reference Not Found in AP Log"))</f>
        <v>Matched</v>
      </c>
    </row>
    <row r="818" customFormat="false" ht="15" hidden="false" customHeight="false" outlineLevel="0" collapsed="false">
      <c r="A818" s="16" t="str">
        <f aca="false">Bank_Statement!A58</f>
        <v>BNK50057</v>
      </c>
      <c r="B818" s="17" t="n">
        <f aca="false">Bank_Statement!B58</f>
        <v>45958</v>
      </c>
      <c r="C818" s="18" t="n">
        <f aca="false">Bank_Statement!C58</f>
        <v>-5496.95</v>
      </c>
      <c r="D818" s="16" t="str">
        <f aca="false">Bank_Statement!D58</f>
        <v>PMT-V1038</v>
      </c>
      <c r="E818" s="16" t="str">
        <f aca="false">Bank_Statement!E58</f>
        <v>PAY40057</v>
      </c>
      <c r="F818" s="16" t="str">
        <f aca="false">IF(E818="","N/A",IF(COUNTIF(Payment_Log_AP!$A$2:$A$753,E818)&gt;0,"Yes","No"))</f>
        <v>Yes</v>
      </c>
      <c r="G818" s="16" t="str">
        <f aca="false">IF(E818="","Unexplained Bank Item (fee/other - review)",IF(F818="Yes","Matched","Payment Reference Not Found in AP Log"))</f>
        <v>Matched</v>
      </c>
    </row>
    <row r="819" customFormat="false" ht="15" hidden="false" customHeight="false" outlineLevel="0" collapsed="false">
      <c r="A819" s="16" t="str">
        <f aca="false">Bank_Statement!A59</f>
        <v>BNK50058</v>
      </c>
      <c r="B819" s="17" t="n">
        <f aca="false">Bank_Statement!B59</f>
        <v>46167</v>
      </c>
      <c r="C819" s="18" t="n">
        <f aca="false">Bank_Statement!C59</f>
        <v>-1566.24</v>
      </c>
      <c r="D819" s="16" t="str">
        <f aca="false">Bank_Statement!D59</f>
        <v>PMT-V1031</v>
      </c>
      <c r="E819" s="16" t="str">
        <f aca="false">Bank_Statement!E59</f>
        <v>PAY40058</v>
      </c>
      <c r="F819" s="16" t="str">
        <f aca="false">IF(E819="","N/A",IF(COUNTIF(Payment_Log_AP!$A$2:$A$753,E819)&gt;0,"Yes","No"))</f>
        <v>Yes</v>
      </c>
      <c r="G819" s="16" t="str">
        <f aca="false">IF(E819="","Unexplained Bank Item (fee/other - review)",IF(F819="Yes","Matched","Payment Reference Not Found in AP Log"))</f>
        <v>Matched</v>
      </c>
    </row>
    <row r="820" customFormat="false" ht="15" hidden="false" customHeight="false" outlineLevel="0" collapsed="false">
      <c r="A820" s="16" t="str">
        <f aca="false">Bank_Statement!A60</f>
        <v>BNK50059</v>
      </c>
      <c r="B820" s="17" t="n">
        <f aca="false">Bank_Statement!B60</f>
        <v>46122</v>
      </c>
      <c r="C820" s="18" t="n">
        <f aca="false">Bank_Statement!C60</f>
        <v>-17358.33</v>
      </c>
      <c r="D820" s="16" t="str">
        <f aca="false">Bank_Statement!D60</f>
        <v>PMT-V1027</v>
      </c>
      <c r="E820" s="16" t="str">
        <f aca="false">Bank_Statement!E60</f>
        <v>PAY40059</v>
      </c>
      <c r="F820" s="16" t="str">
        <f aca="false">IF(E820="","N/A",IF(COUNTIF(Payment_Log_AP!$A$2:$A$753,E820)&gt;0,"Yes","No"))</f>
        <v>Yes</v>
      </c>
      <c r="G820" s="16" t="str">
        <f aca="false">IF(E820="","Unexplained Bank Item (fee/other - review)",IF(F820="Yes","Matched","Payment Reference Not Found in AP Log"))</f>
        <v>Matched</v>
      </c>
    </row>
    <row r="821" customFormat="false" ht="15" hidden="false" customHeight="false" outlineLevel="0" collapsed="false">
      <c r="A821" s="16" t="str">
        <f aca="false">Bank_Statement!A61</f>
        <v>BNK50060</v>
      </c>
      <c r="B821" s="17" t="n">
        <f aca="false">Bank_Statement!B61</f>
        <v>45784</v>
      </c>
      <c r="C821" s="18" t="n">
        <f aca="false">Bank_Statement!C61</f>
        <v>-537.25</v>
      </c>
      <c r="D821" s="16" t="str">
        <f aca="false">Bank_Statement!D61</f>
        <v>PMT-V1010</v>
      </c>
      <c r="E821" s="16" t="str">
        <f aca="false">Bank_Statement!E61</f>
        <v>PAY40060</v>
      </c>
      <c r="F821" s="16" t="str">
        <f aca="false">IF(E821="","N/A",IF(COUNTIF(Payment_Log_AP!$A$2:$A$753,E821)&gt;0,"Yes","No"))</f>
        <v>Yes</v>
      </c>
      <c r="G821" s="16" t="str">
        <f aca="false">IF(E821="","Unexplained Bank Item (fee/other - review)",IF(F821="Yes","Matched","Payment Reference Not Found in AP Log"))</f>
        <v>Matched</v>
      </c>
    </row>
    <row r="822" customFormat="false" ht="15" hidden="false" customHeight="false" outlineLevel="0" collapsed="false">
      <c r="A822" s="16" t="str">
        <f aca="false">Bank_Statement!A62</f>
        <v>BNK50061</v>
      </c>
      <c r="B822" s="17" t="n">
        <f aca="false">Bank_Statement!B62</f>
        <v>45756</v>
      </c>
      <c r="C822" s="18" t="n">
        <f aca="false">Bank_Statement!C62</f>
        <v>-4040.21</v>
      </c>
      <c r="D822" s="16" t="str">
        <f aca="false">Bank_Statement!D62</f>
        <v>PMT-V1014</v>
      </c>
      <c r="E822" s="16" t="str">
        <f aca="false">Bank_Statement!E62</f>
        <v>PAY40061</v>
      </c>
      <c r="F822" s="16" t="str">
        <f aca="false">IF(E822="","N/A",IF(COUNTIF(Payment_Log_AP!$A$2:$A$753,E822)&gt;0,"Yes","No"))</f>
        <v>Yes</v>
      </c>
      <c r="G822" s="16" t="str">
        <f aca="false">IF(E822="","Unexplained Bank Item (fee/other - review)",IF(F822="Yes","Matched","Payment Reference Not Found in AP Log"))</f>
        <v>Matched</v>
      </c>
    </row>
    <row r="823" customFormat="false" ht="15" hidden="false" customHeight="false" outlineLevel="0" collapsed="false">
      <c r="A823" s="16" t="str">
        <f aca="false">Bank_Statement!A63</f>
        <v>BNK50062</v>
      </c>
      <c r="B823" s="17" t="n">
        <f aca="false">Bank_Statement!B63</f>
        <v>45972</v>
      </c>
      <c r="C823" s="18" t="n">
        <f aca="false">Bank_Statement!C63</f>
        <v>-158.45</v>
      </c>
      <c r="D823" s="16" t="str">
        <f aca="false">Bank_Statement!D63</f>
        <v>PMT-V1002</v>
      </c>
      <c r="E823" s="16" t="str">
        <f aca="false">Bank_Statement!E63</f>
        <v>PAY40062</v>
      </c>
      <c r="F823" s="16" t="str">
        <f aca="false">IF(E823="","N/A",IF(COUNTIF(Payment_Log_AP!$A$2:$A$753,E823)&gt;0,"Yes","No"))</f>
        <v>Yes</v>
      </c>
      <c r="G823" s="16" t="str">
        <f aca="false">IF(E823="","Unexplained Bank Item (fee/other - review)",IF(F823="Yes","Matched","Payment Reference Not Found in AP Log"))</f>
        <v>Matched</v>
      </c>
    </row>
    <row r="824" customFormat="false" ht="15" hidden="false" customHeight="false" outlineLevel="0" collapsed="false">
      <c r="A824" s="16" t="str">
        <f aca="false">Bank_Statement!A64</f>
        <v>BNK50063</v>
      </c>
      <c r="B824" s="17" t="n">
        <f aca="false">Bank_Statement!B64</f>
        <v>46023</v>
      </c>
      <c r="C824" s="18" t="n">
        <f aca="false">Bank_Statement!C64</f>
        <v>-2227.94</v>
      </c>
      <c r="D824" s="16" t="str">
        <f aca="false">Bank_Statement!D64</f>
        <v>PMT-V1010</v>
      </c>
      <c r="E824" s="16" t="str">
        <f aca="false">Bank_Statement!E64</f>
        <v>PAY40063</v>
      </c>
      <c r="F824" s="16" t="str">
        <f aca="false">IF(E824="","N/A",IF(COUNTIF(Payment_Log_AP!$A$2:$A$753,E824)&gt;0,"Yes","No"))</f>
        <v>Yes</v>
      </c>
      <c r="G824" s="16" t="str">
        <f aca="false">IF(E824="","Unexplained Bank Item (fee/other - review)",IF(F824="Yes","Matched","Payment Reference Not Found in AP Log"))</f>
        <v>Matched</v>
      </c>
    </row>
    <row r="825" customFormat="false" ht="15" hidden="false" customHeight="false" outlineLevel="0" collapsed="false">
      <c r="A825" s="16" t="str">
        <f aca="false">Bank_Statement!A65</f>
        <v>BNK50064</v>
      </c>
      <c r="B825" s="17" t="n">
        <f aca="false">Bank_Statement!B65</f>
        <v>45885</v>
      </c>
      <c r="C825" s="18" t="n">
        <f aca="false">Bank_Statement!C65</f>
        <v>-3409.89</v>
      </c>
      <c r="D825" s="16" t="str">
        <f aca="false">Bank_Statement!D65</f>
        <v>PMT-V1008</v>
      </c>
      <c r="E825" s="16" t="str">
        <f aca="false">Bank_Statement!E65</f>
        <v>PAY40064</v>
      </c>
      <c r="F825" s="16" t="str">
        <f aca="false">IF(E825="","N/A",IF(COUNTIF(Payment_Log_AP!$A$2:$A$753,E825)&gt;0,"Yes","No"))</f>
        <v>Yes</v>
      </c>
      <c r="G825" s="16" t="str">
        <f aca="false">IF(E825="","Unexplained Bank Item (fee/other - review)",IF(F825="Yes","Matched","Payment Reference Not Found in AP Log"))</f>
        <v>Matched</v>
      </c>
    </row>
    <row r="826" customFormat="false" ht="15" hidden="false" customHeight="false" outlineLevel="0" collapsed="false">
      <c r="A826" s="16" t="str">
        <f aca="false">Bank_Statement!A66</f>
        <v>BNK50065</v>
      </c>
      <c r="B826" s="17" t="n">
        <f aca="false">Bank_Statement!B66</f>
        <v>46137</v>
      </c>
      <c r="C826" s="18" t="n">
        <f aca="false">Bank_Statement!C66</f>
        <v>-426.18</v>
      </c>
      <c r="D826" s="16" t="str">
        <f aca="false">Bank_Statement!D66</f>
        <v>PMT-V1011</v>
      </c>
      <c r="E826" s="16" t="str">
        <f aca="false">Bank_Statement!E66</f>
        <v>PAY40065</v>
      </c>
      <c r="F826" s="16" t="str">
        <f aca="false">IF(E826="","N/A",IF(COUNTIF(Payment_Log_AP!$A$2:$A$753,E826)&gt;0,"Yes","No"))</f>
        <v>Yes</v>
      </c>
      <c r="G826" s="16" t="str">
        <f aca="false">IF(E826="","Unexplained Bank Item (fee/other - review)",IF(F826="Yes","Matched","Payment Reference Not Found in AP Log"))</f>
        <v>Matched</v>
      </c>
    </row>
    <row r="827" customFormat="false" ht="15" hidden="false" customHeight="false" outlineLevel="0" collapsed="false">
      <c r="A827" s="16" t="str">
        <f aca="false">Bank_Statement!A67</f>
        <v>BNK50066</v>
      </c>
      <c r="B827" s="17" t="n">
        <f aca="false">Bank_Statement!B67</f>
        <v>46120</v>
      </c>
      <c r="C827" s="18" t="n">
        <f aca="false">Bank_Statement!C67</f>
        <v>-650.45</v>
      </c>
      <c r="D827" s="16" t="str">
        <f aca="false">Bank_Statement!D67</f>
        <v>PMT-V1038</v>
      </c>
      <c r="E827" s="16" t="str">
        <f aca="false">Bank_Statement!E67</f>
        <v>PAY40066</v>
      </c>
      <c r="F827" s="16" t="str">
        <f aca="false">IF(E827="","N/A",IF(COUNTIF(Payment_Log_AP!$A$2:$A$753,E827)&gt;0,"Yes","No"))</f>
        <v>Yes</v>
      </c>
      <c r="G827" s="16" t="str">
        <f aca="false">IF(E827="","Unexplained Bank Item (fee/other - review)",IF(F827="Yes","Matched","Payment Reference Not Found in AP Log"))</f>
        <v>Matched</v>
      </c>
    </row>
    <row r="828" customFormat="false" ht="15" hidden="false" customHeight="false" outlineLevel="0" collapsed="false">
      <c r="A828" s="16" t="str">
        <f aca="false">Bank_Statement!A68</f>
        <v>BNK50067</v>
      </c>
      <c r="B828" s="17" t="n">
        <f aca="false">Bank_Statement!B68</f>
        <v>46072</v>
      </c>
      <c r="C828" s="18" t="n">
        <f aca="false">Bank_Statement!C68</f>
        <v>-173.05</v>
      </c>
      <c r="D828" s="16" t="str">
        <f aca="false">Bank_Statement!D68</f>
        <v>PMT-V1009</v>
      </c>
      <c r="E828" s="16" t="str">
        <f aca="false">Bank_Statement!E68</f>
        <v>PAY40067</v>
      </c>
      <c r="F828" s="16" t="str">
        <f aca="false">IF(E828="","N/A",IF(COUNTIF(Payment_Log_AP!$A$2:$A$753,E828)&gt;0,"Yes","No"))</f>
        <v>Yes</v>
      </c>
      <c r="G828" s="16" t="str">
        <f aca="false">IF(E828="","Unexplained Bank Item (fee/other - review)",IF(F828="Yes","Matched","Payment Reference Not Found in AP Log"))</f>
        <v>Matched</v>
      </c>
    </row>
    <row r="829" customFormat="false" ht="15" hidden="false" customHeight="false" outlineLevel="0" collapsed="false">
      <c r="A829" s="16" t="str">
        <f aca="false">Bank_Statement!A69</f>
        <v>BNK50068</v>
      </c>
      <c r="B829" s="17" t="n">
        <f aca="false">Bank_Statement!B69</f>
        <v>46074</v>
      </c>
      <c r="C829" s="18" t="n">
        <f aca="false">Bank_Statement!C69</f>
        <v>-173.05</v>
      </c>
      <c r="D829" s="16" t="str">
        <f aca="false">Bank_Statement!D69</f>
        <v>PMT-V1009</v>
      </c>
      <c r="E829" s="16" t="str">
        <f aca="false">Bank_Statement!E69</f>
        <v>PAY40068</v>
      </c>
      <c r="F829" s="16" t="str">
        <f aca="false">IF(E829="","N/A",IF(COUNTIF(Payment_Log_AP!$A$2:$A$753,E829)&gt;0,"Yes","No"))</f>
        <v>Yes</v>
      </c>
      <c r="G829" s="16" t="str">
        <f aca="false">IF(E829="","Unexplained Bank Item (fee/other - review)",IF(F829="Yes","Matched","Payment Reference Not Found in AP Log"))</f>
        <v>Matched</v>
      </c>
    </row>
    <row r="830" customFormat="false" ht="15" hidden="false" customHeight="false" outlineLevel="0" collapsed="false">
      <c r="A830" s="16" t="str">
        <f aca="false">Bank_Statement!A70</f>
        <v>BNK50069</v>
      </c>
      <c r="B830" s="17" t="n">
        <f aca="false">Bank_Statement!B70</f>
        <v>45790</v>
      </c>
      <c r="C830" s="18" t="n">
        <f aca="false">Bank_Statement!C70</f>
        <v>-3225.76</v>
      </c>
      <c r="D830" s="16" t="str">
        <f aca="false">Bank_Statement!D70</f>
        <v>PMT-V1017</v>
      </c>
      <c r="E830" s="16" t="str">
        <f aca="false">Bank_Statement!E70</f>
        <v>PAY40069</v>
      </c>
      <c r="F830" s="16" t="str">
        <f aca="false">IF(E830="","N/A",IF(COUNTIF(Payment_Log_AP!$A$2:$A$753,E830)&gt;0,"Yes","No"))</f>
        <v>Yes</v>
      </c>
      <c r="G830" s="16" t="str">
        <f aca="false">IF(E830="","Unexplained Bank Item (fee/other - review)",IF(F830="Yes","Matched","Payment Reference Not Found in AP Log"))</f>
        <v>Matched</v>
      </c>
    </row>
    <row r="831" customFormat="false" ht="15" hidden="false" customHeight="false" outlineLevel="0" collapsed="false">
      <c r="A831" s="16" t="str">
        <f aca="false">Bank_Statement!A71</f>
        <v>BNK50070</v>
      </c>
      <c r="B831" s="17" t="n">
        <f aca="false">Bank_Statement!B71</f>
        <v>45697</v>
      </c>
      <c r="C831" s="18" t="n">
        <f aca="false">Bank_Statement!C71</f>
        <v>-773.09</v>
      </c>
      <c r="D831" s="16" t="str">
        <f aca="false">Bank_Statement!D71</f>
        <v>PMT-V1014</v>
      </c>
      <c r="E831" s="16" t="str">
        <f aca="false">Bank_Statement!E71</f>
        <v>PAY40070</v>
      </c>
      <c r="F831" s="16" t="str">
        <f aca="false">IF(E831="","N/A",IF(COUNTIF(Payment_Log_AP!$A$2:$A$753,E831)&gt;0,"Yes","No"))</f>
        <v>Yes</v>
      </c>
      <c r="G831" s="16" t="str">
        <f aca="false">IF(E831="","Unexplained Bank Item (fee/other - review)",IF(F831="Yes","Matched","Payment Reference Not Found in AP Log"))</f>
        <v>Matched</v>
      </c>
    </row>
    <row r="832" customFormat="false" ht="15" hidden="false" customHeight="false" outlineLevel="0" collapsed="false">
      <c r="A832" s="16" t="str">
        <f aca="false">Bank_Statement!A72</f>
        <v>BNK50071</v>
      </c>
      <c r="B832" s="17" t="n">
        <f aca="false">Bank_Statement!B72</f>
        <v>45826</v>
      </c>
      <c r="C832" s="18" t="n">
        <f aca="false">Bank_Statement!C72</f>
        <v>-3182.11</v>
      </c>
      <c r="D832" s="16" t="str">
        <f aca="false">Bank_Statement!D72</f>
        <v>PMT-V1024</v>
      </c>
      <c r="E832" s="16" t="str">
        <f aca="false">Bank_Statement!E72</f>
        <v>PAY40071</v>
      </c>
      <c r="F832" s="16" t="str">
        <f aca="false">IF(E832="","N/A",IF(COUNTIF(Payment_Log_AP!$A$2:$A$753,E832)&gt;0,"Yes","No"))</f>
        <v>Yes</v>
      </c>
      <c r="G832" s="16" t="str">
        <f aca="false">IF(E832="","Unexplained Bank Item (fee/other - review)",IF(F832="Yes","Matched","Payment Reference Not Found in AP Log"))</f>
        <v>Matched</v>
      </c>
    </row>
    <row r="833" customFormat="false" ht="15" hidden="false" customHeight="false" outlineLevel="0" collapsed="false">
      <c r="A833" s="16" t="str">
        <f aca="false">Bank_Statement!A73</f>
        <v>BNK50072</v>
      </c>
      <c r="B833" s="17" t="n">
        <f aca="false">Bank_Statement!B73</f>
        <v>45929</v>
      </c>
      <c r="C833" s="18" t="n">
        <f aca="false">Bank_Statement!C73</f>
        <v>-2202.92</v>
      </c>
      <c r="D833" s="16" t="str">
        <f aca="false">Bank_Statement!D73</f>
        <v>PMT-V1021</v>
      </c>
      <c r="E833" s="16" t="str">
        <f aca="false">Bank_Statement!E73</f>
        <v>PAY40072</v>
      </c>
      <c r="F833" s="16" t="str">
        <f aca="false">IF(E833="","N/A",IF(COUNTIF(Payment_Log_AP!$A$2:$A$753,E833)&gt;0,"Yes","No"))</f>
        <v>Yes</v>
      </c>
      <c r="G833" s="16" t="str">
        <f aca="false">IF(E833="","Unexplained Bank Item (fee/other - review)",IF(F833="Yes","Matched","Payment Reference Not Found in AP Log"))</f>
        <v>Matched</v>
      </c>
    </row>
    <row r="834" customFormat="false" ht="15" hidden="false" customHeight="false" outlineLevel="0" collapsed="false">
      <c r="A834" s="16" t="str">
        <f aca="false">Bank_Statement!A74</f>
        <v>BNK50073</v>
      </c>
      <c r="B834" s="17" t="n">
        <f aca="false">Bank_Statement!B74</f>
        <v>45948</v>
      </c>
      <c r="C834" s="18" t="n">
        <f aca="false">Bank_Statement!C74</f>
        <v>-2202.92</v>
      </c>
      <c r="D834" s="16" t="str">
        <f aca="false">Bank_Statement!D74</f>
        <v>PMT-V1021</v>
      </c>
      <c r="E834" s="16" t="str">
        <f aca="false">Bank_Statement!E74</f>
        <v>PAY40073</v>
      </c>
      <c r="F834" s="16" t="str">
        <f aca="false">IF(E834="","N/A",IF(COUNTIF(Payment_Log_AP!$A$2:$A$753,E834)&gt;0,"Yes","No"))</f>
        <v>Yes</v>
      </c>
      <c r="G834" s="16" t="str">
        <f aca="false">IF(E834="","Unexplained Bank Item (fee/other - review)",IF(F834="Yes","Matched","Payment Reference Not Found in AP Log"))</f>
        <v>Matched</v>
      </c>
    </row>
    <row r="835" customFormat="false" ht="15" hidden="false" customHeight="false" outlineLevel="0" collapsed="false">
      <c r="A835" s="16" t="str">
        <f aca="false">Bank_Statement!A75</f>
        <v>BNK50074</v>
      </c>
      <c r="B835" s="17" t="n">
        <f aca="false">Bank_Statement!B75</f>
        <v>46139</v>
      </c>
      <c r="C835" s="18" t="n">
        <f aca="false">Bank_Statement!C75</f>
        <v>-13999.16</v>
      </c>
      <c r="D835" s="16" t="str">
        <f aca="false">Bank_Statement!D75</f>
        <v>PMT-V1012</v>
      </c>
      <c r="E835" s="16" t="str">
        <f aca="false">Bank_Statement!E75</f>
        <v>PAY40074</v>
      </c>
      <c r="F835" s="16" t="str">
        <f aca="false">IF(E835="","N/A",IF(COUNTIF(Payment_Log_AP!$A$2:$A$753,E835)&gt;0,"Yes","No"))</f>
        <v>Yes</v>
      </c>
      <c r="G835" s="16" t="str">
        <f aca="false">IF(E835="","Unexplained Bank Item (fee/other - review)",IF(F835="Yes","Matched","Payment Reference Not Found in AP Log"))</f>
        <v>Matched</v>
      </c>
    </row>
    <row r="836" customFormat="false" ht="15" hidden="false" customHeight="false" outlineLevel="0" collapsed="false">
      <c r="A836" s="16" t="str">
        <f aca="false">Bank_Statement!A76</f>
        <v>BNK50075</v>
      </c>
      <c r="B836" s="17" t="n">
        <f aca="false">Bank_Statement!B76</f>
        <v>45724</v>
      </c>
      <c r="C836" s="18" t="n">
        <f aca="false">Bank_Statement!C76</f>
        <v>-4652.88</v>
      </c>
      <c r="D836" s="16" t="str">
        <f aca="false">Bank_Statement!D76</f>
        <v>PMT-V1016</v>
      </c>
      <c r="E836" s="16" t="str">
        <f aca="false">Bank_Statement!E76</f>
        <v>PAY40075</v>
      </c>
      <c r="F836" s="16" t="str">
        <f aca="false">IF(E836="","N/A",IF(COUNTIF(Payment_Log_AP!$A$2:$A$753,E836)&gt;0,"Yes","No"))</f>
        <v>Yes</v>
      </c>
      <c r="G836" s="16" t="str">
        <f aca="false">IF(E836="","Unexplained Bank Item (fee/other - review)",IF(F836="Yes","Matched","Payment Reference Not Found in AP Log"))</f>
        <v>Matched</v>
      </c>
    </row>
    <row r="837" customFormat="false" ht="15" hidden="false" customHeight="false" outlineLevel="0" collapsed="false">
      <c r="A837" s="16" t="str">
        <f aca="false">Bank_Statement!A77</f>
        <v>BNK50076</v>
      </c>
      <c r="B837" s="17" t="n">
        <f aca="false">Bank_Statement!B77</f>
        <v>45921</v>
      </c>
      <c r="C837" s="18" t="n">
        <f aca="false">Bank_Statement!C77</f>
        <v>-131.26</v>
      </c>
      <c r="D837" s="16" t="str">
        <f aca="false">Bank_Statement!D77</f>
        <v>PMT-V1005</v>
      </c>
      <c r="E837" s="16" t="str">
        <f aca="false">Bank_Statement!E77</f>
        <v>PAY40076</v>
      </c>
      <c r="F837" s="16" t="str">
        <f aca="false">IF(E837="","N/A",IF(COUNTIF(Payment_Log_AP!$A$2:$A$753,E837)&gt;0,"Yes","No"))</f>
        <v>Yes</v>
      </c>
      <c r="G837" s="16" t="str">
        <f aca="false">IF(E837="","Unexplained Bank Item (fee/other - review)",IF(F837="Yes","Matched","Payment Reference Not Found in AP Log"))</f>
        <v>Matched</v>
      </c>
    </row>
    <row r="838" customFormat="false" ht="15" hidden="false" customHeight="false" outlineLevel="0" collapsed="false">
      <c r="A838" s="16" t="str">
        <f aca="false">Bank_Statement!A78</f>
        <v>BNK50077</v>
      </c>
      <c r="B838" s="17" t="n">
        <f aca="false">Bank_Statement!B78</f>
        <v>46023</v>
      </c>
      <c r="C838" s="18" t="n">
        <f aca="false">Bank_Statement!C78</f>
        <v>-370.46</v>
      </c>
      <c r="D838" s="16" t="str">
        <f aca="false">Bank_Statement!D78</f>
        <v>PMT-V1002</v>
      </c>
      <c r="E838" s="16" t="str">
        <f aca="false">Bank_Statement!E78</f>
        <v>PAY40077</v>
      </c>
      <c r="F838" s="16" t="str">
        <f aca="false">IF(E838="","N/A",IF(COUNTIF(Payment_Log_AP!$A$2:$A$753,E838)&gt;0,"Yes","No"))</f>
        <v>Yes</v>
      </c>
      <c r="G838" s="16" t="str">
        <f aca="false">IF(E838="","Unexplained Bank Item (fee/other - review)",IF(F838="Yes","Matched","Payment Reference Not Found in AP Log"))</f>
        <v>Matched</v>
      </c>
    </row>
    <row r="839" customFormat="false" ht="15" hidden="false" customHeight="false" outlineLevel="0" collapsed="false">
      <c r="A839" s="16" t="str">
        <f aca="false">Bank_Statement!A79</f>
        <v>BNK50078</v>
      </c>
      <c r="B839" s="17" t="n">
        <f aca="false">Bank_Statement!B79</f>
        <v>46079</v>
      </c>
      <c r="C839" s="18" t="n">
        <f aca="false">Bank_Statement!C79</f>
        <v>-11559.96</v>
      </c>
      <c r="D839" s="16" t="str">
        <f aca="false">Bank_Statement!D79</f>
        <v>PMT-V1014</v>
      </c>
      <c r="E839" s="16" t="str">
        <f aca="false">Bank_Statement!E79</f>
        <v>PAY40078</v>
      </c>
      <c r="F839" s="16" t="str">
        <f aca="false">IF(E839="","N/A",IF(COUNTIF(Payment_Log_AP!$A$2:$A$753,E839)&gt;0,"Yes","No"))</f>
        <v>Yes</v>
      </c>
      <c r="G839" s="16" t="str">
        <f aca="false">IF(E839="","Unexplained Bank Item (fee/other - review)",IF(F839="Yes","Matched","Payment Reference Not Found in AP Log"))</f>
        <v>Matched</v>
      </c>
    </row>
    <row r="840" customFormat="false" ht="15" hidden="false" customHeight="false" outlineLevel="0" collapsed="false">
      <c r="A840" s="16" t="str">
        <f aca="false">Bank_Statement!A80</f>
        <v>BNK50079</v>
      </c>
      <c r="B840" s="17" t="n">
        <f aca="false">Bank_Statement!B80</f>
        <v>45954</v>
      </c>
      <c r="C840" s="18" t="n">
        <f aca="false">Bank_Statement!C80</f>
        <v>-1118.76</v>
      </c>
      <c r="D840" s="16" t="str">
        <f aca="false">Bank_Statement!D80</f>
        <v>PMT-V1035</v>
      </c>
      <c r="E840" s="16" t="str">
        <f aca="false">Bank_Statement!E80</f>
        <v>PAY40079</v>
      </c>
      <c r="F840" s="16" t="str">
        <f aca="false">IF(E840="","N/A",IF(COUNTIF(Payment_Log_AP!$A$2:$A$753,E840)&gt;0,"Yes","No"))</f>
        <v>Yes</v>
      </c>
      <c r="G840" s="16" t="str">
        <f aca="false">IF(E840="","Unexplained Bank Item (fee/other - review)",IF(F840="Yes","Matched","Payment Reference Not Found in AP Log"))</f>
        <v>Matched</v>
      </c>
    </row>
    <row r="841" customFormat="false" ht="15" hidden="false" customHeight="false" outlineLevel="0" collapsed="false">
      <c r="A841" s="16" t="str">
        <f aca="false">Bank_Statement!A81</f>
        <v>BNK50080</v>
      </c>
      <c r="B841" s="17" t="n">
        <f aca="false">Bank_Statement!B81</f>
        <v>45841</v>
      </c>
      <c r="C841" s="18" t="n">
        <f aca="false">Bank_Statement!C81</f>
        <v>-1602.67</v>
      </c>
      <c r="D841" s="16" t="str">
        <f aca="false">Bank_Statement!D81</f>
        <v>PMT-V1021</v>
      </c>
      <c r="E841" s="16" t="str">
        <f aca="false">Bank_Statement!E81</f>
        <v>PAY40080</v>
      </c>
      <c r="F841" s="16" t="str">
        <f aca="false">IF(E841="","N/A",IF(COUNTIF(Payment_Log_AP!$A$2:$A$753,E841)&gt;0,"Yes","No"))</f>
        <v>Yes</v>
      </c>
      <c r="G841" s="16" t="str">
        <f aca="false">IF(E841="","Unexplained Bank Item (fee/other - review)",IF(F841="Yes","Matched","Payment Reference Not Found in AP Log"))</f>
        <v>Matched</v>
      </c>
    </row>
    <row r="842" customFormat="false" ht="15" hidden="false" customHeight="false" outlineLevel="0" collapsed="false">
      <c r="A842" s="16" t="str">
        <f aca="false">Bank_Statement!A82</f>
        <v>BNK50081</v>
      </c>
      <c r="B842" s="17" t="n">
        <f aca="false">Bank_Statement!B82</f>
        <v>45712</v>
      </c>
      <c r="C842" s="18" t="n">
        <f aca="false">Bank_Statement!C82</f>
        <v>-1239.53</v>
      </c>
      <c r="D842" s="16" t="str">
        <f aca="false">Bank_Statement!D82</f>
        <v>PMT-V1002</v>
      </c>
      <c r="E842" s="16" t="str">
        <f aca="false">Bank_Statement!E82</f>
        <v>PAY40081</v>
      </c>
      <c r="F842" s="16" t="str">
        <f aca="false">IF(E842="","N/A",IF(COUNTIF(Payment_Log_AP!$A$2:$A$753,E842)&gt;0,"Yes","No"))</f>
        <v>Yes</v>
      </c>
      <c r="G842" s="16" t="str">
        <f aca="false">IF(E842="","Unexplained Bank Item (fee/other - review)",IF(F842="Yes","Matched","Payment Reference Not Found in AP Log"))</f>
        <v>Matched</v>
      </c>
    </row>
    <row r="843" customFormat="false" ht="15" hidden="false" customHeight="false" outlineLevel="0" collapsed="false">
      <c r="A843" s="16" t="str">
        <f aca="false">Bank_Statement!A83</f>
        <v>BNK50082</v>
      </c>
      <c r="B843" s="17" t="n">
        <f aca="false">Bank_Statement!B83</f>
        <v>46103</v>
      </c>
      <c r="C843" s="18" t="n">
        <f aca="false">Bank_Statement!C83</f>
        <v>-6686.22</v>
      </c>
      <c r="D843" s="16" t="str">
        <f aca="false">Bank_Statement!D83</f>
        <v>PMT-V1030</v>
      </c>
      <c r="E843" s="16" t="str">
        <f aca="false">Bank_Statement!E83</f>
        <v>PAY40082</v>
      </c>
      <c r="F843" s="16" t="str">
        <f aca="false">IF(E843="","N/A",IF(COUNTIF(Payment_Log_AP!$A$2:$A$753,E843)&gt;0,"Yes","No"))</f>
        <v>Yes</v>
      </c>
      <c r="G843" s="16" t="str">
        <f aca="false">IF(E843="","Unexplained Bank Item (fee/other - review)",IF(F843="Yes","Matched","Payment Reference Not Found in AP Log"))</f>
        <v>Matched</v>
      </c>
    </row>
    <row r="844" customFormat="false" ht="15" hidden="false" customHeight="false" outlineLevel="0" collapsed="false">
      <c r="A844" s="16" t="str">
        <f aca="false">Bank_Statement!A84</f>
        <v>BNK50083</v>
      </c>
      <c r="B844" s="17" t="n">
        <f aca="false">Bank_Statement!B84</f>
        <v>46127</v>
      </c>
      <c r="C844" s="18" t="n">
        <f aca="false">Bank_Statement!C84</f>
        <v>-3940.78</v>
      </c>
      <c r="D844" s="16" t="str">
        <f aca="false">Bank_Statement!D84</f>
        <v>PMT-V1015</v>
      </c>
      <c r="E844" s="16" t="str">
        <f aca="false">Bank_Statement!E84</f>
        <v>PAY40083</v>
      </c>
      <c r="F844" s="16" t="str">
        <f aca="false">IF(E844="","N/A",IF(COUNTIF(Payment_Log_AP!$A$2:$A$753,E844)&gt;0,"Yes","No"))</f>
        <v>Yes</v>
      </c>
      <c r="G844" s="16" t="str">
        <f aca="false">IF(E844="","Unexplained Bank Item (fee/other - review)",IF(F844="Yes","Matched","Payment Reference Not Found in AP Log"))</f>
        <v>Matched</v>
      </c>
    </row>
    <row r="845" customFormat="false" ht="15" hidden="false" customHeight="false" outlineLevel="0" collapsed="false">
      <c r="A845" s="16" t="str">
        <f aca="false">Bank_Statement!A85</f>
        <v>BNK50084</v>
      </c>
      <c r="B845" s="17" t="n">
        <f aca="false">Bank_Statement!B85</f>
        <v>45766</v>
      </c>
      <c r="C845" s="18" t="n">
        <f aca="false">Bank_Statement!C85</f>
        <v>-625.95</v>
      </c>
      <c r="D845" s="16" t="str">
        <f aca="false">Bank_Statement!D85</f>
        <v>PMT-V1036</v>
      </c>
      <c r="E845" s="16" t="str">
        <f aca="false">Bank_Statement!E85</f>
        <v>PAY40084</v>
      </c>
      <c r="F845" s="16" t="str">
        <f aca="false">IF(E845="","N/A",IF(COUNTIF(Payment_Log_AP!$A$2:$A$753,E845)&gt;0,"Yes","No"))</f>
        <v>Yes</v>
      </c>
      <c r="G845" s="16" t="str">
        <f aca="false">IF(E845="","Unexplained Bank Item (fee/other - review)",IF(F845="Yes","Matched","Payment Reference Not Found in AP Log"))</f>
        <v>Matched</v>
      </c>
    </row>
    <row r="846" customFormat="false" ht="15" hidden="false" customHeight="false" outlineLevel="0" collapsed="false">
      <c r="A846" s="16" t="str">
        <f aca="false">Bank_Statement!A86</f>
        <v>BNK50085</v>
      </c>
      <c r="B846" s="17" t="n">
        <f aca="false">Bank_Statement!B86</f>
        <v>45799</v>
      </c>
      <c r="C846" s="18" t="n">
        <f aca="false">Bank_Statement!C86</f>
        <v>-2302.86</v>
      </c>
      <c r="D846" s="16" t="str">
        <f aca="false">Bank_Statement!D86</f>
        <v>PMT-V1026</v>
      </c>
      <c r="E846" s="16" t="str">
        <f aca="false">Bank_Statement!E86</f>
        <v>PAY40085</v>
      </c>
      <c r="F846" s="16" t="str">
        <f aca="false">IF(E846="","N/A",IF(COUNTIF(Payment_Log_AP!$A$2:$A$753,E846)&gt;0,"Yes","No"))</f>
        <v>Yes</v>
      </c>
      <c r="G846" s="16" t="str">
        <f aca="false">IF(E846="","Unexplained Bank Item (fee/other - review)",IF(F846="Yes","Matched","Payment Reference Not Found in AP Log"))</f>
        <v>Matched</v>
      </c>
    </row>
    <row r="847" customFormat="false" ht="15" hidden="false" customHeight="false" outlineLevel="0" collapsed="false">
      <c r="A847" s="16" t="str">
        <f aca="false">Bank_Statement!A87</f>
        <v>BNK50086</v>
      </c>
      <c r="B847" s="17" t="n">
        <f aca="false">Bank_Statement!B87</f>
        <v>45963</v>
      </c>
      <c r="C847" s="18" t="n">
        <f aca="false">Bank_Statement!C87</f>
        <v>-226.65</v>
      </c>
      <c r="D847" s="16" t="str">
        <f aca="false">Bank_Statement!D87</f>
        <v>PMT-V1026</v>
      </c>
      <c r="E847" s="16" t="str">
        <f aca="false">Bank_Statement!E87</f>
        <v>PAY40086</v>
      </c>
      <c r="F847" s="16" t="str">
        <f aca="false">IF(E847="","N/A",IF(COUNTIF(Payment_Log_AP!$A$2:$A$753,E847)&gt;0,"Yes","No"))</f>
        <v>Yes</v>
      </c>
      <c r="G847" s="16" t="str">
        <f aca="false">IF(E847="","Unexplained Bank Item (fee/other - review)",IF(F847="Yes","Matched","Payment Reference Not Found in AP Log"))</f>
        <v>Matched</v>
      </c>
    </row>
    <row r="848" customFormat="false" ht="15" hidden="false" customHeight="false" outlineLevel="0" collapsed="false">
      <c r="A848" s="16" t="str">
        <f aca="false">Bank_Statement!A88</f>
        <v>BNK50087</v>
      </c>
      <c r="B848" s="17" t="n">
        <f aca="false">Bank_Statement!B88</f>
        <v>45700</v>
      </c>
      <c r="C848" s="18" t="n">
        <f aca="false">Bank_Statement!C88</f>
        <v>-814.32</v>
      </c>
      <c r="D848" s="16" t="str">
        <f aca="false">Bank_Statement!D88</f>
        <v>PMT-V1006</v>
      </c>
      <c r="E848" s="16" t="str">
        <f aca="false">Bank_Statement!E88</f>
        <v>PAY40087</v>
      </c>
      <c r="F848" s="16" t="str">
        <f aca="false">IF(E848="","N/A",IF(COUNTIF(Payment_Log_AP!$A$2:$A$753,E848)&gt;0,"Yes","No"))</f>
        <v>Yes</v>
      </c>
      <c r="G848" s="16" t="str">
        <f aca="false">IF(E848="","Unexplained Bank Item (fee/other - review)",IF(F848="Yes","Matched","Payment Reference Not Found in AP Log"))</f>
        <v>Matched</v>
      </c>
    </row>
    <row r="849" customFormat="false" ht="15" hidden="false" customHeight="false" outlineLevel="0" collapsed="false">
      <c r="A849" s="16" t="str">
        <f aca="false">Bank_Statement!A89</f>
        <v>BNK50088</v>
      </c>
      <c r="B849" s="17" t="n">
        <f aca="false">Bank_Statement!B89</f>
        <v>45821</v>
      </c>
      <c r="C849" s="18" t="n">
        <f aca="false">Bank_Statement!C89</f>
        <v>-1618.39</v>
      </c>
      <c r="D849" s="16" t="str">
        <f aca="false">Bank_Statement!D89</f>
        <v>PMT-V1031</v>
      </c>
      <c r="E849" s="16" t="str">
        <f aca="false">Bank_Statement!E89</f>
        <v>PAY40088</v>
      </c>
      <c r="F849" s="16" t="str">
        <f aca="false">IF(E849="","N/A",IF(COUNTIF(Payment_Log_AP!$A$2:$A$753,E849)&gt;0,"Yes","No"))</f>
        <v>Yes</v>
      </c>
      <c r="G849" s="16" t="str">
        <f aca="false">IF(E849="","Unexplained Bank Item (fee/other - review)",IF(F849="Yes","Matched","Payment Reference Not Found in AP Log"))</f>
        <v>Matched</v>
      </c>
    </row>
    <row r="850" customFormat="false" ht="15" hidden="false" customHeight="false" outlineLevel="0" collapsed="false">
      <c r="A850" s="16" t="str">
        <f aca="false">Bank_Statement!A90</f>
        <v>BNK50089</v>
      </c>
      <c r="B850" s="17" t="n">
        <f aca="false">Bank_Statement!B90</f>
        <v>46159</v>
      </c>
      <c r="C850" s="18" t="n">
        <f aca="false">Bank_Statement!C90</f>
        <v>-994</v>
      </c>
      <c r="D850" s="16" t="str">
        <f aca="false">Bank_Statement!D90</f>
        <v>PMT-V1029</v>
      </c>
      <c r="E850" s="16" t="str">
        <f aca="false">Bank_Statement!E90</f>
        <v>PAY40089</v>
      </c>
      <c r="F850" s="16" t="str">
        <f aca="false">IF(E850="","N/A",IF(COUNTIF(Payment_Log_AP!$A$2:$A$753,E850)&gt;0,"Yes","No"))</f>
        <v>Yes</v>
      </c>
      <c r="G850" s="16" t="str">
        <f aca="false">IF(E850="","Unexplained Bank Item (fee/other - review)",IF(F850="Yes","Matched","Payment Reference Not Found in AP Log"))</f>
        <v>Matched</v>
      </c>
    </row>
    <row r="851" customFormat="false" ht="15" hidden="false" customHeight="false" outlineLevel="0" collapsed="false">
      <c r="A851" s="16" t="str">
        <f aca="false">Bank_Statement!A91</f>
        <v>BNK50090</v>
      </c>
      <c r="B851" s="17" t="n">
        <f aca="false">Bank_Statement!B91</f>
        <v>45932</v>
      </c>
      <c r="C851" s="18" t="n">
        <f aca="false">Bank_Statement!C91</f>
        <v>-456.94</v>
      </c>
      <c r="D851" s="16" t="str">
        <f aca="false">Bank_Statement!D91</f>
        <v>PMT-V1009</v>
      </c>
      <c r="E851" s="16" t="str">
        <f aca="false">Bank_Statement!E91</f>
        <v>PAY40090</v>
      </c>
      <c r="F851" s="16" t="str">
        <f aca="false">IF(E851="","N/A",IF(COUNTIF(Payment_Log_AP!$A$2:$A$753,E851)&gt;0,"Yes","No"))</f>
        <v>Yes</v>
      </c>
      <c r="G851" s="16" t="str">
        <f aca="false">IF(E851="","Unexplained Bank Item (fee/other - review)",IF(F851="Yes","Matched","Payment Reference Not Found in AP Log"))</f>
        <v>Matched</v>
      </c>
    </row>
    <row r="852" customFormat="false" ht="15" hidden="false" customHeight="false" outlineLevel="0" collapsed="false">
      <c r="A852" s="16" t="str">
        <f aca="false">Bank_Statement!A92</f>
        <v>BNK50091</v>
      </c>
      <c r="B852" s="17" t="n">
        <f aca="false">Bank_Statement!B92</f>
        <v>46125</v>
      </c>
      <c r="C852" s="18" t="n">
        <f aca="false">Bank_Statement!C92</f>
        <v>-3515.6</v>
      </c>
      <c r="D852" s="16" t="str">
        <f aca="false">Bank_Statement!D92</f>
        <v>PMT-V1006</v>
      </c>
      <c r="E852" s="16" t="str">
        <f aca="false">Bank_Statement!E92</f>
        <v>PAY40091</v>
      </c>
      <c r="F852" s="16" t="str">
        <f aca="false">IF(E852="","N/A",IF(COUNTIF(Payment_Log_AP!$A$2:$A$753,E852)&gt;0,"Yes","No"))</f>
        <v>Yes</v>
      </c>
      <c r="G852" s="16" t="str">
        <f aca="false">IF(E852="","Unexplained Bank Item (fee/other - review)",IF(F852="Yes","Matched","Payment Reference Not Found in AP Log"))</f>
        <v>Matched</v>
      </c>
    </row>
    <row r="853" customFormat="false" ht="15" hidden="false" customHeight="false" outlineLevel="0" collapsed="false">
      <c r="A853" s="16" t="str">
        <f aca="false">Bank_Statement!A93</f>
        <v>BNK50092</v>
      </c>
      <c r="B853" s="17" t="n">
        <f aca="false">Bank_Statement!B93</f>
        <v>45998</v>
      </c>
      <c r="C853" s="18" t="n">
        <f aca="false">Bank_Statement!C93</f>
        <v>-2184.66</v>
      </c>
      <c r="D853" s="16" t="str">
        <f aca="false">Bank_Statement!D93</f>
        <v>PMT-V1006</v>
      </c>
      <c r="E853" s="16" t="str">
        <f aca="false">Bank_Statement!E93</f>
        <v>PAY40092</v>
      </c>
      <c r="F853" s="16" t="str">
        <f aca="false">IF(E853="","N/A",IF(COUNTIF(Payment_Log_AP!$A$2:$A$753,E853)&gt;0,"Yes","No"))</f>
        <v>Yes</v>
      </c>
      <c r="G853" s="16" t="str">
        <f aca="false">IF(E853="","Unexplained Bank Item (fee/other - review)",IF(F853="Yes","Matched","Payment Reference Not Found in AP Log"))</f>
        <v>Matched</v>
      </c>
    </row>
    <row r="854" customFormat="false" ht="15" hidden="false" customHeight="false" outlineLevel="0" collapsed="false">
      <c r="A854" s="16" t="str">
        <f aca="false">Bank_Statement!A94</f>
        <v>BNK50093</v>
      </c>
      <c r="B854" s="17" t="n">
        <f aca="false">Bank_Statement!B94</f>
        <v>46169</v>
      </c>
      <c r="C854" s="18" t="n">
        <f aca="false">Bank_Statement!C94</f>
        <v>-3835.01</v>
      </c>
      <c r="D854" s="16" t="str">
        <f aca="false">Bank_Statement!D94</f>
        <v>PMT-V1023</v>
      </c>
      <c r="E854" s="16" t="str">
        <f aca="false">Bank_Statement!E94</f>
        <v>PAY40093</v>
      </c>
      <c r="F854" s="16" t="str">
        <f aca="false">IF(E854="","N/A",IF(COUNTIF(Payment_Log_AP!$A$2:$A$753,E854)&gt;0,"Yes","No"))</f>
        <v>Yes</v>
      </c>
      <c r="G854" s="16" t="str">
        <f aca="false">IF(E854="","Unexplained Bank Item (fee/other - review)",IF(F854="Yes","Matched","Payment Reference Not Found in AP Log"))</f>
        <v>Matched</v>
      </c>
    </row>
    <row r="855" customFormat="false" ht="15" hidden="false" customHeight="false" outlineLevel="0" collapsed="false">
      <c r="A855" s="16" t="str">
        <f aca="false">Bank_Statement!A95</f>
        <v>BNK50094</v>
      </c>
      <c r="B855" s="17" t="n">
        <f aca="false">Bank_Statement!B95</f>
        <v>46045</v>
      </c>
      <c r="C855" s="18" t="n">
        <f aca="false">Bank_Statement!C95</f>
        <v>-402.4</v>
      </c>
      <c r="D855" s="16" t="str">
        <f aca="false">Bank_Statement!D95</f>
        <v>PMT-V1035</v>
      </c>
      <c r="E855" s="16" t="str">
        <f aca="false">Bank_Statement!E95</f>
        <v>PAY40094</v>
      </c>
      <c r="F855" s="16" t="str">
        <f aca="false">IF(E855="","N/A",IF(COUNTIF(Payment_Log_AP!$A$2:$A$753,E855)&gt;0,"Yes","No"))</f>
        <v>Yes</v>
      </c>
      <c r="G855" s="16" t="str">
        <f aca="false">IF(E855="","Unexplained Bank Item (fee/other - review)",IF(F855="Yes","Matched","Payment Reference Not Found in AP Log"))</f>
        <v>Matched</v>
      </c>
    </row>
    <row r="856" customFormat="false" ht="15" hidden="false" customHeight="false" outlineLevel="0" collapsed="false">
      <c r="A856" s="16" t="str">
        <f aca="false">Bank_Statement!A96</f>
        <v>BNK50095</v>
      </c>
      <c r="B856" s="17" t="n">
        <f aca="false">Bank_Statement!B96</f>
        <v>45965</v>
      </c>
      <c r="C856" s="18" t="n">
        <f aca="false">Bank_Statement!C96</f>
        <v>-816.15</v>
      </c>
      <c r="D856" s="16" t="str">
        <f aca="false">Bank_Statement!D96</f>
        <v>PMT-V1012</v>
      </c>
      <c r="E856" s="16" t="str">
        <f aca="false">Bank_Statement!E96</f>
        <v>PAY40095</v>
      </c>
      <c r="F856" s="16" t="str">
        <f aca="false">IF(E856="","N/A",IF(COUNTIF(Payment_Log_AP!$A$2:$A$753,E856)&gt;0,"Yes","No"))</f>
        <v>Yes</v>
      </c>
      <c r="G856" s="16" t="str">
        <f aca="false">IF(E856="","Unexplained Bank Item (fee/other - review)",IF(F856="Yes","Matched","Payment Reference Not Found in AP Log"))</f>
        <v>Matched</v>
      </c>
    </row>
    <row r="857" customFormat="false" ht="15" hidden="false" customHeight="false" outlineLevel="0" collapsed="false">
      <c r="A857" s="16" t="str">
        <f aca="false">Bank_Statement!A97</f>
        <v>BNK50096</v>
      </c>
      <c r="B857" s="17" t="n">
        <f aca="false">Bank_Statement!B97</f>
        <v>46150</v>
      </c>
      <c r="C857" s="18" t="n">
        <f aca="false">Bank_Statement!C97</f>
        <v>-5798.93</v>
      </c>
      <c r="D857" s="16" t="str">
        <f aca="false">Bank_Statement!D97</f>
        <v>PMT-V1012</v>
      </c>
      <c r="E857" s="16" t="str">
        <f aca="false">Bank_Statement!E97</f>
        <v>PAY40096</v>
      </c>
      <c r="F857" s="16" t="str">
        <f aca="false">IF(E857="","N/A",IF(COUNTIF(Payment_Log_AP!$A$2:$A$753,E857)&gt;0,"Yes","No"))</f>
        <v>Yes</v>
      </c>
      <c r="G857" s="16" t="str">
        <f aca="false">IF(E857="","Unexplained Bank Item (fee/other - review)",IF(F857="Yes","Matched","Payment Reference Not Found in AP Log"))</f>
        <v>Matched</v>
      </c>
    </row>
    <row r="858" customFormat="false" ht="15" hidden="false" customHeight="false" outlineLevel="0" collapsed="false">
      <c r="A858" s="16" t="str">
        <f aca="false">Bank_Statement!A98</f>
        <v>BNK50097</v>
      </c>
      <c r="B858" s="17" t="n">
        <f aca="false">Bank_Statement!B98</f>
        <v>46001</v>
      </c>
      <c r="C858" s="18" t="n">
        <f aca="false">Bank_Statement!C98</f>
        <v>-3177.07</v>
      </c>
      <c r="D858" s="16" t="str">
        <f aca="false">Bank_Statement!D98</f>
        <v>PMT-V1028</v>
      </c>
      <c r="E858" s="16" t="str">
        <f aca="false">Bank_Statement!E98</f>
        <v>PAY40097</v>
      </c>
      <c r="F858" s="16" t="str">
        <f aca="false">IF(E858="","N/A",IF(COUNTIF(Payment_Log_AP!$A$2:$A$753,E858)&gt;0,"Yes","No"))</f>
        <v>Yes</v>
      </c>
      <c r="G858" s="16" t="str">
        <f aca="false">IF(E858="","Unexplained Bank Item (fee/other - review)",IF(F858="Yes","Matched","Payment Reference Not Found in AP Log"))</f>
        <v>Matched</v>
      </c>
    </row>
    <row r="859" customFormat="false" ht="15" hidden="false" customHeight="false" outlineLevel="0" collapsed="false">
      <c r="A859" s="16" t="str">
        <f aca="false">Bank_Statement!A99</f>
        <v>BNK50098</v>
      </c>
      <c r="B859" s="17" t="n">
        <f aca="false">Bank_Statement!B99</f>
        <v>46189</v>
      </c>
      <c r="C859" s="18" t="n">
        <f aca="false">Bank_Statement!C99</f>
        <v>-2099.16</v>
      </c>
      <c r="D859" s="16" t="str">
        <f aca="false">Bank_Statement!D99</f>
        <v>PMT-V1017</v>
      </c>
      <c r="E859" s="16" t="str">
        <f aca="false">Bank_Statement!E99</f>
        <v>PAY40098</v>
      </c>
      <c r="F859" s="16" t="str">
        <f aca="false">IF(E859="","N/A",IF(COUNTIF(Payment_Log_AP!$A$2:$A$753,E859)&gt;0,"Yes","No"))</f>
        <v>Yes</v>
      </c>
      <c r="G859" s="16" t="str">
        <f aca="false">IF(E859="","Unexplained Bank Item (fee/other - review)",IF(F859="Yes","Matched","Payment Reference Not Found in AP Log"))</f>
        <v>Matched</v>
      </c>
    </row>
    <row r="860" customFormat="false" ht="15" hidden="false" customHeight="false" outlineLevel="0" collapsed="false">
      <c r="A860" s="16" t="str">
        <f aca="false">Bank_Statement!A100</f>
        <v>BNK50099</v>
      </c>
      <c r="B860" s="17" t="n">
        <f aca="false">Bank_Statement!B100</f>
        <v>46106</v>
      </c>
      <c r="C860" s="18" t="n">
        <f aca="false">Bank_Statement!C100</f>
        <v>-2167.65</v>
      </c>
      <c r="D860" s="16" t="str">
        <f aca="false">Bank_Statement!D100</f>
        <v>PMT-V1015</v>
      </c>
      <c r="E860" s="16" t="str">
        <f aca="false">Bank_Statement!E100</f>
        <v>PAY40099</v>
      </c>
      <c r="F860" s="16" t="str">
        <f aca="false">IF(E860="","N/A",IF(COUNTIF(Payment_Log_AP!$A$2:$A$753,E860)&gt;0,"Yes","No"))</f>
        <v>Yes</v>
      </c>
      <c r="G860" s="16" t="str">
        <f aca="false">IF(E860="","Unexplained Bank Item (fee/other - review)",IF(F860="Yes","Matched","Payment Reference Not Found in AP Log"))</f>
        <v>Matched</v>
      </c>
    </row>
    <row r="861" customFormat="false" ht="15" hidden="false" customHeight="false" outlineLevel="0" collapsed="false">
      <c r="A861" s="16" t="str">
        <f aca="false">Bank_Statement!A101</f>
        <v>BNK50100</v>
      </c>
      <c r="B861" s="17" t="n">
        <f aca="false">Bank_Statement!B101</f>
        <v>45933</v>
      </c>
      <c r="C861" s="18" t="n">
        <f aca="false">Bank_Statement!C101</f>
        <v>-865.82</v>
      </c>
      <c r="D861" s="16" t="str">
        <f aca="false">Bank_Statement!D101</f>
        <v>PMT-V1018</v>
      </c>
      <c r="E861" s="16" t="str">
        <f aca="false">Bank_Statement!E101</f>
        <v>PAY40100</v>
      </c>
      <c r="F861" s="16" t="str">
        <f aca="false">IF(E861="","N/A",IF(COUNTIF(Payment_Log_AP!$A$2:$A$753,E861)&gt;0,"Yes","No"))</f>
        <v>Yes</v>
      </c>
      <c r="G861" s="16" t="str">
        <f aca="false">IF(E861="","Unexplained Bank Item (fee/other - review)",IF(F861="Yes","Matched","Payment Reference Not Found in AP Log"))</f>
        <v>Matched</v>
      </c>
    </row>
    <row r="862" customFormat="false" ht="15" hidden="false" customHeight="false" outlineLevel="0" collapsed="false">
      <c r="A862" s="16" t="str">
        <f aca="false">Bank_Statement!A102</f>
        <v>BNK50101</v>
      </c>
      <c r="B862" s="17" t="n">
        <f aca="false">Bank_Statement!B102</f>
        <v>45838</v>
      </c>
      <c r="C862" s="18" t="n">
        <f aca="false">Bank_Statement!C102</f>
        <v>-588.49</v>
      </c>
      <c r="D862" s="16" t="str">
        <f aca="false">Bank_Statement!D102</f>
        <v>PMT-V1006</v>
      </c>
      <c r="E862" s="16" t="str">
        <f aca="false">Bank_Statement!E102</f>
        <v>PAY40101</v>
      </c>
      <c r="F862" s="16" t="str">
        <f aca="false">IF(E862="","N/A",IF(COUNTIF(Payment_Log_AP!$A$2:$A$753,E862)&gt;0,"Yes","No"))</f>
        <v>Yes</v>
      </c>
      <c r="G862" s="16" t="str">
        <f aca="false">IF(E862="","Unexplained Bank Item (fee/other - review)",IF(F862="Yes","Matched","Payment Reference Not Found in AP Log"))</f>
        <v>Matched</v>
      </c>
    </row>
    <row r="863" customFormat="false" ht="15" hidden="false" customHeight="false" outlineLevel="0" collapsed="false">
      <c r="A863" s="16" t="str">
        <f aca="false">Bank_Statement!A103</f>
        <v>BNK50102</v>
      </c>
      <c r="B863" s="17" t="n">
        <f aca="false">Bank_Statement!B103</f>
        <v>45818</v>
      </c>
      <c r="C863" s="18" t="n">
        <f aca="false">Bank_Statement!C103</f>
        <v>-1755.83</v>
      </c>
      <c r="D863" s="16" t="str">
        <f aca="false">Bank_Statement!D103</f>
        <v>PMT-V1038</v>
      </c>
      <c r="E863" s="16" t="str">
        <f aca="false">Bank_Statement!E103</f>
        <v>PAY40102</v>
      </c>
      <c r="F863" s="16" t="str">
        <f aca="false">IF(E863="","N/A",IF(COUNTIF(Payment_Log_AP!$A$2:$A$753,E863)&gt;0,"Yes","No"))</f>
        <v>Yes</v>
      </c>
      <c r="G863" s="16" t="str">
        <f aca="false">IF(E863="","Unexplained Bank Item (fee/other - review)",IF(F863="Yes","Matched","Payment Reference Not Found in AP Log"))</f>
        <v>Matched</v>
      </c>
    </row>
    <row r="864" customFormat="false" ht="15" hidden="false" customHeight="false" outlineLevel="0" collapsed="false">
      <c r="A864" s="16" t="str">
        <f aca="false">Bank_Statement!A104</f>
        <v>BNK50103</v>
      </c>
      <c r="B864" s="17" t="n">
        <f aca="false">Bank_Statement!B104</f>
        <v>46041</v>
      </c>
      <c r="C864" s="18" t="n">
        <f aca="false">Bank_Statement!C104</f>
        <v>-946.66</v>
      </c>
      <c r="D864" s="16" t="str">
        <f aca="false">Bank_Statement!D104</f>
        <v>PMT-V1026</v>
      </c>
      <c r="E864" s="16" t="str">
        <f aca="false">Bank_Statement!E104</f>
        <v>PAY40103</v>
      </c>
      <c r="F864" s="16" t="str">
        <f aca="false">IF(E864="","N/A",IF(COUNTIF(Payment_Log_AP!$A$2:$A$753,E864)&gt;0,"Yes","No"))</f>
        <v>Yes</v>
      </c>
      <c r="G864" s="16" t="str">
        <f aca="false">IF(E864="","Unexplained Bank Item (fee/other - review)",IF(F864="Yes","Matched","Payment Reference Not Found in AP Log"))</f>
        <v>Matched</v>
      </c>
    </row>
    <row r="865" customFormat="false" ht="15" hidden="false" customHeight="false" outlineLevel="0" collapsed="false">
      <c r="A865" s="16" t="str">
        <f aca="false">Bank_Statement!A105</f>
        <v>BNK50104</v>
      </c>
      <c r="B865" s="17" t="n">
        <f aca="false">Bank_Statement!B105</f>
        <v>46114</v>
      </c>
      <c r="C865" s="18" t="n">
        <f aca="false">Bank_Statement!C105</f>
        <v>-17767.35</v>
      </c>
      <c r="D865" s="16" t="str">
        <f aca="false">Bank_Statement!D105</f>
        <v>PMT-V1027</v>
      </c>
      <c r="E865" s="16" t="str">
        <f aca="false">Bank_Statement!E105</f>
        <v>PAY40104</v>
      </c>
      <c r="F865" s="16" t="str">
        <f aca="false">IF(E865="","N/A",IF(COUNTIF(Payment_Log_AP!$A$2:$A$753,E865)&gt;0,"Yes","No"))</f>
        <v>Yes</v>
      </c>
      <c r="G865" s="16" t="str">
        <f aca="false">IF(E865="","Unexplained Bank Item (fee/other - review)",IF(F865="Yes","Matched","Payment Reference Not Found in AP Log"))</f>
        <v>Matched</v>
      </c>
    </row>
    <row r="866" customFormat="false" ht="15" hidden="false" customHeight="false" outlineLevel="0" collapsed="false">
      <c r="A866" s="16" t="str">
        <f aca="false">Bank_Statement!A106</f>
        <v>BNK50105</v>
      </c>
      <c r="B866" s="17" t="n">
        <f aca="false">Bank_Statement!B106</f>
        <v>45980</v>
      </c>
      <c r="C866" s="18" t="n">
        <f aca="false">Bank_Statement!C106</f>
        <v>-8633.55</v>
      </c>
      <c r="D866" s="16" t="str">
        <f aca="false">Bank_Statement!D106</f>
        <v>PMT-V1002</v>
      </c>
      <c r="E866" s="16" t="str">
        <f aca="false">Bank_Statement!E106</f>
        <v>PAY40105</v>
      </c>
      <c r="F866" s="16" t="str">
        <f aca="false">IF(E866="","N/A",IF(COUNTIF(Payment_Log_AP!$A$2:$A$753,E866)&gt;0,"Yes","No"))</f>
        <v>Yes</v>
      </c>
      <c r="G866" s="16" t="str">
        <f aca="false">IF(E866="","Unexplained Bank Item (fee/other - review)",IF(F866="Yes","Matched","Payment Reference Not Found in AP Log"))</f>
        <v>Matched</v>
      </c>
    </row>
    <row r="867" customFormat="false" ht="15" hidden="false" customHeight="false" outlineLevel="0" collapsed="false">
      <c r="A867" s="16" t="str">
        <f aca="false">Bank_Statement!A107</f>
        <v>BNK50106</v>
      </c>
      <c r="B867" s="17" t="n">
        <f aca="false">Bank_Statement!B107</f>
        <v>46044</v>
      </c>
      <c r="C867" s="18" t="n">
        <f aca="false">Bank_Statement!C107</f>
        <v>-1731.53</v>
      </c>
      <c r="D867" s="16" t="str">
        <f aca="false">Bank_Statement!D107</f>
        <v>PMT-V1038</v>
      </c>
      <c r="E867" s="16" t="str">
        <f aca="false">Bank_Statement!E107</f>
        <v>PAY40106</v>
      </c>
      <c r="F867" s="16" t="str">
        <f aca="false">IF(E867="","N/A",IF(COUNTIF(Payment_Log_AP!$A$2:$A$753,E867)&gt;0,"Yes","No"))</f>
        <v>Yes</v>
      </c>
      <c r="G867" s="16" t="str">
        <f aca="false">IF(E867="","Unexplained Bank Item (fee/other - review)",IF(F867="Yes","Matched","Payment Reference Not Found in AP Log"))</f>
        <v>Matched</v>
      </c>
    </row>
    <row r="868" customFormat="false" ht="15" hidden="false" customHeight="false" outlineLevel="0" collapsed="false">
      <c r="A868" s="16" t="str">
        <f aca="false">Bank_Statement!A108</f>
        <v>BNK50107</v>
      </c>
      <c r="B868" s="17" t="n">
        <f aca="false">Bank_Statement!B108</f>
        <v>45857</v>
      </c>
      <c r="C868" s="18" t="n">
        <f aca="false">Bank_Statement!C108</f>
        <v>-1559.4</v>
      </c>
      <c r="D868" s="16" t="str">
        <f aca="false">Bank_Statement!D108</f>
        <v>PMT-V1025</v>
      </c>
      <c r="E868" s="16" t="str">
        <f aca="false">Bank_Statement!E108</f>
        <v>PAY40107</v>
      </c>
      <c r="F868" s="16" t="str">
        <f aca="false">IF(E868="","N/A",IF(COUNTIF(Payment_Log_AP!$A$2:$A$753,E868)&gt;0,"Yes","No"))</f>
        <v>Yes</v>
      </c>
      <c r="G868" s="16" t="str">
        <f aca="false">IF(E868="","Unexplained Bank Item (fee/other - review)",IF(F868="Yes","Matched","Payment Reference Not Found in AP Log"))</f>
        <v>Matched</v>
      </c>
    </row>
    <row r="869" customFormat="false" ht="15" hidden="false" customHeight="false" outlineLevel="0" collapsed="false">
      <c r="A869" s="16" t="str">
        <f aca="false">Bank_Statement!A109</f>
        <v>BNK50108</v>
      </c>
      <c r="B869" s="17" t="n">
        <f aca="false">Bank_Statement!B109</f>
        <v>45746</v>
      </c>
      <c r="C869" s="18" t="n">
        <f aca="false">Bank_Statement!C109</f>
        <v>-1484.65</v>
      </c>
      <c r="D869" s="16" t="str">
        <f aca="false">Bank_Statement!D109</f>
        <v>PMT-V1019</v>
      </c>
      <c r="E869" s="16" t="str">
        <f aca="false">Bank_Statement!E109</f>
        <v>PAY40108</v>
      </c>
      <c r="F869" s="16" t="str">
        <f aca="false">IF(E869="","N/A",IF(COUNTIF(Payment_Log_AP!$A$2:$A$753,E869)&gt;0,"Yes","No"))</f>
        <v>Yes</v>
      </c>
      <c r="G869" s="16" t="str">
        <f aca="false">IF(E869="","Unexplained Bank Item (fee/other - review)",IF(F869="Yes","Matched","Payment Reference Not Found in AP Log"))</f>
        <v>Matched</v>
      </c>
    </row>
    <row r="870" customFormat="false" ht="15" hidden="false" customHeight="false" outlineLevel="0" collapsed="false">
      <c r="A870" s="16" t="str">
        <f aca="false">Bank_Statement!A110</f>
        <v>BNK50109</v>
      </c>
      <c r="B870" s="17" t="n">
        <f aca="false">Bank_Statement!B110</f>
        <v>45840</v>
      </c>
      <c r="C870" s="18" t="n">
        <f aca="false">Bank_Statement!C110</f>
        <v>-448.18</v>
      </c>
      <c r="D870" s="16" t="str">
        <f aca="false">Bank_Statement!D110</f>
        <v>PMT-V1014</v>
      </c>
      <c r="E870" s="16" t="str">
        <f aca="false">Bank_Statement!E110</f>
        <v>PAY40109</v>
      </c>
      <c r="F870" s="16" t="str">
        <f aca="false">IF(E870="","N/A",IF(COUNTIF(Payment_Log_AP!$A$2:$A$753,E870)&gt;0,"Yes","No"))</f>
        <v>Yes</v>
      </c>
      <c r="G870" s="16" t="str">
        <f aca="false">IF(E870="","Unexplained Bank Item (fee/other - review)",IF(F870="Yes","Matched","Payment Reference Not Found in AP Log"))</f>
        <v>Matched</v>
      </c>
    </row>
    <row r="871" customFormat="false" ht="15" hidden="false" customHeight="false" outlineLevel="0" collapsed="false">
      <c r="A871" s="16" t="str">
        <f aca="false">Bank_Statement!A111</f>
        <v>BNK50110</v>
      </c>
      <c r="B871" s="17" t="n">
        <f aca="false">Bank_Statement!B111</f>
        <v>45815</v>
      </c>
      <c r="C871" s="18" t="n">
        <f aca="false">Bank_Statement!C111</f>
        <v>-381.28</v>
      </c>
      <c r="D871" s="16" t="str">
        <f aca="false">Bank_Statement!D111</f>
        <v>PMT-V1028</v>
      </c>
      <c r="E871" s="16" t="str">
        <f aca="false">Bank_Statement!E111</f>
        <v>PAY40110</v>
      </c>
      <c r="F871" s="16" t="str">
        <f aca="false">IF(E871="","N/A",IF(COUNTIF(Payment_Log_AP!$A$2:$A$753,E871)&gt;0,"Yes","No"))</f>
        <v>Yes</v>
      </c>
      <c r="G871" s="16" t="str">
        <f aca="false">IF(E871="","Unexplained Bank Item (fee/other - review)",IF(F871="Yes","Matched","Payment Reference Not Found in AP Log"))</f>
        <v>Matched</v>
      </c>
    </row>
    <row r="872" customFormat="false" ht="15" hidden="false" customHeight="false" outlineLevel="0" collapsed="false">
      <c r="A872" s="16" t="str">
        <f aca="false">Bank_Statement!A112</f>
        <v>BNK50111</v>
      </c>
      <c r="B872" s="17" t="n">
        <f aca="false">Bank_Statement!B112</f>
        <v>45885</v>
      </c>
      <c r="C872" s="18" t="n">
        <f aca="false">Bank_Statement!C112</f>
        <v>-432.73</v>
      </c>
      <c r="D872" s="16" t="str">
        <f aca="false">Bank_Statement!D112</f>
        <v>PMT-V1017</v>
      </c>
      <c r="E872" s="16" t="str">
        <f aca="false">Bank_Statement!E112</f>
        <v>PAY40111</v>
      </c>
      <c r="F872" s="16" t="str">
        <f aca="false">IF(E872="","N/A",IF(COUNTIF(Payment_Log_AP!$A$2:$A$753,E872)&gt;0,"Yes","No"))</f>
        <v>Yes</v>
      </c>
      <c r="G872" s="16" t="str">
        <f aca="false">IF(E872="","Unexplained Bank Item (fee/other - review)",IF(F872="Yes","Matched","Payment Reference Not Found in AP Log"))</f>
        <v>Matched</v>
      </c>
    </row>
    <row r="873" customFormat="false" ht="15" hidden="false" customHeight="false" outlineLevel="0" collapsed="false">
      <c r="A873" s="16" t="str">
        <f aca="false">Bank_Statement!A113</f>
        <v>BNK50112</v>
      </c>
      <c r="B873" s="17" t="n">
        <f aca="false">Bank_Statement!B113</f>
        <v>45977</v>
      </c>
      <c r="C873" s="18" t="n">
        <f aca="false">Bank_Statement!C113</f>
        <v>-2005.68</v>
      </c>
      <c r="D873" s="16" t="str">
        <f aca="false">Bank_Statement!D113</f>
        <v>PMT-V1032</v>
      </c>
      <c r="E873" s="16" t="str">
        <f aca="false">Bank_Statement!E113</f>
        <v>PAY40112</v>
      </c>
      <c r="F873" s="16" t="str">
        <f aca="false">IF(E873="","N/A",IF(COUNTIF(Payment_Log_AP!$A$2:$A$753,E873)&gt;0,"Yes","No"))</f>
        <v>Yes</v>
      </c>
      <c r="G873" s="16" t="str">
        <f aca="false">IF(E873="","Unexplained Bank Item (fee/other - review)",IF(F873="Yes","Matched","Payment Reference Not Found in AP Log"))</f>
        <v>Matched</v>
      </c>
    </row>
    <row r="874" customFormat="false" ht="15" hidden="false" customHeight="false" outlineLevel="0" collapsed="false">
      <c r="A874" s="16" t="str">
        <f aca="false">Bank_Statement!A114</f>
        <v>BNK50113</v>
      </c>
      <c r="B874" s="17" t="n">
        <f aca="false">Bank_Statement!B114</f>
        <v>45783</v>
      </c>
      <c r="C874" s="18" t="n">
        <f aca="false">Bank_Statement!C114</f>
        <v>-12091.17</v>
      </c>
      <c r="D874" s="16" t="str">
        <f aca="false">Bank_Statement!D114</f>
        <v>PMT-V1009</v>
      </c>
      <c r="E874" s="16" t="str">
        <f aca="false">Bank_Statement!E114</f>
        <v>PAY40113</v>
      </c>
      <c r="F874" s="16" t="str">
        <f aca="false">IF(E874="","N/A",IF(COUNTIF(Payment_Log_AP!$A$2:$A$753,E874)&gt;0,"Yes","No"))</f>
        <v>Yes</v>
      </c>
      <c r="G874" s="16" t="str">
        <f aca="false">IF(E874="","Unexplained Bank Item (fee/other - review)",IF(F874="Yes","Matched","Payment Reference Not Found in AP Log"))</f>
        <v>Matched</v>
      </c>
    </row>
    <row r="875" customFormat="false" ht="15" hidden="false" customHeight="false" outlineLevel="0" collapsed="false">
      <c r="A875" s="16" t="str">
        <f aca="false">Bank_Statement!A115</f>
        <v>BNK50114</v>
      </c>
      <c r="B875" s="17" t="n">
        <f aca="false">Bank_Statement!B115</f>
        <v>45813</v>
      </c>
      <c r="C875" s="18" t="n">
        <f aca="false">Bank_Statement!C115</f>
        <v>-1425.03</v>
      </c>
      <c r="D875" s="16" t="str">
        <f aca="false">Bank_Statement!D115</f>
        <v>PMT-V1003</v>
      </c>
      <c r="E875" s="16" t="str">
        <f aca="false">Bank_Statement!E115</f>
        <v>PAY40114</v>
      </c>
      <c r="F875" s="16" t="str">
        <f aca="false">IF(E875="","N/A",IF(COUNTIF(Payment_Log_AP!$A$2:$A$753,E875)&gt;0,"Yes","No"))</f>
        <v>Yes</v>
      </c>
      <c r="G875" s="16" t="str">
        <f aca="false">IF(E875="","Unexplained Bank Item (fee/other - review)",IF(F875="Yes","Matched","Payment Reference Not Found in AP Log"))</f>
        <v>Matched</v>
      </c>
    </row>
    <row r="876" customFormat="false" ht="15" hidden="false" customHeight="false" outlineLevel="0" collapsed="false">
      <c r="A876" s="16" t="str">
        <f aca="false">Bank_Statement!A116</f>
        <v>BNK50115</v>
      </c>
      <c r="B876" s="17" t="n">
        <f aca="false">Bank_Statement!B116</f>
        <v>46087</v>
      </c>
      <c r="C876" s="18" t="n">
        <f aca="false">Bank_Statement!C116</f>
        <v>-13874.68</v>
      </c>
      <c r="D876" s="16" t="str">
        <f aca="false">Bank_Statement!D116</f>
        <v>PMT-V1005</v>
      </c>
      <c r="E876" s="16" t="str">
        <f aca="false">Bank_Statement!E116</f>
        <v>PAY40115</v>
      </c>
      <c r="F876" s="16" t="str">
        <f aca="false">IF(E876="","N/A",IF(COUNTIF(Payment_Log_AP!$A$2:$A$753,E876)&gt;0,"Yes","No"))</f>
        <v>Yes</v>
      </c>
      <c r="G876" s="16" t="str">
        <f aca="false">IF(E876="","Unexplained Bank Item (fee/other - review)",IF(F876="Yes","Matched","Payment Reference Not Found in AP Log"))</f>
        <v>Matched</v>
      </c>
    </row>
    <row r="877" customFormat="false" ht="15" hidden="false" customHeight="false" outlineLevel="0" collapsed="false">
      <c r="A877" s="16" t="str">
        <f aca="false">Bank_Statement!A117</f>
        <v>BNK50116</v>
      </c>
      <c r="B877" s="17" t="n">
        <f aca="false">Bank_Statement!B117</f>
        <v>46088</v>
      </c>
      <c r="C877" s="18" t="n">
        <f aca="false">Bank_Statement!C117</f>
        <v>-2603.15</v>
      </c>
      <c r="D877" s="16" t="str">
        <f aca="false">Bank_Statement!D117</f>
        <v>PMT-V1025</v>
      </c>
      <c r="E877" s="16" t="str">
        <f aca="false">Bank_Statement!E117</f>
        <v>PAY40116</v>
      </c>
      <c r="F877" s="16" t="str">
        <f aca="false">IF(E877="","N/A",IF(COUNTIF(Payment_Log_AP!$A$2:$A$753,E877)&gt;0,"Yes","No"))</f>
        <v>Yes</v>
      </c>
      <c r="G877" s="16" t="str">
        <f aca="false">IF(E877="","Unexplained Bank Item (fee/other - review)",IF(F877="Yes","Matched","Payment Reference Not Found in AP Log"))</f>
        <v>Matched</v>
      </c>
    </row>
    <row r="878" customFormat="false" ht="15" hidden="false" customHeight="false" outlineLevel="0" collapsed="false">
      <c r="A878" s="16" t="str">
        <f aca="false">Bank_Statement!A118</f>
        <v>BNK50117</v>
      </c>
      <c r="B878" s="17" t="n">
        <f aca="false">Bank_Statement!B118</f>
        <v>45902</v>
      </c>
      <c r="C878" s="18" t="n">
        <f aca="false">Bank_Statement!C118</f>
        <v>-4244.35</v>
      </c>
      <c r="D878" s="16" t="str">
        <f aca="false">Bank_Statement!D118</f>
        <v>PMT-V1007</v>
      </c>
      <c r="E878" s="16" t="str">
        <f aca="false">Bank_Statement!E118</f>
        <v>PAY40117</v>
      </c>
      <c r="F878" s="16" t="str">
        <f aca="false">IF(E878="","N/A",IF(COUNTIF(Payment_Log_AP!$A$2:$A$753,E878)&gt;0,"Yes","No"))</f>
        <v>Yes</v>
      </c>
      <c r="G878" s="16" t="str">
        <f aca="false">IF(E878="","Unexplained Bank Item (fee/other - review)",IF(F878="Yes","Matched","Payment Reference Not Found in AP Log"))</f>
        <v>Matched</v>
      </c>
    </row>
    <row r="879" customFormat="false" ht="15" hidden="false" customHeight="false" outlineLevel="0" collapsed="false">
      <c r="A879" s="16" t="str">
        <f aca="false">Bank_Statement!A119</f>
        <v>BNK50118</v>
      </c>
      <c r="B879" s="17" t="n">
        <f aca="false">Bank_Statement!B119</f>
        <v>45901</v>
      </c>
      <c r="C879" s="18" t="n">
        <f aca="false">Bank_Statement!C119</f>
        <v>-1297.3</v>
      </c>
      <c r="D879" s="16" t="str">
        <f aca="false">Bank_Statement!D119</f>
        <v>PMT-V1007</v>
      </c>
      <c r="E879" s="16" t="str">
        <f aca="false">Bank_Statement!E119</f>
        <v>PAY40118</v>
      </c>
      <c r="F879" s="16" t="str">
        <f aca="false">IF(E879="","N/A",IF(COUNTIF(Payment_Log_AP!$A$2:$A$753,E879)&gt;0,"Yes","No"))</f>
        <v>Yes</v>
      </c>
      <c r="G879" s="16" t="str">
        <f aca="false">IF(E879="","Unexplained Bank Item (fee/other - review)",IF(F879="Yes","Matched","Payment Reference Not Found in AP Log"))</f>
        <v>Matched</v>
      </c>
    </row>
    <row r="880" customFormat="false" ht="15" hidden="false" customHeight="false" outlineLevel="0" collapsed="false">
      <c r="A880" s="16" t="str">
        <f aca="false">Bank_Statement!A120</f>
        <v>BNK50119</v>
      </c>
      <c r="B880" s="17" t="n">
        <f aca="false">Bank_Statement!B120</f>
        <v>45790</v>
      </c>
      <c r="C880" s="18" t="n">
        <f aca="false">Bank_Statement!C120</f>
        <v>-1349.8</v>
      </c>
      <c r="D880" s="16" t="str">
        <f aca="false">Bank_Statement!D120</f>
        <v>PMT-V1009</v>
      </c>
      <c r="E880" s="16" t="str">
        <f aca="false">Bank_Statement!E120</f>
        <v>PAY40119</v>
      </c>
      <c r="F880" s="16" t="str">
        <f aca="false">IF(E880="","N/A",IF(COUNTIF(Payment_Log_AP!$A$2:$A$753,E880)&gt;0,"Yes","No"))</f>
        <v>Yes</v>
      </c>
      <c r="G880" s="16" t="str">
        <f aca="false">IF(E880="","Unexplained Bank Item (fee/other - review)",IF(F880="Yes","Matched","Payment Reference Not Found in AP Log"))</f>
        <v>Matched</v>
      </c>
    </row>
    <row r="881" customFormat="false" ht="15" hidden="false" customHeight="false" outlineLevel="0" collapsed="false">
      <c r="A881" s="16" t="str">
        <f aca="false">Bank_Statement!A121</f>
        <v>BNK50120</v>
      </c>
      <c r="B881" s="17" t="n">
        <f aca="false">Bank_Statement!B121</f>
        <v>45925</v>
      </c>
      <c r="C881" s="18" t="n">
        <f aca="false">Bank_Statement!C121</f>
        <v>-9053.44</v>
      </c>
      <c r="D881" s="16" t="str">
        <f aca="false">Bank_Statement!D121</f>
        <v>PMT-V1022</v>
      </c>
      <c r="E881" s="16" t="str">
        <f aca="false">Bank_Statement!E121</f>
        <v>PAY40120</v>
      </c>
      <c r="F881" s="16" t="str">
        <f aca="false">IF(E881="","N/A",IF(COUNTIF(Payment_Log_AP!$A$2:$A$753,E881)&gt;0,"Yes","No"))</f>
        <v>Yes</v>
      </c>
      <c r="G881" s="16" t="str">
        <f aca="false">IF(E881="","Unexplained Bank Item (fee/other - review)",IF(F881="Yes","Matched","Payment Reference Not Found in AP Log"))</f>
        <v>Matched</v>
      </c>
    </row>
    <row r="882" customFormat="false" ht="15" hidden="false" customHeight="false" outlineLevel="0" collapsed="false">
      <c r="A882" s="16" t="str">
        <f aca="false">Bank_Statement!A122</f>
        <v>BNK50121</v>
      </c>
      <c r="B882" s="17" t="n">
        <f aca="false">Bank_Statement!B122</f>
        <v>46185</v>
      </c>
      <c r="C882" s="18" t="n">
        <f aca="false">Bank_Statement!C122</f>
        <v>-974.82</v>
      </c>
      <c r="D882" s="16" t="str">
        <f aca="false">Bank_Statement!D122</f>
        <v>PMT-V1022</v>
      </c>
      <c r="E882" s="16" t="str">
        <f aca="false">Bank_Statement!E122</f>
        <v>PAY40121</v>
      </c>
      <c r="F882" s="16" t="str">
        <f aca="false">IF(E882="","N/A",IF(COUNTIF(Payment_Log_AP!$A$2:$A$753,E882)&gt;0,"Yes","No"))</f>
        <v>Yes</v>
      </c>
      <c r="G882" s="16" t="str">
        <f aca="false">IF(E882="","Unexplained Bank Item (fee/other - review)",IF(F882="Yes","Matched","Payment Reference Not Found in AP Log"))</f>
        <v>Matched</v>
      </c>
    </row>
    <row r="883" customFormat="false" ht="15" hidden="false" customHeight="false" outlineLevel="0" collapsed="false">
      <c r="A883" s="16" t="str">
        <f aca="false">Bank_Statement!A123</f>
        <v>BNK50122</v>
      </c>
      <c r="B883" s="17" t="n">
        <f aca="false">Bank_Statement!B123</f>
        <v>46006</v>
      </c>
      <c r="C883" s="18" t="n">
        <f aca="false">Bank_Statement!C123</f>
        <v>-5730.61</v>
      </c>
      <c r="D883" s="16" t="str">
        <f aca="false">Bank_Statement!D123</f>
        <v>PMT-V1034</v>
      </c>
      <c r="E883" s="16" t="str">
        <f aca="false">Bank_Statement!E123</f>
        <v>PAY40122</v>
      </c>
      <c r="F883" s="16" t="str">
        <f aca="false">IF(E883="","N/A",IF(COUNTIF(Payment_Log_AP!$A$2:$A$753,E883)&gt;0,"Yes","No"))</f>
        <v>Yes</v>
      </c>
      <c r="G883" s="16" t="str">
        <f aca="false">IF(E883="","Unexplained Bank Item (fee/other - review)",IF(F883="Yes","Matched","Payment Reference Not Found in AP Log"))</f>
        <v>Matched</v>
      </c>
    </row>
    <row r="884" customFormat="false" ht="15" hidden="false" customHeight="false" outlineLevel="0" collapsed="false">
      <c r="A884" s="16" t="str">
        <f aca="false">Bank_Statement!A124</f>
        <v>BNK50123</v>
      </c>
      <c r="B884" s="17" t="n">
        <f aca="false">Bank_Statement!B124</f>
        <v>46066</v>
      </c>
      <c r="C884" s="18" t="n">
        <f aca="false">Bank_Statement!C124</f>
        <v>-11169.56</v>
      </c>
      <c r="D884" s="16" t="str">
        <f aca="false">Bank_Statement!D124</f>
        <v>PMT-V1040</v>
      </c>
      <c r="E884" s="16" t="str">
        <f aca="false">Bank_Statement!E124</f>
        <v>PAY40123</v>
      </c>
      <c r="F884" s="16" t="str">
        <f aca="false">IF(E884="","N/A",IF(COUNTIF(Payment_Log_AP!$A$2:$A$753,E884)&gt;0,"Yes","No"))</f>
        <v>Yes</v>
      </c>
      <c r="G884" s="16" t="str">
        <f aca="false">IF(E884="","Unexplained Bank Item (fee/other - review)",IF(F884="Yes","Matched","Payment Reference Not Found in AP Log"))</f>
        <v>Matched</v>
      </c>
    </row>
    <row r="885" customFormat="false" ht="15" hidden="false" customHeight="false" outlineLevel="0" collapsed="false">
      <c r="A885" s="16" t="str">
        <f aca="false">Bank_Statement!A125</f>
        <v>BNK50124</v>
      </c>
      <c r="B885" s="17" t="n">
        <f aca="false">Bank_Statement!B125</f>
        <v>46167</v>
      </c>
      <c r="C885" s="18" t="n">
        <f aca="false">Bank_Statement!C125</f>
        <v>-573.05</v>
      </c>
      <c r="D885" s="16" t="str">
        <f aca="false">Bank_Statement!D125</f>
        <v>PMT-V1032</v>
      </c>
      <c r="E885" s="16" t="str">
        <f aca="false">Bank_Statement!E125</f>
        <v>PAY40124</v>
      </c>
      <c r="F885" s="16" t="str">
        <f aca="false">IF(E885="","N/A",IF(COUNTIF(Payment_Log_AP!$A$2:$A$753,E885)&gt;0,"Yes","No"))</f>
        <v>Yes</v>
      </c>
      <c r="G885" s="16" t="str">
        <f aca="false">IF(E885="","Unexplained Bank Item (fee/other - review)",IF(F885="Yes","Matched","Payment Reference Not Found in AP Log"))</f>
        <v>Matched</v>
      </c>
    </row>
    <row r="886" customFormat="false" ht="15" hidden="false" customHeight="false" outlineLevel="0" collapsed="false">
      <c r="A886" s="16" t="str">
        <f aca="false">Bank_Statement!A126</f>
        <v>BNK50125</v>
      </c>
      <c r="B886" s="17" t="n">
        <f aca="false">Bank_Statement!B126</f>
        <v>46132</v>
      </c>
      <c r="C886" s="18" t="n">
        <f aca="false">Bank_Statement!C126</f>
        <v>-267.6</v>
      </c>
      <c r="D886" s="16" t="str">
        <f aca="false">Bank_Statement!D126</f>
        <v>PMT-V1021</v>
      </c>
      <c r="E886" s="16" t="str">
        <f aca="false">Bank_Statement!E126</f>
        <v>PAY40125</v>
      </c>
      <c r="F886" s="16" t="str">
        <f aca="false">IF(E886="","N/A",IF(COUNTIF(Payment_Log_AP!$A$2:$A$753,E886)&gt;0,"Yes","No"))</f>
        <v>Yes</v>
      </c>
      <c r="G886" s="16" t="str">
        <f aca="false">IF(E886="","Unexplained Bank Item (fee/other - review)",IF(F886="Yes","Matched","Payment Reference Not Found in AP Log"))</f>
        <v>Matched</v>
      </c>
    </row>
    <row r="887" customFormat="false" ht="15" hidden="false" customHeight="false" outlineLevel="0" collapsed="false">
      <c r="A887" s="16" t="str">
        <f aca="false">Bank_Statement!A127</f>
        <v>BNK50126</v>
      </c>
      <c r="B887" s="17" t="n">
        <f aca="false">Bank_Statement!B127</f>
        <v>45882</v>
      </c>
      <c r="C887" s="18" t="n">
        <f aca="false">Bank_Statement!C127</f>
        <v>-634.26</v>
      </c>
      <c r="D887" s="16" t="str">
        <f aca="false">Bank_Statement!D127</f>
        <v>PMT-V1036</v>
      </c>
      <c r="E887" s="16" t="str">
        <f aca="false">Bank_Statement!E127</f>
        <v>PAY40126</v>
      </c>
      <c r="F887" s="16" t="str">
        <f aca="false">IF(E887="","N/A",IF(COUNTIF(Payment_Log_AP!$A$2:$A$753,E887)&gt;0,"Yes","No"))</f>
        <v>Yes</v>
      </c>
      <c r="G887" s="16" t="str">
        <f aca="false">IF(E887="","Unexplained Bank Item (fee/other - review)",IF(F887="Yes","Matched","Payment Reference Not Found in AP Log"))</f>
        <v>Matched</v>
      </c>
    </row>
    <row r="888" customFormat="false" ht="15" hidden="false" customHeight="false" outlineLevel="0" collapsed="false">
      <c r="A888" s="16" t="str">
        <f aca="false">Bank_Statement!A128</f>
        <v>BNK50127</v>
      </c>
      <c r="B888" s="17" t="n">
        <f aca="false">Bank_Statement!B128</f>
        <v>45686</v>
      </c>
      <c r="C888" s="18" t="n">
        <f aca="false">Bank_Statement!C128</f>
        <v>-858.6</v>
      </c>
      <c r="D888" s="16" t="str">
        <f aca="false">Bank_Statement!D128</f>
        <v>PMT-V1029</v>
      </c>
      <c r="E888" s="16" t="str">
        <f aca="false">Bank_Statement!E128</f>
        <v>PAY40127</v>
      </c>
      <c r="F888" s="16" t="str">
        <f aca="false">IF(E888="","N/A",IF(COUNTIF(Payment_Log_AP!$A$2:$A$753,E888)&gt;0,"Yes","No"))</f>
        <v>Yes</v>
      </c>
      <c r="G888" s="16" t="str">
        <f aca="false">IF(E888="","Unexplained Bank Item (fee/other - review)",IF(F888="Yes","Matched","Payment Reference Not Found in AP Log"))</f>
        <v>Matched</v>
      </c>
    </row>
    <row r="889" customFormat="false" ht="15" hidden="false" customHeight="false" outlineLevel="0" collapsed="false">
      <c r="A889" s="16" t="str">
        <f aca="false">Bank_Statement!A129</f>
        <v>BNK50128</v>
      </c>
      <c r="B889" s="17" t="n">
        <f aca="false">Bank_Statement!B129</f>
        <v>45892</v>
      </c>
      <c r="C889" s="18" t="n">
        <f aca="false">Bank_Statement!C129</f>
        <v>-1495.05</v>
      </c>
      <c r="D889" s="16" t="str">
        <f aca="false">Bank_Statement!D129</f>
        <v>PMT-V1023</v>
      </c>
      <c r="E889" s="16" t="str">
        <f aca="false">Bank_Statement!E129</f>
        <v>PAY40128</v>
      </c>
      <c r="F889" s="16" t="str">
        <f aca="false">IF(E889="","N/A",IF(COUNTIF(Payment_Log_AP!$A$2:$A$753,E889)&gt;0,"Yes","No"))</f>
        <v>Yes</v>
      </c>
      <c r="G889" s="16" t="str">
        <f aca="false">IF(E889="","Unexplained Bank Item (fee/other - review)",IF(F889="Yes","Matched","Payment Reference Not Found in AP Log"))</f>
        <v>Matched</v>
      </c>
    </row>
    <row r="890" customFormat="false" ht="15" hidden="false" customHeight="false" outlineLevel="0" collapsed="false">
      <c r="A890" s="16" t="str">
        <f aca="false">Bank_Statement!A130</f>
        <v>BNK50129</v>
      </c>
      <c r="B890" s="17" t="n">
        <f aca="false">Bank_Statement!B130</f>
        <v>46102</v>
      </c>
      <c r="C890" s="18" t="n">
        <f aca="false">Bank_Statement!C130</f>
        <v>-4226.43</v>
      </c>
      <c r="D890" s="16" t="str">
        <f aca="false">Bank_Statement!D130</f>
        <v>PMT-V1037</v>
      </c>
      <c r="E890" s="16" t="str">
        <f aca="false">Bank_Statement!E130</f>
        <v>PAY40129</v>
      </c>
      <c r="F890" s="16" t="str">
        <f aca="false">IF(E890="","N/A",IF(COUNTIF(Payment_Log_AP!$A$2:$A$753,E890)&gt;0,"Yes","No"))</f>
        <v>Yes</v>
      </c>
      <c r="G890" s="16" t="str">
        <f aca="false">IF(E890="","Unexplained Bank Item (fee/other - review)",IF(F890="Yes","Matched","Payment Reference Not Found in AP Log"))</f>
        <v>Matched</v>
      </c>
    </row>
    <row r="891" customFormat="false" ht="15" hidden="false" customHeight="false" outlineLevel="0" collapsed="false">
      <c r="A891" s="16" t="str">
        <f aca="false">Bank_Statement!A131</f>
        <v>BNK50130</v>
      </c>
      <c r="B891" s="17" t="n">
        <f aca="false">Bank_Statement!B131</f>
        <v>46175</v>
      </c>
      <c r="C891" s="18" t="n">
        <f aca="false">Bank_Statement!C131</f>
        <v>-203.15</v>
      </c>
      <c r="D891" s="16" t="str">
        <f aca="false">Bank_Statement!D131</f>
        <v>PMT-V1029</v>
      </c>
      <c r="E891" s="16" t="str">
        <f aca="false">Bank_Statement!E131</f>
        <v>PAY40130</v>
      </c>
      <c r="F891" s="16" t="str">
        <f aca="false">IF(E891="","N/A",IF(COUNTIF(Payment_Log_AP!$A$2:$A$753,E891)&gt;0,"Yes","No"))</f>
        <v>Yes</v>
      </c>
      <c r="G891" s="16" t="str">
        <f aca="false">IF(E891="","Unexplained Bank Item (fee/other - review)",IF(F891="Yes","Matched","Payment Reference Not Found in AP Log"))</f>
        <v>Matched</v>
      </c>
    </row>
    <row r="892" customFormat="false" ht="15" hidden="false" customHeight="false" outlineLevel="0" collapsed="false">
      <c r="A892" s="16" t="str">
        <f aca="false">Bank_Statement!A132</f>
        <v>BNK50131</v>
      </c>
      <c r="B892" s="17" t="n">
        <f aca="false">Bank_Statement!B132</f>
        <v>45926</v>
      </c>
      <c r="C892" s="18" t="n">
        <f aca="false">Bank_Statement!C132</f>
        <v>-3143.41</v>
      </c>
      <c r="D892" s="16" t="str">
        <f aca="false">Bank_Statement!D132</f>
        <v>PMT-V1036</v>
      </c>
      <c r="E892" s="16" t="str">
        <f aca="false">Bank_Statement!E132</f>
        <v>PAY40131</v>
      </c>
      <c r="F892" s="16" t="str">
        <f aca="false">IF(E892="","N/A",IF(COUNTIF(Payment_Log_AP!$A$2:$A$753,E892)&gt;0,"Yes","No"))</f>
        <v>Yes</v>
      </c>
      <c r="G892" s="16" t="str">
        <f aca="false">IF(E892="","Unexplained Bank Item (fee/other - review)",IF(F892="Yes","Matched","Payment Reference Not Found in AP Log"))</f>
        <v>Matched</v>
      </c>
    </row>
    <row r="893" customFormat="false" ht="15" hidden="false" customHeight="false" outlineLevel="0" collapsed="false">
      <c r="A893" s="16" t="str">
        <f aca="false">Bank_Statement!A133</f>
        <v>BNK50132</v>
      </c>
      <c r="B893" s="17" t="n">
        <f aca="false">Bank_Statement!B133</f>
        <v>46116</v>
      </c>
      <c r="C893" s="18" t="n">
        <f aca="false">Bank_Statement!C133</f>
        <v>-13042.87</v>
      </c>
      <c r="D893" s="16" t="str">
        <f aca="false">Bank_Statement!D133</f>
        <v>PMT-V1005</v>
      </c>
      <c r="E893" s="16" t="str">
        <f aca="false">Bank_Statement!E133</f>
        <v>PAY40132</v>
      </c>
      <c r="F893" s="16" t="str">
        <f aca="false">IF(E893="","N/A",IF(COUNTIF(Payment_Log_AP!$A$2:$A$753,E893)&gt;0,"Yes","No"))</f>
        <v>Yes</v>
      </c>
      <c r="G893" s="16" t="str">
        <f aca="false">IF(E893="","Unexplained Bank Item (fee/other - review)",IF(F893="Yes","Matched","Payment Reference Not Found in AP Log"))</f>
        <v>Matched</v>
      </c>
    </row>
    <row r="894" customFormat="false" ht="15" hidden="false" customHeight="false" outlineLevel="0" collapsed="false">
      <c r="A894" s="16" t="str">
        <f aca="false">Bank_Statement!A134</f>
        <v>BNK50133</v>
      </c>
      <c r="B894" s="17" t="n">
        <f aca="false">Bank_Statement!B134</f>
        <v>45988</v>
      </c>
      <c r="C894" s="18" t="n">
        <f aca="false">Bank_Statement!C134</f>
        <v>-4664.8</v>
      </c>
      <c r="D894" s="16" t="str">
        <f aca="false">Bank_Statement!D134</f>
        <v>PMT-V1039</v>
      </c>
      <c r="E894" s="16" t="str">
        <f aca="false">Bank_Statement!E134</f>
        <v>PAY40133</v>
      </c>
      <c r="F894" s="16" t="str">
        <f aca="false">IF(E894="","N/A",IF(COUNTIF(Payment_Log_AP!$A$2:$A$753,E894)&gt;0,"Yes","No"))</f>
        <v>Yes</v>
      </c>
      <c r="G894" s="16" t="str">
        <f aca="false">IF(E894="","Unexplained Bank Item (fee/other - review)",IF(F894="Yes","Matched","Payment Reference Not Found in AP Log"))</f>
        <v>Matched</v>
      </c>
    </row>
    <row r="895" customFormat="false" ht="15" hidden="false" customHeight="false" outlineLevel="0" collapsed="false">
      <c r="A895" s="16" t="str">
        <f aca="false">Bank_Statement!A135</f>
        <v>BNK50134</v>
      </c>
      <c r="B895" s="17" t="n">
        <f aca="false">Bank_Statement!B135</f>
        <v>46023</v>
      </c>
      <c r="C895" s="18" t="n">
        <f aca="false">Bank_Statement!C135</f>
        <v>-2106.89</v>
      </c>
      <c r="D895" s="16" t="str">
        <f aca="false">Bank_Statement!D135</f>
        <v>PMT-V1015</v>
      </c>
      <c r="E895" s="16" t="str">
        <f aca="false">Bank_Statement!E135</f>
        <v>PAY40134</v>
      </c>
      <c r="F895" s="16" t="str">
        <f aca="false">IF(E895="","N/A",IF(COUNTIF(Payment_Log_AP!$A$2:$A$753,E895)&gt;0,"Yes","No"))</f>
        <v>Yes</v>
      </c>
      <c r="G895" s="16" t="str">
        <f aca="false">IF(E895="","Unexplained Bank Item (fee/other - review)",IF(F895="Yes","Matched","Payment Reference Not Found in AP Log"))</f>
        <v>Matched</v>
      </c>
    </row>
    <row r="896" customFormat="false" ht="15" hidden="false" customHeight="false" outlineLevel="0" collapsed="false">
      <c r="A896" s="16" t="str">
        <f aca="false">Bank_Statement!A136</f>
        <v>BNK50135</v>
      </c>
      <c r="B896" s="17" t="n">
        <f aca="false">Bank_Statement!B136</f>
        <v>45806</v>
      </c>
      <c r="C896" s="18" t="n">
        <f aca="false">Bank_Statement!C136</f>
        <v>-7303.36</v>
      </c>
      <c r="D896" s="16" t="str">
        <f aca="false">Bank_Statement!D136</f>
        <v>PMT-V1008</v>
      </c>
      <c r="E896" s="16" t="str">
        <f aca="false">Bank_Statement!E136</f>
        <v>PAY40135</v>
      </c>
      <c r="F896" s="16" t="str">
        <f aca="false">IF(E896="","N/A",IF(COUNTIF(Payment_Log_AP!$A$2:$A$753,E896)&gt;0,"Yes","No"))</f>
        <v>Yes</v>
      </c>
      <c r="G896" s="16" t="str">
        <f aca="false">IF(E896="","Unexplained Bank Item (fee/other - review)",IF(F896="Yes","Matched","Payment Reference Not Found in AP Log"))</f>
        <v>Matched</v>
      </c>
    </row>
    <row r="897" customFormat="false" ht="15" hidden="false" customHeight="false" outlineLevel="0" collapsed="false">
      <c r="A897" s="16" t="str">
        <f aca="false">Bank_Statement!A137</f>
        <v>BNK50136</v>
      </c>
      <c r="B897" s="17" t="n">
        <f aca="false">Bank_Statement!B137</f>
        <v>45804</v>
      </c>
      <c r="C897" s="18" t="n">
        <f aca="false">Bank_Statement!C137</f>
        <v>-2285.28</v>
      </c>
      <c r="D897" s="16" t="str">
        <f aca="false">Bank_Statement!D137</f>
        <v>PMT-V1001</v>
      </c>
      <c r="E897" s="16" t="str">
        <f aca="false">Bank_Statement!E137</f>
        <v>PAY40136</v>
      </c>
      <c r="F897" s="16" t="str">
        <f aca="false">IF(E897="","N/A",IF(COUNTIF(Payment_Log_AP!$A$2:$A$753,E897)&gt;0,"Yes","No"))</f>
        <v>Yes</v>
      </c>
      <c r="G897" s="16" t="str">
        <f aca="false">IF(E897="","Unexplained Bank Item (fee/other - review)",IF(F897="Yes","Matched","Payment Reference Not Found in AP Log"))</f>
        <v>Matched</v>
      </c>
    </row>
    <row r="898" customFormat="false" ht="15" hidden="false" customHeight="false" outlineLevel="0" collapsed="false">
      <c r="A898" s="16" t="str">
        <f aca="false">Bank_Statement!A138</f>
        <v>BNK50137</v>
      </c>
      <c r="B898" s="17" t="n">
        <f aca="false">Bank_Statement!B138</f>
        <v>45950</v>
      </c>
      <c r="C898" s="18" t="n">
        <f aca="false">Bank_Statement!C138</f>
        <v>-358.03</v>
      </c>
      <c r="D898" s="16" t="str">
        <f aca="false">Bank_Statement!D138</f>
        <v>PMT-V1018</v>
      </c>
      <c r="E898" s="16" t="str">
        <f aca="false">Bank_Statement!E138</f>
        <v>PAY40137</v>
      </c>
      <c r="F898" s="16" t="str">
        <f aca="false">IF(E898="","N/A",IF(COUNTIF(Payment_Log_AP!$A$2:$A$753,E898)&gt;0,"Yes","No"))</f>
        <v>Yes</v>
      </c>
      <c r="G898" s="16" t="str">
        <f aca="false">IF(E898="","Unexplained Bank Item (fee/other - review)",IF(F898="Yes","Matched","Payment Reference Not Found in AP Log"))</f>
        <v>Matched</v>
      </c>
    </row>
    <row r="899" customFormat="false" ht="15" hidden="false" customHeight="false" outlineLevel="0" collapsed="false">
      <c r="A899" s="16" t="str">
        <f aca="false">Bank_Statement!A139</f>
        <v>BNK50138</v>
      </c>
      <c r="B899" s="17" t="n">
        <f aca="false">Bank_Statement!B139</f>
        <v>45709</v>
      </c>
      <c r="C899" s="18" t="n">
        <f aca="false">Bank_Statement!C139</f>
        <v>-2062.27</v>
      </c>
      <c r="D899" s="16" t="str">
        <f aca="false">Bank_Statement!D139</f>
        <v>PMT-V1017</v>
      </c>
      <c r="E899" s="16" t="str">
        <f aca="false">Bank_Statement!E139</f>
        <v>PAY40138</v>
      </c>
      <c r="F899" s="16" t="str">
        <f aca="false">IF(E899="","N/A",IF(COUNTIF(Payment_Log_AP!$A$2:$A$753,E899)&gt;0,"Yes","No"))</f>
        <v>Yes</v>
      </c>
      <c r="G899" s="16" t="str">
        <f aca="false">IF(E899="","Unexplained Bank Item (fee/other - review)",IF(F899="Yes","Matched","Payment Reference Not Found in AP Log"))</f>
        <v>Matched</v>
      </c>
    </row>
    <row r="900" customFormat="false" ht="15" hidden="false" customHeight="false" outlineLevel="0" collapsed="false">
      <c r="A900" s="16" t="str">
        <f aca="false">Bank_Statement!A140</f>
        <v>BNK50139</v>
      </c>
      <c r="B900" s="17" t="n">
        <f aca="false">Bank_Statement!B140</f>
        <v>45872</v>
      </c>
      <c r="C900" s="18" t="n">
        <f aca="false">Bank_Statement!C140</f>
        <v>-8142.95</v>
      </c>
      <c r="D900" s="16" t="str">
        <f aca="false">Bank_Statement!D140</f>
        <v>PMT-V1025</v>
      </c>
      <c r="E900" s="16" t="str">
        <f aca="false">Bank_Statement!E140</f>
        <v>PAY40139</v>
      </c>
      <c r="F900" s="16" t="str">
        <f aca="false">IF(E900="","N/A",IF(COUNTIF(Payment_Log_AP!$A$2:$A$753,E900)&gt;0,"Yes","No"))</f>
        <v>Yes</v>
      </c>
      <c r="G900" s="16" t="str">
        <f aca="false">IF(E900="","Unexplained Bank Item (fee/other - review)",IF(F900="Yes","Matched","Payment Reference Not Found in AP Log"))</f>
        <v>Matched</v>
      </c>
    </row>
    <row r="901" customFormat="false" ht="15" hidden="false" customHeight="false" outlineLevel="0" collapsed="false">
      <c r="A901" s="16" t="str">
        <f aca="false">Bank_Statement!A141</f>
        <v>BNK50140</v>
      </c>
      <c r="B901" s="17" t="n">
        <f aca="false">Bank_Statement!B141</f>
        <v>46066</v>
      </c>
      <c r="C901" s="18" t="n">
        <f aca="false">Bank_Statement!C141</f>
        <v>-499.89</v>
      </c>
      <c r="D901" s="16" t="str">
        <f aca="false">Bank_Statement!D141</f>
        <v>PMT-V1017</v>
      </c>
      <c r="E901" s="16" t="str">
        <f aca="false">Bank_Statement!E141</f>
        <v>PAY40140</v>
      </c>
      <c r="F901" s="16" t="str">
        <f aca="false">IF(E901="","N/A",IF(COUNTIF(Payment_Log_AP!$A$2:$A$753,E901)&gt;0,"Yes","No"))</f>
        <v>Yes</v>
      </c>
      <c r="G901" s="16" t="str">
        <f aca="false">IF(E901="","Unexplained Bank Item (fee/other - review)",IF(F901="Yes","Matched","Payment Reference Not Found in AP Log"))</f>
        <v>Matched</v>
      </c>
    </row>
    <row r="902" customFormat="false" ht="15" hidden="false" customHeight="false" outlineLevel="0" collapsed="false">
      <c r="A902" s="16" t="str">
        <f aca="false">Bank_Statement!A142</f>
        <v>BNK50141</v>
      </c>
      <c r="B902" s="17" t="n">
        <f aca="false">Bank_Statement!B142</f>
        <v>45909</v>
      </c>
      <c r="C902" s="18" t="n">
        <f aca="false">Bank_Statement!C142</f>
        <v>-2573.09</v>
      </c>
      <c r="D902" s="16" t="str">
        <f aca="false">Bank_Statement!D142</f>
        <v>PMT-V1007</v>
      </c>
      <c r="E902" s="16" t="str">
        <f aca="false">Bank_Statement!E142</f>
        <v>PAY40141</v>
      </c>
      <c r="F902" s="16" t="str">
        <f aca="false">IF(E902="","N/A",IF(COUNTIF(Payment_Log_AP!$A$2:$A$753,E902)&gt;0,"Yes","No"))</f>
        <v>Yes</v>
      </c>
      <c r="G902" s="16" t="str">
        <f aca="false">IF(E902="","Unexplained Bank Item (fee/other - review)",IF(F902="Yes","Matched","Payment Reference Not Found in AP Log"))</f>
        <v>Matched</v>
      </c>
    </row>
    <row r="903" customFormat="false" ht="15" hidden="false" customHeight="false" outlineLevel="0" collapsed="false">
      <c r="A903" s="16" t="str">
        <f aca="false">Bank_Statement!A143</f>
        <v>BNK50142</v>
      </c>
      <c r="B903" s="17" t="n">
        <f aca="false">Bank_Statement!B143</f>
        <v>45785</v>
      </c>
      <c r="C903" s="18" t="n">
        <f aca="false">Bank_Statement!C143</f>
        <v>-2632.16</v>
      </c>
      <c r="D903" s="16" t="str">
        <f aca="false">Bank_Statement!D143</f>
        <v>PMT-V1002</v>
      </c>
      <c r="E903" s="16" t="str">
        <f aca="false">Bank_Statement!E143</f>
        <v>PAY40142</v>
      </c>
      <c r="F903" s="16" t="str">
        <f aca="false">IF(E903="","N/A",IF(COUNTIF(Payment_Log_AP!$A$2:$A$753,E903)&gt;0,"Yes","No"))</f>
        <v>Yes</v>
      </c>
      <c r="G903" s="16" t="str">
        <f aca="false">IF(E903="","Unexplained Bank Item (fee/other - review)",IF(F903="Yes","Matched","Payment Reference Not Found in AP Log"))</f>
        <v>Matched</v>
      </c>
    </row>
    <row r="904" customFormat="false" ht="15" hidden="false" customHeight="false" outlineLevel="0" collapsed="false">
      <c r="A904" s="16" t="str">
        <f aca="false">Bank_Statement!A144</f>
        <v>BNK50143</v>
      </c>
      <c r="B904" s="17" t="n">
        <f aca="false">Bank_Statement!B144</f>
        <v>45958</v>
      </c>
      <c r="C904" s="18" t="n">
        <f aca="false">Bank_Statement!C144</f>
        <v>-332.16</v>
      </c>
      <c r="D904" s="16" t="str">
        <f aca="false">Bank_Statement!D144</f>
        <v>PMT-V1001</v>
      </c>
      <c r="E904" s="16" t="str">
        <f aca="false">Bank_Statement!E144</f>
        <v>PAY40143</v>
      </c>
      <c r="F904" s="16" t="str">
        <f aca="false">IF(E904="","N/A",IF(COUNTIF(Payment_Log_AP!$A$2:$A$753,E904)&gt;0,"Yes","No"))</f>
        <v>Yes</v>
      </c>
      <c r="G904" s="16" t="str">
        <f aca="false">IF(E904="","Unexplained Bank Item (fee/other - review)",IF(F904="Yes","Matched","Payment Reference Not Found in AP Log"))</f>
        <v>Matched</v>
      </c>
    </row>
    <row r="905" customFormat="false" ht="15" hidden="false" customHeight="false" outlineLevel="0" collapsed="false">
      <c r="A905" s="16" t="str">
        <f aca="false">Bank_Statement!A145</f>
        <v>BNK50144</v>
      </c>
      <c r="B905" s="17" t="n">
        <f aca="false">Bank_Statement!B145</f>
        <v>46021</v>
      </c>
      <c r="C905" s="18" t="n">
        <f aca="false">Bank_Statement!C145</f>
        <v>-783.53</v>
      </c>
      <c r="D905" s="16" t="str">
        <f aca="false">Bank_Statement!D145</f>
        <v>PMT-V1035</v>
      </c>
      <c r="E905" s="16" t="str">
        <f aca="false">Bank_Statement!E145</f>
        <v>PAY40144</v>
      </c>
      <c r="F905" s="16" t="str">
        <f aca="false">IF(E905="","N/A",IF(COUNTIF(Payment_Log_AP!$A$2:$A$753,E905)&gt;0,"Yes","No"))</f>
        <v>Yes</v>
      </c>
      <c r="G905" s="16" t="str">
        <f aca="false">IF(E905="","Unexplained Bank Item (fee/other - review)",IF(F905="Yes","Matched","Payment Reference Not Found in AP Log"))</f>
        <v>Matched</v>
      </c>
    </row>
    <row r="906" customFormat="false" ht="15" hidden="false" customHeight="false" outlineLevel="0" collapsed="false">
      <c r="A906" s="16" t="str">
        <f aca="false">Bank_Statement!A146</f>
        <v>BNK50145</v>
      </c>
      <c r="B906" s="17" t="n">
        <f aca="false">Bank_Statement!B146</f>
        <v>45914</v>
      </c>
      <c r="C906" s="18" t="n">
        <f aca="false">Bank_Statement!C146</f>
        <v>-327.42</v>
      </c>
      <c r="D906" s="16" t="str">
        <f aca="false">Bank_Statement!D146</f>
        <v>PMT-V1011</v>
      </c>
      <c r="E906" s="16" t="str">
        <f aca="false">Bank_Statement!E146</f>
        <v>PAY40145</v>
      </c>
      <c r="F906" s="16" t="str">
        <f aca="false">IF(E906="","N/A",IF(COUNTIF(Payment_Log_AP!$A$2:$A$753,E906)&gt;0,"Yes","No"))</f>
        <v>Yes</v>
      </c>
      <c r="G906" s="16" t="str">
        <f aca="false">IF(E906="","Unexplained Bank Item (fee/other - review)",IF(F906="Yes","Matched","Payment Reference Not Found in AP Log"))</f>
        <v>Matched</v>
      </c>
    </row>
    <row r="907" customFormat="false" ht="15" hidden="false" customHeight="false" outlineLevel="0" collapsed="false">
      <c r="A907" s="16" t="str">
        <f aca="false">Bank_Statement!A147</f>
        <v>BNK50146</v>
      </c>
      <c r="B907" s="17" t="n">
        <f aca="false">Bank_Statement!B147</f>
        <v>46018</v>
      </c>
      <c r="C907" s="18" t="n">
        <f aca="false">Bank_Statement!C147</f>
        <v>-12338.24</v>
      </c>
      <c r="D907" s="16" t="str">
        <f aca="false">Bank_Statement!D147</f>
        <v>PMT-V1014</v>
      </c>
      <c r="E907" s="16" t="str">
        <f aca="false">Bank_Statement!E147</f>
        <v>PAY40146</v>
      </c>
      <c r="F907" s="16" t="str">
        <f aca="false">IF(E907="","N/A",IF(COUNTIF(Payment_Log_AP!$A$2:$A$753,E907)&gt;0,"Yes","No"))</f>
        <v>Yes</v>
      </c>
      <c r="G907" s="16" t="str">
        <f aca="false">IF(E907="","Unexplained Bank Item (fee/other - review)",IF(F907="Yes","Matched","Payment Reference Not Found in AP Log"))</f>
        <v>Matched</v>
      </c>
    </row>
    <row r="908" customFormat="false" ht="15" hidden="false" customHeight="false" outlineLevel="0" collapsed="false">
      <c r="A908" s="16" t="str">
        <f aca="false">Bank_Statement!A148</f>
        <v>BNK50147</v>
      </c>
      <c r="B908" s="17" t="n">
        <f aca="false">Bank_Statement!B148</f>
        <v>45694</v>
      </c>
      <c r="C908" s="18" t="n">
        <f aca="false">Bank_Statement!C148</f>
        <v>-1431.29</v>
      </c>
      <c r="D908" s="16" t="str">
        <f aca="false">Bank_Statement!D148</f>
        <v>PMT-V1022</v>
      </c>
      <c r="E908" s="16" t="str">
        <f aca="false">Bank_Statement!E148</f>
        <v>PAY40147</v>
      </c>
      <c r="F908" s="16" t="str">
        <f aca="false">IF(E908="","N/A",IF(COUNTIF(Payment_Log_AP!$A$2:$A$753,E908)&gt;0,"Yes","No"))</f>
        <v>Yes</v>
      </c>
      <c r="G908" s="16" t="str">
        <f aca="false">IF(E908="","Unexplained Bank Item (fee/other - review)",IF(F908="Yes","Matched","Payment Reference Not Found in AP Log"))</f>
        <v>Matched</v>
      </c>
    </row>
    <row r="909" customFormat="false" ht="15" hidden="false" customHeight="false" outlineLevel="0" collapsed="false">
      <c r="A909" s="16" t="str">
        <f aca="false">Bank_Statement!A149</f>
        <v>BNK50148</v>
      </c>
      <c r="B909" s="17" t="n">
        <f aca="false">Bank_Statement!B149</f>
        <v>46030</v>
      </c>
      <c r="C909" s="18" t="n">
        <f aca="false">Bank_Statement!C149</f>
        <v>-9458.18</v>
      </c>
      <c r="D909" s="16" t="str">
        <f aca="false">Bank_Statement!D149</f>
        <v>PMT-V1028</v>
      </c>
      <c r="E909" s="16" t="str">
        <f aca="false">Bank_Statement!E149</f>
        <v>PAY40148</v>
      </c>
      <c r="F909" s="16" t="str">
        <f aca="false">IF(E909="","N/A",IF(COUNTIF(Payment_Log_AP!$A$2:$A$753,E909)&gt;0,"Yes","No"))</f>
        <v>Yes</v>
      </c>
      <c r="G909" s="16" t="str">
        <f aca="false">IF(E909="","Unexplained Bank Item (fee/other - review)",IF(F909="Yes","Matched","Payment Reference Not Found in AP Log"))</f>
        <v>Matched</v>
      </c>
    </row>
    <row r="910" customFormat="false" ht="15" hidden="false" customHeight="false" outlineLevel="0" collapsed="false">
      <c r="A910" s="16" t="str">
        <f aca="false">Bank_Statement!A150</f>
        <v>BNK50149</v>
      </c>
      <c r="B910" s="17" t="n">
        <f aca="false">Bank_Statement!B150</f>
        <v>45759</v>
      </c>
      <c r="C910" s="18" t="n">
        <f aca="false">Bank_Statement!C150</f>
        <v>-354.26</v>
      </c>
      <c r="D910" s="16" t="str">
        <f aca="false">Bank_Statement!D150</f>
        <v>PMT-V1033</v>
      </c>
      <c r="E910" s="16" t="str">
        <f aca="false">Bank_Statement!E150</f>
        <v>PAY40149</v>
      </c>
      <c r="F910" s="16" t="str">
        <f aca="false">IF(E910="","N/A",IF(COUNTIF(Payment_Log_AP!$A$2:$A$753,E910)&gt;0,"Yes","No"))</f>
        <v>Yes</v>
      </c>
      <c r="G910" s="16" t="str">
        <f aca="false">IF(E910="","Unexplained Bank Item (fee/other - review)",IF(F910="Yes","Matched","Payment Reference Not Found in AP Log"))</f>
        <v>Matched</v>
      </c>
    </row>
    <row r="911" customFormat="false" ht="15" hidden="false" customHeight="false" outlineLevel="0" collapsed="false">
      <c r="A911" s="16" t="str">
        <f aca="false">Bank_Statement!A151</f>
        <v>BNK50150</v>
      </c>
      <c r="B911" s="17" t="n">
        <f aca="false">Bank_Statement!B151</f>
        <v>45934</v>
      </c>
      <c r="C911" s="18" t="n">
        <f aca="false">Bank_Statement!C151</f>
        <v>-1640.65</v>
      </c>
      <c r="D911" s="16" t="str">
        <f aca="false">Bank_Statement!D151</f>
        <v>PMT-V1024</v>
      </c>
      <c r="E911" s="16" t="str">
        <f aca="false">Bank_Statement!E151</f>
        <v>PAY40150</v>
      </c>
      <c r="F911" s="16" t="str">
        <f aca="false">IF(E911="","N/A",IF(COUNTIF(Payment_Log_AP!$A$2:$A$753,E911)&gt;0,"Yes","No"))</f>
        <v>Yes</v>
      </c>
      <c r="G911" s="16" t="str">
        <f aca="false">IF(E911="","Unexplained Bank Item (fee/other - review)",IF(F911="Yes","Matched","Payment Reference Not Found in AP Log"))</f>
        <v>Matched</v>
      </c>
    </row>
    <row r="912" customFormat="false" ht="15" hidden="false" customHeight="false" outlineLevel="0" collapsed="false">
      <c r="A912" s="16" t="str">
        <f aca="false">Bank_Statement!A152</f>
        <v>BNK50151</v>
      </c>
      <c r="B912" s="17" t="n">
        <f aca="false">Bank_Statement!B152</f>
        <v>45948</v>
      </c>
      <c r="C912" s="18" t="n">
        <f aca="false">Bank_Statement!C152</f>
        <v>-1640.65</v>
      </c>
      <c r="D912" s="16" t="str">
        <f aca="false">Bank_Statement!D152</f>
        <v>PMT-V1024</v>
      </c>
      <c r="E912" s="16" t="str">
        <f aca="false">Bank_Statement!E152</f>
        <v>PAY40151</v>
      </c>
      <c r="F912" s="16" t="str">
        <f aca="false">IF(E912="","N/A",IF(COUNTIF(Payment_Log_AP!$A$2:$A$753,E912)&gt;0,"Yes","No"))</f>
        <v>Yes</v>
      </c>
      <c r="G912" s="16" t="str">
        <f aca="false">IF(E912="","Unexplained Bank Item (fee/other - review)",IF(F912="Yes","Matched","Payment Reference Not Found in AP Log"))</f>
        <v>Matched</v>
      </c>
    </row>
    <row r="913" customFormat="false" ht="15" hidden="false" customHeight="false" outlineLevel="0" collapsed="false">
      <c r="A913" s="16" t="str">
        <f aca="false">Bank_Statement!A153</f>
        <v>BNK50152</v>
      </c>
      <c r="B913" s="17" t="n">
        <f aca="false">Bank_Statement!B153</f>
        <v>45694</v>
      </c>
      <c r="C913" s="18" t="n">
        <f aca="false">Bank_Statement!C153</f>
        <v>-14457.87</v>
      </c>
      <c r="D913" s="16" t="str">
        <f aca="false">Bank_Statement!D153</f>
        <v>PMT-V1011</v>
      </c>
      <c r="E913" s="16" t="str">
        <f aca="false">Bank_Statement!E153</f>
        <v>PAY40152</v>
      </c>
      <c r="F913" s="16" t="str">
        <f aca="false">IF(E913="","N/A",IF(COUNTIF(Payment_Log_AP!$A$2:$A$753,E913)&gt;0,"Yes","No"))</f>
        <v>Yes</v>
      </c>
      <c r="G913" s="16" t="str">
        <f aca="false">IF(E913="","Unexplained Bank Item (fee/other - review)",IF(F913="Yes","Matched","Payment Reference Not Found in AP Log"))</f>
        <v>Matched</v>
      </c>
    </row>
    <row r="914" customFormat="false" ht="15" hidden="false" customHeight="false" outlineLevel="0" collapsed="false">
      <c r="A914" s="16" t="str">
        <f aca="false">Bank_Statement!A154</f>
        <v>BNK50153</v>
      </c>
      <c r="B914" s="17" t="n">
        <f aca="false">Bank_Statement!B154</f>
        <v>45890</v>
      </c>
      <c r="C914" s="18" t="n">
        <f aca="false">Bank_Statement!C154</f>
        <v>-3828.96</v>
      </c>
      <c r="D914" s="16" t="str">
        <f aca="false">Bank_Statement!D154</f>
        <v>PMT-V1011</v>
      </c>
      <c r="E914" s="16" t="str">
        <f aca="false">Bank_Statement!E154</f>
        <v>PAY40153</v>
      </c>
      <c r="F914" s="16" t="str">
        <f aca="false">IF(E914="","N/A",IF(COUNTIF(Payment_Log_AP!$A$2:$A$753,E914)&gt;0,"Yes","No"))</f>
        <v>Yes</v>
      </c>
      <c r="G914" s="16" t="str">
        <f aca="false">IF(E914="","Unexplained Bank Item (fee/other - review)",IF(F914="Yes","Matched","Payment Reference Not Found in AP Log"))</f>
        <v>Matched</v>
      </c>
    </row>
    <row r="915" customFormat="false" ht="15" hidden="false" customHeight="false" outlineLevel="0" collapsed="false">
      <c r="A915" s="16" t="str">
        <f aca="false">Bank_Statement!A155</f>
        <v>BNK50154</v>
      </c>
      <c r="B915" s="17" t="n">
        <f aca="false">Bank_Statement!B155</f>
        <v>45803</v>
      </c>
      <c r="C915" s="18" t="n">
        <f aca="false">Bank_Statement!C155</f>
        <v>-1542.51</v>
      </c>
      <c r="D915" s="16" t="str">
        <f aca="false">Bank_Statement!D155</f>
        <v>PMT-V1025</v>
      </c>
      <c r="E915" s="16" t="str">
        <f aca="false">Bank_Statement!E155</f>
        <v>PAY40154</v>
      </c>
      <c r="F915" s="16" t="str">
        <f aca="false">IF(E915="","N/A",IF(COUNTIF(Payment_Log_AP!$A$2:$A$753,E915)&gt;0,"Yes","No"))</f>
        <v>Yes</v>
      </c>
      <c r="G915" s="16" t="str">
        <f aca="false">IF(E915="","Unexplained Bank Item (fee/other - review)",IF(F915="Yes","Matched","Payment Reference Not Found in AP Log"))</f>
        <v>Matched</v>
      </c>
    </row>
    <row r="916" customFormat="false" ht="15" hidden="false" customHeight="false" outlineLevel="0" collapsed="false">
      <c r="A916" s="16" t="str">
        <f aca="false">Bank_Statement!A156</f>
        <v>BNK50155</v>
      </c>
      <c r="B916" s="17" t="n">
        <f aca="false">Bank_Statement!B156</f>
        <v>45863</v>
      </c>
      <c r="C916" s="18" t="n">
        <f aca="false">Bank_Statement!C156</f>
        <v>-1235.82</v>
      </c>
      <c r="D916" s="16" t="str">
        <f aca="false">Bank_Statement!D156</f>
        <v>PMT-V1020</v>
      </c>
      <c r="E916" s="16" t="str">
        <f aca="false">Bank_Statement!E156</f>
        <v>PAY40155</v>
      </c>
      <c r="F916" s="16" t="str">
        <f aca="false">IF(E916="","N/A",IF(COUNTIF(Payment_Log_AP!$A$2:$A$753,E916)&gt;0,"Yes","No"))</f>
        <v>Yes</v>
      </c>
      <c r="G916" s="16" t="str">
        <f aca="false">IF(E916="","Unexplained Bank Item (fee/other - review)",IF(F916="Yes","Matched","Payment Reference Not Found in AP Log"))</f>
        <v>Matched</v>
      </c>
    </row>
    <row r="917" customFormat="false" ht="15" hidden="false" customHeight="false" outlineLevel="0" collapsed="false">
      <c r="A917" s="16" t="str">
        <f aca="false">Bank_Statement!A157</f>
        <v>BNK50156</v>
      </c>
      <c r="B917" s="17" t="n">
        <f aca="false">Bank_Statement!B157</f>
        <v>46103</v>
      </c>
      <c r="C917" s="18" t="n">
        <f aca="false">Bank_Statement!C157</f>
        <v>-21822.22</v>
      </c>
      <c r="D917" s="16" t="str">
        <f aca="false">Bank_Statement!D157</f>
        <v>PMT-V1005</v>
      </c>
      <c r="E917" s="16" t="str">
        <f aca="false">Bank_Statement!E157</f>
        <v>PAY40156</v>
      </c>
      <c r="F917" s="16" t="str">
        <f aca="false">IF(E917="","N/A",IF(COUNTIF(Payment_Log_AP!$A$2:$A$753,E917)&gt;0,"Yes","No"))</f>
        <v>Yes</v>
      </c>
      <c r="G917" s="16" t="str">
        <f aca="false">IF(E917="","Unexplained Bank Item (fee/other - review)",IF(F917="Yes","Matched","Payment Reference Not Found in AP Log"))</f>
        <v>Matched</v>
      </c>
    </row>
    <row r="918" customFormat="false" ht="15" hidden="false" customHeight="false" outlineLevel="0" collapsed="false">
      <c r="A918" s="16" t="str">
        <f aca="false">Bank_Statement!A158</f>
        <v>BNK50157</v>
      </c>
      <c r="B918" s="17" t="n">
        <f aca="false">Bank_Statement!B158</f>
        <v>45918</v>
      </c>
      <c r="C918" s="18" t="n">
        <f aca="false">Bank_Statement!C158</f>
        <v>-3828.8</v>
      </c>
      <c r="D918" s="16" t="str">
        <f aca="false">Bank_Statement!D158</f>
        <v>PMT-V1001</v>
      </c>
      <c r="E918" s="16" t="str">
        <f aca="false">Bank_Statement!E158</f>
        <v>PAY40157</v>
      </c>
      <c r="F918" s="16" t="str">
        <f aca="false">IF(E918="","N/A",IF(COUNTIF(Payment_Log_AP!$A$2:$A$753,E918)&gt;0,"Yes","No"))</f>
        <v>Yes</v>
      </c>
      <c r="G918" s="16" t="str">
        <f aca="false">IF(E918="","Unexplained Bank Item (fee/other - review)",IF(F918="Yes","Matched","Payment Reference Not Found in AP Log"))</f>
        <v>Matched</v>
      </c>
    </row>
    <row r="919" customFormat="false" ht="15" hidden="false" customHeight="false" outlineLevel="0" collapsed="false">
      <c r="A919" s="16" t="str">
        <f aca="false">Bank_Statement!A159</f>
        <v>BNK50158</v>
      </c>
      <c r="B919" s="17" t="n">
        <f aca="false">Bank_Statement!B159</f>
        <v>46104</v>
      </c>
      <c r="C919" s="18" t="n">
        <f aca="false">Bank_Statement!C159</f>
        <v>-2084.01</v>
      </c>
      <c r="D919" s="16" t="str">
        <f aca="false">Bank_Statement!D159</f>
        <v>PMT-V1024</v>
      </c>
      <c r="E919" s="16" t="str">
        <f aca="false">Bank_Statement!E159</f>
        <v>PAY40158</v>
      </c>
      <c r="F919" s="16" t="str">
        <f aca="false">IF(E919="","N/A",IF(COUNTIF(Payment_Log_AP!$A$2:$A$753,E919)&gt;0,"Yes","No"))</f>
        <v>Yes</v>
      </c>
      <c r="G919" s="16" t="str">
        <f aca="false">IF(E919="","Unexplained Bank Item (fee/other - review)",IF(F919="Yes","Matched","Payment Reference Not Found in AP Log"))</f>
        <v>Matched</v>
      </c>
    </row>
    <row r="920" customFormat="false" ht="15" hidden="false" customHeight="false" outlineLevel="0" collapsed="false">
      <c r="A920" s="16" t="str">
        <f aca="false">Bank_Statement!A160</f>
        <v>BNK50159</v>
      </c>
      <c r="B920" s="17" t="n">
        <f aca="false">Bank_Statement!B160</f>
        <v>46160</v>
      </c>
      <c r="C920" s="18" t="n">
        <f aca="false">Bank_Statement!C160</f>
        <v>-1489.22</v>
      </c>
      <c r="D920" s="16" t="str">
        <f aca="false">Bank_Statement!D160</f>
        <v>PMT-V1003</v>
      </c>
      <c r="E920" s="16" t="str">
        <f aca="false">Bank_Statement!E160</f>
        <v>PAY40159</v>
      </c>
      <c r="F920" s="16" t="str">
        <f aca="false">IF(E920="","N/A",IF(COUNTIF(Payment_Log_AP!$A$2:$A$753,E920)&gt;0,"Yes","No"))</f>
        <v>Yes</v>
      </c>
      <c r="G920" s="16" t="str">
        <f aca="false">IF(E920="","Unexplained Bank Item (fee/other - review)",IF(F920="Yes","Matched","Payment Reference Not Found in AP Log"))</f>
        <v>Matched</v>
      </c>
    </row>
    <row r="921" customFormat="false" ht="15" hidden="false" customHeight="false" outlineLevel="0" collapsed="false">
      <c r="A921" s="16" t="str">
        <f aca="false">Bank_Statement!A161</f>
        <v>BNK50160</v>
      </c>
      <c r="B921" s="17" t="n">
        <f aca="false">Bank_Statement!B161</f>
        <v>45826</v>
      </c>
      <c r="C921" s="18" t="n">
        <f aca="false">Bank_Statement!C161</f>
        <v>-1056.69</v>
      </c>
      <c r="D921" s="16" t="str">
        <f aca="false">Bank_Statement!D161</f>
        <v>PMT-V1035</v>
      </c>
      <c r="E921" s="16" t="str">
        <f aca="false">Bank_Statement!E161</f>
        <v>PAY40160</v>
      </c>
      <c r="F921" s="16" t="str">
        <f aca="false">IF(E921="","N/A",IF(COUNTIF(Payment_Log_AP!$A$2:$A$753,E921)&gt;0,"Yes","No"))</f>
        <v>Yes</v>
      </c>
      <c r="G921" s="16" t="str">
        <f aca="false">IF(E921="","Unexplained Bank Item (fee/other - review)",IF(F921="Yes","Matched","Payment Reference Not Found in AP Log"))</f>
        <v>Matched</v>
      </c>
    </row>
    <row r="922" customFormat="false" ht="15" hidden="false" customHeight="false" outlineLevel="0" collapsed="false">
      <c r="A922" s="16" t="str">
        <f aca="false">Bank_Statement!A162</f>
        <v>BNK50161</v>
      </c>
      <c r="B922" s="17" t="n">
        <f aca="false">Bank_Statement!B162</f>
        <v>45743</v>
      </c>
      <c r="C922" s="18" t="n">
        <f aca="false">Bank_Statement!C162</f>
        <v>-3628.81</v>
      </c>
      <c r="D922" s="16" t="str">
        <f aca="false">Bank_Statement!D162</f>
        <v>PMT-V1009</v>
      </c>
      <c r="E922" s="16" t="str">
        <f aca="false">Bank_Statement!E162</f>
        <v>PAY40161</v>
      </c>
      <c r="F922" s="16" t="str">
        <f aca="false">IF(E922="","N/A",IF(COUNTIF(Payment_Log_AP!$A$2:$A$753,E922)&gt;0,"Yes","No"))</f>
        <v>Yes</v>
      </c>
      <c r="G922" s="16" t="str">
        <f aca="false">IF(E922="","Unexplained Bank Item (fee/other - review)",IF(F922="Yes","Matched","Payment Reference Not Found in AP Log"))</f>
        <v>Matched</v>
      </c>
    </row>
    <row r="923" customFormat="false" ht="15" hidden="false" customHeight="false" outlineLevel="0" collapsed="false">
      <c r="A923" s="16" t="str">
        <f aca="false">Bank_Statement!A163</f>
        <v>BNK50162</v>
      </c>
      <c r="B923" s="17" t="n">
        <f aca="false">Bank_Statement!B163</f>
        <v>45713</v>
      </c>
      <c r="C923" s="18" t="n">
        <f aca="false">Bank_Statement!C163</f>
        <v>-588.95</v>
      </c>
      <c r="D923" s="16" t="str">
        <f aca="false">Bank_Statement!D163</f>
        <v>PMT-V1034</v>
      </c>
      <c r="E923" s="16" t="str">
        <f aca="false">Bank_Statement!E163</f>
        <v>PAY40162</v>
      </c>
      <c r="F923" s="16" t="str">
        <f aca="false">IF(E923="","N/A",IF(COUNTIF(Payment_Log_AP!$A$2:$A$753,E923)&gt;0,"Yes","No"))</f>
        <v>Yes</v>
      </c>
      <c r="G923" s="16" t="str">
        <f aca="false">IF(E923="","Unexplained Bank Item (fee/other - review)",IF(F923="Yes","Matched","Payment Reference Not Found in AP Log"))</f>
        <v>Matched</v>
      </c>
    </row>
    <row r="924" customFormat="false" ht="15" hidden="false" customHeight="false" outlineLevel="0" collapsed="false">
      <c r="A924" s="16" t="str">
        <f aca="false">Bank_Statement!A164</f>
        <v>BNK50163</v>
      </c>
      <c r="B924" s="17" t="n">
        <f aca="false">Bank_Statement!B164</f>
        <v>45961</v>
      </c>
      <c r="C924" s="18" t="n">
        <f aca="false">Bank_Statement!C164</f>
        <v>-2268.78</v>
      </c>
      <c r="D924" s="16" t="str">
        <f aca="false">Bank_Statement!D164</f>
        <v>PMT-V1017</v>
      </c>
      <c r="E924" s="16" t="str">
        <f aca="false">Bank_Statement!E164</f>
        <v>PAY40163</v>
      </c>
      <c r="F924" s="16" t="str">
        <f aca="false">IF(E924="","N/A",IF(COUNTIF(Payment_Log_AP!$A$2:$A$753,E924)&gt;0,"Yes","No"))</f>
        <v>Yes</v>
      </c>
      <c r="G924" s="16" t="str">
        <f aca="false">IF(E924="","Unexplained Bank Item (fee/other - review)",IF(F924="Yes","Matched","Payment Reference Not Found in AP Log"))</f>
        <v>Matched</v>
      </c>
    </row>
    <row r="925" customFormat="false" ht="15" hidden="false" customHeight="false" outlineLevel="0" collapsed="false">
      <c r="A925" s="16" t="str">
        <f aca="false">Bank_Statement!A165</f>
        <v>BNK50164</v>
      </c>
      <c r="B925" s="17" t="n">
        <f aca="false">Bank_Statement!B165</f>
        <v>45897</v>
      </c>
      <c r="C925" s="18" t="n">
        <f aca="false">Bank_Statement!C165</f>
        <v>-560.32</v>
      </c>
      <c r="D925" s="16" t="str">
        <f aca="false">Bank_Statement!D165</f>
        <v>PMT-V1033</v>
      </c>
      <c r="E925" s="16" t="str">
        <f aca="false">Bank_Statement!E165</f>
        <v>PAY40164</v>
      </c>
      <c r="F925" s="16" t="str">
        <f aca="false">IF(E925="","N/A",IF(COUNTIF(Payment_Log_AP!$A$2:$A$753,E925)&gt;0,"Yes","No"))</f>
        <v>Yes</v>
      </c>
      <c r="G925" s="16" t="str">
        <f aca="false">IF(E925="","Unexplained Bank Item (fee/other - review)",IF(F925="Yes","Matched","Payment Reference Not Found in AP Log"))</f>
        <v>Matched</v>
      </c>
    </row>
    <row r="926" customFormat="false" ht="15" hidden="false" customHeight="false" outlineLevel="0" collapsed="false">
      <c r="A926" s="16" t="str">
        <f aca="false">Bank_Statement!A166</f>
        <v>BNK50165</v>
      </c>
      <c r="B926" s="17" t="n">
        <f aca="false">Bank_Statement!B166</f>
        <v>46025</v>
      </c>
      <c r="C926" s="18" t="n">
        <f aca="false">Bank_Statement!C166</f>
        <v>-2281.25</v>
      </c>
      <c r="D926" s="16" t="str">
        <f aca="false">Bank_Statement!D166</f>
        <v>PMT-V1005</v>
      </c>
      <c r="E926" s="16" t="str">
        <f aca="false">Bank_Statement!E166</f>
        <v>PAY40165</v>
      </c>
      <c r="F926" s="16" t="str">
        <f aca="false">IF(E926="","N/A",IF(COUNTIF(Payment_Log_AP!$A$2:$A$753,E926)&gt;0,"Yes","No"))</f>
        <v>Yes</v>
      </c>
      <c r="G926" s="16" t="str">
        <f aca="false">IF(E926="","Unexplained Bank Item (fee/other - review)",IF(F926="Yes","Matched","Payment Reference Not Found in AP Log"))</f>
        <v>Matched</v>
      </c>
    </row>
    <row r="927" customFormat="false" ht="15" hidden="false" customHeight="false" outlineLevel="0" collapsed="false">
      <c r="A927" s="16" t="str">
        <f aca="false">Bank_Statement!A167</f>
        <v>BNK50166</v>
      </c>
      <c r="B927" s="17" t="n">
        <f aca="false">Bank_Statement!B167</f>
        <v>46109</v>
      </c>
      <c r="C927" s="18" t="n">
        <f aca="false">Bank_Statement!C167</f>
        <v>-795.03</v>
      </c>
      <c r="D927" s="16" t="str">
        <f aca="false">Bank_Statement!D167</f>
        <v>PMT-V1008</v>
      </c>
      <c r="E927" s="16" t="str">
        <f aca="false">Bank_Statement!E167</f>
        <v>PAY40166</v>
      </c>
      <c r="F927" s="16" t="str">
        <f aca="false">IF(E927="","N/A",IF(COUNTIF(Payment_Log_AP!$A$2:$A$753,E927)&gt;0,"Yes","No"))</f>
        <v>Yes</v>
      </c>
      <c r="G927" s="16" t="str">
        <f aca="false">IF(E927="","Unexplained Bank Item (fee/other - review)",IF(F927="Yes","Matched","Payment Reference Not Found in AP Log"))</f>
        <v>Matched</v>
      </c>
    </row>
    <row r="928" customFormat="false" ht="15" hidden="false" customHeight="false" outlineLevel="0" collapsed="false">
      <c r="A928" s="16" t="str">
        <f aca="false">Bank_Statement!A168</f>
        <v>BNK50167</v>
      </c>
      <c r="B928" s="17" t="n">
        <f aca="false">Bank_Statement!B168</f>
        <v>46047</v>
      </c>
      <c r="C928" s="18" t="n">
        <f aca="false">Bank_Statement!C168</f>
        <v>-1829.81</v>
      </c>
      <c r="D928" s="16" t="str">
        <f aca="false">Bank_Statement!D168</f>
        <v>PMT-V1038</v>
      </c>
      <c r="E928" s="16" t="str">
        <f aca="false">Bank_Statement!E168</f>
        <v>PAY40167</v>
      </c>
      <c r="F928" s="16" t="str">
        <f aca="false">IF(E928="","N/A",IF(COUNTIF(Payment_Log_AP!$A$2:$A$753,E928)&gt;0,"Yes","No"))</f>
        <v>Yes</v>
      </c>
      <c r="G928" s="16" t="str">
        <f aca="false">IF(E928="","Unexplained Bank Item (fee/other - review)",IF(F928="Yes","Matched","Payment Reference Not Found in AP Log"))</f>
        <v>Matched</v>
      </c>
    </row>
    <row r="929" customFormat="false" ht="15" hidden="false" customHeight="false" outlineLevel="0" collapsed="false">
      <c r="A929" s="16" t="str">
        <f aca="false">Bank_Statement!A169</f>
        <v>BNK50168</v>
      </c>
      <c r="B929" s="17" t="n">
        <f aca="false">Bank_Statement!B169</f>
        <v>46090</v>
      </c>
      <c r="C929" s="18" t="n">
        <f aca="false">Bank_Statement!C169</f>
        <v>-3612.23</v>
      </c>
      <c r="D929" s="16" t="str">
        <f aca="false">Bank_Statement!D169</f>
        <v>PMT-V1017</v>
      </c>
      <c r="E929" s="16" t="str">
        <f aca="false">Bank_Statement!E169</f>
        <v>PAY40168</v>
      </c>
      <c r="F929" s="16" t="str">
        <f aca="false">IF(E929="","N/A",IF(COUNTIF(Payment_Log_AP!$A$2:$A$753,E929)&gt;0,"Yes","No"))</f>
        <v>Yes</v>
      </c>
      <c r="G929" s="16" t="str">
        <f aca="false">IF(E929="","Unexplained Bank Item (fee/other - review)",IF(F929="Yes","Matched","Payment Reference Not Found in AP Log"))</f>
        <v>Matched</v>
      </c>
    </row>
    <row r="930" customFormat="false" ht="15" hidden="false" customHeight="false" outlineLevel="0" collapsed="false">
      <c r="A930" s="16" t="str">
        <f aca="false">Bank_Statement!A170</f>
        <v>BNK50169</v>
      </c>
      <c r="B930" s="17" t="n">
        <f aca="false">Bank_Statement!B170</f>
        <v>45790</v>
      </c>
      <c r="C930" s="18" t="n">
        <f aca="false">Bank_Statement!C170</f>
        <v>-1825.14</v>
      </c>
      <c r="D930" s="16" t="str">
        <f aca="false">Bank_Statement!D170</f>
        <v>PMT-V1008</v>
      </c>
      <c r="E930" s="16" t="str">
        <f aca="false">Bank_Statement!E170</f>
        <v>PAY40169</v>
      </c>
      <c r="F930" s="16" t="str">
        <f aca="false">IF(E930="","N/A",IF(COUNTIF(Payment_Log_AP!$A$2:$A$753,E930)&gt;0,"Yes","No"))</f>
        <v>Yes</v>
      </c>
      <c r="G930" s="16" t="str">
        <f aca="false">IF(E930="","Unexplained Bank Item (fee/other - review)",IF(F930="Yes","Matched","Payment Reference Not Found in AP Log"))</f>
        <v>Matched</v>
      </c>
    </row>
    <row r="931" customFormat="false" ht="15" hidden="false" customHeight="false" outlineLevel="0" collapsed="false">
      <c r="A931" s="16" t="str">
        <f aca="false">Bank_Statement!A171</f>
        <v>BNK50170</v>
      </c>
      <c r="B931" s="17" t="n">
        <f aca="false">Bank_Statement!B171</f>
        <v>45686</v>
      </c>
      <c r="C931" s="18" t="n">
        <f aca="false">Bank_Statement!C171</f>
        <v>-21706.69</v>
      </c>
      <c r="D931" s="16" t="str">
        <f aca="false">Bank_Statement!D171</f>
        <v>PMT-V1022</v>
      </c>
      <c r="E931" s="16" t="str">
        <f aca="false">Bank_Statement!E171</f>
        <v>PAY40170</v>
      </c>
      <c r="F931" s="16" t="str">
        <f aca="false">IF(E931="","N/A",IF(COUNTIF(Payment_Log_AP!$A$2:$A$753,E931)&gt;0,"Yes","No"))</f>
        <v>Yes</v>
      </c>
      <c r="G931" s="16" t="str">
        <f aca="false">IF(E931="","Unexplained Bank Item (fee/other - review)",IF(F931="Yes","Matched","Payment Reference Not Found in AP Log"))</f>
        <v>Matched</v>
      </c>
    </row>
    <row r="932" customFormat="false" ht="15" hidden="false" customHeight="false" outlineLevel="0" collapsed="false">
      <c r="A932" s="16" t="str">
        <f aca="false">Bank_Statement!A172</f>
        <v>BNK50171</v>
      </c>
      <c r="B932" s="17" t="n">
        <f aca="false">Bank_Statement!B172</f>
        <v>45781</v>
      </c>
      <c r="C932" s="18" t="n">
        <f aca="false">Bank_Statement!C172</f>
        <v>-342.72</v>
      </c>
      <c r="D932" s="16" t="str">
        <f aca="false">Bank_Statement!D172</f>
        <v>PMT-V1011</v>
      </c>
      <c r="E932" s="16" t="str">
        <f aca="false">Bank_Statement!E172</f>
        <v>PAY40171</v>
      </c>
      <c r="F932" s="16" t="str">
        <f aca="false">IF(E932="","N/A",IF(COUNTIF(Payment_Log_AP!$A$2:$A$753,E932)&gt;0,"Yes","No"))</f>
        <v>Yes</v>
      </c>
      <c r="G932" s="16" t="str">
        <f aca="false">IF(E932="","Unexplained Bank Item (fee/other - review)",IF(F932="Yes","Matched","Payment Reference Not Found in AP Log"))</f>
        <v>Matched</v>
      </c>
    </row>
    <row r="933" customFormat="false" ht="15" hidden="false" customHeight="false" outlineLevel="0" collapsed="false">
      <c r="A933" s="16" t="str">
        <f aca="false">Bank_Statement!A173</f>
        <v>BNK50172</v>
      </c>
      <c r="B933" s="17" t="n">
        <f aca="false">Bank_Statement!B173</f>
        <v>45741</v>
      </c>
      <c r="C933" s="18" t="n">
        <f aca="false">Bank_Statement!C173</f>
        <v>-781.51</v>
      </c>
      <c r="D933" s="16" t="str">
        <f aca="false">Bank_Statement!D173</f>
        <v>PMT-V1007</v>
      </c>
      <c r="E933" s="16" t="str">
        <f aca="false">Bank_Statement!E173</f>
        <v>PAY40172</v>
      </c>
      <c r="F933" s="16" t="str">
        <f aca="false">IF(E933="","N/A",IF(COUNTIF(Payment_Log_AP!$A$2:$A$753,E933)&gt;0,"Yes","No"))</f>
        <v>Yes</v>
      </c>
      <c r="G933" s="16" t="str">
        <f aca="false">IF(E933="","Unexplained Bank Item (fee/other - review)",IF(F933="Yes","Matched","Payment Reference Not Found in AP Log"))</f>
        <v>Matched</v>
      </c>
    </row>
    <row r="934" customFormat="false" ht="15" hidden="false" customHeight="false" outlineLevel="0" collapsed="false">
      <c r="A934" s="16" t="str">
        <f aca="false">Bank_Statement!A174</f>
        <v>BNK50173</v>
      </c>
      <c r="B934" s="17" t="n">
        <f aca="false">Bank_Statement!B174</f>
        <v>46056</v>
      </c>
      <c r="C934" s="18" t="n">
        <f aca="false">Bank_Statement!C174</f>
        <v>-5652.95</v>
      </c>
      <c r="D934" s="16" t="str">
        <f aca="false">Bank_Statement!D174</f>
        <v>PMT-V1021</v>
      </c>
      <c r="E934" s="16" t="str">
        <f aca="false">Bank_Statement!E174</f>
        <v>PAY40173</v>
      </c>
      <c r="F934" s="16" t="str">
        <f aca="false">IF(E934="","N/A",IF(COUNTIF(Payment_Log_AP!$A$2:$A$753,E934)&gt;0,"Yes","No"))</f>
        <v>Yes</v>
      </c>
      <c r="G934" s="16" t="str">
        <f aca="false">IF(E934="","Unexplained Bank Item (fee/other - review)",IF(F934="Yes","Matched","Payment Reference Not Found in AP Log"))</f>
        <v>Matched</v>
      </c>
    </row>
    <row r="935" customFormat="false" ht="15" hidden="false" customHeight="false" outlineLevel="0" collapsed="false">
      <c r="A935" s="16" t="str">
        <f aca="false">Bank_Statement!A175</f>
        <v>BNK50174</v>
      </c>
      <c r="B935" s="17" t="n">
        <f aca="false">Bank_Statement!B175</f>
        <v>45999</v>
      </c>
      <c r="C935" s="18" t="n">
        <f aca="false">Bank_Statement!C175</f>
        <v>-133.11</v>
      </c>
      <c r="D935" s="16" t="str">
        <f aca="false">Bank_Statement!D175</f>
        <v>PMT-V1010</v>
      </c>
      <c r="E935" s="16" t="str">
        <f aca="false">Bank_Statement!E175</f>
        <v>PAY40174</v>
      </c>
      <c r="F935" s="16" t="str">
        <f aca="false">IF(E935="","N/A",IF(COUNTIF(Payment_Log_AP!$A$2:$A$753,E935)&gt;0,"Yes","No"))</f>
        <v>Yes</v>
      </c>
      <c r="G935" s="16" t="str">
        <f aca="false">IF(E935="","Unexplained Bank Item (fee/other - review)",IF(F935="Yes","Matched","Payment Reference Not Found in AP Log"))</f>
        <v>Matched</v>
      </c>
    </row>
    <row r="936" customFormat="false" ht="15" hidden="false" customHeight="false" outlineLevel="0" collapsed="false">
      <c r="A936" s="16" t="str">
        <f aca="false">Bank_Statement!A176</f>
        <v>BNK50175</v>
      </c>
      <c r="B936" s="17" t="n">
        <f aca="false">Bank_Statement!B176</f>
        <v>45810</v>
      </c>
      <c r="C936" s="18" t="n">
        <f aca="false">Bank_Statement!C176</f>
        <v>-17090.48</v>
      </c>
      <c r="D936" s="16" t="str">
        <f aca="false">Bank_Statement!D176</f>
        <v>PMT-V1013</v>
      </c>
      <c r="E936" s="16" t="str">
        <f aca="false">Bank_Statement!E176</f>
        <v>PAY40175</v>
      </c>
      <c r="F936" s="16" t="str">
        <f aca="false">IF(E936="","N/A",IF(COUNTIF(Payment_Log_AP!$A$2:$A$753,E936)&gt;0,"Yes","No"))</f>
        <v>Yes</v>
      </c>
      <c r="G936" s="16" t="str">
        <f aca="false">IF(E936="","Unexplained Bank Item (fee/other - review)",IF(F936="Yes","Matched","Payment Reference Not Found in AP Log"))</f>
        <v>Matched</v>
      </c>
    </row>
    <row r="937" customFormat="false" ht="15" hidden="false" customHeight="false" outlineLevel="0" collapsed="false">
      <c r="A937" s="16" t="str">
        <f aca="false">Bank_Statement!A177</f>
        <v>BNK50176</v>
      </c>
      <c r="B937" s="17" t="n">
        <f aca="false">Bank_Statement!B177</f>
        <v>46094</v>
      </c>
      <c r="C937" s="18" t="n">
        <f aca="false">Bank_Statement!C177</f>
        <v>-8157.32</v>
      </c>
      <c r="D937" s="16" t="str">
        <f aca="false">Bank_Statement!D177</f>
        <v>PMT-V1015</v>
      </c>
      <c r="E937" s="16" t="str">
        <f aca="false">Bank_Statement!E177</f>
        <v>PAY40176</v>
      </c>
      <c r="F937" s="16" t="str">
        <f aca="false">IF(E937="","N/A",IF(COUNTIF(Payment_Log_AP!$A$2:$A$753,E937)&gt;0,"Yes","No"))</f>
        <v>Yes</v>
      </c>
      <c r="G937" s="16" t="str">
        <f aca="false">IF(E937="","Unexplained Bank Item (fee/other - review)",IF(F937="Yes","Matched","Payment Reference Not Found in AP Log"))</f>
        <v>Matched</v>
      </c>
    </row>
    <row r="938" customFormat="false" ht="15" hidden="false" customHeight="false" outlineLevel="0" collapsed="false">
      <c r="A938" s="16" t="str">
        <f aca="false">Bank_Statement!A178</f>
        <v>BNK50177</v>
      </c>
      <c r="B938" s="17" t="n">
        <f aca="false">Bank_Statement!B178</f>
        <v>46120</v>
      </c>
      <c r="C938" s="18" t="n">
        <f aca="false">Bank_Statement!C178</f>
        <v>-547.49</v>
      </c>
      <c r="D938" s="16" t="str">
        <f aca="false">Bank_Statement!D178</f>
        <v>PMT-V1018</v>
      </c>
      <c r="E938" s="16" t="str">
        <f aca="false">Bank_Statement!E178</f>
        <v>PAY40177</v>
      </c>
      <c r="F938" s="16" t="str">
        <f aca="false">IF(E938="","N/A",IF(COUNTIF(Payment_Log_AP!$A$2:$A$753,E938)&gt;0,"Yes","No"))</f>
        <v>Yes</v>
      </c>
      <c r="G938" s="16" t="str">
        <f aca="false">IF(E938="","Unexplained Bank Item (fee/other - review)",IF(F938="Yes","Matched","Payment Reference Not Found in AP Log"))</f>
        <v>Matched</v>
      </c>
    </row>
    <row r="939" customFormat="false" ht="15" hidden="false" customHeight="false" outlineLevel="0" collapsed="false">
      <c r="A939" s="16" t="str">
        <f aca="false">Bank_Statement!A179</f>
        <v>BNK50178</v>
      </c>
      <c r="B939" s="17" t="n">
        <f aca="false">Bank_Statement!B179</f>
        <v>45772</v>
      </c>
      <c r="C939" s="18" t="n">
        <f aca="false">Bank_Statement!C179</f>
        <v>-10027.78</v>
      </c>
      <c r="D939" s="16" t="str">
        <f aca="false">Bank_Statement!D179</f>
        <v>PMT-V1036</v>
      </c>
      <c r="E939" s="16" t="str">
        <f aca="false">Bank_Statement!E179</f>
        <v>PAY40178</v>
      </c>
      <c r="F939" s="16" t="str">
        <f aca="false">IF(E939="","N/A",IF(COUNTIF(Payment_Log_AP!$A$2:$A$753,E939)&gt;0,"Yes","No"))</f>
        <v>Yes</v>
      </c>
      <c r="G939" s="16" t="str">
        <f aca="false">IF(E939="","Unexplained Bank Item (fee/other - review)",IF(F939="Yes","Matched","Payment Reference Not Found in AP Log"))</f>
        <v>Matched</v>
      </c>
    </row>
    <row r="940" customFormat="false" ht="15" hidden="false" customHeight="false" outlineLevel="0" collapsed="false">
      <c r="A940" s="16" t="str">
        <f aca="false">Bank_Statement!A180</f>
        <v>BNK50179</v>
      </c>
      <c r="B940" s="17" t="n">
        <f aca="false">Bank_Statement!B180</f>
        <v>46035</v>
      </c>
      <c r="C940" s="18" t="n">
        <f aca="false">Bank_Statement!C180</f>
        <v>-3961.93</v>
      </c>
      <c r="D940" s="16" t="str">
        <f aca="false">Bank_Statement!D180</f>
        <v>PMT-V1031</v>
      </c>
      <c r="E940" s="16" t="str">
        <f aca="false">Bank_Statement!E180</f>
        <v>PAY40179</v>
      </c>
      <c r="F940" s="16" t="str">
        <f aca="false">IF(E940="","N/A",IF(COUNTIF(Payment_Log_AP!$A$2:$A$753,E940)&gt;0,"Yes","No"))</f>
        <v>Yes</v>
      </c>
      <c r="G940" s="16" t="str">
        <f aca="false">IF(E940="","Unexplained Bank Item (fee/other - review)",IF(F940="Yes","Matched","Payment Reference Not Found in AP Log"))</f>
        <v>Matched</v>
      </c>
    </row>
    <row r="941" customFormat="false" ht="15" hidden="false" customHeight="false" outlineLevel="0" collapsed="false">
      <c r="A941" s="16" t="str">
        <f aca="false">Bank_Statement!A181</f>
        <v>BNK50180</v>
      </c>
      <c r="B941" s="17" t="n">
        <f aca="false">Bank_Statement!B181</f>
        <v>46084</v>
      </c>
      <c r="C941" s="18" t="n">
        <f aca="false">Bank_Statement!C181</f>
        <v>-2554.75</v>
      </c>
      <c r="D941" s="16" t="str">
        <f aca="false">Bank_Statement!D181</f>
        <v>PMT-V1036</v>
      </c>
      <c r="E941" s="16" t="str">
        <f aca="false">Bank_Statement!E181</f>
        <v>PAY40180</v>
      </c>
      <c r="F941" s="16" t="str">
        <f aca="false">IF(E941="","N/A",IF(COUNTIF(Payment_Log_AP!$A$2:$A$753,E941)&gt;0,"Yes","No"))</f>
        <v>Yes</v>
      </c>
      <c r="G941" s="16" t="str">
        <f aca="false">IF(E941="","Unexplained Bank Item (fee/other - review)",IF(F941="Yes","Matched","Payment Reference Not Found in AP Log"))</f>
        <v>Matched</v>
      </c>
    </row>
    <row r="942" customFormat="false" ht="15" hidden="false" customHeight="false" outlineLevel="0" collapsed="false">
      <c r="A942" s="16" t="str">
        <f aca="false">Bank_Statement!A182</f>
        <v>BNK50181</v>
      </c>
      <c r="B942" s="17" t="n">
        <f aca="false">Bank_Statement!B182</f>
        <v>45739</v>
      </c>
      <c r="C942" s="18" t="n">
        <f aca="false">Bank_Statement!C182</f>
        <v>-1471.18</v>
      </c>
      <c r="D942" s="16" t="str">
        <f aca="false">Bank_Statement!D182</f>
        <v>PMT-V1036</v>
      </c>
      <c r="E942" s="16" t="str">
        <f aca="false">Bank_Statement!E182</f>
        <v>PAY40181</v>
      </c>
      <c r="F942" s="16" t="str">
        <f aca="false">IF(E942="","N/A",IF(COUNTIF(Payment_Log_AP!$A$2:$A$753,E942)&gt;0,"Yes","No"))</f>
        <v>Yes</v>
      </c>
      <c r="G942" s="16" t="str">
        <f aca="false">IF(E942="","Unexplained Bank Item (fee/other - review)",IF(F942="Yes","Matched","Payment Reference Not Found in AP Log"))</f>
        <v>Matched</v>
      </c>
    </row>
    <row r="943" customFormat="false" ht="15" hidden="false" customHeight="false" outlineLevel="0" collapsed="false">
      <c r="A943" s="16" t="str">
        <f aca="false">Bank_Statement!A183</f>
        <v>BNK50182</v>
      </c>
      <c r="B943" s="17" t="n">
        <f aca="false">Bank_Statement!B183</f>
        <v>46144</v>
      </c>
      <c r="C943" s="18" t="n">
        <f aca="false">Bank_Statement!C183</f>
        <v>-682.63</v>
      </c>
      <c r="D943" s="16" t="str">
        <f aca="false">Bank_Statement!D183</f>
        <v>PMT-V1006</v>
      </c>
      <c r="E943" s="16" t="str">
        <f aca="false">Bank_Statement!E183</f>
        <v>PAY40182</v>
      </c>
      <c r="F943" s="16" t="str">
        <f aca="false">IF(E943="","N/A",IF(COUNTIF(Payment_Log_AP!$A$2:$A$753,E943)&gt;0,"Yes","No"))</f>
        <v>Yes</v>
      </c>
      <c r="G943" s="16" t="str">
        <f aca="false">IF(E943="","Unexplained Bank Item (fee/other - review)",IF(F943="Yes","Matched","Payment Reference Not Found in AP Log"))</f>
        <v>Matched</v>
      </c>
    </row>
    <row r="944" customFormat="false" ht="15" hidden="false" customHeight="false" outlineLevel="0" collapsed="false">
      <c r="A944" s="16" t="str">
        <f aca="false">Bank_Statement!A184</f>
        <v>BNK50183</v>
      </c>
      <c r="B944" s="17" t="n">
        <f aca="false">Bank_Statement!B184</f>
        <v>45763</v>
      </c>
      <c r="C944" s="18" t="n">
        <f aca="false">Bank_Statement!C184</f>
        <v>-7251.89</v>
      </c>
      <c r="D944" s="16" t="str">
        <f aca="false">Bank_Statement!D184</f>
        <v>PMT-V1020</v>
      </c>
      <c r="E944" s="16" t="str">
        <f aca="false">Bank_Statement!E184</f>
        <v>PAY40183</v>
      </c>
      <c r="F944" s="16" t="str">
        <f aca="false">IF(E944="","N/A",IF(COUNTIF(Payment_Log_AP!$A$2:$A$753,E944)&gt;0,"Yes","No"))</f>
        <v>Yes</v>
      </c>
      <c r="G944" s="16" t="str">
        <f aca="false">IF(E944="","Unexplained Bank Item (fee/other - review)",IF(F944="Yes","Matched","Payment Reference Not Found in AP Log"))</f>
        <v>Matched</v>
      </c>
    </row>
    <row r="945" customFormat="false" ht="15" hidden="false" customHeight="false" outlineLevel="0" collapsed="false">
      <c r="A945" s="16" t="str">
        <f aca="false">Bank_Statement!A185</f>
        <v>BNK50184</v>
      </c>
      <c r="B945" s="17" t="n">
        <f aca="false">Bank_Statement!B185</f>
        <v>45708</v>
      </c>
      <c r="C945" s="18" t="n">
        <f aca="false">Bank_Statement!C185</f>
        <v>-4929.33</v>
      </c>
      <c r="D945" s="16" t="str">
        <f aca="false">Bank_Statement!D185</f>
        <v>PMT-V1009</v>
      </c>
      <c r="E945" s="16" t="str">
        <f aca="false">Bank_Statement!E185</f>
        <v>PAY40184</v>
      </c>
      <c r="F945" s="16" t="str">
        <f aca="false">IF(E945="","N/A",IF(COUNTIF(Payment_Log_AP!$A$2:$A$753,E945)&gt;0,"Yes","No"))</f>
        <v>Yes</v>
      </c>
      <c r="G945" s="16" t="str">
        <f aca="false">IF(E945="","Unexplained Bank Item (fee/other - review)",IF(F945="Yes","Matched","Payment Reference Not Found in AP Log"))</f>
        <v>Matched</v>
      </c>
    </row>
    <row r="946" customFormat="false" ht="15" hidden="false" customHeight="false" outlineLevel="0" collapsed="false">
      <c r="A946" s="16" t="str">
        <f aca="false">Bank_Statement!A186</f>
        <v>BNK50185</v>
      </c>
      <c r="B946" s="17" t="n">
        <f aca="false">Bank_Statement!B186</f>
        <v>46058</v>
      </c>
      <c r="C946" s="18" t="n">
        <f aca="false">Bank_Statement!C186</f>
        <v>-1074.95</v>
      </c>
      <c r="D946" s="16" t="str">
        <f aca="false">Bank_Statement!D186</f>
        <v>PMT-V1005</v>
      </c>
      <c r="E946" s="16" t="str">
        <f aca="false">Bank_Statement!E186</f>
        <v>PAY40185</v>
      </c>
      <c r="F946" s="16" t="str">
        <f aca="false">IF(E946="","N/A",IF(COUNTIF(Payment_Log_AP!$A$2:$A$753,E946)&gt;0,"Yes","No"))</f>
        <v>Yes</v>
      </c>
      <c r="G946" s="16" t="str">
        <f aca="false">IF(E946="","Unexplained Bank Item (fee/other - review)",IF(F946="Yes","Matched","Payment Reference Not Found in AP Log"))</f>
        <v>Matched</v>
      </c>
    </row>
    <row r="947" customFormat="false" ht="15" hidden="false" customHeight="false" outlineLevel="0" collapsed="false">
      <c r="A947" s="16" t="str">
        <f aca="false">Bank_Statement!A187</f>
        <v>BNK50186</v>
      </c>
      <c r="B947" s="17" t="n">
        <f aca="false">Bank_Statement!B187</f>
        <v>45930</v>
      </c>
      <c r="C947" s="18" t="n">
        <f aca="false">Bank_Statement!C187</f>
        <v>-759.35</v>
      </c>
      <c r="D947" s="16" t="str">
        <f aca="false">Bank_Statement!D187</f>
        <v>PMT-V1034</v>
      </c>
      <c r="E947" s="16" t="str">
        <f aca="false">Bank_Statement!E187</f>
        <v>PAY40186</v>
      </c>
      <c r="F947" s="16" t="str">
        <f aca="false">IF(E947="","N/A",IF(COUNTIF(Payment_Log_AP!$A$2:$A$753,E947)&gt;0,"Yes","No"))</f>
        <v>Yes</v>
      </c>
      <c r="G947" s="16" t="str">
        <f aca="false">IF(E947="","Unexplained Bank Item (fee/other - review)",IF(F947="Yes","Matched","Payment Reference Not Found in AP Log"))</f>
        <v>Matched</v>
      </c>
    </row>
    <row r="948" customFormat="false" ht="15" hidden="false" customHeight="false" outlineLevel="0" collapsed="false">
      <c r="A948" s="16" t="str">
        <f aca="false">Bank_Statement!A188</f>
        <v>BNK50187</v>
      </c>
      <c r="B948" s="17" t="n">
        <f aca="false">Bank_Statement!B188</f>
        <v>46056</v>
      </c>
      <c r="C948" s="18" t="n">
        <f aca="false">Bank_Statement!C188</f>
        <v>-2745.78</v>
      </c>
      <c r="D948" s="16" t="str">
        <f aca="false">Bank_Statement!D188</f>
        <v>PMT-V1030</v>
      </c>
      <c r="E948" s="16" t="str">
        <f aca="false">Bank_Statement!E188</f>
        <v>PAY40187</v>
      </c>
      <c r="F948" s="16" t="str">
        <f aca="false">IF(E948="","N/A",IF(COUNTIF(Payment_Log_AP!$A$2:$A$753,E948)&gt;0,"Yes","No"))</f>
        <v>Yes</v>
      </c>
      <c r="G948" s="16" t="str">
        <f aca="false">IF(E948="","Unexplained Bank Item (fee/other - review)",IF(F948="Yes","Matched","Payment Reference Not Found in AP Log"))</f>
        <v>Matched</v>
      </c>
    </row>
    <row r="949" customFormat="false" ht="15" hidden="false" customHeight="false" outlineLevel="0" collapsed="false">
      <c r="A949" s="16" t="str">
        <f aca="false">Bank_Statement!A189</f>
        <v>BNK50188</v>
      </c>
      <c r="B949" s="17" t="n">
        <f aca="false">Bank_Statement!B189</f>
        <v>45716</v>
      </c>
      <c r="C949" s="18" t="n">
        <f aca="false">Bank_Statement!C189</f>
        <v>-1562.55</v>
      </c>
      <c r="D949" s="16" t="str">
        <f aca="false">Bank_Statement!D189</f>
        <v>PMT-V1011</v>
      </c>
      <c r="E949" s="16" t="str">
        <f aca="false">Bank_Statement!E189</f>
        <v>PAY40188</v>
      </c>
      <c r="F949" s="16" t="str">
        <f aca="false">IF(E949="","N/A",IF(COUNTIF(Payment_Log_AP!$A$2:$A$753,E949)&gt;0,"Yes","No"))</f>
        <v>Yes</v>
      </c>
      <c r="G949" s="16" t="str">
        <f aca="false">IF(E949="","Unexplained Bank Item (fee/other - review)",IF(F949="Yes","Matched","Payment Reference Not Found in AP Log"))</f>
        <v>Matched</v>
      </c>
    </row>
    <row r="950" customFormat="false" ht="15" hidden="false" customHeight="false" outlineLevel="0" collapsed="false">
      <c r="A950" s="16" t="str">
        <f aca="false">Bank_Statement!A190</f>
        <v>BNK50189</v>
      </c>
      <c r="B950" s="17" t="n">
        <f aca="false">Bank_Statement!B190</f>
        <v>46073</v>
      </c>
      <c r="C950" s="18" t="n">
        <f aca="false">Bank_Statement!C190</f>
        <v>-1854.08</v>
      </c>
      <c r="D950" s="16" t="str">
        <f aca="false">Bank_Statement!D190</f>
        <v>PMT-V1020</v>
      </c>
      <c r="E950" s="16" t="str">
        <f aca="false">Bank_Statement!E190</f>
        <v>PAY40189</v>
      </c>
      <c r="F950" s="16" t="str">
        <f aca="false">IF(E950="","N/A",IF(COUNTIF(Payment_Log_AP!$A$2:$A$753,E950)&gt;0,"Yes","No"))</f>
        <v>Yes</v>
      </c>
      <c r="G950" s="16" t="str">
        <f aca="false">IF(E950="","Unexplained Bank Item (fee/other - review)",IF(F950="Yes","Matched","Payment Reference Not Found in AP Log"))</f>
        <v>Matched</v>
      </c>
    </row>
    <row r="951" customFormat="false" ht="15" hidden="false" customHeight="false" outlineLevel="0" collapsed="false">
      <c r="A951" s="16" t="str">
        <f aca="false">Bank_Statement!A191</f>
        <v>BNK50190</v>
      </c>
      <c r="B951" s="17" t="n">
        <f aca="false">Bank_Statement!B191</f>
        <v>46037</v>
      </c>
      <c r="C951" s="18" t="n">
        <f aca="false">Bank_Statement!C191</f>
        <v>-4069.45</v>
      </c>
      <c r="D951" s="16" t="str">
        <f aca="false">Bank_Statement!D191</f>
        <v>PMT-V1015</v>
      </c>
      <c r="E951" s="16" t="str">
        <f aca="false">Bank_Statement!E191</f>
        <v>PAY40190</v>
      </c>
      <c r="F951" s="16" t="str">
        <f aca="false">IF(E951="","N/A",IF(COUNTIF(Payment_Log_AP!$A$2:$A$753,E951)&gt;0,"Yes","No"))</f>
        <v>Yes</v>
      </c>
      <c r="G951" s="16" t="str">
        <f aca="false">IF(E951="","Unexplained Bank Item (fee/other - review)",IF(F951="Yes","Matched","Payment Reference Not Found in AP Log"))</f>
        <v>Matched</v>
      </c>
    </row>
    <row r="952" customFormat="false" ht="15" hidden="false" customHeight="false" outlineLevel="0" collapsed="false">
      <c r="A952" s="16" t="str">
        <f aca="false">Bank_Statement!A192</f>
        <v>BNK50191</v>
      </c>
      <c r="B952" s="17" t="n">
        <f aca="false">Bank_Statement!B192</f>
        <v>45737</v>
      </c>
      <c r="C952" s="18" t="n">
        <f aca="false">Bank_Statement!C192</f>
        <v>-2117.88</v>
      </c>
      <c r="D952" s="16" t="str">
        <f aca="false">Bank_Statement!D192</f>
        <v>PMT-V1004</v>
      </c>
      <c r="E952" s="16" t="str">
        <f aca="false">Bank_Statement!E192</f>
        <v>PAY40191</v>
      </c>
      <c r="F952" s="16" t="str">
        <f aca="false">IF(E952="","N/A",IF(COUNTIF(Payment_Log_AP!$A$2:$A$753,E952)&gt;0,"Yes","No"))</f>
        <v>Yes</v>
      </c>
      <c r="G952" s="16" t="str">
        <f aca="false">IF(E952="","Unexplained Bank Item (fee/other - review)",IF(F952="Yes","Matched","Payment Reference Not Found in AP Log"))</f>
        <v>Matched</v>
      </c>
    </row>
    <row r="953" customFormat="false" ht="15" hidden="false" customHeight="false" outlineLevel="0" collapsed="false">
      <c r="A953" s="16" t="str">
        <f aca="false">Bank_Statement!A193</f>
        <v>BNK50192</v>
      </c>
      <c r="B953" s="17" t="n">
        <f aca="false">Bank_Statement!B193</f>
        <v>45742</v>
      </c>
      <c r="C953" s="18" t="n">
        <f aca="false">Bank_Statement!C193</f>
        <v>-2117.88</v>
      </c>
      <c r="D953" s="16" t="str">
        <f aca="false">Bank_Statement!D193</f>
        <v>PMT-V1004</v>
      </c>
      <c r="E953" s="16" t="str">
        <f aca="false">Bank_Statement!E193</f>
        <v>PAY40192</v>
      </c>
      <c r="F953" s="16" t="str">
        <f aca="false">IF(E953="","N/A",IF(COUNTIF(Payment_Log_AP!$A$2:$A$753,E953)&gt;0,"Yes","No"))</f>
        <v>Yes</v>
      </c>
      <c r="G953" s="16" t="str">
        <f aca="false">IF(E953="","Unexplained Bank Item (fee/other - review)",IF(F953="Yes","Matched","Payment Reference Not Found in AP Log"))</f>
        <v>Matched</v>
      </c>
    </row>
    <row r="954" customFormat="false" ht="15" hidden="false" customHeight="false" outlineLevel="0" collapsed="false">
      <c r="A954" s="16" t="str">
        <f aca="false">Bank_Statement!A194</f>
        <v>BNK50193</v>
      </c>
      <c r="B954" s="17" t="n">
        <f aca="false">Bank_Statement!B194</f>
        <v>46138</v>
      </c>
      <c r="C954" s="18" t="n">
        <f aca="false">Bank_Statement!C194</f>
        <v>-266.54</v>
      </c>
      <c r="D954" s="16" t="str">
        <f aca="false">Bank_Statement!D194</f>
        <v>PMT-V1001</v>
      </c>
      <c r="E954" s="16" t="str">
        <f aca="false">Bank_Statement!E194</f>
        <v>PAY40193</v>
      </c>
      <c r="F954" s="16" t="str">
        <f aca="false">IF(E954="","N/A",IF(COUNTIF(Payment_Log_AP!$A$2:$A$753,E954)&gt;0,"Yes","No"))</f>
        <v>Yes</v>
      </c>
      <c r="G954" s="16" t="str">
        <f aca="false">IF(E954="","Unexplained Bank Item (fee/other - review)",IF(F954="Yes","Matched","Payment Reference Not Found in AP Log"))</f>
        <v>Matched</v>
      </c>
    </row>
    <row r="955" customFormat="false" ht="15" hidden="false" customHeight="false" outlineLevel="0" collapsed="false">
      <c r="A955" s="16" t="str">
        <f aca="false">Bank_Statement!A195</f>
        <v>BNK50194</v>
      </c>
      <c r="B955" s="17" t="n">
        <f aca="false">Bank_Statement!B195</f>
        <v>46095</v>
      </c>
      <c r="C955" s="18" t="n">
        <f aca="false">Bank_Statement!C195</f>
        <v>-266.54</v>
      </c>
      <c r="D955" s="16" t="str">
        <f aca="false">Bank_Statement!D195</f>
        <v>PMT-V1001</v>
      </c>
      <c r="E955" s="16" t="str">
        <f aca="false">Bank_Statement!E195</f>
        <v>PAY40194</v>
      </c>
      <c r="F955" s="16" t="str">
        <f aca="false">IF(E955="","N/A",IF(COUNTIF(Payment_Log_AP!$A$2:$A$753,E955)&gt;0,"Yes","No"))</f>
        <v>Yes</v>
      </c>
      <c r="G955" s="16" t="str">
        <f aca="false">IF(E955="","Unexplained Bank Item (fee/other - review)",IF(F955="Yes","Matched","Payment Reference Not Found in AP Log"))</f>
        <v>Matched</v>
      </c>
    </row>
    <row r="956" customFormat="false" ht="15" hidden="false" customHeight="false" outlineLevel="0" collapsed="false">
      <c r="A956" s="16" t="str">
        <f aca="false">Bank_Statement!A196</f>
        <v>BNK50195</v>
      </c>
      <c r="B956" s="17" t="n">
        <f aca="false">Bank_Statement!B196</f>
        <v>46172</v>
      </c>
      <c r="C956" s="18" t="n">
        <f aca="false">Bank_Statement!C196</f>
        <v>-1071.3</v>
      </c>
      <c r="D956" s="16" t="str">
        <f aca="false">Bank_Statement!D196</f>
        <v>PMT-V1016</v>
      </c>
      <c r="E956" s="16" t="str">
        <f aca="false">Bank_Statement!E196</f>
        <v>PAY40195</v>
      </c>
      <c r="F956" s="16" t="str">
        <f aca="false">IF(E956="","N/A",IF(COUNTIF(Payment_Log_AP!$A$2:$A$753,E956)&gt;0,"Yes","No"))</f>
        <v>Yes</v>
      </c>
      <c r="G956" s="16" t="str">
        <f aca="false">IF(E956="","Unexplained Bank Item (fee/other - review)",IF(F956="Yes","Matched","Payment Reference Not Found in AP Log"))</f>
        <v>Matched</v>
      </c>
    </row>
    <row r="957" customFormat="false" ht="15" hidden="false" customHeight="false" outlineLevel="0" collapsed="false">
      <c r="A957" s="16" t="str">
        <f aca="false">Bank_Statement!A197</f>
        <v>BNK50196</v>
      </c>
      <c r="B957" s="17" t="n">
        <f aca="false">Bank_Statement!B197</f>
        <v>46019</v>
      </c>
      <c r="C957" s="18" t="n">
        <f aca="false">Bank_Statement!C197</f>
        <v>-728.71</v>
      </c>
      <c r="D957" s="16" t="str">
        <f aca="false">Bank_Statement!D197</f>
        <v>PMT-V1016</v>
      </c>
      <c r="E957" s="16" t="str">
        <f aca="false">Bank_Statement!E197</f>
        <v>PAY40196</v>
      </c>
      <c r="F957" s="16" t="str">
        <f aca="false">IF(E957="","N/A",IF(COUNTIF(Payment_Log_AP!$A$2:$A$753,E957)&gt;0,"Yes","No"))</f>
        <v>Yes</v>
      </c>
      <c r="G957" s="16" t="str">
        <f aca="false">IF(E957="","Unexplained Bank Item (fee/other - review)",IF(F957="Yes","Matched","Payment Reference Not Found in AP Log"))</f>
        <v>Matched</v>
      </c>
    </row>
    <row r="958" customFormat="false" ht="15" hidden="false" customHeight="false" outlineLevel="0" collapsed="false">
      <c r="A958" s="16" t="str">
        <f aca="false">Bank_Statement!A198</f>
        <v>BNK50197</v>
      </c>
      <c r="B958" s="17" t="n">
        <f aca="false">Bank_Statement!B198</f>
        <v>45773</v>
      </c>
      <c r="C958" s="18" t="n">
        <f aca="false">Bank_Statement!C198</f>
        <v>-3728.38</v>
      </c>
      <c r="D958" s="16" t="str">
        <f aca="false">Bank_Statement!D198</f>
        <v>PMT-V1023</v>
      </c>
      <c r="E958" s="16" t="str">
        <f aca="false">Bank_Statement!E198</f>
        <v>PAY40197</v>
      </c>
      <c r="F958" s="16" t="str">
        <f aca="false">IF(E958="","N/A",IF(COUNTIF(Payment_Log_AP!$A$2:$A$753,E958)&gt;0,"Yes","No"))</f>
        <v>Yes</v>
      </c>
      <c r="G958" s="16" t="str">
        <f aca="false">IF(E958="","Unexplained Bank Item (fee/other - review)",IF(F958="Yes","Matched","Payment Reference Not Found in AP Log"))</f>
        <v>Matched</v>
      </c>
    </row>
    <row r="959" customFormat="false" ht="15" hidden="false" customHeight="false" outlineLevel="0" collapsed="false">
      <c r="A959" s="16" t="str">
        <f aca="false">Bank_Statement!A199</f>
        <v>BNK50198</v>
      </c>
      <c r="B959" s="17" t="n">
        <f aca="false">Bank_Statement!B199</f>
        <v>46206</v>
      </c>
      <c r="C959" s="18" t="n">
        <f aca="false">Bank_Statement!C199</f>
        <v>-5712.19</v>
      </c>
      <c r="D959" s="16" t="str">
        <f aca="false">Bank_Statement!D199</f>
        <v>PMT-V1016</v>
      </c>
      <c r="E959" s="16" t="str">
        <f aca="false">Bank_Statement!E199</f>
        <v>PAY40198</v>
      </c>
      <c r="F959" s="16" t="str">
        <f aca="false">IF(E959="","N/A",IF(COUNTIF(Payment_Log_AP!$A$2:$A$753,E959)&gt;0,"Yes","No"))</f>
        <v>Yes</v>
      </c>
      <c r="G959" s="16" t="str">
        <f aca="false">IF(E959="","Unexplained Bank Item (fee/other - review)",IF(F959="Yes","Matched","Payment Reference Not Found in AP Log"))</f>
        <v>Matched</v>
      </c>
    </row>
    <row r="960" customFormat="false" ht="15" hidden="false" customHeight="false" outlineLevel="0" collapsed="false">
      <c r="A960" s="16" t="str">
        <f aca="false">Bank_Statement!A200</f>
        <v>BNK50199</v>
      </c>
      <c r="B960" s="17" t="n">
        <f aca="false">Bank_Statement!B200</f>
        <v>45875</v>
      </c>
      <c r="C960" s="18" t="n">
        <f aca="false">Bank_Statement!C200</f>
        <v>-1442.03</v>
      </c>
      <c r="D960" s="16" t="str">
        <f aca="false">Bank_Statement!D200</f>
        <v>PMT-V1018</v>
      </c>
      <c r="E960" s="16" t="str">
        <f aca="false">Bank_Statement!E200</f>
        <v>PAY40199</v>
      </c>
      <c r="F960" s="16" t="str">
        <f aca="false">IF(E960="","N/A",IF(COUNTIF(Payment_Log_AP!$A$2:$A$753,E960)&gt;0,"Yes","No"))</f>
        <v>Yes</v>
      </c>
      <c r="G960" s="16" t="str">
        <f aca="false">IF(E960="","Unexplained Bank Item (fee/other - review)",IF(F960="Yes","Matched","Payment Reference Not Found in AP Log"))</f>
        <v>Matched</v>
      </c>
    </row>
    <row r="961" customFormat="false" ht="15" hidden="false" customHeight="false" outlineLevel="0" collapsed="false">
      <c r="A961" s="16" t="str">
        <f aca="false">Bank_Statement!A201</f>
        <v>BNK50200</v>
      </c>
      <c r="B961" s="17" t="n">
        <f aca="false">Bank_Statement!B201</f>
        <v>45905</v>
      </c>
      <c r="C961" s="18" t="n">
        <f aca="false">Bank_Statement!C201</f>
        <v>-14974.83</v>
      </c>
      <c r="D961" s="16" t="str">
        <f aca="false">Bank_Statement!D201</f>
        <v>PMT-V1007</v>
      </c>
      <c r="E961" s="16" t="str">
        <f aca="false">Bank_Statement!E201</f>
        <v>PAY40200</v>
      </c>
      <c r="F961" s="16" t="str">
        <f aca="false">IF(E961="","N/A",IF(COUNTIF(Payment_Log_AP!$A$2:$A$753,E961)&gt;0,"Yes","No"))</f>
        <v>Yes</v>
      </c>
      <c r="G961" s="16" t="str">
        <f aca="false">IF(E961="","Unexplained Bank Item (fee/other - review)",IF(F961="Yes","Matched","Payment Reference Not Found in AP Log"))</f>
        <v>Matched</v>
      </c>
    </row>
    <row r="962" customFormat="false" ht="15" hidden="false" customHeight="false" outlineLevel="0" collapsed="false">
      <c r="A962" s="16" t="str">
        <f aca="false">Bank_Statement!A202</f>
        <v>BNK50201</v>
      </c>
      <c r="B962" s="17" t="n">
        <f aca="false">Bank_Statement!B202</f>
        <v>45901</v>
      </c>
      <c r="C962" s="18" t="n">
        <f aca="false">Bank_Statement!C202</f>
        <v>-877.63</v>
      </c>
      <c r="D962" s="16" t="str">
        <f aca="false">Bank_Statement!D202</f>
        <v>PMT-V1032</v>
      </c>
      <c r="E962" s="16" t="str">
        <f aca="false">Bank_Statement!E202</f>
        <v>PAY40201</v>
      </c>
      <c r="F962" s="16" t="str">
        <f aca="false">IF(E962="","N/A",IF(COUNTIF(Payment_Log_AP!$A$2:$A$753,E962)&gt;0,"Yes","No"))</f>
        <v>Yes</v>
      </c>
      <c r="G962" s="16" t="str">
        <f aca="false">IF(E962="","Unexplained Bank Item (fee/other - review)",IF(F962="Yes","Matched","Payment Reference Not Found in AP Log"))</f>
        <v>Matched</v>
      </c>
    </row>
    <row r="963" customFormat="false" ht="15" hidden="false" customHeight="false" outlineLevel="0" collapsed="false">
      <c r="A963" s="16" t="str">
        <f aca="false">Bank_Statement!A203</f>
        <v>BNK50202</v>
      </c>
      <c r="B963" s="17" t="n">
        <f aca="false">Bank_Statement!B203</f>
        <v>45994</v>
      </c>
      <c r="C963" s="18" t="n">
        <f aca="false">Bank_Statement!C203</f>
        <v>-2542.66</v>
      </c>
      <c r="D963" s="16" t="str">
        <f aca="false">Bank_Statement!D203</f>
        <v>PMT-V1033</v>
      </c>
      <c r="E963" s="16" t="str">
        <f aca="false">Bank_Statement!E203</f>
        <v>PAY40202</v>
      </c>
      <c r="F963" s="16" t="str">
        <f aca="false">IF(E963="","N/A",IF(COUNTIF(Payment_Log_AP!$A$2:$A$753,E963)&gt;0,"Yes","No"))</f>
        <v>Yes</v>
      </c>
      <c r="G963" s="16" t="str">
        <f aca="false">IF(E963="","Unexplained Bank Item (fee/other - review)",IF(F963="Yes","Matched","Payment Reference Not Found in AP Log"))</f>
        <v>Matched</v>
      </c>
    </row>
    <row r="964" customFormat="false" ht="15" hidden="false" customHeight="false" outlineLevel="0" collapsed="false">
      <c r="A964" s="16" t="str">
        <f aca="false">Bank_Statement!A204</f>
        <v>BNK50203</v>
      </c>
      <c r="B964" s="17" t="n">
        <f aca="false">Bank_Statement!B204</f>
        <v>45885</v>
      </c>
      <c r="C964" s="18" t="n">
        <f aca="false">Bank_Statement!C204</f>
        <v>-3210.01</v>
      </c>
      <c r="D964" s="16" t="str">
        <f aca="false">Bank_Statement!D204</f>
        <v>PMT-V1007</v>
      </c>
      <c r="E964" s="16" t="str">
        <f aca="false">Bank_Statement!E204</f>
        <v>PAY40203</v>
      </c>
      <c r="F964" s="16" t="str">
        <f aca="false">IF(E964="","N/A",IF(COUNTIF(Payment_Log_AP!$A$2:$A$753,E964)&gt;0,"Yes","No"))</f>
        <v>Yes</v>
      </c>
      <c r="G964" s="16" t="str">
        <f aca="false">IF(E964="","Unexplained Bank Item (fee/other - review)",IF(F964="Yes","Matched","Payment Reference Not Found in AP Log"))</f>
        <v>Matched</v>
      </c>
    </row>
    <row r="965" customFormat="false" ht="15" hidden="false" customHeight="false" outlineLevel="0" collapsed="false">
      <c r="A965" s="16" t="str">
        <f aca="false">Bank_Statement!A205</f>
        <v>BNK50204</v>
      </c>
      <c r="B965" s="17" t="n">
        <f aca="false">Bank_Statement!B205</f>
        <v>46125</v>
      </c>
      <c r="C965" s="18" t="n">
        <f aca="false">Bank_Statement!C205</f>
        <v>-4612.25</v>
      </c>
      <c r="D965" s="16" t="str">
        <f aca="false">Bank_Statement!D205</f>
        <v>PMT-V1005</v>
      </c>
      <c r="E965" s="16" t="str">
        <f aca="false">Bank_Statement!E205</f>
        <v>PAY40204</v>
      </c>
      <c r="F965" s="16" t="str">
        <f aca="false">IF(E965="","N/A",IF(COUNTIF(Payment_Log_AP!$A$2:$A$753,E965)&gt;0,"Yes","No"))</f>
        <v>Yes</v>
      </c>
      <c r="G965" s="16" t="str">
        <f aca="false">IF(E965="","Unexplained Bank Item (fee/other - review)",IF(F965="Yes","Matched","Payment Reference Not Found in AP Log"))</f>
        <v>Matched</v>
      </c>
    </row>
    <row r="966" customFormat="false" ht="15" hidden="false" customHeight="false" outlineLevel="0" collapsed="false">
      <c r="A966" s="16" t="str">
        <f aca="false">Bank_Statement!A206</f>
        <v>BNK50205</v>
      </c>
      <c r="B966" s="17" t="n">
        <f aca="false">Bank_Statement!B206</f>
        <v>45762</v>
      </c>
      <c r="C966" s="18" t="n">
        <f aca="false">Bank_Statement!C206</f>
        <v>-884.17</v>
      </c>
      <c r="D966" s="16" t="str">
        <f aca="false">Bank_Statement!D206</f>
        <v>PMT-V1031</v>
      </c>
      <c r="E966" s="16" t="str">
        <f aca="false">Bank_Statement!E206</f>
        <v>PAY40205</v>
      </c>
      <c r="F966" s="16" t="str">
        <f aca="false">IF(E966="","N/A",IF(COUNTIF(Payment_Log_AP!$A$2:$A$753,E966)&gt;0,"Yes","No"))</f>
        <v>Yes</v>
      </c>
      <c r="G966" s="16" t="str">
        <f aca="false">IF(E966="","Unexplained Bank Item (fee/other - review)",IF(F966="Yes","Matched","Payment Reference Not Found in AP Log"))</f>
        <v>Matched</v>
      </c>
    </row>
    <row r="967" customFormat="false" ht="15" hidden="false" customHeight="false" outlineLevel="0" collapsed="false">
      <c r="A967" s="16" t="str">
        <f aca="false">Bank_Statement!A207</f>
        <v>BNK50206</v>
      </c>
      <c r="B967" s="17" t="n">
        <f aca="false">Bank_Statement!B207</f>
        <v>46044</v>
      </c>
      <c r="C967" s="18" t="n">
        <f aca="false">Bank_Statement!C207</f>
        <v>-1486.84</v>
      </c>
      <c r="D967" s="16" t="str">
        <f aca="false">Bank_Statement!D207</f>
        <v>PMT-V1020</v>
      </c>
      <c r="E967" s="16" t="str">
        <f aca="false">Bank_Statement!E207</f>
        <v>PAY40206</v>
      </c>
      <c r="F967" s="16" t="str">
        <f aca="false">IF(E967="","N/A",IF(COUNTIF(Payment_Log_AP!$A$2:$A$753,E967)&gt;0,"Yes","No"))</f>
        <v>Yes</v>
      </c>
      <c r="G967" s="16" t="str">
        <f aca="false">IF(E967="","Unexplained Bank Item (fee/other - review)",IF(F967="Yes","Matched","Payment Reference Not Found in AP Log"))</f>
        <v>Matched</v>
      </c>
    </row>
    <row r="968" customFormat="false" ht="15" hidden="false" customHeight="false" outlineLevel="0" collapsed="false">
      <c r="A968" s="16" t="str">
        <f aca="false">Bank_Statement!A208</f>
        <v>BNK50207</v>
      </c>
      <c r="B968" s="17" t="n">
        <f aca="false">Bank_Statement!B208</f>
        <v>46013</v>
      </c>
      <c r="C968" s="18" t="n">
        <f aca="false">Bank_Statement!C208</f>
        <v>-1741.37</v>
      </c>
      <c r="D968" s="16" t="str">
        <f aca="false">Bank_Statement!D208</f>
        <v>PMT-V1020</v>
      </c>
      <c r="E968" s="16" t="str">
        <f aca="false">Bank_Statement!E208</f>
        <v>PAY40207</v>
      </c>
      <c r="F968" s="16" t="str">
        <f aca="false">IF(E968="","N/A",IF(COUNTIF(Payment_Log_AP!$A$2:$A$753,E968)&gt;0,"Yes","No"))</f>
        <v>Yes</v>
      </c>
      <c r="G968" s="16" t="str">
        <f aca="false">IF(E968="","Unexplained Bank Item (fee/other - review)",IF(F968="Yes","Matched","Payment Reference Not Found in AP Log"))</f>
        <v>Matched</v>
      </c>
    </row>
    <row r="969" customFormat="false" ht="15" hidden="false" customHeight="false" outlineLevel="0" collapsed="false">
      <c r="A969" s="16" t="str">
        <f aca="false">Bank_Statement!A209</f>
        <v>BNK50208</v>
      </c>
      <c r="B969" s="17" t="n">
        <f aca="false">Bank_Statement!B209</f>
        <v>46135</v>
      </c>
      <c r="C969" s="18" t="n">
        <f aca="false">Bank_Statement!C209</f>
        <v>-201.48</v>
      </c>
      <c r="D969" s="16" t="str">
        <f aca="false">Bank_Statement!D209</f>
        <v>PMT-V1030</v>
      </c>
      <c r="E969" s="16" t="str">
        <f aca="false">Bank_Statement!E209</f>
        <v>PAY40208</v>
      </c>
      <c r="F969" s="16" t="str">
        <f aca="false">IF(E969="","N/A",IF(COUNTIF(Payment_Log_AP!$A$2:$A$753,E969)&gt;0,"Yes","No"))</f>
        <v>Yes</v>
      </c>
      <c r="G969" s="16" t="str">
        <f aca="false">IF(E969="","Unexplained Bank Item (fee/other - review)",IF(F969="Yes","Matched","Payment Reference Not Found in AP Log"))</f>
        <v>Matched</v>
      </c>
    </row>
    <row r="970" customFormat="false" ht="15" hidden="false" customHeight="false" outlineLevel="0" collapsed="false">
      <c r="A970" s="16" t="str">
        <f aca="false">Bank_Statement!A210</f>
        <v>BNK50209</v>
      </c>
      <c r="B970" s="17" t="n">
        <f aca="false">Bank_Statement!B210</f>
        <v>46059</v>
      </c>
      <c r="C970" s="18" t="n">
        <f aca="false">Bank_Statement!C210</f>
        <v>-4326.08</v>
      </c>
      <c r="D970" s="16" t="str">
        <f aca="false">Bank_Statement!D210</f>
        <v>PMT-V1035</v>
      </c>
      <c r="E970" s="16" t="str">
        <f aca="false">Bank_Statement!E210</f>
        <v>PAY40209</v>
      </c>
      <c r="F970" s="16" t="str">
        <f aca="false">IF(E970="","N/A",IF(COUNTIF(Payment_Log_AP!$A$2:$A$753,E970)&gt;0,"Yes","No"))</f>
        <v>Yes</v>
      </c>
      <c r="G970" s="16" t="str">
        <f aca="false">IF(E970="","Unexplained Bank Item (fee/other - review)",IF(F970="Yes","Matched","Payment Reference Not Found in AP Log"))</f>
        <v>Matched</v>
      </c>
    </row>
    <row r="971" customFormat="false" ht="15" hidden="false" customHeight="false" outlineLevel="0" collapsed="false">
      <c r="A971" s="16" t="str">
        <f aca="false">Bank_Statement!A211</f>
        <v>BNK50210</v>
      </c>
      <c r="B971" s="17" t="n">
        <f aca="false">Bank_Statement!B211</f>
        <v>45908</v>
      </c>
      <c r="C971" s="18" t="n">
        <f aca="false">Bank_Statement!C211</f>
        <v>-1933.86</v>
      </c>
      <c r="D971" s="16" t="str">
        <f aca="false">Bank_Statement!D211</f>
        <v>PMT-V1013</v>
      </c>
      <c r="E971" s="16" t="str">
        <f aca="false">Bank_Statement!E211</f>
        <v>PAY40210</v>
      </c>
      <c r="F971" s="16" t="str">
        <f aca="false">IF(E971="","N/A",IF(COUNTIF(Payment_Log_AP!$A$2:$A$753,E971)&gt;0,"Yes","No"))</f>
        <v>Yes</v>
      </c>
      <c r="G971" s="16" t="str">
        <f aca="false">IF(E971="","Unexplained Bank Item (fee/other - review)",IF(F971="Yes","Matched","Payment Reference Not Found in AP Log"))</f>
        <v>Matched</v>
      </c>
    </row>
    <row r="972" customFormat="false" ht="15" hidden="false" customHeight="false" outlineLevel="0" collapsed="false">
      <c r="A972" s="16" t="str">
        <f aca="false">Bank_Statement!A212</f>
        <v>BNK50211</v>
      </c>
      <c r="B972" s="17" t="n">
        <f aca="false">Bank_Statement!B212</f>
        <v>46079</v>
      </c>
      <c r="C972" s="18" t="n">
        <f aca="false">Bank_Statement!C212</f>
        <v>-301.96</v>
      </c>
      <c r="D972" s="16" t="str">
        <f aca="false">Bank_Statement!D212</f>
        <v>PMT-V1005</v>
      </c>
      <c r="E972" s="16" t="str">
        <f aca="false">Bank_Statement!E212</f>
        <v>PAY40211</v>
      </c>
      <c r="F972" s="16" t="str">
        <f aca="false">IF(E972="","N/A",IF(COUNTIF(Payment_Log_AP!$A$2:$A$753,E972)&gt;0,"Yes","No"))</f>
        <v>Yes</v>
      </c>
      <c r="G972" s="16" t="str">
        <f aca="false">IF(E972="","Unexplained Bank Item (fee/other - review)",IF(F972="Yes","Matched","Payment Reference Not Found in AP Log"))</f>
        <v>Matched</v>
      </c>
    </row>
    <row r="973" customFormat="false" ht="15" hidden="false" customHeight="false" outlineLevel="0" collapsed="false">
      <c r="A973" s="16" t="str">
        <f aca="false">Bank_Statement!A213</f>
        <v>BNK50212</v>
      </c>
      <c r="B973" s="17" t="n">
        <f aca="false">Bank_Statement!B213</f>
        <v>45848</v>
      </c>
      <c r="C973" s="18" t="n">
        <f aca="false">Bank_Statement!C213</f>
        <v>-594.08</v>
      </c>
      <c r="D973" s="16" t="str">
        <f aca="false">Bank_Statement!D213</f>
        <v>PMT-V1038</v>
      </c>
      <c r="E973" s="16" t="str">
        <f aca="false">Bank_Statement!E213</f>
        <v>PAY40212</v>
      </c>
      <c r="F973" s="16" t="str">
        <f aca="false">IF(E973="","N/A",IF(COUNTIF(Payment_Log_AP!$A$2:$A$753,E973)&gt;0,"Yes","No"))</f>
        <v>Yes</v>
      </c>
      <c r="G973" s="16" t="str">
        <f aca="false">IF(E973="","Unexplained Bank Item (fee/other - review)",IF(F973="Yes","Matched","Payment Reference Not Found in AP Log"))</f>
        <v>Matched</v>
      </c>
    </row>
    <row r="974" customFormat="false" ht="15" hidden="false" customHeight="false" outlineLevel="0" collapsed="false">
      <c r="A974" s="16" t="str">
        <f aca="false">Bank_Statement!A214</f>
        <v>BNK50213</v>
      </c>
      <c r="B974" s="17" t="n">
        <f aca="false">Bank_Statement!B214</f>
        <v>46120</v>
      </c>
      <c r="C974" s="18" t="n">
        <f aca="false">Bank_Statement!C214</f>
        <v>-4409.64</v>
      </c>
      <c r="D974" s="16" t="str">
        <f aca="false">Bank_Statement!D214</f>
        <v>PMT-V1007</v>
      </c>
      <c r="E974" s="16" t="str">
        <f aca="false">Bank_Statement!E214</f>
        <v>PAY40213</v>
      </c>
      <c r="F974" s="16" t="str">
        <f aca="false">IF(E974="","N/A",IF(COUNTIF(Payment_Log_AP!$A$2:$A$753,E974)&gt;0,"Yes","No"))</f>
        <v>Yes</v>
      </c>
      <c r="G974" s="16" t="str">
        <f aca="false">IF(E974="","Unexplained Bank Item (fee/other - review)",IF(F974="Yes","Matched","Payment Reference Not Found in AP Log"))</f>
        <v>Matched</v>
      </c>
    </row>
    <row r="975" customFormat="false" ht="15" hidden="false" customHeight="false" outlineLevel="0" collapsed="false">
      <c r="A975" s="16" t="str">
        <f aca="false">Bank_Statement!A215</f>
        <v>BNK50214</v>
      </c>
      <c r="B975" s="17" t="n">
        <f aca="false">Bank_Statement!B215</f>
        <v>45990</v>
      </c>
      <c r="C975" s="18" t="n">
        <f aca="false">Bank_Statement!C215</f>
        <v>-1370.36</v>
      </c>
      <c r="D975" s="16" t="str">
        <f aca="false">Bank_Statement!D215</f>
        <v>PMT-V1020</v>
      </c>
      <c r="E975" s="16" t="str">
        <f aca="false">Bank_Statement!E215</f>
        <v>PAY40214</v>
      </c>
      <c r="F975" s="16" t="str">
        <f aca="false">IF(E975="","N/A",IF(COUNTIF(Payment_Log_AP!$A$2:$A$753,E975)&gt;0,"Yes","No"))</f>
        <v>Yes</v>
      </c>
      <c r="G975" s="16" t="str">
        <f aca="false">IF(E975="","Unexplained Bank Item (fee/other - review)",IF(F975="Yes","Matched","Payment Reference Not Found in AP Log"))</f>
        <v>Matched</v>
      </c>
    </row>
    <row r="976" customFormat="false" ht="15" hidden="false" customHeight="false" outlineLevel="0" collapsed="false">
      <c r="A976" s="16" t="str">
        <f aca="false">Bank_Statement!A216</f>
        <v>BNK50215</v>
      </c>
      <c r="B976" s="17" t="n">
        <f aca="false">Bank_Statement!B216</f>
        <v>45934</v>
      </c>
      <c r="C976" s="18" t="n">
        <f aca="false">Bank_Statement!C216</f>
        <v>-480.9</v>
      </c>
      <c r="D976" s="16" t="str">
        <f aca="false">Bank_Statement!D216</f>
        <v>PMT-V1031</v>
      </c>
      <c r="E976" s="16" t="str">
        <f aca="false">Bank_Statement!E216</f>
        <v>PAY40215</v>
      </c>
      <c r="F976" s="16" t="str">
        <f aca="false">IF(E976="","N/A",IF(COUNTIF(Payment_Log_AP!$A$2:$A$753,E976)&gt;0,"Yes","No"))</f>
        <v>Yes</v>
      </c>
      <c r="G976" s="16" t="str">
        <f aca="false">IF(E976="","Unexplained Bank Item (fee/other - review)",IF(F976="Yes","Matched","Payment Reference Not Found in AP Log"))</f>
        <v>Matched</v>
      </c>
    </row>
    <row r="977" customFormat="false" ht="15" hidden="false" customHeight="false" outlineLevel="0" collapsed="false">
      <c r="A977" s="16" t="str">
        <f aca="false">Bank_Statement!A217</f>
        <v>BNK50216</v>
      </c>
      <c r="B977" s="17" t="n">
        <f aca="false">Bank_Statement!B217</f>
        <v>45933</v>
      </c>
      <c r="C977" s="18" t="n">
        <f aca="false">Bank_Statement!C217</f>
        <v>-728.26</v>
      </c>
      <c r="D977" s="16" t="str">
        <f aca="false">Bank_Statement!D217</f>
        <v>PMT-V1024</v>
      </c>
      <c r="E977" s="16" t="str">
        <f aca="false">Bank_Statement!E217</f>
        <v>PAY40216</v>
      </c>
      <c r="F977" s="16" t="str">
        <f aca="false">IF(E977="","N/A",IF(COUNTIF(Payment_Log_AP!$A$2:$A$753,E977)&gt;0,"Yes","No"))</f>
        <v>Yes</v>
      </c>
      <c r="G977" s="16" t="str">
        <f aca="false">IF(E977="","Unexplained Bank Item (fee/other - review)",IF(F977="Yes","Matched","Payment Reference Not Found in AP Log"))</f>
        <v>Matched</v>
      </c>
    </row>
    <row r="978" customFormat="false" ht="15" hidden="false" customHeight="false" outlineLevel="0" collapsed="false">
      <c r="A978" s="16" t="str">
        <f aca="false">Bank_Statement!A218</f>
        <v>BNK50217</v>
      </c>
      <c r="B978" s="17" t="n">
        <f aca="false">Bank_Statement!B218</f>
        <v>46097</v>
      </c>
      <c r="C978" s="18" t="n">
        <f aca="false">Bank_Statement!C218</f>
        <v>-4217.99</v>
      </c>
      <c r="D978" s="16" t="str">
        <f aca="false">Bank_Statement!D218</f>
        <v>PMT-V1035</v>
      </c>
      <c r="E978" s="16" t="str">
        <f aca="false">Bank_Statement!E218</f>
        <v>PAY40217</v>
      </c>
      <c r="F978" s="16" t="str">
        <f aca="false">IF(E978="","N/A",IF(COUNTIF(Payment_Log_AP!$A$2:$A$753,E978)&gt;0,"Yes","No"))</f>
        <v>Yes</v>
      </c>
      <c r="G978" s="16" t="str">
        <f aca="false">IF(E978="","Unexplained Bank Item (fee/other - review)",IF(F978="Yes","Matched","Payment Reference Not Found in AP Log"))</f>
        <v>Matched</v>
      </c>
    </row>
    <row r="979" customFormat="false" ht="15" hidden="false" customHeight="false" outlineLevel="0" collapsed="false">
      <c r="A979" s="16" t="str">
        <f aca="false">Bank_Statement!A219</f>
        <v>BNK50218</v>
      </c>
      <c r="B979" s="17" t="n">
        <f aca="false">Bank_Statement!B219</f>
        <v>46162</v>
      </c>
      <c r="C979" s="18" t="n">
        <f aca="false">Bank_Statement!C219</f>
        <v>-2055.39</v>
      </c>
      <c r="D979" s="16" t="str">
        <f aca="false">Bank_Statement!D219</f>
        <v>PMT-V1007</v>
      </c>
      <c r="E979" s="16" t="str">
        <f aca="false">Bank_Statement!E219</f>
        <v>PAY40218</v>
      </c>
      <c r="F979" s="16" t="str">
        <f aca="false">IF(E979="","N/A",IF(COUNTIF(Payment_Log_AP!$A$2:$A$753,E979)&gt;0,"Yes","No"))</f>
        <v>Yes</v>
      </c>
      <c r="G979" s="16" t="str">
        <f aca="false">IF(E979="","Unexplained Bank Item (fee/other - review)",IF(F979="Yes","Matched","Payment Reference Not Found in AP Log"))</f>
        <v>Matched</v>
      </c>
    </row>
    <row r="980" customFormat="false" ht="15" hidden="false" customHeight="false" outlineLevel="0" collapsed="false">
      <c r="A980" s="16" t="str">
        <f aca="false">Bank_Statement!A220</f>
        <v>BNK50219</v>
      </c>
      <c r="B980" s="17" t="n">
        <f aca="false">Bank_Statement!B220</f>
        <v>46138</v>
      </c>
      <c r="C980" s="18" t="n">
        <f aca="false">Bank_Statement!C220</f>
        <v>-207.67</v>
      </c>
      <c r="D980" s="16" t="str">
        <f aca="false">Bank_Statement!D220</f>
        <v>PMT-V1019</v>
      </c>
      <c r="E980" s="16" t="str">
        <f aca="false">Bank_Statement!E220</f>
        <v>PAY40219</v>
      </c>
      <c r="F980" s="16" t="str">
        <f aca="false">IF(E980="","N/A",IF(COUNTIF(Payment_Log_AP!$A$2:$A$753,E980)&gt;0,"Yes","No"))</f>
        <v>Yes</v>
      </c>
      <c r="G980" s="16" t="str">
        <f aca="false">IF(E980="","Unexplained Bank Item (fee/other - review)",IF(F980="Yes","Matched","Payment Reference Not Found in AP Log"))</f>
        <v>Matched</v>
      </c>
    </row>
    <row r="981" customFormat="false" ht="15" hidden="false" customHeight="false" outlineLevel="0" collapsed="false">
      <c r="A981" s="16" t="str">
        <f aca="false">Bank_Statement!A221</f>
        <v>BNK50220</v>
      </c>
      <c r="B981" s="17" t="n">
        <f aca="false">Bank_Statement!B221</f>
        <v>45765</v>
      </c>
      <c r="C981" s="18" t="n">
        <f aca="false">Bank_Statement!C221</f>
        <v>-1766.28</v>
      </c>
      <c r="D981" s="16" t="str">
        <f aca="false">Bank_Statement!D221</f>
        <v>PMT-V1023</v>
      </c>
      <c r="E981" s="16" t="str">
        <f aca="false">Bank_Statement!E221</f>
        <v>PAY40220</v>
      </c>
      <c r="F981" s="16" t="str">
        <f aca="false">IF(E981="","N/A",IF(COUNTIF(Payment_Log_AP!$A$2:$A$753,E981)&gt;0,"Yes","No"))</f>
        <v>Yes</v>
      </c>
      <c r="G981" s="16" t="str">
        <f aca="false">IF(E981="","Unexplained Bank Item (fee/other - review)",IF(F981="Yes","Matched","Payment Reference Not Found in AP Log"))</f>
        <v>Matched</v>
      </c>
    </row>
    <row r="982" customFormat="false" ht="15" hidden="false" customHeight="false" outlineLevel="0" collapsed="false">
      <c r="A982" s="16" t="str">
        <f aca="false">Bank_Statement!A222</f>
        <v>BNK50221</v>
      </c>
      <c r="B982" s="17" t="n">
        <f aca="false">Bank_Statement!B222</f>
        <v>46190</v>
      </c>
      <c r="C982" s="18" t="n">
        <f aca="false">Bank_Statement!C222</f>
        <v>-1408.36</v>
      </c>
      <c r="D982" s="16" t="str">
        <f aca="false">Bank_Statement!D222</f>
        <v>PMT-V1036</v>
      </c>
      <c r="E982" s="16" t="str">
        <f aca="false">Bank_Statement!E222</f>
        <v>PAY40221</v>
      </c>
      <c r="F982" s="16" t="str">
        <f aca="false">IF(E982="","N/A",IF(COUNTIF(Payment_Log_AP!$A$2:$A$753,E982)&gt;0,"Yes","No"))</f>
        <v>Yes</v>
      </c>
      <c r="G982" s="16" t="str">
        <f aca="false">IF(E982="","Unexplained Bank Item (fee/other - review)",IF(F982="Yes","Matched","Payment Reference Not Found in AP Log"))</f>
        <v>Matched</v>
      </c>
    </row>
    <row r="983" customFormat="false" ht="15" hidden="false" customHeight="false" outlineLevel="0" collapsed="false">
      <c r="A983" s="16" t="str">
        <f aca="false">Bank_Statement!A223</f>
        <v>BNK50222</v>
      </c>
      <c r="B983" s="17" t="n">
        <f aca="false">Bank_Statement!B223</f>
        <v>45816</v>
      </c>
      <c r="C983" s="18" t="n">
        <f aca="false">Bank_Statement!C223</f>
        <v>-1546.99</v>
      </c>
      <c r="D983" s="16" t="str">
        <f aca="false">Bank_Statement!D223</f>
        <v>PMT-V1030</v>
      </c>
      <c r="E983" s="16" t="str">
        <f aca="false">Bank_Statement!E223</f>
        <v>PAY40222</v>
      </c>
      <c r="F983" s="16" t="str">
        <f aca="false">IF(E983="","N/A",IF(COUNTIF(Payment_Log_AP!$A$2:$A$753,E983)&gt;0,"Yes","No"))</f>
        <v>Yes</v>
      </c>
      <c r="G983" s="16" t="str">
        <f aca="false">IF(E983="","Unexplained Bank Item (fee/other - review)",IF(F983="Yes","Matched","Payment Reference Not Found in AP Log"))</f>
        <v>Matched</v>
      </c>
    </row>
    <row r="984" customFormat="false" ht="15" hidden="false" customHeight="false" outlineLevel="0" collapsed="false">
      <c r="A984" s="16" t="str">
        <f aca="false">Bank_Statement!A224</f>
        <v>BNK50223</v>
      </c>
      <c r="B984" s="17" t="n">
        <f aca="false">Bank_Statement!B224</f>
        <v>45825</v>
      </c>
      <c r="C984" s="18" t="n">
        <f aca="false">Bank_Statement!C224</f>
        <v>-1546.99</v>
      </c>
      <c r="D984" s="16" t="str">
        <f aca="false">Bank_Statement!D224</f>
        <v>PMT-V1030</v>
      </c>
      <c r="E984" s="16" t="str">
        <f aca="false">Bank_Statement!E224</f>
        <v>PAY40223</v>
      </c>
      <c r="F984" s="16" t="str">
        <f aca="false">IF(E984="","N/A",IF(COUNTIF(Payment_Log_AP!$A$2:$A$753,E984)&gt;0,"Yes","No"))</f>
        <v>Yes</v>
      </c>
      <c r="G984" s="16" t="str">
        <f aca="false">IF(E984="","Unexplained Bank Item (fee/other - review)",IF(F984="Yes","Matched","Payment Reference Not Found in AP Log"))</f>
        <v>Matched</v>
      </c>
    </row>
    <row r="985" customFormat="false" ht="15" hidden="false" customHeight="false" outlineLevel="0" collapsed="false">
      <c r="A985" s="16" t="str">
        <f aca="false">Bank_Statement!A225</f>
        <v>BNK50224</v>
      </c>
      <c r="B985" s="17" t="n">
        <f aca="false">Bank_Statement!B225</f>
        <v>45954</v>
      </c>
      <c r="C985" s="18" t="n">
        <f aca="false">Bank_Statement!C225</f>
        <v>-5615.74</v>
      </c>
      <c r="D985" s="16" t="str">
        <f aca="false">Bank_Statement!D225</f>
        <v>PMT-V1040</v>
      </c>
      <c r="E985" s="16" t="str">
        <f aca="false">Bank_Statement!E225</f>
        <v>PAY40224</v>
      </c>
      <c r="F985" s="16" t="str">
        <f aca="false">IF(E985="","N/A",IF(COUNTIF(Payment_Log_AP!$A$2:$A$753,E985)&gt;0,"Yes","No"))</f>
        <v>Yes</v>
      </c>
      <c r="G985" s="16" t="str">
        <f aca="false">IF(E985="","Unexplained Bank Item (fee/other - review)",IF(F985="Yes","Matched","Payment Reference Not Found in AP Log"))</f>
        <v>Matched</v>
      </c>
    </row>
    <row r="986" customFormat="false" ht="15" hidden="false" customHeight="false" outlineLevel="0" collapsed="false">
      <c r="A986" s="16" t="str">
        <f aca="false">Bank_Statement!A226</f>
        <v>BNK50225</v>
      </c>
      <c r="B986" s="17" t="n">
        <f aca="false">Bank_Statement!B226</f>
        <v>46045</v>
      </c>
      <c r="C986" s="18" t="n">
        <f aca="false">Bank_Statement!C226</f>
        <v>-3821.71</v>
      </c>
      <c r="D986" s="16" t="str">
        <f aca="false">Bank_Statement!D226</f>
        <v>PMT-V1034</v>
      </c>
      <c r="E986" s="16" t="str">
        <f aca="false">Bank_Statement!E226</f>
        <v>PAY40225</v>
      </c>
      <c r="F986" s="16" t="str">
        <f aca="false">IF(E986="","N/A",IF(COUNTIF(Payment_Log_AP!$A$2:$A$753,E986)&gt;0,"Yes","No"))</f>
        <v>Yes</v>
      </c>
      <c r="G986" s="16" t="str">
        <f aca="false">IF(E986="","Unexplained Bank Item (fee/other - review)",IF(F986="Yes","Matched","Payment Reference Not Found in AP Log"))</f>
        <v>Matched</v>
      </c>
    </row>
    <row r="987" customFormat="false" ht="15" hidden="false" customHeight="false" outlineLevel="0" collapsed="false">
      <c r="A987" s="16" t="str">
        <f aca="false">Bank_Statement!A227</f>
        <v>BNK50226</v>
      </c>
      <c r="B987" s="17" t="n">
        <f aca="false">Bank_Statement!B227</f>
        <v>45881</v>
      </c>
      <c r="C987" s="18" t="n">
        <f aca="false">Bank_Statement!C227</f>
        <v>-943.22</v>
      </c>
      <c r="D987" s="16" t="str">
        <f aca="false">Bank_Statement!D227</f>
        <v>PMT-V1008</v>
      </c>
      <c r="E987" s="16" t="str">
        <f aca="false">Bank_Statement!E227</f>
        <v>PAY40226</v>
      </c>
      <c r="F987" s="16" t="str">
        <f aca="false">IF(E987="","N/A",IF(COUNTIF(Payment_Log_AP!$A$2:$A$753,E987)&gt;0,"Yes","No"))</f>
        <v>Yes</v>
      </c>
      <c r="G987" s="16" t="str">
        <f aca="false">IF(E987="","Unexplained Bank Item (fee/other - review)",IF(F987="Yes","Matched","Payment Reference Not Found in AP Log"))</f>
        <v>Matched</v>
      </c>
    </row>
    <row r="988" customFormat="false" ht="15" hidden="false" customHeight="false" outlineLevel="0" collapsed="false">
      <c r="A988" s="16" t="str">
        <f aca="false">Bank_Statement!A228</f>
        <v>BNK50227</v>
      </c>
      <c r="B988" s="17" t="n">
        <f aca="false">Bank_Statement!B228</f>
        <v>45695</v>
      </c>
      <c r="C988" s="18" t="n">
        <f aca="false">Bank_Statement!C228</f>
        <v>-618.31</v>
      </c>
      <c r="D988" s="16" t="str">
        <f aca="false">Bank_Statement!D228</f>
        <v>PMT-V1031</v>
      </c>
      <c r="E988" s="16" t="str">
        <f aca="false">Bank_Statement!E228</f>
        <v>PAY40227</v>
      </c>
      <c r="F988" s="16" t="str">
        <f aca="false">IF(E988="","N/A",IF(COUNTIF(Payment_Log_AP!$A$2:$A$753,E988)&gt;0,"Yes","No"))</f>
        <v>Yes</v>
      </c>
      <c r="G988" s="16" t="str">
        <f aca="false">IF(E988="","Unexplained Bank Item (fee/other - review)",IF(F988="Yes","Matched","Payment Reference Not Found in AP Log"))</f>
        <v>Matched</v>
      </c>
    </row>
    <row r="989" customFormat="false" ht="15" hidden="false" customHeight="false" outlineLevel="0" collapsed="false">
      <c r="A989" s="16" t="str">
        <f aca="false">Bank_Statement!A229</f>
        <v>BNK50228</v>
      </c>
      <c r="B989" s="17" t="n">
        <f aca="false">Bank_Statement!B229</f>
        <v>46179</v>
      </c>
      <c r="C989" s="18" t="n">
        <f aca="false">Bank_Statement!C229</f>
        <v>-17214.28</v>
      </c>
      <c r="D989" s="16" t="str">
        <f aca="false">Bank_Statement!D229</f>
        <v>PMT-V1038</v>
      </c>
      <c r="E989" s="16" t="str">
        <f aca="false">Bank_Statement!E229</f>
        <v>PAY40228</v>
      </c>
      <c r="F989" s="16" t="str">
        <f aca="false">IF(E989="","N/A",IF(COUNTIF(Payment_Log_AP!$A$2:$A$753,E989)&gt;0,"Yes","No"))</f>
        <v>Yes</v>
      </c>
      <c r="G989" s="16" t="str">
        <f aca="false">IF(E989="","Unexplained Bank Item (fee/other - review)",IF(F989="Yes","Matched","Payment Reference Not Found in AP Log"))</f>
        <v>Matched</v>
      </c>
    </row>
    <row r="990" customFormat="false" ht="15" hidden="false" customHeight="false" outlineLevel="0" collapsed="false">
      <c r="A990" s="16" t="str">
        <f aca="false">Bank_Statement!A230</f>
        <v>BNK50229</v>
      </c>
      <c r="B990" s="17" t="n">
        <f aca="false">Bank_Statement!B230</f>
        <v>45829</v>
      </c>
      <c r="C990" s="18" t="n">
        <f aca="false">Bank_Statement!C230</f>
        <v>-1164.57</v>
      </c>
      <c r="D990" s="16" t="str">
        <f aca="false">Bank_Statement!D230</f>
        <v>PMT-V1020</v>
      </c>
      <c r="E990" s="16" t="str">
        <f aca="false">Bank_Statement!E230</f>
        <v>PAY40229</v>
      </c>
      <c r="F990" s="16" t="str">
        <f aca="false">IF(E990="","N/A",IF(COUNTIF(Payment_Log_AP!$A$2:$A$753,E990)&gt;0,"Yes","No"))</f>
        <v>Yes</v>
      </c>
      <c r="G990" s="16" t="str">
        <f aca="false">IF(E990="","Unexplained Bank Item (fee/other - review)",IF(F990="Yes","Matched","Payment Reference Not Found in AP Log"))</f>
        <v>Matched</v>
      </c>
    </row>
    <row r="991" customFormat="false" ht="15" hidden="false" customHeight="false" outlineLevel="0" collapsed="false">
      <c r="A991" s="16" t="str">
        <f aca="false">Bank_Statement!A231</f>
        <v>BNK50230</v>
      </c>
      <c r="B991" s="17" t="n">
        <f aca="false">Bank_Statement!B231</f>
        <v>45877</v>
      </c>
      <c r="C991" s="18" t="n">
        <f aca="false">Bank_Statement!C231</f>
        <v>-1150.99</v>
      </c>
      <c r="D991" s="16" t="str">
        <f aca="false">Bank_Statement!D231</f>
        <v>PMT-V1030</v>
      </c>
      <c r="E991" s="16" t="str">
        <f aca="false">Bank_Statement!E231</f>
        <v>PAY40230</v>
      </c>
      <c r="F991" s="16" t="str">
        <f aca="false">IF(E991="","N/A",IF(COUNTIF(Payment_Log_AP!$A$2:$A$753,E991)&gt;0,"Yes","No"))</f>
        <v>Yes</v>
      </c>
      <c r="G991" s="16" t="str">
        <f aca="false">IF(E991="","Unexplained Bank Item (fee/other - review)",IF(F991="Yes","Matched","Payment Reference Not Found in AP Log"))</f>
        <v>Matched</v>
      </c>
    </row>
    <row r="992" customFormat="false" ht="15" hidden="false" customHeight="false" outlineLevel="0" collapsed="false">
      <c r="A992" s="16" t="str">
        <f aca="false">Bank_Statement!A232</f>
        <v>BNK50231</v>
      </c>
      <c r="B992" s="17" t="n">
        <f aca="false">Bank_Statement!B232</f>
        <v>45865</v>
      </c>
      <c r="C992" s="18" t="n">
        <f aca="false">Bank_Statement!C232</f>
        <v>-1219.73</v>
      </c>
      <c r="D992" s="16" t="str">
        <f aca="false">Bank_Statement!D232</f>
        <v>PMT-V1030</v>
      </c>
      <c r="E992" s="16" t="str">
        <f aca="false">Bank_Statement!E232</f>
        <v>PAY40231</v>
      </c>
      <c r="F992" s="16" t="str">
        <f aca="false">IF(E992="","N/A",IF(COUNTIF(Payment_Log_AP!$A$2:$A$753,E992)&gt;0,"Yes","No"))</f>
        <v>Yes</v>
      </c>
      <c r="G992" s="16" t="str">
        <f aca="false">IF(E992="","Unexplained Bank Item (fee/other - review)",IF(F992="Yes","Matched","Payment Reference Not Found in AP Log"))</f>
        <v>Matched</v>
      </c>
    </row>
    <row r="993" customFormat="false" ht="15" hidden="false" customHeight="false" outlineLevel="0" collapsed="false">
      <c r="A993" s="16" t="str">
        <f aca="false">Bank_Statement!A233</f>
        <v>BNK50232</v>
      </c>
      <c r="B993" s="17" t="n">
        <f aca="false">Bank_Statement!B233</f>
        <v>45866</v>
      </c>
      <c r="C993" s="18" t="n">
        <f aca="false">Bank_Statement!C233</f>
        <v>-1219.73</v>
      </c>
      <c r="D993" s="16" t="str">
        <f aca="false">Bank_Statement!D233</f>
        <v>PMT-V1030</v>
      </c>
      <c r="E993" s="16" t="str">
        <f aca="false">Bank_Statement!E233</f>
        <v>PAY40232</v>
      </c>
      <c r="F993" s="16" t="str">
        <f aca="false">IF(E993="","N/A",IF(COUNTIF(Payment_Log_AP!$A$2:$A$753,E993)&gt;0,"Yes","No"))</f>
        <v>Yes</v>
      </c>
      <c r="G993" s="16" t="str">
        <f aca="false">IF(E993="","Unexplained Bank Item (fee/other - review)",IF(F993="Yes","Matched","Payment Reference Not Found in AP Log"))</f>
        <v>Matched</v>
      </c>
    </row>
    <row r="994" customFormat="false" ht="15" hidden="false" customHeight="false" outlineLevel="0" collapsed="false">
      <c r="A994" s="16" t="str">
        <f aca="false">Bank_Statement!A234</f>
        <v>BNK50233</v>
      </c>
      <c r="B994" s="17" t="n">
        <f aca="false">Bank_Statement!B234</f>
        <v>46173</v>
      </c>
      <c r="C994" s="18" t="n">
        <f aca="false">Bank_Statement!C234</f>
        <v>-2121.27</v>
      </c>
      <c r="D994" s="16" t="str">
        <f aca="false">Bank_Statement!D234</f>
        <v>PMT-V1007</v>
      </c>
      <c r="E994" s="16" t="str">
        <f aca="false">Bank_Statement!E234</f>
        <v>PAY40233</v>
      </c>
      <c r="F994" s="16" t="str">
        <f aca="false">IF(E994="","N/A",IF(COUNTIF(Payment_Log_AP!$A$2:$A$753,E994)&gt;0,"Yes","No"))</f>
        <v>Yes</v>
      </c>
      <c r="G994" s="16" t="str">
        <f aca="false">IF(E994="","Unexplained Bank Item (fee/other - review)",IF(F994="Yes","Matched","Payment Reference Not Found in AP Log"))</f>
        <v>Matched</v>
      </c>
    </row>
    <row r="995" customFormat="false" ht="15" hidden="false" customHeight="false" outlineLevel="0" collapsed="false">
      <c r="A995" s="16" t="str">
        <f aca="false">Bank_Statement!A235</f>
        <v>BNK50234</v>
      </c>
      <c r="B995" s="17" t="n">
        <f aca="false">Bank_Statement!B235</f>
        <v>46058</v>
      </c>
      <c r="C995" s="18" t="n">
        <f aca="false">Bank_Statement!C235</f>
        <v>-782.81</v>
      </c>
      <c r="D995" s="16" t="str">
        <f aca="false">Bank_Statement!D235</f>
        <v>PMT-V1008</v>
      </c>
      <c r="E995" s="16" t="str">
        <f aca="false">Bank_Statement!E235</f>
        <v>PAY40234</v>
      </c>
      <c r="F995" s="16" t="str">
        <f aca="false">IF(E995="","N/A",IF(COUNTIF(Payment_Log_AP!$A$2:$A$753,E995)&gt;0,"Yes","No"))</f>
        <v>Yes</v>
      </c>
      <c r="G995" s="16" t="str">
        <f aca="false">IF(E995="","Unexplained Bank Item (fee/other - review)",IF(F995="Yes","Matched","Payment Reference Not Found in AP Log"))</f>
        <v>Matched</v>
      </c>
    </row>
    <row r="996" customFormat="false" ht="15" hidden="false" customHeight="false" outlineLevel="0" collapsed="false">
      <c r="A996" s="16" t="str">
        <f aca="false">Bank_Statement!A236</f>
        <v>BNK50235</v>
      </c>
      <c r="B996" s="17" t="n">
        <f aca="false">Bank_Statement!B236</f>
        <v>45850</v>
      </c>
      <c r="C996" s="18" t="n">
        <f aca="false">Bank_Statement!C236</f>
        <v>-231.64</v>
      </c>
      <c r="D996" s="16" t="str">
        <f aca="false">Bank_Statement!D236</f>
        <v>PMT-V1007</v>
      </c>
      <c r="E996" s="16" t="str">
        <f aca="false">Bank_Statement!E236</f>
        <v>PAY40235</v>
      </c>
      <c r="F996" s="16" t="str">
        <f aca="false">IF(E996="","N/A",IF(COUNTIF(Payment_Log_AP!$A$2:$A$753,E996)&gt;0,"Yes","No"))</f>
        <v>Yes</v>
      </c>
      <c r="G996" s="16" t="str">
        <f aca="false">IF(E996="","Unexplained Bank Item (fee/other - review)",IF(F996="Yes","Matched","Payment Reference Not Found in AP Log"))</f>
        <v>Matched</v>
      </c>
    </row>
    <row r="997" customFormat="false" ht="15" hidden="false" customHeight="false" outlineLevel="0" collapsed="false">
      <c r="A997" s="16" t="str">
        <f aca="false">Bank_Statement!A237</f>
        <v>BNK50236</v>
      </c>
      <c r="B997" s="17" t="n">
        <f aca="false">Bank_Statement!B237</f>
        <v>45709</v>
      </c>
      <c r="C997" s="18" t="n">
        <f aca="false">Bank_Statement!C237</f>
        <v>-585.14</v>
      </c>
      <c r="D997" s="16" t="str">
        <f aca="false">Bank_Statement!D237</f>
        <v>PMT-V1021</v>
      </c>
      <c r="E997" s="16" t="str">
        <f aca="false">Bank_Statement!E237</f>
        <v>PAY40236</v>
      </c>
      <c r="F997" s="16" t="str">
        <f aca="false">IF(E997="","N/A",IF(COUNTIF(Payment_Log_AP!$A$2:$A$753,E997)&gt;0,"Yes","No"))</f>
        <v>Yes</v>
      </c>
      <c r="G997" s="16" t="str">
        <f aca="false">IF(E997="","Unexplained Bank Item (fee/other - review)",IF(F997="Yes","Matched","Payment Reference Not Found in AP Log"))</f>
        <v>Matched</v>
      </c>
    </row>
    <row r="998" customFormat="false" ht="15" hidden="false" customHeight="false" outlineLevel="0" collapsed="false">
      <c r="A998" s="16" t="str">
        <f aca="false">Bank_Statement!A238</f>
        <v>BNK50237</v>
      </c>
      <c r="B998" s="17" t="n">
        <f aca="false">Bank_Statement!B238</f>
        <v>46181</v>
      </c>
      <c r="C998" s="18" t="n">
        <f aca="false">Bank_Statement!C238</f>
        <v>-2715.46</v>
      </c>
      <c r="D998" s="16" t="str">
        <f aca="false">Bank_Statement!D238</f>
        <v>PMT-V1022</v>
      </c>
      <c r="E998" s="16" t="str">
        <f aca="false">Bank_Statement!E238</f>
        <v>PAY40237</v>
      </c>
      <c r="F998" s="16" t="str">
        <f aca="false">IF(E998="","N/A",IF(COUNTIF(Payment_Log_AP!$A$2:$A$753,E998)&gt;0,"Yes","No"))</f>
        <v>Yes</v>
      </c>
      <c r="G998" s="16" t="str">
        <f aca="false">IF(E998="","Unexplained Bank Item (fee/other - review)",IF(F998="Yes","Matched","Payment Reference Not Found in AP Log"))</f>
        <v>Matched</v>
      </c>
    </row>
    <row r="999" customFormat="false" ht="15" hidden="false" customHeight="false" outlineLevel="0" collapsed="false">
      <c r="A999" s="16" t="str">
        <f aca="false">Bank_Statement!A239</f>
        <v>BNK50238</v>
      </c>
      <c r="B999" s="17" t="n">
        <f aca="false">Bank_Statement!B239</f>
        <v>46074</v>
      </c>
      <c r="C999" s="18" t="n">
        <f aca="false">Bank_Statement!C239</f>
        <v>-5917.43</v>
      </c>
      <c r="D999" s="16" t="str">
        <f aca="false">Bank_Statement!D239</f>
        <v>PMT-V1022</v>
      </c>
      <c r="E999" s="16" t="str">
        <f aca="false">Bank_Statement!E239</f>
        <v>PAY40238</v>
      </c>
      <c r="F999" s="16" t="str">
        <f aca="false">IF(E999="","N/A",IF(COUNTIF(Payment_Log_AP!$A$2:$A$753,E999)&gt;0,"Yes","No"))</f>
        <v>Yes</v>
      </c>
      <c r="G999" s="16" t="str">
        <f aca="false">IF(E999="","Unexplained Bank Item (fee/other - review)",IF(F999="Yes","Matched","Payment Reference Not Found in AP Log"))</f>
        <v>Matched</v>
      </c>
    </row>
    <row r="1000" customFormat="false" ht="15" hidden="false" customHeight="false" outlineLevel="0" collapsed="false">
      <c r="A1000" s="16" t="str">
        <f aca="false">Bank_Statement!A240</f>
        <v>BNK50239</v>
      </c>
      <c r="B1000" s="17" t="n">
        <f aca="false">Bank_Statement!B240</f>
        <v>45968</v>
      </c>
      <c r="C1000" s="18" t="n">
        <f aca="false">Bank_Statement!C240</f>
        <v>-866.85</v>
      </c>
      <c r="D1000" s="16" t="str">
        <f aca="false">Bank_Statement!D240</f>
        <v>PMT-V1003</v>
      </c>
      <c r="E1000" s="16" t="str">
        <f aca="false">Bank_Statement!E240</f>
        <v>PAY40239</v>
      </c>
      <c r="F1000" s="16" t="str">
        <f aca="false">IF(E1000="","N/A",IF(COUNTIF(Payment_Log_AP!$A$2:$A$753,E1000)&gt;0,"Yes","No"))</f>
        <v>Yes</v>
      </c>
      <c r="G1000" s="16" t="str">
        <f aca="false">IF(E1000="","Unexplained Bank Item (fee/other - review)",IF(F1000="Yes","Matched","Payment Reference Not Found in AP Log"))</f>
        <v>Matched</v>
      </c>
    </row>
    <row r="1001" customFormat="false" ht="15" hidden="false" customHeight="false" outlineLevel="0" collapsed="false">
      <c r="A1001" s="16" t="str">
        <f aca="false">Bank_Statement!A241</f>
        <v>BNK50240</v>
      </c>
      <c r="B1001" s="17" t="n">
        <f aca="false">Bank_Statement!B241</f>
        <v>46118</v>
      </c>
      <c r="C1001" s="18" t="n">
        <f aca="false">Bank_Statement!C241</f>
        <v>-5943.52</v>
      </c>
      <c r="D1001" s="16" t="str">
        <f aca="false">Bank_Statement!D241</f>
        <v>PMT-V1017</v>
      </c>
      <c r="E1001" s="16" t="str">
        <f aca="false">Bank_Statement!E241</f>
        <v>PAY40240</v>
      </c>
      <c r="F1001" s="16" t="str">
        <f aca="false">IF(E1001="","N/A",IF(COUNTIF(Payment_Log_AP!$A$2:$A$753,E1001)&gt;0,"Yes","No"))</f>
        <v>Yes</v>
      </c>
      <c r="G1001" s="16" t="str">
        <f aca="false">IF(E1001="","Unexplained Bank Item (fee/other - review)",IF(F1001="Yes","Matched","Payment Reference Not Found in AP Log"))</f>
        <v>Matched</v>
      </c>
    </row>
    <row r="1002" customFormat="false" ht="15" hidden="false" customHeight="false" outlineLevel="0" collapsed="false">
      <c r="A1002" s="16" t="str">
        <f aca="false">Bank_Statement!A242</f>
        <v>BNK50241</v>
      </c>
      <c r="B1002" s="17" t="n">
        <f aca="false">Bank_Statement!B242</f>
        <v>46078</v>
      </c>
      <c r="C1002" s="18" t="n">
        <f aca="false">Bank_Statement!C242</f>
        <v>-2495.51</v>
      </c>
      <c r="D1002" s="16" t="str">
        <f aca="false">Bank_Statement!D242</f>
        <v>PMT-V1016</v>
      </c>
      <c r="E1002" s="16" t="str">
        <f aca="false">Bank_Statement!E242</f>
        <v>PAY40241</v>
      </c>
      <c r="F1002" s="16" t="str">
        <f aca="false">IF(E1002="","N/A",IF(COUNTIF(Payment_Log_AP!$A$2:$A$753,E1002)&gt;0,"Yes","No"))</f>
        <v>Yes</v>
      </c>
      <c r="G1002" s="16" t="str">
        <f aca="false">IF(E1002="","Unexplained Bank Item (fee/other - review)",IF(F1002="Yes","Matched","Payment Reference Not Found in AP Log"))</f>
        <v>Matched</v>
      </c>
    </row>
    <row r="1003" customFormat="false" ht="15" hidden="false" customHeight="false" outlineLevel="0" collapsed="false">
      <c r="A1003" s="16" t="str">
        <f aca="false">Bank_Statement!A243</f>
        <v>BNK50242</v>
      </c>
      <c r="B1003" s="17" t="n">
        <f aca="false">Bank_Statement!B243</f>
        <v>45945</v>
      </c>
      <c r="C1003" s="18" t="n">
        <f aca="false">Bank_Statement!C243</f>
        <v>-1274.7</v>
      </c>
      <c r="D1003" s="16" t="str">
        <f aca="false">Bank_Statement!D243</f>
        <v>PMT-V1035</v>
      </c>
      <c r="E1003" s="16" t="str">
        <f aca="false">Bank_Statement!E243</f>
        <v>PAY40242</v>
      </c>
      <c r="F1003" s="16" t="str">
        <f aca="false">IF(E1003="","N/A",IF(COUNTIF(Payment_Log_AP!$A$2:$A$753,E1003)&gt;0,"Yes","No"))</f>
        <v>Yes</v>
      </c>
      <c r="G1003" s="16" t="str">
        <f aca="false">IF(E1003="","Unexplained Bank Item (fee/other - review)",IF(F1003="Yes","Matched","Payment Reference Not Found in AP Log"))</f>
        <v>Matched</v>
      </c>
    </row>
    <row r="1004" customFormat="false" ht="15" hidden="false" customHeight="false" outlineLevel="0" collapsed="false">
      <c r="A1004" s="16" t="str">
        <f aca="false">Bank_Statement!A244</f>
        <v>BNK50243</v>
      </c>
      <c r="B1004" s="17" t="n">
        <f aca="false">Bank_Statement!B244</f>
        <v>46142</v>
      </c>
      <c r="C1004" s="18" t="n">
        <f aca="false">Bank_Statement!C244</f>
        <v>-2055.42</v>
      </c>
      <c r="D1004" s="16" t="str">
        <f aca="false">Bank_Statement!D244</f>
        <v>PMT-V1003</v>
      </c>
      <c r="E1004" s="16" t="str">
        <f aca="false">Bank_Statement!E244</f>
        <v>PAY40243</v>
      </c>
      <c r="F1004" s="16" t="str">
        <f aca="false">IF(E1004="","N/A",IF(COUNTIF(Payment_Log_AP!$A$2:$A$753,E1004)&gt;0,"Yes","No"))</f>
        <v>Yes</v>
      </c>
      <c r="G1004" s="16" t="str">
        <f aca="false">IF(E1004="","Unexplained Bank Item (fee/other - review)",IF(F1004="Yes","Matched","Payment Reference Not Found in AP Log"))</f>
        <v>Matched</v>
      </c>
    </row>
    <row r="1005" customFormat="false" ht="15" hidden="false" customHeight="false" outlineLevel="0" collapsed="false">
      <c r="A1005" s="16" t="str">
        <f aca="false">Bank_Statement!A245</f>
        <v>BNK50244</v>
      </c>
      <c r="B1005" s="17" t="n">
        <f aca="false">Bank_Statement!B245</f>
        <v>45744</v>
      </c>
      <c r="C1005" s="18" t="n">
        <f aca="false">Bank_Statement!C245</f>
        <v>-8984.32</v>
      </c>
      <c r="D1005" s="16" t="str">
        <f aca="false">Bank_Statement!D245</f>
        <v>PMT-V1012</v>
      </c>
      <c r="E1005" s="16" t="str">
        <f aca="false">Bank_Statement!E245</f>
        <v>PAY40244</v>
      </c>
      <c r="F1005" s="16" t="str">
        <f aca="false">IF(E1005="","N/A",IF(COUNTIF(Payment_Log_AP!$A$2:$A$753,E1005)&gt;0,"Yes","No"))</f>
        <v>Yes</v>
      </c>
      <c r="G1005" s="16" t="str">
        <f aca="false">IF(E1005="","Unexplained Bank Item (fee/other - review)",IF(F1005="Yes","Matched","Payment Reference Not Found in AP Log"))</f>
        <v>Matched</v>
      </c>
    </row>
    <row r="1006" customFormat="false" ht="15" hidden="false" customHeight="false" outlineLevel="0" collapsed="false">
      <c r="A1006" s="16" t="str">
        <f aca="false">Bank_Statement!A246</f>
        <v>BNK50245</v>
      </c>
      <c r="B1006" s="17" t="n">
        <f aca="false">Bank_Statement!B246</f>
        <v>45807</v>
      </c>
      <c r="C1006" s="18" t="n">
        <f aca="false">Bank_Statement!C246</f>
        <v>-4378.74</v>
      </c>
      <c r="D1006" s="16" t="str">
        <f aca="false">Bank_Statement!D246</f>
        <v>PMT-V1022</v>
      </c>
      <c r="E1006" s="16" t="str">
        <f aca="false">Bank_Statement!E246</f>
        <v>PAY40245</v>
      </c>
      <c r="F1006" s="16" t="str">
        <f aca="false">IF(E1006="","N/A",IF(COUNTIF(Payment_Log_AP!$A$2:$A$753,E1006)&gt;0,"Yes","No"))</f>
        <v>Yes</v>
      </c>
      <c r="G1006" s="16" t="str">
        <f aca="false">IF(E1006="","Unexplained Bank Item (fee/other - review)",IF(F1006="Yes","Matched","Payment Reference Not Found in AP Log"))</f>
        <v>Matched</v>
      </c>
    </row>
    <row r="1007" customFormat="false" ht="15" hidden="false" customHeight="false" outlineLevel="0" collapsed="false">
      <c r="A1007" s="16" t="str">
        <f aca="false">Bank_Statement!A247</f>
        <v>BNK50246</v>
      </c>
      <c r="B1007" s="17" t="n">
        <f aca="false">Bank_Statement!B247</f>
        <v>46055</v>
      </c>
      <c r="C1007" s="18" t="n">
        <f aca="false">Bank_Statement!C247</f>
        <v>-519.69</v>
      </c>
      <c r="D1007" s="16" t="str">
        <f aca="false">Bank_Statement!D247</f>
        <v>PMT-V1030</v>
      </c>
      <c r="E1007" s="16" t="str">
        <f aca="false">Bank_Statement!E247</f>
        <v>PAY40246</v>
      </c>
      <c r="F1007" s="16" t="str">
        <f aca="false">IF(E1007="","N/A",IF(COUNTIF(Payment_Log_AP!$A$2:$A$753,E1007)&gt;0,"Yes","No"))</f>
        <v>Yes</v>
      </c>
      <c r="G1007" s="16" t="str">
        <f aca="false">IF(E1007="","Unexplained Bank Item (fee/other - review)",IF(F1007="Yes","Matched","Payment Reference Not Found in AP Log"))</f>
        <v>Matched</v>
      </c>
    </row>
    <row r="1008" customFormat="false" ht="15" hidden="false" customHeight="false" outlineLevel="0" collapsed="false">
      <c r="A1008" s="16" t="str">
        <f aca="false">Bank_Statement!A248</f>
        <v>BNK50247</v>
      </c>
      <c r="B1008" s="17" t="n">
        <f aca="false">Bank_Statement!B248</f>
        <v>45862</v>
      </c>
      <c r="C1008" s="18" t="n">
        <f aca="false">Bank_Statement!C248</f>
        <v>-2656.9</v>
      </c>
      <c r="D1008" s="16" t="str">
        <f aca="false">Bank_Statement!D248</f>
        <v>PMT-V1017</v>
      </c>
      <c r="E1008" s="16" t="str">
        <f aca="false">Bank_Statement!E248</f>
        <v>PAY40247</v>
      </c>
      <c r="F1008" s="16" t="str">
        <f aca="false">IF(E1008="","N/A",IF(COUNTIF(Payment_Log_AP!$A$2:$A$753,E1008)&gt;0,"Yes","No"))</f>
        <v>Yes</v>
      </c>
      <c r="G1008" s="16" t="str">
        <f aca="false">IF(E1008="","Unexplained Bank Item (fee/other - review)",IF(F1008="Yes","Matched","Payment Reference Not Found in AP Log"))</f>
        <v>Matched</v>
      </c>
    </row>
    <row r="1009" customFormat="false" ht="15" hidden="false" customHeight="false" outlineLevel="0" collapsed="false">
      <c r="A1009" s="16" t="str">
        <f aca="false">Bank_Statement!A249</f>
        <v>BNK50248</v>
      </c>
      <c r="B1009" s="17" t="n">
        <f aca="false">Bank_Statement!B249</f>
        <v>46012</v>
      </c>
      <c r="C1009" s="18" t="n">
        <f aca="false">Bank_Statement!C249</f>
        <v>-611.97</v>
      </c>
      <c r="D1009" s="16" t="str">
        <f aca="false">Bank_Statement!D249</f>
        <v>PMT-V1016</v>
      </c>
      <c r="E1009" s="16" t="str">
        <f aca="false">Bank_Statement!E249</f>
        <v>PAY40248</v>
      </c>
      <c r="F1009" s="16" t="str">
        <f aca="false">IF(E1009="","N/A",IF(COUNTIF(Payment_Log_AP!$A$2:$A$753,E1009)&gt;0,"Yes","No"))</f>
        <v>Yes</v>
      </c>
      <c r="G1009" s="16" t="str">
        <f aca="false">IF(E1009="","Unexplained Bank Item (fee/other - review)",IF(F1009="Yes","Matched","Payment Reference Not Found in AP Log"))</f>
        <v>Matched</v>
      </c>
    </row>
    <row r="1010" customFormat="false" ht="15" hidden="false" customHeight="false" outlineLevel="0" collapsed="false">
      <c r="A1010" s="16" t="str">
        <f aca="false">Bank_Statement!A250</f>
        <v>BNK50249</v>
      </c>
      <c r="B1010" s="17" t="n">
        <f aca="false">Bank_Statement!B250</f>
        <v>45935</v>
      </c>
      <c r="C1010" s="18" t="n">
        <f aca="false">Bank_Statement!C250</f>
        <v>-3378.98</v>
      </c>
      <c r="D1010" s="16" t="str">
        <f aca="false">Bank_Statement!D250</f>
        <v>PMT-V1015</v>
      </c>
      <c r="E1010" s="16" t="str">
        <f aca="false">Bank_Statement!E250</f>
        <v>PAY40249</v>
      </c>
      <c r="F1010" s="16" t="str">
        <f aca="false">IF(E1010="","N/A",IF(COUNTIF(Payment_Log_AP!$A$2:$A$753,E1010)&gt;0,"Yes","No"))</f>
        <v>Yes</v>
      </c>
      <c r="G1010" s="16" t="str">
        <f aca="false">IF(E1010="","Unexplained Bank Item (fee/other - review)",IF(F1010="Yes","Matched","Payment Reference Not Found in AP Log"))</f>
        <v>Matched</v>
      </c>
    </row>
    <row r="1011" customFormat="false" ht="15" hidden="false" customHeight="false" outlineLevel="0" collapsed="false">
      <c r="A1011" s="16" t="str">
        <f aca="false">Bank_Statement!A251</f>
        <v>BNK50250</v>
      </c>
      <c r="B1011" s="17" t="n">
        <f aca="false">Bank_Statement!B251</f>
        <v>45936</v>
      </c>
      <c r="C1011" s="18" t="n">
        <f aca="false">Bank_Statement!C251</f>
        <v>-225.68</v>
      </c>
      <c r="D1011" s="16" t="str">
        <f aca="false">Bank_Statement!D251</f>
        <v>PMT-V1005</v>
      </c>
      <c r="E1011" s="16" t="str">
        <f aca="false">Bank_Statement!E251</f>
        <v>PAY40250</v>
      </c>
      <c r="F1011" s="16" t="str">
        <f aca="false">IF(E1011="","N/A",IF(COUNTIF(Payment_Log_AP!$A$2:$A$753,E1011)&gt;0,"Yes","No"))</f>
        <v>Yes</v>
      </c>
      <c r="G1011" s="16" t="str">
        <f aca="false">IF(E1011="","Unexplained Bank Item (fee/other - review)",IF(F1011="Yes","Matched","Payment Reference Not Found in AP Log"))</f>
        <v>Matched</v>
      </c>
    </row>
    <row r="1012" customFormat="false" ht="15" hidden="false" customHeight="false" outlineLevel="0" collapsed="false">
      <c r="A1012" s="16" t="str">
        <f aca="false">Bank_Statement!A252</f>
        <v>BNK50251</v>
      </c>
      <c r="B1012" s="17" t="n">
        <f aca="false">Bank_Statement!B252</f>
        <v>46096</v>
      </c>
      <c r="C1012" s="18" t="n">
        <f aca="false">Bank_Statement!C252</f>
        <v>-1424.85</v>
      </c>
      <c r="D1012" s="16" t="str">
        <f aca="false">Bank_Statement!D252</f>
        <v>PMT-V1004</v>
      </c>
      <c r="E1012" s="16" t="str">
        <f aca="false">Bank_Statement!E252</f>
        <v>PAY40251</v>
      </c>
      <c r="F1012" s="16" t="str">
        <f aca="false">IF(E1012="","N/A",IF(COUNTIF(Payment_Log_AP!$A$2:$A$753,E1012)&gt;0,"Yes","No"))</f>
        <v>Yes</v>
      </c>
      <c r="G1012" s="16" t="str">
        <f aca="false">IF(E1012="","Unexplained Bank Item (fee/other - review)",IF(F1012="Yes","Matched","Payment Reference Not Found in AP Log"))</f>
        <v>Matched</v>
      </c>
    </row>
    <row r="1013" customFormat="false" ht="15" hidden="false" customHeight="false" outlineLevel="0" collapsed="false">
      <c r="A1013" s="16" t="str">
        <f aca="false">Bank_Statement!A253</f>
        <v>BNK50252</v>
      </c>
      <c r="B1013" s="17" t="n">
        <f aca="false">Bank_Statement!B253</f>
        <v>45858</v>
      </c>
      <c r="C1013" s="18" t="n">
        <f aca="false">Bank_Statement!C253</f>
        <v>-643.44</v>
      </c>
      <c r="D1013" s="16" t="str">
        <f aca="false">Bank_Statement!D253</f>
        <v>PMT-V1040</v>
      </c>
      <c r="E1013" s="16" t="str">
        <f aca="false">Bank_Statement!E253</f>
        <v>PAY40252</v>
      </c>
      <c r="F1013" s="16" t="str">
        <f aca="false">IF(E1013="","N/A",IF(COUNTIF(Payment_Log_AP!$A$2:$A$753,E1013)&gt;0,"Yes","No"))</f>
        <v>Yes</v>
      </c>
      <c r="G1013" s="16" t="str">
        <f aca="false">IF(E1013="","Unexplained Bank Item (fee/other - review)",IF(F1013="Yes","Matched","Payment Reference Not Found in AP Log"))</f>
        <v>Matched</v>
      </c>
    </row>
    <row r="1014" customFormat="false" ht="15" hidden="false" customHeight="false" outlineLevel="0" collapsed="false">
      <c r="A1014" s="16" t="str">
        <f aca="false">Bank_Statement!A254</f>
        <v>BNK50253</v>
      </c>
      <c r="B1014" s="17" t="n">
        <f aca="false">Bank_Statement!B254</f>
        <v>45852</v>
      </c>
      <c r="C1014" s="18" t="n">
        <f aca="false">Bank_Statement!C254</f>
        <v>-289.77</v>
      </c>
      <c r="D1014" s="16" t="str">
        <f aca="false">Bank_Statement!D254</f>
        <v>PMT-V1038</v>
      </c>
      <c r="E1014" s="16" t="str">
        <f aca="false">Bank_Statement!E254</f>
        <v>PAY40253</v>
      </c>
      <c r="F1014" s="16" t="str">
        <f aca="false">IF(E1014="","N/A",IF(COUNTIF(Payment_Log_AP!$A$2:$A$753,E1014)&gt;0,"Yes","No"))</f>
        <v>Yes</v>
      </c>
      <c r="G1014" s="16" t="str">
        <f aca="false">IF(E1014="","Unexplained Bank Item (fee/other - review)",IF(F1014="Yes","Matched","Payment Reference Not Found in AP Log"))</f>
        <v>Matched</v>
      </c>
    </row>
    <row r="1015" customFormat="false" ht="15" hidden="false" customHeight="false" outlineLevel="0" collapsed="false">
      <c r="A1015" s="16" t="str">
        <f aca="false">Bank_Statement!A255</f>
        <v>BNK50254</v>
      </c>
      <c r="B1015" s="17" t="n">
        <f aca="false">Bank_Statement!B255</f>
        <v>45816</v>
      </c>
      <c r="C1015" s="18" t="n">
        <f aca="false">Bank_Statement!C255</f>
        <v>-325.7</v>
      </c>
      <c r="D1015" s="16" t="str">
        <f aca="false">Bank_Statement!D255</f>
        <v>PMT-V1011</v>
      </c>
      <c r="E1015" s="16" t="str">
        <f aca="false">Bank_Statement!E255</f>
        <v>PAY40254</v>
      </c>
      <c r="F1015" s="16" t="str">
        <f aca="false">IF(E1015="","N/A",IF(COUNTIF(Payment_Log_AP!$A$2:$A$753,E1015)&gt;0,"Yes","No"))</f>
        <v>Yes</v>
      </c>
      <c r="G1015" s="16" t="str">
        <f aca="false">IF(E1015="","Unexplained Bank Item (fee/other - review)",IF(F1015="Yes","Matched","Payment Reference Not Found in AP Log"))</f>
        <v>Matched</v>
      </c>
    </row>
    <row r="1016" customFormat="false" ht="15" hidden="false" customHeight="false" outlineLevel="0" collapsed="false">
      <c r="A1016" s="16" t="str">
        <f aca="false">Bank_Statement!A256</f>
        <v>BNK50255</v>
      </c>
      <c r="B1016" s="17" t="n">
        <f aca="false">Bank_Statement!B256</f>
        <v>45736</v>
      </c>
      <c r="C1016" s="18" t="n">
        <f aca="false">Bank_Statement!C256</f>
        <v>-8611.23</v>
      </c>
      <c r="D1016" s="16" t="str">
        <f aca="false">Bank_Statement!D256</f>
        <v>PMT-V1031</v>
      </c>
      <c r="E1016" s="16" t="str">
        <f aca="false">Bank_Statement!E256</f>
        <v>PAY40255</v>
      </c>
      <c r="F1016" s="16" t="str">
        <f aca="false">IF(E1016="","N/A",IF(COUNTIF(Payment_Log_AP!$A$2:$A$753,E1016)&gt;0,"Yes","No"))</f>
        <v>Yes</v>
      </c>
      <c r="G1016" s="16" t="str">
        <f aca="false">IF(E1016="","Unexplained Bank Item (fee/other - review)",IF(F1016="Yes","Matched","Payment Reference Not Found in AP Log"))</f>
        <v>Matched</v>
      </c>
    </row>
    <row r="1017" customFormat="false" ht="15" hidden="false" customHeight="false" outlineLevel="0" collapsed="false">
      <c r="A1017" s="16" t="str">
        <f aca="false">Bank_Statement!A257</f>
        <v>BNK50256</v>
      </c>
      <c r="B1017" s="17" t="n">
        <f aca="false">Bank_Statement!B257</f>
        <v>45781</v>
      </c>
      <c r="C1017" s="18" t="n">
        <f aca="false">Bank_Statement!C257</f>
        <v>-1496.91</v>
      </c>
      <c r="D1017" s="16" t="str">
        <f aca="false">Bank_Statement!D257</f>
        <v>PMT-V1005</v>
      </c>
      <c r="E1017" s="16" t="str">
        <f aca="false">Bank_Statement!E257</f>
        <v>PAY40256</v>
      </c>
      <c r="F1017" s="16" t="str">
        <f aca="false">IF(E1017="","N/A",IF(COUNTIF(Payment_Log_AP!$A$2:$A$753,E1017)&gt;0,"Yes","No"))</f>
        <v>Yes</v>
      </c>
      <c r="G1017" s="16" t="str">
        <f aca="false">IF(E1017="","Unexplained Bank Item (fee/other - review)",IF(F1017="Yes","Matched","Payment Reference Not Found in AP Log"))</f>
        <v>Matched</v>
      </c>
    </row>
    <row r="1018" customFormat="false" ht="15" hidden="false" customHeight="false" outlineLevel="0" collapsed="false">
      <c r="A1018" s="16" t="str">
        <f aca="false">Bank_Statement!A258</f>
        <v>BNK50257</v>
      </c>
      <c r="B1018" s="17" t="n">
        <f aca="false">Bank_Statement!B258</f>
        <v>45747</v>
      </c>
      <c r="C1018" s="18" t="n">
        <f aca="false">Bank_Statement!C258</f>
        <v>-6053.15</v>
      </c>
      <c r="D1018" s="16" t="str">
        <f aca="false">Bank_Statement!D258</f>
        <v>PMT-V1031</v>
      </c>
      <c r="E1018" s="16" t="str">
        <f aca="false">Bank_Statement!E258</f>
        <v>PAY40257</v>
      </c>
      <c r="F1018" s="16" t="str">
        <f aca="false">IF(E1018="","N/A",IF(COUNTIF(Payment_Log_AP!$A$2:$A$753,E1018)&gt;0,"Yes","No"))</f>
        <v>Yes</v>
      </c>
      <c r="G1018" s="16" t="str">
        <f aca="false">IF(E1018="","Unexplained Bank Item (fee/other - review)",IF(F1018="Yes","Matched","Payment Reference Not Found in AP Log"))</f>
        <v>Matched</v>
      </c>
    </row>
    <row r="1019" customFormat="false" ht="15" hidden="false" customHeight="false" outlineLevel="0" collapsed="false">
      <c r="A1019" s="16" t="str">
        <f aca="false">Bank_Statement!A259</f>
        <v>BNK50258</v>
      </c>
      <c r="B1019" s="17" t="n">
        <f aca="false">Bank_Statement!B259</f>
        <v>45991</v>
      </c>
      <c r="C1019" s="18" t="n">
        <f aca="false">Bank_Statement!C259</f>
        <v>-3104.44</v>
      </c>
      <c r="D1019" s="16" t="str">
        <f aca="false">Bank_Statement!D259</f>
        <v>PMT-V1035</v>
      </c>
      <c r="E1019" s="16" t="str">
        <f aca="false">Bank_Statement!E259</f>
        <v>PAY40258</v>
      </c>
      <c r="F1019" s="16" t="str">
        <f aca="false">IF(E1019="","N/A",IF(COUNTIF(Payment_Log_AP!$A$2:$A$753,E1019)&gt;0,"Yes","No"))</f>
        <v>Yes</v>
      </c>
      <c r="G1019" s="16" t="str">
        <f aca="false">IF(E1019="","Unexplained Bank Item (fee/other - review)",IF(F1019="Yes","Matched","Payment Reference Not Found in AP Log"))</f>
        <v>Matched</v>
      </c>
    </row>
    <row r="1020" customFormat="false" ht="15" hidden="false" customHeight="false" outlineLevel="0" collapsed="false">
      <c r="A1020" s="16" t="str">
        <f aca="false">Bank_Statement!A260</f>
        <v>BNK50259</v>
      </c>
      <c r="B1020" s="17" t="n">
        <f aca="false">Bank_Statement!B260</f>
        <v>46109</v>
      </c>
      <c r="C1020" s="18" t="n">
        <f aca="false">Bank_Statement!C260</f>
        <v>-1405.31</v>
      </c>
      <c r="D1020" s="16" t="str">
        <f aca="false">Bank_Statement!D260</f>
        <v>PMT-V1029</v>
      </c>
      <c r="E1020" s="16" t="str">
        <f aca="false">Bank_Statement!E260</f>
        <v>PAY40259</v>
      </c>
      <c r="F1020" s="16" t="str">
        <f aca="false">IF(E1020="","N/A",IF(COUNTIF(Payment_Log_AP!$A$2:$A$753,E1020)&gt;0,"Yes","No"))</f>
        <v>Yes</v>
      </c>
      <c r="G1020" s="16" t="str">
        <f aca="false">IF(E1020="","Unexplained Bank Item (fee/other - review)",IF(F1020="Yes","Matched","Payment Reference Not Found in AP Log"))</f>
        <v>Matched</v>
      </c>
    </row>
    <row r="1021" customFormat="false" ht="15" hidden="false" customHeight="false" outlineLevel="0" collapsed="false">
      <c r="A1021" s="16" t="str">
        <f aca="false">Bank_Statement!A261</f>
        <v>BNK50260</v>
      </c>
      <c r="B1021" s="17" t="n">
        <f aca="false">Bank_Statement!B261</f>
        <v>45795</v>
      </c>
      <c r="C1021" s="18" t="n">
        <f aca="false">Bank_Statement!C261</f>
        <v>-3241.37</v>
      </c>
      <c r="D1021" s="16" t="str">
        <f aca="false">Bank_Statement!D261</f>
        <v>PMT-V1026</v>
      </c>
      <c r="E1021" s="16" t="str">
        <f aca="false">Bank_Statement!E261</f>
        <v>PAY40260</v>
      </c>
      <c r="F1021" s="16" t="str">
        <f aca="false">IF(E1021="","N/A",IF(COUNTIF(Payment_Log_AP!$A$2:$A$753,E1021)&gt;0,"Yes","No"))</f>
        <v>Yes</v>
      </c>
      <c r="G1021" s="16" t="str">
        <f aca="false">IF(E1021="","Unexplained Bank Item (fee/other - review)",IF(F1021="Yes","Matched","Payment Reference Not Found in AP Log"))</f>
        <v>Matched</v>
      </c>
    </row>
    <row r="1022" customFormat="false" ht="15" hidden="false" customHeight="false" outlineLevel="0" collapsed="false">
      <c r="A1022" s="16" t="str">
        <f aca="false">Bank_Statement!A262</f>
        <v>BNK50261</v>
      </c>
      <c r="B1022" s="17" t="n">
        <f aca="false">Bank_Statement!B262</f>
        <v>45795</v>
      </c>
      <c r="C1022" s="18" t="n">
        <f aca="false">Bank_Statement!C262</f>
        <v>-871.5</v>
      </c>
      <c r="D1022" s="16" t="str">
        <f aca="false">Bank_Statement!D262</f>
        <v>PMT-V1036</v>
      </c>
      <c r="E1022" s="16" t="str">
        <f aca="false">Bank_Statement!E262</f>
        <v>PAY40261</v>
      </c>
      <c r="F1022" s="16" t="str">
        <f aca="false">IF(E1022="","N/A",IF(COUNTIF(Payment_Log_AP!$A$2:$A$753,E1022)&gt;0,"Yes","No"))</f>
        <v>Yes</v>
      </c>
      <c r="G1022" s="16" t="str">
        <f aca="false">IF(E1022="","Unexplained Bank Item (fee/other - review)",IF(F1022="Yes","Matched","Payment Reference Not Found in AP Log"))</f>
        <v>Matched</v>
      </c>
    </row>
    <row r="1023" customFormat="false" ht="15" hidden="false" customHeight="false" outlineLevel="0" collapsed="false">
      <c r="A1023" s="16" t="str">
        <f aca="false">Bank_Statement!A263</f>
        <v>BNK50262</v>
      </c>
      <c r="B1023" s="17" t="n">
        <f aca="false">Bank_Statement!B263</f>
        <v>45948</v>
      </c>
      <c r="C1023" s="18" t="n">
        <f aca="false">Bank_Statement!C263</f>
        <v>-651.66</v>
      </c>
      <c r="D1023" s="16" t="str">
        <f aca="false">Bank_Statement!D263</f>
        <v>PMT-V1019</v>
      </c>
      <c r="E1023" s="16" t="str">
        <f aca="false">Bank_Statement!E263</f>
        <v>PAY40262</v>
      </c>
      <c r="F1023" s="16" t="str">
        <f aca="false">IF(E1023="","N/A",IF(COUNTIF(Payment_Log_AP!$A$2:$A$753,E1023)&gt;0,"Yes","No"))</f>
        <v>Yes</v>
      </c>
      <c r="G1023" s="16" t="str">
        <f aca="false">IF(E1023="","Unexplained Bank Item (fee/other - review)",IF(F1023="Yes","Matched","Payment Reference Not Found in AP Log"))</f>
        <v>Matched</v>
      </c>
    </row>
    <row r="1024" customFormat="false" ht="15" hidden="false" customHeight="false" outlineLevel="0" collapsed="false">
      <c r="A1024" s="16" t="str">
        <f aca="false">Bank_Statement!A264</f>
        <v>BNK50263</v>
      </c>
      <c r="B1024" s="17" t="n">
        <f aca="false">Bank_Statement!B264</f>
        <v>46080</v>
      </c>
      <c r="C1024" s="18" t="n">
        <f aca="false">Bank_Statement!C264</f>
        <v>-2962.24</v>
      </c>
      <c r="D1024" s="16" t="str">
        <f aca="false">Bank_Statement!D264</f>
        <v>PMT-V1027</v>
      </c>
      <c r="E1024" s="16" t="str">
        <f aca="false">Bank_Statement!E264</f>
        <v>PAY40263</v>
      </c>
      <c r="F1024" s="16" t="str">
        <f aca="false">IF(E1024="","N/A",IF(COUNTIF(Payment_Log_AP!$A$2:$A$753,E1024)&gt;0,"Yes","No"))</f>
        <v>Yes</v>
      </c>
      <c r="G1024" s="16" t="str">
        <f aca="false">IF(E1024="","Unexplained Bank Item (fee/other - review)",IF(F1024="Yes","Matched","Payment Reference Not Found in AP Log"))</f>
        <v>Matched</v>
      </c>
    </row>
    <row r="1025" customFormat="false" ht="15" hidden="false" customHeight="false" outlineLevel="0" collapsed="false">
      <c r="A1025" s="16" t="str">
        <f aca="false">Bank_Statement!A265</f>
        <v>BNK50264</v>
      </c>
      <c r="B1025" s="17" t="n">
        <f aca="false">Bank_Statement!B265</f>
        <v>45959</v>
      </c>
      <c r="C1025" s="18" t="n">
        <f aca="false">Bank_Statement!C265</f>
        <v>-7560.72</v>
      </c>
      <c r="D1025" s="16" t="str">
        <f aca="false">Bank_Statement!D265</f>
        <v>PMT-V1022</v>
      </c>
      <c r="E1025" s="16" t="str">
        <f aca="false">Bank_Statement!E265</f>
        <v>PAY40264</v>
      </c>
      <c r="F1025" s="16" t="str">
        <f aca="false">IF(E1025="","N/A",IF(COUNTIF(Payment_Log_AP!$A$2:$A$753,E1025)&gt;0,"Yes","No"))</f>
        <v>Yes</v>
      </c>
      <c r="G1025" s="16" t="str">
        <f aca="false">IF(E1025="","Unexplained Bank Item (fee/other - review)",IF(F1025="Yes","Matched","Payment Reference Not Found in AP Log"))</f>
        <v>Matched</v>
      </c>
    </row>
    <row r="1026" customFormat="false" ht="15" hidden="false" customHeight="false" outlineLevel="0" collapsed="false">
      <c r="A1026" s="16" t="str">
        <f aca="false">Bank_Statement!A266</f>
        <v>BNK50265</v>
      </c>
      <c r="B1026" s="17" t="n">
        <f aca="false">Bank_Statement!B266</f>
        <v>45866</v>
      </c>
      <c r="C1026" s="18" t="n">
        <f aca="false">Bank_Statement!C266</f>
        <v>-2957.14</v>
      </c>
      <c r="D1026" s="16" t="str">
        <f aca="false">Bank_Statement!D266</f>
        <v>PMT-V1032</v>
      </c>
      <c r="E1026" s="16" t="str">
        <f aca="false">Bank_Statement!E266</f>
        <v>PAY40265</v>
      </c>
      <c r="F1026" s="16" t="str">
        <f aca="false">IF(E1026="","N/A",IF(COUNTIF(Payment_Log_AP!$A$2:$A$753,E1026)&gt;0,"Yes","No"))</f>
        <v>Yes</v>
      </c>
      <c r="G1026" s="16" t="str">
        <f aca="false">IF(E1026="","Unexplained Bank Item (fee/other - review)",IF(F1026="Yes","Matched","Payment Reference Not Found in AP Log"))</f>
        <v>Matched</v>
      </c>
    </row>
    <row r="1027" customFormat="false" ht="15" hidden="false" customHeight="false" outlineLevel="0" collapsed="false">
      <c r="A1027" s="16" t="str">
        <f aca="false">Bank_Statement!A267</f>
        <v>BNK50266</v>
      </c>
      <c r="B1027" s="17" t="n">
        <f aca="false">Bank_Statement!B267</f>
        <v>45716</v>
      </c>
      <c r="C1027" s="18" t="n">
        <f aca="false">Bank_Statement!C267</f>
        <v>-1792.24</v>
      </c>
      <c r="D1027" s="16" t="str">
        <f aca="false">Bank_Statement!D267</f>
        <v>PMT-V1023</v>
      </c>
      <c r="E1027" s="16" t="str">
        <f aca="false">Bank_Statement!E267</f>
        <v>PAY40266</v>
      </c>
      <c r="F1027" s="16" t="str">
        <f aca="false">IF(E1027="","N/A",IF(COUNTIF(Payment_Log_AP!$A$2:$A$753,E1027)&gt;0,"Yes","No"))</f>
        <v>Yes</v>
      </c>
      <c r="G1027" s="16" t="str">
        <f aca="false">IF(E1027="","Unexplained Bank Item (fee/other - review)",IF(F1027="Yes","Matched","Payment Reference Not Found in AP Log"))</f>
        <v>Matched</v>
      </c>
    </row>
    <row r="1028" customFormat="false" ht="15" hidden="false" customHeight="false" outlineLevel="0" collapsed="false">
      <c r="A1028" s="16" t="str">
        <f aca="false">Bank_Statement!A268</f>
        <v>BNK50267</v>
      </c>
      <c r="B1028" s="17" t="n">
        <f aca="false">Bank_Statement!B268</f>
        <v>45777</v>
      </c>
      <c r="C1028" s="18" t="n">
        <f aca="false">Bank_Statement!C268</f>
        <v>-3587.55</v>
      </c>
      <c r="D1028" s="16" t="str">
        <f aca="false">Bank_Statement!D268</f>
        <v>PMT-V1034</v>
      </c>
      <c r="E1028" s="16" t="str">
        <f aca="false">Bank_Statement!E268</f>
        <v>PAY40267</v>
      </c>
      <c r="F1028" s="16" t="str">
        <f aca="false">IF(E1028="","N/A",IF(COUNTIF(Payment_Log_AP!$A$2:$A$753,E1028)&gt;0,"Yes","No"))</f>
        <v>Yes</v>
      </c>
      <c r="G1028" s="16" t="str">
        <f aca="false">IF(E1028="","Unexplained Bank Item (fee/other - review)",IF(F1028="Yes","Matched","Payment Reference Not Found in AP Log"))</f>
        <v>Matched</v>
      </c>
    </row>
    <row r="1029" customFormat="false" ht="15" hidden="false" customHeight="false" outlineLevel="0" collapsed="false">
      <c r="A1029" s="16" t="str">
        <f aca="false">Bank_Statement!A269</f>
        <v>BNK50268</v>
      </c>
      <c r="B1029" s="17" t="n">
        <f aca="false">Bank_Statement!B269</f>
        <v>45787</v>
      </c>
      <c r="C1029" s="18" t="n">
        <f aca="false">Bank_Statement!C269</f>
        <v>-13244.8</v>
      </c>
      <c r="D1029" s="16" t="str">
        <f aca="false">Bank_Statement!D269</f>
        <v>PMT-V1027</v>
      </c>
      <c r="E1029" s="16" t="str">
        <f aca="false">Bank_Statement!E269</f>
        <v>PAY40268</v>
      </c>
      <c r="F1029" s="16" t="str">
        <f aca="false">IF(E1029="","N/A",IF(COUNTIF(Payment_Log_AP!$A$2:$A$753,E1029)&gt;0,"Yes","No"))</f>
        <v>Yes</v>
      </c>
      <c r="G1029" s="16" t="str">
        <f aca="false">IF(E1029="","Unexplained Bank Item (fee/other - review)",IF(F1029="Yes","Matched","Payment Reference Not Found in AP Log"))</f>
        <v>Matched</v>
      </c>
    </row>
    <row r="1030" customFormat="false" ht="15" hidden="false" customHeight="false" outlineLevel="0" collapsed="false">
      <c r="A1030" s="16" t="str">
        <f aca="false">Bank_Statement!A270</f>
        <v>BNK50269</v>
      </c>
      <c r="B1030" s="17" t="n">
        <f aca="false">Bank_Statement!B270</f>
        <v>45773</v>
      </c>
      <c r="C1030" s="18" t="n">
        <f aca="false">Bank_Statement!C270</f>
        <v>-810.36</v>
      </c>
      <c r="D1030" s="16" t="str">
        <f aca="false">Bank_Statement!D270</f>
        <v>PMT-V1035</v>
      </c>
      <c r="E1030" s="16" t="str">
        <f aca="false">Bank_Statement!E270</f>
        <v>PAY40269</v>
      </c>
      <c r="F1030" s="16" t="str">
        <f aca="false">IF(E1030="","N/A",IF(COUNTIF(Payment_Log_AP!$A$2:$A$753,E1030)&gt;0,"Yes","No"))</f>
        <v>Yes</v>
      </c>
      <c r="G1030" s="16" t="str">
        <f aca="false">IF(E1030="","Unexplained Bank Item (fee/other - review)",IF(F1030="Yes","Matched","Payment Reference Not Found in AP Log"))</f>
        <v>Matched</v>
      </c>
    </row>
    <row r="1031" customFormat="false" ht="15" hidden="false" customHeight="false" outlineLevel="0" collapsed="false">
      <c r="A1031" s="16" t="str">
        <f aca="false">Bank_Statement!A271</f>
        <v>BNK50270</v>
      </c>
      <c r="B1031" s="17" t="n">
        <f aca="false">Bank_Statement!B271</f>
        <v>45776</v>
      </c>
      <c r="C1031" s="18" t="n">
        <f aca="false">Bank_Statement!C271</f>
        <v>-810.36</v>
      </c>
      <c r="D1031" s="16" t="str">
        <f aca="false">Bank_Statement!D271</f>
        <v>PMT-V1035</v>
      </c>
      <c r="E1031" s="16" t="str">
        <f aca="false">Bank_Statement!E271</f>
        <v>PAY40270</v>
      </c>
      <c r="F1031" s="16" t="str">
        <f aca="false">IF(E1031="","N/A",IF(COUNTIF(Payment_Log_AP!$A$2:$A$753,E1031)&gt;0,"Yes","No"))</f>
        <v>Yes</v>
      </c>
      <c r="G1031" s="16" t="str">
        <f aca="false">IF(E1031="","Unexplained Bank Item (fee/other - review)",IF(F1031="Yes","Matched","Payment Reference Not Found in AP Log"))</f>
        <v>Matched</v>
      </c>
    </row>
    <row r="1032" customFormat="false" ht="15" hidden="false" customHeight="false" outlineLevel="0" collapsed="false">
      <c r="A1032" s="16" t="str">
        <f aca="false">Bank_Statement!A272</f>
        <v>BNK50271</v>
      </c>
      <c r="B1032" s="17" t="n">
        <f aca="false">Bank_Statement!B272</f>
        <v>45706</v>
      </c>
      <c r="C1032" s="18" t="n">
        <f aca="false">Bank_Statement!C272</f>
        <v>-256.08</v>
      </c>
      <c r="D1032" s="16" t="str">
        <f aca="false">Bank_Statement!D272</f>
        <v>PMT-V1009</v>
      </c>
      <c r="E1032" s="16" t="str">
        <f aca="false">Bank_Statement!E272</f>
        <v>PAY40271</v>
      </c>
      <c r="F1032" s="16" t="str">
        <f aca="false">IF(E1032="","N/A",IF(COUNTIF(Payment_Log_AP!$A$2:$A$753,E1032)&gt;0,"Yes","No"))</f>
        <v>Yes</v>
      </c>
      <c r="G1032" s="16" t="str">
        <f aca="false">IF(E1032="","Unexplained Bank Item (fee/other - review)",IF(F1032="Yes","Matched","Payment Reference Not Found in AP Log"))</f>
        <v>Matched</v>
      </c>
    </row>
    <row r="1033" customFormat="false" ht="15" hidden="false" customHeight="false" outlineLevel="0" collapsed="false">
      <c r="A1033" s="16" t="str">
        <f aca="false">Bank_Statement!A273</f>
        <v>BNK50272</v>
      </c>
      <c r="B1033" s="17" t="n">
        <f aca="false">Bank_Statement!B273</f>
        <v>45990</v>
      </c>
      <c r="C1033" s="18" t="n">
        <f aca="false">Bank_Statement!C273</f>
        <v>-8486.94</v>
      </c>
      <c r="D1033" s="16" t="str">
        <f aca="false">Bank_Statement!D273</f>
        <v>PMT-V1010</v>
      </c>
      <c r="E1033" s="16" t="str">
        <f aca="false">Bank_Statement!E273</f>
        <v>PAY40272</v>
      </c>
      <c r="F1033" s="16" t="str">
        <f aca="false">IF(E1033="","N/A",IF(COUNTIF(Payment_Log_AP!$A$2:$A$753,E1033)&gt;0,"Yes","No"))</f>
        <v>Yes</v>
      </c>
      <c r="G1033" s="16" t="str">
        <f aca="false">IF(E1033="","Unexplained Bank Item (fee/other - review)",IF(F1033="Yes","Matched","Payment Reference Not Found in AP Log"))</f>
        <v>Matched</v>
      </c>
    </row>
    <row r="1034" customFormat="false" ht="15" hidden="false" customHeight="false" outlineLevel="0" collapsed="false">
      <c r="A1034" s="16" t="str">
        <f aca="false">Bank_Statement!A274</f>
        <v>BNK50273</v>
      </c>
      <c r="B1034" s="17" t="n">
        <f aca="false">Bank_Statement!B274</f>
        <v>45820</v>
      </c>
      <c r="C1034" s="18" t="n">
        <f aca="false">Bank_Statement!C274</f>
        <v>-3079.87</v>
      </c>
      <c r="D1034" s="16" t="str">
        <f aca="false">Bank_Statement!D274</f>
        <v>PMT-V1013</v>
      </c>
      <c r="E1034" s="16" t="str">
        <f aca="false">Bank_Statement!E274</f>
        <v>PAY40273</v>
      </c>
      <c r="F1034" s="16" t="str">
        <f aca="false">IF(E1034="","N/A",IF(COUNTIF(Payment_Log_AP!$A$2:$A$753,E1034)&gt;0,"Yes","No"))</f>
        <v>Yes</v>
      </c>
      <c r="G1034" s="16" t="str">
        <f aca="false">IF(E1034="","Unexplained Bank Item (fee/other - review)",IF(F1034="Yes","Matched","Payment Reference Not Found in AP Log"))</f>
        <v>Matched</v>
      </c>
    </row>
    <row r="1035" customFormat="false" ht="15" hidden="false" customHeight="false" outlineLevel="0" collapsed="false">
      <c r="A1035" s="16" t="str">
        <f aca="false">Bank_Statement!A275</f>
        <v>BNK50274</v>
      </c>
      <c r="B1035" s="17" t="n">
        <f aca="false">Bank_Statement!B275</f>
        <v>45997</v>
      </c>
      <c r="C1035" s="18" t="n">
        <f aca="false">Bank_Statement!C275</f>
        <v>-4491.48</v>
      </c>
      <c r="D1035" s="16" t="str">
        <f aca="false">Bank_Statement!D275</f>
        <v>PMT-V1037</v>
      </c>
      <c r="E1035" s="16" t="str">
        <f aca="false">Bank_Statement!E275</f>
        <v>PAY40274</v>
      </c>
      <c r="F1035" s="16" t="str">
        <f aca="false">IF(E1035="","N/A",IF(COUNTIF(Payment_Log_AP!$A$2:$A$753,E1035)&gt;0,"Yes","No"))</f>
        <v>Yes</v>
      </c>
      <c r="G1035" s="16" t="str">
        <f aca="false">IF(E1035="","Unexplained Bank Item (fee/other - review)",IF(F1035="Yes","Matched","Payment Reference Not Found in AP Log"))</f>
        <v>Matched</v>
      </c>
    </row>
    <row r="1036" customFormat="false" ht="15" hidden="false" customHeight="false" outlineLevel="0" collapsed="false">
      <c r="A1036" s="16" t="str">
        <f aca="false">Bank_Statement!A276</f>
        <v>BNK50275</v>
      </c>
      <c r="B1036" s="17" t="n">
        <f aca="false">Bank_Statement!B276</f>
        <v>46071</v>
      </c>
      <c r="C1036" s="18" t="n">
        <f aca="false">Bank_Statement!C276</f>
        <v>-1494.98</v>
      </c>
      <c r="D1036" s="16" t="str">
        <f aca="false">Bank_Statement!D276</f>
        <v>PMT-V1005</v>
      </c>
      <c r="E1036" s="16" t="str">
        <f aca="false">Bank_Statement!E276</f>
        <v>PAY40275</v>
      </c>
      <c r="F1036" s="16" t="str">
        <f aca="false">IF(E1036="","N/A",IF(COUNTIF(Payment_Log_AP!$A$2:$A$753,E1036)&gt;0,"Yes","No"))</f>
        <v>Yes</v>
      </c>
      <c r="G1036" s="16" t="str">
        <f aca="false">IF(E1036="","Unexplained Bank Item (fee/other - review)",IF(F1036="Yes","Matched","Payment Reference Not Found in AP Log"))</f>
        <v>Matched</v>
      </c>
    </row>
    <row r="1037" customFormat="false" ht="15" hidden="false" customHeight="false" outlineLevel="0" collapsed="false">
      <c r="A1037" s="16" t="str">
        <f aca="false">Bank_Statement!A277</f>
        <v>BNK50276</v>
      </c>
      <c r="B1037" s="17" t="n">
        <f aca="false">Bank_Statement!B277</f>
        <v>45740</v>
      </c>
      <c r="C1037" s="18" t="n">
        <f aca="false">Bank_Statement!C277</f>
        <v>-1119.52</v>
      </c>
      <c r="D1037" s="16" t="str">
        <f aca="false">Bank_Statement!D277</f>
        <v>PMT-V1033</v>
      </c>
      <c r="E1037" s="16" t="str">
        <f aca="false">Bank_Statement!E277</f>
        <v>PAY40276</v>
      </c>
      <c r="F1037" s="16" t="str">
        <f aca="false">IF(E1037="","N/A",IF(COUNTIF(Payment_Log_AP!$A$2:$A$753,E1037)&gt;0,"Yes","No"))</f>
        <v>Yes</v>
      </c>
      <c r="G1037" s="16" t="str">
        <f aca="false">IF(E1037="","Unexplained Bank Item (fee/other - review)",IF(F1037="Yes","Matched","Payment Reference Not Found in AP Log"))</f>
        <v>Matched</v>
      </c>
    </row>
    <row r="1038" customFormat="false" ht="15" hidden="false" customHeight="false" outlineLevel="0" collapsed="false">
      <c r="A1038" s="16" t="str">
        <f aca="false">Bank_Statement!A278</f>
        <v>BNK50277</v>
      </c>
      <c r="B1038" s="17" t="n">
        <f aca="false">Bank_Statement!B278</f>
        <v>46142</v>
      </c>
      <c r="C1038" s="18" t="n">
        <f aca="false">Bank_Statement!C278</f>
        <v>-531.72</v>
      </c>
      <c r="D1038" s="16" t="str">
        <f aca="false">Bank_Statement!D278</f>
        <v>PMT-V1006</v>
      </c>
      <c r="E1038" s="16" t="str">
        <f aca="false">Bank_Statement!E278</f>
        <v>PAY40277</v>
      </c>
      <c r="F1038" s="16" t="str">
        <f aca="false">IF(E1038="","N/A",IF(COUNTIF(Payment_Log_AP!$A$2:$A$753,E1038)&gt;0,"Yes","No"))</f>
        <v>Yes</v>
      </c>
      <c r="G1038" s="16" t="str">
        <f aca="false">IF(E1038="","Unexplained Bank Item (fee/other - review)",IF(F1038="Yes","Matched","Payment Reference Not Found in AP Log"))</f>
        <v>Matched</v>
      </c>
    </row>
    <row r="1039" customFormat="false" ht="15" hidden="false" customHeight="false" outlineLevel="0" collapsed="false">
      <c r="A1039" s="16" t="str">
        <f aca="false">Bank_Statement!A279</f>
        <v>BNK50278</v>
      </c>
      <c r="B1039" s="17" t="n">
        <f aca="false">Bank_Statement!B279</f>
        <v>46157</v>
      </c>
      <c r="C1039" s="18" t="n">
        <f aca="false">Bank_Statement!C279</f>
        <v>-6043.12</v>
      </c>
      <c r="D1039" s="16" t="str">
        <f aca="false">Bank_Statement!D279</f>
        <v>PMT-V1019</v>
      </c>
      <c r="E1039" s="16" t="str">
        <f aca="false">Bank_Statement!E279</f>
        <v>PAY40278</v>
      </c>
      <c r="F1039" s="16" t="str">
        <f aca="false">IF(E1039="","N/A",IF(COUNTIF(Payment_Log_AP!$A$2:$A$753,E1039)&gt;0,"Yes","No"))</f>
        <v>Yes</v>
      </c>
      <c r="G1039" s="16" t="str">
        <f aca="false">IF(E1039="","Unexplained Bank Item (fee/other - review)",IF(F1039="Yes","Matched","Payment Reference Not Found in AP Log"))</f>
        <v>Matched</v>
      </c>
    </row>
    <row r="1040" customFormat="false" ht="15" hidden="false" customHeight="false" outlineLevel="0" collapsed="false">
      <c r="A1040" s="16" t="str">
        <f aca="false">Bank_Statement!A280</f>
        <v>BNK50279</v>
      </c>
      <c r="B1040" s="17" t="n">
        <f aca="false">Bank_Statement!B280</f>
        <v>46009</v>
      </c>
      <c r="C1040" s="18" t="n">
        <f aca="false">Bank_Statement!C280</f>
        <v>-1017.03</v>
      </c>
      <c r="D1040" s="16" t="str">
        <f aca="false">Bank_Statement!D280</f>
        <v>PMT-V1014</v>
      </c>
      <c r="E1040" s="16" t="str">
        <f aca="false">Bank_Statement!E280</f>
        <v>PAY40279</v>
      </c>
      <c r="F1040" s="16" t="str">
        <f aca="false">IF(E1040="","N/A",IF(COUNTIF(Payment_Log_AP!$A$2:$A$753,E1040)&gt;0,"Yes","No"))</f>
        <v>Yes</v>
      </c>
      <c r="G1040" s="16" t="str">
        <f aca="false">IF(E1040="","Unexplained Bank Item (fee/other - review)",IF(F1040="Yes","Matched","Payment Reference Not Found in AP Log"))</f>
        <v>Matched</v>
      </c>
    </row>
    <row r="1041" customFormat="false" ht="15" hidden="false" customHeight="false" outlineLevel="0" collapsed="false">
      <c r="A1041" s="16" t="str">
        <f aca="false">Bank_Statement!A281</f>
        <v>BNK50280</v>
      </c>
      <c r="B1041" s="17" t="n">
        <f aca="false">Bank_Statement!B281</f>
        <v>45959</v>
      </c>
      <c r="C1041" s="18" t="n">
        <f aca="false">Bank_Statement!C281</f>
        <v>-33982.32</v>
      </c>
      <c r="D1041" s="16" t="str">
        <f aca="false">Bank_Statement!D281</f>
        <v>PMT-V1017</v>
      </c>
      <c r="E1041" s="16" t="str">
        <f aca="false">Bank_Statement!E281</f>
        <v>PAY40280</v>
      </c>
      <c r="F1041" s="16" t="str">
        <f aca="false">IF(E1041="","N/A",IF(COUNTIF(Payment_Log_AP!$A$2:$A$753,E1041)&gt;0,"Yes","No"))</f>
        <v>Yes</v>
      </c>
      <c r="G1041" s="16" t="str">
        <f aca="false">IF(E1041="","Unexplained Bank Item (fee/other - review)",IF(F1041="Yes","Matched","Payment Reference Not Found in AP Log"))</f>
        <v>Matched</v>
      </c>
    </row>
    <row r="1042" customFormat="false" ht="15" hidden="false" customHeight="false" outlineLevel="0" collapsed="false">
      <c r="A1042" s="16" t="str">
        <f aca="false">Bank_Statement!A282</f>
        <v>BNK50281</v>
      </c>
      <c r="B1042" s="17" t="n">
        <f aca="false">Bank_Statement!B282</f>
        <v>45951</v>
      </c>
      <c r="C1042" s="18" t="n">
        <f aca="false">Bank_Statement!C282</f>
        <v>-2011.97</v>
      </c>
      <c r="D1042" s="16" t="str">
        <f aca="false">Bank_Statement!D282</f>
        <v>PMT-V1026</v>
      </c>
      <c r="E1042" s="16" t="str">
        <f aca="false">Bank_Statement!E282</f>
        <v>PAY40281</v>
      </c>
      <c r="F1042" s="16" t="str">
        <f aca="false">IF(E1042="","N/A",IF(COUNTIF(Payment_Log_AP!$A$2:$A$753,E1042)&gt;0,"Yes","No"))</f>
        <v>Yes</v>
      </c>
      <c r="G1042" s="16" t="str">
        <f aca="false">IF(E1042="","Unexplained Bank Item (fee/other - review)",IF(F1042="Yes","Matched","Payment Reference Not Found in AP Log"))</f>
        <v>Matched</v>
      </c>
    </row>
    <row r="1043" customFormat="false" ht="15" hidden="false" customHeight="false" outlineLevel="0" collapsed="false">
      <c r="A1043" s="16" t="str">
        <f aca="false">Bank_Statement!A283</f>
        <v>BNK50282</v>
      </c>
      <c r="B1043" s="17" t="n">
        <f aca="false">Bank_Statement!B283</f>
        <v>45726</v>
      </c>
      <c r="C1043" s="18" t="n">
        <f aca="false">Bank_Statement!C283</f>
        <v>-1953.14</v>
      </c>
      <c r="D1043" s="16" t="str">
        <f aca="false">Bank_Statement!D283</f>
        <v>PMT-V1026</v>
      </c>
      <c r="E1043" s="16" t="str">
        <f aca="false">Bank_Statement!E283</f>
        <v>PAY40282</v>
      </c>
      <c r="F1043" s="16" t="str">
        <f aca="false">IF(E1043="","N/A",IF(COUNTIF(Payment_Log_AP!$A$2:$A$753,E1043)&gt;0,"Yes","No"))</f>
        <v>Yes</v>
      </c>
      <c r="G1043" s="16" t="str">
        <f aca="false">IF(E1043="","Unexplained Bank Item (fee/other - review)",IF(F1043="Yes","Matched","Payment Reference Not Found in AP Log"))</f>
        <v>Matched</v>
      </c>
    </row>
    <row r="1044" customFormat="false" ht="15" hidden="false" customHeight="false" outlineLevel="0" collapsed="false">
      <c r="A1044" s="16" t="str">
        <f aca="false">Bank_Statement!A284</f>
        <v>BNK50283</v>
      </c>
      <c r="B1044" s="17" t="n">
        <f aca="false">Bank_Statement!B284</f>
        <v>46205</v>
      </c>
      <c r="C1044" s="18" t="n">
        <f aca="false">Bank_Statement!C284</f>
        <v>-275.18</v>
      </c>
      <c r="D1044" s="16" t="str">
        <f aca="false">Bank_Statement!D284</f>
        <v>PMT-V1031</v>
      </c>
      <c r="E1044" s="16" t="str">
        <f aca="false">Bank_Statement!E284</f>
        <v>PAY40283</v>
      </c>
      <c r="F1044" s="16" t="str">
        <f aca="false">IF(E1044="","N/A",IF(COUNTIF(Payment_Log_AP!$A$2:$A$753,E1044)&gt;0,"Yes","No"))</f>
        <v>Yes</v>
      </c>
      <c r="G1044" s="16" t="str">
        <f aca="false">IF(E1044="","Unexplained Bank Item (fee/other - review)",IF(F1044="Yes","Matched","Payment Reference Not Found in AP Log"))</f>
        <v>Matched</v>
      </c>
    </row>
    <row r="1045" customFormat="false" ht="15" hidden="false" customHeight="false" outlineLevel="0" collapsed="false">
      <c r="A1045" s="16" t="str">
        <f aca="false">Bank_Statement!A285</f>
        <v>BNK50284</v>
      </c>
      <c r="B1045" s="17" t="n">
        <f aca="false">Bank_Statement!B285</f>
        <v>45922</v>
      </c>
      <c r="C1045" s="18" t="n">
        <f aca="false">Bank_Statement!C285</f>
        <v>-2929.12</v>
      </c>
      <c r="D1045" s="16" t="str">
        <f aca="false">Bank_Statement!D285</f>
        <v>PMT-V1002</v>
      </c>
      <c r="E1045" s="16" t="str">
        <f aca="false">Bank_Statement!E285</f>
        <v>PAY40284</v>
      </c>
      <c r="F1045" s="16" t="str">
        <f aca="false">IF(E1045="","N/A",IF(COUNTIF(Payment_Log_AP!$A$2:$A$753,E1045)&gt;0,"Yes","No"))</f>
        <v>Yes</v>
      </c>
      <c r="G1045" s="16" t="str">
        <f aca="false">IF(E1045="","Unexplained Bank Item (fee/other - review)",IF(F1045="Yes","Matched","Payment Reference Not Found in AP Log"))</f>
        <v>Matched</v>
      </c>
    </row>
    <row r="1046" customFormat="false" ht="15" hidden="false" customHeight="false" outlineLevel="0" collapsed="false">
      <c r="A1046" s="16" t="str">
        <f aca="false">Bank_Statement!A286</f>
        <v>BNK50285</v>
      </c>
      <c r="B1046" s="17" t="n">
        <f aca="false">Bank_Statement!B286</f>
        <v>45927</v>
      </c>
      <c r="C1046" s="18" t="n">
        <f aca="false">Bank_Statement!C286</f>
        <v>-2929.12</v>
      </c>
      <c r="D1046" s="16" t="str">
        <f aca="false">Bank_Statement!D286</f>
        <v>PMT-V1002</v>
      </c>
      <c r="E1046" s="16" t="str">
        <f aca="false">Bank_Statement!E286</f>
        <v>PAY40285</v>
      </c>
      <c r="F1046" s="16" t="str">
        <f aca="false">IF(E1046="","N/A",IF(COUNTIF(Payment_Log_AP!$A$2:$A$753,E1046)&gt;0,"Yes","No"))</f>
        <v>Yes</v>
      </c>
      <c r="G1046" s="16" t="str">
        <f aca="false">IF(E1046="","Unexplained Bank Item (fee/other - review)",IF(F1046="Yes","Matched","Payment Reference Not Found in AP Log"))</f>
        <v>Matched</v>
      </c>
    </row>
    <row r="1047" customFormat="false" ht="15" hidden="false" customHeight="false" outlineLevel="0" collapsed="false">
      <c r="A1047" s="16" t="str">
        <f aca="false">Bank_Statement!A287</f>
        <v>BNK50286</v>
      </c>
      <c r="B1047" s="17" t="n">
        <f aca="false">Bank_Statement!B287</f>
        <v>46138</v>
      </c>
      <c r="C1047" s="18" t="n">
        <f aca="false">Bank_Statement!C287</f>
        <v>-2560.65</v>
      </c>
      <c r="D1047" s="16" t="str">
        <f aca="false">Bank_Statement!D287</f>
        <v>PMT-V1015</v>
      </c>
      <c r="E1047" s="16" t="str">
        <f aca="false">Bank_Statement!E287</f>
        <v>PAY40286</v>
      </c>
      <c r="F1047" s="16" t="str">
        <f aca="false">IF(E1047="","N/A",IF(COUNTIF(Payment_Log_AP!$A$2:$A$753,E1047)&gt;0,"Yes","No"))</f>
        <v>Yes</v>
      </c>
      <c r="G1047" s="16" t="str">
        <f aca="false">IF(E1047="","Unexplained Bank Item (fee/other - review)",IF(F1047="Yes","Matched","Payment Reference Not Found in AP Log"))</f>
        <v>Matched</v>
      </c>
    </row>
    <row r="1048" customFormat="false" ht="15" hidden="false" customHeight="false" outlineLevel="0" collapsed="false">
      <c r="A1048" s="16" t="str">
        <f aca="false">Bank_Statement!A288</f>
        <v>BNK50287</v>
      </c>
      <c r="B1048" s="17" t="n">
        <f aca="false">Bank_Statement!B288</f>
        <v>45920</v>
      </c>
      <c r="C1048" s="18" t="n">
        <f aca="false">Bank_Statement!C288</f>
        <v>-1086.25</v>
      </c>
      <c r="D1048" s="16" t="str">
        <f aca="false">Bank_Statement!D288</f>
        <v>PMT-V1016</v>
      </c>
      <c r="E1048" s="16" t="str">
        <f aca="false">Bank_Statement!E288</f>
        <v>PAY40287</v>
      </c>
      <c r="F1048" s="16" t="str">
        <f aca="false">IF(E1048="","N/A",IF(COUNTIF(Payment_Log_AP!$A$2:$A$753,E1048)&gt;0,"Yes","No"))</f>
        <v>Yes</v>
      </c>
      <c r="G1048" s="16" t="str">
        <f aca="false">IF(E1048="","Unexplained Bank Item (fee/other - review)",IF(F1048="Yes","Matched","Payment Reference Not Found in AP Log"))</f>
        <v>Matched</v>
      </c>
    </row>
    <row r="1049" customFormat="false" ht="15" hidden="false" customHeight="false" outlineLevel="0" collapsed="false">
      <c r="A1049" s="16" t="str">
        <f aca="false">Bank_Statement!A289</f>
        <v>BNK50288</v>
      </c>
      <c r="B1049" s="17" t="n">
        <f aca="false">Bank_Statement!B289</f>
        <v>45729</v>
      </c>
      <c r="C1049" s="18" t="n">
        <f aca="false">Bank_Statement!C289</f>
        <v>-3484.24</v>
      </c>
      <c r="D1049" s="16" t="str">
        <f aca="false">Bank_Statement!D289</f>
        <v>PMT-V1039</v>
      </c>
      <c r="E1049" s="16" t="str">
        <f aca="false">Bank_Statement!E289</f>
        <v>PAY40288</v>
      </c>
      <c r="F1049" s="16" t="str">
        <f aca="false">IF(E1049="","N/A",IF(COUNTIF(Payment_Log_AP!$A$2:$A$753,E1049)&gt;0,"Yes","No"))</f>
        <v>Yes</v>
      </c>
      <c r="G1049" s="16" t="str">
        <f aca="false">IF(E1049="","Unexplained Bank Item (fee/other - review)",IF(F1049="Yes","Matched","Payment Reference Not Found in AP Log"))</f>
        <v>Matched</v>
      </c>
    </row>
    <row r="1050" customFormat="false" ht="15" hidden="false" customHeight="false" outlineLevel="0" collapsed="false">
      <c r="A1050" s="16" t="str">
        <f aca="false">Bank_Statement!A290</f>
        <v>BNK50289</v>
      </c>
      <c r="B1050" s="17" t="n">
        <f aca="false">Bank_Statement!B290</f>
        <v>46018</v>
      </c>
      <c r="C1050" s="18" t="n">
        <f aca="false">Bank_Statement!C290</f>
        <v>-4212.6</v>
      </c>
      <c r="D1050" s="16" t="str">
        <f aca="false">Bank_Statement!D290</f>
        <v>PMT-V1025</v>
      </c>
      <c r="E1050" s="16" t="str">
        <f aca="false">Bank_Statement!E290</f>
        <v>PAY40289</v>
      </c>
      <c r="F1050" s="16" t="str">
        <f aca="false">IF(E1050="","N/A",IF(COUNTIF(Payment_Log_AP!$A$2:$A$753,E1050)&gt;0,"Yes","No"))</f>
        <v>Yes</v>
      </c>
      <c r="G1050" s="16" t="str">
        <f aca="false">IF(E1050="","Unexplained Bank Item (fee/other - review)",IF(F1050="Yes","Matched","Payment Reference Not Found in AP Log"))</f>
        <v>Matched</v>
      </c>
    </row>
    <row r="1051" customFormat="false" ht="15" hidden="false" customHeight="false" outlineLevel="0" collapsed="false">
      <c r="A1051" s="16" t="str">
        <f aca="false">Bank_Statement!A291</f>
        <v>BNK50290</v>
      </c>
      <c r="B1051" s="17" t="n">
        <f aca="false">Bank_Statement!B291</f>
        <v>45712</v>
      </c>
      <c r="C1051" s="18" t="n">
        <f aca="false">Bank_Statement!C291</f>
        <v>-2560.27</v>
      </c>
      <c r="D1051" s="16" t="str">
        <f aca="false">Bank_Statement!D291</f>
        <v>PMT-V1032</v>
      </c>
      <c r="E1051" s="16" t="str">
        <f aca="false">Bank_Statement!E291</f>
        <v>PAY40290</v>
      </c>
      <c r="F1051" s="16" t="str">
        <f aca="false">IF(E1051="","N/A",IF(COUNTIF(Payment_Log_AP!$A$2:$A$753,E1051)&gt;0,"Yes","No"))</f>
        <v>Yes</v>
      </c>
      <c r="G1051" s="16" t="str">
        <f aca="false">IF(E1051="","Unexplained Bank Item (fee/other - review)",IF(F1051="Yes","Matched","Payment Reference Not Found in AP Log"))</f>
        <v>Matched</v>
      </c>
    </row>
    <row r="1052" customFormat="false" ht="15" hidden="false" customHeight="false" outlineLevel="0" collapsed="false">
      <c r="A1052" s="16" t="str">
        <f aca="false">Bank_Statement!A292</f>
        <v>BNK50291</v>
      </c>
      <c r="B1052" s="17" t="n">
        <f aca="false">Bank_Statement!B292</f>
        <v>45771</v>
      </c>
      <c r="C1052" s="18" t="n">
        <f aca="false">Bank_Statement!C292</f>
        <v>-3373.65</v>
      </c>
      <c r="D1052" s="16" t="str">
        <f aca="false">Bank_Statement!D292</f>
        <v>PMT-V1025</v>
      </c>
      <c r="E1052" s="16" t="str">
        <f aca="false">Bank_Statement!E292</f>
        <v>PAY40291</v>
      </c>
      <c r="F1052" s="16" t="str">
        <f aca="false">IF(E1052="","N/A",IF(COUNTIF(Payment_Log_AP!$A$2:$A$753,E1052)&gt;0,"Yes","No"))</f>
        <v>Yes</v>
      </c>
      <c r="G1052" s="16" t="str">
        <f aca="false">IF(E1052="","Unexplained Bank Item (fee/other - review)",IF(F1052="Yes","Matched","Payment Reference Not Found in AP Log"))</f>
        <v>Matched</v>
      </c>
    </row>
    <row r="1053" customFormat="false" ht="15" hidden="false" customHeight="false" outlineLevel="0" collapsed="false">
      <c r="A1053" s="16" t="str">
        <f aca="false">Bank_Statement!A293</f>
        <v>BNK50292</v>
      </c>
      <c r="B1053" s="17" t="n">
        <f aca="false">Bank_Statement!B293</f>
        <v>45992</v>
      </c>
      <c r="C1053" s="18" t="n">
        <f aca="false">Bank_Statement!C293</f>
        <v>-1093.64</v>
      </c>
      <c r="D1053" s="16" t="str">
        <f aca="false">Bank_Statement!D293</f>
        <v>PMT-V1031</v>
      </c>
      <c r="E1053" s="16" t="str">
        <f aca="false">Bank_Statement!E293</f>
        <v>PAY40292</v>
      </c>
      <c r="F1053" s="16" t="str">
        <f aca="false">IF(E1053="","N/A",IF(COUNTIF(Payment_Log_AP!$A$2:$A$753,E1053)&gt;0,"Yes","No"))</f>
        <v>Yes</v>
      </c>
      <c r="G1053" s="16" t="str">
        <f aca="false">IF(E1053="","Unexplained Bank Item (fee/other - review)",IF(F1053="Yes","Matched","Payment Reference Not Found in AP Log"))</f>
        <v>Matched</v>
      </c>
    </row>
    <row r="1054" customFormat="false" ht="15" hidden="false" customHeight="false" outlineLevel="0" collapsed="false">
      <c r="A1054" s="16" t="str">
        <f aca="false">Bank_Statement!A294</f>
        <v>BNK50293</v>
      </c>
      <c r="B1054" s="17" t="n">
        <f aca="false">Bank_Statement!B294</f>
        <v>45864</v>
      </c>
      <c r="C1054" s="18" t="n">
        <f aca="false">Bank_Statement!C294</f>
        <v>-1134.36</v>
      </c>
      <c r="D1054" s="16" t="str">
        <f aca="false">Bank_Statement!D294</f>
        <v>PMT-V1038</v>
      </c>
      <c r="E1054" s="16" t="str">
        <f aca="false">Bank_Statement!E294</f>
        <v>PAY40293</v>
      </c>
      <c r="F1054" s="16" t="str">
        <f aca="false">IF(E1054="","N/A",IF(COUNTIF(Payment_Log_AP!$A$2:$A$753,E1054)&gt;0,"Yes","No"))</f>
        <v>Yes</v>
      </c>
      <c r="G1054" s="16" t="str">
        <f aca="false">IF(E1054="","Unexplained Bank Item (fee/other - review)",IF(F1054="Yes","Matched","Payment Reference Not Found in AP Log"))</f>
        <v>Matched</v>
      </c>
    </row>
    <row r="1055" customFormat="false" ht="15" hidden="false" customHeight="false" outlineLevel="0" collapsed="false">
      <c r="A1055" s="16" t="str">
        <f aca="false">Bank_Statement!A295</f>
        <v>BNK50294</v>
      </c>
      <c r="B1055" s="17" t="n">
        <f aca="false">Bank_Statement!B295</f>
        <v>46018</v>
      </c>
      <c r="C1055" s="18" t="n">
        <f aca="false">Bank_Statement!C295</f>
        <v>-4424.59</v>
      </c>
      <c r="D1055" s="16" t="str">
        <f aca="false">Bank_Statement!D295</f>
        <v>PMT-V1009</v>
      </c>
      <c r="E1055" s="16" t="str">
        <f aca="false">Bank_Statement!E295</f>
        <v>PAY40294</v>
      </c>
      <c r="F1055" s="16" t="str">
        <f aca="false">IF(E1055="","N/A",IF(COUNTIF(Payment_Log_AP!$A$2:$A$753,E1055)&gt;0,"Yes","No"))</f>
        <v>Yes</v>
      </c>
      <c r="G1055" s="16" t="str">
        <f aca="false">IF(E1055="","Unexplained Bank Item (fee/other - review)",IF(F1055="Yes","Matched","Payment Reference Not Found in AP Log"))</f>
        <v>Matched</v>
      </c>
    </row>
    <row r="1056" customFormat="false" ht="15" hidden="false" customHeight="false" outlineLevel="0" collapsed="false">
      <c r="A1056" s="16" t="str">
        <f aca="false">Bank_Statement!A296</f>
        <v>BNK50295</v>
      </c>
      <c r="B1056" s="17" t="n">
        <f aca="false">Bank_Statement!B296</f>
        <v>45801</v>
      </c>
      <c r="C1056" s="18" t="n">
        <f aca="false">Bank_Statement!C296</f>
        <v>-606.42</v>
      </c>
      <c r="D1056" s="16" t="str">
        <f aca="false">Bank_Statement!D296</f>
        <v>PMT-V1006</v>
      </c>
      <c r="E1056" s="16" t="str">
        <f aca="false">Bank_Statement!E296</f>
        <v>PAY40295</v>
      </c>
      <c r="F1056" s="16" t="str">
        <f aca="false">IF(E1056="","N/A",IF(COUNTIF(Payment_Log_AP!$A$2:$A$753,E1056)&gt;0,"Yes","No"))</f>
        <v>Yes</v>
      </c>
      <c r="G1056" s="16" t="str">
        <f aca="false">IF(E1056="","Unexplained Bank Item (fee/other - review)",IF(F1056="Yes","Matched","Payment Reference Not Found in AP Log"))</f>
        <v>Matched</v>
      </c>
    </row>
    <row r="1057" customFormat="false" ht="15" hidden="false" customHeight="false" outlineLevel="0" collapsed="false">
      <c r="A1057" s="16" t="str">
        <f aca="false">Bank_Statement!A297</f>
        <v>BNK50296</v>
      </c>
      <c r="B1057" s="17" t="n">
        <f aca="false">Bank_Statement!B297</f>
        <v>45979</v>
      </c>
      <c r="C1057" s="18" t="n">
        <f aca="false">Bank_Statement!C297</f>
        <v>-1652.62</v>
      </c>
      <c r="D1057" s="16" t="str">
        <f aca="false">Bank_Statement!D297</f>
        <v>PMT-V1002</v>
      </c>
      <c r="E1057" s="16" t="str">
        <f aca="false">Bank_Statement!E297</f>
        <v>PAY40296</v>
      </c>
      <c r="F1057" s="16" t="str">
        <f aca="false">IF(E1057="","N/A",IF(COUNTIF(Payment_Log_AP!$A$2:$A$753,E1057)&gt;0,"Yes","No"))</f>
        <v>Yes</v>
      </c>
      <c r="G1057" s="16" t="str">
        <f aca="false">IF(E1057="","Unexplained Bank Item (fee/other - review)",IF(F1057="Yes","Matched","Payment Reference Not Found in AP Log"))</f>
        <v>Matched</v>
      </c>
    </row>
    <row r="1058" customFormat="false" ht="15" hidden="false" customHeight="false" outlineLevel="0" collapsed="false">
      <c r="A1058" s="16" t="str">
        <f aca="false">Bank_Statement!A298</f>
        <v>BNK50297</v>
      </c>
      <c r="B1058" s="17" t="n">
        <f aca="false">Bank_Statement!B298</f>
        <v>45923</v>
      </c>
      <c r="C1058" s="18" t="n">
        <f aca="false">Bank_Statement!C298</f>
        <v>-609.35</v>
      </c>
      <c r="D1058" s="16" t="str">
        <f aca="false">Bank_Statement!D298</f>
        <v>PMT-V1012</v>
      </c>
      <c r="E1058" s="16" t="str">
        <f aca="false">Bank_Statement!E298</f>
        <v>PAY40297</v>
      </c>
      <c r="F1058" s="16" t="str">
        <f aca="false">IF(E1058="","N/A",IF(COUNTIF(Payment_Log_AP!$A$2:$A$753,E1058)&gt;0,"Yes","No"))</f>
        <v>Yes</v>
      </c>
      <c r="G1058" s="16" t="str">
        <f aca="false">IF(E1058="","Unexplained Bank Item (fee/other - review)",IF(F1058="Yes","Matched","Payment Reference Not Found in AP Log"))</f>
        <v>Matched</v>
      </c>
    </row>
    <row r="1059" customFormat="false" ht="15" hidden="false" customHeight="false" outlineLevel="0" collapsed="false">
      <c r="A1059" s="16" t="str">
        <f aca="false">Bank_Statement!A299</f>
        <v>BNK50298</v>
      </c>
      <c r="B1059" s="17" t="n">
        <f aca="false">Bank_Statement!B299</f>
        <v>45930</v>
      </c>
      <c r="C1059" s="18" t="n">
        <f aca="false">Bank_Statement!C299</f>
        <v>-1216.45</v>
      </c>
      <c r="D1059" s="16" t="str">
        <f aca="false">Bank_Statement!D299</f>
        <v>PMT-V1011</v>
      </c>
      <c r="E1059" s="16" t="str">
        <f aca="false">Bank_Statement!E299</f>
        <v>PAY40298</v>
      </c>
      <c r="F1059" s="16" t="str">
        <f aca="false">IF(E1059="","N/A",IF(COUNTIF(Payment_Log_AP!$A$2:$A$753,E1059)&gt;0,"Yes","No"))</f>
        <v>Yes</v>
      </c>
      <c r="G1059" s="16" t="str">
        <f aca="false">IF(E1059="","Unexplained Bank Item (fee/other - review)",IF(F1059="Yes","Matched","Payment Reference Not Found in AP Log"))</f>
        <v>Matched</v>
      </c>
    </row>
    <row r="1060" customFormat="false" ht="15" hidden="false" customHeight="false" outlineLevel="0" collapsed="false">
      <c r="A1060" s="16" t="str">
        <f aca="false">Bank_Statement!A300</f>
        <v>BNK50299</v>
      </c>
      <c r="B1060" s="17" t="n">
        <f aca="false">Bank_Statement!B300</f>
        <v>46166</v>
      </c>
      <c r="C1060" s="18" t="n">
        <f aca="false">Bank_Statement!C300</f>
        <v>-3585.97</v>
      </c>
      <c r="D1060" s="16" t="str">
        <f aca="false">Bank_Statement!D300</f>
        <v>PMT-V1037</v>
      </c>
      <c r="E1060" s="16" t="str">
        <f aca="false">Bank_Statement!E300</f>
        <v>PAY40299</v>
      </c>
      <c r="F1060" s="16" t="str">
        <f aca="false">IF(E1060="","N/A",IF(COUNTIF(Payment_Log_AP!$A$2:$A$753,E1060)&gt;0,"Yes","No"))</f>
        <v>Yes</v>
      </c>
      <c r="G1060" s="16" t="str">
        <f aca="false">IF(E1060="","Unexplained Bank Item (fee/other - review)",IF(F1060="Yes","Matched","Payment Reference Not Found in AP Log"))</f>
        <v>Matched</v>
      </c>
    </row>
    <row r="1061" customFormat="false" ht="15" hidden="false" customHeight="false" outlineLevel="0" collapsed="false">
      <c r="A1061" s="16" t="str">
        <f aca="false">Bank_Statement!A301</f>
        <v>BNK50300</v>
      </c>
      <c r="B1061" s="17" t="n">
        <f aca="false">Bank_Statement!B301</f>
        <v>45876</v>
      </c>
      <c r="C1061" s="18" t="n">
        <f aca="false">Bank_Statement!C301</f>
        <v>-5413.88</v>
      </c>
      <c r="D1061" s="16" t="str">
        <f aca="false">Bank_Statement!D301</f>
        <v>PMT-V1006</v>
      </c>
      <c r="E1061" s="16" t="str">
        <f aca="false">Bank_Statement!E301</f>
        <v>PAY40300</v>
      </c>
      <c r="F1061" s="16" t="str">
        <f aca="false">IF(E1061="","N/A",IF(COUNTIF(Payment_Log_AP!$A$2:$A$753,E1061)&gt;0,"Yes","No"))</f>
        <v>Yes</v>
      </c>
      <c r="G1061" s="16" t="str">
        <f aca="false">IF(E1061="","Unexplained Bank Item (fee/other - review)",IF(F1061="Yes","Matched","Payment Reference Not Found in AP Log"))</f>
        <v>Matched</v>
      </c>
    </row>
    <row r="1062" customFormat="false" ht="15" hidden="false" customHeight="false" outlineLevel="0" collapsed="false">
      <c r="A1062" s="16" t="str">
        <f aca="false">Bank_Statement!A302</f>
        <v>BNK50301</v>
      </c>
      <c r="B1062" s="17" t="n">
        <f aca="false">Bank_Statement!B302</f>
        <v>46045</v>
      </c>
      <c r="C1062" s="18" t="n">
        <f aca="false">Bank_Statement!C302</f>
        <v>-4075.62</v>
      </c>
      <c r="D1062" s="16" t="str">
        <f aca="false">Bank_Statement!D302</f>
        <v>PMT-V1029</v>
      </c>
      <c r="E1062" s="16" t="str">
        <f aca="false">Bank_Statement!E302</f>
        <v>PAY40301</v>
      </c>
      <c r="F1062" s="16" t="str">
        <f aca="false">IF(E1062="","N/A",IF(COUNTIF(Payment_Log_AP!$A$2:$A$753,E1062)&gt;0,"Yes","No"))</f>
        <v>Yes</v>
      </c>
      <c r="G1062" s="16" t="str">
        <f aca="false">IF(E1062="","Unexplained Bank Item (fee/other - review)",IF(F1062="Yes","Matched","Payment Reference Not Found in AP Log"))</f>
        <v>Matched</v>
      </c>
    </row>
    <row r="1063" customFormat="false" ht="15" hidden="false" customHeight="false" outlineLevel="0" collapsed="false">
      <c r="A1063" s="16" t="str">
        <f aca="false">Bank_Statement!A303</f>
        <v>BNK50302</v>
      </c>
      <c r="B1063" s="17" t="n">
        <f aca="false">Bank_Statement!B303</f>
        <v>46027</v>
      </c>
      <c r="C1063" s="18" t="n">
        <f aca="false">Bank_Statement!C303</f>
        <v>-674.21</v>
      </c>
      <c r="D1063" s="16" t="str">
        <f aca="false">Bank_Statement!D303</f>
        <v>PMT-V1037</v>
      </c>
      <c r="E1063" s="16" t="str">
        <f aca="false">Bank_Statement!E303</f>
        <v>PAY40302</v>
      </c>
      <c r="F1063" s="16" t="str">
        <f aca="false">IF(E1063="","N/A",IF(COUNTIF(Payment_Log_AP!$A$2:$A$753,E1063)&gt;0,"Yes","No"))</f>
        <v>Yes</v>
      </c>
      <c r="G1063" s="16" t="str">
        <f aca="false">IF(E1063="","Unexplained Bank Item (fee/other - review)",IF(F1063="Yes","Matched","Payment Reference Not Found in AP Log"))</f>
        <v>Matched</v>
      </c>
    </row>
    <row r="1064" customFormat="false" ht="15" hidden="false" customHeight="false" outlineLevel="0" collapsed="false">
      <c r="A1064" s="16" t="str">
        <f aca="false">Bank_Statement!A304</f>
        <v>BNK50303</v>
      </c>
      <c r="B1064" s="17" t="n">
        <f aca="false">Bank_Statement!B304</f>
        <v>46087</v>
      </c>
      <c r="C1064" s="18" t="n">
        <f aca="false">Bank_Statement!C304</f>
        <v>-1314.98</v>
      </c>
      <c r="D1064" s="16" t="str">
        <f aca="false">Bank_Statement!D304</f>
        <v>PMT-V1007</v>
      </c>
      <c r="E1064" s="16" t="str">
        <f aca="false">Bank_Statement!E304</f>
        <v>PAY40303</v>
      </c>
      <c r="F1064" s="16" t="str">
        <f aca="false">IF(E1064="","N/A",IF(COUNTIF(Payment_Log_AP!$A$2:$A$753,E1064)&gt;0,"Yes","No"))</f>
        <v>Yes</v>
      </c>
      <c r="G1064" s="16" t="str">
        <f aca="false">IF(E1064="","Unexplained Bank Item (fee/other - review)",IF(F1064="Yes","Matched","Payment Reference Not Found in AP Log"))</f>
        <v>Matched</v>
      </c>
    </row>
    <row r="1065" customFormat="false" ht="15" hidden="false" customHeight="false" outlineLevel="0" collapsed="false">
      <c r="A1065" s="16" t="str">
        <f aca="false">Bank_Statement!A305</f>
        <v>BNK50304</v>
      </c>
      <c r="B1065" s="17" t="n">
        <f aca="false">Bank_Statement!B305</f>
        <v>46098</v>
      </c>
      <c r="C1065" s="18" t="n">
        <f aca="false">Bank_Statement!C305</f>
        <v>-1314.98</v>
      </c>
      <c r="D1065" s="16" t="str">
        <f aca="false">Bank_Statement!D305</f>
        <v>PMT-V1007</v>
      </c>
      <c r="E1065" s="16" t="str">
        <f aca="false">Bank_Statement!E305</f>
        <v>PAY40304</v>
      </c>
      <c r="F1065" s="16" t="str">
        <f aca="false">IF(E1065="","N/A",IF(COUNTIF(Payment_Log_AP!$A$2:$A$753,E1065)&gt;0,"Yes","No"))</f>
        <v>Yes</v>
      </c>
      <c r="G1065" s="16" t="str">
        <f aca="false">IF(E1065="","Unexplained Bank Item (fee/other - review)",IF(F1065="Yes","Matched","Payment Reference Not Found in AP Log"))</f>
        <v>Matched</v>
      </c>
    </row>
    <row r="1066" customFormat="false" ht="15" hidden="false" customHeight="false" outlineLevel="0" collapsed="false">
      <c r="A1066" s="16" t="str">
        <f aca="false">Bank_Statement!A306</f>
        <v>BNK50305</v>
      </c>
      <c r="B1066" s="17" t="n">
        <f aca="false">Bank_Statement!B306</f>
        <v>45800</v>
      </c>
      <c r="C1066" s="18" t="n">
        <f aca="false">Bank_Statement!C306</f>
        <v>-427.04</v>
      </c>
      <c r="D1066" s="16" t="str">
        <f aca="false">Bank_Statement!D306</f>
        <v>PMT-V1040</v>
      </c>
      <c r="E1066" s="16" t="str">
        <f aca="false">Bank_Statement!E306</f>
        <v>PAY40305</v>
      </c>
      <c r="F1066" s="16" t="str">
        <f aca="false">IF(E1066="","N/A",IF(COUNTIF(Payment_Log_AP!$A$2:$A$753,E1066)&gt;0,"Yes","No"))</f>
        <v>Yes</v>
      </c>
      <c r="G1066" s="16" t="str">
        <f aca="false">IF(E1066="","Unexplained Bank Item (fee/other - review)",IF(F1066="Yes","Matched","Payment Reference Not Found in AP Log"))</f>
        <v>Matched</v>
      </c>
    </row>
    <row r="1067" customFormat="false" ht="15" hidden="false" customHeight="false" outlineLevel="0" collapsed="false">
      <c r="A1067" s="16" t="str">
        <f aca="false">Bank_Statement!A307</f>
        <v>BNK50306</v>
      </c>
      <c r="B1067" s="17" t="n">
        <f aca="false">Bank_Statement!B307</f>
        <v>45797</v>
      </c>
      <c r="C1067" s="18" t="n">
        <f aca="false">Bank_Statement!C307</f>
        <v>-427.04</v>
      </c>
      <c r="D1067" s="16" t="str">
        <f aca="false">Bank_Statement!D307</f>
        <v>PMT-V1040</v>
      </c>
      <c r="E1067" s="16" t="str">
        <f aca="false">Bank_Statement!E307</f>
        <v>PAY40306</v>
      </c>
      <c r="F1067" s="16" t="str">
        <f aca="false">IF(E1067="","N/A",IF(COUNTIF(Payment_Log_AP!$A$2:$A$753,E1067)&gt;0,"Yes","No"))</f>
        <v>Yes</v>
      </c>
      <c r="G1067" s="16" t="str">
        <f aca="false">IF(E1067="","Unexplained Bank Item (fee/other - review)",IF(F1067="Yes","Matched","Payment Reference Not Found in AP Log"))</f>
        <v>Matched</v>
      </c>
    </row>
    <row r="1068" customFormat="false" ht="15" hidden="false" customHeight="false" outlineLevel="0" collapsed="false">
      <c r="A1068" s="16" t="str">
        <f aca="false">Bank_Statement!A308</f>
        <v>BNK50307</v>
      </c>
      <c r="B1068" s="17" t="n">
        <f aca="false">Bank_Statement!B308</f>
        <v>45794</v>
      </c>
      <c r="C1068" s="18" t="n">
        <f aca="false">Bank_Statement!C308</f>
        <v>-1109.9</v>
      </c>
      <c r="D1068" s="16" t="str">
        <f aca="false">Bank_Statement!D308</f>
        <v>PMT-V1003</v>
      </c>
      <c r="E1068" s="16" t="str">
        <f aca="false">Bank_Statement!E308</f>
        <v>PAY40307</v>
      </c>
      <c r="F1068" s="16" t="str">
        <f aca="false">IF(E1068="","N/A",IF(COUNTIF(Payment_Log_AP!$A$2:$A$753,E1068)&gt;0,"Yes","No"))</f>
        <v>Yes</v>
      </c>
      <c r="G1068" s="16" t="str">
        <f aca="false">IF(E1068="","Unexplained Bank Item (fee/other - review)",IF(F1068="Yes","Matched","Payment Reference Not Found in AP Log"))</f>
        <v>Matched</v>
      </c>
    </row>
    <row r="1069" customFormat="false" ht="15" hidden="false" customHeight="false" outlineLevel="0" collapsed="false">
      <c r="A1069" s="16" t="str">
        <f aca="false">Bank_Statement!A309</f>
        <v>BNK50308</v>
      </c>
      <c r="B1069" s="17" t="n">
        <f aca="false">Bank_Statement!B309</f>
        <v>46061</v>
      </c>
      <c r="C1069" s="18" t="n">
        <f aca="false">Bank_Statement!C309</f>
        <v>-3284.61</v>
      </c>
      <c r="D1069" s="16" t="str">
        <f aca="false">Bank_Statement!D309</f>
        <v>PMT-V1001</v>
      </c>
      <c r="E1069" s="16" t="str">
        <f aca="false">Bank_Statement!E309</f>
        <v>PAY40308</v>
      </c>
      <c r="F1069" s="16" t="str">
        <f aca="false">IF(E1069="","N/A",IF(COUNTIF(Payment_Log_AP!$A$2:$A$753,E1069)&gt;0,"Yes","No"))</f>
        <v>Yes</v>
      </c>
      <c r="G1069" s="16" t="str">
        <f aca="false">IF(E1069="","Unexplained Bank Item (fee/other - review)",IF(F1069="Yes","Matched","Payment Reference Not Found in AP Log"))</f>
        <v>Matched</v>
      </c>
    </row>
    <row r="1070" customFormat="false" ht="15" hidden="false" customHeight="false" outlineLevel="0" collapsed="false">
      <c r="A1070" s="16" t="str">
        <f aca="false">Bank_Statement!A310</f>
        <v>BNK50309</v>
      </c>
      <c r="B1070" s="17" t="n">
        <f aca="false">Bank_Statement!B310</f>
        <v>45785</v>
      </c>
      <c r="C1070" s="18" t="n">
        <f aca="false">Bank_Statement!C310</f>
        <v>-2187.07</v>
      </c>
      <c r="D1070" s="16" t="str">
        <f aca="false">Bank_Statement!D310</f>
        <v>PMT-V1028</v>
      </c>
      <c r="E1070" s="16" t="str">
        <f aca="false">Bank_Statement!E310</f>
        <v>PAY40309</v>
      </c>
      <c r="F1070" s="16" t="str">
        <f aca="false">IF(E1070="","N/A",IF(COUNTIF(Payment_Log_AP!$A$2:$A$753,E1070)&gt;0,"Yes","No"))</f>
        <v>Yes</v>
      </c>
      <c r="G1070" s="16" t="str">
        <f aca="false">IF(E1070="","Unexplained Bank Item (fee/other - review)",IF(F1070="Yes","Matched","Payment Reference Not Found in AP Log"))</f>
        <v>Matched</v>
      </c>
    </row>
    <row r="1071" customFormat="false" ht="15" hidden="false" customHeight="false" outlineLevel="0" collapsed="false">
      <c r="A1071" s="16" t="str">
        <f aca="false">Bank_Statement!A311</f>
        <v>BNK50310</v>
      </c>
      <c r="B1071" s="17" t="n">
        <f aca="false">Bank_Statement!B311</f>
        <v>45786</v>
      </c>
      <c r="C1071" s="18" t="n">
        <f aca="false">Bank_Statement!C311</f>
        <v>-4407.35</v>
      </c>
      <c r="D1071" s="16" t="str">
        <f aca="false">Bank_Statement!D311</f>
        <v>PMT-V1026</v>
      </c>
      <c r="E1071" s="16" t="str">
        <f aca="false">Bank_Statement!E311</f>
        <v>PAY40310</v>
      </c>
      <c r="F1071" s="16" t="str">
        <f aca="false">IF(E1071="","N/A",IF(COUNTIF(Payment_Log_AP!$A$2:$A$753,E1071)&gt;0,"Yes","No"))</f>
        <v>Yes</v>
      </c>
      <c r="G1071" s="16" t="str">
        <f aca="false">IF(E1071="","Unexplained Bank Item (fee/other - review)",IF(F1071="Yes","Matched","Payment Reference Not Found in AP Log"))</f>
        <v>Matched</v>
      </c>
    </row>
    <row r="1072" customFormat="false" ht="15" hidden="false" customHeight="false" outlineLevel="0" collapsed="false">
      <c r="A1072" s="16" t="str">
        <f aca="false">Bank_Statement!A312</f>
        <v>BNK50311</v>
      </c>
      <c r="B1072" s="17" t="n">
        <f aca="false">Bank_Statement!B312</f>
        <v>45713</v>
      </c>
      <c r="C1072" s="18" t="n">
        <f aca="false">Bank_Statement!C312</f>
        <v>-814.56</v>
      </c>
      <c r="D1072" s="16" t="str">
        <f aca="false">Bank_Statement!D312</f>
        <v>PMT-V1024</v>
      </c>
      <c r="E1072" s="16" t="str">
        <f aca="false">Bank_Statement!E312</f>
        <v>PAY40311</v>
      </c>
      <c r="F1072" s="16" t="str">
        <f aca="false">IF(E1072="","N/A",IF(COUNTIF(Payment_Log_AP!$A$2:$A$753,E1072)&gt;0,"Yes","No"))</f>
        <v>Yes</v>
      </c>
      <c r="G1072" s="16" t="str">
        <f aca="false">IF(E1072="","Unexplained Bank Item (fee/other - review)",IF(F1072="Yes","Matched","Payment Reference Not Found in AP Log"))</f>
        <v>Matched</v>
      </c>
    </row>
    <row r="1073" customFormat="false" ht="15" hidden="false" customHeight="false" outlineLevel="0" collapsed="false">
      <c r="A1073" s="16" t="str">
        <f aca="false">Bank_Statement!A313</f>
        <v>BNK50312</v>
      </c>
      <c r="B1073" s="17" t="n">
        <f aca="false">Bank_Statement!B313</f>
        <v>45674</v>
      </c>
      <c r="C1073" s="18" t="n">
        <f aca="false">Bank_Statement!C313</f>
        <v>-988.16</v>
      </c>
      <c r="D1073" s="16" t="str">
        <f aca="false">Bank_Statement!D313</f>
        <v>PMT-V1003</v>
      </c>
      <c r="E1073" s="16" t="str">
        <f aca="false">Bank_Statement!E313</f>
        <v>PAY40312</v>
      </c>
      <c r="F1073" s="16" t="str">
        <f aca="false">IF(E1073="","N/A",IF(COUNTIF(Payment_Log_AP!$A$2:$A$753,E1073)&gt;0,"Yes","No"))</f>
        <v>Yes</v>
      </c>
      <c r="G1073" s="16" t="str">
        <f aca="false">IF(E1073="","Unexplained Bank Item (fee/other - review)",IF(F1073="Yes","Matched","Payment Reference Not Found in AP Log"))</f>
        <v>Matched</v>
      </c>
    </row>
    <row r="1074" customFormat="false" ht="15" hidden="false" customHeight="false" outlineLevel="0" collapsed="false">
      <c r="A1074" s="16" t="str">
        <f aca="false">Bank_Statement!A314</f>
        <v>BNK50313</v>
      </c>
      <c r="B1074" s="17" t="n">
        <f aca="false">Bank_Statement!B314</f>
        <v>45927</v>
      </c>
      <c r="C1074" s="18" t="n">
        <f aca="false">Bank_Statement!C314</f>
        <v>-721.3</v>
      </c>
      <c r="D1074" s="16" t="str">
        <f aca="false">Bank_Statement!D314</f>
        <v>PMT-V1003</v>
      </c>
      <c r="E1074" s="16" t="str">
        <f aca="false">Bank_Statement!E314</f>
        <v>PAY40313</v>
      </c>
      <c r="F1074" s="16" t="str">
        <f aca="false">IF(E1074="","N/A",IF(COUNTIF(Payment_Log_AP!$A$2:$A$753,E1074)&gt;0,"Yes","No"))</f>
        <v>Yes</v>
      </c>
      <c r="G1074" s="16" t="str">
        <f aca="false">IF(E1074="","Unexplained Bank Item (fee/other - review)",IF(F1074="Yes","Matched","Payment Reference Not Found in AP Log"))</f>
        <v>Matched</v>
      </c>
    </row>
    <row r="1075" customFormat="false" ht="15" hidden="false" customHeight="false" outlineLevel="0" collapsed="false">
      <c r="A1075" s="16" t="str">
        <f aca="false">Bank_Statement!A315</f>
        <v>BNK50314</v>
      </c>
      <c r="B1075" s="17" t="n">
        <f aca="false">Bank_Statement!B315</f>
        <v>46008</v>
      </c>
      <c r="C1075" s="18" t="n">
        <f aca="false">Bank_Statement!C315</f>
        <v>-5762.48</v>
      </c>
      <c r="D1075" s="16" t="str">
        <f aca="false">Bank_Statement!D315</f>
        <v>PMT-V1004</v>
      </c>
      <c r="E1075" s="16" t="str">
        <f aca="false">Bank_Statement!E315</f>
        <v>PAY40314</v>
      </c>
      <c r="F1075" s="16" t="str">
        <f aca="false">IF(E1075="","N/A",IF(COUNTIF(Payment_Log_AP!$A$2:$A$753,E1075)&gt;0,"Yes","No"))</f>
        <v>Yes</v>
      </c>
      <c r="G1075" s="16" t="str">
        <f aca="false">IF(E1075="","Unexplained Bank Item (fee/other - review)",IF(F1075="Yes","Matched","Payment Reference Not Found in AP Log"))</f>
        <v>Matched</v>
      </c>
    </row>
    <row r="1076" customFormat="false" ht="15" hidden="false" customHeight="false" outlineLevel="0" collapsed="false">
      <c r="A1076" s="16" t="str">
        <f aca="false">Bank_Statement!A316</f>
        <v>BNK50315</v>
      </c>
      <c r="B1076" s="17" t="n">
        <f aca="false">Bank_Statement!B316</f>
        <v>45850</v>
      </c>
      <c r="C1076" s="18" t="n">
        <f aca="false">Bank_Statement!C316</f>
        <v>-3958.91</v>
      </c>
      <c r="D1076" s="16" t="str">
        <f aca="false">Bank_Statement!D316</f>
        <v>PMT-V1005</v>
      </c>
      <c r="E1076" s="16" t="str">
        <f aca="false">Bank_Statement!E316</f>
        <v>PAY40315</v>
      </c>
      <c r="F1076" s="16" t="str">
        <f aca="false">IF(E1076="","N/A",IF(COUNTIF(Payment_Log_AP!$A$2:$A$753,E1076)&gt;0,"Yes","No"))</f>
        <v>Yes</v>
      </c>
      <c r="G1076" s="16" t="str">
        <f aca="false">IF(E1076="","Unexplained Bank Item (fee/other - review)",IF(F1076="Yes","Matched","Payment Reference Not Found in AP Log"))</f>
        <v>Matched</v>
      </c>
    </row>
    <row r="1077" customFormat="false" ht="15" hidden="false" customHeight="false" outlineLevel="0" collapsed="false">
      <c r="A1077" s="16" t="str">
        <f aca="false">Bank_Statement!A317</f>
        <v>BNK50316</v>
      </c>
      <c r="B1077" s="17" t="n">
        <f aca="false">Bank_Statement!B317</f>
        <v>46097</v>
      </c>
      <c r="C1077" s="18" t="n">
        <f aca="false">Bank_Statement!C317</f>
        <v>-1396.44</v>
      </c>
      <c r="D1077" s="16" t="str">
        <f aca="false">Bank_Statement!D317</f>
        <v>PMT-V1025</v>
      </c>
      <c r="E1077" s="16" t="str">
        <f aca="false">Bank_Statement!E317</f>
        <v>PAY40316</v>
      </c>
      <c r="F1077" s="16" t="str">
        <f aca="false">IF(E1077="","N/A",IF(COUNTIF(Payment_Log_AP!$A$2:$A$753,E1077)&gt;0,"Yes","No"))</f>
        <v>Yes</v>
      </c>
      <c r="G1077" s="16" t="str">
        <f aca="false">IF(E1077="","Unexplained Bank Item (fee/other - review)",IF(F1077="Yes","Matched","Payment Reference Not Found in AP Log"))</f>
        <v>Matched</v>
      </c>
    </row>
    <row r="1078" customFormat="false" ht="15" hidden="false" customHeight="false" outlineLevel="0" collapsed="false">
      <c r="A1078" s="16" t="str">
        <f aca="false">Bank_Statement!A318</f>
        <v>BNK50317</v>
      </c>
      <c r="B1078" s="17" t="n">
        <f aca="false">Bank_Statement!B318</f>
        <v>46103</v>
      </c>
      <c r="C1078" s="18" t="n">
        <f aca="false">Bank_Statement!C318</f>
        <v>-1396.44</v>
      </c>
      <c r="D1078" s="16" t="str">
        <f aca="false">Bank_Statement!D318</f>
        <v>PMT-V1025</v>
      </c>
      <c r="E1078" s="16" t="str">
        <f aca="false">Bank_Statement!E318</f>
        <v>PAY40317</v>
      </c>
      <c r="F1078" s="16" t="str">
        <f aca="false">IF(E1078="","N/A",IF(COUNTIF(Payment_Log_AP!$A$2:$A$753,E1078)&gt;0,"Yes","No"))</f>
        <v>Yes</v>
      </c>
      <c r="G1078" s="16" t="str">
        <f aca="false">IF(E1078="","Unexplained Bank Item (fee/other - review)",IF(F1078="Yes","Matched","Payment Reference Not Found in AP Log"))</f>
        <v>Matched</v>
      </c>
    </row>
    <row r="1079" customFormat="false" ht="15" hidden="false" customHeight="false" outlineLevel="0" collapsed="false">
      <c r="A1079" s="16" t="str">
        <f aca="false">Bank_Statement!A319</f>
        <v>BNK50318</v>
      </c>
      <c r="B1079" s="17" t="n">
        <f aca="false">Bank_Statement!B319</f>
        <v>45958</v>
      </c>
      <c r="C1079" s="18" t="n">
        <f aca="false">Bank_Statement!C319</f>
        <v>-1682.49</v>
      </c>
      <c r="D1079" s="16" t="str">
        <f aca="false">Bank_Statement!D319</f>
        <v>PMT-V1001</v>
      </c>
      <c r="E1079" s="16" t="str">
        <f aca="false">Bank_Statement!E319</f>
        <v>PAY40318</v>
      </c>
      <c r="F1079" s="16" t="str">
        <f aca="false">IF(E1079="","N/A",IF(COUNTIF(Payment_Log_AP!$A$2:$A$753,E1079)&gt;0,"Yes","No"))</f>
        <v>Yes</v>
      </c>
      <c r="G1079" s="16" t="str">
        <f aca="false">IF(E1079="","Unexplained Bank Item (fee/other - review)",IF(F1079="Yes","Matched","Payment Reference Not Found in AP Log"))</f>
        <v>Matched</v>
      </c>
    </row>
    <row r="1080" customFormat="false" ht="15" hidden="false" customHeight="false" outlineLevel="0" collapsed="false">
      <c r="A1080" s="16" t="str">
        <f aca="false">Bank_Statement!A320</f>
        <v>BNK50319</v>
      </c>
      <c r="B1080" s="17" t="n">
        <f aca="false">Bank_Statement!B320</f>
        <v>46049</v>
      </c>
      <c r="C1080" s="18" t="n">
        <f aca="false">Bank_Statement!C320</f>
        <v>-1974.18</v>
      </c>
      <c r="D1080" s="16" t="str">
        <f aca="false">Bank_Statement!D320</f>
        <v>PMT-V1037</v>
      </c>
      <c r="E1080" s="16" t="str">
        <f aca="false">Bank_Statement!E320</f>
        <v>PAY40319</v>
      </c>
      <c r="F1080" s="16" t="str">
        <f aca="false">IF(E1080="","N/A",IF(COUNTIF(Payment_Log_AP!$A$2:$A$753,E1080)&gt;0,"Yes","No"))</f>
        <v>Yes</v>
      </c>
      <c r="G1080" s="16" t="str">
        <f aca="false">IF(E1080="","Unexplained Bank Item (fee/other - review)",IF(F1080="Yes","Matched","Payment Reference Not Found in AP Log"))</f>
        <v>Matched</v>
      </c>
    </row>
    <row r="1081" customFormat="false" ht="15" hidden="false" customHeight="false" outlineLevel="0" collapsed="false">
      <c r="A1081" s="16" t="str">
        <f aca="false">Bank_Statement!A321</f>
        <v>BNK50320</v>
      </c>
      <c r="B1081" s="17" t="n">
        <f aca="false">Bank_Statement!B321</f>
        <v>46018</v>
      </c>
      <c r="C1081" s="18" t="n">
        <f aca="false">Bank_Statement!C321</f>
        <v>-2928.06</v>
      </c>
      <c r="D1081" s="16" t="str">
        <f aca="false">Bank_Statement!D321</f>
        <v>PMT-V1020</v>
      </c>
      <c r="E1081" s="16" t="str">
        <f aca="false">Bank_Statement!E321</f>
        <v>PAY40320</v>
      </c>
      <c r="F1081" s="16" t="str">
        <f aca="false">IF(E1081="","N/A",IF(COUNTIF(Payment_Log_AP!$A$2:$A$753,E1081)&gt;0,"Yes","No"))</f>
        <v>Yes</v>
      </c>
      <c r="G1081" s="16" t="str">
        <f aca="false">IF(E1081="","Unexplained Bank Item (fee/other - review)",IF(F1081="Yes","Matched","Payment Reference Not Found in AP Log"))</f>
        <v>Matched</v>
      </c>
    </row>
    <row r="1082" customFormat="false" ht="15" hidden="false" customHeight="false" outlineLevel="0" collapsed="false">
      <c r="A1082" s="16" t="str">
        <f aca="false">Bank_Statement!A322</f>
        <v>BNK50321</v>
      </c>
      <c r="B1082" s="17" t="n">
        <f aca="false">Bank_Statement!B322</f>
        <v>46047</v>
      </c>
      <c r="C1082" s="18" t="n">
        <f aca="false">Bank_Statement!C322</f>
        <v>-3306.72</v>
      </c>
      <c r="D1082" s="16" t="str">
        <f aca="false">Bank_Statement!D322</f>
        <v>PMT-V1040</v>
      </c>
      <c r="E1082" s="16" t="str">
        <f aca="false">Bank_Statement!E322</f>
        <v>PAY40321</v>
      </c>
      <c r="F1082" s="16" t="str">
        <f aca="false">IF(E1082="","N/A",IF(COUNTIF(Payment_Log_AP!$A$2:$A$753,E1082)&gt;0,"Yes","No"))</f>
        <v>Yes</v>
      </c>
      <c r="G1082" s="16" t="str">
        <f aca="false">IF(E1082="","Unexplained Bank Item (fee/other - review)",IF(F1082="Yes","Matched","Payment Reference Not Found in AP Log"))</f>
        <v>Matched</v>
      </c>
    </row>
    <row r="1083" customFormat="false" ht="15" hidden="false" customHeight="false" outlineLevel="0" collapsed="false">
      <c r="A1083" s="16" t="str">
        <f aca="false">Bank_Statement!A323</f>
        <v>BNK50322</v>
      </c>
      <c r="B1083" s="17" t="n">
        <f aca="false">Bank_Statement!B323</f>
        <v>46180</v>
      </c>
      <c r="C1083" s="18" t="n">
        <f aca="false">Bank_Statement!C323</f>
        <v>-7330.11</v>
      </c>
      <c r="D1083" s="16" t="str">
        <f aca="false">Bank_Statement!D323</f>
        <v>PMT-V1019</v>
      </c>
      <c r="E1083" s="16" t="str">
        <f aca="false">Bank_Statement!E323</f>
        <v>PAY40322</v>
      </c>
      <c r="F1083" s="16" t="str">
        <f aca="false">IF(E1083="","N/A",IF(COUNTIF(Payment_Log_AP!$A$2:$A$753,E1083)&gt;0,"Yes","No"))</f>
        <v>Yes</v>
      </c>
      <c r="G1083" s="16" t="str">
        <f aca="false">IF(E1083="","Unexplained Bank Item (fee/other - review)",IF(F1083="Yes","Matched","Payment Reference Not Found in AP Log"))</f>
        <v>Matched</v>
      </c>
    </row>
    <row r="1084" customFormat="false" ht="15" hidden="false" customHeight="false" outlineLevel="0" collapsed="false">
      <c r="A1084" s="16" t="str">
        <f aca="false">Bank_Statement!A324</f>
        <v>BNK50323</v>
      </c>
      <c r="B1084" s="17" t="n">
        <f aca="false">Bank_Statement!B324</f>
        <v>45921</v>
      </c>
      <c r="C1084" s="18" t="n">
        <f aca="false">Bank_Statement!C324</f>
        <v>-305.65</v>
      </c>
      <c r="D1084" s="16" t="str">
        <f aca="false">Bank_Statement!D324</f>
        <v>PMT-V1040</v>
      </c>
      <c r="E1084" s="16" t="str">
        <f aca="false">Bank_Statement!E324</f>
        <v>PAY40323</v>
      </c>
      <c r="F1084" s="16" t="str">
        <f aca="false">IF(E1084="","N/A",IF(COUNTIF(Payment_Log_AP!$A$2:$A$753,E1084)&gt;0,"Yes","No"))</f>
        <v>Yes</v>
      </c>
      <c r="G1084" s="16" t="str">
        <f aca="false">IF(E1084="","Unexplained Bank Item (fee/other - review)",IF(F1084="Yes","Matched","Payment Reference Not Found in AP Log"))</f>
        <v>Matched</v>
      </c>
    </row>
    <row r="1085" customFormat="false" ht="15" hidden="false" customHeight="false" outlineLevel="0" collapsed="false">
      <c r="A1085" s="16" t="str">
        <f aca="false">Bank_Statement!A325</f>
        <v>BNK50324</v>
      </c>
      <c r="B1085" s="17" t="n">
        <f aca="false">Bank_Statement!B325</f>
        <v>45974</v>
      </c>
      <c r="C1085" s="18" t="n">
        <f aca="false">Bank_Statement!C325</f>
        <v>-695.44</v>
      </c>
      <c r="D1085" s="16" t="str">
        <f aca="false">Bank_Statement!D325</f>
        <v>PMT-V1012</v>
      </c>
      <c r="E1085" s="16" t="str">
        <f aca="false">Bank_Statement!E325</f>
        <v>PAY40324</v>
      </c>
      <c r="F1085" s="16" t="str">
        <f aca="false">IF(E1085="","N/A",IF(COUNTIF(Payment_Log_AP!$A$2:$A$753,E1085)&gt;0,"Yes","No"))</f>
        <v>Yes</v>
      </c>
      <c r="G1085" s="16" t="str">
        <f aca="false">IF(E1085="","Unexplained Bank Item (fee/other - review)",IF(F1085="Yes","Matched","Payment Reference Not Found in AP Log"))</f>
        <v>Matched</v>
      </c>
    </row>
    <row r="1086" customFormat="false" ht="15" hidden="false" customHeight="false" outlineLevel="0" collapsed="false">
      <c r="A1086" s="16" t="str">
        <f aca="false">Bank_Statement!A326</f>
        <v>BNK50325</v>
      </c>
      <c r="B1086" s="17" t="n">
        <f aca="false">Bank_Statement!B326</f>
        <v>46057</v>
      </c>
      <c r="C1086" s="18" t="n">
        <f aca="false">Bank_Statement!C326</f>
        <v>-8378.51</v>
      </c>
      <c r="D1086" s="16" t="str">
        <f aca="false">Bank_Statement!D326</f>
        <v>PMT-V1004</v>
      </c>
      <c r="E1086" s="16" t="str">
        <f aca="false">Bank_Statement!E326</f>
        <v>PAY40325</v>
      </c>
      <c r="F1086" s="16" t="str">
        <f aca="false">IF(E1086="","N/A",IF(COUNTIF(Payment_Log_AP!$A$2:$A$753,E1086)&gt;0,"Yes","No"))</f>
        <v>Yes</v>
      </c>
      <c r="G1086" s="16" t="str">
        <f aca="false">IF(E1086="","Unexplained Bank Item (fee/other - review)",IF(F1086="Yes","Matched","Payment Reference Not Found in AP Log"))</f>
        <v>Matched</v>
      </c>
    </row>
    <row r="1087" customFormat="false" ht="15" hidden="false" customHeight="false" outlineLevel="0" collapsed="false">
      <c r="A1087" s="16" t="str">
        <f aca="false">Bank_Statement!A327</f>
        <v>BNK50326</v>
      </c>
      <c r="B1087" s="17" t="n">
        <f aca="false">Bank_Statement!B327</f>
        <v>46199</v>
      </c>
      <c r="C1087" s="18" t="n">
        <f aca="false">Bank_Statement!C327</f>
        <v>-1194.11</v>
      </c>
      <c r="D1087" s="16" t="str">
        <f aca="false">Bank_Statement!D327</f>
        <v>PMT-V1005</v>
      </c>
      <c r="E1087" s="16" t="str">
        <f aca="false">Bank_Statement!E327</f>
        <v>PAY40326</v>
      </c>
      <c r="F1087" s="16" t="str">
        <f aca="false">IF(E1087="","N/A",IF(COUNTIF(Payment_Log_AP!$A$2:$A$753,E1087)&gt;0,"Yes","No"))</f>
        <v>Yes</v>
      </c>
      <c r="G1087" s="16" t="str">
        <f aca="false">IF(E1087="","Unexplained Bank Item (fee/other - review)",IF(F1087="Yes","Matched","Payment Reference Not Found in AP Log"))</f>
        <v>Matched</v>
      </c>
    </row>
    <row r="1088" customFormat="false" ht="15" hidden="false" customHeight="false" outlineLevel="0" collapsed="false">
      <c r="A1088" s="16" t="str">
        <f aca="false">Bank_Statement!A328</f>
        <v>BNK50327</v>
      </c>
      <c r="B1088" s="17" t="n">
        <f aca="false">Bank_Statement!B328</f>
        <v>46143</v>
      </c>
      <c r="C1088" s="18" t="n">
        <f aca="false">Bank_Statement!C328</f>
        <v>-755.76</v>
      </c>
      <c r="D1088" s="16" t="str">
        <f aca="false">Bank_Statement!D328</f>
        <v>PMT-V1013</v>
      </c>
      <c r="E1088" s="16" t="str">
        <f aca="false">Bank_Statement!E328</f>
        <v>PAY40327</v>
      </c>
      <c r="F1088" s="16" t="str">
        <f aca="false">IF(E1088="","N/A",IF(COUNTIF(Payment_Log_AP!$A$2:$A$753,E1088)&gt;0,"Yes","No"))</f>
        <v>Yes</v>
      </c>
      <c r="G1088" s="16" t="str">
        <f aca="false">IF(E1088="","Unexplained Bank Item (fee/other - review)",IF(F1088="Yes","Matched","Payment Reference Not Found in AP Log"))</f>
        <v>Matched</v>
      </c>
    </row>
    <row r="1089" customFormat="false" ht="15" hidden="false" customHeight="false" outlineLevel="0" collapsed="false">
      <c r="A1089" s="16" t="str">
        <f aca="false">Bank_Statement!A329</f>
        <v>BNK50328</v>
      </c>
      <c r="B1089" s="17" t="n">
        <f aca="false">Bank_Statement!B329</f>
        <v>45703</v>
      </c>
      <c r="C1089" s="18" t="n">
        <f aca="false">Bank_Statement!C329</f>
        <v>-14821.15</v>
      </c>
      <c r="D1089" s="16" t="str">
        <f aca="false">Bank_Statement!D329</f>
        <v>PMT-V1033</v>
      </c>
      <c r="E1089" s="16" t="str">
        <f aca="false">Bank_Statement!E329</f>
        <v>PAY40328</v>
      </c>
      <c r="F1089" s="16" t="str">
        <f aca="false">IF(E1089="","N/A",IF(COUNTIF(Payment_Log_AP!$A$2:$A$753,E1089)&gt;0,"Yes","No"))</f>
        <v>Yes</v>
      </c>
      <c r="G1089" s="16" t="str">
        <f aca="false">IF(E1089="","Unexplained Bank Item (fee/other - review)",IF(F1089="Yes","Matched","Payment Reference Not Found in AP Log"))</f>
        <v>Matched</v>
      </c>
    </row>
    <row r="1090" customFormat="false" ht="15" hidden="false" customHeight="false" outlineLevel="0" collapsed="false">
      <c r="A1090" s="16" t="str">
        <f aca="false">Bank_Statement!A330</f>
        <v>BNK50329</v>
      </c>
      <c r="B1090" s="17" t="n">
        <f aca="false">Bank_Statement!B330</f>
        <v>45857</v>
      </c>
      <c r="C1090" s="18" t="n">
        <f aca="false">Bank_Statement!C330</f>
        <v>-4303.23</v>
      </c>
      <c r="D1090" s="16" t="str">
        <f aca="false">Bank_Statement!D330</f>
        <v>PMT-V1037</v>
      </c>
      <c r="E1090" s="16" t="str">
        <f aca="false">Bank_Statement!E330</f>
        <v>PAY40329</v>
      </c>
      <c r="F1090" s="16" t="str">
        <f aca="false">IF(E1090="","N/A",IF(COUNTIF(Payment_Log_AP!$A$2:$A$753,E1090)&gt;0,"Yes","No"))</f>
        <v>Yes</v>
      </c>
      <c r="G1090" s="16" t="str">
        <f aca="false">IF(E1090="","Unexplained Bank Item (fee/other - review)",IF(F1090="Yes","Matched","Payment Reference Not Found in AP Log"))</f>
        <v>Matched</v>
      </c>
    </row>
    <row r="1091" customFormat="false" ht="15" hidden="false" customHeight="false" outlineLevel="0" collapsed="false">
      <c r="A1091" s="16" t="str">
        <f aca="false">Bank_Statement!A331</f>
        <v>BNK50330</v>
      </c>
      <c r="B1091" s="17" t="n">
        <f aca="false">Bank_Statement!B331</f>
        <v>46126</v>
      </c>
      <c r="C1091" s="18" t="n">
        <f aca="false">Bank_Statement!C331</f>
        <v>-525.18</v>
      </c>
      <c r="D1091" s="16" t="str">
        <f aca="false">Bank_Statement!D331</f>
        <v>PMT-V1035</v>
      </c>
      <c r="E1091" s="16" t="str">
        <f aca="false">Bank_Statement!E331</f>
        <v>PAY40330</v>
      </c>
      <c r="F1091" s="16" t="str">
        <f aca="false">IF(E1091="","N/A",IF(COUNTIF(Payment_Log_AP!$A$2:$A$753,E1091)&gt;0,"Yes","No"))</f>
        <v>Yes</v>
      </c>
      <c r="G1091" s="16" t="str">
        <f aca="false">IF(E1091="","Unexplained Bank Item (fee/other - review)",IF(F1091="Yes","Matched","Payment Reference Not Found in AP Log"))</f>
        <v>Matched</v>
      </c>
    </row>
    <row r="1092" customFormat="false" ht="15" hidden="false" customHeight="false" outlineLevel="0" collapsed="false">
      <c r="A1092" s="16" t="str">
        <f aca="false">Bank_Statement!A332</f>
        <v>BNK50331</v>
      </c>
      <c r="B1092" s="17" t="n">
        <f aca="false">Bank_Statement!B332</f>
        <v>46002</v>
      </c>
      <c r="C1092" s="18" t="n">
        <f aca="false">Bank_Statement!C332</f>
        <v>-2740.38</v>
      </c>
      <c r="D1092" s="16" t="str">
        <f aca="false">Bank_Statement!D332</f>
        <v>PMT-V1020</v>
      </c>
      <c r="E1092" s="16" t="str">
        <f aca="false">Bank_Statement!E332</f>
        <v>PAY40331</v>
      </c>
      <c r="F1092" s="16" t="str">
        <f aca="false">IF(E1092="","N/A",IF(COUNTIF(Payment_Log_AP!$A$2:$A$753,E1092)&gt;0,"Yes","No"))</f>
        <v>Yes</v>
      </c>
      <c r="G1092" s="16" t="str">
        <f aca="false">IF(E1092="","Unexplained Bank Item (fee/other - review)",IF(F1092="Yes","Matched","Payment Reference Not Found in AP Log"))</f>
        <v>Matched</v>
      </c>
    </row>
    <row r="1093" customFormat="false" ht="15" hidden="false" customHeight="false" outlineLevel="0" collapsed="false">
      <c r="A1093" s="16" t="str">
        <f aca="false">Bank_Statement!A333</f>
        <v>BNK50332</v>
      </c>
      <c r="B1093" s="17" t="n">
        <f aca="false">Bank_Statement!B333</f>
        <v>45851</v>
      </c>
      <c r="C1093" s="18" t="n">
        <f aca="false">Bank_Statement!C333</f>
        <v>-9606.11</v>
      </c>
      <c r="D1093" s="16" t="str">
        <f aca="false">Bank_Statement!D333</f>
        <v>PMT-V1008</v>
      </c>
      <c r="E1093" s="16" t="str">
        <f aca="false">Bank_Statement!E333</f>
        <v>PAY40332</v>
      </c>
      <c r="F1093" s="16" t="str">
        <f aca="false">IF(E1093="","N/A",IF(COUNTIF(Payment_Log_AP!$A$2:$A$753,E1093)&gt;0,"Yes","No"))</f>
        <v>Yes</v>
      </c>
      <c r="G1093" s="16" t="str">
        <f aca="false">IF(E1093="","Unexplained Bank Item (fee/other - review)",IF(F1093="Yes","Matched","Payment Reference Not Found in AP Log"))</f>
        <v>Matched</v>
      </c>
    </row>
    <row r="1094" customFormat="false" ht="15" hidden="false" customHeight="false" outlineLevel="0" collapsed="false">
      <c r="A1094" s="16" t="str">
        <f aca="false">Bank_Statement!A334</f>
        <v>BNK50333</v>
      </c>
      <c r="B1094" s="17" t="n">
        <f aca="false">Bank_Statement!B334</f>
        <v>45741</v>
      </c>
      <c r="C1094" s="18" t="n">
        <f aca="false">Bank_Statement!C334</f>
        <v>-3156.13</v>
      </c>
      <c r="D1094" s="16" t="str">
        <f aca="false">Bank_Statement!D334</f>
        <v>PMT-V1021</v>
      </c>
      <c r="E1094" s="16" t="str">
        <f aca="false">Bank_Statement!E334</f>
        <v>PAY40333</v>
      </c>
      <c r="F1094" s="16" t="str">
        <f aca="false">IF(E1094="","N/A",IF(COUNTIF(Payment_Log_AP!$A$2:$A$753,E1094)&gt;0,"Yes","No"))</f>
        <v>Yes</v>
      </c>
      <c r="G1094" s="16" t="str">
        <f aca="false">IF(E1094="","Unexplained Bank Item (fee/other - review)",IF(F1094="Yes","Matched","Payment Reference Not Found in AP Log"))</f>
        <v>Matched</v>
      </c>
    </row>
    <row r="1095" customFormat="false" ht="15" hidden="false" customHeight="false" outlineLevel="0" collapsed="false">
      <c r="A1095" s="16" t="str">
        <f aca="false">Bank_Statement!A335</f>
        <v>BNK50334</v>
      </c>
      <c r="B1095" s="17" t="n">
        <f aca="false">Bank_Statement!B335</f>
        <v>46070</v>
      </c>
      <c r="C1095" s="18" t="n">
        <f aca="false">Bank_Statement!C335</f>
        <v>-4442.2</v>
      </c>
      <c r="D1095" s="16" t="str">
        <f aca="false">Bank_Statement!D335</f>
        <v>PMT-V1037</v>
      </c>
      <c r="E1095" s="16" t="str">
        <f aca="false">Bank_Statement!E335</f>
        <v>PAY40334</v>
      </c>
      <c r="F1095" s="16" t="str">
        <f aca="false">IF(E1095="","N/A",IF(COUNTIF(Payment_Log_AP!$A$2:$A$753,E1095)&gt;0,"Yes","No"))</f>
        <v>Yes</v>
      </c>
      <c r="G1095" s="16" t="str">
        <f aca="false">IF(E1095="","Unexplained Bank Item (fee/other - review)",IF(F1095="Yes","Matched","Payment Reference Not Found in AP Log"))</f>
        <v>Matched</v>
      </c>
    </row>
    <row r="1096" customFormat="false" ht="15" hidden="false" customHeight="false" outlineLevel="0" collapsed="false">
      <c r="A1096" s="16" t="str">
        <f aca="false">Bank_Statement!A336</f>
        <v>BNK50335</v>
      </c>
      <c r="B1096" s="17" t="n">
        <f aca="false">Bank_Statement!B336</f>
        <v>45973</v>
      </c>
      <c r="C1096" s="18" t="n">
        <f aca="false">Bank_Statement!C336</f>
        <v>-2002.66</v>
      </c>
      <c r="D1096" s="16" t="str">
        <f aca="false">Bank_Statement!D336</f>
        <v>PMT-V1004</v>
      </c>
      <c r="E1096" s="16" t="str">
        <f aca="false">Bank_Statement!E336</f>
        <v>PAY40335</v>
      </c>
      <c r="F1096" s="16" t="str">
        <f aca="false">IF(E1096="","N/A",IF(COUNTIF(Payment_Log_AP!$A$2:$A$753,E1096)&gt;0,"Yes","No"))</f>
        <v>Yes</v>
      </c>
      <c r="G1096" s="16" t="str">
        <f aca="false">IF(E1096="","Unexplained Bank Item (fee/other - review)",IF(F1096="Yes","Matched","Payment Reference Not Found in AP Log"))</f>
        <v>Matched</v>
      </c>
    </row>
    <row r="1097" customFormat="false" ht="15" hidden="false" customHeight="false" outlineLevel="0" collapsed="false">
      <c r="A1097" s="16" t="str">
        <f aca="false">Bank_Statement!A337</f>
        <v>BNK50336</v>
      </c>
      <c r="B1097" s="17" t="n">
        <f aca="false">Bank_Statement!B337</f>
        <v>45971</v>
      </c>
      <c r="C1097" s="18" t="n">
        <f aca="false">Bank_Statement!C337</f>
        <v>-1387.72</v>
      </c>
      <c r="D1097" s="16" t="str">
        <f aca="false">Bank_Statement!D337</f>
        <v>PMT-V1024</v>
      </c>
      <c r="E1097" s="16" t="str">
        <f aca="false">Bank_Statement!E337</f>
        <v>PAY40336</v>
      </c>
      <c r="F1097" s="16" t="str">
        <f aca="false">IF(E1097="","N/A",IF(COUNTIF(Payment_Log_AP!$A$2:$A$753,E1097)&gt;0,"Yes","No"))</f>
        <v>Yes</v>
      </c>
      <c r="G1097" s="16" t="str">
        <f aca="false">IF(E1097="","Unexplained Bank Item (fee/other - review)",IF(F1097="Yes","Matched","Payment Reference Not Found in AP Log"))</f>
        <v>Matched</v>
      </c>
    </row>
    <row r="1098" customFormat="false" ht="15" hidden="false" customHeight="false" outlineLevel="0" collapsed="false">
      <c r="A1098" s="16" t="str">
        <f aca="false">Bank_Statement!A338</f>
        <v>BNK50337</v>
      </c>
      <c r="B1098" s="17" t="n">
        <f aca="false">Bank_Statement!B338</f>
        <v>45754</v>
      </c>
      <c r="C1098" s="18" t="n">
        <f aca="false">Bank_Statement!C338</f>
        <v>-2387.19</v>
      </c>
      <c r="D1098" s="16" t="str">
        <f aca="false">Bank_Statement!D338</f>
        <v>PMT-V1034</v>
      </c>
      <c r="E1098" s="16" t="str">
        <f aca="false">Bank_Statement!E338</f>
        <v>PAY40337</v>
      </c>
      <c r="F1098" s="16" t="str">
        <f aca="false">IF(E1098="","N/A",IF(COUNTIF(Payment_Log_AP!$A$2:$A$753,E1098)&gt;0,"Yes","No"))</f>
        <v>Yes</v>
      </c>
      <c r="G1098" s="16" t="str">
        <f aca="false">IF(E1098="","Unexplained Bank Item (fee/other - review)",IF(F1098="Yes","Matched","Payment Reference Not Found in AP Log"))</f>
        <v>Matched</v>
      </c>
    </row>
    <row r="1099" customFormat="false" ht="15" hidden="false" customHeight="false" outlineLevel="0" collapsed="false">
      <c r="A1099" s="16" t="str">
        <f aca="false">Bank_Statement!A339</f>
        <v>BNK50338</v>
      </c>
      <c r="B1099" s="17" t="n">
        <f aca="false">Bank_Statement!B339</f>
        <v>45699</v>
      </c>
      <c r="C1099" s="18" t="n">
        <f aca="false">Bank_Statement!C339</f>
        <v>-4785.43</v>
      </c>
      <c r="D1099" s="16" t="str">
        <f aca="false">Bank_Statement!D339</f>
        <v>PMT-V1015</v>
      </c>
      <c r="E1099" s="16" t="str">
        <f aca="false">Bank_Statement!E339</f>
        <v>PAY40338</v>
      </c>
      <c r="F1099" s="16" t="str">
        <f aca="false">IF(E1099="","N/A",IF(COUNTIF(Payment_Log_AP!$A$2:$A$753,E1099)&gt;0,"Yes","No"))</f>
        <v>Yes</v>
      </c>
      <c r="G1099" s="16" t="str">
        <f aca="false">IF(E1099="","Unexplained Bank Item (fee/other - review)",IF(F1099="Yes","Matched","Payment Reference Not Found in AP Log"))</f>
        <v>Matched</v>
      </c>
    </row>
    <row r="1100" customFormat="false" ht="15" hidden="false" customHeight="false" outlineLevel="0" collapsed="false">
      <c r="A1100" s="16" t="str">
        <f aca="false">Bank_Statement!A340</f>
        <v>BNK50339</v>
      </c>
      <c r="B1100" s="17" t="n">
        <f aca="false">Bank_Statement!B340</f>
        <v>45934</v>
      </c>
      <c r="C1100" s="18" t="n">
        <f aca="false">Bank_Statement!C340</f>
        <v>-543.23</v>
      </c>
      <c r="D1100" s="16" t="str">
        <f aca="false">Bank_Statement!D340</f>
        <v>PMT-V1004</v>
      </c>
      <c r="E1100" s="16" t="str">
        <f aca="false">Bank_Statement!E340</f>
        <v>PAY40339</v>
      </c>
      <c r="F1100" s="16" t="str">
        <f aca="false">IF(E1100="","N/A",IF(COUNTIF(Payment_Log_AP!$A$2:$A$753,E1100)&gt;0,"Yes","No"))</f>
        <v>Yes</v>
      </c>
      <c r="G1100" s="16" t="str">
        <f aca="false">IF(E1100="","Unexplained Bank Item (fee/other - review)",IF(F1100="Yes","Matched","Payment Reference Not Found in AP Log"))</f>
        <v>Matched</v>
      </c>
    </row>
    <row r="1101" customFormat="false" ht="15" hidden="false" customHeight="false" outlineLevel="0" collapsed="false">
      <c r="A1101" s="16" t="str">
        <f aca="false">Bank_Statement!A341</f>
        <v>BNK50340</v>
      </c>
      <c r="B1101" s="17" t="n">
        <f aca="false">Bank_Statement!B341</f>
        <v>45886</v>
      </c>
      <c r="C1101" s="18" t="n">
        <f aca="false">Bank_Statement!C341</f>
        <v>-327.34</v>
      </c>
      <c r="D1101" s="16" t="str">
        <f aca="false">Bank_Statement!D341</f>
        <v>PMT-V1027</v>
      </c>
      <c r="E1101" s="16" t="str">
        <f aca="false">Bank_Statement!E341</f>
        <v>PAY40340</v>
      </c>
      <c r="F1101" s="16" t="str">
        <f aca="false">IF(E1101="","N/A",IF(COUNTIF(Payment_Log_AP!$A$2:$A$753,E1101)&gt;0,"Yes","No"))</f>
        <v>Yes</v>
      </c>
      <c r="G1101" s="16" t="str">
        <f aca="false">IF(E1101="","Unexplained Bank Item (fee/other - review)",IF(F1101="Yes","Matched","Payment Reference Not Found in AP Log"))</f>
        <v>Matched</v>
      </c>
    </row>
    <row r="1102" customFormat="false" ht="15" hidden="false" customHeight="false" outlineLevel="0" collapsed="false">
      <c r="A1102" s="16" t="str">
        <f aca="false">Bank_Statement!A342</f>
        <v>BNK50341</v>
      </c>
      <c r="B1102" s="17" t="n">
        <f aca="false">Bank_Statement!B342</f>
        <v>45864</v>
      </c>
      <c r="C1102" s="18" t="n">
        <f aca="false">Bank_Statement!C342</f>
        <v>-327.34</v>
      </c>
      <c r="D1102" s="16" t="str">
        <f aca="false">Bank_Statement!D342</f>
        <v>PMT-V1027</v>
      </c>
      <c r="E1102" s="16" t="str">
        <f aca="false">Bank_Statement!E342</f>
        <v>PAY40341</v>
      </c>
      <c r="F1102" s="16" t="str">
        <f aca="false">IF(E1102="","N/A",IF(COUNTIF(Payment_Log_AP!$A$2:$A$753,E1102)&gt;0,"Yes","No"))</f>
        <v>Yes</v>
      </c>
      <c r="G1102" s="16" t="str">
        <f aca="false">IF(E1102="","Unexplained Bank Item (fee/other - review)",IF(F1102="Yes","Matched","Payment Reference Not Found in AP Log"))</f>
        <v>Matched</v>
      </c>
    </row>
    <row r="1103" customFormat="false" ht="15" hidden="false" customHeight="false" outlineLevel="0" collapsed="false">
      <c r="A1103" s="16" t="str">
        <f aca="false">Bank_Statement!A343</f>
        <v>BNK50342</v>
      </c>
      <c r="B1103" s="17" t="n">
        <f aca="false">Bank_Statement!B343</f>
        <v>45829</v>
      </c>
      <c r="C1103" s="18" t="n">
        <f aca="false">Bank_Statement!C343</f>
        <v>-2106.84</v>
      </c>
      <c r="D1103" s="16" t="str">
        <f aca="false">Bank_Statement!D343</f>
        <v>PMT-V1004</v>
      </c>
      <c r="E1103" s="16" t="str">
        <f aca="false">Bank_Statement!E343</f>
        <v>PAY40342</v>
      </c>
      <c r="F1103" s="16" t="str">
        <f aca="false">IF(E1103="","N/A",IF(COUNTIF(Payment_Log_AP!$A$2:$A$753,E1103)&gt;0,"Yes","No"))</f>
        <v>Yes</v>
      </c>
      <c r="G1103" s="16" t="str">
        <f aca="false">IF(E1103="","Unexplained Bank Item (fee/other - review)",IF(F1103="Yes","Matched","Payment Reference Not Found in AP Log"))</f>
        <v>Matched</v>
      </c>
    </row>
    <row r="1104" customFormat="false" ht="15" hidden="false" customHeight="false" outlineLevel="0" collapsed="false">
      <c r="A1104" s="16" t="str">
        <f aca="false">Bank_Statement!A344</f>
        <v>BNK50343</v>
      </c>
      <c r="B1104" s="17" t="n">
        <f aca="false">Bank_Statement!B344</f>
        <v>45747</v>
      </c>
      <c r="C1104" s="18" t="n">
        <f aca="false">Bank_Statement!C344</f>
        <v>-175.5</v>
      </c>
      <c r="D1104" s="16" t="str">
        <f aca="false">Bank_Statement!D344</f>
        <v>PMT-V1020</v>
      </c>
      <c r="E1104" s="16" t="str">
        <f aca="false">Bank_Statement!E344</f>
        <v>PAY40343</v>
      </c>
      <c r="F1104" s="16" t="str">
        <f aca="false">IF(E1104="","N/A",IF(COUNTIF(Payment_Log_AP!$A$2:$A$753,E1104)&gt;0,"Yes","No"))</f>
        <v>Yes</v>
      </c>
      <c r="G1104" s="16" t="str">
        <f aca="false">IF(E1104="","Unexplained Bank Item (fee/other - review)",IF(F1104="Yes","Matched","Payment Reference Not Found in AP Log"))</f>
        <v>Matched</v>
      </c>
    </row>
    <row r="1105" customFormat="false" ht="15" hidden="false" customHeight="false" outlineLevel="0" collapsed="false">
      <c r="A1105" s="16" t="str">
        <f aca="false">Bank_Statement!A345</f>
        <v>BNK50344</v>
      </c>
      <c r="B1105" s="17" t="n">
        <f aca="false">Bank_Statement!B345</f>
        <v>46148</v>
      </c>
      <c r="C1105" s="18" t="n">
        <f aca="false">Bank_Statement!C345</f>
        <v>-3683.41</v>
      </c>
      <c r="D1105" s="16" t="str">
        <f aca="false">Bank_Statement!D345</f>
        <v>PMT-V1024</v>
      </c>
      <c r="E1105" s="16" t="str">
        <f aca="false">Bank_Statement!E345</f>
        <v>PAY40344</v>
      </c>
      <c r="F1105" s="16" t="str">
        <f aca="false">IF(E1105="","N/A",IF(COUNTIF(Payment_Log_AP!$A$2:$A$753,E1105)&gt;0,"Yes","No"))</f>
        <v>Yes</v>
      </c>
      <c r="G1105" s="16" t="str">
        <f aca="false">IF(E1105="","Unexplained Bank Item (fee/other - review)",IF(F1105="Yes","Matched","Payment Reference Not Found in AP Log"))</f>
        <v>Matched</v>
      </c>
    </row>
    <row r="1106" customFormat="false" ht="15" hidden="false" customHeight="false" outlineLevel="0" collapsed="false">
      <c r="A1106" s="16" t="str">
        <f aca="false">Bank_Statement!A346</f>
        <v>BNK50345</v>
      </c>
      <c r="B1106" s="17" t="n">
        <f aca="false">Bank_Statement!B346</f>
        <v>46005</v>
      </c>
      <c r="C1106" s="18" t="n">
        <f aca="false">Bank_Statement!C346</f>
        <v>-1037.11</v>
      </c>
      <c r="D1106" s="16" t="str">
        <f aca="false">Bank_Statement!D346</f>
        <v>PMT-V1038</v>
      </c>
      <c r="E1106" s="16" t="str">
        <f aca="false">Bank_Statement!E346</f>
        <v>PAY40345</v>
      </c>
      <c r="F1106" s="16" t="str">
        <f aca="false">IF(E1106="","N/A",IF(COUNTIF(Payment_Log_AP!$A$2:$A$753,E1106)&gt;0,"Yes","No"))</f>
        <v>Yes</v>
      </c>
      <c r="G1106" s="16" t="str">
        <f aca="false">IF(E1106="","Unexplained Bank Item (fee/other - review)",IF(F1106="Yes","Matched","Payment Reference Not Found in AP Log"))</f>
        <v>Matched</v>
      </c>
    </row>
    <row r="1107" customFormat="false" ht="15" hidden="false" customHeight="false" outlineLevel="0" collapsed="false">
      <c r="A1107" s="16" t="str">
        <f aca="false">Bank_Statement!A347</f>
        <v>BNK50346</v>
      </c>
      <c r="B1107" s="17" t="n">
        <f aca="false">Bank_Statement!B347</f>
        <v>46061</v>
      </c>
      <c r="C1107" s="18" t="n">
        <f aca="false">Bank_Statement!C347</f>
        <v>-688.7</v>
      </c>
      <c r="D1107" s="16" t="str">
        <f aca="false">Bank_Statement!D347</f>
        <v>PMT-V1008</v>
      </c>
      <c r="E1107" s="16" t="str">
        <f aca="false">Bank_Statement!E347</f>
        <v>PAY40346</v>
      </c>
      <c r="F1107" s="16" t="str">
        <f aca="false">IF(E1107="","N/A",IF(COUNTIF(Payment_Log_AP!$A$2:$A$753,E1107)&gt;0,"Yes","No"))</f>
        <v>Yes</v>
      </c>
      <c r="G1107" s="16" t="str">
        <f aca="false">IF(E1107="","Unexplained Bank Item (fee/other - review)",IF(F1107="Yes","Matched","Payment Reference Not Found in AP Log"))</f>
        <v>Matched</v>
      </c>
    </row>
    <row r="1108" customFormat="false" ht="15" hidden="false" customHeight="false" outlineLevel="0" collapsed="false">
      <c r="A1108" s="16" t="str">
        <f aca="false">Bank_Statement!A348</f>
        <v>BNK50347</v>
      </c>
      <c r="B1108" s="17" t="n">
        <f aca="false">Bank_Statement!B348</f>
        <v>45838</v>
      </c>
      <c r="C1108" s="18" t="n">
        <f aca="false">Bank_Statement!C348</f>
        <v>-8582.35</v>
      </c>
      <c r="D1108" s="16" t="str">
        <f aca="false">Bank_Statement!D348</f>
        <v>PMT-V1025</v>
      </c>
      <c r="E1108" s="16" t="str">
        <f aca="false">Bank_Statement!E348</f>
        <v>PAY40347</v>
      </c>
      <c r="F1108" s="16" t="str">
        <f aca="false">IF(E1108="","N/A",IF(COUNTIF(Payment_Log_AP!$A$2:$A$753,E1108)&gt;0,"Yes","No"))</f>
        <v>Yes</v>
      </c>
      <c r="G1108" s="16" t="str">
        <f aca="false">IF(E1108="","Unexplained Bank Item (fee/other - review)",IF(F1108="Yes","Matched","Payment Reference Not Found in AP Log"))</f>
        <v>Matched</v>
      </c>
    </row>
    <row r="1109" customFormat="false" ht="15" hidden="false" customHeight="false" outlineLevel="0" collapsed="false">
      <c r="A1109" s="16" t="str">
        <f aca="false">Bank_Statement!A349</f>
        <v>BNK50348</v>
      </c>
      <c r="B1109" s="17" t="n">
        <f aca="false">Bank_Statement!B349</f>
        <v>45711</v>
      </c>
      <c r="C1109" s="18" t="n">
        <f aca="false">Bank_Statement!C349</f>
        <v>-4765.55</v>
      </c>
      <c r="D1109" s="16" t="str">
        <f aca="false">Bank_Statement!D349</f>
        <v>PMT-V1011</v>
      </c>
      <c r="E1109" s="16" t="str">
        <f aca="false">Bank_Statement!E349</f>
        <v>PAY40348</v>
      </c>
      <c r="F1109" s="16" t="str">
        <f aca="false">IF(E1109="","N/A",IF(COUNTIF(Payment_Log_AP!$A$2:$A$753,E1109)&gt;0,"Yes","No"))</f>
        <v>Yes</v>
      </c>
      <c r="G1109" s="16" t="str">
        <f aca="false">IF(E1109="","Unexplained Bank Item (fee/other - review)",IF(F1109="Yes","Matched","Payment Reference Not Found in AP Log"))</f>
        <v>Matched</v>
      </c>
    </row>
    <row r="1110" customFormat="false" ht="15" hidden="false" customHeight="false" outlineLevel="0" collapsed="false">
      <c r="A1110" s="16" t="str">
        <f aca="false">Bank_Statement!A350</f>
        <v>BNK50349</v>
      </c>
      <c r="B1110" s="17" t="n">
        <f aca="false">Bank_Statement!B350</f>
        <v>46095</v>
      </c>
      <c r="C1110" s="18" t="n">
        <f aca="false">Bank_Statement!C350</f>
        <v>-3276.88</v>
      </c>
      <c r="D1110" s="16" t="str">
        <f aca="false">Bank_Statement!D350</f>
        <v>PMT-V1002</v>
      </c>
      <c r="E1110" s="16" t="str">
        <f aca="false">Bank_Statement!E350</f>
        <v>PAY40349</v>
      </c>
      <c r="F1110" s="16" t="str">
        <f aca="false">IF(E1110="","N/A",IF(COUNTIF(Payment_Log_AP!$A$2:$A$753,E1110)&gt;0,"Yes","No"))</f>
        <v>Yes</v>
      </c>
      <c r="G1110" s="16" t="str">
        <f aca="false">IF(E1110="","Unexplained Bank Item (fee/other - review)",IF(F1110="Yes","Matched","Payment Reference Not Found in AP Log"))</f>
        <v>Matched</v>
      </c>
    </row>
    <row r="1111" customFormat="false" ht="15" hidden="false" customHeight="false" outlineLevel="0" collapsed="false">
      <c r="A1111" s="16" t="str">
        <f aca="false">Bank_Statement!A351</f>
        <v>BNK50350</v>
      </c>
      <c r="B1111" s="17" t="n">
        <f aca="false">Bank_Statement!B351</f>
        <v>45935</v>
      </c>
      <c r="C1111" s="18" t="n">
        <f aca="false">Bank_Statement!C351</f>
        <v>-1027.11</v>
      </c>
      <c r="D1111" s="16" t="str">
        <f aca="false">Bank_Statement!D351</f>
        <v>PMT-V1033</v>
      </c>
      <c r="E1111" s="16" t="str">
        <f aca="false">Bank_Statement!E351</f>
        <v>PAY40350</v>
      </c>
      <c r="F1111" s="16" t="str">
        <f aca="false">IF(E1111="","N/A",IF(COUNTIF(Payment_Log_AP!$A$2:$A$753,E1111)&gt;0,"Yes","No"))</f>
        <v>Yes</v>
      </c>
      <c r="G1111" s="16" t="str">
        <f aca="false">IF(E1111="","Unexplained Bank Item (fee/other - review)",IF(F1111="Yes","Matched","Payment Reference Not Found in AP Log"))</f>
        <v>Matched</v>
      </c>
    </row>
    <row r="1112" customFormat="false" ht="15" hidden="false" customHeight="false" outlineLevel="0" collapsed="false">
      <c r="A1112" s="16" t="str">
        <f aca="false">Bank_Statement!A352</f>
        <v>BNK50351</v>
      </c>
      <c r="B1112" s="17" t="n">
        <f aca="false">Bank_Statement!B352</f>
        <v>45949</v>
      </c>
      <c r="C1112" s="18" t="n">
        <f aca="false">Bank_Statement!C352</f>
        <v>-1027.11</v>
      </c>
      <c r="D1112" s="16" t="str">
        <f aca="false">Bank_Statement!D352</f>
        <v>PMT-V1033</v>
      </c>
      <c r="E1112" s="16" t="str">
        <f aca="false">Bank_Statement!E352</f>
        <v>PAY40351</v>
      </c>
      <c r="F1112" s="16" t="str">
        <f aca="false">IF(E1112="","N/A",IF(COUNTIF(Payment_Log_AP!$A$2:$A$753,E1112)&gt;0,"Yes","No"))</f>
        <v>Yes</v>
      </c>
      <c r="G1112" s="16" t="str">
        <f aca="false">IF(E1112="","Unexplained Bank Item (fee/other - review)",IF(F1112="Yes","Matched","Payment Reference Not Found in AP Log"))</f>
        <v>Matched</v>
      </c>
    </row>
    <row r="1113" customFormat="false" ht="15" hidden="false" customHeight="false" outlineLevel="0" collapsed="false">
      <c r="A1113" s="16" t="str">
        <f aca="false">Bank_Statement!A353</f>
        <v>BNK50352</v>
      </c>
      <c r="B1113" s="17" t="n">
        <f aca="false">Bank_Statement!B353</f>
        <v>46068</v>
      </c>
      <c r="C1113" s="18" t="n">
        <f aca="false">Bank_Statement!C353</f>
        <v>-4853.33</v>
      </c>
      <c r="D1113" s="16" t="str">
        <f aca="false">Bank_Statement!D353</f>
        <v>PMT-V1030</v>
      </c>
      <c r="E1113" s="16" t="str">
        <f aca="false">Bank_Statement!E353</f>
        <v>PAY40352</v>
      </c>
      <c r="F1113" s="16" t="str">
        <f aca="false">IF(E1113="","N/A",IF(COUNTIF(Payment_Log_AP!$A$2:$A$753,E1113)&gt;0,"Yes","No"))</f>
        <v>Yes</v>
      </c>
      <c r="G1113" s="16" t="str">
        <f aca="false">IF(E1113="","Unexplained Bank Item (fee/other - review)",IF(F1113="Yes","Matched","Payment Reference Not Found in AP Log"))</f>
        <v>Matched</v>
      </c>
    </row>
    <row r="1114" customFormat="false" ht="15" hidden="false" customHeight="false" outlineLevel="0" collapsed="false">
      <c r="A1114" s="16" t="str">
        <f aca="false">Bank_Statement!A354</f>
        <v>BNK50353</v>
      </c>
      <c r="B1114" s="17" t="n">
        <f aca="false">Bank_Statement!B354</f>
        <v>46192</v>
      </c>
      <c r="C1114" s="18" t="n">
        <f aca="false">Bank_Statement!C354</f>
        <v>-4213.88</v>
      </c>
      <c r="D1114" s="16" t="str">
        <f aca="false">Bank_Statement!D354</f>
        <v>PMT-V1017</v>
      </c>
      <c r="E1114" s="16" t="str">
        <f aca="false">Bank_Statement!E354</f>
        <v>PAY40353</v>
      </c>
      <c r="F1114" s="16" t="str">
        <f aca="false">IF(E1114="","N/A",IF(COUNTIF(Payment_Log_AP!$A$2:$A$753,E1114)&gt;0,"Yes","No"))</f>
        <v>Yes</v>
      </c>
      <c r="G1114" s="16" t="str">
        <f aca="false">IF(E1114="","Unexplained Bank Item (fee/other - review)",IF(F1114="Yes","Matched","Payment Reference Not Found in AP Log"))</f>
        <v>Matched</v>
      </c>
    </row>
    <row r="1115" customFormat="false" ht="15" hidden="false" customHeight="false" outlineLevel="0" collapsed="false">
      <c r="A1115" s="16" t="str">
        <f aca="false">Bank_Statement!A355</f>
        <v>BNK50354</v>
      </c>
      <c r="B1115" s="17" t="n">
        <f aca="false">Bank_Statement!B355</f>
        <v>45788</v>
      </c>
      <c r="C1115" s="18" t="n">
        <f aca="false">Bank_Statement!C355</f>
        <v>-1024.13</v>
      </c>
      <c r="D1115" s="16" t="str">
        <f aca="false">Bank_Statement!D355</f>
        <v>PMT-V1018</v>
      </c>
      <c r="E1115" s="16" t="str">
        <f aca="false">Bank_Statement!E355</f>
        <v>PAY40354</v>
      </c>
      <c r="F1115" s="16" t="str">
        <f aca="false">IF(E1115="","N/A",IF(COUNTIF(Payment_Log_AP!$A$2:$A$753,E1115)&gt;0,"Yes","No"))</f>
        <v>Yes</v>
      </c>
      <c r="G1115" s="16" t="str">
        <f aca="false">IF(E1115="","Unexplained Bank Item (fee/other - review)",IF(F1115="Yes","Matched","Payment Reference Not Found in AP Log"))</f>
        <v>Matched</v>
      </c>
    </row>
    <row r="1116" customFormat="false" ht="15" hidden="false" customHeight="false" outlineLevel="0" collapsed="false">
      <c r="A1116" s="16" t="str">
        <f aca="false">Bank_Statement!A356</f>
        <v>BNK50355</v>
      </c>
      <c r="B1116" s="17" t="n">
        <f aca="false">Bank_Statement!B356</f>
        <v>45996</v>
      </c>
      <c r="C1116" s="18" t="n">
        <f aca="false">Bank_Statement!C356</f>
        <v>-6836.7</v>
      </c>
      <c r="D1116" s="16" t="str">
        <f aca="false">Bank_Statement!D356</f>
        <v>PMT-V1002</v>
      </c>
      <c r="E1116" s="16" t="str">
        <f aca="false">Bank_Statement!E356</f>
        <v>PAY40355</v>
      </c>
      <c r="F1116" s="16" t="str">
        <f aca="false">IF(E1116="","N/A",IF(COUNTIF(Payment_Log_AP!$A$2:$A$753,E1116)&gt;0,"Yes","No"))</f>
        <v>Yes</v>
      </c>
      <c r="G1116" s="16" t="str">
        <f aca="false">IF(E1116="","Unexplained Bank Item (fee/other - review)",IF(F1116="Yes","Matched","Payment Reference Not Found in AP Log"))</f>
        <v>Matched</v>
      </c>
    </row>
    <row r="1117" customFormat="false" ht="15" hidden="false" customHeight="false" outlineLevel="0" collapsed="false">
      <c r="A1117" s="16" t="str">
        <f aca="false">Bank_Statement!A357</f>
        <v>BNK50356</v>
      </c>
      <c r="B1117" s="17" t="n">
        <f aca="false">Bank_Statement!B357</f>
        <v>46058</v>
      </c>
      <c r="C1117" s="18" t="n">
        <f aca="false">Bank_Statement!C357</f>
        <v>-2800.96</v>
      </c>
      <c r="D1117" s="16" t="str">
        <f aca="false">Bank_Statement!D357</f>
        <v>PMT-V1029</v>
      </c>
      <c r="E1117" s="16" t="str">
        <f aca="false">Bank_Statement!E357</f>
        <v>PAY40356</v>
      </c>
      <c r="F1117" s="16" t="str">
        <f aca="false">IF(E1117="","N/A",IF(COUNTIF(Payment_Log_AP!$A$2:$A$753,E1117)&gt;0,"Yes","No"))</f>
        <v>Yes</v>
      </c>
      <c r="G1117" s="16" t="str">
        <f aca="false">IF(E1117="","Unexplained Bank Item (fee/other - review)",IF(F1117="Yes","Matched","Payment Reference Not Found in AP Log"))</f>
        <v>Matched</v>
      </c>
    </row>
    <row r="1118" customFormat="false" ht="15" hidden="false" customHeight="false" outlineLevel="0" collapsed="false">
      <c r="A1118" s="16" t="str">
        <f aca="false">Bank_Statement!A358</f>
        <v>BNK50357</v>
      </c>
      <c r="B1118" s="17" t="n">
        <f aca="false">Bank_Statement!B358</f>
        <v>45958</v>
      </c>
      <c r="C1118" s="18" t="n">
        <f aca="false">Bank_Statement!C358</f>
        <v>-2607.21</v>
      </c>
      <c r="D1118" s="16" t="str">
        <f aca="false">Bank_Statement!D358</f>
        <v>PMT-V1004</v>
      </c>
      <c r="E1118" s="16" t="str">
        <f aca="false">Bank_Statement!E358</f>
        <v>PAY40357</v>
      </c>
      <c r="F1118" s="16" t="str">
        <f aca="false">IF(E1118="","N/A",IF(COUNTIF(Payment_Log_AP!$A$2:$A$753,E1118)&gt;0,"Yes","No"))</f>
        <v>Yes</v>
      </c>
      <c r="G1118" s="16" t="str">
        <f aca="false">IF(E1118="","Unexplained Bank Item (fee/other - review)",IF(F1118="Yes","Matched","Payment Reference Not Found in AP Log"))</f>
        <v>Matched</v>
      </c>
    </row>
    <row r="1119" customFormat="false" ht="15" hidden="false" customHeight="false" outlineLevel="0" collapsed="false">
      <c r="A1119" s="16" t="str">
        <f aca="false">Bank_Statement!A359</f>
        <v>BNK50358</v>
      </c>
      <c r="B1119" s="17" t="n">
        <f aca="false">Bank_Statement!B359</f>
        <v>45745</v>
      </c>
      <c r="C1119" s="18" t="n">
        <f aca="false">Bank_Statement!C359</f>
        <v>-3346.97</v>
      </c>
      <c r="D1119" s="16" t="str">
        <f aca="false">Bank_Statement!D359</f>
        <v>PMT-V1014</v>
      </c>
      <c r="E1119" s="16" t="str">
        <f aca="false">Bank_Statement!E359</f>
        <v>PAY40358</v>
      </c>
      <c r="F1119" s="16" t="str">
        <f aca="false">IF(E1119="","N/A",IF(COUNTIF(Payment_Log_AP!$A$2:$A$753,E1119)&gt;0,"Yes","No"))</f>
        <v>Yes</v>
      </c>
      <c r="G1119" s="16" t="str">
        <f aca="false">IF(E1119="","Unexplained Bank Item (fee/other - review)",IF(F1119="Yes","Matched","Payment Reference Not Found in AP Log"))</f>
        <v>Matched</v>
      </c>
    </row>
    <row r="1120" customFormat="false" ht="15" hidden="false" customHeight="false" outlineLevel="0" collapsed="false">
      <c r="A1120" s="16" t="str">
        <f aca="false">Bank_Statement!A360</f>
        <v>BNK50359</v>
      </c>
      <c r="B1120" s="17" t="n">
        <f aca="false">Bank_Statement!B360</f>
        <v>45873</v>
      </c>
      <c r="C1120" s="18" t="n">
        <f aca="false">Bank_Statement!C360</f>
        <v>-927.7</v>
      </c>
      <c r="D1120" s="16" t="str">
        <f aca="false">Bank_Statement!D360</f>
        <v>PMT-V1028</v>
      </c>
      <c r="E1120" s="16" t="str">
        <f aca="false">Bank_Statement!E360</f>
        <v>PAY40359</v>
      </c>
      <c r="F1120" s="16" t="str">
        <f aca="false">IF(E1120="","N/A",IF(COUNTIF(Payment_Log_AP!$A$2:$A$753,E1120)&gt;0,"Yes","No"))</f>
        <v>Yes</v>
      </c>
      <c r="G1120" s="16" t="str">
        <f aca="false">IF(E1120="","Unexplained Bank Item (fee/other - review)",IF(F1120="Yes","Matched","Payment Reference Not Found in AP Log"))</f>
        <v>Matched</v>
      </c>
    </row>
    <row r="1121" customFormat="false" ht="15" hidden="false" customHeight="false" outlineLevel="0" collapsed="false">
      <c r="A1121" s="16" t="str">
        <f aca="false">Bank_Statement!A361</f>
        <v>BNK50360</v>
      </c>
      <c r="B1121" s="17" t="n">
        <f aca="false">Bank_Statement!B361</f>
        <v>45871</v>
      </c>
      <c r="C1121" s="18" t="n">
        <f aca="false">Bank_Statement!C361</f>
        <v>-1759.54</v>
      </c>
      <c r="D1121" s="16" t="str">
        <f aca="false">Bank_Statement!D361</f>
        <v>PMT-V1018</v>
      </c>
      <c r="E1121" s="16" t="str">
        <f aca="false">Bank_Statement!E361</f>
        <v>PAY40360</v>
      </c>
      <c r="F1121" s="16" t="str">
        <f aca="false">IF(E1121="","N/A",IF(COUNTIF(Payment_Log_AP!$A$2:$A$753,E1121)&gt;0,"Yes","No"))</f>
        <v>Yes</v>
      </c>
      <c r="G1121" s="16" t="str">
        <f aca="false">IF(E1121="","Unexplained Bank Item (fee/other - review)",IF(F1121="Yes","Matched","Payment Reference Not Found in AP Log"))</f>
        <v>Matched</v>
      </c>
    </row>
    <row r="1122" customFormat="false" ht="15" hidden="false" customHeight="false" outlineLevel="0" collapsed="false">
      <c r="A1122" s="16" t="str">
        <f aca="false">Bank_Statement!A362</f>
        <v>BNK50361</v>
      </c>
      <c r="B1122" s="17" t="n">
        <f aca="false">Bank_Statement!B362</f>
        <v>46064</v>
      </c>
      <c r="C1122" s="18" t="n">
        <f aca="false">Bank_Statement!C362</f>
        <v>-1478.45</v>
      </c>
      <c r="D1122" s="16" t="str">
        <f aca="false">Bank_Statement!D362</f>
        <v>PMT-V1029</v>
      </c>
      <c r="E1122" s="16" t="str">
        <f aca="false">Bank_Statement!E362</f>
        <v>PAY40361</v>
      </c>
      <c r="F1122" s="16" t="str">
        <f aca="false">IF(E1122="","N/A",IF(COUNTIF(Payment_Log_AP!$A$2:$A$753,E1122)&gt;0,"Yes","No"))</f>
        <v>Yes</v>
      </c>
      <c r="G1122" s="16" t="str">
        <f aca="false">IF(E1122="","Unexplained Bank Item (fee/other - review)",IF(F1122="Yes","Matched","Payment Reference Not Found in AP Log"))</f>
        <v>Matched</v>
      </c>
    </row>
    <row r="1123" customFormat="false" ht="15" hidden="false" customHeight="false" outlineLevel="0" collapsed="false">
      <c r="A1123" s="16" t="str">
        <f aca="false">Bank_Statement!A363</f>
        <v>BNK50362</v>
      </c>
      <c r="B1123" s="17" t="n">
        <f aca="false">Bank_Statement!B363</f>
        <v>46147</v>
      </c>
      <c r="C1123" s="18" t="n">
        <f aca="false">Bank_Statement!C363</f>
        <v>-5195.5</v>
      </c>
      <c r="D1123" s="16" t="str">
        <f aca="false">Bank_Statement!D363</f>
        <v>PMT-V1026</v>
      </c>
      <c r="E1123" s="16" t="str">
        <f aca="false">Bank_Statement!E363</f>
        <v>PAY40362</v>
      </c>
      <c r="F1123" s="16" t="str">
        <f aca="false">IF(E1123="","N/A",IF(COUNTIF(Payment_Log_AP!$A$2:$A$753,E1123)&gt;0,"Yes","No"))</f>
        <v>Yes</v>
      </c>
      <c r="G1123" s="16" t="str">
        <f aca="false">IF(E1123="","Unexplained Bank Item (fee/other - review)",IF(F1123="Yes","Matched","Payment Reference Not Found in AP Log"))</f>
        <v>Matched</v>
      </c>
    </row>
    <row r="1124" customFormat="false" ht="15" hidden="false" customHeight="false" outlineLevel="0" collapsed="false">
      <c r="A1124" s="16" t="str">
        <f aca="false">Bank_Statement!A364</f>
        <v>BNK50363</v>
      </c>
      <c r="B1124" s="17" t="n">
        <f aca="false">Bank_Statement!B364</f>
        <v>45892</v>
      </c>
      <c r="C1124" s="18" t="n">
        <f aca="false">Bank_Statement!C364</f>
        <v>-3949.44</v>
      </c>
      <c r="D1124" s="16" t="str">
        <f aca="false">Bank_Statement!D364</f>
        <v>PMT-V1025</v>
      </c>
      <c r="E1124" s="16" t="str">
        <f aca="false">Bank_Statement!E364</f>
        <v>PAY40363</v>
      </c>
      <c r="F1124" s="16" t="str">
        <f aca="false">IF(E1124="","N/A",IF(COUNTIF(Payment_Log_AP!$A$2:$A$753,E1124)&gt;0,"Yes","No"))</f>
        <v>Yes</v>
      </c>
      <c r="G1124" s="16" t="str">
        <f aca="false">IF(E1124="","Unexplained Bank Item (fee/other - review)",IF(F1124="Yes","Matched","Payment Reference Not Found in AP Log"))</f>
        <v>Matched</v>
      </c>
    </row>
    <row r="1125" customFormat="false" ht="15" hidden="false" customHeight="false" outlineLevel="0" collapsed="false">
      <c r="A1125" s="16" t="str">
        <f aca="false">Bank_Statement!A365</f>
        <v>BNK50364</v>
      </c>
      <c r="B1125" s="17" t="n">
        <f aca="false">Bank_Statement!B365</f>
        <v>46048</v>
      </c>
      <c r="C1125" s="18" t="n">
        <f aca="false">Bank_Statement!C365</f>
        <v>-1814.72</v>
      </c>
      <c r="D1125" s="16" t="str">
        <f aca="false">Bank_Statement!D365</f>
        <v>PMT-V1031</v>
      </c>
      <c r="E1125" s="16" t="str">
        <f aca="false">Bank_Statement!E365</f>
        <v>PAY40364</v>
      </c>
      <c r="F1125" s="16" t="str">
        <f aca="false">IF(E1125="","N/A",IF(COUNTIF(Payment_Log_AP!$A$2:$A$753,E1125)&gt;0,"Yes","No"))</f>
        <v>Yes</v>
      </c>
      <c r="G1125" s="16" t="str">
        <f aca="false">IF(E1125="","Unexplained Bank Item (fee/other - review)",IF(F1125="Yes","Matched","Payment Reference Not Found in AP Log"))</f>
        <v>Matched</v>
      </c>
    </row>
    <row r="1126" customFormat="false" ht="15" hidden="false" customHeight="false" outlineLevel="0" collapsed="false">
      <c r="A1126" s="16" t="str">
        <f aca="false">Bank_Statement!A366</f>
        <v>BNK50365</v>
      </c>
      <c r="B1126" s="17" t="n">
        <f aca="false">Bank_Statement!B366</f>
        <v>45835</v>
      </c>
      <c r="C1126" s="18" t="n">
        <f aca="false">Bank_Statement!C366</f>
        <v>-3826.85</v>
      </c>
      <c r="D1126" s="16" t="str">
        <f aca="false">Bank_Statement!D366</f>
        <v>PMT-V1003</v>
      </c>
      <c r="E1126" s="16" t="str">
        <f aca="false">Bank_Statement!E366</f>
        <v>PAY40365</v>
      </c>
      <c r="F1126" s="16" t="str">
        <f aca="false">IF(E1126="","N/A",IF(COUNTIF(Payment_Log_AP!$A$2:$A$753,E1126)&gt;0,"Yes","No"))</f>
        <v>Yes</v>
      </c>
      <c r="G1126" s="16" t="str">
        <f aca="false">IF(E1126="","Unexplained Bank Item (fee/other - review)",IF(F1126="Yes","Matched","Payment Reference Not Found in AP Log"))</f>
        <v>Matched</v>
      </c>
    </row>
    <row r="1127" customFormat="false" ht="15" hidden="false" customHeight="false" outlineLevel="0" collapsed="false">
      <c r="A1127" s="16" t="str">
        <f aca="false">Bank_Statement!A367</f>
        <v>BNK50366</v>
      </c>
      <c r="B1127" s="17" t="n">
        <f aca="false">Bank_Statement!B367</f>
        <v>46201</v>
      </c>
      <c r="C1127" s="18" t="n">
        <f aca="false">Bank_Statement!C367</f>
        <v>-1836.32</v>
      </c>
      <c r="D1127" s="16" t="str">
        <f aca="false">Bank_Statement!D367</f>
        <v>PMT-V1013</v>
      </c>
      <c r="E1127" s="16" t="str">
        <f aca="false">Bank_Statement!E367</f>
        <v>PAY40366</v>
      </c>
      <c r="F1127" s="16" t="str">
        <f aca="false">IF(E1127="","N/A",IF(COUNTIF(Payment_Log_AP!$A$2:$A$753,E1127)&gt;0,"Yes","No"))</f>
        <v>Yes</v>
      </c>
      <c r="G1127" s="16" t="str">
        <f aca="false">IF(E1127="","Unexplained Bank Item (fee/other - review)",IF(F1127="Yes","Matched","Payment Reference Not Found in AP Log"))</f>
        <v>Matched</v>
      </c>
    </row>
    <row r="1128" customFormat="false" ht="15" hidden="false" customHeight="false" outlineLevel="0" collapsed="false">
      <c r="A1128" s="16" t="str">
        <f aca="false">Bank_Statement!A368</f>
        <v>BNK50367</v>
      </c>
      <c r="B1128" s="17" t="n">
        <f aca="false">Bank_Statement!B368</f>
        <v>45980</v>
      </c>
      <c r="C1128" s="18" t="n">
        <f aca="false">Bank_Statement!C368</f>
        <v>-7023.92</v>
      </c>
      <c r="D1128" s="16" t="str">
        <f aca="false">Bank_Statement!D368</f>
        <v>PMT-V1012</v>
      </c>
      <c r="E1128" s="16" t="str">
        <f aca="false">Bank_Statement!E368</f>
        <v>PAY40367</v>
      </c>
      <c r="F1128" s="16" t="str">
        <f aca="false">IF(E1128="","N/A",IF(COUNTIF(Payment_Log_AP!$A$2:$A$753,E1128)&gt;0,"Yes","No"))</f>
        <v>Yes</v>
      </c>
      <c r="G1128" s="16" t="str">
        <f aca="false">IF(E1128="","Unexplained Bank Item (fee/other - review)",IF(F1128="Yes","Matched","Payment Reference Not Found in AP Log"))</f>
        <v>Matched</v>
      </c>
    </row>
    <row r="1129" customFormat="false" ht="15" hidden="false" customHeight="false" outlineLevel="0" collapsed="false">
      <c r="A1129" s="16" t="str">
        <f aca="false">Bank_Statement!A369</f>
        <v>BNK50368</v>
      </c>
      <c r="B1129" s="17" t="n">
        <f aca="false">Bank_Statement!B369</f>
        <v>45922</v>
      </c>
      <c r="C1129" s="18" t="n">
        <f aca="false">Bank_Statement!C369</f>
        <v>-3586.35</v>
      </c>
      <c r="D1129" s="16" t="str">
        <f aca="false">Bank_Statement!D369</f>
        <v>PMT-V1022</v>
      </c>
      <c r="E1129" s="16" t="str">
        <f aca="false">Bank_Statement!E369</f>
        <v>PAY40368</v>
      </c>
      <c r="F1129" s="16" t="str">
        <f aca="false">IF(E1129="","N/A",IF(COUNTIF(Payment_Log_AP!$A$2:$A$753,E1129)&gt;0,"Yes","No"))</f>
        <v>Yes</v>
      </c>
      <c r="G1129" s="16" t="str">
        <f aca="false">IF(E1129="","Unexplained Bank Item (fee/other - review)",IF(F1129="Yes","Matched","Payment Reference Not Found in AP Log"))</f>
        <v>Matched</v>
      </c>
    </row>
    <row r="1130" customFormat="false" ht="15" hidden="false" customHeight="false" outlineLevel="0" collapsed="false">
      <c r="A1130" s="16" t="str">
        <f aca="false">Bank_Statement!A370</f>
        <v>BNK50369</v>
      </c>
      <c r="B1130" s="17" t="n">
        <f aca="false">Bank_Statement!B370</f>
        <v>45863</v>
      </c>
      <c r="C1130" s="18" t="n">
        <f aca="false">Bank_Statement!C370</f>
        <v>-3705.05</v>
      </c>
      <c r="D1130" s="16" t="str">
        <f aca="false">Bank_Statement!D370</f>
        <v>PMT-V1029</v>
      </c>
      <c r="E1130" s="16" t="str">
        <f aca="false">Bank_Statement!E370</f>
        <v>PAY40369</v>
      </c>
      <c r="F1130" s="16" t="str">
        <f aca="false">IF(E1130="","N/A",IF(COUNTIF(Payment_Log_AP!$A$2:$A$753,E1130)&gt;0,"Yes","No"))</f>
        <v>Yes</v>
      </c>
      <c r="G1130" s="16" t="str">
        <f aca="false">IF(E1130="","Unexplained Bank Item (fee/other - review)",IF(F1130="Yes","Matched","Payment Reference Not Found in AP Log"))</f>
        <v>Matched</v>
      </c>
    </row>
    <row r="1131" customFormat="false" ht="15" hidden="false" customHeight="false" outlineLevel="0" collapsed="false">
      <c r="A1131" s="16" t="str">
        <f aca="false">Bank_Statement!A371</f>
        <v>BNK50370</v>
      </c>
      <c r="B1131" s="17" t="n">
        <f aca="false">Bank_Statement!B371</f>
        <v>45860</v>
      </c>
      <c r="C1131" s="18" t="n">
        <f aca="false">Bank_Statement!C371</f>
        <v>-4579.99</v>
      </c>
      <c r="D1131" s="16" t="str">
        <f aca="false">Bank_Statement!D371</f>
        <v>PMT-V1005</v>
      </c>
      <c r="E1131" s="16" t="str">
        <f aca="false">Bank_Statement!E371</f>
        <v>PAY40370</v>
      </c>
      <c r="F1131" s="16" t="str">
        <f aca="false">IF(E1131="","N/A",IF(COUNTIF(Payment_Log_AP!$A$2:$A$753,E1131)&gt;0,"Yes","No"))</f>
        <v>Yes</v>
      </c>
      <c r="G1131" s="16" t="str">
        <f aca="false">IF(E1131="","Unexplained Bank Item (fee/other - review)",IF(F1131="Yes","Matched","Payment Reference Not Found in AP Log"))</f>
        <v>Matched</v>
      </c>
    </row>
    <row r="1132" customFormat="false" ht="15" hidden="false" customHeight="false" outlineLevel="0" collapsed="false">
      <c r="A1132" s="16" t="str">
        <f aca="false">Bank_Statement!A372</f>
        <v>BNK50371</v>
      </c>
      <c r="B1132" s="17" t="n">
        <f aca="false">Bank_Statement!B372</f>
        <v>45909</v>
      </c>
      <c r="C1132" s="18" t="n">
        <f aca="false">Bank_Statement!C372</f>
        <v>-1348.19</v>
      </c>
      <c r="D1132" s="16" t="str">
        <f aca="false">Bank_Statement!D372</f>
        <v>PMT-V1010</v>
      </c>
      <c r="E1132" s="16" t="str">
        <f aca="false">Bank_Statement!E372</f>
        <v>PAY40371</v>
      </c>
      <c r="F1132" s="16" t="str">
        <f aca="false">IF(E1132="","N/A",IF(COUNTIF(Payment_Log_AP!$A$2:$A$753,E1132)&gt;0,"Yes","No"))</f>
        <v>Yes</v>
      </c>
      <c r="G1132" s="16" t="str">
        <f aca="false">IF(E1132="","Unexplained Bank Item (fee/other - review)",IF(F1132="Yes","Matched","Payment Reference Not Found in AP Log"))</f>
        <v>Matched</v>
      </c>
    </row>
    <row r="1133" customFormat="false" ht="15" hidden="false" customHeight="false" outlineLevel="0" collapsed="false">
      <c r="A1133" s="16" t="str">
        <f aca="false">Bank_Statement!A373</f>
        <v>BNK50372</v>
      </c>
      <c r="B1133" s="17" t="n">
        <f aca="false">Bank_Statement!B373</f>
        <v>45914</v>
      </c>
      <c r="C1133" s="18" t="n">
        <f aca="false">Bank_Statement!C373</f>
        <v>-1348.19</v>
      </c>
      <c r="D1133" s="16" t="str">
        <f aca="false">Bank_Statement!D373</f>
        <v>PMT-V1010</v>
      </c>
      <c r="E1133" s="16" t="str">
        <f aca="false">Bank_Statement!E373</f>
        <v>PAY40372</v>
      </c>
      <c r="F1133" s="16" t="str">
        <f aca="false">IF(E1133="","N/A",IF(COUNTIF(Payment_Log_AP!$A$2:$A$753,E1133)&gt;0,"Yes","No"))</f>
        <v>Yes</v>
      </c>
      <c r="G1133" s="16" t="str">
        <f aca="false">IF(E1133="","Unexplained Bank Item (fee/other - review)",IF(F1133="Yes","Matched","Payment Reference Not Found in AP Log"))</f>
        <v>Matched</v>
      </c>
    </row>
    <row r="1134" customFormat="false" ht="15" hidden="false" customHeight="false" outlineLevel="0" collapsed="false">
      <c r="A1134" s="16" t="str">
        <f aca="false">Bank_Statement!A374</f>
        <v>BNK50373</v>
      </c>
      <c r="B1134" s="17" t="n">
        <f aca="false">Bank_Statement!B374</f>
        <v>45992</v>
      </c>
      <c r="C1134" s="18" t="n">
        <f aca="false">Bank_Statement!C374</f>
        <v>-2579.5</v>
      </c>
      <c r="D1134" s="16" t="str">
        <f aca="false">Bank_Statement!D374</f>
        <v>PMT-V1018</v>
      </c>
      <c r="E1134" s="16" t="str">
        <f aca="false">Bank_Statement!E374</f>
        <v>PAY40373</v>
      </c>
      <c r="F1134" s="16" t="str">
        <f aca="false">IF(E1134="","N/A",IF(COUNTIF(Payment_Log_AP!$A$2:$A$753,E1134)&gt;0,"Yes","No"))</f>
        <v>Yes</v>
      </c>
      <c r="G1134" s="16" t="str">
        <f aca="false">IF(E1134="","Unexplained Bank Item (fee/other - review)",IF(F1134="Yes","Matched","Payment Reference Not Found in AP Log"))</f>
        <v>Matched</v>
      </c>
    </row>
    <row r="1135" customFormat="false" ht="15" hidden="false" customHeight="false" outlineLevel="0" collapsed="false">
      <c r="A1135" s="16" t="str">
        <f aca="false">Bank_Statement!A375</f>
        <v>BNK50374</v>
      </c>
      <c r="B1135" s="17" t="n">
        <f aca="false">Bank_Statement!B375</f>
        <v>46055</v>
      </c>
      <c r="C1135" s="18" t="n">
        <f aca="false">Bank_Statement!C375</f>
        <v>-1850.75</v>
      </c>
      <c r="D1135" s="16" t="str">
        <f aca="false">Bank_Statement!D375</f>
        <v>PMT-V1034</v>
      </c>
      <c r="E1135" s="16" t="str">
        <f aca="false">Bank_Statement!E375</f>
        <v>PAY40374</v>
      </c>
      <c r="F1135" s="16" t="str">
        <f aca="false">IF(E1135="","N/A",IF(COUNTIF(Payment_Log_AP!$A$2:$A$753,E1135)&gt;0,"Yes","No"))</f>
        <v>Yes</v>
      </c>
      <c r="G1135" s="16" t="str">
        <f aca="false">IF(E1135="","Unexplained Bank Item (fee/other - review)",IF(F1135="Yes","Matched","Payment Reference Not Found in AP Log"))</f>
        <v>Matched</v>
      </c>
    </row>
    <row r="1136" customFormat="false" ht="15" hidden="false" customHeight="false" outlineLevel="0" collapsed="false">
      <c r="A1136" s="16" t="str">
        <f aca="false">Bank_Statement!A376</f>
        <v>BNK50375</v>
      </c>
      <c r="B1136" s="17" t="n">
        <f aca="false">Bank_Statement!B376</f>
        <v>45972</v>
      </c>
      <c r="C1136" s="18" t="n">
        <f aca="false">Bank_Statement!C376</f>
        <v>-1673.73</v>
      </c>
      <c r="D1136" s="16" t="str">
        <f aca="false">Bank_Statement!D376</f>
        <v>PMT-V1006</v>
      </c>
      <c r="E1136" s="16" t="str">
        <f aca="false">Bank_Statement!E376</f>
        <v>PAY40375</v>
      </c>
      <c r="F1136" s="16" t="str">
        <f aca="false">IF(E1136="","N/A",IF(COUNTIF(Payment_Log_AP!$A$2:$A$753,E1136)&gt;0,"Yes","No"))</f>
        <v>Yes</v>
      </c>
      <c r="G1136" s="16" t="str">
        <f aca="false">IF(E1136="","Unexplained Bank Item (fee/other - review)",IF(F1136="Yes","Matched","Payment Reference Not Found in AP Log"))</f>
        <v>Matched</v>
      </c>
    </row>
    <row r="1137" customFormat="false" ht="15" hidden="false" customHeight="false" outlineLevel="0" collapsed="false">
      <c r="A1137" s="16" t="str">
        <f aca="false">Bank_Statement!A377</f>
        <v>BNK50376</v>
      </c>
      <c r="B1137" s="17" t="n">
        <f aca="false">Bank_Statement!B377</f>
        <v>45931</v>
      </c>
      <c r="C1137" s="18" t="n">
        <f aca="false">Bank_Statement!C377</f>
        <v>-3809.51</v>
      </c>
      <c r="D1137" s="16" t="str">
        <f aca="false">Bank_Statement!D377</f>
        <v>PMT-V1002</v>
      </c>
      <c r="E1137" s="16" t="str">
        <f aca="false">Bank_Statement!E377</f>
        <v>PAY40376</v>
      </c>
      <c r="F1137" s="16" t="str">
        <f aca="false">IF(E1137="","N/A",IF(COUNTIF(Payment_Log_AP!$A$2:$A$753,E1137)&gt;0,"Yes","No"))</f>
        <v>Yes</v>
      </c>
      <c r="G1137" s="16" t="str">
        <f aca="false">IF(E1137="","Unexplained Bank Item (fee/other - review)",IF(F1137="Yes","Matched","Payment Reference Not Found in AP Log"))</f>
        <v>Matched</v>
      </c>
    </row>
    <row r="1138" customFormat="false" ht="15" hidden="false" customHeight="false" outlineLevel="0" collapsed="false">
      <c r="A1138" s="16" t="str">
        <f aca="false">Bank_Statement!A378</f>
        <v>BNK50377</v>
      </c>
      <c r="B1138" s="17" t="n">
        <f aca="false">Bank_Statement!B378</f>
        <v>45886</v>
      </c>
      <c r="C1138" s="18" t="n">
        <f aca="false">Bank_Statement!C378</f>
        <v>-1115.7</v>
      </c>
      <c r="D1138" s="16" t="str">
        <f aca="false">Bank_Statement!D378</f>
        <v>PMT-V1007</v>
      </c>
      <c r="E1138" s="16" t="str">
        <f aca="false">Bank_Statement!E378</f>
        <v>PAY40377</v>
      </c>
      <c r="F1138" s="16" t="str">
        <f aca="false">IF(E1138="","N/A",IF(COUNTIF(Payment_Log_AP!$A$2:$A$753,E1138)&gt;0,"Yes","No"))</f>
        <v>Yes</v>
      </c>
      <c r="G1138" s="16" t="str">
        <f aca="false">IF(E1138="","Unexplained Bank Item (fee/other - review)",IF(F1138="Yes","Matched","Payment Reference Not Found in AP Log"))</f>
        <v>Matched</v>
      </c>
    </row>
    <row r="1139" customFormat="false" ht="15" hidden="false" customHeight="false" outlineLevel="0" collapsed="false">
      <c r="A1139" s="16" t="str">
        <f aca="false">Bank_Statement!A379</f>
        <v>BNK50378</v>
      </c>
      <c r="B1139" s="17" t="n">
        <f aca="false">Bank_Statement!B379</f>
        <v>46104</v>
      </c>
      <c r="C1139" s="18" t="n">
        <f aca="false">Bank_Statement!C379</f>
        <v>-1572.78</v>
      </c>
      <c r="D1139" s="16" t="str">
        <f aca="false">Bank_Statement!D379</f>
        <v>PMT-V1019</v>
      </c>
      <c r="E1139" s="16" t="str">
        <f aca="false">Bank_Statement!E379</f>
        <v>PAY40378</v>
      </c>
      <c r="F1139" s="16" t="str">
        <f aca="false">IF(E1139="","N/A",IF(COUNTIF(Payment_Log_AP!$A$2:$A$753,E1139)&gt;0,"Yes","No"))</f>
        <v>Yes</v>
      </c>
      <c r="G1139" s="16" t="str">
        <f aca="false">IF(E1139="","Unexplained Bank Item (fee/other - review)",IF(F1139="Yes","Matched","Payment Reference Not Found in AP Log"))</f>
        <v>Matched</v>
      </c>
    </row>
    <row r="1140" customFormat="false" ht="15" hidden="false" customHeight="false" outlineLevel="0" collapsed="false">
      <c r="A1140" s="16" t="str">
        <f aca="false">Bank_Statement!A380</f>
        <v>BNK50379</v>
      </c>
      <c r="B1140" s="17" t="n">
        <f aca="false">Bank_Statement!B380</f>
        <v>46032</v>
      </c>
      <c r="C1140" s="18" t="n">
        <f aca="false">Bank_Statement!C380</f>
        <v>-1440.58</v>
      </c>
      <c r="D1140" s="16" t="str">
        <f aca="false">Bank_Statement!D380</f>
        <v>PMT-V1025</v>
      </c>
      <c r="E1140" s="16" t="str">
        <f aca="false">Bank_Statement!E380</f>
        <v>PAY40379</v>
      </c>
      <c r="F1140" s="16" t="str">
        <f aca="false">IF(E1140="","N/A",IF(COUNTIF(Payment_Log_AP!$A$2:$A$753,E1140)&gt;0,"Yes","No"))</f>
        <v>Yes</v>
      </c>
      <c r="G1140" s="16" t="str">
        <f aca="false">IF(E1140="","Unexplained Bank Item (fee/other - review)",IF(F1140="Yes","Matched","Payment Reference Not Found in AP Log"))</f>
        <v>Matched</v>
      </c>
    </row>
    <row r="1141" customFormat="false" ht="15" hidden="false" customHeight="false" outlineLevel="0" collapsed="false">
      <c r="A1141" s="16" t="str">
        <f aca="false">Bank_Statement!A381</f>
        <v>BNK50380</v>
      </c>
      <c r="B1141" s="17" t="n">
        <f aca="false">Bank_Statement!B381</f>
        <v>46126</v>
      </c>
      <c r="C1141" s="18" t="n">
        <f aca="false">Bank_Statement!C381</f>
        <v>-308.34</v>
      </c>
      <c r="D1141" s="16" t="str">
        <f aca="false">Bank_Statement!D381</f>
        <v>PMT-V1020</v>
      </c>
      <c r="E1141" s="16" t="str">
        <f aca="false">Bank_Statement!E381</f>
        <v>PAY40380</v>
      </c>
      <c r="F1141" s="16" t="str">
        <f aca="false">IF(E1141="","N/A",IF(COUNTIF(Payment_Log_AP!$A$2:$A$753,E1141)&gt;0,"Yes","No"))</f>
        <v>Yes</v>
      </c>
      <c r="G1141" s="16" t="str">
        <f aca="false">IF(E1141="","Unexplained Bank Item (fee/other - review)",IF(F1141="Yes","Matched","Payment Reference Not Found in AP Log"))</f>
        <v>Matched</v>
      </c>
    </row>
    <row r="1142" customFormat="false" ht="15" hidden="false" customHeight="false" outlineLevel="0" collapsed="false">
      <c r="A1142" s="16" t="str">
        <f aca="false">Bank_Statement!A382</f>
        <v>BNK50381</v>
      </c>
      <c r="B1142" s="17" t="n">
        <f aca="false">Bank_Statement!B382</f>
        <v>45791</v>
      </c>
      <c r="C1142" s="18" t="n">
        <f aca="false">Bank_Statement!C382</f>
        <v>-303.89</v>
      </c>
      <c r="D1142" s="16" t="str">
        <f aca="false">Bank_Statement!D382</f>
        <v>PMT-V1034</v>
      </c>
      <c r="E1142" s="16" t="str">
        <f aca="false">Bank_Statement!E382</f>
        <v>PAY40381</v>
      </c>
      <c r="F1142" s="16" t="str">
        <f aca="false">IF(E1142="","N/A",IF(COUNTIF(Payment_Log_AP!$A$2:$A$753,E1142)&gt;0,"Yes","No"))</f>
        <v>Yes</v>
      </c>
      <c r="G1142" s="16" t="str">
        <f aca="false">IF(E1142="","Unexplained Bank Item (fee/other - review)",IF(F1142="Yes","Matched","Payment Reference Not Found in AP Log"))</f>
        <v>Matched</v>
      </c>
    </row>
    <row r="1143" customFormat="false" ht="15" hidden="false" customHeight="false" outlineLevel="0" collapsed="false">
      <c r="A1143" s="16" t="str">
        <f aca="false">Bank_Statement!A383</f>
        <v>BNK50382</v>
      </c>
      <c r="B1143" s="17" t="n">
        <f aca="false">Bank_Statement!B383</f>
        <v>45987</v>
      </c>
      <c r="C1143" s="18" t="n">
        <f aca="false">Bank_Statement!C383</f>
        <v>-4223.32</v>
      </c>
      <c r="D1143" s="16" t="str">
        <f aca="false">Bank_Statement!D383</f>
        <v>PMT-V1023</v>
      </c>
      <c r="E1143" s="16" t="str">
        <f aca="false">Bank_Statement!E383</f>
        <v>PAY40382</v>
      </c>
      <c r="F1143" s="16" t="str">
        <f aca="false">IF(E1143="","N/A",IF(COUNTIF(Payment_Log_AP!$A$2:$A$753,E1143)&gt;0,"Yes","No"))</f>
        <v>Yes</v>
      </c>
      <c r="G1143" s="16" t="str">
        <f aca="false">IF(E1143="","Unexplained Bank Item (fee/other - review)",IF(F1143="Yes","Matched","Payment Reference Not Found in AP Log"))</f>
        <v>Matched</v>
      </c>
    </row>
    <row r="1144" customFormat="false" ht="15" hidden="false" customHeight="false" outlineLevel="0" collapsed="false">
      <c r="A1144" s="16" t="str">
        <f aca="false">Bank_Statement!A384</f>
        <v>BNK50383</v>
      </c>
      <c r="B1144" s="17" t="n">
        <f aca="false">Bank_Statement!B384</f>
        <v>46188</v>
      </c>
      <c r="C1144" s="18" t="n">
        <f aca="false">Bank_Statement!C384</f>
        <v>-1084.38</v>
      </c>
      <c r="D1144" s="16" t="str">
        <f aca="false">Bank_Statement!D384</f>
        <v>PMT-V1015</v>
      </c>
      <c r="E1144" s="16" t="str">
        <f aca="false">Bank_Statement!E384</f>
        <v>PAY40383</v>
      </c>
      <c r="F1144" s="16" t="str">
        <f aca="false">IF(E1144="","N/A",IF(COUNTIF(Payment_Log_AP!$A$2:$A$753,E1144)&gt;0,"Yes","No"))</f>
        <v>Yes</v>
      </c>
      <c r="G1144" s="16" t="str">
        <f aca="false">IF(E1144="","Unexplained Bank Item (fee/other - review)",IF(F1144="Yes","Matched","Payment Reference Not Found in AP Log"))</f>
        <v>Matched</v>
      </c>
    </row>
    <row r="1145" customFormat="false" ht="15" hidden="false" customHeight="false" outlineLevel="0" collapsed="false">
      <c r="A1145" s="16" t="str">
        <f aca="false">Bank_Statement!A385</f>
        <v>BNK50384</v>
      </c>
      <c r="B1145" s="17" t="n">
        <f aca="false">Bank_Statement!B385</f>
        <v>45911</v>
      </c>
      <c r="C1145" s="18" t="n">
        <f aca="false">Bank_Statement!C385</f>
        <v>-3288.85</v>
      </c>
      <c r="D1145" s="16" t="str">
        <f aca="false">Bank_Statement!D385</f>
        <v>PMT-V1037</v>
      </c>
      <c r="E1145" s="16" t="str">
        <f aca="false">Bank_Statement!E385</f>
        <v>PAY40384</v>
      </c>
      <c r="F1145" s="16" t="str">
        <f aca="false">IF(E1145="","N/A",IF(COUNTIF(Payment_Log_AP!$A$2:$A$753,E1145)&gt;0,"Yes","No"))</f>
        <v>Yes</v>
      </c>
      <c r="G1145" s="16" t="str">
        <f aca="false">IF(E1145="","Unexplained Bank Item (fee/other - review)",IF(F1145="Yes","Matched","Payment Reference Not Found in AP Log"))</f>
        <v>Matched</v>
      </c>
    </row>
    <row r="1146" customFormat="false" ht="15" hidden="false" customHeight="false" outlineLevel="0" collapsed="false">
      <c r="A1146" s="16" t="str">
        <f aca="false">Bank_Statement!A386</f>
        <v>BNK50385</v>
      </c>
      <c r="B1146" s="17" t="n">
        <f aca="false">Bank_Statement!B386</f>
        <v>46078</v>
      </c>
      <c r="C1146" s="18" t="n">
        <f aca="false">Bank_Statement!C386</f>
        <v>-2979.58</v>
      </c>
      <c r="D1146" s="16" t="str">
        <f aca="false">Bank_Statement!D386</f>
        <v>PMT-V1002</v>
      </c>
      <c r="E1146" s="16" t="str">
        <f aca="false">Bank_Statement!E386</f>
        <v>PAY40385</v>
      </c>
      <c r="F1146" s="16" t="str">
        <f aca="false">IF(E1146="","N/A",IF(COUNTIF(Payment_Log_AP!$A$2:$A$753,E1146)&gt;0,"Yes","No"))</f>
        <v>Yes</v>
      </c>
      <c r="G1146" s="16" t="str">
        <f aca="false">IF(E1146="","Unexplained Bank Item (fee/other - review)",IF(F1146="Yes","Matched","Payment Reference Not Found in AP Log"))</f>
        <v>Matched</v>
      </c>
    </row>
    <row r="1147" customFormat="false" ht="15" hidden="false" customHeight="false" outlineLevel="0" collapsed="false">
      <c r="A1147" s="16" t="str">
        <f aca="false">Bank_Statement!A387</f>
        <v>BNK50386</v>
      </c>
      <c r="B1147" s="17" t="n">
        <f aca="false">Bank_Statement!B387</f>
        <v>45734</v>
      </c>
      <c r="C1147" s="18" t="n">
        <f aca="false">Bank_Statement!C387</f>
        <v>-209.66</v>
      </c>
      <c r="D1147" s="16" t="str">
        <f aca="false">Bank_Statement!D387</f>
        <v>PMT-V1018</v>
      </c>
      <c r="E1147" s="16" t="str">
        <f aca="false">Bank_Statement!E387</f>
        <v>PAY40386</v>
      </c>
      <c r="F1147" s="16" t="str">
        <f aca="false">IF(E1147="","N/A",IF(COUNTIF(Payment_Log_AP!$A$2:$A$753,E1147)&gt;0,"Yes","No"))</f>
        <v>Yes</v>
      </c>
      <c r="G1147" s="16" t="str">
        <f aca="false">IF(E1147="","Unexplained Bank Item (fee/other - review)",IF(F1147="Yes","Matched","Payment Reference Not Found in AP Log"))</f>
        <v>Matched</v>
      </c>
    </row>
    <row r="1148" customFormat="false" ht="15" hidden="false" customHeight="false" outlineLevel="0" collapsed="false">
      <c r="A1148" s="16" t="str">
        <f aca="false">Bank_Statement!A388</f>
        <v>BNK50387</v>
      </c>
      <c r="B1148" s="17" t="n">
        <f aca="false">Bank_Statement!B388</f>
        <v>46200</v>
      </c>
      <c r="C1148" s="18" t="n">
        <f aca="false">Bank_Statement!C388</f>
        <v>-3415.67</v>
      </c>
      <c r="D1148" s="16" t="str">
        <f aca="false">Bank_Statement!D388</f>
        <v>PMT-V1037</v>
      </c>
      <c r="E1148" s="16" t="str">
        <f aca="false">Bank_Statement!E388</f>
        <v>PAY40387</v>
      </c>
      <c r="F1148" s="16" t="str">
        <f aca="false">IF(E1148="","N/A",IF(COUNTIF(Payment_Log_AP!$A$2:$A$753,E1148)&gt;0,"Yes","No"))</f>
        <v>Yes</v>
      </c>
      <c r="G1148" s="16" t="str">
        <f aca="false">IF(E1148="","Unexplained Bank Item (fee/other - review)",IF(F1148="Yes","Matched","Payment Reference Not Found in AP Log"))</f>
        <v>Matched</v>
      </c>
    </row>
    <row r="1149" customFormat="false" ht="15" hidden="false" customHeight="false" outlineLevel="0" collapsed="false">
      <c r="A1149" s="16" t="str">
        <f aca="false">Bank_Statement!A389</f>
        <v>BNK50388</v>
      </c>
      <c r="B1149" s="17" t="n">
        <f aca="false">Bank_Statement!B389</f>
        <v>46013</v>
      </c>
      <c r="C1149" s="18" t="n">
        <f aca="false">Bank_Statement!C389</f>
        <v>-1992.56</v>
      </c>
      <c r="D1149" s="16" t="str">
        <f aca="false">Bank_Statement!D389</f>
        <v>PMT-V1026</v>
      </c>
      <c r="E1149" s="16" t="str">
        <f aca="false">Bank_Statement!E389</f>
        <v>PAY40388</v>
      </c>
      <c r="F1149" s="16" t="str">
        <f aca="false">IF(E1149="","N/A",IF(COUNTIF(Payment_Log_AP!$A$2:$A$753,E1149)&gt;0,"Yes","No"))</f>
        <v>Yes</v>
      </c>
      <c r="G1149" s="16" t="str">
        <f aca="false">IF(E1149="","Unexplained Bank Item (fee/other - review)",IF(F1149="Yes","Matched","Payment Reference Not Found in AP Log"))</f>
        <v>Matched</v>
      </c>
    </row>
    <row r="1150" customFormat="false" ht="15" hidden="false" customHeight="false" outlineLevel="0" collapsed="false">
      <c r="A1150" s="16" t="str">
        <f aca="false">Bank_Statement!A390</f>
        <v>BNK50389</v>
      </c>
      <c r="B1150" s="17" t="n">
        <f aca="false">Bank_Statement!B390</f>
        <v>45821</v>
      </c>
      <c r="C1150" s="18" t="n">
        <f aca="false">Bank_Statement!C390</f>
        <v>-2035.46</v>
      </c>
      <c r="D1150" s="16" t="str">
        <f aca="false">Bank_Statement!D390</f>
        <v>PMT-V1001</v>
      </c>
      <c r="E1150" s="16" t="str">
        <f aca="false">Bank_Statement!E390</f>
        <v>PAY40389</v>
      </c>
      <c r="F1150" s="16" t="str">
        <f aca="false">IF(E1150="","N/A",IF(COUNTIF(Payment_Log_AP!$A$2:$A$753,E1150)&gt;0,"Yes","No"))</f>
        <v>Yes</v>
      </c>
      <c r="G1150" s="16" t="str">
        <f aca="false">IF(E1150="","Unexplained Bank Item (fee/other - review)",IF(F1150="Yes","Matched","Payment Reference Not Found in AP Log"))</f>
        <v>Matched</v>
      </c>
    </row>
    <row r="1151" customFormat="false" ht="15" hidden="false" customHeight="false" outlineLevel="0" collapsed="false">
      <c r="A1151" s="16" t="str">
        <f aca="false">Bank_Statement!A391</f>
        <v>BNK50390</v>
      </c>
      <c r="B1151" s="17" t="n">
        <f aca="false">Bank_Statement!B391</f>
        <v>45760</v>
      </c>
      <c r="C1151" s="18" t="n">
        <f aca="false">Bank_Statement!C391</f>
        <v>-9019.36</v>
      </c>
      <c r="D1151" s="16" t="str">
        <f aca="false">Bank_Statement!D391</f>
        <v>PMT-V1006</v>
      </c>
      <c r="E1151" s="16" t="str">
        <f aca="false">Bank_Statement!E391</f>
        <v>PAY40390</v>
      </c>
      <c r="F1151" s="16" t="str">
        <f aca="false">IF(E1151="","N/A",IF(COUNTIF(Payment_Log_AP!$A$2:$A$753,E1151)&gt;0,"Yes","No"))</f>
        <v>Yes</v>
      </c>
      <c r="G1151" s="16" t="str">
        <f aca="false">IF(E1151="","Unexplained Bank Item (fee/other - review)",IF(F1151="Yes","Matched","Payment Reference Not Found in AP Log"))</f>
        <v>Matched</v>
      </c>
    </row>
    <row r="1152" customFormat="false" ht="15" hidden="false" customHeight="false" outlineLevel="0" collapsed="false">
      <c r="A1152" s="16" t="str">
        <f aca="false">Bank_Statement!A392</f>
        <v>BNK50391</v>
      </c>
      <c r="B1152" s="17" t="n">
        <f aca="false">Bank_Statement!B392</f>
        <v>45991</v>
      </c>
      <c r="C1152" s="18" t="n">
        <f aca="false">Bank_Statement!C392</f>
        <v>-1812.95</v>
      </c>
      <c r="D1152" s="16" t="str">
        <f aca="false">Bank_Statement!D392</f>
        <v>PMT-V1016</v>
      </c>
      <c r="E1152" s="16" t="str">
        <f aca="false">Bank_Statement!E392</f>
        <v>PAY40391</v>
      </c>
      <c r="F1152" s="16" t="str">
        <f aca="false">IF(E1152="","N/A",IF(COUNTIF(Payment_Log_AP!$A$2:$A$753,E1152)&gt;0,"Yes","No"))</f>
        <v>Yes</v>
      </c>
      <c r="G1152" s="16" t="str">
        <f aca="false">IF(E1152="","Unexplained Bank Item (fee/other - review)",IF(F1152="Yes","Matched","Payment Reference Not Found in AP Log"))</f>
        <v>Matched</v>
      </c>
    </row>
    <row r="1153" customFormat="false" ht="15" hidden="false" customHeight="false" outlineLevel="0" collapsed="false">
      <c r="A1153" s="16" t="str">
        <f aca="false">Bank_Statement!A393</f>
        <v>BNK50392</v>
      </c>
      <c r="B1153" s="17" t="n">
        <f aca="false">Bank_Statement!B393</f>
        <v>45998</v>
      </c>
      <c r="C1153" s="18" t="n">
        <f aca="false">Bank_Statement!C393</f>
        <v>-1047.46</v>
      </c>
      <c r="D1153" s="16" t="str">
        <f aca="false">Bank_Statement!D393</f>
        <v>PMT-V1023</v>
      </c>
      <c r="E1153" s="16" t="str">
        <f aca="false">Bank_Statement!E393</f>
        <v>PAY40392</v>
      </c>
      <c r="F1153" s="16" t="str">
        <f aca="false">IF(E1153="","N/A",IF(COUNTIF(Payment_Log_AP!$A$2:$A$753,E1153)&gt;0,"Yes","No"))</f>
        <v>Yes</v>
      </c>
      <c r="G1153" s="16" t="str">
        <f aca="false">IF(E1153="","Unexplained Bank Item (fee/other - review)",IF(F1153="Yes","Matched","Payment Reference Not Found in AP Log"))</f>
        <v>Matched</v>
      </c>
    </row>
    <row r="1154" customFormat="false" ht="15" hidden="false" customHeight="false" outlineLevel="0" collapsed="false">
      <c r="A1154" s="16" t="str">
        <f aca="false">Bank_Statement!A394</f>
        <v>BNK50393</v>
      </c>
      <c r="B1154" s="17" t="n">
        <f aca="false">Bank_Statement!B394</f>
        <v>45728</v>
      </c>
      <c r="C1154" s="18" t="n">
        <f aca="false">Bank_Statement!C394</f>
        <v>-3396.34</v>
      </c>
      <c r="D1154" s="16" t="str">
        <f aca="false">Bank_Statement!D394</f>
        <v>PMT-V1009</v>
      </c>
      <c r="E1154" s="16" t="str">
        <f aca="false">Bank_Statement!E394</f>
        <v>PAY40393</v>
      </c>
      <c r="F1154" s="16" t="str">
        <f aca="false">IF(E1154="","N/A",IF(COUNTIF(Payment_Log_AP!$A$2:$A$753,E1154)&gt;0,"Yes","No"))</f>
        <v>Yes</v>
      </c>
      <c r="G1154" s="16" t="str">
        <f aca="false">IF(E1154="","Unexplained Bank Item (fee/other - review)",IF(F1154="Yes","Matched","Payment Reference Not Found in AP Log"))</f>
        <v>Matched</v>
      </c>
    </row>
    <row r="1155" customFormat="false" ht="15" hidden="false" customHeight="false" outlineLevel="0" collapsed="false">
      <c r="A1155" s="16" t="str">
        <f aca="false">Bank_Statement!A395</f>
        <v>BNK50394</v>
      </c>
      <c r="B1155" s="17" t="n">
        <f aca="false">Bank_Statement!B395</f>
        <v>46173</v>
      </c>
      <c r="C1155" s="18" t="n">
        <f aca="false">Bank_Statement!C395</f>
        <v>-1201.82</v>
      </c>
      <c r="D1155" s="16" t="str">
        <f aca="false">Bank_Statement!D395</f>
        <v>PMT-V1013</v>
      </c>
      <c r="E1155" s="16" t="str">
        <f aca="false">Bank_Statement!E395</f>
        <v>PAY40394</v>
      </c>
      <c r="F1155" s="16" t="str">
        <f aca="false">IF(E1155="","N/A",IF(COUNTIF(Payment_Log_AP!$A$2:$A$753,E1155)&gt;0,"Yes","No"))</f>
        <v>Yes</v>
      </c>
      <c r="G1155" s="16" t="str">
        <f aca="false">IF(E1155="","Unexplained Bank Item (fee/other - review)",IF(F1155="Yes","Matched","Payment Reference Not Found in AP Log"))</f>
        <v>Matched</v>
      </c>
    </row>
    <row r="1156" customFormat="false" ht="15" hidden="false" customHeight="false" outlineLevel="0" collapsed="false">
      <c r="A1156" s="16" t="str">
        <f aca="false">Bank_Statement!A396</f>
        <v>BNK50395</v>
      </c>
      <c r="B1156" s="17" t="n">
        <f aca="false">Bank_Statement!B396</f>
        <v>45955</v>
      </c>
      <c r="C1156" s="18" t="n">
        <f aca="false">Bank_Statement!C396</f>
        <v>-1494.41</v>
      </c>
      <c r="D1156" s="16" t="str">
        <f aca="false">Bank_Statement!D396</f>
        <v>PMT-V1010</v>
      </c>
      <c r="E1156" s="16" t="str">
        <f aca="false">Bank_Statement!E396</f>
        <v>PAY40395</v>
      </c>
      <c r="F1156" s="16" t="str">
        <f aca="false">IF(E1156="","N/A",IF(COUNTIF(Payment_Log_AP!$A$2:$A$753,E1156)&gt;0,"Yes","No"))</f>
        <v>Yes</v>
      </c>
      <c r="G1156" s="16" t="str">
        <f aca="false">IF(E1156="","Unexplained Bank Item (fee/other - review)",IF(F1156="Yes","Matched","Payment Reference Not Found in AP Log"))</f>
        <v>Matched</v>
      </c>
    </row>
    <row r="1157" customFormat="false" ht="15" hidden="false" customHeight="false" outlineLevel="0" collapsed="false">
      <c r="A1157" s="16" t="str">
        <f aca="false">Bank_Statement!A397</f>
        <v>BNK50396</v>
      </c>
      <c r="B1157" s="17" t="n">
        <f aca="false">Bank_Statement!B397</f>
        <v>46153</v>
      </c>
      <c r="C1157" s="18" t="n">
        <f aca="false">Bank_Statement!C397</f>
        <v>-2064.66</v>
      </c>
      <c r="D1157" s="16" t="str">
        <f aca="false">Bank_Statement!D397</f>
        <v>PMT-V1018</v>
      </c>
      <c r="E1157" s="16" t="str">
        <f aca="false">Bank_Statement!E397</f>
        <v>PAY40396</v>
      </c>
      <c r="F1157" s="16" t="str">
        <f aca="false">IF(E1157="","N/A",IF(COUNTIF(Payment_Log_AP!$A$2:$A$753,E1157)&gt;0,"Yes","No"))</f>
        <v>Yes</v>
      </c>
      <c r="G1157" s="16" t="str">
        <f aca="false">IF(E1157="","Unexplained Bank Item (fee/other - review)",IF(F1157="Yes","Matched","Payment Reference Not Found in AP Log"))</f>
        <v>Matched</v>
      </c>
    </row>
    <row r="1158" customFormat="false" ht="15" hidden="false" customHeight="false" outlineLevel="0" collapsed="false">
      <c r="A1158" s="16" t="str">
        <f aca="false">Bank_Statement!A398</f>
        <v>BNK50397</v>
      </c>
      <c r="B1158" s="17" t="n">
        <f aca="false">Bank_Statement!B398</f>
        <v>45967</v>
      </c>
      <c r="C1158" s="18" t="n">
        <f aca="false">Bank_Statement!C398</f>
        <v>-882.52</v>
      </c>
      <c r="D1158" s="16" t="str">
        <f aca="false">Bank_Statement!D398</f>
        <v>PMT-V1018</v>
      </c>
      <c r="E1158" s="16" t="str">
        <f aca="false">Bank_Statement!E398</f>
        <v>PAY40397</v>
      </c>
      <c r="F1158" s="16" t="str">
        <f aca="false">IF(E1158="","N/A",IF(COUNTIF(Payment_Log_AP!$A$2:$A$753,E1158)&gt;0,"Yes","No"))</f>
        <v>Yes</v>
      </c>
      <c r="G1158" s="16" t="str">
        <f aca="false">IF(E1158="","Unexplained Bank Item (fee/other - review)",IF(F1158="Yes","Matched","Payment Reference Not Found in AP Log"))</f>
        <v>Matched</v>
      </c>
    </row>
    <row r="1159" customFormat="false" ht="15" hidden="false" customHeight="false" outlineLevel="0" collapsed="false">
      <c r="A1159" s="16" t="str">
        <f aca="false">Bank_Statement!A399</f>
        <v>BNK50398</v>
      </c>
      <c r="B1159" s="17" t="n">
        <f aca="false">Bank_Statement!B399</f>
        <v>46088</v>
      </c>
      <c r="C1159" s="18" t="n">
        <f aca="false">Bank_Statement!C399</f>
        <v>-3855.85</v>
      </c>
      <c r="D1159" s="16" t="str">
        <f aca="false">Bank_Statement!D399</f>
        <v>PMT-V1028</v>
      </c>
      <c r="E1159" s="16" t="str">
        <f aca="false">Bank_Statement!E399</f>
        <v>PAY40398</v>
      </c>
      <c r="F1159" s="16" t="str">
        <f aca="false">IF(E1159="","N/A",IF(COUNTIF(Payment_Log_AP!$A$2:$A$753,E1159)&gt;0,"Yes","No"))</f>
        <v>Yes</v>
      </c>
      <c r="G1159" s="16" t="str">
        <f aca="false">IF(E1159="","Unexplained Bank Item (fee/other - review)",IF(F1159="Yes","Matched","Payment Reference Not Found in AP Log"))</f>
        <v>Matched</v>
      </c>
    </row>
    <row r="1160" customFormat="false" ht="15" hidden="false" customHeight="false" outlineLevel="0" collapsed="false">
      <c r="A1160" s="16" t="str">
        <f aca="false">Bank_Statement!A400</f>
        <v>BNK50399</v>
      </c>
      <c r="B1160" s="17" t="n">
        <f aca="false">Bank_Statement!B400</f>
        <v>45941</v>
      </c>
      <c r="C1160" s="18" t="n">
        <f aca="false">Bank_Statement!C400</f>
        <v>-1396.94</v>
      </c>
      <c r="D1160" s="16" t="str">
        <f aca="false">Bank_Statement!D400</f>
        <v>PMT-V1027</v>
      </c>
      <c r="E1160" s="16" t="str">
        <f aca="false">Bank_Statement!E400</f>
        <v>PAY40399</v>
      </c>
      <c r="F1160" s="16" t="str">
        <f aca="false">IF(E1160="","N/A",IF(COUNTIF(Payment_Log_AP!$A$2:$A$753,E1160)&gt;0,"Yes","No"))</f>
        <v>Yes</v>
      </c>
      <c r="G1160" s="16" t="str">
        <f aca="false">IF(E1160="","Unexplained Bank Item (fee/other - review)",IF(F1160="Yes","Matched","Payment Reference Not Found in AP Log"))</f>
        <v>Matched</v>
      </c>
    </row>
    <row r="1161" customFormat="false" ht="15" hidden="false" customHeight="false" outlineLevel="0" collapsed="false">
      <c r="A1161" s="16" t="str">
        <f aca="false">Bank_Statement!A401</f>
        <v>BNK50400</v>
      </c>
      <c r="B1161" s="17" t="n">
        <f aca="false">Bank_Statement!B401</f>
        <v>45832</v>
      </c>
      <c r="C1161" s="18" t="n">
        <f aca="false">Bank_Statement!C401</f>
        <v>-1284.51</v>
      </c>
      <c r="D1161" s="16" t="str">
        <f aca="false">Bank_Statement!D401</f>
        <v>PMT-V1038</v>
      </c>
      <c r="E1161" s="16" t="str">
        <f aca="false">Bank_Statement!E401</f>
        <v>PAY40400</v>
      </c>
      <c r="F1161" s="16" t="str">
        <f aca="false">IF(E1161="","N/A",IF(COUNTIF(Payment_Log_AP!$A$2:$A$753,E1161)&gt;0,"Yes","No"))</f>
        <v>Yes</v>
      </c>
      <c r="G1161" s="16" t="str">
        <f aca="false">IF(E1161="","Unexplained Bank Item (fee/other - review)",IF(F1161="Yes","Matched","Payment Reference Not Found in AP Log"))</f>
        <v>Matched</v>
      </c>
    </row>
    <row r="1162" customFormat="false" ht="15" hidden="false" customHeight="false" outlineLevel="0" collapsed="false">
      <c r="A1162" s="16" t="str">
        <f aca="false">Bank_Statement!A402</f>
        <v>BNK50401</v>
      </c>
      <c r="B1162" s="17" t="n">
        <f aca="false">Bank_Statement!B402</f>
        <v>46151</v>
      </c>
      <c r="C1162" s="18" t="n">
        <f aca="false">Bank_Statement!C402</f>
        <v>-3088.46</v>
      </c>
      <c r="D1162" s="16" t="str">
        <f aca="false">Bank_Statement!D402</f>
        <v>PMT-V1030</v>
      </c>
      <c r="E1162" s="16" t="str">
        <f aca="false">Bank_Statement!E402</f>
        <v>PAY40401</v>
      </c>
      <c r="F1162" s="16" t="str">
        <f aca="false">IF(E1162="","N/A",IF(COUNTIF(Payment_Log_AP!$A$2:$A$753,E1162)&gt;0,"Yes","No"))</f>
        <v>Yes</v>
      </c>
      <c r="G1162" s="16" t="str">
        <f aca="false">IF(E1162="","Unexplained Bank Item (fee/other - review)",IF(F1162="Yes","Matched","Payment Reference Not Found in AP Log"))</f>
        <v>Matched</v>
      </c>
    </row>
    <row r="1163" customFormat="false" ht="15" hidden="false" customHeight="false" outlineLevel="0" collapsed="false">
      <c r="A1163" s="16" t="str">
        <f aca="false">Bank_Statement!A403</f>
        <v>BNK50402</v>
      </c>
      <c r="B1163" s="17" t="n">
        <f aca="false">Bank_Statement!B403</f>
        <v>45813</v>
      </c>
      <c r="C1163" s="18" t="n">
        <f aca="false">Bank_Statement!C403</f>
        <v>-3083.99</v>
      </c>
      <c r="D1163" s="16" t="str">
        <f aca="false">Bank_Statement!D403</f>
        <v>PMT-V1009</v>
      </c>
      <c r="E1163" s="16" t="str">
        <f aca="false">Bank_Statement!E403</f>
        <v>PAY40402</v>
      </c>
      <c r="F1163" s="16" t="str">
        <f aca="false">IF(E1163="","N/A",IF(COUNTIF(Payment_Log_AP!$A$2:$A$753,E1163)&gt;0,"Yes","No"))</f>
        <v>Yes</v>
      </c>
      <c r="G1163" s="16" t="str">
        <f aca="false">IF(E1163="","Unexplained Bank Item (fee/other - review)",IF(F1163="Yes","Matched","Payment Reference Not Found in AP Log"))</f>
        <v>Matched</v>
      </c>
    </row>
    <row r="1164" customFormat="false" ht="15" hidden="false" customHeight="false" outlineLevel="0" collapsed="false">
      <c r="A1164" s="16" t="str">
        <f aca="false">Bank_Statement!A404</f>
        <v>BNK50403</v>
      </c>
      <c r="B1164" s="17" t="n">
        <f aca="false">Bank_Statement!B404</f>
        <v>45904</v>
      </c>
      <c r="C1164" s="18" t="n">
        <f aca="false">Bank_Statement!C404</f>
        <v>-1846.25</v>
      </c>
      <c r="D1164" s="16" t="str">
        <f aca="false">Bank_Statement!D404</f>
        <v>PMT-V1019</v>
      </c>
      <c r="E1164" s="16" t="str">
        <f aca="false">Bank_Statement!E404</f>
        <v>PAY40403</v>
      </c>
      <c r="F1164" s="16" t="str">
        <f aca="false">IF(E1164="","N/A",IF(COUNTIF(Payment_Log_AP!$A$2:$A$753,E1164)&gt;0,"Yes","No"))</f>
        <v>Yes</v>
      </c>
      <c r="G1164" s="16" t="str">
        <f aca="false">IF(E1164="","Unexplained Bank Item (fee/other - review)",IF(F1164="Yes","Matched","Payment Reference Not Found in AP Log"))</f>
        <v>Matched</v>
      </c>
    </row>
    <row r="1165" customFormat="false" ht="15" hidden="false" customHeight="false" outlineLevel="0" collapsed="false">
      <c r="A1165" s="16" t="str">
        <f aca="false">Bank_Statement!A405</f>
        <v>BNK50404</v>
      </c>
      <c r="B1165" s="17" t="n">
        <f aca="false">Bank_Statement!B405</f>
        <v>46171</v>
      </c>
      <c r="C1165" s="18" t="n">
        <f aca="false">Bank_Statement!C405</f>
        <v>-4660.66</v>
      </c>
      <c r="D1165" s="16" t="str">
        <f aca="false">Bank_Statement!D405</f>
        <v>PMT-V1016</v>
      </c>
      <c r="E1165" s="16" t="str">
        <f aca="false">Bank_Statement!E405</f>
        <v>PAY40404</v>
      </c>
      <c r="F1165" s="16" t="str">
        <f aca="false">IF(E1165="","N/A",IF(COUNTIF(Payment_Log_AP!$A$2:$A$753,E1165)&gt;0,"Yes","No"))</f>
        <v>Yes</v>
      </c>
      <c r="G1165" s="16" t="str">
        <f aca="false">IF(E1165="","Unexplained Bank Item (fee/other - review)",IF(F1165="Yes","Matched","Payment Reference Not Found in AP Log"))</f>
        <v>Matched</v>
      </c>
    </row>
    <row r="1166" customFormat="false" ht="15" hidden="false" customHeight="false" outlineLevel="0" collapsed="false">
      <c r="A1166" s="16" t="str">
        <f aca="false">Bank_Statement!A406</f>
        <v>BNK50405</v>
      </c>
      <c r="B1166" s="17" t="n">
        <f aca="false">Bank_Statement!B406</f>
        <v>45857</v>
      </c>
      <c r="C1166" s="18" t="n">
        <f aca="false">Bank_Statement!C406</f>
        <v>-4354.54</v>
      </c>
      <c r="D1166" s="16" t="str">
        <f aca="false">Bank_Statement!D406</f>
        <v>PMT-V1011</v>
      </c>
      <c r="E1166" s="16" t="str">
        <f aca="false">Bank_Statement!E406</f>
        <v>PAY40405</v>
      </c>
      <c r="F1166" s="16" t="str">
        <f aca="false">IF(E1166="","N/A",IF(COUNTIF(Payment_Log_AP!$A$2:$A$753,E1166)&gt;0,"Yes","No"))</f>
        <v>Yes</v>
      </c>
      <c r="G1166" s="16" t="str">
        <f aca="false">IF(E1166="","Unexplained Bank Item (fee/other - review)",IF(F1166="Yes","Matched","Payment Reference Not Found in AP Log"))</f>
        <v>Matched</v>
      </c>
    </row>
    <row r="1167" customFormat="false" ht="15" hidden="false" customHeight="false" outlineLevel="0" collapsed="false">
      <c r="A1167" s="16" t="str">
        <f aca="false">Bank_Statement!A407</f>
        <v>BNK50406</v>
      </c>
      <c r="B1167" s="17" t="n">
        <f aca="false">Bank_Statement!B407</f>
        <v>46115</v>
      </c>
      <c r="C1167" s="18" t="n">
        <f aca="false">Bank_Statement!C407</f>
        <v>-1820.28</v>
      </c>
      <c r="D1167" s="16" t="str">
        <f aca="false">Bank_Statement!D407</f>
        <v>PMT-V1007</v>
      </c>
      <c r="E1167" s="16" t="str">
        <f aca="false">Bank_Statement!E407</f>
        <v>PAY40406</v>
      </c>
      <c r="F1167" s="16" t="str">
        <f aca="false">IF(E1167="","N/A",IF(COUNTIF(Payment_Log_AP!$A$2:$A$753,E1167)&gt;0,"Yes","No"))</f>
        <v>Yes</v>
      </c>
      <c r="G1167" s="16" t="str">
        <f aca="false">IF(E1167="","Unexplained Bank Item (fee/other - review)",IF(F1167="Yes","Matched","Payment Reference Not Found in AP Log"))</f>
        <v>Matched</v>
      </c>
    </row>
    <row r="1168" customFormat="false" ht="15" hidden="false" customHeight="false" outlineLevel="0" collapsed="false">
      <c r="A1168" s="16" t="str">
        <f aca="false">Bank_Statement!A408</f>
        <v>BNK50407</v>
      </c>
      <c r="B1168" s="17" t="n">
        <f aca="false">Bank_Statement!B408</f>
        <v>45984</v>
      </c>
      <c r="C1168" s="18" t="n">
        <f aca="false">Bank_Statement!C408</f>
        <v>-1334.13</v>
      </c>
      <c r="D1168" s="16" t="str">
        <f aca="false">Bank_Statement!D408</f>
        <v>PMT-V1013</v>
      </c>
      <c r="E1168" s="16" t="str">
        <f aca="false">Bank_Statement!E408</f>
        <v>PAY40407</v>
      </c>
      <c r="F1168" s="16" t="str">
        <f aca="false">IF(E1168="","N/A",IF(COUNTIF(Payment_Log_AP!$A$2:$A$753,E1168)&gt;0,"Yes","No"))</f>
        <v>Yes</v>
      </c>
      <c r="G1168" s="16" t="str">
        <f aca="false">IF(E1168="","Unexplained Bank Item (fee/other - review)",IF(F1168="Yes","Matched","Payment Reference Not Found in AP Log"))</f>
        <v>Matched</v>
      </c>
    </row>
    <row r="1169" customFormat="false" ht="15" hidden="false" customHeight="false" outlineLevel="0" collapsed="false">
      <c r="A1169" s="16" t="str">
        <f aca="false">Bank_Statement!A409</f>
        <v>BNK50408</v>
      </c>
      <c r="B1169" s="17" t="n">
        <f aca="false">Bank_Statement!B409</f>
        <v>46157</v>
      </c>
      <c r="C1169" s="18" t="n">
        <f aca="false">Bank_Statement!C409</f>
        <v>-2328.91</v>
      </c>
      <c r="D1169" s="16" t="str">
        <f aca="false">Bank_Statement!D409</f>
        <v>PMT-V1011</v>
      </c>
      <c r="E1169" s="16" t="str">
        <f aca="false">Bank_Statement!E409</f>
        <v>PAY40408</v>
      </c>
      <c r="F1169" s="16" t="str">
        <f aca="false">IF(E1169="","N/A",IF(COUNTIF(Payment_Log_AP!$A$2:$A$753,E1169)&gt;0,"Yes","No"))</f>
        <v>Yes</v>
      </c>
      <c r="G1169" s="16" t="str">
        <f aca="false">IF(E1169="","Unexplained Bank Item (fee/other - review)",IF(F1169="Yes","Matched","Payment Reference Not Found in AP Log"))</f>
        <v>Matched</v>
      </c>
    </row>
    <row r="1170" customFormat="false" ht="15" hidden="false" customHeight="false" outlineLevel="0" collapsed="false">
      <c r="A1170" s="16" t="str">
        <f aca="false">Bank_Statement!A410</f>
        <v>BNK50409</v>
      </c>
      <c r="B1170" s="17" t="n">
        <f aca="false">Bank_Statement!B410</f>
        <v>45845</v>
      </c>
      <c r="C1170" s="18" t="n">
        <f aca="false">Bank_Statement!C410</f>
        <v>-460.42</v>
      </c>
      <c r="D1170" s="16" t="str">
        <f aca="false">Bank_Statement!D410</f>
        <v>PMT-V1036</v>
      </c>
      <c r="E1170" s="16" t="str">
        <f aca="false">Bank_Statement!E410</f>
        <v>PAY40409</v>
      </c>
      <c r="F1170" s="16" t="str">
        <f aca="false">IF(E1170="","N/A",IF(COUNTIF(Payment_Log_AP!$A$2:$A$753,E1170)&gt;0,"Yes","No"))</f>
        <v>Yes</v>
      </c>
      <c r="G1170" s="16" t="str">
        <f aca="false">IF(E1170="","Unexplained Bank Item (fee/other - review)",IF(F1170="Yes","Matched","Payment Reference Not Found in AP Log"))</f>
        <v>Matched</v>
      </c>
    </row>
    <row r="1171" customFormat="false" ht="15" hidden="false" customHeight="false" outlineLevel="0" collapsed="false">
      <c r="A1171" s="16" t="str">
        <f aca="false">Bank_Statement!A411</f>
        <v>BNK50410</v>
      </c>
      <c r="B1171" s="17" t="n">
        <f aca="false">Bank_Statement!B411</f>
        <v>45851</v>
      </c>
      <c r="C1171" s="18" t="n">
        <f aca="false">Bank_Statement!C411</f>
        <v>-820.42</v>
      </c>
      <c r="D1171" s="16" t="str">
        <f aca="false">Bank_Statement!D411</f>
        <v>PMT-V1030</v>
      </c>
      <c r="E1171" s="16" t="str">
        <f aca="false">Bank_Statement!E411</f>
        <v>PAY40410</v>
      </c>
      <c r="F1171" s="16" t="str">
        <f aca="false">IF(E1171="","N/A",IF(COUNTIF(Payment_Log_AP!$A$2:$A$753,E1171)&gt;0,"Yes","No"))</f>
        <v>Yes</v>
      </c>
      <c r="G1171" s="16" t="str">
        <f aca="false">IF(E1171="","Unexplained Bank Item (fee/other - review)",IF(F1171="Yes","Matched","Payment Reference Not Found in AP Log"))</f>
        <v>Matched</v>
      </c>
    </row>
    <row r="1172" customFormat="false" ht="15" hidden="false" customHeight="false" outlineLevel="0" collapsed="false">
      <c r="A1172" s="16" t="str">
        <f aca="false">Bank_Statement!A412</f>
        <v>BNK50411</v>
      </c>
      <c r="B1172" s="17" t="n">
        <f aca="false">Bank_Statement!B412</f>
        <v>46013</v>
      </c>
      <c r="C1172" s="18" t="n">
        <f aca="false">Bank_Statement!C412</f>
        <v>-1135.98</v>
      </c>
      <c r="D1172" s="16" t="str">
        <f aca="false">Bank_Statement!D412</f>
        <v>PMT-V1028</v>
      </c>
      <c r="E1172" s="16" t="str">
        <f aca="false">Bank_Statement!E412</f>
        <v>PAY40411</v>
      </c>
      <c r="F1172" s="16" t="str">
        <f aca="false">IF(E1172="","N/A",IF(COUNTIF(Payment_Log_AP!$A$2:$A$753,E1172)&gt;0,"Yes","No"))</f>
        <v>Yes</v>
      </c>
      <c r="G1172" s="16" t="str">
        <f aca="false">IF(E1172="","Unexplained Bank Item (fee/other - review)",IF(F1172="Yes","Matched","Payment Reference Not Found in AP Log"))</f>
        <v>Matched</v>
      </c>
    </row>
    <row r="1173" customFormat="false" ht="15" hidden="false" customHeight="false" outlineLevel="0" collapsed="false">
      <c r="A1173" s="16" t="str">
        <f aca="false">Bank_Statement!A413</f>
        <v>BNK50412</v>
      </c>
      <c r="B1173" s="17" t="n">
        <f aca="false">Bank_Statement!B413</f>
        <v>46014</v>
      </c>
      <c r="C1173" s="18" t="n">
        <f aca="false">Bank_Statement!C413</f>
        <v>-1135.98</v>
      </c>
      <c r="D1173" s="16" t="str">
        <f aca="false">Bank_Statement!D413</f>
        <v>PMT-V1028</v>
      </c>
      <c r="E1173" s="16" t="str">
        <f aca="false">Bank_Statement!E413</f>
        <v>PAY40412</v>
      </c>
      <c r="F1173" s="16" t="str">
        <f aca="false">IF(E1173="","N/A",IF(COUNTIF(Payment_Log_AP!$A$2:$A$753,E1173)&gt;0,"Yes","No"))</f>
        <v>Yes</v>
      </c>
      <c r="G1173" s="16" t="str">
        <f aca="false">IF(E1173="","Unexplained Bank Item (fee/other - review)",IF(F1173="Yes","Matched","Payment Reference Not Found in AP Log"))</f>
        <v>Matched</v>
      </c>
    </row>
    <row r="1174" customFormat="false" ht="15" hidden="false" customHeight="false" outlineLevel="0" collapsed="false">
      <c r="A1174" s="16" t="str">
        <f aca="false">Bank_Statement!A414</f>
        <v>BNK50413</v>
      </c>
      <c r="B1174" s="17" t="n">
        <f aca="false">Bank_Statement!B414</f>
        <v>46003</v>
      </c>
      <c r="C1174" s="18" t="n">
        <f aca="false">Bank_Statement!C414</f>
        <v>-1135.98</v>
      </c>
      <c r="D1174" s="16" t="str">
        <f aca="false">Bank_Statement!D414</f>
        <v>PMT-V1028</v>
      </c>
      <c r="E1174" s="16" t="str">
        <f aca="false">Bank_Statement!E414</f>
        <v>PAY40413</v>
      </c>
      <c r="F1174" s="16" t="str">
        <f aca="false">IF(E1174="","N/A",IF(COUNTIF(Payment_Log_AP!$A$2:$A$753,E1174)&gt;0,"Yes","No"))</f>
        <v>Yes</v>
      </c>
      <c r="G1174" s="16" t="str">
        <f aca="false">IF(E1174="","Unexplained Bank Item (fee/other - review)",IF(F1174="Yes","Matched","Payment Reference Not Found in AP Log"))</f>
        <v>Matched</v>
      </c>
    </row>
    <row r="1175" customFormat="false" ht="15" hidden="false" customHeight="false" outlineLevel="0" collapsed="false">
      <c r="A1175" s="16" t="str">
        <f aca="false">Bank_Statement!A415</f>
        <v>BNK50414</v>
      </c>
      <c r="B1175" s="17" t="n">
        <f aca="false">Bank_Statement!B415</f>
        <v>45952</v>
      </c>
      <c r="C1175" s="18" t="n">
        <f aca="false">Bank_Statement!C415</f>
        <v>-15313.53</v>
      </c>
      <c r="D1175" s="16" t="str">
        <f aca="false">Bank_Statement!D415</f>
        <v>PMT-V1001</v>
      </c>
      <c r="E1175" s="16" t="str">
        <f aca="false">Bank_Statement!E415</f>
        <v>PAY40414</v>
      </c>
      <c r="F1175" s="16" t="str">
        <f aca="false">IF(E1175="","N/A",IF(COUNTIF(Payment_Log_AP!$A$2:$A$753,E1175)&gt;0,"Yes","No"))</f>
        <v>Yes</v>
      </c>
      <c r="G1175" s="16" t="str">
        <f aca="false">IF(E1175="","Unexplained Bank Item (fee/other - review)",IF(F1175="Yes","Matched","Payment Reference Not Found in AP Log"))</f>
        <v>Matched</v>
      </c>
    </row>
    <row r="1176" customFormat="false" ht="15" hidden="false" customHeight="false" outlineLevel="0" collapsed="false">
      <c r="A1176" s="16" t="str">
        <f aca="false">Bank_Statement!A416</f>
        <v>BNK50415</v>
      </c>
      <c r="B1176" s="17" t="n">
        <f aca="false">Bank_Statement!B416</f>
        <v>45752</v>
      </c>
      <c r="C1176" s="18" t="n">
        <f aca="false">Bank_Statement!C416</f>
        <v>-653.1</v>
      </c>
      <c r="D1176" s="16" t="str">
        <f aca="false">Bank_Statement!D416</f>
        <v>PMT-V1007</v>
      </c>
      <c r="E1176" s="16" t="str">
        <f aca="false">Bank_Statement!E416</f>
        <v>PAY40415</v>
      </c>
      <c r="F1176" s="16" t="str">
        <f aca="false">IF(E1176="","N/A",IF(COUNTIF(Payment_Log_AP!$A$2:$A$753,E1176)&gt;0,"Yes","No"))</f>
        <v>Yes</v>
      </c>
      <c r="G1176" s="16" t="str">
        <f aca="false">IF(E1176="","Unexplained Bank Item (fee/other - review)",IF(F1176="Yes","Matched","Payment Reference Not Found in AP Log"))</f>
        <v>Matched</v>
      </c>
    </row>
    <row r="1177" customFormat="false" ht="15" hidden="false" customHeight="false" outlineLevel="0" collapsed="false">
      <c r="A1177" s="16" t="str">
        <f aca="false">Bank_Statement!A417</f>
        <v>BNK50416</v>
      </c>
      <c r="B1177" s="17" t="n">
        <f aca="false">Bank_Statement!B417</f>
        <v>45988</v>
      </c>
      <c r="C1177" s="18" t="n">
        <f aca="false">Bank_Statement!C417</f>
        <v>-2324.66</v>
      </c>
      <c r="D1177" s="16" t="str">
        <f aca="false">Bank_Statement!D417</f>
        <v>PMT-V1008</v>
      </c>
      <c r="E1177" s="16" t="str">
        <f aca="false">Bank_Statement!E417</f>
        <v>PAY40416</v>
      </c>
      <c r="F1177" s="16" t="str">
        <f aca="false">IF(E1177="","N/A",IF(COUNTIF(Payment_Log_AP!$A$2:$A$753,E1177)&gt;0,"Yes","No"))</f>
        <v>Yes</v>
      </c>
      <c r="G1177" s="16" t="str">
        <f aca="false">IF(E1177="","Unexplained Bank Item (fee/other - review)",IF(F1177="Yes","Matched","Payment Reference Not Found in AP Log"))</f>
        <v>Matched</v>
      </c>
    </row>
    <row r="1178" customFormat="false" ht="15" hidden="false" customHeight="false" outlineLevel="0" collapsed="false">
      <c r="A1178" s="16" t="str">
        <f aca="false">Bank_Statement!A418</f>
        <v>BNK50417</v>
      </c>
      <c r="B1178" s="17" t="n">
        <f aca="false">Bank_Statement!B418</f>
        <v>45890</v>
      </c>
      <c r="C1178" s="18" t="n">
        <f aca="false">Bank_Statement!C418</f>
        <v>-1644.55</v>
      </c>
      <c r="D1178" s="16" t="str">
        <f aca="false">Bank_Statement!D418</f>
        <v>PMT-V1031</v>
      </c>
      <c r="E1178" s="16" t="str">
        <f aca="false">Bank_Statement!E418</f>
        <v>PAY40417</v>
      </c>
      <c r="F1178" s="16" t="str">
        <f aca="false">IF(E1178="","N/A",IF(COUNTIF(Payment_Log_AP!$A$2:$A$753,E1178)&gt;0,"Yes","No"))</f>
        <v>Yes</v>
      </c>
      <c r="G1178" s="16" t="str">
        <f aca="false">IF(E1178="","Unexplained Bank Item (fee/other - review)",IF(F1178="Yes","Matched","Payment Reference Not Found in AP Log"))</f>
        <v>Matched</v>
      </c>
    </row>
    <row r="1179" customFormat="false" ht="15" hidden="false" customHeight="false" outlineLevel="0" collapsed="false">
      <c r="A1179" s="16" t="str">
        <f aca="false">Bank_Statement!A419</f>
        <v>BNK50418</v>
      </c>
      <c r="B1179" s="17" t="n">
        <f aca="false">Bank_Statement!B419</f>
        <v>45890</v>
      </c>
      <c r="C1179" s="18" t="n">
        <f aca="false">Bank_Statement!C419</f>
        <v>-1644.55</v>
      </c>
      <c r="D1179" s="16" t="str">
        <f aca="false">Bank_Statement!D419</f>
        <v>PMT-V1031</v>
      </c>
      <c r="E1179" s="16" t="str">
        <f aca="false">Bank_Statement!E419</f>
        <v>PAY40418</v>
      </c>
      <c r="F1179" s="16" t="str">
        <f aca="false">IF(E1179="","N/A",IF(COUNTIF(Payment_Log_AP!$A$2:$A$753,E1179)&gt;0,"Yes","No"))</f>
        <v>Yes</v>
      </c>
      <c r="G1179" s="16" t="str">
        <f aca="false">IF(E1179="","Unexplained Bank Item (fee/other - review)",IF(F1179="Yes","Matched","Payment Reference Not Found in AP Log"))</f>
        <v>Matched</v>
      </c>
    </row>
    <row r="1180" customFormat="false" ht="15" hidden="false" customHeight="false" outlineLevel="0" collapsed="false">
      <c r="A1180" s="16" t="str">
        <f aca="false">Bank_Statement!A420</f>
        <v>BNK50419</v>
      </c>
      <c r="B1180" s="17" t="n">
        <f aca="false">Bank_Statement!B420</f>
        <v>45970</v>
      </c>
      <c r="C1180" s="18" t="n">
        <f aca="false">Bank_Statement!C420</f>
        <v>-236.77</v>
      </c>
      <c r="D1180" s="16" t="str">
        <f aca="false">Bank_Statement!D420</f>
        <v>PMT-V1003</v>
      </c>
      <c r="E1180" s="16" t="str">
        <f aca="false">Bank_Statement!E420</f>
        <v>PAY40419</v>
      </c>
      <c r="F1180" s="16" t="str">
        <f aca="false">IF(E1180="","N/A",IF(COUNTIF(Payment_Log_AP!$A$2:$A$753,E1180)&gt;0,"Yes","No"))</f>
        <v>Yes</v>
      </c>
      <c r="G1180" s="16" t="str">
        <f aca="false">IF(E1180="","Unexplained Bank Item (fee/other - review)",IF(F1180="Yes","Matched","Payment Reference Not Found in AP Log"))</f>
        <v>Matched</v>
      </c>
    </row>
    <row r="1181" customFormat="false" ht="15" hidden="false" customHeight="false" outlineLevel="0" collapsed="false">
      <c r="A1181" s="16" t="str">
        <f aca="false">Bank_Statement!A421</f>
        <v>BNK50420</v>
      </c>
      <c r="B1181" s="17" t="n">
        <f aca="false">Bank_Statement!B421</f>
        <v>45997</v>
      </c>
      <c r="C1181" s="18" t="n">
        <f aca="false">Bank_Statement!C421</f>
        <v>-1018.47</v>
      </c>
      <c r="D1181" s="16" t="str">
        <f aca="false">Bank_Statement!D421</f>
        <v>PMT-V1025</v>
      </c>
      <c r="E1181" s="16" t="str">
        <f aca="false">Bank_Statement!E421</f>
        <v>PAY40420</v>
      </c>
      <c r="F1181" s="16" t="str">
        <f aca="false">IF(E1181="","N/A",IF(COUNTIF(Payment_Log_AP!$A$2:$A$753,E1181)&gt;0,"Yes","No"))</f>
        <v>Yes</v>
      </c>
      <c r="G1181" s="16" t="str">
        <f aca="false">IF(E1181="","Unexplained Bank Item (fee/other - review)",IF(F1181="Yes","Matched","Payment Reference Not Found in AP Log"))</f>
        <v>Matched</v>
      </c>
    </row>
    <row r="1182" customFormat="false" ht="15" hidden="false" customHeight="false" outlineLevel="0" collapsed="false">
      <c r="A1182" s="16" t="str">
        <f aca="false">Bank_Statement!A422</f>
        <v>BNK50421</v>
      </c>
      <c r="B1182" s="17" t="n">
        <f aca="false">Bank_Statement!B422</f>
        <v>45930</v>
      </c>
      <c r="C1182" s="18" t="n">
        <f aca="false">Bank_Statement!C422</f>
        <v>-3142.38</v>
      </c>
      <c r="D1182" s="16" t="str">
        <f aca="false">Bank_Statement!D422</f>
        <v>PMT-V1024</v>
      </c>
      <c r="E1182" s="16" t="str">
        <f aca="false">Bank_Statement!E422</f>
        <v>PAY40421</v>
      </c>
      <c r="F1182" s="16" t="str">
        <f aca="false">IF(E1182="","N/A",IF(COUNTIF(Payment_Log_AP!$A$2:$A$753,E1182)&gt;0,"Yes","No"))</f>
        <v>Yes</v>
      </c>
      <c r="G1182" s="16" t="str">
        <f aca="false">IF(E1182="","Unexplained Bank Item (fee/other - review)",IF(F1182="Yes","Matched","Payment Reference Not Found in AP Log"))</f>
        <v>Matched</v>
      </c>
    </row>
    <row r="1183" customFormat="false" ht="15" hidden="false" customHeight="false" outlineLevel="0" collapsed="false">
      <c r="A1183" s="16" t="str">
        <f aca="false">Bank_Statement!A423</f>
        <v>BNK50422</v>
      </c>
      <c r="B1183" s="17" t="n">
        <f aca="false">Bank_Statement!B423</f>
        <v>45854</v>
      </c>
      <c r="C1183" s="18" t="n">
        <f aca="false">Bank_Statement!C423</f>
        <v>-2788.31</v>
      </c>
      <c r="D1183" s="16" t="str">
        <f aca="false">Bank_Statement!D423</f>
        <v>PMT-V1034</v>
      </c>
      <c r="E1183" s="16" t="str">
        <f aca="false">Bank_Statement!E423</f>
        <v>PAY40422</v>
      </c>
      <c r="F1183" s="16" t="str">
        <f aca="false">IF(E1183="","N/A",IF(COUNTIF(Payment_Log_AP!$A$2:$A$753,E1183)&gt;0,"Yes","No"))</f>
        <v>Yes</v>
      </c>
      <c r="G1183" s="16" t="str">
        <f aca="false">IF(E1183="","Unexplained Bank Item (fee/other - review)",IF(F1183="Yes","Matched","Payment Reference Not Found in AP Log"))</f>
        <v>Matched</v>
      </c>
    </row>
    <row r="1184" customFormat="false" ht="15" hidden="false" customHeight="false" outlineLevel="0" collapsed="false">
      <c r="A1184" s="16" t="str">
        <f aca="false">Bank_Statement!A424</f>
        <v>BNK50423</v>
      </c>
      <c r="B1184" s="17" t="n">
        <f aca="false">Bank_Statement!B424</f>
        <v>45798</v>
      </c>
      <c r="C1184" s="18" t="n">
        <f aca="false">Bank_Statement!C424</f>
        <v>-12520.7</v>
      </c>
      <c r="D1184" s="16" t="str">
        <f aca="false">Bank_Statement!D424</f>
        <v>PMT-V1022</v>
      </c>
      <c r="E1184" s="16" t="str">
        <f aca="false">Bank_Statement!E424</f>
        <v>PAY40423</v>
      </c>
      <c r="F1184" s="16" t="str">
        <f aca="false">IF(E1184="","N/A",IF(COUNTIF(Payment_Log_AP!$A$2:$A$753,E1184)&gt;0,"Yes","No"))</f>
        <v>Yes</v>
      </c>
      <c r="G1184" s="16" t="str">
        <f aca="false">IF(E1184="","Unexplained Bank Item (fee/other - review)",IF(F1184="Yes","Matched","Payment Reference Not Found in AP Log"))</f>
        <v>Matched</v>
      </c>
    </row>
    <row r="1185" customFormat="false" ht="15" hidden="false" customHeight="false" outlineLevel="0" collapsed="false">
      <c r="A1185" s="16" t="str">
        <f aca="false">Bank_Statement!A425</f>
        <v>BNK50424</v>
      </c>
      <c r="B1185" s="17" t="n">
        <f aca="false">Bank_Statement!B425</f>
        <v>46076</v>
      </c>
      <c r="C1185" s="18" t="n">
        <f aca="false">Bank_Statement!C425</f>
        <v>-1099.38</v>
      </c>
      <c r="D1185" s="16" t="str">
        <f aca="false">Bank_Statement!D425</f>
        <v>PMT-V1019</v>
      </c>
      <c r="E1185" s="16" t="str">
        <f aca="false">Bank_Statement!E425</f>
        <v>PAY40424</v>
      </c>
      <c r="F1185" s="16" t="str">
        <f aca="false">IF(E1185="","N/A",IF(COUNTIF(Payment_Log_AP!$A$2:$A$753,E1185)&gt;0,"Yes","No"))</f>
        <v>Yes</v>
      </c>
      <c r="G1185" s="16" t="str">
        <f aca="false">IF(E1185="","Unexplained Bank Item (fee/other - review)",IF(F1185="Yes","Matched","Payment Reference Not Found in AP Log"))</f>
        <v>Matched</v>
      </c>
    </row>
    <row r="1186" customFormat="false" ht="15" hidden="false" customHeight="false" outlineLevel="0" collapsed="false">
      <c r="A1186" s="16" t="str">
        <f aca="false">Bank_Statement!A426</f>
        <v>BNK50425</v>
      </c>
      <c r="B1186" s="17" t="n">
        <f aca="false">Bank_Statement!B426</f>
        <v>46020</v>
      </c>
      <c r="C1186" s="18" t="n">
        <f aca="false">Bank_Statement!C426</f>
        <v>-3207.79</v>
      </c>
      <c r="D1186" s="16" t="str">
        <f aca="false">Bank_Statement!D426</f>
        <v>PMT-V1023</v>
      </c>
      <c r="E1186" s="16" t="str">
        <f aca="false">Bank_Statement!E426</f>
        <v>PAY40425</v>
      </c>
      <c r="F1186" s="16" t="str">
        <f aca="false">IF(E1186="","N/A",IF(COUNTIF(Payment_Log_AP!$A$2:$A$753,E1186)&gt;0,"Yes","No"))</f>
        <v>Yes</v>
      </c>
      <c r="G1186" s="16" t="str">
        <f aca="false">IF(E1186="","Unexplained Bank Item (fee/other - review)",IF(F1186="Yes","Matched","Payment Reference Not Found in AP Log"))</f>
        <v>Matched</v>
      </c>
    </row>
    <row r="1187" customFormat="false" ht="15" hidden="false" customHeight="false" outlineLevel="0" collapsed="false">
      <c r="A1187" s="16" t="str">
        <f aca="false">Bank_Statement!A427</f>
        <v>BNK50426</v>
      </c>
      <c r="B1187" s="17" t="n">
        <f aca="false">Bank_Statement!B427</f>
        <v>45810</v>
      </c>
      <c r="C1187" s="18" t="n">
        <f aca="false">Bank_Statement!C427</f>
        <v>-182.59</v>
      </c>
      <c r="D1187" s="16" t="str">
        <f aca="false">Bank_Statement!D427</f>
        <v>PMT-V1001</v>
      </c>
      <c r="E1187" s="16" t="str">
        <f aca="false">Bank_Statement!E427</f>
        <v>PAY40426</v>
      </c>
      <c r="F1187" s="16" t="str">
        <f aca="false">IF(E1187="","N/A",IF(COUNTIF(Payment_Log_AP!$A$2:$A$753,E1187)&gt;0,"Yes","No"))</f>
        <v>Yes</v>
      </c>
      <c r="G1187" s="16" t="str">
        <f aca="false">IF(E1187="","Unexplained Bank Item (fee/other - review)",IF(F1187="Yes","Matched","Payment Reference Not Found in AP Log"))</f>
        <v>Matched</v>
      </c>
    </row>
    <row r="1188" customFormat="false" ht="15" hidden="false" customHeight="false" outlineLevel="0" collapsed="false">
      <c r="A1188" s="16" t="str">
        <f aca="false">Bank_Statement!A428</f>
        <v>BNK50427</v>
      </c>
      <c r="B1188" s="17" t="n">
        <f aca="false">Bank_Statement!B428</f>
        <v>46118</v>
      </c>
      <c r="C1188" s="18" t="n">
        <f aca="false">Bank_Statement!C428</f>
        <v>-1223.73</v>
      </c>
      <c r="D1188" s="16" t="str">
        <f aca="false">Bank_Statement!D428</f>
        <v>PMT-V1040</v>
      </c>
      <c r="E1188" s="16" t="str">
        <f aca="false">Bank_Statement!E428</f>
        <v>PAY40427</v>
      </c>
      <c r="F1188" s="16" t="str">
        <f aca="false">IF(E1188="","N/A",IF(COUNTIF(Payment_Log_AP!$A$2:$A$753,E1188)&gt;0,"Yes","No"))</f>
        <v>Yes</v>
      </c>
      <c r="G1188" s="16" t="str">
        <f aca="false">IF(E1188="","Unexplained Bank Item (fee/other - review)",IF(F1188="Yes","Matched","Payment Reference Not Found in AP Log"))</f>
        <v>Matched</v>
      </c>
    </row>
    <row r="1189" customFormat="false" ht="15" hidden="false" customHeight="false" outlineLevel="0" collapsed="false">
      <c r="A1189" s="16" t="str">
        <f aca="false">Bank_Statement!A429</f>
        <v>BNK50428</v>
      </c>
      <c r="B1189" s="17" t="n">
        <f aca="false">Bank_Statement!B429</f>
        <v>45709</v>
      </c>
      <c r="C1189" s="18" t="n">
        <f aca="false">Bank_Statement!C429</f>
        <v>-585.34</v>
      </c>
      <c r="D1189" s="16" t="str">
        <f aca="false">Bank_Statement!D429</f>
        <v>PMT-V1015</v>
      </c>
      <c r="E1189" s="16" t="str">
        <f aca="false">Bank_Statement!E429</f>
        <v>PAY40428</v>
      </c>
      <c r="F1189" s="16" t="str">
        <f aca="false">IF(E1189="","N/A",IF(COUNTIF(Payment_Log_AP!$A$2:$A$753,E1189)&gt;0,"Yes","No"))</f>
        <v>Yes</v>
      </c>
      <c r="G1189" s="16" t="str">
        <f aca="false">IF(E1189="","Unexplained Bank Item (fee/other - review)",IF(F1189="Yes","Matched","Payment Reference Not Found in AP Log"))</f>
        <v>Matched</v>
      </c>
    </row>
    <row r="1190" customFormat="false" ht="15" hidden="false" customHeight="false" outlineLevel="0" collapsed="false">
      <c r="A1190" s="16" t="str">
        <f aca="false">Bank_Statement!A430</f>
        <v>BNK50429</v>
      </c>
      <c r="B1190" s="17" t="n">
        <f aca="false">Bank_Statement!B430</f>
        <v>46084</v>
      </c>
      <c r="C1190" s="18" t="n">
        <f aca="false">Bank_Statement!C430</f>
        <v>-40497.91</v>
      </c>
      <c r="D1190" s="16" t="str">
        <f aca="false">Bank_Statement!D430</f>
        <v>PMT-V1039</v>
      </c>
      <c r="E1190" s="16" t="str">
        <f aca="false">Bank_Statement!E430</f>
        <v>PAY40429</v>
      </c>
      <c r="F1190" s="16" t="str">
        <f aca="false">IF(E1190="","N/A",IF(COUNTIF(Payment_Log_AP!$A$2:$A$753,E1190)&gt;0,"Yes","No"))</f>
        <v>Yes</v>
      </c>
      <c r="G1190" s="16" t="str">
        <f aca="false">IF(E1190="","Unexplained Bank Item (fee/other - review)",IF(F1190="Yes","Matched","Payment Reference Not Found in AP Log"))</f>
        <v>Matched</v>
      </c>
    </row>
    <row r="1191" customFormat="false" ht="15" hidden="false" customHeight="false" outlineLevel="0" collapsed="false">
      <c r="A1191" s="16" t="str">
        <f aca="false">Bank_Statement!A431</f>
        <v>BNK50430</v>
      </c>
      <c r="B1191" s="17" t="n">
        <f aca="false">Bank_Statement!B431</f>
        <v>46052</v>
      </c>
      <c r="C1191" s="18" t="n">
        <f aca="false">Bank_Statement!C431</f>
        <v>-8071.8</v>
      </c>
      <c r="D1191" s="16" t="str">
        <f aca="false">Bank_Statement!D431</f>
        <v>PMT-V1016</v>
      </c>
      <c r="E1191" s="16" t="str">
        <f aca="false">Bank_Statement!E431</f>
        <v>PAY40430</v>
      </c>
      <c r="F1191" s="16" t="str">
        <f aca="false">IF(E1191="","N/A",IF(COUNTIF(Payment_Log_AP!$A$2:$A$753,E1191)&gt;0,"Yes","No"))</f>
        <v>Yes</v>
      </c>
      <c r="G1191" s="16" t="str">
        <f aca="false">IF(E1191="","Unexplained Bank Item (fee/other - review)",IF(F1191="Yes","Matched","Payment Reference Not Found in AP Log"))</f>
        <v>Matched</v>
      </c>
    </row>
    <row r="1192" customFormat="false" ht="15" hidden="false" customHeight="false" outlineLevel="0" collapsed="false">
      <c r="A1192" s="16" t="str">
        <f aca="false">Bank_Statement!A432</f>
        <v>BNK50431</v>
      </c>
      <c r="B1192" s="17" t="n">
        <f aca="false">Bank_Statement!B432</f>
        <v>45926</v>
      </c>
      <c r="C1192" s="18" t="n">
        <f aca="false">Bank_Statement!C432</f>
        <v>-1395.93</v>
      </c>
      <c r="D1192" s="16" t="str">
        <f aca="false">Bank_Statement!D432</f>
        <v>PMT-V1012</v>
      </c>
      <c r="E1192" s="16" t="str">
        <f aca="false">Bank_Statement!E432</f>
        <v>PAY40431</v>
      </c>
      <c r="F1192" s="16" t="str">
        <f aca="false">IF(E1192="","N/A",IF(COUNTIF(Payment_Log_AP!$A$2:$A$753,E1192)&gt;0,"Yes","No"))</f>
        <v>Yes</v>
      </c>
      <c r="G1192" s="16" t="str">
        <f aca="false">IF(E1192="","Unexplained Bank Item (fee/other - review)",IF(F1192="Yes","Matched","Payment Reference Not Found in AP Log"))</f>
        <v>Matched</v>
      </c>
    </row>
    <row r="1193" customFormat="false" ht="15" hidden="false" customHeight="false" outlineLevel="0" collapsed="false">
      <c r="A1193" s="16" t="str">
        <f aca="false">Bank_Statement!A433</f>
        <v>BNK50432</v>
      </c>
      <c r="B1193" s="17" t="n">
        <f aca="false">Bank_Statement!B433</f>
        <v>46055</v>
      </c>
      <c r="C1193" s="18" t="n">
        <f aca="false">Bank_Statement!C433</f>
        <v>-2578.48</v>
      </c>
      <c r="D1193" s="16" t="str">
        <f aca="false">Bank_Statement!D433</f>
        <v>PMT-V1019</v>
      </c>
      <c r="E1193" s="16" t="str">
        <f aca="false">Bank_Statement!E433</f>
        <v>PAY40432</v>
      </c>
      <c r="F1193" s="16" t="str">
        <f aca="false">IF(E1193="","N/A",IF(COUNTIF(Payment_Log_AP!$A$2:$A$753,E1193)&gt;0,"Yes","No"))</f>
        <v>Yes</v>
      </c>
      <c r="G1193" s="16" t="str">
        <f aca="false">IF(E1193="","Unexplained Bank Item (fee/other - review)",IF(F1193="Yes","Matched","Payment Reference Not Found in AP Log"))</f>
        <v>Matched</v>
      </c>
    </row>
    <row r="1194" customFormat="false" ht="15" hidden="false" customHeight="false" outlineLevel="0" collapsed="false">
      <c r="A1194" s="16" t="str">
        <f aca="false">Bank_Statement!A434</f>
        <v>BNK50433</v>
      </c>
      <c r="B1194" s="17" t="n">
        <f aca="false">Bank_Statement!B434</f>
        <v>46137</v>
      </c>
      <c r="C1194" s="18" t="n">
        <f aca="false">Bank_Statement!C434</f>
        <v>-891.87</v>
      </c>
      <c r="D1194" s="16" t="str">
        <f aca="false">Bank_Statement!D434</f>
        <v>PMT-V1004</v>
      </c>
      <c r="E1194" s="16" t="str">
        <f aca="false">Bank_Statement!E434</f>
        <v>PAY40433</v>
      </c>
      <c r="F1194" s="16" t="str">
        <f aca="false">IF(E1194="","N/A",IF(COUNTIF(Payment_Log_AP!$A$2:$A$753,E1194)&gt;0,"Yes","No"))</f>
        <v>Yes</v>
      </c>
      <c r="G1194" s="16" t="str">
        <f aca="false">IF(E1194="","Unexplained Bank Item (fee/other - review)",IF(F1194="Yes","Matched","Payment Reference Not Found in AP Log"))</f>
        <v>Matched</v>
      </c>
    </row>
    <row r="1195" customFormat="false" ht="15" hidden="false" customHeight="false" outlineLevel="0" collapsed="false">
      <c r="A1195" s="16" t="str">
        <f aca="false">Bank_Statement!A435</f>
        <v>BNK50434</v>
      </c>
      <c r="B1195" s="17" t="n">
        <f aca="false">Bank_Statement!B435</f>
        <v>45968</v>
      </c>
      <c r="C1195" s="18" t="n">
        <f aca="false">Bank_Statement!C435</f>
        <v>-1155.61</v>
      </c>
      <c r="D1195" s="16" t="str">
        <f aca="false">Bank_Statement!D435</f>
        <v>PMT-V1006</v>
      </c>
      <c r="E1195" s="16" t="str">
        <f aca="false">Bank_Statement!E435</f>
        <v>PAY40434</v>
      </c>
      <c r="F1195" s="16" t="str">
        <f aca="false">IF(E1195="","N/A",IF(COUNTIF(Payment_Log_AP!$A$2:$A$753,E1195)&gt;0,"Yes","No"))</f>
        <v>Yes</v>
      </c>
      <c r="G1195" s="16" t="str">
        <f aca="false">IF(E1195="","Unexplained Bank Item (fee/other - review)",IF(F1195="Yes","Matched","Payment Reference Not Found in AP Log"))</f>
        <v>Matched</v>
      </c>
    </row>
    <row r="1196" customFormat="false" ht="15" hidden="false" customHeight="false" outlineLevel="0" collapsed="false">
      <c r="A1196" s="16" t="str">
        <f aca="false">Bank_Statement!A436</f>
        <v>BNK50435</v>
      </c>
      <c r="B1196" s="17" t="n">
        <f aca="false">Bank_Statement!B436</f>
        <v>45708</v>
      </c>
      <c r="C1196" s="18" t="n">
        <f aca="false">Bank_Statement!C436</f>
        <v>-542.8</v>
      </c>
      <c r="D1196" s="16" t="str">
        <f aca="false">Bank_Statement!D436</f>
        <v>PMT-V1007</v>
      </c>
      <c r="E1196" s="16" t="str">
        <f aca="false">Bank_Statement!E436</f>
        <v>PAY40435</v>
      </c>
      <c r="F1196" s="16" t="str">
        <f aca="false">IF(E1196="","N/A",IF(COUNTIF(Payment_Log_AP!$A$2:$A$753,E1196)&gt;0,"Yes","No"))</f>
        <v>Yes</v>
      </c>
      <c r="G1196" s="16" t="str">
        <f aca="false">IF(E1196="","Unexplained Bank Item (fee/other - review)",IF(F1196="Yes","Matched","Payment Reference Not Found in AP Log"))</f>
        <v>Matched</v>
      </c>
    </row>
    <row r="1197" customFormat="false" ht="15" hidden="false" customHeight="false" outlineLevel="0" collapsed="false">
      <c r="A1197" s="16" t="str">
        <f aca="false">Bank_Statement!A437</f>
        <v>BNK50436</v>
      </c>
      <c r="B1197" s="17" t="n">
        <f aca="false">Bank_Statement!B437</f>
        <v>45983</v>
      </c>
      <c r="C1197" s="18" t="n">
        <f aca="false">Bank_Statement!C437</f>
        <v>-1208.25</v>
      </c>
      <c r="D1197" s="16" t="str">
        <f aca="false">Bank_Statement!D437</f>
        <v>PMT-V1021</v>
      </c>
      <c r="E1197" s="16" t="str">
        <f aca="false">Bank_Statement!E437</f>
        <v>PAY40436</v>
      </c>
      <c r="F1197" s="16" t="str">
        <f aca="false">IF(E1197="","N/A",IF(COUNTIF(Payment_Log_AP!$A$2:$A$753,E1197)&gt;0,"Yes","No"))</f>
        <v>Yes</v>
      </c>
      <c r="G1197" s="16" t="str">
        <f aca="false">IF(E1197="","Unexplained Bank Item (fee/other - review)",IF(F1197="Yes","Matched","Payment Reference Not Found in AP Log"))</f>
        <v>Matched</v>
      </c>
    </row>
    <row r="1198" customFormat="false" ht="15" hidden="false" customHeight="false" outlineLevel="0" collapsed="false">
      <c r="A1198" s="16" t="str">
        <f aca="false">Bank_Statement!A438</f>
        <v>BNK50437</v>
      </c>
      <c r="B1198" s="17" t="n">
        <f aca="false">Bank_Statement!B438</f>
        <v>46006</v>
      </c>
      <c r="C1198" s="18" t="n">
        <f aca="false">Bank_Statement!C438</f>
        <v>-1492.36</v>
      </c>
      <c r="D1198" s="16" t="str">
        <f aca="false">Bank_Statement!D438</f>
        <v>PMT-V1038</v>
      </c>
      <c r="E1198" s="16" t="str">
        <f aca="false">Bank_Statement!E438</f>
        <v>PAY40437</v>
      </c>
      <c r="F1198" s="16" t="str">
        <f aca="false">IF(E1198="","N/A",IF(COUNTIF(Payment_Log_AP!$A$2:$A$753,E1198)&gt;0,"Yes","No"))</f>
        <v>Yes</v>
      </c>
      <c r="G1198" s="16" t="str">
        <f aca="false">IF(E1198="","Unexplained Bank Item (fee/other - review)",IF(F1198="Yes","Matched","Payment Reference Not Found in AP Log"))</f>
        <v>Matched</v>
      </c>
    </row>
    <row r="1199" customFormat="false" ht="15" hidden="false" customHeight="false" outlineLevel="0" collapsed="false">
      <c r="A1199" s="16" t="str">
        <f aca="false">Bank_Statement!A439</f>
        <v>BNK50438</v>
      </c>
      <c r="B1199" s="17" t="n">
        <f aca="false">Bank_Statement!B439</f>
        <v>46167</v>
      </c>
      <c r="C1199" s="18" t="n">
        <f aca="false">Bank_Statement!C439</f>
        <v>-916.33</v>
      </c>
      <c r="D1199" s="16" t="str">
        <f aca="false">Bank_Statement!D439</f>
        <v>PMT-V1013</v>
      </c>
      <c r="E1199" s="16" t="str">
        <f aca="false">Bank_Statement!E439</f>
        <v>PAY40438</v>
      </c>
      <c r="F1199" s="16" t="str">
        <f aca="false">IF(E1199="","N/A",IF(COUNTIF(Payment_Log_AP!$A$2:$A$753,E1199)&gt;0,"Yes","No"))</f>
        <v>Yes</v>
      </c>
      <c r="G1199" s="16" t="str">
        <f aca="false">IF(E1199="","Unexplained Bank Item (fee/other - review)",IF(F1199="Yes","Matched","Payment Reference Not Found in AP Log"))</f>
        <v>Matched</v>
      </c>
    </row>
    <row r="1200" customFormat="false" ht="15" hidden="false" customHeight="false" outlineLevel="0" collapsed="false">
      <c r="A1200" s="16" t="str">
        <f aca="false">Bank_Statement!A440</f>
        <v>BNK50439</v>
      </c>
      <c r="B1200" s="17" t="n">
        <f aca="false">Bank_Statement!B440</f>
        <v>46160</v>
      </c>
      <c r="C1200" s="18" t="n">
        <f aca="false">Bank_Statement!C440</f>
        <v>-13637.91</v>
      </c>
      <c r="D1200" s="16" t="str">
        <f aca="false">Bank_Statement!D440</f>
        <v>PMT-V1016</v>
      </c>
      <c r="E1200" s="16" t="str">
        <f aca="false">Bank_Statement!E440</f>
        <v>PAY40439</v>
      </c>
      <c r="F1200" s="16" t="str">
        <f aca="false">IF(E1200="","N/A",IF(COUNTIF(Payment_Log_AP!$A$2:$A$753,E1200)&gt;0,"Yes","No"))</f>
        <v>Yes</v>
      </c>
      <c r="G1200" s="16" t="str">
        <f aca="false">IF(E1200="","Unexplained Bank Item (fee/other - review)",IF(F1200="Yes","Matched","Payment Reference Not Found in AP Log"))</f>
        <v>Matched</v>
      </c>
    </row>
    <row r="1201" customFormat="false" ht="15" hidden="false" customHeight="false" outlineLevel="0" collapsed="false">
      <c r="A1201" s="16" t="str">
        <f aca="false">Bank_Statement!A441</f>
        <v>BNK50440</v>
      </c>
      <c r="B1201" s="17" t="n">
        <f aca="false">Bank_Statement!B441</f>
        <v>45929</v>
      </c>
      <c r="C1201" s="18" t="n">
        <f aca="false">Bank_Statement!C441</f>
        <v>-984.21</v>
      </c>
      <c r="D1201" s="16" t="str">
        <f aca="false">Bank_Statement!D441</f>
        <v>PMT-V1004</v>
      </c>
      <c r="E1201" s="16" t="str">
        <f aca="false">Bank_Statement!E441</f>
        <v>PAY40440</v>
      </c>
      <c r="F1201" s="16" t="str">
        <f aca="false">IF(E1201="","N/A",IF(COUNTIF(Payment_Log_AP!$A$2:$A$753,E1201)&gt;0,"Yes","No"))</f>
        <v>Yes</v>
      </c>
      <c r="G1201" s="16" t="str">
        <f aca="false">IF(E1201="","Unexplained Bank Item (fee/other - review)",IF(F1201="Yes","Matched","Payment Reference Not Found in AP Log"))</f>
        <v>Matched</v>
      </c>
    </row>
    <row r="1202" customFormat="false" ht="15" hidden="false" customHeight="false" outlineLevel="0" collapsed="false">
      <c r="A1202" s="16" t="str">
        <f aca="false">Bank_Statement!A442</f>
        <v>BNK50441</v>
      </c>
      <c r="B1202" s="17" t="n">
        <f aca="false">Bank_Statement!B442</f>
        <v>45972</v>
      </c>
      <c r="C1202" s="18" t="n">
        <f aca="false">Bank_Statement!C442</f>
        <v>-2718.82</v>
      </c>
      <c r="D1202" s="16" t="str">
        <f aca="false">Bank_Statement!D442</f>
        <v>PMT-V1012</v>
      </c>
      <c r="E1202" s="16" t="str">
        <f aca="false">Bank_Statement!E442</f>
        <v>PAY40441</v>
      </c>
      <c r="F1202" s="16" t="str">
        <f aca="false">IF(E1202="","N/A",IF(COUNTIF(Payment_Log_AP!$A$2:$A$753,E1202)&gt;0,"Yes","No"))</f>
        <v>Yes</v>
      </c>
      <c r="G1202" s="16" t="str">
        <f aca="false">IF(E1202="","Unexplained Bank Item (fee/other - review)",IF(F1202="Yes","Matched","Payment Reference Not Found in AP Log"))</f>
        <v>Matched</v>
      </c>
    </row>
    <row r="1203" customFormat="false" ht="15" hidden="false" customHeight="false" outlineLevel="0" collapsed="false">
      <c r="A1203" s="16" t="str">
        <f aca="false">Bank_Statement!A443</f>
        <v>BNK50442</v>
      </c>
      <c r="B1203" s="17" t="n">
        <f aca="false">Bank_Statement!B443</f>
        <v>46038</v>
      </c>
      <c r="C1203" s="18" t="n">
        <f aca="false">Bank_Statement!C443</f>
        <v>-790.15</v>
      </c>
      <c r="D1203" s="16" t="str">
        <f aca="false">Bank_Statement!D443</f>
        <v>PMT-V1014</v>
      </c>
      <c r="E1203" s="16" t="str">
        <f aca="false">Bank_Statement!E443</f>
        <v>PAY40442</v>
      </c>
      <c r="F1203" s="16" t="str">
        <f aca="false">IF(E1203="","N/A",IF(COUNTIF(Payment_Log_AP!$A$2:$A$753,E1203)&gt;0,"Yes","No"))</f>
        <v>Yes</v>
      </c>
      <c r="G1203" s="16" t="str">
        <f aca="false">IF(E1203="","Unexplained Bank Item (fee/other - review)",IF(F1203="Yes","Matched","Payment Reference Not Found in AP Log"))</f>
        <v>Matched</v>
      </c>
    </row>
    <row r="1204" customFormat="false" ht="15" hidden="false" customHeight="false" outlineLevel="0" collapsed="false">
      <c r="A1204" s="16" t="str">
        <f aca="false">Bank_Statement!A444</f>
        <v>BNK50443</v>
      </c>
      <c r="B1204" s="17" t="n">
        <f aca="false">Bank_Statement!B444</f>
        <v>45778</v>
      </c>
      <c r="C1204" s="18" t="n">
        <f aca="false">Bank_Statement!C444</f>
        <v>-2141.21</v>
      </c>
      <c r="D1204" s="16" t="str">
        <f aca="false">Bank_Statement!D444</f>
        <v>PMT-V1009</v>
      </c>
      <c r="E1204" s="16" t="str">
        <f aca="false">Bank_Statement!E444</f>
        <v>PAY40443</v>
      </c>
      <c r="F1204" s="16" t="str">
        <f aca="false">IF(E1204="","N/A",IF(COUNTIF(Payment_Log_AP!$A$2:$A$753,E1204)&gt;0,"Yes","No"))</f>
        <v>Yes</v>
      </c>
      <c r="G1204" s="16" t="str">
        <f aca="false">IF(E1204="","Unexplained Bank Item (fee/other - review)",IF(F1204="Yes","Matched","Payment Reference Not Found in AP Log"))</f>
        <v>Matched</v>
      </c>
    </row>
    <row r="1205" customFormat="false" ht="15" hidden="false" customHeight="false" outlineLevel="0" collapsed="false">
      <c r="A1205" s="16" t="str">
        <f aca="false">Bank_Statement!A445</f>
        <v>BNK50444</v>
      </c>
      <c r="B1205" s="17" t="n">
        <f aca="false">Bank_Statement!B445</f>
        <v>45957</v>
      </c>
      <c r="C1205" s="18" t="n">
        <f aca="false">Bank_Statement!C445</f>
        <v>-506.73</v>
      </c>
      <c r="D1205" s="16" t="str">
        <f aca="false">Bank_Statement!D445</f>
        <v>PMT-V1010</v>
      </c>
      <c r="E1205" s="16" t="str">
        <f aca="false">Bank_Statement!E445</f>
        <v>PAY40444</v>
      </c>
      <c r="F1205" s="16" t="str">
        <f aca="false">IF(E1205="","N/A",IF(COUNTIF(Payment_Log_AP!$A$2:$A$753,E1205)&gt;0,"Yes","No"))</f>
        <v>Yes</v>
      </c>
      <c r="G1205" s="16" t="str">
        <f aca="false">IF(E1205="","Unexplained Bank Item (fee/other - review)",IF(F1205="Yes","Matched","Payment Reference Not Found in AP Log"))</f>
        <v>Matched</v>
      </c>
    </row>
    <row r="1206" customFormat="false" ht="15" hidden="false" customHeight="false" outlineLevel="0" collapsed="false">
      <c r="A1206" s="16" t="str">
        <f aca="false">Bank_Statement!A446</f>
        <v>BNK50445</v>
      </c>
      <c r="B1206" s="17" t="n">
        <f aca="false">Bank_Statement!B446</f>
        <v>45938</v>
      </c>
      <c r="C1206" s="18" t="n">
        <f aca="false">Bank_Statement!C446</f>
        <v>-426.29</v>
      </c>
      <c r="D1206" s="16" t="str">
        <f aca="false">Bank_Statement!D446</f>
        <v>PMT-V1010</v>
      </c>
      <c r="E1206" s="16" t="str">
        <f aca="false">Bank_Statement!E446</f>
        <v>PAY40445</v>
      </c>
      <c r="F1206" s="16" t="str">
        <f aca="false">IF(E1206="","N/A",IF(COUNTIF(Payment_Log_AP!$A$2:$A$753,E1206)&gt;0,"Yes","No"))</f>
        <v>Yes</v>
      </c>
      <c r="G1206" s="16" t="str">
        <f aca="false">IF(E1206="","Unexplained Bank Item (fee/other - review)",IF(F1206="Yes","Matched","Payment Reference Not Found in AP Log"))</f>
        <v>Matched</v>
      </c>
    </row>
    <row r="1207" customFormat="false" ht="15" hidden="false" customHeight="false" outlineLevel="0" collapsed="false">
      <c r="A1207" s="16" t="str">
        <f aca="false">Bank_Statement!A447</f>
        <v>BNK50446</v>
      </c>
      <c r="B1207" s="17" t="n">
        <f aca="false">Bank_Statement!B447</f>
        <v>45863</v>
      </c>
      <c r="C1207" s="18" t="n">
        <f aca="false">Bank_Statement!C447</f>
        <v>-3958.3</v>
      </c>
      <c r="D1207" s="16" t="str">
        <f aca="false">Bank_Statement!D447</f>
        <v>PMT-V1030</v>
      </c>
      <c r="E1207" s="16" t="str">
        <f aca="false">Bank_Statement!E447</f>
        <v>PAY40446</v>
      </c>
      <c r="F1207" s="16" t="str">
        <f aca="false">IF(E1207="","N/A",IF(COUNTIF(Payment_Log_AP!$A$2:$A$753,E1207)&gt;0,"Yes","No"))</f>
        <v>Yes</v>
      </c>
      <c r="G1207" s="16" t="str">
        <f aca="false">IF(E1207="","Unexplained Bank Item (fee/other - review)",IF(F1207="Yes","Matched","Payment Reference Not Found in AP Log"))</f>
        <v>Matched</v>
      </c>
    </row>
    <row r="1208" customFormat="false" ht="15" hidden="false" customHeight="false" outlineLevel="0" collapsed="false">
      <c r="A1208" s="16" t="str">
        <f aca="false">Bank_Statement!A448</f>
        <v>BNK50447</v>
      </c>
      <c r="B1208" s="17" t="n">
        <f aca="false">Bank_Statement!B448</f>
        <v>46070</v>
      </c>
      <c r="C1208" s="18" t="n">
        <f aca="false">Bank_Statement!C448</f>
        <v>-3426.38</v>
      </c>
      <c r="D1208" s="16" t="str">
        <f aca="false">Bank_Statement!D448</f>
        <v>PMT-V1025</v>
      </c>
      <c r="E1208" s="16" t="str">
        <f aca="false">Bank_Statement!E448</f>
        <v>PAY40447</v>
      </c>
      <c r="F1208" s="16" t="str">
        <f aca="false">IF(E1208="","N/A",IF(COUNTIF(Payment_Log_AP!$A$2:$A$753,E1208)&gt;0,"Yes","No"))</f>
        <v>Yes</v>
      </c>
      <c r="G1208" s="16" t="str">
        <f aca="false">IF(E1208="","Unexplained Bank Item (fee/other - review)",IF(F1208="Yes","Matched","Payment Reference Not Found in AP Log"))</f>
        <v>Matched</v>
      </c>
    </row>
    <row r="1209" customFormat="false" ht="15" hidden="false" customHeight="false" outlineLevel="0" collapsed="false">
      <c r="A1209" s="16" t="str">
        <f aca="false">Bank_Statement!A449</f>
        <v>BNK50448</v>
      </c>
      <c r="B1209" s="17" t="n">
        <f aca="false">Bank_Statement!B449</f>
        <v>46035</v>
      </c>
      <c r="C1209" s="18" t="n">
        <f aca="false">Bank_Statement!C449</f>
        <v>-663.66</v>
      </c>
      <c r="D1209" s="16" t="str">
        <f aca="false">Bank_Statement!D449</f>
        <v>PMT-V1033</v>
      </c>
      <c r="E1209" s="16" t="str">
        <f aca="false">Bank_Statement!E449</f>
        <v>PAY40448</v>
      </c>
      <c r="F1209" s="16" t="str">
        <f aca="false">IF(E1209="","N/A",IF(COUNTIF(Payment_Log_AP!$A$2:$A$753,E1209)&gt;0,"Yes","No"))</f>
        <v>Yes</v>
      </c>
      <c r="G1209" s="16" t="str">
        <f aca="false">IF(E1209="","Unexplained Bank Item (fee/other - review)",IF(F1209="Yes","Matched","Payment Reference Not Found in AP Log"))</f>
        <v>Matched</v>
      </c>
    </row>
    <row r="1210" customFormat="false" ht="15" hidden="false" customHeight="false" outlineLevel="0" collapsed="false">
      <c r="A1210" s="16" t="str">
        <f aca="false">Bank_Statement!A450</f>
        <v>BNK50449</v>
      </c>
      <c r="B1210" s="17" t="n">
        <f aca="false">Bank_Statement!B450</f>
        <v>46147</v>
      </c>
      <c r="C1210" s="18" t="n">
        <f aca="false">Bank_Statement!C450</f>
        <v>-980.08</v>
      </c>
      <c r="D1210" s="16" t="str">
        <f aca="false">Bank_Statement!D450</f>
        <v>PMT-V1010</v>
      </c>
      <c r="E1210" s="16" t="str">
        <f aca="false">Bank_Statement!E450</f>
        <v>PAY40449</v>
      </c>
      <c r="F1210" s="16" t="str">
        <f aca="false">IF(E1210="","N/A",IF(COUNTIF(Payment_Log_AP!$A$2:$A$753,E1210)&gt;0,"Yes","No"))</f>
        <v>Yes</v>
      </c>
      <c r="G1210" s="16" t="str">
        <f aca="false">IF(E1210="","Unexplained Bank Item (fee/other - review)",IF(F1210="Yes","Matched","Payment Reference Not Found in AP Log"))</f>
        <v>Matched</v>
      </c>
    </row>
    <row r="1211" customFormat="false" ht="15" hidden="false" customHeight="false" outlineLevel="0" collapsed="false">
      <c r="A1211" s="16" t="str">
        <f aca="false">Bank_Statement!A451</f>
        <v>BNK50450</v>
      </c>
      <c r="B1211" s="17" t="n">
        <f aca="false">Bank_Statement!B451</f>
        <v>46169</v>
      </c>
      <c r="C1211" s="18" t="n">
        <f aca="false">Bank_Statement!C451</f>
        <v>-2579.28</v>
      </c>
      <c r="D1211" s="16" t="str">
        <f aca="false">Bank_Statement!D451</f>
        <v>PMT-V1004</v>
      </c>
      <c r="E1211" s="16" t="str">
        <f aca="false">Bank_Statement!E451</f>
        <v>PAY40450</v>
      </c>
      <c r="F1211" s="16" t="str">
        <f aca="false">IF(E1211="","N/A",IF(COUNTIF(Payment_Log_AP!$A$2:$A$753,E1211)&gt;0,"Yes","No"))</f>
        <v>Yes</v>
      </c>
      <c r="G1211" s="16" t="str">
        <f aca="false">IF(E1211="","Unexplained Bank Item (fee/other - review)",IF(F1211="Yes","Matched","Payment Reference Not Found in AP Log"))</f>
        <v>Matched</v>
      </c>
    </row>
    <row r="1212" customFormat="false" ht="15" hidden="false" customHeight="false" outlineLevel="0" collapsed="false">
      <c r="A1212" s="16" t="str">
        <f aca="false">Bank_Statement!A452</f>
        <v>BNK50451</v>
      </c>
      <c r="B1212" s="17" t="n">
        <f aca="false">Bank_Statement!B452</f>
        <v>45906</v>
      </c>
      <c r="C1212" s="18" t="n">
        <f aca="false">Bank_Statement!C452</f>
        <v>-3221.77</v>
      </c>
      <c r="D1212" s="16" t="str">
        <f aca="false">Bank_Statement!D452</f>
        <v>PMT-V1029</v>
      </c>
      <c r="E1212" s="16" t="str">
        <f aca="false">Bank_Statement!E452</f>
        <v>PAY40451</v>
      </c>
      <c r="F1212" s="16" t="str">
        <f aca="false">IF(E1212="","N/A",IF(COUNTIF(Payment_Log_AP!$A$2:$A$753,E1212)&gt;0,"Yes","No"))</f>
        <v>Yes</v>
      </c>
      <c r="G1212" s="16" t="str">
        <f aca="false">IF(E1212="","Unexplained Bank Item (fee/other - review)",IF(F1212="Yes","Matched","Payment Reference Not Found in AP Log"))</f>
        <v>Matched</v>
      </c>
    </row>
    <row r="1213" customFormat="false" ht="15" hidden="false" customHeight="false" outlineLevel="0" collapsed="false">
      <c r="A1213" s="16" t="str">
        <f aca="false">Bank_Statement!A453</f>
        <v>BNK50452</v>
      </c>
      <c r="B1213" s="17" t="n">
        <f aca="false">Bank_Statement!B453</f>
        <v>45842</v>
      </c>
      <c r="C1213" s="18" t="n">
        <f aca="false">Bank_Statement!C453</f>
        <v>-130.66</v>
      </c>
      <c r="D1213" s="16" t="str">
        <f aca="false">Bank_Statement!D453</f>
        <v>PMT-V1029</v>
      </c>
      <c r="E1213" s="16" t="str">
        <f aca="false">Bank_Statement!E453</f>
        <v>PAY40452</v>
      </c>
      <c r="F1213" s="16" t="str">
        <f aca="false">IF(E1213="","N/A",IF(COUNTIF(Payment_Log_AP!$A$2:$A$753,E1213)&gt;0,"Yes","No"))</f>
        <v>Yes</v>
      </c>
      <c r="G1213" s="16" t="str">
        <f aca="false">IF(E1213="","Unexplained Bank Item (fee/other - review)",IF(F1213="Yes","Matched","Payment Reference Not Found in AP Log"))</f>
        <v>Matched</v>
      </c>
    </row>
    <row r="1214" customFormat="false" ht="15" hidden="false" customHeight="false" outlineLevel="0" collapsed="false">
      <c r="A1214" s="16" t="str">
        <f aca="false">Bank_Statement!A454</f>
        <v>BNK50453</v>
      </c>
      <c r="B1214" s="17" t="n">
        <f aca="false">Bank_Statement!B454</f>
        <v>46087</v>
      </c>
      <c r="C1214" s="18" t="n">
        <f aca="false">Bank_Statement!C454</f>
        <v>-1768.65</v>
      </c>
      <c r="D1214" s="16" t="str">
        <f aca="false">Bank_Statement!D454</f>
        <v>PMT-V1014</v>
      </c>
      <c r="E1214" s="16" t="str">
        <f aca="false">Bank_Statement!E454</f>
        <v>PAY40453</v>
      </c>
      <c r="F1214" s="16" t="str">
        <f aca="false">IF(E1214="","N/A",IF(COUNTIF(Payment_Log_AP!$A$2:$A$753,E1214)&gt;0,"Yes","No"))</f>
        <v>Yes</v>
      </c>
      <c r="G1214" s="16" t="str">
        <f aca="false">IF(E1214="","Unexplained Bank Item (fee/other - review)",IF(F1214="Yes","Matched","Payment Reference Not Found in AP Log"))</f>
        <v>Matched</v>
      </c>
    </row>
    <row r="1215" customFormat="false" ht="15" hidden="false" customHeight="false" outlineLevel="0" collapsed="false">
      <c r="A1215" s="16" t="str">
        <f aca="false">Bank_Statement!A455</f>
        <v>BNK50454</v>
      </c>
      <c r="B1215" s="17" t="n">
        <f aca="false">Bank_Statement!B455</f>
        <v>46118</v>
      </c>
      <c r="C1215" s="18" t="n">
        <f aca="false">Bank_Statement!C455</f>
        <v>-359.03</v>
      </c>
      <c r="D1215" s="16" t="str">
        <f aca="false">Bank_Statement!D455</f>
        <v>PMT-V1034</v>
      </c>
      <c r="E1215" s="16" t="str">
        <f aca="false">Bank_Statement!E455</f>
        <v>PAY40454</v>
      </c>
      <c r="F1215" s="16" t="str">
        <f aca="false">IF(E1215="","N/A",IF(COUNTIF(Payment_Log_AP!$A$2:$A$753,E1215)&gt;0,"Yes","No"))</f>
        <v>Yes</v>
      </c>
      <c r="G1215" s="16" t="str">
        <f aca="false">IF(E1215="","Unexplained Bank Item (fee/other - review)",IF(F1215="Yes","Matched","Payment Reference Not Found in AP Log"))</f>
        <v>Matched</v>
      </c>
    </row>
    <row r="1216" customFormat="false" ht="15" hidden="false" customHeight="false" outlineLevel="0" collapsed="false">
      <c r="A1216" s="16" t="str">
        <f aca="false">Bank_Statement!A456</f>
        <v>BNK50455</v>
      </c>
      <c r="B1216" s="17" t="n">
        <f aca="false">Bank_Statement!B456</f>
        <v>46157</v>
      </c>
      <c r="C1216" s="18" t="n">
        <f aca="false">Bank_Statement!C456</f>
        <v>-2508.58</v>
      </c>
      <c r="D1216" s="16" t="str">
        <f aca="false">Bank_Statement!D456</f>
        <v>PMT-V1017</v>
      </c>
      <c r="E1216" s="16" t="str">
        <f aca="false">Bank_Statement!E456</f>
        <v>PAY40455</v>
      </c>
      <c r="F1216" s="16" t="str">
        <f aca="false">IF(E1216="","N/A",IF(COUNTIF(Payment_Log_AP!$A$2:$A$753,E1216)&gt;0,"Yes","No"))</f>
        <v>Yes</v>
      </c>
      <c r="G1216" s="16" t="str">
        <f aca="false">IF(E1216="","Unexplained Bank Item (fee/other - review)",IF(F1216="Yes","Matched","Payment Reference Not Found in AP Log"))</f>
        <v>Matched</v>
      </c>
    </row>
    <row r="1217" customFormat="false" ht="15" hidden="false" customHeight="false" outlineLevel="0" collapsed="false">
      <c r="A1217" s="16" t="str">
        <f aca="false">Bank_Statement!A457</f>
        <v>BNK50456</v>
      </c>
      <c r="B1217" s="17" t="n">
        <f aca="false">Bank_Statement!B457</f>
        <v>45740</v>
      </c>
      <c r="C1217" s="18" t="n">
        <f aca="false">Bank_Statement!C457</f>
        <v>-1846.15</v>
      </c>
      <c r="D1217" s="16" t="str">
        <f aca="false">Bank_Statement!D457</f>
        <v>PMT-V1010</v>
      </c>
      <c r="E1217" s="16" t="str">
        <f aca="false">Bank_Statement!E457</f>
        <v>PAY40456</v>
      </c>
      <c r="F1217" s="16" t="str">
        <f aca="false">IF(E1217="","N/A",IF(COUNTIF(Payment_Log_AP!$A$2:$A$753,E1217)&gt;0,"Yes","No"))</f>
        <v>Yes</v>
      </c>
      <c r="G1217" s="16" t="str">
        <f aca="false">IF(E1217="","Unexplained Bank Item (fee/other - review)",IF(F1217="Yes","Matched","Payment Reference Not Found in AP Log"))</f>
        <v>Matched</v>
      </c>
    </row>
    <row r="1218" customFormat="false" ht="15" hidden="false" customHeight="false" outlineLevel="0" collapsed="false">
      <c r="A1218" s="16" t="str">
        <f aca="false">Bank_Statement!A458</f>
        <v>BNK50457</v>
      </c>
      <c r="B1218" s="17" t="n">
        <f aca="false">Bank_Statement!B458</f>
        <v>46044</v>
      </c>
      <c r="C1218" s="18" t="n">
        <f aca="false">Bank_Statement!C458</f>
        <v>-1888.25</v>
      </c>
      <c r="D1218" s="16" t="str">
        <f aca="false">Bank_Statement!D458</f>
        <v>PMT-V1018</v>
      </c>
      <c r="E1218" s="16" t="str">
        <f aca="false">Bank_Statement!E458</f>
        <v>PAY40457</v>
      </c>
      <c r="F1218" s="16" t="str">
        <f aca="false">IF(E1218="","N/A",IF(COUNTIF(Payment_Log_AP!$A$2:$A$753,E1218)&gt;0,"Yes","No"))</f>
        <v>Yes</v>
      </c>
      <c r="G1218" s="16" t="str">
        <f aca="false">IF(E1218="","Unexplained Bank Item (fee/other - review)",IF(F1218="Yes","Matched","Payment Reference Not Found in AP Log"))</f>
        <v>Matched</v>
      </c>
    </row>
    <row r="1219" customFormat="false" ht="15" hidden="false" customHeight="false" outlineLevel="0" collapsed="false">
      <c r="A1219" s="16" t="str">
        <f aca="false">Bank_Statement!A459</f>
        <v>BNK50458</v>
      </c>
      <c r="B1219" s="17" t="n">
        <f aca="false">Bank_Statement!B459</f>
        <v>46116</v>
      </c>
      <c r="C1219" s="18" t="n">
        <f aca="false">Bank_Statement!C459</f>
        <v>-28542.14</v>
      </c>
      <c r="D1219" s="16" t="str">
        <f aca="false">Bank_Statement!D459</f>
        <v>PMT-V1012</v>
      </c>
      <c r="E1219" s="16" t="str">
        <f aca="false">Bank_Statement!E459</f>
        <v>PAY40458</v>
      </c>
      <c r="F1219" s="16" t="str">
        <f aca="false">IF(E1219="","N/A",IF(COUNTIF(Payment_Log_AP!$A$2:$A$753,E1219)&gt;0,"Yes","No"))</f>
        <v>Yes</v>
      </c>
      <c r="G1219" s="16" t="str">
        <f aca="false">IF(E1219="","Unexplained Bank Item (fee/other - review)",IF(F1219="Yes","Matched","Payment Reference Not Found in AP Log"))</f>
        <v>Matched</v>
      </c>
    </row>
    <row r="1220" customFormat="false" ht="15" hidden="false" customHeight="false" outlineLevel="0" collapsed="false">
      <c r="A1220" s="16" t="str">
        <f aca="false">Bank_Statement!A460</f>
        <v>BNK50459</v>
      </c>
      <c r="B1220" s="17" t="n">
        <f aca="false">Bank_Statement!B460</f>
        <v>45915</v>
      </c>
      <c r="C1220" s="18" t="n">
        <f aca="false">Bank_Statement!C460</f>
        <v>-13194.36</v>
      </c>
      <c r="D1220" s="16" t="str">
        <f aca="false">Bank_Statement!D460</f>
        <v>PMT-V1033</v>
      </c>
      <c r="E1220" s="16" t="str">
        <f aca="false">Bank_Statement!E460</f>
        <v>PAY40459</v>
      </c>
      <c r="F1220" s="16" t="str">
        <f aca="false">IF(E1220="","N/A",IF(COUNTIF(Payment_Log_AP!$A$2:$A$753,E1220)&gt;0,"Yes","No"))</f>
        <v>Yes</v>
      </c>
      <c r="G1220" s="16" t="str">
        <f aca="false">IF(E1220="","Unexplained Bank Item (fee/other - review)",IF(F1220="Yes","Matched","Payment Reference Not Found in AP Log"))</f>
        <v>Matched</v>
      </c>
    </row>
    <row r="1221" customFormat="false" ht="15" hidden="false" customHeight="false" outlineLevel="0" collapsed="false">
      <c r="A1221" s="16" t="str">
        <f aca="false">Bank_Statement!A461</f>
        <v>BNK50460</v>
      </c>
      <c r="B1221" s="17" t="n">
        <f aca="false">Bank_Statement!B461</f>
        <v>46045</v>
      </c>
      <c r="C1221" s="18" t="n">
        <f aca="false">Bank_Statement!C461</f>
        <v>-999.65</v>
      </c>
      <c r="D1221" s="16" t="str">
        <f aca="false">Bank_Statement!D461</f>
        <v>PMT-V1034</v>
      </c>
      <c r="E1221" s="16" t="str">
        <f aca="false">Bank_Statement!E461</f>
        <v>PAY40460</v>
      </c>
      <c r="F1221" s="16" t="str">
        <f aca="false">IF(E1221="","N/A",IF(COUNTIF(Payment_Log_AP!$A$2:$A$753,E1221)&gt;0,"Yes","No"))</f>
        <v>Yes</v>
      </c>
      <c r="G1221" s="16" t="str">
        <f aca="false">IF(E1221="","Unexplained Bank Item (fee/other - review)",IF(F1221="Yes","Matched","Payment Reference Not Found in AP Log"))</f>
        <v>Matched</v>
      </c>
    </row>
    <row r="1222" customFormat="false" ht="15" hidden="false" customHeight="false" outlineLevel="0" collapsed="false">
      <c r="A1222" s="16" t="str">
        <f aca="false">Bank_Statement!A462</f>
        <v>BNK50461</v>
      </c>
      <c r="B1222" s="17" t="n">
        <f aca="false">Bank_Statement!B462</f>
        <v>46179</v>
      </c>
      <c r="C1222" s="18" t="n">
        <f aca="false">Bank_Statement!C462</f>
        <v>-2025.11</v>
      </c>
      <c r="D1222" s="16" t="str">
        <f aca="false">Bank_Statement!D462</f>
        <v>PMT-V1010</v>
      </c>
      <c r="E1222" s="16" t="str">
        <f aca="false">Bank_Statement!E462</f>
        <v>PAY40461</v>
      </c>
      <c r="F1222" s="16" t="str">
        <f aca="false">IF(E1222="","N/A",IF(COUNTIF(Payment_Log_AP!$A$2:$A$753,E1222)&gt;0,"Yes","No"))</f>
        <v>Yes</v>
      </c>
      <c r="G1222" s="16" t="str">
        <f aca="false">IF(E1222="","Unexplained Bank Item (fee/other - review)",IF(F1222="Yes","Matched","Payment Reference Not Found in AP Log"))</f>
        <v>Matched</v>
      </c>
    </row>
    <row r="1223" customFormat="false" ht="15" hidden="false" customHeight="false" outlineLevel="0" collapsed="false">
      <c r="A1223" s="16" t="str">
        <f aca="false">Bank_Statement!A463</f>
        <v>BNK50462</v>
      </c>
      <c r="B1223" s="17" t="n">
        <f aca="false">Bank_Statement!B463</f>
        <v>46173</v>
      </c>
      <c r="C1223" s="18" t="n">
        <f aca="false">Bank_Statement!C463</f>
        <v>-2025.11</v>
      </c>
      <c r="D1223" s="16" t="str">
        <f aca="false">Bank_Statement!D463</f>
        <v>PMT-V1010</v>
      </c>
      <c r="E1223" s="16" t="str">
        <f aca="false">Bank_Statement!E463</f>
        <v>PAY40462</v>
      </c>
      <c r="F1223" s="16" t="str">
        <f aca="false">IF(E1223="","N/A",IF(COUNTIF(Payment_Log_AP!$A$2:$A$753,E1223)&gt;0,"Yes","No"))</f>
        <v>Yes</v>
      </c>
      <c r="G1223" s="16" t="str">
        <f aca="false">IF(E1223="","Unexplained Bank Item (fee/other - review)",IF(F1223="Yes","Matched","Payment Reference Not Found in AP Log"))</f>
        <v>Matched</v>
      </c>
    </row>
    <row r="1224" customFormat="false" ht="15" hidden="false" customHeight="false" outlineLevel="0" collapsed="false">
      <c r="A1224" s="16" t="str">
        <f aca="false">Bank_Statement!A464</f>
        <v>BNK50463</v>
      </c>
      <c r="B1224" s="17" t="n">
        <f aca="false">Bank_Statement!B464</f>
        <v>45933</v>
      </c>
      <c r="C1224" s="18" t="n">
        <f aca="false">Bank_Statement!C464</f>
        <v>-1346.34</v>
      </c>
      <c r="D1224" s="16" t="str">
        <f aca="false">Bank_Statement!D464</f>
        <v>PMT-V1013</v>
      </c>
      <c r="E1224" s="16" t="str">
        <f aca="false">Bank_Statement!E464</f>
        <v>PAY40463</v>
      </c>
      <c r="F1224" s="16" t="str">
        <f aca="false">IF(E1224="","N/A",IF(COUNTIF(Payment_Log_AP!$A$2:$A$753,E1224)&gt;0,"Yes","No"))</f>
        <v>Yes</v>
      </c>
      <c r="G1224" s="16" t="str">
        <f aca="false">IF(E1224="","Unexplained Bank Item (fee/other - review)",IF(F1224="Yes","Matched","Payment Reference Not Found in AP Log"))</f>
        <v>Matched</v>
      </c>
    </row>
    <row r="1225" customFormat="false" ht="15" hidden="false" customHeight="false" outlineLevel="0" collapsed="false">
      <c r="A1225" s="16" t="str">
        <f aca="false">Bank_Statement!A465</f>
        <v>BNK50464</v>
      </c>
      <c r="B1225" s="17" t="n">
        <f aca="false">Bank_Statement!B465</f>
        <v>46050</v>
      </c>
      <c r="C1225" s="18" t="n">
        <f aca="false">Bank_Statement!C465</f>
        <v>-473.72</v>
      </c>
      <c r="D1225" s="16" t="str">
        <f aca="false">Bank_Statement!D465</f>
        <v>PMT-V1017</v>
      </c>
      <c r="E1225" s="16" t="str">
        <f aca="false">Bank_Statement!E465</f>
        <v>PAY40464</v>
      </c>
      <c r="F1225" s="16" t="str">
        <f aca="false">IF(E1225="","N/A",IF(COUNTIF(Payment_Log_AP!$A$2:$A$753,E1225)&gt;0,"Yes","No"))</f>
        <v>Yes</v>
      </c>
      <c r="G1225" s="16" t="str">
        <f aca="false">IF(E1225="","Unexplained Bank Item (fee/other - review)",IF(F1225="Yes","Matched","Payment Reference Not Found in AP Log"))</f>
        <v>Matched</v>
      </c>
    </row>
    <row r="1226" customFormat="false" ht="15" hidden="false" customHeight="false" outlineLevel="0" collapsed="false">
      <c r="A1226" s="16" t="str">
        <f aca="false">Bank_Statement!A466</f>
        <v>BNK50465</v>
      </c>
      <c r="B1226" s="17" t="n">
        <f aca="false">Bank_Statement!B466</f>
        <v>46128</v>
      </c>
      <c r="C1226" s="18" t="n">
        <f aca="false">Bank_Statement!C466</f>
        <v>-4513.74</v>
      </c>
      <c r="D1226" s="16" t="str">
        <f aca="false">Bank_Statement!D466</f>
        <v>PMT-V1029</v>
      </c>
      <c r="E1226" s="16" t="str">
        <f aca="false">Bank_Statement!E466</f>
        <v>PAY40465</v>
      </c>
      <c r="F1226" s="16" t="str">
        <f aca="false">IF(E1226="","N/A",IF(COUNTIF(Payment_Log_AP!$A$2:$A$753,E1226)&gt;0,"Yes","No"))</f>
        <v>Yes</v>
      </c>
      <c r="G1226" s="16" t="str">
        <f aca="false">IF(E1226="","Unexplained Bank Item (fee/other - review)",IF(F1226="Yes","Matched","Payment Reference Not Found in AP Log"))</f>
        <v>Matched</v>
      </c>
    </row>
    <row r="1227" customFormat="false" ht="15" hidden="false" customHeight="false" outlineLevel="0" collapsed="false">
      <c r="A1227" s="16" t="str">
        <f aca="false">Bank_Statement!A467</f>
        <v>BNK50466</v>
      </c>
      <c r="B1227" s="17" t="n">
        <f aca="false">Bank_Statement!B467</f>
        <v>45841</v>
      </c>
      <c r="C1227" s="18" t="n">
        <f aca="false">Bank_Statement!C467</f>
        <v>-1308.52</v>
      </c>
      <c r="D1227" s="16" t="str">
        <f aca="false">Bank_Statement!D467</f>
        <v>PMT-V1028</v>
      </c>
      <c r="E1227" s="16" t="str">
        <f aca="false">Bank_Statement!E467</f>
        <v>PAY40466</v>
      </c>
      <c r="F1227" s="16" t="str">
        <f aca="false">IF(E1227="","N/A",IF(COUNTIF(Payment_Log_AP!$A$2:$A$753,E1227)&gt;0,"Yes","No"))</f>
        <v>Yes</v>
      </c>
      <c r="G1227" s="16" t="str">
        <f aca="false">IF(E1227="","Unexplained Bank Item (fee/other - review)",IF(F1227="Yes","Matched","Payment Reference Not Found in AP Log"))</f>
        <v>Matched</v>
      </c>
    </row>
    <row r="1228" customFormat="false" ht="15" hidden="false" customHeight="false" outlineLevel="0" collapsed="false">
      <c r="A1228" s="16" t="str">
        <f aca="false">Bank_Statement!A468</f>
        <v>BNK50467</v>
      </c>
      <c r="B1228" s="17" t="n">
        <f aca="false">Bank_Statement!B468</f>
        <v>45871</v>
      </c>
      <c r="C1228" s="18" t="n">
        <f aca="false">Bank_Statement!C468</f>
        <v>-2254.68</v>
      </c>
      <c r="D1228" s="16" t="str">
        <f aca="false">Bank_Statement!D468</f>
        <v>PMT-V1028</v>
      </c>
      <c r="E1228" s="16" t="str">
        <f aca="false">Bank_Statement!E468</f>
        <v>PAY40467</v>
      </c>
      <c r="F1228" s="16" t="str">
        <f aca="false">IF(E1228="","N/A",IF(COUNTIF(Payment_Log_AP!$A$2:$A$753,E1228)&gt;0,"Yes","No"))</f>
        <v>Yes</v>
      </c>
      <c r="G1228" s="16" t="str">
        <f aca="false">IF(E1228="","Unexplained Bank Item (fee/other - review)",IF(F1228="Yes","Matched","Payment Reference Not Found in AP Log"))</f>
        <v>Matched</v>
      </c>
    </row>
    <row r="1229" customFormat="false" ht="15" hidden="false" customHeight="false" outlineLevel="0" collapsed="false">
      <c r="A1229" s="16" t="str">
        <f aca="false">Bank_Statement!A469</f>
        <v>BNK50468</v>
      </c>
      <c r="B1229" s="17" t="n">
        <f aca="false">Bank_Statement!B469</f>
        <v>45894</v>
      </c>
      <c r="C1229" s="18" t="n">
        <f aca="false">Bank_Statement!C469</f>
        <v>-2254.68</v>
      </c>
      <c r="D1229" s="16" t="str">
        <f aca="false">Bank_Statement!D469</f>
        <v>PMT-V1028</v>
      </c>
      <c r="E1229" s="16" t="str">
        <f aca="false">Bank_Statement!E469</f>
        <v>PAY40468</v>
      </c>
      <c r="F1229" s="16" t="str">
        <f aca="false">IF(E1229="","N/A",IF(COUNTIF(Payment_Log_AP!$A$2:$A$753,E1229)&gt;0,"Yes","No"))</f>
        <v>Yes</v>
      </c>
      <c r="G1229" s="16" t="str">
        <f aca="false">IF(E1229="","Unexplained Bank Item (fee/other - review)",IF(F1229="Yes","Matched","Payment Reference Not Found in AP Log"))</f>
        <v>Matched</v>
      </c>
    </row>
    <row r="1230" customFormat="false" ht="15" hidden="false" customHeight="false" outlineLevel="0" collapsed="false">
      <c r="A1230" s="16" t="str">
        <f aca="false">Bank_Statement!A470</f>
        <v>BNK50469</v>
      </c>
      <c r="B1230" s="17" t="n">
        <f aca="false">Bank_Statement!B470</f>
        <v>45760</v>
      </c>
      <c r="C1230" s="18" t="n">
        <f aca="false">Bank_Statement!C470</f>
        <v>-5770.92</v>
      </c>
      <c r="D1230" s="16" t="str">
        <f aca="false">Bank_Statement!D470</f>
        <v>PMT-V1023</v>
      </c>
      <c r="E1230" s="16" t="str">
        <f aca="false">Bank_Statement!E470</f>
        <v>PAY40469</v>
      </c>
      <c r="F1230" s="16" t="str">
        <f aca="false">IF(E1230="","N/A",IF(COUNTIF(Payment_Log_AP!$A$2:$A$753,E1230)&gt;0,"Yes","No"))</f>
        <v>Yes</v>
      </c>
      <c r="G1230" s="16" t="str">
        <f aca="false">IF(E1230="","Unexplained Bank Item (fee/other - review)",IF(F1230="Yes","Matched","Payment Reference Not Found in AP Log"))</f>
        <v>Matched</v>
      </c>
    </row>
    <row r="1231" customFormat="false" ht="15" hidden="false" customHeight="false" outlineLevel="0" collapsed="false">
      <c r="A1231" s="16" t="str">
        <f aca="false">Bank_Statement!A471</f>
        <v>BNK50470</v>
      </c>
      <c r="B1231" s="17" t="n">
        <f aca="false">Bank_Statement!B471</f>
        <v>45975</v>
      </c>
      <c r="C1231" s="18" t="n">
        <f aca="false">Bank_Statement!C471</f>
        <v>-2271.46</v>
      </c>
      <c r="D1231" s="16" t="str">
        <f aca="false">Bank_Statement!D471</f>
        <v>PMT-V1016</v>
      </c>
      <c r="E1231" s="16" t="str">
        <f aca="false">Bank_Statement!E471</f>
        <v>PAY40470</v>
      </c>
      <c r="F1231" s="16" t="str">
        <f aca="false">IF(E1231="","N/A",IF(COUNTIF(Payment_Log_AP!$A$2:$A$753,E1231)&gt;0,"Yes","No"))</f>
        <v>Yes</v>
      </c>
      <c r="G1231" s="16" t="str">
        <f aca="false">IF(E1231="","Unexplained Bank Item (fee/other - review)",IF(F1231="Yes","Matched","Payment Reference Not Found in AP Log"))</f>
        <v>Matched</v>
      </c>
    </row>
    <row r="1232" customFormat="false" ht="15" hidden="false" customHeight="false" outlineLevel="0" collapsed="false">
      <c r="A1232" s="16" t="str">
        <f aca="false">Bank_Statement!A472</f>
        <v>BNK50471</v>
      </c>
      <c r="B1232" s="17" t="n">
        <f aca="false">Bank_Statement!B472</f>
        <v>45997</v>
      </c>
      <c r="C1232" s="18" t="n">
        <f aca="false">Bank_Statement!C472</f>
        <v>-567.17</v>
      </c>
      <c r="D1232" s="16" t="str">
        <f aca="false">Bank_Statement!D472</f>
        <v>PMT-V1012</v>
      </c>
      <c r="E1232" s="16" t="str">
        <f aca="false">Bank_Statement!E472</f>
        <v>PAY40471</v>
      </c>
      <c r="F1232" s="16" t="str">
        <f aca="false">IF(E1232="","N/A",IF(COUNTIF(Payment_Log_AP!$A$2:$A$753,E1232)&gt;0,"Yes","No"))</f>
        <v>Yes</v>
      </c>
      <c r="G1232" s="16" t="str">
        <f aca="false">IF(E1232="","Unexplained Bank Item (fee/other - review)",IF(F1232="Yes","Matched","Payment Reference Not Found in AP Log"))</f>
        <v>Matched</v>
      </c>
    </row>
    <row r="1233" customFormat="false" ht="15" hidden="false" customHeight="false" outlineLevel="0" collapsed="false">
      <c r="A1233" s="16" t="str">
        <f aca="false">Bank_Statement!A473</f>
        <v>BNK50472</v>
      </c>
      <c r="B1233" s="17" t="n">
        <f aca="false">Bank_Statement!B473</f>
        <v>46104</v>
      </c>
      <c r="C1233" s="18" t="n">
        <f aca="false">Bank_Statement!C473</f>
        <v>-4021.66</v>
      </c>
      <c r="D1233" s="16" t="str">
        <f aca="false">Bank_Statement!D473</f>
        <v>PMT-V1010</v>
      </c>
      <c r="E1233" s="16" t="str">
        <f aca="false">Bank_Statement!E473</f>
        <v>PAY40472</v>
      </c>
      <c r="F1233" s="16" t="str">
        <f aca="false">IF(E1233="","N/A",IF(COUNTIF(Payment_Log_AP!$A$2:$A$753,E1233)&gt;0,"Yes","No"))</f>
        <v>Yes</v>
      </c>
      <c r="G1233" s="16" t="str">
        <f aca="false">IF(E1233="","Unexplained Bank Item (fee/other - review)",IF(F1233="Yes","Matched","Payment Reference Not Found in AP Log"))</f>
        <v>Matched</v>
      </c>
    </row>
    <row r="1234" customFormat="false" ht="15" hidden="false" customHeight="false" outlineLevel="0" collapsed="false">
      <c r="A1234" s="16" t="str">
        <f aca="false">Bank_Statement!A474</f>
        <v>BNK50473</v>
      </c>
      <c r="B1234" s="17" t="n">
        <f aca="false">Bank_Statement!B474</f>
        <v>45720</v>
      </c>
      <c r="C1234" s="18" t="n">
        <f aca="false">Bank_Statement!C474</f>
        <v>-21176.94</v>
      </c>
      <c r="D1234" s="16" t="str">
        <f aca="false">Bank_Statement!D474</f>
        <v>PMT-V1002</v>
      </c>
      <c r="E1234" s="16" t="str">
        <f aca="false">Bank_Statement!E474</f>
        <v>PAY40473</v>
      </c>
      <c r="F1234" s="16" t="str">
        <f aca="false">IF(E1234="","N/A",IF(COUNTIF(Payment_Log_AP!$A$2:$A$753,E1234)&gt;0,"Yes","No"))</f>
        <v>Yes</v>
      </c>
      <c r="G1234" s="16" t="str">
        <f aca="false">IF(E1234="","Unexplained Bank Item (fee/other - review)",IF(F1234="Yes","Matched","Payment Reference Not Found in AP Log"))</f>
        <v>Matched</v>
      </c>
    </row>
    <row r="1235" customFormat="false" ht="15" hidden="false" customHeight="false" outlineLevel="0" collapsed="false">
      <c r="A1235" s="16" t="str">
        <f aca="false">Bank_Statement!A475</f>
        <v>BNK50474</v>
      </c>
      <c r="B1235" s="17" t="n">
        <f aca="false">Bank_Statement!B475</f>
        <v>46178</v>
      </c>
      <c r="C1235" s="18" t="n">
        <f aca="false">Bank_Statement!C475</f>
        <v>-3298.58</v>
      </c>
      <c r="D1235" s="16" t="str">
        <f aca="false">Bank_Statement!D475</f>
        <v>PMT-V1010</v>
      </c>
      <c r="E1235" s="16" t="str">
        <f aca="false">Bank_Statement!E475</f>
        <v>PAY40474</v>
      </c>
      <c r="F1235" s="16" t="str">
        <f aca="false">IF(E1235="","N/A",IF(COUNTIF(Payment_Log_AP!$A$2:$A$753,E1235)&gt;0,"Yes","No"))</f>
        <v>Yes</v>
      </c>
      <c r="G1235" s="16" t="str">
        <f aca="false">IF(E1235="","Unexplained Bank Item (fee/other - review)",IF(F1235="Yes","Matched","Payment Reference Not Found in AP Log"))</f>
        <v>Matched</v>
      </c>
    </row>
    <row r="1236" customFormat="false" ht="15" hidden="false" customHeight="false" outlineLevel="0" collapsed="false">
      <c r="A1236" s="16" t="str">
        <f aca="false">Bank_Statement!A476</f>
        <v>BNK50475</v>
      </c>
      <c r="B1236" s="17" t="n">
        <f aca="false">Bank_Statement!B476</f>
        <v>46021</v>
      </c>
      <c r="C1236" s="18" t="n">
        <f aca="false">Bank_Statement!C476</f>
        <v>-6459.27</v>
      </c>
      <c r="D1236" s="16" t="str">
        <f aca="false">Bank_Statement!D476</f>
        <v>PMT-V1031</v>
      </c>
      <c r="E1236" s="16" t="str">
        <f aca="false">Bank_Statement!E476</f>
        <v>PAY40475</v>
      </c>
      <c r="F1236" s="16" t="str">
        <f aca="false">IF(E1236="","N/A",IF(COUNTIF(Payment_Log_AP!$A$2:$A$753,E1236)&gt;0,"Yes","No"))</f>
        <v>Yes</v>
      </c>
      <c r="G1236" s="16" t="str">
        <f aca="false">IF(E1236="","Unexplained Bank Item (fee/other - review)",IF(F1236="Yes","Matched","Payment Reference Not Found in AP Log"))</f>
        <v>Matched</v>
      </c>
    </row>
    <row r="1237" customFormat="false" ht="15" hidden="false" customHeight="false" outlineLevel="0" collapsed="false">
      <c r="A1237" s="16" t="str">
        <f aca="false">Bank_Statement!A477</f>
        <v>BNK50476</v>
      </c>
      <c r="B1237" s="17" t="n">
        <f aca="false">Bank_Statement!B477</f>
        <v>45826</v>
      </c>
      <c r="C1237" s="18" t="n">
        <f aca="false">Bank_Statement!C477</f>
        <v>-622.67</v>
      </c>
      <c r="D1237" s="16" t="str">
        <f aca="false">Bank_Statement!D477</f>
        <v>PMT-V1012</v>
      </c>
      <c r="E1237" s="16" t="str">
        <f aca="false">Bank_Statement!E477</f>
        <v>PAY40476</v>
      </c>
      <c r="F1237" s="16" t="str">
        <f aca="false">IF(E1237="","N/A",IF(COUNTIF(Payment_Log_AP!$A$2:$A$753,E1237)&gt;0,"Yes","No"))</f>
        <v>Yes</v>
      </c>
      <c r="G1237" s="16" t="str">
        <f aca="false">IF(E1237="","Unexplained Bank Item (fee/other - review)",IF(F1237="Yes","Matched","Payment Reference Not Found in AP Log"))</f>
        <v>Matched</v>
      </c>
    </row>
    <row r="1238" customFormat="false" ht="15" hidden="false" customHeight="false" outlineLevel="0" collapsed="false">
      <c r="A1238" s="16" t="str">
        <f aca="false">Bank_Statement!A478</f>
        <v>BNK50477</v>
      </c>
      <c r="B1238" s="17" t="n">
        <f aca="false">Bank_Statement!B478</f>
        <v>45753</v>
      </c>
      <c r="C1238" s="18" t="n">
        <f aca="false">Bank_Statement!C478</f>
        <v>-4894.13</v>
      </c>
      <c r="D1238" s="16" t="str">
        <f aca="false">Bank_Statement!D478</f>
        <v>PMT-V1005</v>
      </c>
      <c r="E1238" s="16" t="str">
        <f aca="false">Bank_Statement!E478</f>
        <v>PAY40477</v>
      </c>
      <c r="F1238" s="16" t="str">
        <f aca="false">IF(E1238="","N/A",IF(COUNTIF(Payment_Log_AP!$A$2:$A$753,E1238)&gt;0,"Yes","No"))</f>
        <v>Yes</v>
      </c>
      <c r="G1238" s="16" t="str">
        <f aca="false">IF(E1238="","Unexplained Bank Item (fee/other - review)",IF(F1238="Yes","Matched","Payment Reference Not Found in AP Log"))</f>
        <v>Matched</v>
      </c>
    </row>
    <row r="1239" customFormat="false" ht="15" hidden="false" customHeight="false" outlineLevel="0" collapsed="false">
      <c r="A1239" s="16" t="str">
        <f aca="false">Bank_Statement!A479</f>
        <v>BNK50478</v>
      </c>
      <c r="B1239" s="17" t="n">
        <f aca="false">Bank_Statement!B479</f>
        <v>45947</v>
      </c>
      <c r="C1239" s="18" t="n">
        <f aca="false">Bank_Statement!C479</f>
        <v>-640.41</v>
      </c>
      <c r="D1239" s="16" t="str">
        <f aca="false">Bank_Statement!D479</f>
        <v>PMT-V1024</v>
      </c>
      <c r="E1239" s="16" t="str">
        <f aca="false">Bank_Statement!E479</f>
        <v>PAY40478</v>
      </c>
      <c r="F1239" s="16" t="str">
        <f aca="false">IF(E1239="","N/A",IF(COUNTIF(Payment_Log_AP!$A$2:$A$753,E1239)&gt;0,"Yes","No"))</f>
        <v>Yes</v>
      </c>
      <c r="G1239" s="16" t="str">
        <f aca="false">IF(E1239="","Unexplained Bank Item (fee/other - review)",IF(F1239="Yes","Matched","Payment Reference Not Found in AP Log"))</f>
        <v>Matched</v>
      </c>
    </row>
    <row r="1240" customFormat="false" ht="15" hidden="false" customHeight="false" outlineLevel="0" collapsed="false">
      <c r="A1240" s="16" t="str">
        <f aca="false">Bank_Statement!A480</f>
        <v>BNK50479</v>
      </c>
      <c r="B1240" s="17" t="n">
        <f aca="false">Bank_Statement!B480</f>
        <v>45818</v>
      </c>
      <c r="C1240" s="18" t="n">
        <f aca="false">Bank_Statement!C480</f>
        <v>-6607.07</v>
      </c>
      <c r="D1240" s="16" t="str">
        <f aca="false">Bank_Statement!D480</f>
        <v>PMT-V1016</v>
      </c>
      <c r="E1240" s="16" t="str">
        <f aca="false">Bank_Statement!E480</f>
        <v>PAY40479</v>
      </c>
      <c r="F1240" s="16" t="str">
        <f aca="false">IF(E1240="","N/A",IF(COUNTIF(Payment_Log_AP!$A$2:$A$753,E1240)&gt;0,"Yes","No"))</f>
        <v>Yes</v>
      </c>
      <c r="G1240" s="16" t="str">
        <f aca="false">IF(E1240="","Unexplained Bank Item (fee/other - review)",IF(F1240="Yes","Matched","Payment Reference Not Found in AP Log"))</f>
        <v>Matched</v>
      </c>
    </row>
    <row r="1241" customFormat="false" ht="15" hidden="false" customHeight="false" outlineLevel="0" collapsed="false">
      <c r="A1241" s="16" t="str">
        <f aca="false">Bank_Statement!A481</f>
        <v>BNK50480</v>
      </c>
      <c r="B1241" s="17" t="n">
        <f aca="false">Bank_Statement!B481</f>
        <v>45848</v>
      </c>
      <c r="C1241" s="18" t="n">
        <f aca="false">Bank_Statement!C481</f>
        <v>-647.86</v>
      </c>
      <c r="D1241" s="16" t="str">
        <f aca="false">Bank_Statement!D481</f>
        <v>PMT-V1028</v>
      </c>
      <c r="E1241" s="16" t="str">
        <f aca="false">Bank_Statement!E481</f>
        <v>PAY40480</v>
      </c>
      <c r="F1241" s="16" t="str">
        <f aca="false">IF(E1241="","N/A",IF(COUNTIF(Payment_Log_AP!$A$2:$A$753,E1241)&gt;0,"Yes","No"))</f>
        <v>Yes</v>
      </c>
      <c r="G1241" s="16" t="str">
        <f aca="false">IF(E1241="","Unexplained Bank Item (fee/other - review)",IF(F1241="Yes","Matched","Payment Reference Not Found in AP Log"))</f>
        <v>Matched</v>
      </c>
    </row>
    <row r="1242" customFormat="false" ht="15" hidden="false" customHeight="false" outlineLevel="0" collapsed="false">
      <c r="A1242" s="16" t="str">
        <f aca="false">Bank_Statement!A482</f>
        <v>BNK50481</v>
      </c>
      <c r="B1242" s="17" t="n">
        <f aca="false">Bank_Statement!B482</f>
        <v>45717</v>
      </c>
      <c r="C1242" s="18" t="n">
        <f aca="false">Bank_Statement!C482</f>
        <v>-517.06</v>
      </c>
      <c r="D1242" s="16" t="str">
        <f aca="false">Bank_Statement!D482</f>
        <v>PMT-V1022</v>
      </c>
      <c r="E1242" s="16" t="str">
        <f aca="false">Bank_Statement!E482</f>
        <v>PAY40481</v>
      </c>
      <c r="F1242" s="16" t="str">
        <f aca="false">IF(E1242="","N/A",IF(COUNTIF(Payment_Log_AP!$A$2:$A$753,E1242)&gt;0,"Yes","No"))</f>
        <v>Yes</v>
      </c>
      <c r="G1242" s="16" t="str">
        <f aca="false">IF(E1242="","Unexplained Bank Item (fee/other - review)",IF(F1242="Yes","Matched","Payment Reference Not Found in AP Log"))</f>
        <v>Matched</v>
      </c>
    </row>
    <row r="1243" customFormat="false" ht="15" hidden="false" customHeight="false" outlineLevel="0" collapsed="false">
      <c r="A1243" s="16" t="str">
        <f aca="false">Bank_Statement!A483</f>
        <v>BNK50482</v>
      </c>
      <c r="B1243" s="17" t="n">
        <f aca="false">Bank_Statement!B483</f>
        <v>46114</v>
      </c>
      <c r="C1243" s="18" t="n">
        <f aca="false">Bank_Statement!C483</f>
        <v>-316.1</v>
      </c>
      <c r="D1243" s="16" t="str">
        <f aca="false">Bank_Statement!D483</f>
        <v>PMT-V1011</v>
      </c>
      <c r="E1243" s="16" t="str">
        <f aca="false">Bank_Statement!E483</f>
        <v>PAY40482</v>
      </c>
      <c r="F1243" s="16" t="str">
        <f aca="false">IF(E1243="","N/A",IF(COUNTIF(Payment_Log_AP!$A$2:$A$753,E1243)&gt;0,"Yes","No"))</f>
        <v>Yes</v>
      </c>
      <c r="G1243" s="16" t="str">
        <f aca="false">IF(E1243="","Unexplained Bank Item (fee/other - review)",IF(F1243="Yes","Matched","Payment Reference Not Found in AP Log"))</f>
        <v>Matched</v>
      </c>
    </row>
    <row r="1244" customFormat="false" ht="15" hidden="false" customHeight="false" outlineLevel="0" collapsed="false">
      <c r="A1244" s="16" t="str">
        <f aca="false">Bank_Statement!A484</f>
        <v>BNK50483</v>
      </c>
      <c r="B1244" s="17" t="n">
        <f aca="false">Bank_Statement!B484</f>
        <v>46191</v>
      </c>
      <c r="C1244" s="18" t="n">
        <f aca="false">Bank_Statement!C484</f>
        <v>-4436.8</v>
      </c>
      <c r="D1244" s="16" t="str">
        <f aca="false">Bank_Statement!D484</f>
        <v>PMT-V1034</v>
      </c>
      <c r="E1244" s="16" t="str">
        <f aca="false">Bank_Statement!E484</f>
        <v>PAY40483</v>
      </c>
      <c r="F1244" s="16" t="str">
        <f aca="false">IF(E1244="","N/A",IF(COUNTIF(Payment_Log_AP!$A$2:$A$753,E1244)&gt;0,"Yes","No"))</f>
        <v>Yes</v>
      </c>
      <c r="G1244" s="16" t="str">
        <f aca="false">IF(E1244="","Unexplained Bank Item (fee/other - review)",IF(F1244="Yes","Matched","Payment Reference Not Found in AP Log"))</f>
        <v>Matched</v>
      </c>
    </row>
    <row r="1245" customFormat="false" ht="15" hidden="false" customHeight="false" outlineLevel="0" collapsed="false">
      <c r="A1245" s="16" t="str">
        <f aca="false">Bank_Statement!A485</f>
        <v>BNK50484</v>
      </c>
      <c r="B1245" s="17" t="n">
        <f aca="false">Bank_Statement!B485</f>
        <v>46054</v>
      </c>
      <c r="C1245" s="18" t="n">
        <f aca="false">Bank_Statement!C485</f>
        <v>-6594.42</v>
      </c>
      <c r="D1245" s="16" t="str">
        <f aca="false">Bank_Statement!D485</f>
        <v>PMT-V1026</v>
      </c>
      <c r="E1245" s="16" t="str">
        <f aca="false">Bank_Statement!E485</f>
        <v>PAY40484</v>
      </c>
      <c r="F1245" s="16" t="str">
        <f aca="false">IF(E1245="","N/A",IF(COUNTIF(Payment_Log_AP!$A$2:$A$753,E1245)&gt;0,"Yes","No"))</f>
        <v>Yes</v>
      </c>
      <c r="G1245" s="16" t="str">
        <f aca="false">IF(E1245="","Unexplained Bank Item (fee/other - review)",IF(F1245="Yes","Matched","Payment Reference Not Found in AP Log"))</f>
        <v>Matched</v>
      </c>
    </row>
    <row r="1246" customFormat="false" ht="15" hidden="false" customHeight="false" outlineLevel="0" collapsed="false">
      <c r="A1246" s="16" t="str">
        <f aca="false">Bank_Statement!A486</f>
        <v>BNK50485</v>
      </c>
      <c r="B1246" s="17" t="n">
        <f aca="false">Bank_Statement!B486</f>
        <v>45781</v>
      </c>
      <c r="C1246" s="18" t="n">
        <f aca="false">Bank_Statement!C486</f>
        <v>-836.54</v>
      </c>
      <c r="D1246" s="16" t="str">
        <f aca="false">Bank_Statement!D486</f>
        <v>PMT-V1027</v>
      </c>
      <c r="E1246" s="16" t="str">
        <f aca="false">Bank_Statement!E486</f>
        <v>PAY40485</v>
      </c>
      <c r="F1246" s="16" t="str">
        <f aca="false">IF(E1246="","N/A",IF(COUNTIF(Payment_Log_AP!$A$2:$A$753,E1246)&gt;0,"Yes","No"))</f>
        <v>Yes</v>
      </c>
      <c r="G1246" s="16" t="str">
        <f aca="false">IF(E1246="","Unexplained Bank Item (fee/other - review)",IF(F1246="Yes","Matched","Payment Reference Not Found in AP Log"))</f>
        <v>Matched</v>
      </c>
    </row>
    <row r="1247" customFormat="false" ht="15" hidden="false" customHeight="false" outlineLevel="0" collapsed="false">
      <c r="A1247" s="16" t="str">
        <f aca="false">Bank_Statement!A487</f>
        <v>BNK50486</v>
      </c>
      <c r="B1247" s="17" t="n">
        <f aca="false">Bank_Statement!B487</f>
        <v>45954</v>
      </c>
      <c r="C1247" s="18" t="n">
        <f aca="false">Bank_Statement!C487</f>
        <v>-1170.71</v>
      </c>
      <c r="D1247" s="16" t="str">
        <f aca="false">Bank_Statement!D487</f>
        <v>PMT-V1020</v>
      </c>
      <c r="E1247" s="16" t="str">
        <f aca="false">Bank_Statement!E487</f>
        <v>PAY40486</v>
      </c>
      <c r="F1247" s="16" t="str">
        <f aca="false">IF(E1247="","N/A",IF(COUNTIF(Payment_Log_AP!$A$2:$A$753,E1247)&gt;0,"Yes","No"))</f>
        <v>Yes</v>
      </c>
      <c r="G1247" s="16" t="str">
        <f aca="false">IF(E1247="","Unexplained Bank Item (fee/other - review)",IF(F1247="Yes","Matched","Payment Reference Not Found in AP Log"))</f>
        <v>Matched</v>
      </c>
    </row>
    <row r="1248" customFormat="false" ht="15" hidden="false" customHeight="false" outlineLevel="0" collapsed="false">
      <c r="A1248" s="16" t="str">
        <f aca="false">Bank_Statement!A488</f>
        <v>BNK50487</v>
      </c>
      <c r="B1248" s="17" t="n">
        <f aca="false">Bank_Statement!B488</f>
        <v>45880</v>
      </c>
      <c r="C1248" s="18" t="n">
        <f aca="false">Bank_Statement!C488</f>
        <v>-4155.49</v>
      </c>
      <c r="D1248" s="16" t="str">
        <f aca="false">Bank_Statement!D488</f>
        <v>PMT-V1027</v>
      </c>
      <c r="E1248" s="16" t="str">
        <f aca="false">Bank_Statement!E488</f>
        <v>PAY40487</v>
      </c>
      <c r="F1248" s="16" t="str">
        <f aca="false">IF(E1248="","N/A",IF(COUNTIF(Payment_Log_AP!$A$2:$A$753,E1248)&gt;0,"Yes","No"))</f>
        <v>Yes</v>
      </c>
      <c r="G1248" s="16" t="str">
        <f aca="false">IF(E1248="","Unexplained Bank Item (fee/other - review)",IF(F1248="Yes","Matched","Payment Reference Not Found in AP Log"))</f>
        <v>Matched</v>
      </c>
    </row>
    <row r="1249" customFormat="false" ht="15" hidden="false" customHeight="false" outlineLevel="0" collapsed="false">
      <c r="A1249" s="16" t="str">
        <f aca="false">Bank_Statement!A489</f>
        <v>BNK50488</v>
      </c>
      <c r="B1249" s="17" t="n">
        <f aca="false">Bank_Statement!B489</f>
        <v>45988</v>
      </c>
      <c r="C1249" s="18" t="n">
        <f aca="false">Bank_Statement!C489</f>
        <v>-813.95</v>
      </c>
      <c r="D1249" s="16" t="str">
        <f aca="false">Bank_Statement!D489</f>
        <v>PMT-V1028</v>
      </c>
      <c r="E1249" s="16" t="str">
        <f aca="false">Bank_Statement!E489</f>
        <v>PAY40488</v>
      </c>
      <c r="F1249" s="16" t="str">
        <f aca="false">IF(E1249="","N/A",IF(COUNTIF(Payment_Log_AP!$A$2:$A$753,E1249)&gt;0,"Yes","No"))</f>
        <v>Yes</v>
      </c>
      <c r="G1249" s="16" t="str">
        <f aca="false">IF(E1249="","Unexplained Bank Item (fee/other - review)",IF(F1249="Yes","Matched","Payment Reference Not Found in AP Log"))</f>
        <v>Matched</v>
      </c>
    </row>
    <row r="1250" customFormat="false" ht="15" hidden="false" customHeight="false" outlineLevel="0" collapsed="false">
      <c r="A1250" s="16" t="str">
        <f aca="false">Bank_Statement!A490</f>
        <v>BNK50489</v>
      </c>
      <c r="B1250" s="17" t="n">
        <f aca="false">Bank_Statement!B490</f>
        <v>46023</v>
      </c>
      <c r="C1250" s="18" t="n">
        <f aca="false">Bank_Statement!C490</f>
        <v>-219.09</v>
      </c>
      <c r="D1250" s="16" t="str">
        <f aca="false">Bank_Statement!D490</f>
        <v>PMT-V1021</v>
      </c>
      <c r="E1250" s="16" t="str">
        <f aca="false">Bank_Statement!E490</f>
        <v>PAY40489</v>
      </c>
      <c r="F1250" s="16" t="str">
        <f aca="false">IF(E1250="","N/A",IF(COUNTIF(Payment_Log_AP!$A$2:$A$753,E1250)&gt;0,"Yes","No"))</f>
        <v>Yes</v>
      </c>
      <c r="G1250" s="16" t="str">
        <f aca="false">IF(E1250="","Unexplained Bank Item (fee/other - review)",IF(F1250="Yes","Matched","Payment Reference Not Found in AP Log"))</f>
        <v>Matched</v>
      </c>
    </row>
    <row r="1251" customFormat="false" ht="15" hidden="false" customHeight="false" outlineLevel="0" collapsed="false">
      <c r="A1251" s="16" t="str">
        <f aca="false">Bank_Statement!A491</f>
        <v>BNK50490</v>
      </c>
      <c r="B1251" s="17" t="n">
        <f aca="false">Bank_Statement!B491</f>
        <v>45911</v>
      </c>
      <c r="C1251" s="18" t="n">
        <f aca="false">Bank_Statement!C491</f>
        <v>-313.99</v>
      </c>
      <c r="D1251" s="16" t="str">
        <f aca="false">Bank_Statement!D491</f>
        <v>PMT-V1018</v>
      </c>
      <c r="E1251" s="16" t="str">
        <f aca="false">Bank_Statement!E491</f>
        <v>PAY40490</v>
      </c>
      <c r="F1251" s="16" t="str">
        <f aca="false">IF(E1251="","N/A",IF(COUNTIF(Payment_Log_AP!$A$2:$A$753,E1251)&gt;0,"Yes","No"))</f>
        <v>Yes</v>
      </c>
      <c r="G1251" s="16" t="str">
        <f aca="false">IF(E1251="","Unexplained Bank Item (fee/other - review)",IF(F1251="Yes","Matched","Payment Reference Not Found in AP Log"))</f>
        <v>Matched</v>
      </c>
    </row>
    <row r="1252" customFormat="false" ht="15" hidden="false" customHeight="false" outlineLevel="0" collapsed="false">
      <c r="A1252" s="16" t="str">
        <f aca="false">Bank_Statement!A492</f>
        <v>BNK50491</v>
      </c>
      <c r="B1252" s="17" t="n">
        <f aca="false">Bank_Statement!B492</f>
        <v>45914</v>
      </c>
      <c r="C1252" s="18" t="n">
        <f aca="false">Bank_Statement!C492</f>
        <v>-313.99</v>
      </c>
      <c r="D1252" s="16" t="str">
        <f aca="false">Bank_Statement!D492</f>
        <v>PMT-V1018</v>
      </c>
      <c r="E1252" s="16" t="str">
        <f aca="false">Bank_Statement!E492</f>
        <v>PAY40491</v>
      </c>
      <c r="F1252" s="16" t="str">
        <f aca="false">IF(E1252="","N/A",IF(COUNTIF(Payment_Log_AP!$A$2:$A$753,E1252)&gt;0,"Yes","No"))</f>
        <v>Yes</v>
      </c>
      <c r="G1252" s="16" t="str">
        <f aca="false">IF(E1252="","Unexplained Bank Item (fee/other - review)",IF(F1252="Yes","Matched","Payment Reference Not Found in AP Log"))</f>
        <v>Matched</v>
      </c>
    </row>
    <row r="1253" customFormat="false" ht="15" hidden="false" customHeight="false" outlineLevel="0" collapsed="false">
      <c r="A1253" s="16" t="str">
        <f aca="false">Bank_Statement!A493</f>
        <v>BNK50492</v>
      </c>
      <c r="B1253" s="17" t="n">
        <f aca="false">Bank_Statement!B493</f>
        <v>45820</v>
      </c>
      <c r="C1253" s="18" t="n">
        <f aca="false">Bank_Statement!C493</f>
        <v>-7086.46</v>
      </c>
      <c r="D1253" s="16" t="str">
        <f aca="false">Bank_Statement!D493</f>
        <v>PMT-V1005</v>
      </c>
      <c r="E1253" s="16" t="str">
        <f aca="false">Bank_Statement!E493</f>
        <v>PAY40492</v>
      </c>
      <c r="F1253" s="16" t="str">
        <f aca="false">IF(E1253="","N/A",IF(COUNTIF(Payment_Log_AP!$A$2:$A$753,E1253)&gt;0,"Yes","No"))</f>
        <v>Yes</v>
      </c>
      <c r="G1253" s="16" t="str">
        <f aca="false">IF(E1253="","Unexplained Bank Item (fee/other - review)",IF(F1253="Yes","Matched","Payment Reference Not Found in AP Log"))</f>
        <v>Matched</v>
      </c>
    </row>
    <row r="1254" customFormat="false" ht="15" hidden="false" customHeight="false" outlineLevel="0" collapsed="false">
      <c r="A1254" s="16" t="str">
        <f aca="false">Bank_Statement!A494</f>
        <v>BNK50493</v>
      </c>
      <c r="B1254" s="17" t="n">
        <f aca="false">Bank_Statement!B494</f>
        <v>45808</v>
      </c>
      <c r="C1254" s="18" t="n">
        <f aca="false">Bank_Statement!C494</f>
        <v>-745.67</v>
      </c>
      <c r="D1254" s="16" t="str">
        <f aca="false">Bank_Statement!D494</f>
        <v>PMT-V1005</v>
      </c>
      <c r="E1254" s="16" t="str">
        <f aca="false">Bank_Statement!E494</f>
        <v>PAY40493</v>
      </c>
      <c r="F1254" s="16" t="str">
        <f aca="false">IF(E1254="","N/A",IF(COUNTIF(Payment_Log_AP!$A$2:$A$753,E1254)&gt;0,"Yes","No"))</f>
        <v>Yes</v>
      </c>
      <c r="G1254" s="16" t="str">
        <f aca="false">IF(E1254="","Unexplained Bank Item (fee/other - review)",IF(F1254="Yes","Matched","Payment Reference Not Found in AP Log"))</f>
        <v>Matched</v>
      </c>
    </row>
    <row r="1255" customFormat="false" ht="15" hidden="false" customHeight="false" outlineLevel="0" collapsed="false">
      <c r="A1255" s="16" t="str">
        <f aca="false">Bank_Statement!A495</f>
        <v>BNK50494</v>
      </c>
      <c r="B1255" s="17" t="n">
        <f aca="false">Bank_Statement!B495</f>
        <v>45808</v>
      </c>
      <c r="C1255" s="18" t="n">
        <f aca="false">Bank_Statement!C495</f>
        <v>-745.67</v>
      </c>
      <c r="D1255" s="16" t="str">
        <f aca="false">Bank_Statement!D495</f>
        <v>PMT-V1005</v>
      </c>
      <c r="E1255" s="16" t="str">
        <f aca="false">Bank_Statement!E495</f>
        <v>PAY40494</v>
      </c>
      <c r="F1255" s="16" t="str">
        <f aca="false">IF(E1255="","N/A",IF(COUNTIF(Payment_Log_AP!$A$2:$A$753,E1255)&gt;0,"Yes","No"))</f>
        <v>Yes</v>
      </c>
      <c r="G1255" s="16" t="str">
        <f aca="false">IF(E1255="","Unexplained Bank Item (fee/other - review)",IF(F1255="Yes","Matched","Payment Reference Not Found in AP Log"))</f>
        <v>Matched</v>
      </c>
    </row>
    <row r="1256" customFormat="false" ht="15" hidden="false" customHeight="false" outlineLevel="0" collapsed="false">
      <c r="A1256" s="16" t="str">
        <f aca="false">Bank_Statement!A496</f>
        <v>BNK50495</v>
      </c>
      <c r="B1256" s="17" t="n">
        <f aca="false">Bank_Statement!B496</f>
        <v>45898</v>
      </c>
      <c r="C1256" s="18" t="n">
        <f aca="false">Bank_Statement!C496</f>
        <v>-2119.2</v>
      </c>
      <c r="D1256" s="16" t="str">
        <f aca="false">Bank_Statement!D496</f>
        <v>PMT-V1038</v>
      </c>
      <c r="E1256" s="16" t="str">
        <f aca="false">Bank_Statement!E496</f>
        <v>PAY40495</v>
      </c>
      <c r="F1256" s="16" t="str">
        <f aca="false">IF(E1256="","N/A",IF(COUNTIF(Payment_Log_AP!$A$2:$A$753,E1256)&gt;0,"Yes","No"))</f>
        <v>Yes</v>
      </c>
      <c r="G1256" s="16" t="str">
        <f aca="false">IF(E1256="","Unexplained Bank Item (fee/other - review)",IF(F1256="Yes","Matched","Payment Reference Not Found in AP Log"))</f>
        <v>Matched</v>
      </c>
    </row>
    <row r="1257" customFormat="false" ht="15" hidden="false" customHeight="false" outlineLevel="0" collapsed="false">
      <c r="A1257" s="16" t="str">
        <f aca="false">Bank_Statement!A497</f>
        <v>BNK50496</v>
      </c>
      <c r="B1257" s="17" t="n">
        <f aca="false">Bank_Statement!B497</f>
        <v>45948</v>
      </c>
      <c r="C1257" s="18" t="n">
        <f aca="false">Bank_Statement!C497</f>
        <v>-202.78</v>
      </c>
      <c r="D1257" s="16" t="str">
        <f aca="false">Bank_Statement!D497</f>
        <v>PMT-V1015</v>
      </c>
      <c r="E1257" s="16" t="str">
        <f aca="false">Bank_Statement!E497</f>
        <v>PAY40496</v>
      </c>
      <c r="F1257" s="16" t="str">
        <f aca="false">IF(E1257="","N/A",IF(COUNTIF(Payment_Log_AP!$A$2:$A$753,E1257)&gt;0,"Yes","No"))</f>
        <v>Yes</v>
      </c>
      <c r="G1257" s="16" t="str">
        <f aca="false">IF(E1257="","Unexplained Bank Item (fee/other - review)",IF(F1257="Yes","Matched","Payment Reference Not Found in AP Log"))</f>
        <v>Matched</v>
      </c>
    </row>
    <row r="1258" customFormat="false" ht="15" hidden="false" customHeight="false" outlineLevel="0" collapsed="false">
      <c r="A1258" s="16" t="str">
        <f aca="false">Bank_Statement!A498</f>
        <v>BNK50497</v>
      </c>
      <c r="B1258" s="17" t="n">
        <f aca="false">Bank_Statement!B498</f>
        <v>45817</v>
      </c>
      <c r="C1258" s="18" t="n">
        <f aca="false">Bank_Statement!C498</f>
        <v>-1869.57</v>
      </c>
      <c r="D1258" s="16" t="str">
        <f aca="false">Bank_Statement!D498</f>
        <v>PMT-V1023</v>
      </c>
      <c r="E1258" s="16" t="str">
        <f aca="false">Bank_Statement!E498</f>
        <v>PAY40497</v>
      </c>
      <c r="F1258" s="16" t="str">
        <f aca="false">IF(E1258="","N/A",IF(COUNTIF(Payment_Log_AP!$A$2:$A$753,E1258)&gt;0,"Yes","No"))</f>
        <v>Yes</v>
      </c>
      <c r="G1258" s="16" t="str">
        <f aca="false">IF(E1258="","Unexplained Bank Item (fee/other - review)",IF(F1258="Yes","Matched","Payment Reference Not Found in AP Log"))</f>
        <v>Matched</v>
      </c>
    </row>
    <row r="1259" customFormat="false" ht="15" hidden="false" customHeight="false" outlineLevel="0" collapsed="false">
      <c r="A1259" s="16" t="str">
        <f aca="false">Bank_Statement!A499</f>
        <v>BNK50498</v>
      </c>
      <c r="B1259" s="17" t="n">
        <f aca="false">Bank_Statement!B499</f>
        <v>46020</v>
      </c>
      <c r="C1259" s="18" t="n">
        <f aca="false">Bank_Statement!C499</f>
        <v>-1002.81</v>
      </c>
      <c r="D1259" s="16" t="str">
        <f aca="false">Bank_Statement!D499</f>
        <v>PMT-V1012</v>
      </c>
      <c r="E1259" s="16" t="str">
        <f aca="false">Bank_Statement!E499</f>
        <v>PAY40498</v>
      </c>
      <c r="F1259" s="16" t="str">
        <f aca="false">IF(E1259="","N/A",IF(COUNTIF(Payment_Log_AP!$A$2:$A$753,E1259)&gt;0,"Yes","No"))</f>
        <v>Yes</v>
      </c>
      <c r="G1259" s="16" t="str">
        <f aca="false">IF(E1259="","Unexplained Bank Item (fee/other - review)",IF(F1259="Yes","Matched","Payment Reference Not Found in AP Log"))</f>
        <v>Matched</v>
      </c>
    </row>
    <row r="1260" customFormat="false" ht="15" hidden="false" customHeight="false" outlineLevel="0" collapsed="false">
      <c r="A1260" s="16" t="str">
        <f aca="false">Bank_Statement!A500</f>
        <v>BNK50499</v>
      </c>
      <c r="B1260" s="17" t="n">
        <f aca="false">Bank_Statement!B500</f>
        <v>45990</v>
      </c>
      <c r="C1260" s="18" t="n">
        <f aca="false">Bank_Statement!C500</f>
        <v>-829.86</v>
      </c>
      <c r="D1260" s="16" t="str">
        <f aca="false">Bank_Statement!D500</f>
        <v>PMT-V1019</v>
      </c>
      <c r="E1260" s="16" t="str">
        <f aca="false">Bank_Statement!E500</f>
        <v>PAY40499</v>
      </c>
      <c r="F1260" s="16" t="str">
        <f aca="false">IF(E1260="","N/A",IF(COUNTIF(Payment_Log_AP!$A$2:$A$753,E1260)&gt;0,"Yes","No"))</f>
        <v>Yes</v>
      </c>
      <c r="G1260" s="16" t="str">
        <f aca="false">IF(E1260="","Unexplained Bank Item (fee/other - review)",IF(F1260="Yes","Matched","Payment Reference Not Found in AP Log"))</f>
        <v>Matched</v>
      </c>
    </row>
    <row r="1261" customFormat="false" ht="15" hidden="false" customHeight="false" outlineLevel="0" collapsed="false">
      <c r="A1261" s="16" t="str">
        <f aca="false">Bank_Statement!A501</f>
        <v>BNK50500</v>
      </c>
      <c r="B1261" s="17" t="n">
        <f aca="false">Bank_Statement!B501</f>
        <v>45844</v>
      </c>
      <c r="C1261" s="18" t="n">
        <f aca="false">Bank_Statement!C501</f>
        <v>-3096.07</v>
      </c>
      <c r="D1261" s="16" t="str">
        <f aca="false">Bank_Statement!D501</f>
        <v>PMT-V1028</v>
      </c>
      <c r="E1261" s="16" t="str">
        <f aca="false">Bank_Statement!E501</f>
        <v>PAY40500</v>
      </c>
      <c r="F1261" s="16" t="str">
        <f aca="false">IF(E1261="","N/A",IF(COUNTIF(Payment_Log_AP!$A$2:$A$753,E1261)&gt;0,"Yes","No"))</f>
        <v>Yes</v>
      </c>
      <c r="G1261" s="16" t="str">
        <f aca="false">IF(E1261="","Unexplained Bank Item (fee/other - review)",IF(F1261="Yes","Matched","Payment Reference Not Found in AP Log"))</f>
        <v>Matched</v>
      </c>
    </row>
    <row r="1262" customFormat="false" ht="15" hidden="false" customHeight="false" outlineLevel="0" collapsed="false">
      <c r="A1262" s="16" t="str">
        <f aca="false">Bank_Statement!A502</f>
        <v>BNK50501</v>
      </c>
      <c r="B1262" s="17" t="n">
        <f aca="false">Bank_Statement!B502</f>
        <v>46064</v>
      </c>
      <c r="C1262" s="18" t="n">
        <f aca="false">Bank_Statement!C502</f>
        <v>-1462.27</v>
      </c>
      <c r="D1262" s="16" t="str">
        <f aca="false">Bank_Statement!D502</f>
        <v>PMT-V1003</v>
      </c>
      <c r="E1262" s="16" t="str">
        <f aca="false">Bank_Statement!E502</f>
        <v>PAY40501</v>
      </c>
      <c r="F1262" s="16" t="str">
        <f aca="false">IF(E1262="","N/A",IF(COUNTIF(Payment_Log_AP!$A$2:$A$753,E1262)&gt;0,"Yes","No"))</f>
        <v>Yes</v>
      </c>
      <c r="G1262" s="16" t="str">
        <f aca="false">IF(E1262="","Unexplained Bank Item (fee/other - review)",IF(F1262="Yes","Matched","Payment Reference Not Found in AP Log"))</f>
        <v>Matched</v>
      </c>
    </row>
    <row r="1263" customFormat="false" ht="15" hidden="false" customHeight="false" outlineLevel="0" collapsed="false">
      <c r="A1263" s="16" t="str">
        <f aca="false">Bank_Statement!A503</f>
        <v>BNK50502</v>
      </c>
      <c r="B1263" s="17" t="n">
        <f aca="false">Bank_Statement!B503</f>
        <v>45848</v>
      </c>
      <c r="C1263" s="18" t="n">
        <f aca="false">Bank_Statement!C503</f>
        <v>-1476.77</v>
      </c>
      <c r="D1263" s="16" t="str">
        <f aca="false">Bank_Statement!D503</f>
        <v>PMT-V1023</v>
      </c>
      <c r="E1263" s="16" t="str">
        <f aca="false">Bank_Statement!E503</f>
        <v>PAY40502</v>
      </c>
      <c r="F1263" s="16" t="str">
        <f aca="false">IF(E1263="","N/A",IF(COUNTIF(Payment_Log_AP!$A$2:$A$753,E1263)&gt;0,"Yes","No"))</f>
        <v>Yes</v>
      </c>
      <c r="G1263" s="16" t="str">
        <f aca="false">IF(E1263="","Unexplained Bank Item (fee/other - review)",IF(F1263="Yes","Matched","Payment Reference Not Found in AP Log"))</f>
        <v>Matched</v>
      </c>
    </row>
    <row r="1264" customFormat="false" ht="15" hidden="false" customHeight="false" outlineLevel="0" collapsed="false">
      <c r="A1264" s="16" t="str">
        <f aca="false">Bank_Statement!A504</f>
        <v>BNK50503</v>
      </c>
      <c r="B1264" s="17" t="n">
        <f aca="false">Bank_Statement!B504</f>
        <v>45986</v>
      </c>
      <c r="C1264" s="18" t="n">
        <f aca="false">Bank_Statement!C504</f>
        <v>-3152.95</v>
      </c>
      <c r="D1264" s="16" t="str">
        <f aca="false">Bank_Statement!D504</f>
        <v>PMT-V1036</v>
      </c>
      <c r="E1264" s="16" t="str">
        <f aca="false">Bank_Statement!E504</f>
        <v>PAY40503</v>
      </c>
      <c r="F1264" s="16" t="str">
        <f aca="false">IF(E1264="","N/A",IF(COUNTIF(Payment_Log_AP!$A$2:$A$753,E1264)&gt;0,"Yes","No"))</f>
        <v>Yes</v>
      </c>
      <c r="G1264" s="16" t="str">
        <f aca="false">IF(E1264="","Unexplained Bank Item (fee/other - review)",IF(F1264="Yes","Matched","Payment Reference Not Found in AP Log"))</f>
        <v>Matched</v>
      </c>
    </row>
    <row r="1265" customFormat="false" ht="15" hidden="false" customHeight="false" outlineLevel="0" collapsed="false">
      <c r="A1265" s="16" t="str">
        <f aca="false">Bank_Statement!A505</f>
        <v>BNK50504</v>
      </c>
      <c r="B1265" s="17" t="n">
        <f aca="false">Bank_Statement!B505</f>
        <v>46069</v>
      </c>
      <c r="C1265" s="18" t="n">
        <f aca="false">Bank_Statement!C505</f>
        <v>-3405.2</v>
      </c>
      <c r="D1265" s="16" t="str">
        <f aca="false">Bank_Statement!D505</f>
        <v>PMT-V1003</v>
      </c>
      <c r="E1265" s="16" t="str">
        <f aca="false">Bank_Statement!E505</f>
        <v>PAY40504</v>
      </c>
      <c r="F1265" s="16" t="str">
        <f aca="false">IF(E1265="","N/A",IF(COUNTIF(Payment_Log_AP!$A$2:$A$753,E1265)&gt;0,"Yes","No"))</f>
        <v>Yes</v>
      </c>
      <c r="G1265" s="16" t="str">
        <f aca="false">IF(E1265="","Unexplained Bank Item (fee/other - review)",IF(F1265="Yes","Matched","Payment Reference Not Found in AP Log"))</f>
        <v>Matched</v>
      </c>
    </row>
    <row r="1266" customFormat="false" ht="15" hidden="false" customHeight="false" outlineLevel="0" collapsed="false">
      <c r="A1266" s="16" t="str">
        <f aca="false">Bank_Statement!A506</f>
        <v>BNK50505</v>
      </c>
      <c r="B1266" s="17" t="n">
        <f aca="false">Bank_Statement!B506</f>
        <v>46093</v>
      </c>
      <c r="C1266" s="18" t="n">
        <f aca="false">Bank_Statement!C506</f>
        <v>-290.16</v>
      </c>
      <c r="D1266" s="16" t="str">
        <f aca="false">Bank_Statement!D506</f>
        <v>PMT-V1013</v>
      </c>
      <c r="E1266" s="16" t="str">
        <f aca="false">Bank_Statement!E506</f>
        <v>PAY40505</v>
      </c>
      <c r="F1266" s="16" t="str">
        <f aca="false">IF(E1266="","N/A",IF(COUNTIF(Payment_Log_AP!$A$2:$A$753,E1266)&gt;0,"Yes","No"))</f>
        <v>Yes</v>
      </c>
      <c r="G1266" s="16" t="str">
        <f aca="false">IF(E1266="","Unexplained Bank Item (fee/other - review)",IF(F1266="Yes","Matched","Payment Reference Not Found in AP Log"))</f>
        <v>Matched</v>
      </c>
    </row>
    <row r="1267" customFormat="false" ht="15" hidden="false" customHeight="false" outlineLevel="0" collapsed="false">
      <c r="A1267" s="16" t="str">
        <f aca="false">Bank_Statement!A507</f>
        <v>BNK50506</v>
      </c>
      <c r="B1267" s="17" t="n">
        <f aca="false">Bank_Statement!B507</f>
        <v>45721</v>
      </c>
      <c r="C1267" s="18" t="n">
        <f aca="false">Bank_Statement!C507</f>
        <v>-3177.82</v>
      </c>
      <c r="D1267" s="16" t="str">
        <f aca="false">Bank_Statement!D507</f>
        <v>PMT-V1030</v>
      </c>
      <c r="E1267" s="16" t="str">
        <f aca="false">Bank_Statement!E507</f>
        <v>PAY40506</v>
      </c>
      <c r="F1267" s="16" t="str">
        <f aca="false">IF(E1267="","N/A",IF(COUNTIF(Payment_Log_AP!$A$2:$A$753,E1267)&gt;0,"Yes","No"))</f>
        <v>Yes</v>
      </c>
      <c r="G1267" s="16" t="str">
        <f aca="false">IF(E1267="","Unexplained Bank Item (fee/other - review)",IF(F1267="Yes","Matched","Payment Reference Not Found in AP Log"))</f>
        <v>Matched</v>
      </c>
    </row>
    <row r="1268" customFormat="false" ht="15" hidden="false" customHeight="false" outlineLevel="0" collapsed="false">
      <c r="A1268" s="16" t="str">
        <f aca="false">Bank_Statement!A508</f>
        <v>BNK50507</v>
      </c>
      <c r="B1268" s="17" t="n">
        <f aca="false">Bank_Statement!B508</f>
        <v>45954</v>
      </c>
      <c r="C1268" s="18" t="n">
        <f aca="false">Bank_Statement!C508</f>
        <v>-2363.54</v>
      </c>
      <c r="D1268" s="16" t="str">
        <f aca="false">Bank_Statement!D508</f>
        <v>PMT-V1009</v>
      </c>
      <c r="E1268" s="16" t="str">
        <f aca="false">Bank_Statement!E508</f>
        <v>PAY40507</v>
      </c>
      <c r="F1268" s="16" t="str">
        <f aca="false">IF(E1268="","N/A",IF(COUNTIF(Payment_Log_AP!$A$2:$A$753,E1268)&gt;0,"Yes","No"))</f>
        <v>Yes</v>
      </c>
      <c r="G1268" s="16" t="str">
        <f aca="false">IF(E1268="","Unexplained Bank Item (fee/other - review)",IF(F1268="Yes","Matched","Payment Reference Not Found in AP Log"))</f>
        <v>Matched</v>
      </c>
    </row>
    <row r="1269" customFormat="false" ht="15" hidden="false" customHeight="false" outlineLevel="0" collapsed="false">
      <c r="A1269" s="16" t="str">
        <f aca="false">Bank_Statement!A509</f>
        <v>BNK50508</v>
      </c>
      <c r="B1269" s="17" t="n">
        <f aca="false">Bank_Statement!B509</f>
        <v>46174</v>
      </c>
      <c r="C1269" s="18" t="n">
        <f aca="false">Bank_Statement!C509</f>
        <v>-1328.83</v>
      </c>
      <c r="D1269" s="16" t="str">
        <f aca="false">Bank_Statement!D509</f>
        <v>PMT-V1006</v>
      </c>
      <c r="E1269" s="16" t="str">
        <f aca="false">Bank_Statement!E509</f>
        <v>PAY40508</v>
      </c>
      <c r="F1269" s="16" t="str">
        <f aca="false">IF(E1269="","N/A",IF(COUNTIF(Payment_Log_AP!$A$2:$A$753,E1269)&gt;0,"Yes","No"))</f>
        <v>Yes</v>
      </c>
      <c r="G1269" s="16" t="str">
        <f aca="false">IF(E1269="","Unexplained Bank Item (fee/other - review)",IF(F1269="Yes","Matched","Payment Reference Not Found in AP Log"))</f>
        <v>Matched</v>
      </c>
    </row>
    <row r="1270" customFormat="false" ht="15" hidden="false" customHeight="false" outlineLevel="0" collapsed="false">
      <c r="A1270" s="16" t="str">
        <f aca="false">Bank_Statement!A510</f>
        <v>BNK50509</v>
      </c>
      <c r="B1270" s="17" t="n">
        <f aca="false">Bank_Statement!B510</f>
        <v>45851</v>
      </c>
      <c r="C1270" s="18" t="n">
        <f aca="false">Bank_Statement!C510</f>
        <v>-940.45</v>
      </c>
      <c r="D1270" s="16" t="str">
        <f aca="false">Bank_Statement!D510</f>
        <v>PMT-V1020</v>
      </c>
      <c r="E1270" s="16" t="str">
        <f aca="false">Bank_Statement!E510</f>
        <v>PAY40509</v>
      </c>
      <c r="F1270" s="16" t="str">
        <f aca="false">IF(E1270="","N/A",IF(COUNTIF(Payment_Log_AP!$A$2:$A$753,E1270)&gt;0,"Yes","No"))</f>
        <v>Yes</v>
      </c>
      <c r="G1270" s="16" t="str">
        <f aca="false">IF(E1270="","Unexplained Bank Item (fee/other - review)",IF(F1270="Yes","Matched","Payment Reference Not Found in AP Log"))</f>
        <v>Matched</v>
      </c>
    </row>
    <row r="1271" customFormat="false" ht="15" hidden="false" customHeight="false" outlineLevel="0" collapsed="false">
      <c r="A1271" s="16" t="str">
        <f aca="false">Bank_Statement!A511</f>
        <v>BNK50510</v>
      </c>
      <c r="B1271" s="17" t="n">
        <f aca="false">Bank_Statement!B511</f>
        <v>46106</v>
      </c>
      <c r="C1271" s="18" t="n">
        <f aca="false">Bank_Statement!C511</f>
        <v>-3318.83</v>
      </c>
      <c r="D1271" s="16" t="str">
        <f aca="false">Bank_Statement!D511</f>
        <v>PMT-V1036</v>
      </c>
      <c r="E1271" s="16" t="str">
        <f aca="false">Bank_Statement!E511</f>
        <v>PAY40510</v>
      </c>
      <c r="F1271" s="16" t="str">
        <f aca="false">IF(E1271="","N/A",IF(COUNTIF(Payment_Log_AP!$A$2:$A$753,E1271)&gt;0,"Yes","No"))</f>
        <v>Yes</v>
      </c>
      <c r="G1271" s="16" t="str">
        <f aca="false">IF(E1271="","Unexplained Bank Item (fee/other - review)",IF(F1271="Yes","Matched","Payment Reference Not Found in AP Log"))</f>
        <v>Matched</v>
      </c>
    </row>
    <row r="1272" customFormat="false" ht="15" hidden="false" customHeight="false" outlineLevel="0" collapsed="false">
      <c r="A1272" s="16" t="str">
        <f aca="false">Bank_Statement!A512</f>
        <v>BNK50511</v>
      </c>
      <c r="B1272" s="17" t="n">
        <f aca="false">Bank_Statement!B512</f>
        <v>46023</v>
      </c>
      <c r="C1272" s="18" t="n">
        <f aca="false">Bank_Statement!C512</f>
        <v>-2949.36</v>
      </c>
      <c r="D1272" s="16" t="str">
        <f aca="false">Bank_Statement!D512</f>
        <v>PMT-V1007</v>
      </c>
      <c r="E1272" s="16" t="str">
        <f aca="false">Bank_Statement!E512</f>
        <v>PAY40511</v>
      </c>
      <c r="F1272" s="16" t="str">
        <f aca="false">IF(E1272="","N/A",IF(COUNTIF(Payment_Log_AP!$A$2:$A$753,E1272)&gt;0,"Yes","No"))</f>
        <v>Yes</v>
      </c>
      <c r="G1272" s="16" t="str">
        <f aca="false">IF(E1272="","Unexplained Bank Item (fee/other - review)",IF(F1272="Yes","Matched","Payment Reference Not Found in AP Log"))</f>
        <v>Matched</v>
      </c>
    </row>
    <row r="1273" customFormat="false" ht="15" hidden="false" customHeight="false" outlineLevel="0" collapsed="false">
      <c r="A1273" s="16" t="str">
        <f aca="false">Bank_Statement!A513</f>
        <v>BNK50512</v>
      </c>
      <c r="B1273" s="17" t="n">
        <f aca="false">Bank_Statement!B513</f>
        <v>45865</v>
      </c>
      <c r="C1273" s="18" t="n">
        <f aca="false">Bank_Statement!C513</f>
        <v>-1733.53</v>
      </c>
      <c r="D1273" s="16" t="str">
        <f aca="false">Bank_Statement!D513</f>
        <v>PMT-V1008</v>
      </c>
      <c r="E1273" s="16" t="str">
        <f aca="false">Bank_Statement!E513</f>
        <v>PAY40512</v>
      </c>
      <c r="F1273" s="16" t="str">
        <f aca="false">IF(E1273="","N/A",IF(COUNTIF(Payment_Log_AP!$A$2:$A$753,E1273)&gt;0,"Yes","No"))</f>
        <v>Yes</v>
      </c>
      <c r="G1273" s="16" t="str">
        <f aca="false">IF(E1273="","Unexplained Bank Item (fee/other - review)",IF(F1273="Yes","Matched","Payment Reference Not Found in AP Log"))</f>
        <v>Matched</v>
      </c>
    </row>
    <row r="1274" customFormat="false" ht="15" hidden="false" customHeight="false" outlineLevel="0" collapsed="false">
      <c r="A1274" s="16" t="str">
        <f aca="false">Bank_Statement!A514</f>
        <v>BNK50513</v>
      </c>
      <c r="B1274" s="17" t="n">
        <f aca="false">Bank_Statement!B514</f>
        <v>46042</v>
      </c>
      <c r="C1274" s="18" t="n">
        <f aca="false">Bank_Statement!C514</f>
        <v>-2308.67</v>
      </c>
      <c r="D1274" s="16" t="str">
        <f aca="false">Bank_Statement!D514</f>
        <v>PMT-V1035</v>
      </c>
      <c r="E1274" s="16" t="str">
        <f aca="false">Bank_Statement!E514</f>
        <v>PAY40513</v>
      </c>
      <c r="F1274" s="16" t="str">
        <f aca="false">IF(E1274="","N/A",IF(COUNTIF(Payment_Log_AP!$A$2:$A$753,E1274)&gt;0,"Yes","No"))</f>
        <v>Yes</v>
      </c>
      <c r="G1274" s="16" t="str">
        <f aca="false">IF(E1274="","Unexplained Bank Item (fee/other - review)",IF(F1274="Yes","Matched","Payment Reference Not Found in AP Log"))</f>
        <v>Matched</v>
      </c>
    </row>
    <row r="1275" customFormat="false" ht="15" hidden="false" customHeight="false" outlineLevel="0" collapsed="false">
      <c r="A1275" s="16" t="str">
        <f aca="false">Bank_Statement!A515</f>
        <v>BNK50514</v>
      </c>
      <c r="B1275" s="17" t="n">
        <f aca="false">Bank_Statement!B515</f>
        <v>46045</v>
      </c>
      <c r="C1275" s="18" t="n">
        <f aca="false">Bank_Statement!C515</f>
        <v>-3697.76</v>
      </c>
      <c r="D1275" s="16" t="str">
        <f aca="false">Bank_Statement!D515</f>
        <v>PMT-V1029</v>
      </c>
      <c r="E1275" s="16" t="str">
        <f aca="false">Bank_Statement!E515</f>
        <v>PAY40514</v>
      </c>
      <c r="F1275" s="16" t="str">
        <f aca="false">IF(E1275="","N/A",IF(COUNTIF(Payment_Log_AP!$A$2:$A$753,E1275)&gt;0,"Yes","No"))</f>
        <v>Yes</v>
      </c>
      <c r="G1275" s="16" t="str">
        <f aca="false">IF(E1275="","Unexplained Bank Item (fee/other - review)",IF(F1275="Yes","Matched","Payment Reference Not Found in AP Log"))</f>
        <v>Matched</v>
      </c>
    </row>
    <row r="1276" customFormat="false" ht="15" hidden="false" customHeight="false" outlineLevel="0" collapsed="false">
      <c r="A1276" s="16" t="str">
        <f aca="false">Bank_Statement!A516</f>
        <v>BNK50515</v>
      </c>
      <c r="B1276" s="17" t="n">
        <f aca="false">Bank_Statement!B516</f>
        <v>46078</v>
      </c>
      <c r="C1276" s="18" t="n">
        <f aca="false">Bank_Statement!C516</f>
        <v>-1532.53</v>
      </c>
      <c r="D1276" s="16" t="str">
        <f aca="false">Bank_Statement!D516</f>
        <v>PMT-V1013</v>
      </c>
      <c r="E1276" s="16" t="str">
        <f aca="false">Bank_Statement!E516</f>
        <v>PAY40515</v>
      </c>
      <c r="F1276" s="16" t="str">
        <f aca="false">IF(E1276="","N/A",IF(COUNTIF(Payment_Log_AP!$A$2:$A$753,E1276)&gt;0,"Yes","No"))</f>
        <v>Yes</v>
      </c>
      <c r="G1276" s="16" t="str">
        <f aca="false">IF(E1276="","Unexplained Bank Item (fee/other - review)",IF(F1276="Yes","Matched","Payment Reference Not Found in AP Log"))</f>
        <v>Matched</v>
      </c>
    </row>
    <row r="1277" customFormat="false" ht="15" hidden="false" customHeight="false" outlineLevel="0" collapsed="false">
      <c r="A1277" s="16" t="str">
        <f aca="false">Bank_Statement!A517</f>
        <v>BNK50516</v>
      </c>
      <c r="B1277" s="17" t="n">
        <f aca="false">Bank_Statement!B517</f>
        <v>46105</v>
      </c>
      <c r="C1277" s="18" t="n">
        <f aca="false">Bank_Statement!C517</f>
        <v>-354.2</v>
      </c>
      <c r="D1277" s="16" t="str">
        <f aca="false">Bank_Statement!D517</f>
        <v>PMT-V1018</v>
      </c>
      <c r="E1277" s="16" t="str">
        <f aca="false">Bank_Statement!E517</f>
        <v>PAY40516</v>
      </c>
      <c r="F1277" s="16" t="str">
        <f aca="false">IF(E1277="","N/A",IF(COUNTIF(Payment_Log_AP!$A$2:$A$753,E1277)&gt;0,"Yes","No"))</f>
        <v>Yes</v>
      </c>
      <c r="G1277" s="16" t="str">
        <f aca="false">IF(E1277="","Unexplained Bank Item (fee/other - review)",IF(F1277="Yes","Matched","Payment Reference Not Found in AP Log"))</f>
        <v>Matched</v>
      </c>
    </row>
    <row r="1278" customFormat="false" ht="15" hidden="false" customHeight="false" outlineLevel="0" collapsed="false">
      <c r="A1278" s="16" t="str">
        <f aca="false">Bank_Statement!A518</f>
        <v>BNK50517</v>
      </c>
      <c r="B1278" s="17" t="n">
        <f aca="false">Bank_Statement!B518</f>
        <v>46055</v>
      </c>
      <c r="C1278" s="18" t="n">
        <f aca="false">Bank_Statement!C518</f>
        <v>-1077.17</v>
      </c>
      <c r="D1278" s="16" t="str">
        <f aca="false">Bank_Statement!D518</f>
        <v>PMT-V1021</v>
      </c>
      <c r="E1278" s="16" t="str">
        <f aca="false">Bank_Statement!E518</f>
        <v>PAY40517</v>
      </c>
      <c r="F1278" s="16" t="str">
        <f aca="false">IF(E1278="","N/A",IF(COUNTIF(Payment_Log_AP!$A$2:$A$753,E1278)&gt;0,"Yes","No"))</f>
        <v>Yes</v>
      </c>
      <c r="G1278" s="16" t="str">
        <f aca="false">IF(E1278="","Unexplained Bank Item (fee/other - review)",IF(F1278="Yes","Matched","Payment Reference Not Found in AP Log"))</f>
        <v>Matched</v>
      </c>
    </row>
    <row r="1279" customFormat="false" ht="15" hidden="false" customHeight="false" outlineLevel="0" collapsed="false">
      <c r="A1279" s="16" t="str">
        <f aca="false">Bank_Statement!A519</f>
        <v>BNK50518</v>
      </c>
      <c r="B1279" s="17" t="n">
        <f aca="false">Bank_Statement!B519</f>
        <v>46149</v>
      </c>
      <c r="C1279" s="18" t="n">
        <f aca="false">Bank_Statement!C519</f>
        <v>-968.37</v>
      </c>
      <c r="D1279" s="16" t="str">
        <f aca="false">Bank_Statement!D519</f>
        <v>PMT-V1015</v>
      </c>
      <c r="E1279" s="16" t="str">
        <f aca="false">Bank_Statement!E519</f>
        <v>PAY40518</v>
      </c>
      <c r="F1279" s="16" t="str">
        <f aca="false">IF(E1279="","N/A",IF(COUNTIF(Payment_Log_AP!$A$2:$A$753,E1279)&gt;0,"Yes","No"))</f>
        <v>Yes</v>
      </c>
      <c r="G1279" s="16" t="str">
        <f aca="false">IF(E1279="","Unexplained Bank Item (fee/other - review)",IF(F1279="Yes","Matched","Payment Reference Not Found in AP Log"))</f>
        <v>Matched</v>
      </c>
    </row>
    <row r="1280" customFormat="false" ht="15" hidden="false" customHeight="false" outlineLevel="0" collapsed="false">
      <c r="A1280" s="16" t="str">
        <f aca="false">Bank_Statement!A520</f>
        <v>BNK50519</v>
      </c>
      <c r="B1280" s="17" t="n">
        <f aca="false">Bank_Statement!B520</f>
        <v>46030</v>
      </c>
      <c r="C1280" s="18" t="n">
        <f aca="false">Bank_Statement!C520</f>
        <v>-1370.11</v>
      </c>
      <c r="D1280" s="16" t="str">
        <f aca="false">Bank_Statement!D520</f>
        <v>PMT-V1005</v>
      </c>
      <c r="E1280" s="16" t="str">
        <f aca="false">Bank_Statement!E520</f>
        <v>PAY40519</v>
      </c>
      <c r="F1280" s="16" t="str">
        <f aca="false">IF(E1280="","N/A",IF(COUNTIF(Payment_Log_AP!$A$2:$A$753,E1280)&gt;0,"Yes","No"))</f>
        <v>Yes</v>
      </c>
      <c r="G1280" s="16" t="str">
        <f aca="false">IF(E1280="","Unexplained Bank Item (fee/other - review)",IF(F1280="Yes","Matched","Payment Reference Not Found in AP Log"))</f>
        <v>Matched</v>
      </c>
    </row>
    <row r="1281" customFormat="false" ht="15" hidden="false" customHeight="false" outlineLevel="0" collapsed="false">
      <c r="A1281" s="16" t="str">
        <f aca="false">Bank_Statement!A521</f>
        <v>BNK50520</v>
      </c>
      <c r="B1281" s="17" t="n">
        <f aca="false">Bank_Statement!B521</f>
        <v>46018</v>
      </c>
      <c r="C1281" s="18" t="n">
        <f aca="false">Bank_Statement!C521</f>
        <v>-3138.5</v>
      </c>
      <c r="D1281" s="16" t="str">
        <f aca="false">Bank_Statement!D521</f>
        <v>PMT-V1030</v>
      </c>
      <c r="E1281" s="16" t="str">
        <f aca="false">Bank_Statement!E521</f>
        <v>PAY40520</v>
      </c>
      <c r="F1281" s="16" t="str">
        <f aca="false">IF(E1281="","N/A",IF(COUNTIF(Payment_Log_AP!$A$2:$A$753,E1281)&gt;0,"Yes","No"))</f>
        <v>Yes</v>
      </c>
      <c r="G1281" s="16" t="str">
        <f aca="false">IF(E1281="","Unexplained Bank Item (fee/other - review)",IF(F1281="Yes","Matched","Payment Reference Not Found in AP Log"))</f>
        <v>Matched</v>
      </c>
    </row>
    <row r="1282" customFormat="false" ht="15" hidden="false" customHeight="false" outlineLevel="0" collapsed="false">
      <c r="A1282" s="16" t="str">
        <f aca="false">Bank_Statement!A522</f>
        <v>BNK50521</v>
      </c>
      <c r="B1282" s="17" t="n">
        <f aca="false">Bank_Statement!B522</f>
        <v>45870</v>
      </c>
      <c r="C1282" s="18" t="n">
        <f aca="false">Bank_Statement!C522</f>
        <v>-4085.56</v>
      </c>
      <c r="D1282" s="16" t="str">
        <f aca="false">Bank_Statement!D522</f>
        <v>PMT-V1011</v>
      </c>
      <c r="E1282" s="16" t="str">
        <f aca="false">Bank_Statement!E522</f>
        <v>PAY40521</v>
      </c>
      <c r="F1282" s="16" t="str">
        <f aca="false">IF(E1282="","N/A",IF(COUNTIF(Payment_Log_AP!$A$2:$A$753,E1282)&gt;0,"Yes","No"))</f>
        <v>Yes</v>
      </c>
      <c r="G1282" s="16" t="str">
        <f aca="false">IF(E1282="","Unexplained Bank Item (fee/other - review)",IF(F1282="Yes","Matched","Payment Reference Not Found in AP Log"))</f>
        <v>Matched</v>
      </c>
    </row>
    <row r="1283" customFormat="false" ht="15" hidden="false" customHeight="false" outlineLevel="0" collapsed="false">
      <c r="A1283" s="16" t="str">
        <f aca="false">Bank_Statement!A523</f>
        <v>BNK50522</v>
      </c>
      <c r="B1283" s="17" t="n">
        <f aca="false">Bank_Statement!B523</f>
        <v>45936</v>
      </c>
      <c r="C1283" s="18" t="n">
        <f aca="false">Bank_Statement!C523</f>
        <v>-2086.29</v>
      </c>
      <c r="D1283" s="16" t="str">
        <f aca="false">Bank_Statement!D523</f>
        <v>PMT-V1001</v>
      </c>
      <c r="E1283" s="16" t="str">
        <f aca="false">Bank_Statement!E523</f>
        <v>PAY40522</v>
      </c>
      <c r="F1283" s="16" t="str">
        <f aca="false">IF(E1283="","N/A",IF(COUNTIF(Payment_Log_AP!$A$2:$A$753,E1283)&gt;0,"Yes","No"))</f>
        <v>Yes</v>
      </c>
      <c r="G1283" s="16" t="str">
        <f aca="false">IF(E1283="","Unexplained Bank Item (fee/other - review)",IF(F1283="Yes","Matched","Payment Reference Not Found in AP Log"))</f>
        <v>Matched</v>
      </c>
    </row>
    <row r="1284" customFormat="false" ht="15" hidden="false" customHeight="false" outlineLevel="0" collapsed="false">
      <c r="A1284" s="16" t="str">
        <f aca="false">Bank_Statement!A524</f>
        <v>BNK50523</v>
      </c>
      <c r="B1284" s="17" t="n">
        <f aca="false">Bank_Statement!B524</f>
        <v>46020</v>
      </c>
      <c r="C1284" s="18" t="n">
        <f aca="false">Bank_Statement!C524</f>
        <v>-345.65</v>
      </c>
      <c r="D1284" s="16" t="str">
        <f aca="false">Bank_Statement!D524</f>
        <v>PMT-V1027</v>
      </c>
      <c r="E1284" s="16" t="str">
        <f aca="false">Bank_Statement!E524</f>
        <v>PAY40523</v>
      </c>
      <c r="F1284" s="16" t="str">
        <f aca="false">IF(E1284="","N/A",IF(COUNTIF(Payment_Log_AP!$A$2:$A$753,E1284)&gt;0,"Yes","No"))</f>
        <v>Yes</v>
      </c>
      <c r="G1284" s="16" t="str">
        <f aca="false">IF(E1284="","Unexplained Bank Item (fee/other - review)",IF(F1284="Yes","Matched","Payment Reference Not Found in AP Log"))</f>
        <v>Matched</v>
      </c>
    </row>
    <row r="1285" customFormat="false" ht="15" hidden="false" customHeight="false" outlineLevel="0" collapsed="false">
      <c r="A1285" s="16" t="str">
        <f aca="false">Bank_Statement!A525</f>
        <v>BNK50524</v>
      </c>
      <c r="B1285" s="17" t="n">
        <f aca="false">Bank_Statement!B525</f>
        <v>46082</v>
      </c>
      <c r="C1285" s="18" t="n">
        <f aca="false">Bank_Statement!C525</f>
        <v>-1516.39</v>
      </c>
      <c r="D1285" s="16" t="str">
        <f aca="false">Bank_Statement!D525</f>
        <v>PMT-V1020</v>
      </c>
      <c r="E1285" s="16" t="str">
        <f aca="false">Bank_Statement!E525</f>
        <v>PAY40524</v>
      </c>
      <c r="F1285" s="16" t="str">
        <f aca="false">IF(E1285="","N/A",IF(COUNTIF(Payment_Log_AP!$A$2:$A$753,E1285)&gt;0,"Yes","No"))</f>
        <v>Yes</v>
      </c>
      <c r="G1285" s="16" t="str">
        <f aca="false">IF(E1285="","Unexplained Bank Item (fee/other - review)",IF(F1285="Yes","Matched","Payment Reference Not Found in AP Log"))</f>
        <v>Matched</v>
      </c>
    </row>
    <row r="1286" customFormat="false" ht="15" hidden="false" customHeight="false" outlineLevel="0" collapsed="false">
      <c r="A1286" s="16" t="str">
        <f aca="false">Bank_Statement!A526</f>
        <v>BNK50525</v>
      </c>
      <c r="B1286" s="17" t="n">
        <f aca="false">Bank_Statement!B526</f>
        <v>45748</v>
      </c>
      <c r="C1286" s="18" t="n">
        <f aca="false">Bank_Statement!C526</f>
        <v>-19832.55</v>
      </c>
      <c r="D1286" s="16" t="str">
        <f aca="false">Bank_Statement!D526</f>
        <v>PMT-V1001</v>
      </c>
      <c r="E1286" s="16" t="str">
        <f aca="false">Bank_Statement!E526</f>
        <v>PAY40525</v>
      </c>
      <c r="F1286" s="16" t="str">
        <f aca="false">IF(E1286="","N/A",IF(COUNTIF(Payment_Log_AP!$A$2:$A$753,E1286)&gt;0,"Yes","No"))</f>
        <v>Yes</v>
      </c>
      <c r="G1286" s="16" t="str">
        <f aca="false">IF(E1286="","Unexplained Bank Item (fee/other - review)",IF(F1286="Yes","Matched","Payment Reference Not Found in AP Log"))</f>
        <v>Matched</v>
      </c>
    </row>
    <row r="1287" customFormat="false" ht="15" hidden="false" customHeight="false" outlineLevel="0" collapsed="false">
      <c r="A1287" s="16" t="str">
        <f aca="false">Bank_Statement!A527</f>
        <v>BNK50526</v>
      </c>
      <c r="B1287" s="17" t="n">
        <f aca="false">Bank_Statement!B527</f>
        <v>46119</v>
      </c>
      <c r="C1287" s="18" t="n">
        <f aca="false">Bank_Statement!C527</f>
        <v>-2360.64</v>
      </c>
      <c r="D1287" s="16" t="str">
        <f aca="false">Bank_Statement!D527</f>
        <v>PMT-V1009</v>
      </c>
      <c r="E1287" s="16" t="str">
        <f aca="false">Bank_Statement!E527</f>
        <v>PAY40526</v>
      </c>
      <c r="F1287" s="16" t="str">
        <f aca="false">IF(E1287="","N/A",IF(COUNTIF(Payment_Log_AP!$A$2:$A$753,E1287)&gt;0,"Yes","No"))</f>
        <v>Yes</v>
      </c>
      <c r="G1287" s="16" t="str">
        <f aca="false">IF(E1287="","Unexplained Bank Item (fee/other - review)",IF(F1287="Yes","Matched","Payment Reference Not Found in AP Log"))</f>
        <v>Matched</v>
      </c>
    </row>
    <row r="1288" customFormat="false" ht="15" hidden="false" customHeight="false" outlineLevel="0" collapsed="false">
      <c r="A1288" s="16" t="str">
        <f aca="false">Bank_Statement!A528</f>
        <v>BNK50527</v>
      </c>
      <c r="B1288" s="17" t="n">
        <f aca="false">Bank_Statement!B528</f>
        <v>45782</v>
      </c>
      <c r="C1288" s="18" t="n">
        <f aca="false">Bank_Statement!C528</f>
        <v>-1484.72</v>
      </c>
      <c r="D1288" s="16" t="str">
        <f aca="false">Bank_Statement!D528</f>
        <v>PMT-V1009</v>
      </c>
      <c r="E1288" s="16" t="str">
        <f aca="false">Bank_Statement!E528</f>
        <v>PAY40527</v>
      </c>
      <c r="F1288" s="16" t="str">
        <f aca="false">IF(E1288="","N/A",IF(COUNTIF(Payment_Log_AP!$A$2:$A$753,E1288)&gt;0,"Yes","No"))</f>
        <v>Yes</v>
      </c>
      <c r="G1288" s="16" t="str">
        <f aca="false">IF(E1288="","Unexplained Bank Item (fee/other - review)",IF(F1288="Yes","Matched","Payment Reference Not Found in AP Log"))</f>
        <v>Matched</v>
      </c>
    </row>
    <row r="1289" customFormat="false" ht="15" hidden="false" customHeight="false" outlineLevel="0" collapsed="false">
      <c r="A1289" s="16" t="str">
        <f aca="false">Bank_Statement!A529</f>
        <v>BNK50528</v>
      </c>
      <c r="B1289" s="17" t="n">
        <f aca="false">Bank_Statement!B529</f>
        <v>45772</v>
      </c>
      <c r="C1289" s="18" t="n">
        <f aca="false">Bank_Statement!C529</f>
        <v>-1627.91</v>
      </c>
      <c r="D1289" s="16" t="str">
        <f aca="false">Bank_Statement!D529</f>
        <v>PMT-V1018</v>
      </c>
      <c r="E1289" s="16" t="str">
        <f aca="false">Bank_Statement!E529</f>
        <v>PAY40528</v>
      </c>
      <c r="F1289" s="16" t="str">
        <f aca="false">IF(E1289="","N/A",IF(COUNTIF(Payment_Log_AP!$A$2:$A$753,E1289)&gt;0,"Yes","No"))</f>
        <v>Yes</v>
      </c>
      <c r="G1289" s="16" t="str">
        <f aca="false">IF(E1289="","Unexplained Bank Item (fee/other - review)",IF(F1289="Yes","Matched","Payment Reference Not Found in AP Log"))</f>
        <v>Matched</v>
      </c>
    </row>
    <row r="1290" customFormat="false" ht="15" hidden="false" customHeight="false" outlineLevel="0" collapsed="false">
      <c r="A1290" s="16" t="str">
        <f aca="false">Bank_Statement!A530</f>
        <v>BNK50529</v>
      </c>
      <c r="B1290" s="17" t="n">
        <f aca="false">Bank_Statement!B530</f>
        <v>45981</v>
      </c>
      <c r="C1290" s="18" t="n">
        <f aca="false">Bank_Statement!C530</f>
        <v>-1311.69</v>
      </c>
      <c r="D1290" s="16" t="str">
        <f aca="false">Bank_Statement!D530</f>
        <v>PMT-V1001</v>
      </c>
      <c r="E1290" s="16" t="str">
        <f aca="false">Bank_Statement!E530</f>
        <v>PAY40529</v>
      </c>
      <c r="F1290" s="16" t="str">
        <f aca="false">IF(E1290="","N/A",IF(COUNTIF(Payment_Log_AP!$A$2:$A$753,E1290)&gt;0,"Yes","No"))</f>
        <v>Yes</v>
      </c>
      <c r="G1290" s="16" t="str">
        <f aca="false">IF(E1290="","Unexplained Bank Item (fee/other - review)",IF(F1290="Yes","Matched","Payment Reference Not Found in AP Log"))</f>
        <v>Matched</v>
      </c>
    </row>
    <row r="1291" customFormat="false" ht="15" hidden="false" customHeight="false" outlineLevel="0" collapsed="false">
      <c r="A1291" s="16" t="str">
        <f aca="false">Bank_Statement!A531</f>
        <v>BNK50530</v>
      </c>
      <c r="B1291" s="17" t="n">
        <f aca="false">Bank_Statement!B531</f>
        <v>45973</v>
      </c>
      <c r="C1291" s="18" t="n">
        <f aca="false">Bank_Statement!C531</f>
        <v>-1090.07</v>
      </c>
      <c r="D1291" s="16" t="str">
        <f aca="false">Bank_Statement!D531</f>
        <v>PMT-V1001</v>
      </c>
      <c r="E1291" s="16" t="str">
        <f aca="false">Bank_Statement!E531</f>
        <v>PAY40530</v>
      </c>
      <c r="F1291" s="16" t="str">
        <f aca="false">IF(E1291="","N/A",IF(COUNTIF(Payment_Log_AP!$A$2:$A$753,E1291)&gt;0,"Yes","No"))</f>
        <v>Yes</v>
      </c>
      <c r="G1291" s="16" t="str">
        <f aca="false">IF(E1291="","Unexplained Bank Item (fee/other - review)",IF(F1291="Yes","Matched","Payment Reference Not Found in AP Log"))</f>
        <v>Matched</v>
      </c>
    </row>
    <row r="1292" customFormat="false" ht="15" hidden="false" customHeight="false" outlineLevel="0" collapsed="false">
      <c r="A1292" s="16" t="str">
        <f aca="false">Bank_Statement!A532</f>
        <v>BNK50531</v>
      </c>
      <c r="B1292" s="17" t="n">
        <f aca="false">Bank_Statement!B532</f>
        <v>45984</v>
      </c>
      <c r="C1292" s="18" t="n">
        <f aca="false">Bank_Statement!C532</f>
        <v>-1090.07</v>
      </c>
      <c r="D1292" s="16" t="str">
        <f aca="false">Bank_Statement!D532</f>
        <v>PMT-V1001</v>
      </c>
      <c r="E1292" s="16" t="str">
        <f aca="false">Bank_Statement!E532</f>
        <v>PAY40531</v>
      </c>
      <c r="F1292" s="16" t="str">
        <f aca="false">IF(E1292="","N/A",IF(COUNTIF(Payment_Log_AP!$A$2:$A$753,E1292)&gt;0,"Yes","No"))</f>
        <v>Yes</v>
      </c>
      <c r="G1292" s="16" t="str">
        <f aca="false">IF(E1292="","Unexplained Bank Item (fee/other - review)",IF(F1292="Yes","Matched","Payment Reference Not Found in AP Log"))</f>
        <v>Matched</v>
      </c>
    </row>
    <row r="1293" customFormat="false" ht="15" hidden="false" customHeight="false" outlineLevel="0" collapsed="false">
      <c r="A1293" s="16" t="str">
        <f aca="false">Bank_Statement!A533</f>
        <v>BNK50532</v>
      </c>
      <c r="B1293" s="17" t="n">
        <f aca="false">Bank_Statement!B533</f>
        <v>46117</v>
      </c>
      <c r="C1293" s="18" t="n">
        <f aca="false">Bank_Statement!C533</f>
        <v>-2753.96</v>
      </c>
      <c r="D1293" s="16" t="str">
        <f aca="false">Bank_Statement!D533</f>
        <v>PMT-V1024</v>
      </c>
      <c r="E1293" s="16" t="str">
        <f aca="false">Bank_Statement!E533</f>
        <v>PAY40532</v>
      </c>
      <c r="F1293" s="16" t="str">
        <f aca="false">IF(E1293="","N/A",IF(COUNTIF(Payment_Log_AP!$A$2:$A$753,E1293)&gt;0,"Yes","No"))</f>
        <v>Yes</v>
      </c>
      <c r="G1293" s="16" t="str">
        <f aca="false">IF(E1293="","Unexplained Bank Item (fee/other - review)",IF(F1293="Yes","Matched","Payment Reference Not Found in AP Log"))</f>
        <v>Matched</v>
      </c>
    </row>
    <row r="1294" customFormat="false" ht="15" hidden="false" customHeight="false" outlineLevel="0" collapsed="false">
      <c r="A1294" s="16" t="str">
        <f aca="false">Bank_Statement!A534</f>
        <v>BNK50533</v>
      </c>
      <c r="B1294" s="17" t="n">
        <f aca="false">Bank_Statement!B534</f>
        <v>45806</v>
      </c>
      <c r="C1294" s="18" t="n">
        <f aca="false">Bank_Statement!C534</f>
        <v>-5478.24</v>
      </c>
      <c r="D1294" s="16" t="str">
        <f aca="false">Bank_Statement!D534</f>
        <v>PMT-V1013</v>
      </c>
      <c r="E1294" s="16" t="str">
        <f aca="false">Bank_Statement!E534</f>
        <v>PAY40533</v>
      </c>
      <c r="F1294" s="16" t="str">
        <f aca="false">IF(E1294="","N/A",IF(COUNTIF(Payment_Log_AP!$A$2:$A$753,E1294)&gt;0,"Yes","No"))</f>
        <v>Yes</v>
      </c>
      <c r="G1294" s="16" t="str">
        <f aca="false">IF(E1294="","Unexplained Bank Item (fee/other - review)",IF(F1294="Yes","Matched","Payment Reference Not Found in AP Log"))</f>
        <v>Matched</v>
      </c>
    </row>
    <row r="1295" customFormat="false" ht="15" hidden="false" customHeight="false" outlineLevel="0" collapsed="false">
      <c r="A1295" s="16" t="str">
        <f aca="false">Bank_Statement!A535</f>
        <v>BNK50534</v>
      </c>
      <c r="B1295" s="17" t="n">
        <f aca="false">Bank_Statement!B535</f>
        <v>45814</v>
      </c>
      <c r="C1295" s="18" t="n">
        <f aca="false">Bank_Statement!C535</f>
        <v>-5478.24</v>
      </c>
      <c r="D1295" s="16" t="str">
        <f aca="false">Bank_Statement!D535</f>
        <v>PMT-V1013</v>
      </c>
      <c r="E1295" s="16" t="str">
        <f aca="false">Bank_Statement!E535</f>
        <v>PAY40534</v>
      </c>
      <c r="F1295" s="16" t="str">
        <f aca="false">IF(E1295="","N/A",IF(COUNTIF(Payment_Log_AP!$A$2:$A$753,E1295)&gt;0,"Yes","No"))</f>
        <v>Yes</v>
      </c>
      <c r="G1295" s="16" t="str">
        <f aca="false">IF(E1295="","Unexplained Bank Item (fee/other - review)",IF(F1295="Yes","Matched","Payment Reference Not Found in AP Log"))</f>
        <v>Matched</v>
      </c>
    </row>
    <row r="1296" customFormat="false" ht="15" hidden="false" customHeight="false" outlineLevel="0" collapsed="false">
      <c r="A1296" s="16" t="str">
        <f aca="false">Bank_Statement!A536</f>
        <v>BNK50535</v>
      </c>
      <c r="B1296" s="17" t="n">
        <f aca="false">Bank_Statement!B536</f>
        <v>46120</v>
      </c>
      <c r="C1296" s="18" t="n">
        <f aca="false">Bank_Statement!C536</f>
        <v>-581.73</v>
      </c>
      <c r="D1296" s="16" t="str">
        <f aca="false">Bank_Statement!D536</f>
        <v>PMT-V1009</v>
      </c>
      <c r="E1296" s="16" t="str">
        <f aca="false">Bank_Statement!E536</f>
        <v>PAY40535</v>
      </c>
      <c r="F1296" s="16" t="str">
        <f aca="false">IF(E1296="","N/A",IF(COUNTIF(Payment_Log_AP!$A$2:$A$753,E1296)&gt;0,"Yes","No"))</f>
        <v>Yes</v>
      </c>
      <c r="G1296" s="16" t="str">
        <f aca="false">IF(E1296="","Unexplained Bank Item (fee/other - review)",IF(F1296="Yes","Matched","Payment Reference Not Found in AP Log"))</f>
        <v>Matched</v>
      </c>
    </row>
    <row r="1297" customFormat="false" ht="15" hidden="false" customHeight="false" outlineLevel="0" collapsed="false">
      <c r="A1297" s="16" t="str">
        <f aca="false">Bank_Statement!A537</f>
        <v>BNK50536</v>
      </c>
      <c r="B1297" s="17" t="n">
        <f aca="false">Bank_Statement!B537</f>
        <v>45948</v>
      </c>
      <c r="C1297" s="18" t="n">
        <f aca="false">Bank_Statement!C537</f>
        <v>-2739.78</v>
      </c>
      <c r="D1297" s="16" t="str">
        <f aca="false">Bank_Statement!D537</f>
        <v>PMT-V1005</v>
      </c>
      <c r="E1297" s="16" t="str">
        <f aca="false">Bank_Statement!E537</f>
        <v>PAY40536</v>
      </c>
      <c r="F1297" s="16" t="str">
        <f aca="false">IF(E1297="","N/A",IF(COUNTIF(Payment_Log_AP!$A$2:$A$753,E1297)&gt;0,"Yes","No"))</f>
        <v>Yes</v>
      </c>
      <c r="G1297" s="16" t="str">
        <f aca="false">IF(E1297="","Unexplained Bank Item (fee/other - review)",IF(F1297="Yes","Matched","Payment Reference Not Found in AP Log"))</f>
        <v>Matched</v>
      </c>
    </row>
    <row r="1298" customFormat="false" ht="15" hidden="false" customHeight="false" outlineLevel="0" collapsed="false">
      <c r="A1298" s="16" t="str">
        <f aca="false">Bank_Statement!A538</f>
        <v>BNK50537</v>
      </c>
      <c r="B1298" s="17" t="n">
        <f aca="false">Bank_Statement!B538</f>
        <v>45958</v>
      </c>
      <c r="C1298" s="18" t="n">
        <f aca="false">Bank_Statement!C538</f>
        <v>-2739.78</v>
      </c>
      <c r="D1298" s="16" t="str">
        <f aca="false">Bank_Statement!D538</f>
        <v>PMT-V1005</v>
      </c>
      <c r="E1298" s="16" t="str">
        <f aca="false">Bank_Statement!E538</f>
        <v>PAY40537</v>
      </c>
      <c r="F1298" s="16" t="str">
        <f aca="false">IF(E1298="","N/A",IF(COUNTIF(Payment_Log_AP!$A$2:$A$753,E1298)&gt;0,"Yes","No"))</f>
        <v>Yes</v>
      </c>
      <c r="G1298" s="16" t="str">
        <f aca="false">IF(E1298="","Unexplained Bank Item (fee/other - review)",IF(F1298="Yes","Matched","Payment Reference Not Found in AP Log"))</f>
        <v>Matched</v>
      </c>
    </row>
    <row r="1299" customFormat="false" ht="15" hidden="false" customHeight="false" outlineLevel="0" collapsed="false">
      <c r="A1299" s="16" t="str">
        <f aca="false">Bank_Statement!A539</f>
        <v>BNK50538</v>
      </c>
      <c r="B1299" s="17" t="n">
        <f aca="false">Bank_Statement!B539</f>
        <v>46145</v>
      </c>
      <c r="C1299" s="18" t="n">
        <f aca="false">Bank_Statement!C539</f>
        <v>-329.34</v>
      </c>
      <c r="D1299" s="16" t="str">
        <f aca="false">Bank_Statement!D539</f>
        <v>PMT-V1011</v>
      </c>
      <c r="E1299" s="16" t="str">
        <f aca="false">Bank_Statement!E539</f>
        <v>PAY40538</v>
      </c>
      <c r="F1299" s="16" t="str">
        <f aca="false">IF(E1299="","N/A",IF(COUNTIF(Payment_Log_AP!$A$2:$A$753,E1299)&gt;0,"Yes","No"))</f>
        <v>Yes</v>
      </c>
      <c r="G1299" s="16" t="str">
        <f aca="false">IF(E1299="","Unexplained Bank Item (fee/other - review)",IF(F1299="Yes","Matched","Payment Reference Not Found in AP Log"))</f>
        <v>Matched</v>
      </c>
    </row>
    <row r="1300" customFormat="false" ht="15" hidden="false" customHeight="false" outlineLevel="0" collapsed="false">
      <c r="A1300" s="16" t="str">
        <f aca="false">Bank_Statement!A540</f>
        <v>BNK50539</v>
      </c>
      <c r="B1300" s="17" t="n">
        <f aca="false">Bank_Statement!B540</f>
        <v>45867</v>
      </c>
      <c r="C1300" s="18" t="n">
        <f aca="false">Bank_Statement!C540</f>
        <v>-5307.07</v>
      </c>
      <c r="D1300" s="16" t="str">
        <f aca="false">Bank_Statement!D540</f>
        <v>PMT-V1024</v>
      </c>
      <c r="E1300" s="16" t="str">
        <f aca="false">Bank_Statement!E540</f>
        <v>PAY40539</v>
      </c>
      <c r="F1300" s="16" t="str">
        <f aca="false">IF(E1300="","N/A",IF(COUNTIF(Payment_Log_AP!$A$2:$A$753,E1300)&gt;0,"Yes","No"))</f>
        <v>Yes</v>
      </c>
      <c r="G1300" s="16" t="str">
        <f aca="false">IF(E1300="","Unexplained Bank Item (fee/other - review)",IF(F1300="Yes","Matched","Payment Reference Not Found in AP Log"))</f>
        <v>Matched</v>
      </c>
    </row>
    <row r="1301" customFormat="false" ht="15" hidden="false" customHeight="false" outlineLevel="0" collapsed="false">
      <c r="A1301" s="16" t="str">
        <f aca="false">Bank_Statement!A541</f>
        <v>BNK50540</v>
      </c>
      <c r="B1301" s="17" t="n">
        <f aca="false">Bank_Statement!B541</f>
        <v>45766</v>
      </c>
      <c r="C1301" s="18" t="n">
        <f aca="false">Bank_Statement!C541</f>
        <v>-4575.5</v>
      </c>
      <c r="D1301" s="16" t="str">
        <f aca="false">Bank_Statement!D541</f>
        <v>PMT-V1004</v>
      </c>
      <c r="E1301" s="16" t="str">
        <f aca="false">Bank_Statement!E541</f>
        <v>PAY40540</v>
      </c>
      <c r="F1301" s="16" t="str">
        <f aca="false">IF(E1301="","N/A",IF(COUNTIF(Payment_Log_AP!$A$2:$A$753,E1301)&gt;0,"Yes","No"))</f>
        <v>Yes</v>
      </c>
      <c r="G1301" s="16" t="str">
        <f aca="false">IF(E1301="","Unexplained Bank Item (fee/other - review)",IF(F1301="Yes","Matched","Payment Reference Not Found in AP Log"))</f>
        <v>Matched</v>
      </c>
    </row>
    <row r="1302" customFormat="false" ht="15" hidden="false" customHeight="false" outlineLevel="0" collapsed="false">
      <c r="A1302" s="16" t="str">
        <f aca="false">Bank_Statement!A542</f>
        <v>BNK50541</v>
      </c>
      <c r="B1302" s="17" t="n">
        <f aca="false">Bank_Statement!B542</f>
        <v>45790</v>
      </c>
      <c r="C1302" s="18" t="n">
        <f aca="false">Bank_Statement!C542</f>
        <v>-4978.47</v>
      </c>
      <c r="D1302" s="16" t="str">
        <f aca="false">Bank_Statement!D542</f>
        <v>PMT-V1024</v>
      </c>
      <c r="E1302" s="16" t="str">
        <f aca="false">Bank_Statement!E542</f>
        <v>PAY40541</v>
      </c>
      <c r="F1302" s="16" t="str">
        <f aca="false">IF(E1302="","N/A",IF(COUNTIF(Payment_Log_AP!$A$2:$A$753,E1302)&gt;0,"Yes","No"))</f>
        <v>Yes</v>
      </c>
      <c r="G1302" s="16" t="str">
        <f aca="false">IF(E1302="","Unexplained Bank Item (fee/other - review)",IF(F1302="Yes","Matched","Payment Reference Not Found in AP Log"))</f>
        <v>Matched</v>
      </c>
    </row>
    <row r="1303" customFormat="false" ht="15" hidden="false" customHeight="false" outlineLevel="0" collapsed="false">
      <c r="A1303" s="16" t="str">
        <f aca="false">Bank_Statement!A543</f>
        <v>BNK50542</v>
      </c>
      <c r="B1303" s="17" t="n">
        <f aca="false">Bank_Statement!B543</f>
        <v>46148</v>
      </c>
      <c r="C1303" s="18" t="n">
        <f aca="false">Bank_Statement!C543</f>
        <v>-4005.11</v>
      </c>
      <c r="D1303" s="16" t="str">
        <f aca="false">Bank_Statement!D543</f>
        <v>PMT-V1024</v>
      </c>
      <c r="E1303" s="16" t="str">
        <f aca="false">Bank_Statement!E543</f>
        <v>PAY40542</v>
      </c>
      <c r="F1303" s="16" t="str">
        <f aca="false">IF(E1303="","N/A",IF(COUNTIF(Payment_Log_AP!$A$2:$A$753,E1303)&gt;0,"Yes","No"))</f>
        <v>Yes</v>
      </c>
      <c r="G1303" s="16" t="str">
        <f aca="false">IF(E1303="","Unexplained Bank Item (fee/other - review)",IF(F1303="Yes","Matched","Payment Reference Not Found in AP Log"))</f>
        <v>Matched</v>
      </c>
    </row>
    <row r="1304" customFormat="false" ht="15" hidden="false" customHeight="false" outlineLevel="0" collapsed="false">
      <c r="A1304" s="16" t="str">
        <f aca="false">Bank_Statement!A544</f>
        <v>BNK50543</v>
      </c>
      <c r="B1304" s="17" t="n">
        <f aca="false">Bank_Statement!B544</f>
        <v>46092</v>
      </c>
      <c r="C1304" s="18" t="n">
        <f aca="false">Bank_Statement!C544</f>
        <v>-1866.99</v>
      </c>
      <c r="D1304" s="16" t="str">
        <f aca="false">Bank_Statement!D544</f>
        <v>PMT-V1003</v>
      </c>
      <c r="E1304" s="16" t="str">
        <f aca="false">Bank_Statement!E544</f>
        <v>PAY40543</v>
      </c>
      <c r="F1304" s="16" t="str">
        <f aca="false">IF(E1304="","N/A",IF(COUNTIF(Payment_Log_AP!$A$2:$A$753,E1304)&gt;0,"Yes","No"))</f>
        <v>Yes</v>
      </c>
      <c r="G1304" s="16" t="str">
        <f aca="false">IF(E1304="","Unexplained Bank Item (fee/other - review)",IF(F1304="Yes","Matched","Payment Reference Not Found in AP Log"))</f>
        <v>Matched</v>
      </c>
    </row>
    <row r="1305" customFormat="false" ht="15" hidden="false" customHeight="false" outlineLevel="0" collapsed="false">
      <c r="A1305" s="16" t="str">
        <f aca="false">Bank_Statement!A545</f>
        <v>BNK50544</v>
      </c>
      <c r="B1305" s="17" t="n">
        <f aca="false">Bank_Statement!B545</f>
        <v>45701</v>
      </c>
      <c r="C1305" s="18" t="n">
        <f aca="false">Bank_Statement!C545</f>
        <v>-4880.22</v>
      </c>
      <c r="D1305" s="16" t="str">
        <f aca="false">Bank_Statement!D545</f>
        <v>PMT-V1007</v>
      </c>
      <c r="E1305" s="16" t="str">
        <f aca="false">Bank_Statement!E545</f>
        <v>PAY40544</v>
      </c>
      <c r="F1305" s="16" t="str">
        <f aca="false">IF(E1305="","N/A",IF(COUNTIF(Payment_Log_AP!$A$2:$A$753,E1305)&gt;0,"Yes","No"))</f>
        <v>Yes</v>
      </c>
      <c r="G1305" s="16" t="str">
        <f aca="false">IF(E1305="","Unexplained Bank Item (fee/other - review)",IF(F1305="Yes","Matched","Payment Reference Not Found in AP Log"))</f>
        <v>Matched</v>
      </c>
    </row>
    <row r="1306" customFormat="false" ht="15" hidden="false" customHeight="false" outlineLevel="0" collapsed="false">
      <c r="A1306" s="16" t="str">
        <f aca="false">Bank_Statement!A546</f>
        <v>BNK50545</v>
      </c>
      <c r="B1306" s="17" t="n">
        <f aca="false">Bank_Statement!B546</f>
        <v>45996</v>
      </c>
      <c r="C1306" s="18" t="n">
        <f aca="false">Bank_Statement!C546</f>
        <v>-2581.16</v>
      </c>
      <c r="D1306" s="16" t="str">
        <f aca="false">Bank_Statement!D546</f>
        <v>PMT-V1024</v>
      </c>
      <c r="E1306" s="16" t="str">
        <f aca="false">Bank_Statement!E546</f>
        <v>PAY40545</v>
      </c>
      <c r="F1306" s="16" t="str">
        <f aca="false">IF(E1306="","N/A",IF(COUNTIF(Payment_Log_AP!$A$2:$A$753,E1306)&gt;0,"Yes","No"))</f>
        <v>Yes</v>
      </c>
      <c r="G1306" s="16" t="str">
        <f aca="false">IF(E1306="","Unexplained Bank Item (fee/other - review)",IF(F1306="Yes","Matched","Payment Reference Not Found in AP Log"))</f>
        <v>Matched</v>
      </c>
    </row>
    <row r="1307" customFormat="false" ht="15" hidden="false" customHeight="false" outlineLevel="0" collapsed="false">
      <c r="A1307" s="16" t="str">
        <f aca="false">Bank_Statement!A547</f>
        <v>BNK50546</v>
      </c>
      <c r="B1307" s="17" t="n">
        <f aca="false">Bank_Statement!B547</f>
        <v>46073</v>
      </c>
      <c r="C1307" s="18" t="n">
        <f aca="false">Bank_Statement!C547</f>
        <v>-2330.25</v>
      </c>
      <c r="D1307" s="16" t="str">
        <f aca="false">Bank_Statement!D547</f>
        <v>PMT-V1032</v>
      </c>
      <c r="E1307" s="16" t="str">
        <f aca="false">Bank_Statement!E547</f>
        <v>PAY40546</v>
      </c>
      <c r="F1307" s="16" t="str">
        <f aca="false">IF(E1307="","N/A",IF(COUNTIF(Payment_Log_AP!$A$2:$A$753,E1307)&gt;0,"Yes","No"))</f>
        <v>Yes</v>
      </c>
      <c r="G1307" s="16" t="str">
        <f aca="false">IF(E1307="","Unexplained Bank Item (fee/other - review)",IF(F1307="Yes","Matched","Payment Reference Not Found in AP Log"))</f>
        <v>Matched</v>
      </c>
    </row>
    <row r="1308" customFormat="false" ht="15" hidden="false" customHeight="false" outlineLevel="0" collapsed="false">
      <c r="A1308" s="16" t="str">
        <f aca="false">Bank_Statement!A548</f>
        <v>BNK50547</v>
      </c>
      <c r="B1308" s="17" t="n">
        <f aca="false">Bank_Statement!B548</f>
        <v>46036</v>
      </c>
      <c r="C1308" s="18" t="n">
        <f aca="false">Bank_Statement!C548</f>
        <v>-1142.31</v>
      </c>
      <c r="D1308" s="16" t="str">
        <f aca="false">Bank_Statement!D548</f>
        <v>PMT-V1029</v>
      </c>
      <c r="E1308" s="16" t="str">
        <f aca="false">Bank_Statement!E548</f>
        <v>PAY40547</v>
      </c>
      <c r="F1308" s="16" t="str">
        <f aca="false">IF(E1308="","N/A",IF(COUNTIF(Payment_Log_AP!$A$2:$A$753,E1308)&gt;0,"Yes","No"))</f>
        <v>Yes</v>
      </c>
      <c r="G1308" s="16" t="str">
        <f aca="false">IF(E1308="","Unexplained Bank Item (fee/other - review)",IF(F1308="Yes","Matched","Payment Reference Not Found in AP Log"))</f>
        <v>Matched</v>
      </c>
    </row>
    <row r="1309" customFormat="false" ht="15" hidden="false" customHeight="false" outlineLevel="0" collapsed="false">
      <c r="A1309" s="16" t="str">
        <f aca="false">Bank_Statement!A549</f>
        <v>BNK50548</v>
      </c>
      <c r="B1309" s="17" t="n">
        <f aca="false">Bank_Statement!B549</f>
        <v>45999</v>
      </c>
      <c r="C1309" s="18" t="n">
        <f aca="false">Bank_Statement!C549</f>
        <v>-5378.13</v>
      </c>
      <c r="D1309" s="16" t="str">
        <f aca="false">Bank_Statement!D549</f>
        <v>PMT-V1030</v>
      </c>
      <c r="E1309" s="16" t="str">
        <f aca="false">Bank_Statement!E549</f>
        <v>PAY40548</v>
      </c>
      <c r="F1309" s="16" t="str">
        <f aca="false">IF(E1309="","N/A",IF(COUNTIF(Payment_Log_AP!$A$2:$A$753,E1309)&gt;0,"Yes","No"))</f>
        <v>Yes</v>
      </c>
      <c r="G1309" s="16" t="str">
        <f aca="false">IF(E1309="","Unexplained Bank Item (fee/other - review)",IF(F1309="Yes","Matched","Payment Reference Not Found in AP Log"))</f>
        <v>Matched</v>
      </c>
    </row>
    <row r="1310" customFormat="false" ht="15" hidden="false" customHeight="false" outlineLevel="0" collapsed="false">
      <c r="A1310" s="16" t="str">
        <f aca="false">Bank_Statement!A550</f>
        <v>BNK50549</v>
      </c>
      <c r="B1310" s="17" t="n">
        <f aca="false">Bank_Statement!B550</f>
        <v>46115</v>
      </c>
      <c r="C1310" s="18" t="n">
        <f aca="false">Bank_Statement!C550</f>
        <v>-1479.77</v>
      </c>
      <c r="D1310" s="16" t="str">
        <f aca="false">Bank_Statement!D550</f>
        <v>PMT-V1002</v>
      </c>
      <c r="E1310" s="16" t="str">
        <f aca="false">Bank_Statement!E550</f>
        <v>PAY40549</v>
      </c>
      <c r="F1310" s="16" t="str">
        <f aca="false">IF(E1310="","N/A",IF(COUNTIF(Payment_Log_AP!$A$2:$A$753,E1310)&gt;0,"Yes","No"))</f>
        <v>Yes</v>
      </c>
      <c r="G1310" s="16" t="str">
        <f aca="false">IF(E1310="","Unexplained Bank Item (fee/other - review)",IF(F1310="Yes","Matched","Payment Reference Not Found in AP Log"))</f>
        <v>Matched</v>
      </c>
    </row>
    <row r="1311" customFormat="false" ht="15" hidden="false" customHeight="false" outlineLevel="0" collapsed="false">
      <c r="A1311" s="16" t="str">
        <f aca="false">Bank_Statement!A551</f>
        <v>BNK50550</v>
      </c>
      <c r="B1311" s="17" t="n">
        <f aca="false">Bank_Statement!B551</f>
        <v>46134</v>
      </c>
      <c r="C1311" s="18" t="n">
        <f aca="false">Bank_Statement!C551</f>
        <v>-1479.77</v>
      </c>
      <c r="D1311" s="16" t="str">
        <f aca="false">Bank_Statement!D551</f>
        <v>PMT-V1002</v>
      </c>
      <c r="E1311" s="16" t="str">
        <f aca="false">Bank_Statement!E551</f>
        <v>PAY40550</v>
      </c>
      <c r="F1311" s="16" t="str">
        <f aca="false">IF(E1311="","N/A",IF(COUNTIF(Payment_Log_AP!$A$2:$A$753,E1311)&gt;0,"Yes","No"))</f>
        <v>Yes</v>
      </c>
      <c r="G1311" s="16" t="str">
        <f aca="false">IF(E1311="","Unexplained Bank Item (fee/other - review)",IF(F1311="Yes","Matched","Payment Reference Not Found in AP Log"))</f>
        <v>Matched</v>
      </c>
    </row>
    <row r="1312" customFormat="false" ht="15" hidden="false" customHeight="false" outlineLevel="0" collapsed="false">
      <c r="A1312" s="16" t="str">
        <f aca="false">Bank_Statement!A552</f>
        <v>BNK50551</v>
      </c>
      <c r="B1312" s="17" t="n">
        <f aca="false">Bank_Statement!B552</f>
        <v>45744</v>
      </c>
      <c r="C1312" s="18" t="n">
        <f aca="false">Bank_Statement!C552</f>
        <v>-1679.49</v>
      </c>
      <c r="D1312" s="16" t="str">
        <f aca="false">Bank_Statement!D552</f>
        <v>PMT-V1007</v>
      </c>
      <c r="E1312" s="16" t="str">
        <f aca="false">Bank_Statement!E552</f>
        <v>PAY40551</v>
      </c>
      <c r="F1312" s="16" t="str">
        <f aca="false">IF(E1312="","N/A",IF(COUNTIF(Payment_Log_AP!$A$2:$A$753,E1312)&gt;0,"Yes","No"))</f>
        <v>Yes</v>
      </c>
      <c r="G1312" s="16" t="str">
        <f aca="false">IF(E1312="","Unexplained Bank Item (fee/other - review)",IF(F1312="Yes","Matched","Payment Reference Not Found in AP Log"))</f>
        <v>Matched</v>
      </c>
    </row>
    <row r="1313" customFormat="false" ht="15" hidden="false" customHeight="false" outlineLevel="0" collapsed="false">
      <c r="A1313" s="16" t="str">
        <f aca="false">Bank_Statement!A553</f>
        <v>BNK50552</v>
      </c>
      <c r="B1313" s="17" t="n">
        <f aca="false">Bank_Statement!B553</f>
        <v>45832</v>
      </c>
      <c r="C1313" s="18" t="n">
        <f aca="false">Bank_Statement!C553</f>
        <v>-2035.58</v>
      </c>
      <c r="D1313" s="16" t="str">
        <f aca="false">Bank_Statement!D553</f>
        <v>PMT-V1034</v>
      </c>
      <c r="E1313" s="16" t="str">
        <f aca="false">Bank_Statement!E553</f>
        <v>PAY40552</v>
      </c>
      <c r="F1313" s="16" t="str">
        <f aca="false">IF(E1313="","N/A",IF(COUNTIF(Payment_Log_AP!$A$2:$A$753,E1313)&gt;0,"Yes","No"))</f>
        <v>Yes</v>
      </c>
      <c r="G1313" s="16" t="str">
        <f aca="false">IF(E1313="","Unexplained Bank Item (fee/other - review)",IF(F1313="Yes","Matched","Payment Reference Not Found in AP Log"))</f>
        <v>Matched</v>
      </c>
    </row>
    <row r="1314" customFormat="false" ht="15" hidden="false" customHeight="false" outlineLevel="0" collapsed="false">
      <c r="A1314" s="16" t="str">
        <f aca="false">Bank_Statement!A554</f>
        <v>BNK50553</v>
      </c>
      <c r="B1314" s="17" t="n">
        <f aca="false">Bank_Statement!B554</f>
        <v>45703</v>
      </c>
      <c r="C1314" s="18" t="n">
        <f aca="false">Bank_Statement!C554</f>
        <v>-1499.87</v>
      </c>
      <c r="D1314" s="16" t="str">
        <f aca="false">Bank_Statement!D554</f>
        <v>PMT-V1025</v>
      </c>
      <c r="E1314" s="16" t="str">
        <f aca="false">Bank_Statement!E554</f>
        <v>PAY40553</v>
      </c>
      <c r="F1314" s="16" t="str">
        <f aca="false">IF(E1314="","N/A",IF(COUNTIF(Payment_Log_AP!$A$2:$A$753,E1314)&gt;0,"Yes","No"))</f>
        <v>Yes</v>
      </c>
      <c r="G1314" s="16" t="str">
        <f aca="false">IF(E1314="","Unexplained Bank Item (fee/other - review)",IF(F1314="Yes","Matched","Payment Reference Not Found in AP Log"))</f>
        <v>Matched</v>
      </c>
    </row>
    <row r="1315" customFormat="false" ht="15" hidden="false" customHeight="false" outlineLevel="0" collapsed="false">
      <c r="A1315" s="16" t="str">
        <f aca="false">Bank_Statement!A555</f>
        <v>BNK50554</v>
      </c>
      <c r="B1315" s="17" t="n">
        <f aca="false">Bank_Statement!B555</f>
        <v>46160</v>
      </c>
      <c r="C1315" s="18" t="n">
        <f aca="false">Bank_Statement!C555</f>
        <v>-2691.6</v>
      </c>
      <c r="D1315" s="16" t="str">
        <f aca="false">Bank_Statement!D555</f>
        <v>PMT-V1005</v>
      </c>
      <c r="E1315" s="16" t="str">
        <f aca="false">Bank_Statement!E555</f>
        <v>PAY40554</v>
      </c>
      <c r="F1315" s="16" t="str">
        <f aca="false">IF(E1315="","N/A",IF(COUNTIF(Payment_Log_AP!$A$2:$A$753,E1315)&gt;0,"Yes","No"))</f>
        <v>Yes</v>
      </c>
      <c r="G1315" s="16" t="str">
        <f aca="false">IF(E1315="","Unexplained Bank Item (fee/other - review)",IF(F1315="Yes","Matched","Payment Reference Not Found in AP Log"))</f>
        <v>Matched</v>
      </c>
    </row>
    <row r="1316" customFormat="false" ht="15" hidden="false" customHeight="false" outlineLevel="0" collapsed="false">
      <c r="A1316" s="16" t="str">
        <f aca="false">Bank_Statement!A556</f>
        <v>BNK50555</v>
      </c>
      <c r="B1316" s="17" t="n">
        <f aca="false">Bank_Statement!B556</f>
        <v>46000</v>
      </c>
      <c r="C1316" s="18" t="n">
        <f aca="false">Bank_Statement!C556</f>
        <v>-687.41</v>
      </c>
      <c r="D1316" s="16" t="str">
        <f aca="false">Bank_Statement!D556</f>
        <v>PMT-V1008</v>
      </c>
      <c r="E1316" s="16" t="str">
        <f aca="false">Bank_Statement!E556</f>
        <v>PAY40555</v>
      </c>
      <c r="F1316" s="16" t="str">
        <f aca="false">IF(E1316="","N/A",IF(COUNTIF(Payment_Log_AP!$A$2:$A$753,E1316)&gt;0,"Yes","No"))</f>
        <v>Yes</v>
      </c>
      <c r="G1316" s="16" t="str">
        <f aca="false">IF(E1316="","Unexplained Bank Item (fee/other - review)",IF(F1316="Yes","Matched","Payment Reference Not Found in AP Log"))</f>
        <v>Matched</v>
      </c>
    </row>
    <row r="1317" customFormat="false" ht="15" hidden="false" customHeight="false" outlineLevel="0" collapsed="false">
      <c r="A1317" s="16" t="str">
        <f aca="false">Bank_Statement!A557</f>
        <v>BNK50556</v>
      </c>
      <c r="B1317" s="17" t="n">
        <f aca="false">Bank_Statement!B557</f>
        <v>46173</v>
      </c>
      <c r="C1317" s="18" t="n">
        <f aca="false">Bank_Statement!C557</f>
        <v>-915.68</v>
      </c>
      <c r="D1317" s="16" t="str">
        <f aca="false">Bank_Statement!D557</f>
        <v>PMT-V1031</v>
      </c>
      <c r="E1317" s="16" t="str">
        <f aca="false">Bank_Statement!E557</f>
        <v>PAY40556</v>
      </c>
      <c r="F1317" s="16" t="str">
        <f aca="false">IF(E1317="","N/A",IF(COUNTIF(Payment_Log_AP!$A$2:$A$753,E1317)&gt;0,"Yes","No"))</f>
        <v>Yes</v>
      </c>
      <c r="G1317" s="16" t="str">
        <f aca="false">IF(E1317="","Unexplained Bank Item (fee/other - review)",IF(F1317="Yes","Matched","Payment Reference Not Found in AP Log"))</f>
        <v>Matched</v>
      </c>
    </row>
    <row r="1318" customFormat="false" ht="15" hidden="false" customHeight="false" outlineLevel="0" collapsed="false">
      <c r="A1318" s="16" t="str">
        <f aca="false">Bank_Statement!A558</f>
        <v>BNK50557</v>
      </c>
      <c r="B1318" s="17" t="n">
        <f aca="false">Bank_Statement!B558</f>
        <v>45823</v>
      </c>
      <c r="C1318" s="18" t="n">
        <f aca="false">Bank_Statement!C558</f>
        <v>-1560.82</v>
      </c>
      <c r="D1318" s="16" t="str">
        <f aca="false">Bank_Statement!D558</f>
        <v>PMT-V1017</v>
      </c>
      <c r="E1318" s="16" t="str">
        <f aca="false">Bank_Statement!E558</f>
        <v>PAY40557</v>
      </c>
      <c r="F1318" s="16" t="str">
        <f aca="false">IF(E1318="","N/A",IF(COUNTIF(Payment_Log_AP!$A$2:$A$753,E1318)&gt;0,"Yes","No"))</f>
        <v>Yes</v>
      </c>
      <c r="G1318" s="16" t="str">
        <f aca="false">IF(E1318="","Unexplained Bank Item (fee/other - review)",IF(F1318="Yes","Matched","Payment Reference Not Found in AP Log"))</f>
        <v>Matched</v>
      </c>
    </row>
    <row r="1319" customFormat="false" ht="15" hidden="false" customHeight="false" outlineLevel="0" collapsed="false">
      <c r="A1319" s="16" t="str">
        <f aca="false">Bank_Statement!A559</f>
        <v>BNK50558</v>
      </c>
      <c r="B1319" s="17" t="n">
        <f aca="false">Bank_Statement!B559</f>
        <v>46142</v>
      </c>
      <c r="C1319" s="18" t="n">
        <f aca="false">Bank_Statement!C559</f>
        <v>-827.43</v>
      </c>
      <c r="D1319" s="16" t="str">
        <f aca="false">Bank_Statement!D559</f>
        <v>PMT-V1032</v>
      </c>
      <c r="E1319" s="16" t="str">
        <f aca="false">Bank_Statement!E559</f>
        <v>PAY40558</v>
      </c>
      <c r="F1319" s="16" t="str">
        <f aca="false">IF(E1319="","N/A",IF(COUNTIF(Payment_Log_AP!$A$2:$A$753,E1319)&gt;0,"Yes","No"))</f>
        <v>Yes</v>
      </c>
      <c r="G1319" s="16" t="str">
        <f aca="false">IF(E1319="","Unexplained Bank Item (fee/other - review)",IF(F1319="Yes","Matched","Payment Reference Not Found in AP Log"))</f>
        <v>Matched</v>
      </c>
    </row>
    <row r="1320" customFormat="false" ht="15" hidden="false" customHeight="false" outlineLevel="0" collapsed="false">
      <c r="A1320" s="16" t="str">
        <f aca="false">Bank_Statement!A560</f>
        <v>BNK50559</v>
      </c>
      <c r="B1320" s="17" t="n">
        <f aca="false">Bank_Statement!B560</f>
        <v>46176</v>
      </c>
      <c r="C1320" s="18" t="n">
        <f aca="false">Bank_Statement!C560</f>
        <v>-11648.06</v>
      </c>
      <c r="D1320" s="16" t="str">
        <f aca="false">Bank_Statement!D560</f>
        <v>PMT-V1036</v>
      </c>
      <c r="E1320" s="16" t="str">
        <f aca="false">Bank_Statement!E560</f>
        <v>PAY40559</v>
      </c>
      <c r="F1320" s="16" t="str">
        <f aca="false">IF(E1320="","N/A",IF(COUNTIF(Payment_Log_AP!$A$2:$A$753,E1320)&gt;0,"Yes","No"))</f>
        <v>Yes</v>
      </c>
      <c r="G1320" s="16" t="str">
        <f aca="false">IF(E1320="","Unexplained Bank Item (fee/other - review)",IF(F1320="Yes","Matched","Payment Reference Not Found in AP Log"))</f>
        <v>Matched</v>
      </c>
    </row>
    <row r="1321" customFormat="false" ht="15" hidden="false" customHeight="false" outlineLevel="0" collapsed="false">
      <c r="A1321" s="16" t="str">
        <f aca="false">Bank_Statement!A561</f>
        <v>BNK50560</v>
      </c>
      <c r="B1321" s="17" t="n">
        <f aca="false">Bank_Statement!B561</f>
        <v>46188</v>
      </c>
      <c r="C1321" s="18" t="n">
        <f aca="false">Bank_Statement!C561</f>
        <v>-11648.06</v>
      </c>
      <c r="D1321" s="16" t="str">
        <f aca="false">Bank_Statement!D561</f>
        <v>PMT-V1036</v>
      </c>
      <c r="E1321" s="16" t="str">
        <f aca="false">Bank_Statement!E561</f>
        <v>PAY40560</v>
      </c>
      <c r="F1321" s="16" t="str">
        <f aca="false">IF(E1321="","N/A",IF(COUNTIF(Payment_Log_AP!$A$2:$A$753,E1321)&gt;0,"Yes","No"))</f>
        <v>Yes</v>
      </c>
      <c r="G1321" s="16" t="str">
        <f aca="false">IF(E1321="","Unexplained Bank Item (fee/other - review)",IF(F1321="Yes","Matched","Payment Reference Not Found in AP Log"))</f>
        <v>Matched</v>
      </c>
    </row>
    <row r="1322" customFormat="false" ht="15" hidden="false" customHeight="false" outlineLevel="0" collapsed="false">
      <c r="A1322" s="16" t="str">
        <f aca="false">Bank_Statement!A562</f>
        <v>BNK50561</v>
      </c>
      <c r="B1322" s="17" t="n">
        <f aca="false">Bank_Statement!B562</f>
        <v>45849</v>
      </c>
      <c r="C1322" s="18" t="n">
        <f aca="false">Bank_Statement!C562</f>
        <v>-12577.05</v>
      </c>
      <c r="D1322" s="16" t="str">
        <f aca="false">Bank_Statement!D562</f>
        <v>PMT-V1012</v>
      </c>
      <c r="E1322" s="16" t="str">
        <f aca="false">Bank_Statement!E562</f>
        <v>PAY40561</v>
      </c>
      <c r="F1322" s="16" t="str">
        <f aca="false">IF(E1322="","N/A",IF(COUNTIF(Payment_Log_AP!$A$2:$A$753,E1322)&gt;0,"Yes","No"))</f>
        <v>Yes</v>
      </c>
      <c r="G1322" s="16" t="str">
        <f aca="false">IF(E1322="","Unexplained Bank Item (fee/other - review)",IF(F1322="Yes","Matched","Payment Reference Not Found in AP Log"))</f>
        <v>Matched</v>
      </c>
    </row>
    <row r="1323" customFormat="false" ht="15" hidden="false" customHeight="false" outlineLevel="0" collapsed="false">
      <c r="A1323" s="16" t="str">
        <f aca="false">Bank_Statement!A563</f>
        <v>BNK50562</v>
      </c>
      <c r="B1323" s="17" t="n">
        <f aca="false">Bank_Statement!B563</f>
        <v>45852</v>
      </c>
      <c r="C1323" s="18" t="n">
        <f aca="false">Bank_Statement!C563</f>
        <v>-12577.05</v>
      </c>
      <c r="D1323" s="16" t="str">
        <f aca="false">Bank_Statement!D563</f>
        <v>PMT-V1012</v>
      </c>
      <c r="E1323" s="16" t="str">
        <f aca="false">Bank_Statement!E563</f>
        <v>PAY40562</v>
      </c>
      <c r="F1323" s="16" t="str">
        <f aca="false">IF(E1323="","N/A",IF(COUNTIF(Payment_Log_AP!$A$2:$A$753,E1323)&gt;0,"Yes","No"))</f>
        <v>Yes</v>
      </c>
      <c r="G1323" s="16" t="str">
        <f aca="false">IF(E1323="","Unexplained Bank Item (fee/other - review)",IF(F1323="Yes","Matched","Payment Reference Not Found in AP Log"))</f>
        <v>Matched</v>
      </c>
    </row>
    <row r="1324" customFormat="false" ht="15" hidden="false" customHeight="false" outlineLevel="0" collapsed="false">
      <c r="A1324" s="16" t="str">
        <f aca="false">Bank_Statement!A564</f>
        <v>BNK50563</v>
      </c>
      <c r="B1324" s="17" t="n">
        <f aca="false">Bank_Statement!B564</f>
        <v>45910</v>
      </c>
      <c r="C1324" s="18" t="n">
        <f aca="false">Bank_Statement!C564</f>
        <v>-1362.33</v>
      </c>
      <c r="D1324" s="16" t="str">
        <f aca="false">Bank_Statement!D564</f>
        <v>PMT-V1010</v>
      </c>
      <c r="E1324" s="16" t="str">
        <f aca="false">Bank_Statement!E564</f>
        <v>PAY40563</v>
      </c>
      <c r="F1324" s="16" t="str">
        <f aca="false">IF(E1324="","N/A",IF(COUNTIF(Payment_Log_AP!$A$2:$A$753,E1324)&gt;0,"Yes","No"))</f>
        <v>Yes</v>
      </c>
      <c r="G1324" s="16" t="str">
        <f aca="false">IF(E1324="","Unexplained Bank Item (fee/other - review)",IF(F1324="Yes","Matched","Payment Reference Not Found in AP Log"))</f>
        <v>Matched</v>
      </c>
    </row>
    <row r="1325" customFormat="false" ht="15" hidden="false" customHeight="false" outlineLevel="0" collapsed="false">
      <c r="A1325" s="16" t="str">
        <f aca="false">Bank_Statement!A565</f>
        <v>BNK50564</v>
      </c>
      <c r="B1325" s="17" t="n">
        <f aca="false">Bank_Statement!B565</f>
        <v>45777</v>
      </c>
      <c r="C1325" s="18" t="n">
        <f aca="false">Bank_Statement!C565</f>
        <v>-2061.29</v>
      </c>
      <c r="D1325" s="16" t="str">
        <f aca="false">Bank_Statement!D565</f>
        <v>PMT-V1034</v>
      </c>
      <c r="E1325" s="16" t="str">
        <f aca="false">Bank_Statement!E565</f>
        <v>PAY40564</v>
      </c>
      <c r="F1325" s="16" t="str">
        <f aca="false">IF(E1325="","N/A",IF(COUNTIF(Payment_Log_AP!$A$2:$A$753,E1325)&gt;0,"Yes","No"))</f>
        <v>Yes</v>
      </c>
      <c r="G1325" s="16" t="str">
        <f aca="false">IF(E1325="","Unexplained Bank Item (fee/other - review)",IF(F1325="Yes","Matched","Payment Reference Not Found in AP Log"))</f>
        <v>Matched</v>
      </c>
    </row>
    <row r="1326" customFormat="false" ht="15" hidden="false" customHeight="false" outlineLevel="0" collapsed="false">
      <c r="A1326" s="16" t="str">
        <f aca="false">Bank_Statement!A566</f>
        <v>BNK50565</v>
      </c>
      <c r="B1326" s="17" t="n">
        <f aca="false">Bank_Statement!B566</f>
        <v>46182</v>
      </c>
      <c r="C1326" s="18" t="n">
        <f aca="false">Bank_Statement!C566</f>
        <v>-1760.94</v>
      </c>
      <c r="D1326" s="16" t="str">
        <f aca="false">Bank_Statement!D566</f>
        <v>PMT-V1002</v>
      </c>
      <c r="E1326" s="16" t="str">
        <f aca="false">Bank_Statement!E566</f>
        <v>PAY40565</v>
      </c>
      <c r="F1326" s="16" t="str">
        <f aca="false">IF(E1326="","N/A",IF(COUNTIF(Payment_Log_AP!$A$2:$A$753,E1326)&gt;0,"Yes","No"))</f>
        <v>Yes</v>
      </c>
      <c r="G1326" s="16" t="str">
        <f aca="false">IF(E1326="","Unexplained Bank Item (fee/other - review)",IF(F1326="Yes","Matched","Payment Reference Not Found in AP Log"))</f>
        <v>Matched</v>
      </c>
    </row>
    <row r="1327" customFormat="false" ht="15" hidden="false" customHeight="false" outlineLevel="0" collapsed="false">
      <c r="A1327" s="16" t="str">
        <f aca="false">Bank_Statement!A567</f>
        <v>BNK50566</v>
      </c>
      <c r="B1327" s="17" t="n">
        <f aca="false">Bank_Statement!B567</f>
        <v>45864</v>
      </c>
      <c r="C1327" s="18" t="n">
        <f aca="false">Bank_Statement!C567</f>
        <v>-4559.69</v>
      </c>
      <c r="D1327" s="16" t="str">
        <f aca="false">Bank_Statement!D567</f>
        <v>PMT-V1009</v>
      </c>
      <c r="E1327" s="16" t="str">
        <f aca="false">Bank_Statement!E567</f>
        <v>PAY40566</v>
      </c>
      <c r="F1327" s="16" t="str">
        <f aca="false">IF(E1327="","N/A",IF(COUNTIF(Payment_Log_AP!$A$2:$A$753,E1327)&gt;0,"Yes","No"))</f>
        <v>Yes</v>
      </c>
      <c r="G1327" s="16" t="str">
        <f aca="false">IF(E1327="","Unexplained Bank Item (fee/other - review)",IF(F1327="Yes","Matched","Payment Reference Not Found in AP Log"))</f>
        <v>Matched</v>
      </c>
    </row>
    <row r="1328" customFormat="false" ht="15" hidden="false" customHeight="false" outlineLevel="0" collapsed="false">
      <c r="A1328" s="16" t="str">
        <f aca="false">Bank_Statement!A568</f>
        <v>BNK50567</v>
      </c>
      <c r="B1328" s="17" t="n">
        <f aca="false">Bank_Statement!B568</f>
        <v>45966</v>
      </c>
      <c r="C1328" s="18" t="n">
        <f aca="false">Bank_Statement!C568</f>
        <v>-285.04</v>
      </c>
      <c r="D1328" s="16" t="str">
        <f aca="false">Bank_Statement!D568</f>
        <v>PMT-V1032</v>
      </c>
      <c r="E1328" s="16" t="str">
        <f aca="false">Bank_Statement!E568</f>
        <v>PAY40567</v>
      </c>
      <c r="F1328" s="16" t="str">
        <f aca="false">IF(E1328="","N/A",IF(COUNTIF(Payment_Log_AP!$A$2:$A$753,E1328)&gt;0,"Yes","No"))</f>
        <v>Yes</v>
      </c>
      <c r="G1328" s="16" t="str">
        <f aca="false">IF(E1328="","Unexplained Bank Item (fee/other - review)",IF(F1328="Yes","Matched","Payment Reference Not Found in AP Log"))</f>
        <v>Matched</v>
      </c>
    </row>
    <row r="1329" customFormat="false" ht="15" hidden="false" customHeight="false" outlineLevel="0" collapsed="false">
      <c r="A1329" s="16" t="str">
        <f aca="false">Bank_Statement!A569</f>
        <v>BNK50568</v>
      </c>
      <c r="B1329" s="17" t="n">
        <f aca="false">Bank_Statement!B569</f>
        <v>45737</v>
      </c>
      <c r="C1329" s="18" t="n">
        <f aca="false">Bank_Statement!C569</f>
        <v>-2954.28</v>
      </c>
      <c r="D1329" s="16" t="str">
        <f aca="false">Bank_Statement!D569</f>
        <v>PMT-V1028</v>
      </c>
      <c r="E1329" s="16" t="str">
        <f aca="false">Bank_Statement!E569</f>
        <v>PAY40568</v>
      </c>
      <c r="F1329" s="16" t="str">
        <f aca="false">IF(E1329="","N/A",IF(COUNTIF(Payment_Log_AP!$A$2:$A$753,E1329)&gt;0,"Yes","No"))</f>
        <v>Yes</v>
      </c>
      <c r="G1329" s="16" t="str">
        <f aca="false">IF(E1329="","Unexplained Bank Item (fee/other - review)",IF(F1329="Yes","Matched","Payment Reference Not Found in AP Log"))</f>
        <v>Matched</v>
      </c>
    </row>
    <row r="1330" customFormat="false" ht="15" hidden="false" customHeight="false" outlineLevel="0" collapsed="false">
      <c r="A1330" s="16" t="str">
        <f aca="false">Bank_Statement!A570</f>
        <v>BNK50569</v>
      </c>
      <c r="B1330" s="17" t="n">
        <f aca="false">Bank_Statement!B570</f>
        <v>45756</v>
      </c>
      <c r="C1330" s="18" t="n">
        <f aca="false">Bank_Statement!C570</f>
        <v>-603.77</v>
      </c>
      <c r="D1330" s="16" t="str">
        <f aca="false">Bank_Statement!D570</f>
        <v>PMT-V1028</v>
      </c>
      <c r="E1330" s="16" t="str">
        <f aca="false">Bank_Statement!E570</f>
        <v>PAY40569</v>
      </c>
      <c r="F1330" s="16" t="str">
        <f aca="false">IF(E1330="","N/A",IF(COUNTIF(Payment_Log_AP!$A$2:$A$753,E1330)&gt;0,"Yes","No"))</f>
        <v>Yes</v>
      </c>
      <c r="G1330" s="16" t="str">
        <f aca="false">IF(E1330="","Unexplained Bank Item (fee/other - review)",IF(F1330="Yes","Matched","Payment Reference Not Found in AP Log"))</f>
        <v>Matched</v>
      </c>
    </row>
    <row r="1331" customFormat="false" ht="15" hidden="false" customHeight="false" outlineLevel="0" collapsed="false">
      <c r="A1331" s="16" t="str">
        <f aca="false">Bank_Statement!A571</f>
        <v>BNK50570</v>
      </c>
      <c r="B1331" s="17" t="n">
        <f aca="false">Bank_Statement!B571</f>
        <v>46063</v>
      </c>
      <c r="C1331" s="18" t="n">
        <f aca="false">Bank_Statement!C571</f>
        <v>-767.92</v>
      </c>
      <c r="D1331" s="16" t="str">
        <f aca="false">Bank_Statement!D571</f>
        <v>PMT-V1040</v>
      </c>
      <c r="E1331" s="16" t="str">
        <f aca="false">Bank_Statement!E571</f>
        <v>PAY40570</v>
      </c>
      <c r="F1331" s="16" t="str">
        <f aca="false">IF(E1331="","N/A",IF(COUNTIF(Payment_Log_AP!$A$2:$A$753,E1331)&gt;0,"Yes","No"))</f>
        <v>Yes</v>
      </c>
      <c r="G1331" s="16" t="str">
        <f aca="false">IF(E1331="","Unexplained Bank Item (fee/other - review)",IF(F1331="Yes","Matched","Payment Reference Not Found in AP Log"))</f>
        <v>Matched</v>
      </c>
    </row>
    <row r="1332" customFormat="false" ht="15" hidden="false" customHeight="false" outlineLevel="0" collapsed="false">
      <c r="A1332" s="16" t="str">
        <f aca="false">Bank_Statement!A572</f>
        <v>BNK50571</v>
      </c>
      <c r="B1332" s="17" t="n">
        <f aca="false">Bank_Statement!B572</f>
        <v>46084</v>
      </c>
      <c r="C1332" s="18" t="n">
        <f aca="false">Bank_Statement!C572</f>
        <v>-2186.62</v>
      </c>
      <c r="D1332" s="16" t="str">
        <f aca="false">Bank_Statement!D572</f>
        <v>PMT-V1010</v>
      </c>
      <c r="E1332" s="16" t="str">
        <f aca="false">Bank_Statement!E572</f>
        <v>PAY40571</v>
      </c>
      <c r="F1332" s="16" t="str">
        <f aca="false">IF(E1332="","N/A",IF(COUNTIF(Payment_Log_AP!$A$2:$A$753,E1332)&gt;0,"Yes","No"))</f>
        <v>Yes</v>
      </c>
      <c r="G1332" s="16" t="str">
        <f aca="false">IF(E1332="","Unexplained Bank Item (fee/other - review)",IF(F1332="Yes","Matched","Payment Reference Not Found in AP Log"))</f>
        <v>Matched</v>
      </c>
    </row>
    <row r="1333" customFormat="false" ht="15" hidden="false" customHeight="false" outlineLevel="0" collapsed="false">
      <c r="A1333" s="16" t="str">
        <f aca="false">Bank_Statement!A573</f>
        <v>BNK50572</v>
      </c>
      <c r="B1333" s="17" t="n">
        <f aca="false">Bank_Statement!B573</f>
        <v>46203</v>
      </c>
      <c r="C1333" s="18" t="n">
        <f aca="false">Bank_Statement!C573</f>
        <v>-2778.4</v>
      </c>
      <c r="D1333" s="16" t="str">
        <f aca="false">Bank_Statement!D573</f>
        <v>PMT-V1022</v>
      </c>
      <c r="E1333" s="16" t="str">
        <f aca="false">Bank_Statement!E573</f>
        <v>PAY40572</v>
      </c>
      <c r="F1333" s="16" t="str">
        <f aca="false">IF(E1333="","N/A",IF(COUNTIF(Payment_Log_AP!$A$2:$A$753,E1333)&gt;0,"Yes","No"))</f>
        <v>Yes</v>
      </c>
      <c r="G1333" s="16" t="str">
        <f aca="false">IF(E1333="","Unexplained Bank Item (fee/other - review)",IF(F1333="Yes","Matched","Payment Reference Not Found in AP Log"))</f>
        <v>Matched</v>
      </c>
    </row>
    <row r="1334" customFormat="false" ht="15" hidden="false" customHeight="false" outlineLevel="0" collapsed="false">
      <c r="A1334" s="16" t="str">
        <f aca="false">Bank_Statement!A574</f>
        <v>BNK50573</v>
      </c>
      <c r="B1334" s="17" t="n">
        <f aca="false">Bank_Statement!B574</f>
        <v>45916</v>
      </c>
      <c r="C1334" s="18" t="n">
        <f aca="false">Bank_Statement!C574</f>
        <v>-989.27</v>
      </c>
      <c r="D1334" s="16" t="str">
        <f aca="false">Bank_Statement!D574</f>
        <v>PMT-V1037</v>
      </c>
      <c r="E1334" s="16" t="str">
        <f aca="false">Bank_Statement!E574</f>
        <v>PAY40573</v>
      </c>
      <c r="F1334" s="16" t="str">
        <f aca="false">IF(E1334="","N/A",IF(COUNTIF(Payment_Log_AP!$A$2:$A$753,E1334)&gt;0,"Yes","No"))</f>
        <v>Yes</v>
      </c>
      <c r="G1334" s="16" t="str">
        <f aca="false">IF(E1334="","Unexplained Bank Item (fee/other - review)",IF(F1334="Yes","Matched","Payment Reference Not Found in AP Log"))</f>
        <v>Matched</v>
      </c>
    </row>
    <row r="1335" customFormat="false" ht="15" hidden="false" customHeight="false" outlineLevel="0" collapsed="false">
      <c r="A1335" s="16" t="str">
        <f aca="false">Bank_Statement!A575</f>
        <v>BNK50574</v>
      </c>
      <c r="B1335" s="17" t="n">
        <f aca="false">Bank_Statement!B575</f>
        <v>46118</v>
      </c>
      <c r="C1335" s="18" t="n">
        <f aca="false">Bank_Statement!C575</f>
        <v>-1556.9</v>
      </c>
      <c r="D1335" s="16" t="str">
        <f aca="false">Bank_Statement!D575</f>
        <v>PMT-V1032</v>
      </c>
      <c r="E1335" s="16" t="str">
        <f aca="false">Bank_Statement!E575</f>
        <v>PAY40574</v>
      </c>
      <c r="F1335" s="16" t="str">
        <f aca="false">IF(E1335="","N/A",IF(COUNTIF(Payment_Log_AP!$A$2:$A$753,E1335)&gt;0,"Yes","No"))</f>
        <v>Yes</v>
      </c>
      <c r="G1335" s="16" t="str">
        <f aca="false">IF(E1335="","Unexplained Bank Item (fee/other - review)",IF(F1335="Yes","Matched","Payment Reference Not Found in AP Log"))</f>
        <v>Matched</v>
      </c>
    </row>
    <row r="1336" customFormat="false" ht="15" hidden="false" customHeight="false" outlineLevel="0" collapsed="false">
      <c r="A1336" s="16" t="str">
        <f aca="false">Bank_Statement!A576</f>
        <v>BNK50575</v>
      </c>
      <c r="B1336" s="17" t="n">
        <f aca="false">Bank_Statement!B576</f>
        <v>45758</v>
      </c>
      <c r="C1336" s="18" t="n">
        <f aca="false">Bank_Statement!C576</f>
        <v>-6662.15</v>
      </c>
      <c r="D1336" s="16" t="str">
        <f aca="false">Bank_Statement!D576</f>
        <v>PMT-V1011</v>
      </c>
      <c r="E1336" s="16" t="str">
        <f aca="false">Bank_Statement!E576</f>
        <v>PAY40575</v>
      </c>
      <c r="F1336" s="16" t="str">
        <f aca="false">IF(E1336="","N/A",IF(COUNTIF(Payment_Log_AP!$A$2:$A$753,E1336)&gt;0,"Yes","No"))</f>
        <v>Yes</v>
      </c>
      <c r="G1336" s="16" t="str">
        <f aca="false">IF(E1336="","Unexplained Bank Item (fee/other - review)",IF(F1336="Yes","Matched","Payment Reference Not Found in AP Log"))</f>
        <v>Matched</v>
      </c>
    </row>
    <row r="1337" customFormat="false" ht="15" hidden="false" customHeight="false" outlineLevel="0" collapsed="false">
      <c r="A1337" s="16" t="str">
        <f aca="false">Bank_Statement!A577</f>
        <v>BNK50576</v>
      </c>
      <c r="B1337" s="17" t="n">
        <f aca="false">Bank_Statement!B577</f>
        <v>45906</v>
      </c>
      <c r="C1337" s="18" t="n">
        <f aca="false">Bank_Statement!C577</f>
        <v>-5757.86</v>
      </c>
      <c r="D1337" s="16" t="str">
        <f aca="false">Bank_Statement!D577</f>
        <v>PMT-V1039</v>
      </c>
      <c r="E1337" s="16" t="str">
        <f aca="false">Bank_Statement!E577</f>
        <v>PAY40576</v>
      </c>
      <c r="F1337" s="16" t="str">
        <f aca="false">IF(E1337="","N/A",IF(COUNTIF(Payment_Log_AP!$A$2:$A$753,E1337)&gt;0,"Yes","No"))</f>
        <v>Yes</v>
      </c>
      <c r="G1337" s="16" t="str">
        <f aca="false">IF(E1337="","Unexplained Bank Item (fee/other - review)",IF(F1337="Yes","Matched","Payment Reference Not Found in AP Log"))</f>
        <v>Matched</v>
      </c>
    </row>
    <row r="1338" customFormat="false" ht="15" hidden="false" customHeight="false" outlineLevel="0" collapsed="false">
      <c r="A1338" s="16" t="str">
        <f aca="false">Bank_Statement!A578</f>
        <v>BNK50577</v>
      </c>
      <c r="B1338" s="17" t="n">
        <f aca="false">Bank_Statement!B578</f>
        <v>45755</v>
      </c>
      <c r="C1338" s="18" t="n">
        <f aca="false">Bank_Statement!C578</f>
        <v>-6869</v>
      </c>
      <c r="D1338" s="16" t="str">
        <f aca="false">Bank_Statement!D578</f>
        <v>PMT-V1030</v>
      </c>
      <c r="E1338" s="16" t="str">
        <f aca="false">Bank_Statement!E578</f>
        <v>PAY40577</v>
      </c>
      <c r="F1338" s="16" t="str">
        <f aca="false">IF(E1338="","N/A",IF(COUNTIF(Payment_Log_AP!$A$2:$A$753,E1338)&gt;0,"Yes","No"))</f>
        <v>Yes</v>
      </c>
      <c r="G1338" s="16" t="str">
        <f aca="false">IF(E1338="","Unexplained Bank Item (fee/other - review)",IF(F1338="Yes","Matched","Payment Reference Not Found in AP Log"))</f>
        <v>Matched</v>
      </c>
    </row>
    <row r="1339" customFormat="false" ht="15" hidden="false" customHeight="false" outlineLevel="0" collapsed="false">
      <c r="A1339" s="16" t="str">
        <f aca="false">Bank_Statement!A579</f>
        <v>BNK50578</v>
      </c>
      <c r="B1339" s="17" t="n">
        <f aca="false">Bank_Statement!B579</f>
        <v>45959</v>
      </c>
      <c r="C1339" s="18" t="n">
        <f aca="false">Bank_Statement!C579</f>
        <v>-228.89</v>
      </c>
      <c r="D1339" s="16" t="str">
        <f aca="false">Bank_Statement!D579</f>
        <v>PMT-V1029</v>
      </c>
      <c r="E1339" s="16" t="str">
        <f aca="false">Bank_Statement!E579</f>
        <v>PAY40578</v>
      </c>
      <c r="F1339" s="16" t="str">
        <f aca="false">IF(E1339="","N/A",IF(COUNTIF(Payment_Log_AP!$A$2:$A$753,E1339)&gt;0,"Yes","No"))</f>
        <v>Yes</v>
      </c>
      <c r="G1339" s="16" t="str">
        <f aca="false">IF(E1339="","Unexplained Bank Item (fee/other - review)",IF(F1339="Yes","Matched","Payment Reference Not Found in AP Log"))</f>
        <v>Matched</v>
      </c>
    </row>
    <row r="1340" customFormat="false" ht="15" hidden="false" customHeight="false" outlineLevel="0" collapsed="false">
      <c r="A1340" s="16" t="str">
        <f aca="false">Bank_Statement!A580</f>
        <v>BNK50579</v>
      </c>
      <c r="B1340" s="17" t="n">
        <f aca="false">Bank_Statement!B580</f>
        <v>45914</v>
      </c>
      <c r="C1340" s="18" t="n">
        <f aca="false">Bank_Statement!C580</f>
        <v>-887.06</v>
      </c>
      <c r="D1340" s="16" t="str">
        <f aca="false">Bank_Statement!D580</f>
        <v>PMT-V1020</v>
      </c>
      <c r="E1340" s="16" t="str">
        <f aca="false">Bank_Statement!E580</f>
        <v>PAY40579</v>
      </c>
      <c r="F1340" s="16" t="str">
        <f aca="false">IF(E1340="","N/A",IF(COUNTIF(Payment_Log_AP!$A$2:$A$753,E1340)&gt;0,"Yes","No"))</f>
        <v>Yes</v>
      </c>
      <c r="G1340" s="16" t="str">
        <f aca="false">IF(E1340="","Unexplained Bank Item (fee/other - review)",IF(F1340="Yes","Matched","Payment Reference Not Found in AP Log"))</f>
        <v>Matched</v>
      </c>
    </row>
    <row r="1341" customFormat="false" ht="15" hidden="false" customHeight="false" outlineLevel="0" collapsed="false">
      <c r="A1341" s="16" t="str">
        <f aca="false">Bank_Statement!A581</f>
        <v>BNK50580</v>
      </c>
      <c r="B1341" s="17" t="n">
        <f aca="false">Bank_Statement!B581</f>
        <v>46182</v>
      </c>
      <c r="C1341" s="18" t="n">
        <f aca="false">Bank_Statement!C581</f>
        <v>-2875.96</v>
      </c>
      <c r="D1341" s="16" t="str">
        <f aca="false">Bank_Statement!D581</f>
        <v>PMT-V1002</v>
      </c>
      <c r="E1341" s="16" t="str">
        <f aca="false">Bank_Statement!E581</f>
        <v>PAY40580</v>
      </c>
      <c r="F1341" s="16" t="str">
        <f aca="false">IF(E1341="","N/A",IF(COUNTIF(Payment_Log_AP!$A$2:$A$753,E1341)&gt;0,"Yes","No"))</f>
        <v>Yes</v>
      </c>
      <c r="G1341" s="16" t="str">
        <f aca="false">IF(E1341="","Unexplained Bank Item (fee/other - review)",IF(F1341="Yes","Matched","Payment Reference Not Found in AP Log"))</f>
        <v>Matched</v>
      </c>
    </row>
    <row r="1342" customFormat="false" ht="15" hidden="false" customHeight="false" outlineLevel="0" collapsed="false">
      <c r="A1342" s="16" t="str">
        <f aca="false">Bank_Statement!A582</f>
        <v>BNK50581</v>
      </c>
      <c r="B1342" s="17" t="n">
        <f aca="false">Bank_Statement!B582</f>
        <v>45712</v>
      </c>
      <c r="C1342" s="18" t="n">
        <f aca="false">Bank_Statement!C582</f>
        <v>-3337.25</v>
      </c>
      <c r="D1342" s="16" t="str">
        <f aca="false">Bank_Statement!D582</f>
        <v>PMT-V1004</v>
      </c>
      <c r="E1342" s="16" t="str">
        <f aca="false">Bank_Statement!E582</f>
        <v>PAY40581</v>
      </c>
      <c r="F1342" s="16" t="str">
        <f aca="false">IF(E1342="","N/A",IF(COUNTIF(Payment_Log_AP!$A$2:$A$753,E1342)&gt;0,"Yes","No"))</f>
        <v>Yes</v>
      </c>
      <c r="G1342" s="16" t="str">
        <f aca="false">IF(E1342="","Unexplained Bank Item (fee/other - review)",IF(F1342="Yes","Matched","Payment Reference Not Found in AP Log"))</f>
        <v>Matched</v>
      </c>
    </row>
    <row r="1343" customFormat="false" ht="15" hidden="false" customHeight="false" outlineLevel="0" collapsed="false">
      <c r="A1343" s="16" t="str">
        <f aca="false">Bank_Statement!A583</f>
        <v>BNK50582</v>
      </c>
      <c r="B1343" s="17" t="n">
        <f aca="false">Bank_Statement!B583</f>
        <v>45894</v>
      </c>
      <c r="C1343" s="18" t="n">
        <f aca="false">Bank_Statement!C583</f>
        <v>-3555.6</v>
      </c>
      <c r="D1343" s="16" t="str">
        <f aca="false">Bank_Statement!D583</f>
        <v>PMT-V1038</v>
      </c>
      <c r="E1343" s="16" t="str">
        <f aca="false">Bank_Statement!E583</f>
        <v>PAY40582</v>
      </c>
      <c r="F1343" s="16" t="str">
        <f aca="false">IF(E1343="","N/A",IF(COUNTIF(Payment_Log_AP!$A$2:$A$753,E1343)&gt;0,"Yes","No"))</f>
        <v>Yes</v>
      </c>
      <c r="G1343" s="16" t="str">
        <f aca="false">IF(E1343="","Unexplained Bank Item (fee/other - review)",IF(F1343="Yes","Matched","Payment Reference Not Found in AP Log"))</f>
        <v>Matched</v>
      </c>
    </row>
    <row r="1344" customFormat="false" ht="15" hidden="false" customHeight="false" outlineLevel="0" collapsed="false">
      <c r="A1344" s="16" t="str">
        <f aca="false">Bank_Statement!A584</f>
        <v>BNK50583</v>
      </c>
      <c r="B1344" s="17" t="n">
        <f aca="false">Bank_Statement!B584</f>
        <v>45940</v>
      </c>
      <c r="C1344" s="18" t="n">
        <f aca="false">Bank_Statement!C584</f>
        <v>-313.22</v>
      </c>
      <c r="D1344" s="16" t="str">
        <f aca="false">Bank_Statement!D584</f>
        <v>PMT-V1012</v>
      </c>
      <c r="E1344" s="16" t="str">
        <f aca="false">Bank_Statement!E584</f>
        <v>PAY40583</v>
      </c>
      <c r="F1344" s="16" t="str">
        <f aca="false">IF(E1344="","N/A",IF(COUNTIF(Payment_Log_AP!$A$2:$A$753,E1344)&gt;0,"Yes","No"))</f>
        <v>Yes</v>
      </c>
      <c r="G1344" s="16" t="str">
        <f aca="false">IF(E1344="","Unexplained Bank Item (fee/other - review)",IF(F1344="Yes","Matched","Payment Reference Not Found in AP Log"))</f>
        <v>Matched</v>
      </c>
    </row>
    <row r="1345" customFormat="false" ht="15" hidden="false" customHeight="false" outlineLevel="0" collapsed="false">
      <c r="A1345" s="16" t="str">
        <f aca="false">Bank_Statement!A585</f>
        <v>BNK50584</v>
      </c>
      <c r="B1345" s="17" t="n">
        <f aca="false">Bank_Statement!B585</f>
        <v>46204</v>
      </c>
      <c r="C1345" s="18" t="n">
        <f aca="false">Bank_Statement!C585</f>
        <v>-36063.86</v>
      </c>
      <c r="D1345" s="16" t="str">
        <f aca="false">Bank_Statement!D585</f>
        <v>PMT-V1001</v>
      </c>
      <c r="E1345" s="16" t="str">
        <f aca="false">Bank_Statement!E585</f>
        <v>PAY40584</v>
      </c>
      <c r="F1345" s="16" t="str">
        <f aca="false">IF(E1345="","N/A",IF(COUNTIF(Payment_Log_AP!$A$2:$A$753,E1345)&gt;0,"Yes","No"))</f>
        <v>Yes</v>
      </c>
      <c r="G1345" s="16" t="str">
        <f aca="false">IF(E1345="","Unexplained Bank Item (fee/other - review)",IF(F1345="Yes","Matched","Payment Reference Not Found in AP Log"))</f>
        <v>Matched</v>
      </c>
    </row>
    <row r="1346" customFormat="false" ht="15" hidden="false" customHeight="false" outlineLevel="0" collapsed="false">
      <c r="A1346" s="16" t="str">
        <f aca="false">Bank_Statement!A586</f>
        <v>BNK50585</v>
      </c>
      <c r="B1346" s="17" t="n">
        <f aca="false">Bank_Statement!B586</f>
        <v>46165</v>
      </c>
      <c r="C1346" s="18" t="n">
        <f aca="false">Bank_Statement!C586</f>
        <v>-1139.17</v>
      </c>
      <c r="D1346" s="16" t="str">
        <f aca="false">Bank_Statement!D586</f>
        <v>PMT-V1007</v>
      </c>
      <c r="E1346" s="16" t="str">
        <f aca="false">Bank_Statement!E586</f>
        <v>PAY40585</v>
      </c>
      <c r="F1346" s="16" t="str">
        <f aca="false">IF(E1346="","N/A",IF(COUNTIF(Payment_Log_AP!$A$2:$A$753,E1346)&gt;0,"Yes","No"))</f>
        <v>Yes</v>
      </c>
      <c r="G1346" s="16" t="str">
        <f aca="false">IF(E1346="","Unexplained Bank Item (fee/other - review)",IF(F1346="Yes","Matched","Payment Reference Not Found in AP Log"))</f>
        <v>Matched</v>
      </c>
    </row>
    <row r="1347" customFormat="false" ht="15" hidden="false" customHeight="false" outlineLevel="0" collapsed="false">
      <c r="A1347" s="16" t="str">
        <f aca="false">Bank_Statement!A587</f>
        <v>BNK50586</v>
      </c>
      <c r="B1347" s="17" t="n">
        <f aca="false">Bank_Statement!B587</f>
        <v>45744</v>
      </c>
      <c r="C1347" s="18" t="n">
        <f aca="false">Bank_Statement!C587</f>
        <v>-989.07</v>
      </c>
      <c r="D1347" s="16" t="str">
        <f aca="false">Bank_Statement!D587</f>
        <v>PMT-V1025</v>
      </c>
      <c r="E1347" s="16" t="str">
        <f aca="false">Bank_Statement!E587</f>
        <v>PAY40586</v>
      </c>
      <c r="F1347" s="16" t="str">
        <f aca="false">IF(E1347="","N/A",IF(COUNTIF(Payment_Log_AP!$A$2:$A$753,E1347)&gt;0,"Yes","No"))</f>
        <v>Yes</v>
      </c>
      <c r="G1347" s="16" t="str">
        <f aca="false">IF(E1347="","Unexplained Bank Item (fee/other - review)",IF(F1347="Yes","Matched","Payment Reference Not Found in AP Log"))</f>
        <v>Matched</v>
      </c>
    </row>
    <row r="1348" customFormat="false" ht="15" hidden="false" customHeight="false" outlineLevel="0" collapsed="false">
      <c r="A1348" s="16" t="str">
        <f aca="false">Bank_Statement!A588</f>
        <v>BNK50587</v>
      </c>
      <c r="B1348" s="17" t="n">
        <f aca="false">Bank_Statement!B588</f>
        <v>45988</v>
      </c>
      <c r="C1348" s="18" t="n">
        <f aca="false">Bank_Statement!C588</f>
        <v>-2408.69</v>
      </c>
      <c r="D1348" s="16" t="str">
        <f aca="false">Bank_Statement!D588</f>
        <v>PMT-V1032</v>
      </c>
      <c r="E1348" s="16" t="str">
        <f aca="false">Bank_Statement!E588</f>
        <v>PAY40587</v>
      </c>
      <c r="F1348" s="16" t="str">
        <f aca="false">IF(E1348="","N/A",IF(COUNTIF(Payment_Log_AP!$A$2:$A$753,E1348)&gt;0,"Yes","No"))</f>
        <v>Yes</v>
      </c>
      <c r="G1348" s="16" t="str">
        <f aca="false">IF(E1348="","Unexplained Bank Item (fee/other - review)",IF(F1348="Yes","Matched","Payment Reference Not Found in AP Log"))</f>
        <v>Matched</v>
      </c>
    </row>
    <row r="1349" customFormat="false" ht="15" hidden="false" customHeight="false" outlineLevel="0" collapsed="false">
      <c r="A1349" s="16" t="str">
        <f aca="false">Bank_Statement!A589</f>
        <v>BNK50588</v>
      </c>
      <c r="B1349" s="17" t="n">
        <f aca="false">Bank_Statement!B589</f>
        <v>45888</v>
      </c>
      <c r="C1349" s="18" t="n">
        <f aca="false">Bank_Statement!C589</f>
        <v>-526.61</v>
      </c>
      <c r="D1349" s="16" t="str">
        <f aca="false">Bank_Statement!D589</f>
        <v>PMT-V1030</v>
      </c>
      <c r="E1349" s="16" t="str">
        <f aca="false">Bank_Statement!E589</f>
        <v>PAY40588</v>
      </c>
      <c r="F1349" s="16" t="str">
        <f aca="false">IF(E1349="","N/A",IF(COUNTIF(Payment_Log_AP!$A$2:$A$753,E1349)&gt;0,"Yes","No"))</f>
        <v>Yes</v>
      </c>
      <c r="G1349" s="16" t="str">
        <f aca="false">IF(E1349="","Unexplained Bank Item (fee/other - review)",IF(F1349="Yes","Matched","Payment Reference Not Found in AP Log"))</f>
        <v>Matched</v>
      </c>
    </row>
    <row r="1350" customFormat="false" ht="15" hidden="false" customHeight="false" outlineLevel="0" collapsed="false">
      <c r="A1350" s="16" t="str">
        <f aca="false">Bank_Statement!A590</f>
        <v>BNK50589</v>
      </c>
      <c r="B1350" s="17" t="n">
        <f aca="false">Bank_Statement!B590</f>
        <v>45750</v>
      </c>
      <c r="C1350" s="18" t="n">
        <f aca="false">Bank_Statement!C590</f>
        <v>-3315.09</v>
      </c>
      <c r="D1350" s="16" t="str">
        <f aca="false">Bank_Statement!D590</f>
        <v>PMT-V1008</v>
      </c>
      <c r="E1350" s="16" t="str">
        <f aca="false">Bank_Statement!E590</f>
        <v>PAY40589</v>
      </c>
      <c r="F1350" s="16" t="str">
        <f aca="false">IF(E1350="","N/A",IF(COUNTIF(Payment_Log_AP!$A$2:$A$753,E1350)&gt;0,"Yes","No"))</f>
        <v>Yes</v>
      </c>
      <c r="G1350" s="16" t="str">
        <f aca="false">IF(E1350="","Unexplained Bank Item (fee/other - review)",IF(F1350="Yes","Matched","Payment Reference Not Found in AP Log"))</f>
        <v>Matched</v>
      </c>
    </row>
    <row r="1351" customFormat="false" ht="15" hidden="false" customHeight="false" outlineLevel="0" collapsed="false">
      <c r="A1351" s="16" t="str">
        <f aca="false">Bank_Statement!A591</f>
        <v>BNK50590</v>
      </c>
      <c r="B1351" s="17" t="n">
        <f aca="false">Bank_Statement!B591</f>
        <v>46152</v>
      </c>
      <c r="C1351" s="18" t="n">
        <f aca="false">Bank_Statement!C591</f>
        <v>-1645.78</v>
      </c>
      <c r="D1351" s="16" t="str">
        <f aca="false">Bank_Statement!D591</f>
        <v>PMT-V1009</v>
      </c>
      <c r="E1351" s="16" t="str">
        <f aca="false">Bank_Statement!E591</f>
        <v>PAY40590</v>
      </c>
      <c r="F1351" s="16" t="str">
        <f aca="false">IF(E1351="","N/A",IF(COUNTIF(Payment_Log_AP!$A$2:$A$753,E1351)&gt;0,"Yes","No"))</f>
        <v>Yes</v>
      </c>
      <c r="G1351" s="16" t="str">
        <f aca="false">IF(E1351="","Unexplained Bank Item (fee/other - review)",IF(F1351="Yes","Matched","Payment Reference Not Found in AP Log"))</f>
        <v>Matched</v>
      </c>
    </row>
    <row r="1352" customFormat="false" ht="15" hidden="false" customHeight="false" outlineLevel="0" collapsed="false">
      <c r="A1352" s="16" t="str">
        <f aca="false">Bank_Statement!A592</f>
        <v>BNK50591</v>
      </c>
      <c r="B1352" s="17" t="n">
        <f aca="false">Bank_Statement!B592</f>
        <v>46163</v>
      </c>
      <c r="C1352" s="18" t="n">
        <f aca="false">Bank_Statement!C592</f>
        <v>-1645.78</v>
      </c>
      <c r="D1352" s="16" t="str">
        <f aca="false">Bank_Statement!D592</f>
        <v>PMT-V1009</v>
      </c>
      <c r="E1352" s="16" t="str">
        <f aca="false">Bank_Statement!E592</f>
        <v>PAY40591</v>
      </c>
      <c r="F1352" s="16" t="str">
        <f aca="false">IF(E1352="","N/A",IF(COUNTIF(Payment_Log_AP!$A$2:$A$753,E1352)&gt;0,"Yes","No"))</f>
        <v>Yes</v>
      </c>
      <c r="G1352" s="16" t="str">
        <f aca="false">IF(E1352="","Unexplained Bank Item (fee/other - review)",IF(F1352="Yes","Matched","Payment Reference Not Found in AP Log"))</f>
        <v>Matched</v>
      </c>
    </row>
    <row r="1353" customFormat="false" ht="15" hidden="false" customHeight="false" outlineLevel="0" collapsed="false">
      <c r="A1353" s="16" t="str">
        <f aca="false">Bank_Statement!A593</f>
        <v>BNK50592</v>
      </c>
      <c r="B1353" s="17" t="n">
        <f aca="false">Bank_Statement!B593</f>
        <v>45939</v>
      </c>
      <c r="C1353" s="18" t="n">
        <f aca="false">Bank_Statement!C593</f>
        <v>-2048.02</v>
      </c>
      <c r="D1353" s="16" t="str">
        <f aca="false">Bank_Statement!D593</f>
        <v>PMT-V1009</v>
      </c>
      <c r="E1353" s="16" t="str">
        <f aca="false">Bank_Statement!E593</f>
        <v>PAY40592</v>
      </c>
      <c r="F1353" s="16" t="str">
        <f aca="false">IF(E1353="","N/A",IF(COUNTIF(Payment_Log_AP!$A$2:$A$753,E1353)&gt;0,"Yes","No"))</f>
        <v>Yes</v>
      </c>
      <c r="G1353" s="16" t="str">
        <f aca="false">IF(E1353="","Unexplained Bank Item (fee/other - review)",IF(F1353="Yes","Matched","Payment Reference Not Found in AP Log"))</f>
        <v>Matched</v>
      </c>
    </row>
    <row r="1354" customFormat="false" ht="15" hidden="false" customHeight="false" outlineLevel="0" collapsed="false">
      <c r="A1354" s="16" t="str">
        <f aca="false">Bank_Statement!A594</f>
        <v>BNK50593</v>
      </c>
      <c r="B1354" s="17" t="n">
        <f aca="false">Bank_Statement!B594</f>
        <v>46060</v>
      </c>
      <c r="C1354" s="18" t="n">
        <f aca="false">Bank_Statement!C594</f>
        <v>-1796.9</v>
      </c>
      <c r="D1354" s="16" t="str">
        <f aca="false">Bank_Statement!D594</f>
        <v>PMT-V1025</v>
      </c>
      <c r="E1354" s="16" t="str">
        <f aca="false">Bank_Statement!E594</f>
        <v>PAY40593</v>
      </c>
      <c r="F1354" s="16" t="str">
        <f aca="false">IF(E1354="","N/A",IF(COUNTIF(Payment_Log_AP!$A$2:$A$753,E1354)&gt;0,"Yes","No"))</f>
        <v>Yes</v>
      </c>
      <c r="G1354" s="16" t="str">
        <f aca="false">IF(E1354="","Unexplained Bank Item (fee/other - review)",IF(F1354="Yes","Matched","Payment Reference Not Found in AP Log"))</f>
        <v>Matched</v>
      </c>
    </row>
    <row r="1355" customFormat="false" ht="15" hidden="false" customHeight="false" outlineLevel="0" collapsed="false">
      <c r="A1355" s="16" t="str">
        <f aca="false">Bank_Statement!A595</f>
        <v>BNK50594</v>
      </c>
      <c r="B1355" s="17" t="n">
        <f aca="false">Bank_Statement!B595</f>
        <v>46062</v>
      </c>
      <c r="C1355" s="18" t="n">
        <f aca="false">Bank_Statement!C595</f>
        <v>-2764.38</v>
      </c>
      <c r="D1355" s="16" t="str">
        <f aca="false">Bank_Statement!D595</f>
        <v>PMT-V1012</v>
      </c>
      <c r="E1355" s="16" t="str">
        <f aca="false">Bank_Statement!E595</f>
        <v>PAY40594</v>
      </c>
      <c r="F1355" s="16" t="str">
        <f aca="false">IF(E1355="","N/A",IF(COUNTIF(Payment_Log_AP!$A$2:$A$753,E1355)&gt;0,"Yes","No"))</f>
        <v>Yes</v>
      </c>
      <c r="G1355" s="16" t="str">
        <f aca="false">IF(E1355="","Unexplained Bank Item (fee/other - review)",IF(F1355="Yes","Matched","Payment Reference Not Found in AP Log"))</f>
        <v>Matched</v>
      </c>
    </row>
    <row r="1356" customFormat="false" ht="15" hidden="false" customHeight="false" outlineLevel="0" collapsed="false">
      <c r="A1356" s="16" t="str">
        <f aca="false">Bank_Statement!A596</f>
        <v>BNK50595</v>
      </c>
      <c r="B1356" s="17" t="n">
        <f aca="false">Bank_Statement!B596</f>
        <v>46011</v>
      </c>
      <c r="C1356" s="18" t="n">
        <f aca="false">Bank_Statement!C596</f>
        <v>-3596.65</v>
      </c>
      <c r="D1356" s="16" t="str">
        <f aca="false">Bank_Statement!D596</f>
        <v>PMT-V1012</v>
      </c>
      <c r="E1356" s="16" t="str">
        <f aca="false">Bank_Statement!E596</f>
        <v>PAY40595</v>
      </c>
      <c r="F1356" s="16" t="str">
        <f aca="false">IF(E1356="","N/A",IF(COUNTIF(Payment_Log_AP!$A$2:$A$753,E1356)&gt;0,"Yes","No"))</f>
        <v>Yes</v>
      </c>
      <c r="G1356" s="16" t="str">
        <f aca="false">IF(E1356="","Unexplained Bank Item (fee/other - review)",IF(F1356="Yes","Matched","Payment Reference Not Found in AP Log"))</f>
        <v>Matched</v>
      </c>
    </row>
    <row r="1357" customFormat="false" ht="15" hidden="false" customHeight="false" outlineLevel="0" collapsed="false">
      <c r="A1357" s="16" t="str">
        <f aca="false">Bank_Statement!A597</f>
        <v>BNK50596</v>
      </c>
      <c r="B1357" s="17" t="n">
        <f aca="false">Bank_Statement!B597</f>
        <v>46132</v>
      </c>
      <c r="C1357" s="18" t="n">
        <f aca="false">Bank_Statement!C597</f>
        <v>-2397.02</v>
      </c>
      <c r="D1357" s="16" t="str">
        <f aca="false">Bank_Statement!D597</f>
        <v>PMT-V1039</v>
      </c>
      <c r="E1357" s="16" t="str">
        <f aca="false">Bank_Statement!E597</f>
        <v>PAY40596</v>
      </c>
      <c r="F1357" s="16" t="str">
        <f aca="false">IF(E1357="","N/A",IF(COUNTIF(Payment_Log_AP!$A$2:$A$753,E1357)&gt;0,"Yes","No"))</f>
        <v>Yes</v>
      </c>
      <c r="G1357" s="16" t="str">
        <f aca="false">IF(E1357="","Unexplained Bank Item (fee/other - review)",IF(F1357="Yes","Matched","Payment Reference Not Found in AP Log"))</f>
        <v>Matched</v>
      </c>
    </row>
    <row r="1358" customFormat="false" ht="15" hidden="false" customHeight="false" outlineLevel="0" collapsed="false">
      <c r="A1358" s="16" t="str">
        <f aca="false">Bank_Statement!A598</f>
        <v>BNK50597</v>
      </c>
      <c r="B1358" s="17" t="n">
        <f aca="false">Bank_Statement!B598</f>
        <v>45824</v>
      </c>
      <c r="C1358" s="18" t="n">
        <f aca="false">Bank_Statement!C598</f>
        <v>-15935.12</v>
      </c>
      <c r="D1358" s="16" t="str">
        <f aca="false">Bank_Statement!D598</f>
        <v>PMT-V1035</v>
      </c>
      <c r="E1358" s="16" t="str">
        <f aca="false">Bank_Statement!E598</f>
        <v>PAY40597</v>
      </c>
      <c r="F1358" s="16" t="str">
        <f aca="false">IF(E1358="","N/A",IF(COUNTIF(Payment_Log_AP!$A$2:$A$753,E1358)&gt;0,"Yes","No"))</f>
        <v>Yes</v>
      </c>
      <c r="G1358" s="16" t="str">
        <f aca="false">IF(E1358="","Unexplained Bank Item (fee/other - review)",IF(F1358="Yes","Matched","Payment Reference Not Found in AP Log"))</f>
        <v>Matched</v>
      </c>
    </row>
    <row r="1359" customFormat="false" ht="15" hidden="false" customHeight="false" outlineLevel="0" collapsed="false">
      <c r="A1359" s="16" t="str">
        <f aca="false">Bank_Statement!A599</f>
        <v>BNK50598</v>
      </c>
      <c r="B1359" s="17" t="n">
        <f aca="false">Bank_Statement!B599</f>
        <v>45763</v>
      </c>
      <c r="C1359" s="18" t="n">
        <f aca="false">Bank_Statement!C599</f>
        <v>-524.67</v>
      </c>
      <c r="D1359" s="16" t="str">
        <f aca="false">Bank_Statement!D599</f>
        <v>PMT-V1028</v>
      </c>
      <c r="E1359" s="16" t="str">
        <f aca="false">Bank_Statement!E599</f>
        <v>PAY40598</v>
      </c>
      <c r="F1359" s="16" t="str">
        <f aca="false">IF(E1359="","N/A",IF(COUNTIF(Payment_Log_AP!$A$2:$A$753,E1359)&gt;0,"Yes","No"))</f>
        <v>Yes</v>
      </c>
      <c r="G1359" s="16" t="str">
        <f aca="false">IF(E1359="","Unexplained Bank Item (fee/other - review)",IF(F1359="Yes","Matched","Payment Reference Not Found in AP Log"))</f>
        <v>Matched</v>
      </c>
    </row>
    <row r="1360" customFormat="false" ht="15" hidden="false" customHeight="false" outlineLevel="0" collapsed="false">
      <c r="A1360" s="16" t="str">
        <f aca="false">Bank_Statement!A600</f>
        <v>BNK50599</v>
      </c>
      <c r="B1360" s="17" t="n">
        <f aca="false">Bank_Statement!B600</f>
        <v>45755</v>
      </c>
      <c r="C1360" s="18" t="n">
        <f aca="false">Bank_Statement!C600</f>
        <v>-979.13</v>
      </c>
      <c r="D1360" s="16" t="str">
        <f aca="false">Bank_Statement!D600</f>
        <v>PMT-V1040</v>
      </c>
      <c r="E1360" s="16" t="str">
        <f aca="false">Bank_Statement!E600</f>
        <v>PAY40599</v>
      </c>
      <c r="F1360" s="16" t="str">
        <f aca="false">IF(E1360="","N/A",IF(COUNTIF(Payment_Log_AP!$A$2:$A$753,E1360)&gt;0,"Yes","No"))</f>
        <v>Yes</v>
      </c>
      <c r="G1360" s="16" t="str">
        <f aca="false">IF(E1360="","Unexplained Bank Item (fee/other - review)",IF(F1360="Yes","Matched","Payment Reference Not Found in AP Log"))</f>
        <v>Matched</v>
      </c>
    </row>
    <row r="1361" customFormat="false" ht="15" hidden="false" customHeight="false" outlineLevel="0" collapsed="false">
      <c r="A1361" s="16" t="str">
        <f aca="false">Bank_Statement!A601</f>
        <v>BNK50600</v>
      </c>
      <c r="B1361" s="17" t="n">
        <f aca="false">Bank_Statement!B601</f>
        <v>46095</v>
      </c>
      <c r="C1361" s="18" t="n">
        <f aca="false">Bank_Statement!C601</f>
        <v>-3602.11</v>
      </c>
      <c r="D1361" s="16" t="str">
        <f aca="false">Bank_Statement!D601</f>
        <v>PMT-V1006</v>
      </c>
      <c r="E1361" s="16" t="str">
        <f aca="false">Bank_Statement!E601</f>
        <v>PAY40600</v>
      </c>
      <c r="F1361" s="16" t="str">
        <f aca="false">IF(E1361="","N/A",IF(COUNTIF(Payment_Log_AP!$A$2:$A$753,E1361)&gt;0,"Yes","No"))</f>
        <v>Yes</v>
      </c>
      <c r="G1361" s="16" t="str">
        <f aca="false">IF(E1361="","Unexplained Bank Item (fee/other - review)",IF(F1361="Yes","Matched","Payment Reference Not Found in AP Log"))</f>
        <v>Matched</v>
      </c>
    </row>
    <row r="1362" customFormat="false" ht="15" hidden="false" customHeight="false" outlineLevel="0" collapsed="false">
      <c r="A1362" s="16" t="str">
        <f aca="false">Bank_Statement!A602</f>
        <v>BNK50601</v>
      </c>
      <c r="B1362" s="17" t="n">
        <f aca="false">Bank_Statement!B602</f>
        <v>45775</v>
      </c>
      <c r="C1362" s="18" t="n">
        <f aca="false">Bank_Statement!C602</f>
        <v>-579.61</v>
      </c>
      <c r="D1362" s="16" t="str">
        <f aca="false">Bank_Statement!D602</f>
        <v>PMT-V1015</v>
      </c>
      <c r="E1362" s="16" t="str">
        <f aca="false">Bank_Statement!E602</f>
        <v>PAY40601</v>
      </c>
      <c r="F1362" s="16" t="str">
        <f aca="false">IF(E1362="","N/A",IF(COUNTIF(Payment_Log_AP!$A$2:$A$753,E1362)&gt;0,"Yes","No"))</f>
        <v>Yes</v>
      </c>
      <c r="G1362" s="16" t="str">
        <f aca="false">IF(E1362="","Unexplained Bank Item (fee/other - review)",IF(F1362="Yes","Matched","Payment Reference Not Found in AP Log"))</f>
        <v>Matched</v>
      </c>
    </row>
    <row r="1363" customFormat="false" ht="15" hidden="false" customHeight="false" outlineLevel="0" collapsed="false">
      <c r="A1363" s="16" t="str">
        <f aca="false">Bank_Statement!A603</f>
        <v>BNK50602</v>
      </c>
      <c r="B1363" s="17" t="n">
        <f aca="false">Bank_Statement!B603</f>
        <v>45811</v>
      </c>
      <c r="C1363" s="18" t="n">
        <f aca="false">Bank_Statement!C603</f>
        <v>-2463.86</v>
      </c>
      <c r="D1363" s="16" t="str">
        <f aca="false">Bank_Statement!D603</f>
        <v>PMT-V1018</v>
      </c>
      <c r="E1363" s="16" t="str">
        <f aca="false">Bank_Statement!E603</f>
        <v>PAY40602</v>
      </c>
      <c r="F1363" s="16" t="str">
        <f aca="false">IF(E1363="","N/A",IF(COUNTIF(Payment_Log_AP!$A$2:$A$753,E1363)&gt;0,"Yes","No"))</f>
        <v>Yes</v>
      </c>
      <c r="G1363" s="16" t="str">
        <f aca="false">IF(E1363="","Unexplained Bank Item (fee/other - review)",IF(F1363="Yes","Matched","Payment Reference Not Found in AP Log"))</f>
        <v>Matched</v>
      </c>
    </row>
    <row r="1364" customFormat="false" ht="15" hidden="false" customHeight="false" outlineLevel="0" collapsed="false">
      <c r="A1364" s="16" t="str">
        <f aca="false">Bank_Statement!A604</f>
        <v>BNK50603</v>
      </c>
      <c r="B1364" s="17" t="n">
        <f aca="false">Bank_Statement!B604</f>
        <v>46152</v>
      </c>
      <c r="C1364" s="18" t="n">
        <f aca="false">Bank_Statement!C604</f>
        <v>-2741.68</v>
      </c>
      <c r="D1364" s="16" t="str">
        <f aca="false">Bank_Statement!D604</f>
        <v>PMT-V1020</v>
      </c>
      <c r="E1364" s="16" t="str">
        <f aca="false">Bank_Statement!E604</f>
        <v>PAY40603</v>
      </c>
      <c r="F1364" s="16" t="str">
        <f aca="false">IF(E1364="","N/A",IF(COUNTIF(Payment_Log_AP!$A$2:$A$753,E1364)&gt;0,"Yes","No"))</f>
        <v>Yes</v>
      </c>
      <c r="G1364" s="16" t="str">
        <f aca="false">IF(E1364="","Unexplained Bank Item (fee/other - review)",IF(F1364="Yes","Matched","Payment Reference Not Found in AP Log"))</f>
        <v>Matched</v>
      </c>
    </row>
    <row r="1365" customFormat="false" ht="15" hidden="false" customHeight="false" outlineLevel="0" collapsed="false">
      <c r="A1365" s="16" t="str">
        <f aca="false">Bank_Statement!A605</f>
        <v>BNK50604</v>
      </c>
      <c r="B1365" s="17" t="n">
        <f aca="false">Bank_Statement!B605</f>
        <v>45864</v>
      </c>
      <c r="C1365" s="18" t="n">
        <f aca="false">Bank_Statement!C605</f>
        <v>-683.18</v>
      </c>
      <c r="D1365" s="16" t="str">
        <f aca="false">Bank_Statement!D605</f>
        <v>PMT-V1022</v>
      </c>
      <c r="E1365" s="16" t="str">
        <f aca="false">Bank_Statement!E605</f>
        <v>PAY40604</v>
      </c>
      <c r="F1365" s="16" t="str">
        <f aca="false">IF(E1365="","N/A",IF(COUNTIF(Payment_Log_AP!$A$2:$A$753,E1365)&gt;0,"Yes","No"))</f>
        <v>Yes</v>
      </c>
      <c r="G1365" s="16" t="str">
        <f aca="false">IF(E1365="","Unexplained Bank Item (fee/other - review)",IF(F1365="Yes","Matched","Payment Reference Not Found in AP Log"))</f>
        <v>Matched</v>
      </c>
    </row>
    <row r="1366" customFormat="false" ht="15" hidden="false" customHeight="false" outlineLevel="0" collapsed="false">
      <c r="A1366" s="16" t="str">
        <f aca="false">Bank_Statement!A606</f>
        <v>BNK50605</v>
      </c>
      <c r="B1366" s="17" t="n">
        <f aca="false">Bank_Statement!B606</f>
        <v>45782</v>
      </c>
      <c r="C1366" s="18" t="n">
        <f aca="false">Bank_Statement!C606</f>
        <v>-1624.72</v>
      </c>
      <c r="D1366" s="16" t="str">
        <f aca="false">Bank_Statement!D606</f>
        <v>PMT-V1029</v>
      </c>
      <c r="E1366" s="16" t="str">
        <f aca="false">Bank_Statement!E606</f>
        <v>PAY40605</v>
      </c>
      <c r="F1366" s="16" t="str">
        <f aca="false">IF(E1366="","N/A",IF(COUNTIF(Payment_Log_AP!$A$2:$A$753,E1366)&gt;0,"Yes","No"))</f>
        <v>Yes</v>
      </c>
      <c r="G1366" s="16" t="str">
        <f aca="false">IF(E1366="","Unexplained Bank Item (fee/other - review)",IF(F1366="Yes","Matched","Payment Reference Not Found in AP Log"))</f>
        <v>Matched</v>
      </c>
    </row>
    <row r="1367" customFormat="false" ht="15" hidden="false" customHeight="false" outlineLevel="0" collapsed="false">
      <c r="A1367" s="16" t="str">
        <f aca="false">Bank_Statement!A607</f>
        <v>BNK50606</v>
      </c>
      <c r="B1367" s="17" t="n">
        <f aca="false">Bank_Statement!B607</f>
        <v>46169</v>
      </c>
      <c r="C1367" s="18" t="n">
        <f aca="false">Bank_Statement!C607</f>
        <v>-1846.75</v>
      </c>
      <c r="D1367" s="16" t="str">
        <f aca="false">Bank_Statement!D607</f>
        <v>PMT-V1018</v>
      </c>
      <c r="E1367" s="16" t="str">
        <f aca="false">Bank_Statement!E607</f>
        <v>PAY40606</v>
      </c>
      <c r="F1367" s="16" t="str">
        <f aca="false">IF(E1367="","N/A",IF(COUNTIF(Payment_Log_AP!$A$2:$A$753,E1367)&gt;0,"Yes","No"))</f>
        <v>Yes</v>
      </c>
      <c r="G1367" s="16" t="str">
        <f aca="false">IF(E1367="","Unexplained Bank Item (fee/other - review)",IF(F1367="Yes","Matched","Payment Reference Not Found in AP Log"))</f>
        <v>Matched</v>
      </c>
    </row>
    <row r="1368" customFormat="false" ht="15" hidden="false" customHeight="false" outlineLevel="0" collapsed="false">
      <c r="A1368" s="16" t="str">
        <f aca="false">Bank_Statement!A608</f>
        <v>BNK50607</v>
      </c>
      <c r="B1368" s="17" t="n">
        <f aca="false">Bank_Statement!B608</f>
        <v>45698</v>
      </c>
      <c r="C1368" s="18" t="n">
        <f aca="false">Bank_Statement!C608</f>
        <v>-1307.64</v>
      </c>
      <c r="D1368" s="16" t="str">
        <f aca="false">Bank_Statement!D608</f>
        <v>PMT-V1034</v>
      </c>
      <c r="E1368" s="16" t="str">
        <f aca="false">Bank_Statement!E608</f>
        <v>PAY40607</v>
      </c>
      <c r="F1368" s="16" t="str">
        <f aca="false">IF(E1368="","N/A",IF(COUNTIF(Payment_Log_AP!$A$2:$A$753,E1368)&gt;0,"Yes","No"))</f>
        <v>Yes</v>
      </c>
      <c r="G1368" s="16" t="str">
        <f aca="false">IF(E1368="","Unexplained Bank Item (fee/other - review)",IF(F1368="Yes","Matched","Payment Reference Not Found in AP Log"))</f>
        <v>Matched</v>
      </c>
    </row>
    <row r="1369" customFormat="false" ht="15" hidden="false" customHeight="false" outlineLevel="0" collapsed="false">
      <c r="A1369" s="16" t="str">
        <f aca="false">Bank_Statement!A609</f>
        <v>BNK50608</v>
      </c>
      <c r="B1369" s="17" t="n">
        <f aca="false">Bank_Statement!B609</f>
        <v>46174</v>
      </c>
      <c r="C1369" s="18" t="n">
        <f aca="false">Bank_Statement!C609</f>
        <v>-1035.87</v>
      </c>
      <c r="D1369" s="16" t="str">
        <f aca="false">Bank_Statement!D609</f>
        <v>PMT-V1033</v>
      </c>
      <c r="E1369" s="16" t="str">
        <f aca="false">Bank_Statement!E609</f>
        <v>PAY40608</v>
      </c>
      <c r="F1369" s="16" t="str">
        <f aca="false">IF(E1369="","N/A",IF(COUNTIF(Payment_Log_AP!$A$2:$A$753,E1369)&gt;0,"Yes","No"))</f>
        <v>Yes</v>
      </c>
      <c r="G1369" s="16" t="str">
        <f aca="false">IF(E1369="","Unexplained Bank Item (fee/other - review)",IF(F1369="Yes","Matched","Payment Reference Not Found in AP Log"))</f>
        <v>Matched</v>
      </c>
    </row>
    <row r="1370" customFormat="false" ht="15" hidden="false" customHeight="false" outlineLevel="0" collapsed="false">
      <c r="A1370" s="16" t="str">
        <f aca="false">Bank_Statement!A610</f>
        <v>BNK50609</v>
      </c>
      <c r="B1370" s="17" t="n">
        <f aca="false">Bank_Statement!B610</f>
        <v>45773</v>
      </c>
      <c r="C1370" s="18" t="n">
        <f aca="false">Bank_Statement!C610</f>
        <v>-7340.64</v>
      </c>
      <c r="D1370" s="16" t="str">
        <f aca="false">Bank_Statement!D610</f>
        <v>PMT-V1037</v>
      </c>
      <c r="E1370" s="16" t="str">
        <f aca="false">Bank_Statement!E610</f>
        <v>PAY40609</v>
      </c>
      <c r="F1370" s="16" t="str">
        <f aca="false">IF(E1370="","N/A",IF(COUNTIF(Payment_Log_AP!$A$2:$A$753,E1370)&gt;0,"Yes","No"))</f>
        <v>Yes</v>
      </c>
      <c r="G1370" s="16" t="str">
        <f aca="false">IF(E1370="","Unexplained Bank Item (fee/other - review)",IF(F1370="Yes","Matched","Payment Reference Not Found in AP Log"))</f>
        <v>Matched</v>
      </c>
    </row>
    <row r="1371" customFormat="false" ht="15" hidden="false" customHeight="false" outlineLevel="0" collapsed="false">
      <c r="A1371" s="16" t="str">
        <f aca="false">Bank_Statement!A611</f>
        <v>BNK50610</v>
      </c>
      <c r="B1371" s="17" t="n">
        <f aca="false">Bank_Statement!B611</f>
        <v>45777</v>
      </c>
      <c r="C1371" s="18" t="n">
        <f aca="false">Bank_Statement!C611</f>
        <v>-7340.64</v>
      </c>
      <c r="D1371" s="16" t="str">
        <f aca="false">Bank_Statement!D611</f>
        <v>PMT-V1037</v>
      </c>
      <c r="E1371" s="16" t="str">
        <f aca="false">Bank_Statement!E611</f>
        <v>PAY40610</v>
      </c>
      <c r="F1371" s="16" t="str">
        <f aca="false">IF(E1371="","N/A",IF(COUNTIF(Payment_Log_AP!$A$2:$A$753,E1371)&gt;0,"Yes","No"))</f>
        <v>Yes</v>
      </c>
      <c r="G1371" s="16" t="str">
        <f aca="false">IF(E1371="","Unexplained Bank Item (fee/other - review)",IF(F1371="Yes","Matched","Payment Reference Not Found in AP Log"))</f>
        <v>Matched</v>
      </c>
    </row>
    <row r="1372" customFormat="false" ht="15" hidden="false" customHeight="false" outlineLevel="0" collapsed="false">
      <c r="A1372" s="16" t="str">
        <f aca="false">Bank_Statement!A612</f>
        <v>BNK50611</v>
      </c>
      <c r="B1372" s="17" t="n">
        <f aca="false">Bank_Statement!B612</f>
        <v>45770</v>
      </c>
      <c r="C1372" s="18" t="n">
        <f aca="false">Bank_Statement!C612</f>
        <v>-957.43</v>
      </c>
      <c r="D1372" s="16" t="str">
        <f aca="false">Bank_Statement!D612</f>
        <v>PMT-V1011</v>
      </c>
      <c r="E1372" s="16" t="str">
        <f aca="false">Bank_Statement!E612</f>
        <v>PAY40611</v>
      </c>
      <c r="F1372" s="16" t="str">
        <f aca="false">IF(E1372="","N/A",IF(COUNTIF(Payment_Log_AP!$A$2:$A$753,E1372)&gt;0,"Yes","No"))</f>
        <v>Yes</v>
      </c>
      <c r="G1372" s="16" t="str">
        <f aca="false">IF(E1372="","Unexplained Bank Item (fee/other - review)",IF(F1372="Yes","Matched","Payment Reference Not Found in AP Log"))</f>
        <v>Matched</v>
      </c>
    </row>
    <row r="1373" customFormat="false" ht="15" hidden="false" customHeight="false" outlineLevel="0" collapsed="false">
      <c r="A1373" s="16" t="str">
        <f aca="false">Bank_Statement!A613</f>
        <v>BNK50612</v>
      </c>
      <c r="B1373" s="17" t="n">
        <f aca="false">Bank_Statement!B613</f>
        <v>45841</v>
      </c>
      <c r="C1373" s="18" t="n">
        <f aca="false">Bank_Statement!C613</f>
        <v>-2509.24</v>
      </c>
      <c r="D1373" s="16" t="str">
        <f aca="false">Bank_Statement!D613</f>
        <v>PMT-V1010</v>
      </c>
      <c r="E1373" s="16" t="str">
        <f aca="false">Bank_Statement!E613</f>
        <v>PAY40612</v>
      </c>
      <c r="F1373" s="16" t="str">
        <f aca="false">IF(E1373="","N/A",IF(COUNTIF(Payment_Log_AP!$A$2:$A$753,E1373)&gt;0,"Yes","No"))</f>
        <v>Yes</v>
      </c>
      <c r="G1373" s="16" t="str">
        <f aca="false">IF(E1373="","Unexplained Bank Item (fee/other - review)",IF(F1373="Yes","Matched","Payment Reference Not Found in AP Log"))</f>
        <v>Matched</v>
      </c>
    </row>
    <row r="1374" customFormat="false" ht="15" hidden="false" customHeight="false" outlineLevel="0" collapsed="false">
      <c r="A1374" s="16" t="str">
        <f aca="false">Bank_Statement!A614</f>
        <v>BNK50613</v>
      </c>
      <c r="B1374" s="17" t="n">
        <f aca="false">Bank_Statement!B614</f>
        <v>46063</v>
      </c>
      <c r="C1374" s="18" t="n">
        <f aca="false">Bank_Statement!C614</f>
        <v>-629.25</v>
      </c>
      <c r="D1374" s="16" t="str">
        <f aca="false">Bank_Statement!D614</f>
        <v>PMT-V1039</v>
      </c>
      <c r="E1374" s="16" t="str">
        <f aca="false">Bank_Statement!E614</f>
        <v>PAY40613</v>
      </c>
      <c r="F1374" s="16" t="str">
        <f aca="false">IF(E1374="","N/A",IF(COUNTIF(Payment_Log_AP!$A$2:$A$753,E1374)&gt;0,"Yes","No"))</f>
        <v>Yes</v>
      </c>
      <c r="G1374" s="16" t="str">
        <f aca="false">IF(E1374="","Unexplained Bank Item (fee/other - review)",IF(F1374="Yes","Matched","Payment Reference Not Found in AP Log"))</f>
        <v>Matched</v>
      </c>
    </row>
    <row r="1375" customFormat="false" ht="15" hidden="false" customHeight="false" outlineLevel="0" collapsed="false">
      <c r="A1375" s="16" t="str">
        <f aca="false">Bank_Statement!A615</f>
        <v>BNK50614</v>
      </c>
      <c r="B1375" s="17" t="n">
        <f aca="false">Bank_Statement!B615</f>
        <v>45702</v>
      </c>
      <c r="C1375" s="18" t="n">
        <f aca="false">Bank_Statement!C615</f>
        <v>-24756.78</v>
      </c>
      <c r="D1375" s="16" t="str">
        <f aca="false">Bank_Statement!D615</f>
        <v>PMT-V1029</v>
      </c>
      <c r="E1375" s="16" t="str">
        <f aca="false">Bank_Statement!E615</f>
        <v>PAY40614</v>
      </c>
      <c r="F1375" s="16" t="str">
        <f aca="false">IF(E1375="","N/A",IF(COUNTIF(Payment_Log_AP!$A$2:$A$753,E1375)&gt;0,"Yes","No"))</f>
        <v>Yes</v>
      </c>
      <c r="G1375" s="16" t="str">
        <f aca="false">IF(E1375="","Unexplained Bank Item (fee/other - review)",IF(F1375="Yes","Matched","Payment Reference Not Found in AP Log"))</f>
        <v>Matched</v>
      </c>
    </row>
    <row r="1376" customFormat="false" ht="15" hidden="false" customHeight="false" outlineLevel="0" collapsed="false">
      <c r="A1376" s="16" t="str">
        <f aca="false">Bank_Statement!A616</f>
        <v>BNK50615</v>
      </c>
      <c r="B1376" s="17" t="n">
        <f aca="false">Bank_Statement!B616</f>
        <v>45696</v>
      </c>
      <c r="C1376" s="18" t="n">
        <f aca="false">Bank_Statement!C616</f>
        <v>-2964.49</v>
      </c>
      <c r="D1376" s="16" t="str">
        <f aca="false">Bank_Statement!D616</f>
        <v>PMT-V1017</v>
      </c>
      <c r="E1376" s="16" t="str">
        <f aca="false">Bank_Statement!E616</f>
        <v>PAY40615</v>
      </c>
      <c r="F1376" s="16" t="str">
        <f aca="false">IF(E1376="","N/A",IF(COUNTIF(Payment_Log_AP!$A$2:$A$753,E1376)&gt;0,"Yes","No"))</f>
        <v>Yes</v>
      </c>
      <c r="G1376" s="16" t="str">
        <f aca="false">IF(E1376="","Unexplained Bank Item (fee/other - review)",IF(F1376="Yes","Matched","Payment Reference Not Found in AP Log"))</f>
        <v>Matched</v>
      </c>
    </row>
    <row r="1377" customFormat="false" ht="15" hidden="false" customHeight="false" outlineLevel="0" collapsed="false">
      <c r="A1377" s="16" t="str">
        <f aca="false">Bank_Statement!A617</f>
        <v>BNK50616</v>
      </c>
      <c r="B1377" s="17" t="n">
        <f aca="false">Bank_Statement!B617</f>
        <v>46128</v>
      </c>
      <c r="C1377" s="18" t="n">
        <f aca="false">Bank_Statement!C617</f>
        <v>-3993.23</v>
      </c>
      <c r="D1377" s="16" t="str">
        <f aca="false">Bank_Statement!D617</f>
        <v>PMT-V1010</v>
      </c>
      <c r="E1377" s="16" t="str">
        <f aca="false">Bank_Statement!E617</f>
        <v>PAY40616</v>
      </c>
      <c r="F1377" s="16" t="str">
        <f aca="false">IF(E1377="","N/A",IF(COUNTIF(Payment_Log_AP!$A$2:$A$753,E1377)&gt;0,"Yes","No"))</f>
        <v>Yes</v>
      </c>
      <c r="G1377" s="16" t="str">
        <f aca="false">IF(E1377="","Unexplained Bank Item (fee/other - review)",IF(F1377="Yes","Matched","Payment Reference Not Found in AP Log"))</f>
        <v>Matched</v>
      </c>
    </row>
    <row r="1378" customFormat="false" ht="15" hidden="false" customHeight="false" outlineLevel="0" collapsed="false">
      <c r="A1378" s="16" t="str">
        <f aca="false">Bank_Statement!A618</f>
        <v>BNK50617</v>
      </c>
      <c r="B1378" s="17" t="n">
        <f aca="false">Bank_Statement!B618</f>
        <v>45826</v>
      </c>
      <c r="C1378" s="18" t="n">
        <f aca="false">Bank_Statement!C618</f>
        <v>-1604.06</v>
      </c>
      <c r="D1378" s="16" t="str">
        <f aca="false">Bank_Statement!D618</f>
        <v>PMT-V1035</v>
      </c>
      <c r="E1378" s="16" t="str">
        <f aca="false">Bank_Statement!E618</f>
        <v>PAY40617</v>
      </c>
      <c r="F1378" s="16" t="str">
        <f aca="false">IF(E1378="","N/A",IF(COUNTIF(Payment_Log_AP!$A$2:$A$753,E1378)&gt;0,"Yes","No"))</f>
        <v>Yes</v>
      </c>
      <c r="G1378" s="16" t="str">
        <f aca="false">IF(E1378="","Unexplained Bank Item (fee/other - review)",IF(F1378="Yes","Matched","Payment Reference Not Found in AP Log"))</f>
        <v>Matched</v>
      </c>
    </row>
    <row r="1379" customFormat="false" ht="15" hidden="false" customHeight="false" outlineLevel="0" collapsed="false">
      <c r="A1379" s="16" t="str">
        <f aca="false">Bank_Statement!A619</f>
        <v>BNK50618</v>
      </c>
      <c r="B1379" s="17" t="n">
        <f aca="false">Bank_Statement!B619</f>
        <v>45886</v>
      </c>
      <c r="C1379" s="18" t="n">
        <f aca="false">Bank_Statement!C619</f>
        <v>-2211.07</v>
      </c>
      <c r="D1379" s="16" t="str">
        <f aca="false">Bank_Statement!D619</f>
        <v>PMT-V1039</v>
      </c>
      <c r="E1379" s="16" t="str">
        <f aca="false">Bank_Statement!E619</f>
        <v>PAY40618</v>
      </c>
      <c r="F1379" s="16" t="str">
        <f aca="false">IF(E1379="","N/A",IF(COUNTIF(Payment_Log_AP!$A$2:$A$753,E1379)&gt;0,"Yes","No"))</f>
        <v>Yes</v>
      </c>
      <c r="G1379" s="16" t="str">
        <f aca="false">IF(E1379="","Unexplained Bank Item (fee/other - review)",IF(F1379="Yes","Matched","Payment Reference Not Found in AP Log"))</f>
        <v>Matched</v>
      </c>
    </row>
    <row r="1380" customFormat="false" ht="15" hidden="false" customHeight="false" outlineLevel="0" collapsed="false">
      <c r="A1380" s="16" t="str">
        <f aca="false">Bank_Statement!A620</f>
        <v>BNK50619</v>
      </c>
      <c r="B1380" s="17" t="n">
        <f aca="false">Bank_Statement!B620</f>
        <v>45763</v>
      </c>
      <c r="C1380" s="18" t="n">
        <f aca="false">Bank_Statement!C620</f>
        <v>-1034.65</v>
      </c>
      <c r="D1380" s="16" t="str">
        <f aca="false">Bank_Statement!D620</f>
        <v>PMT-V1010</v>
      </c>
      <c r="E1380" s="16" t="str">
        <f aca="false">Bank_Statement!E620</f>
        <v>PAY40619</v>
      </c>
      <c r="F1380" s="16" t="str">
        <f aca="false">IF(E1380="","N/A",IF(COUNTIF(Payment_Log_AP!$A$2:$A$753,E1380)&gt;0,"Yes","No"))</f>
        <v>Yes</v>
      </c>
      <c r="G1380" s="16" t="str">
        <f aca="false">IF(E1380="","Unexplained Bank Item (fee/other - review)",IF(F1380="Yes","Matched","Payment Reference Not Found in AP Log"))</f>
        <v>Matched</v>
      </c>
    </row>
    <row r="1381" customFormat="false" ht="15" hidden="false" customHeight="false" outlineLevel="0" collapsed="false">
      <c r="A1381" s="16" t="str">
        <f aca="false">Bank_Statement!A621</f>
        <v>BNK50620</v>
      </c>
      <c r="B1381" s="17" t="n">
        <f aca="false">Bank_Statement!B621</f>
        <v>46085</v>
      </c>
      <c r="C1381" s="18" t="n">
        <f aca="false">Bank_Statement!C621</f>
        <v>-1848.76</v>
      </c>
      <c r="D1381" s="16" t="str">
        <f aca="false">Bank_Statement!D621</f>
        <v>PMT-V1032</v>
      </c>
      <c r="E1381" s="16" t="str">
        <f aca="false">Bank_Statement!E621</f>
        <v>PAY40620</v>
      </c>
      <c r="F1381" s="16" t="str">
        <f aca="false">IF(E1381="","N/A",IF(COUNTIF(Payment_Log_AP!$A$2:$A$753,E1381)&gt;0,"Yes","No"))</f>
        <v>Yes</v>
      </c>
      <c r="G1381" s="16" t="str">
        <f aca="false">IF(E1381="","Unexplained Bank Item (fee/other - review)",IF(F1381="Yes","Matched","Payment Reference Not Found in AP Log"))</f>
        <v>Matched</v>
      </c>
    </row>
    <row r="1382" customFormat="false" ht="15" hidden="false" customHeight="false" outlineLevel="0" collapsed="false">
      <c r="A1382" s="16" t="str">
        <f aca="false">Bank_Statement!A622</f>
        <v>BNK50621</v>
      </c>
      <c r="B1382" s="17" t="n">
        <f aca="false">Bank_Statement!B622</f>
        <v>45988</v>
      </c>
      <c r="C1382" s="18" t="n">
        <f aca="false">Bank_Statement!C622</f>
        <v>-2842.44</v>
      </c>
      <c r="D1382" s="16" t="str">
        <f aca="false">Bank_Statement!D622</f>
        <v>PMT-V1039</v>
      </c>
      <c r="E1382" s="16" t="str">
        <f aca="false">Bank_Statement!E622</f>
        <v>PAY40621</v>
      </c>
      <c r="F1382" s="16" t="str">
        <f aca="false">IF(E1382="","N/A",IF(COUNTIF(Payment_Log_AP!$A$2:$A$753,E1382)&gt;0,"Yes","No"))</f>
        <v>Yes</v>
      </c>
      <c r="G1382" s="16" t="str">
        <f aca="false">IF(E1382="","Unexplained Bank Item (fee/other - review)",IF(F1382="Yes","Matched","Payment Reference Not Found in AP Log"))</f>
        <v>Matched</v>
      </c>
    </row>
    <row r="1383" customFormat="false" ht="15" hidden="false" customHeight="false" outlineLevel="0" collapsed="false">
      <c r="A1383" s="16" t="str">
        <f aca="false">Bank_Statement!A623</f>
        <v>BNK50622</v>
      </c>
      <c r="B1383" s="17" t="n">
        <f aca="false">Bank_Statement!B623</f>
        <v>46104</v>
      </c>
      <c r="C1383" s="18" t="n">
        <f aca="false">Bank_Statement!C623</f>
        <v>-2826.44</v>
      </c>
      <c r="D1383" s="16" t="str">
        <f aca="false">Bank_Statement!D623</f>
        <v>PMT-V1018</v>
      </c>
      <c r="E1383" s="16" t="str">
        <f aca="false">Bank_Statement!E623</f>
        <v>PAY40622</v>
      </c>
      <c r="F1383" s="16" t="str">
        <f aca="false">IF(E1383="","N/A",IF(COUNTIF(Payment_Log_AP!$A$2:$A$753,E1383)&gt;0,"Yes","No"))</f>
        <v>Yes</v>
      </c>
      <c r="G1383" s="16" t="str">
        <f aca="false">IF(E1383="","Unexplained Bank Item (fee/other - review)",IF(F1383="Yes","Matched","Payment Reference Not Found in AP Log"))</f>
        <v>Matched</v>
      </c>
    </row>
    <row r="1384" customFormat="false" ht="15" hidden="false" customHeight="false" outlineLevel="0" collapsed="false">
      <c r="A1384" s="16" t="str">
        <f aca="false">Bank_Statement!A624</f>
        <v>BNK50623</v>
      </c>
      <c r="B1384" s="17" t="n">
        <f aca="false">Bank_Statement!B624</f>
        <v>46133</v>
      </c>
      <c r="C1384" s="18" t="n">
        <f aca="false">Bank_Statement!C624</f>
        <v>-4662.39</v>
      </c>
      <c r="D1384" s="16" t="str">
        <f aca="false">Bank_Statement!D624</f>
        <v>PMT-V1038</v>
      </c>
      <c r="E1384" s="16" t="str">
        <f aca="false">Bank_Statement!E624</f>
        <v>PAY40623</v>
      </c>
      <c r="F1384" s="16" t="str">
        <f aca="false">IF(E1384="","N/A",IF(COUNTIF(Payment_Log_AP!$A$2:$A$753,E1384)&gt;0,"Yes","No"))</f>
        <v>Yes</v>
      </c>
      <c r="G1384" s="16" t="str">
        <f aca="false">IF(E1384="","Unexplained Bank Item (fee/other - review)",IF(F1384="Yes","Matched","Payment Reference Not Found in AP Log"))</f>
        <v>Matched</v>
      </c>
    </row>
    <row r="1385" customFormat="false" ht="15" hidden="false" customHeight="false" outlineLevel="0" collapsed="false">
      <c r="A1385" s="16" t="str">
        <f aca="false">Bank_Statement!A625</f>
        <v>BNK50624</v>
      </c>
      <c r="B1385" s="17" t="n">
        <f aca="false">Bank_Statement!B625</f>
        <v>45972</v>
      </c>
      <c r="C1385" s="18" t="n">
        <f aca="false">Bank_Statement!C625</f>
        <v>-369.39</v>
      </c>
      <c r="D1385" s="16" t="str">
        <f aca="false">Bank_Statement!D625</f>
        <v>PMT-V1040</v>
      </c>
      <c r="E1385" s="16" t="str">
        <f aca="false">Bank_Statement!E625</f>
        <v>PAY40624</v>
      </c>
      <c r="F1385" s="16" t="str">
        <f aca="false">IF(E1385="","N/A",IF(COUNTIF(Payment_Log_AP!$A$2:$A$753,E1385)&gt;0,"Yes","No"))</f>
        <v>Yes</v>
      </c>
      <c r="G1385" s="16" t="str">
        <f aca="false">IF(E1385="","Unexplained Bank Item (fee/other - review)",IF(F1385="Yes","Matched","Payment Reference Not Found in AP Log"))</f>
        <v>Matched</v>
      </c>
    </row>
    <row r="1386" customFormat="false" ht="15" hidden="false" customHeight="false" outlineLevel="0" collapsed="false">
      <c r="A1386" s="16" t="str">
        <f aca="false">Bank_Statement!A626</f>
        <v>BNK50625</v>
      </c>
      <c r="B1386" s="17" t="n">
        <f aca="false">Bank_Statement!B626</f>
        <v>45722</v>
      </c>
      <c r="C1386" s="18" t="n">
        <f aca="false">Bank_Statement!C626</f>
        <v>-1081.06</v>
      </c>
      <c r="D1386" s="16" t="str">
        <f aca="false">Bank_Statement!D626</f>
        <v>PMT-V1030</v>
      </c>
      <c r="E1386" s="16" t="str">
        <f aca="false">Bank_Statement!E626</f>
        <v>PAY40625</v>
      </c>
      <c r="F1386" s="16" t="str">
        <f aca="false">IF(E1386="","N/A",IF(COUNTIF(Payment_Log_AP!$A$2:$A$753,E1386)&gt;0,"Yes","No"))</f>
        <v>Yes</v>
      </c>
      <c r="G1386" s="16" t="str">
        <f aca="false">IF(E1386="","Unexplained Bank Item (fee/other - review)",IF(F1386="Yes","Matched","Payment Reference Not Found in AP Log"))</f>
        <v>Matched</v>
      </c>
    </row>
    <row r="1387" customFormat="false" ht="15" hidden="false" customHeight="false" outlineLevel="0" collapsed="false">
      <c r="A1387" s="16" t="str">
        <f aca="false">Bank_Statement!A627</f>
        <v>BNK50626</v>
      </c>
      <c r="B1387" s="17" t="n">
        <f aca="false">Bank_Statement!B627</f>
        <v>46120</v>
      </c>
      <c r="C1387" s="18" t="n">
        <f aca="false">Bank_Statement!C627</f>
        <v>-199.69</v>
      </c>
      <c r="D1387" s="16" t="str">
        <f aca="false">Bank_Statement!D627</f>
        <v>PMT-V1023</v>
      </c>
      <c r="E1387" s="16" t="str">
        <f aca="false">Bank_Statement!E627</f>
        <v>PAY40626</v>
      </c>
      <c r="F1387" s="16" t="str">
        <f aca="false">IF(E1387="","N/A",IF(COUNTIF(Payment_Log_AP!$A$2:$A$753,E1387)&gt;0,"Yes","No"))</f>
        <v>Yes</v>
      </c>
      <c r="G1387" s="16" t="str">
        <f aca="false">IF(E1387="","Unexplained Bank Item (fee/other - review)",IF(F1387="Yes","Matched","Payment Reference Not Found in AP Log"))</f>
        <v>Matched</v>
      </c>
    </row>
    <row r="1388" customFormat="false" ht="15" hidden="false" customHeight="false" outlineLevel="0" collapsed="false">
      <c r="A1388" s="16" t="str">
        <f aca="false">Bank_Statement!A628</f>
        <v>BNK50627</v>
      </c>
      <c r="B1388" s="17" t="n">
        <f aca="false">Bank_Statement!B628</f>
        <v>46133</v>
      </c>
      <c r="C1388" s="18" t="n">
        <f aca="false">Bank_Statement!C628</f>
        <v>-1143.13</v>
      </c>
      <c r="D1388" s="16" t="str">
        <f aca="false">Bank_Statement!D628</f>
        <v>PMT-V1039</v>
      </c>
      <c r="E1388" s="16" t="str">
        <f aca="false">Bank_Statement!E628</f>
        <v>PAY40627</v>
      </c>
      <c r="F1388" s="16" t="str">
        <f aca="false">IF(E1388="","N/A",IF(COUNTIF(Payment_Log_AP!$A$2:$A$753,E1388)&gt;0,"Yes","No"))</f>
        <v>Yes</v>
      </c>
      <c r="G1388" s="16" t="str">
        <f aca="false">IF(E1388="","Unexplained Bank Item (fee/other - review)",IF(F1388="Yes","Matched","Payment Reference Not Found in AP Log"))</f>
        <v>Matched</v>
      </c>
    </row>
    <row r="1389" customFormat="false" ht="15" hidden="false" customHeight="false" outlineLevel="0" collapsed="false">
      <c r="A1389" s="16" t="str">
        <f aca="false">Bank_Statement!A629</f>
        <v>BNK50628</v>
      </c>
      <c r="B1389" s="17" t="n">
        <f aca="false">Bank_Statement!B629</f>
        <v>45980</v>
      </c>
      <c r="C1389" s="18" t="n">
        <f aca="false">Bank_Statement!C629</f>
        <v>-3047.46</v>
      </c>
      <c r="D1389" s="16" t="str">
        <f aca="false">Bank_Statement!D629</f>
        <v>PMT-V1033</v>
      </c>
      <c r="E1389" s="16" t="str">
        <f aca="false">Bank_Statement!E629</f>
        <v>PAY40628</v>
      </c>
      <c r="F1389" s="16" t="str">
        <f aca="false">IF(E1389="","N/A",IF(COUNTIF(Payment_Log_AP!$A$2:$A$753,E1389)&gt;0,"Yes","No"))</f>
        <v>Yes</v>
      </c>
      <c r="G1389" s="16" t="str">
        <f aca="false">IF(E1389="","Unexplained Bank Item (fee/other - review)",IF(F1389="Yes","Matched","Payment Reference Not Found in AP Log"))</f>
        <v>Matched</v>
      </c>
    </row>
    <row r="1390" customFormat="false" ht="15" hidden="false" customHeight="false" outlineLevel="0" collapsed="false">
      <c r="A1390" s="16" t="str">
        <f aca="false">Bank_Statement!A630</f>
        <v>BNK50629</v>
      </c>
      <c r="B1390" s="17" t="n">
        <f aca="false">Bank_Statement!B630</f>
        <v>45938</v>
      </c>
      <c r="C1390" s="18" t="n">
        <f aca="false">Bank_Statement!C630</f>
        <v>-2282.24</v>
      </c>
      <c r="D1390" s="16" t="str">
        <f aca="false">Bank_Statement!D630</f>
        <v>PMT-V1011</v>
      </c>
      <c r="E1390" s="16" t="str">
        <f aca="false">Bank_Statement!E630</f>
        <v>PAY40629</v>
      </c>
      <c r="F1390" s="16" t="str">
        <f aca="false">IF(E1390="","N/A",IF(COUNTIF(Payment_Log_AP!$A$2:$A$753,E1390)&gt;0,"Yes","No"))</f>
        <v>Yes</v>
      </c>
      <c r="G1390" s="16" t="str">
        <f aca="false">IF(E1390="","Unexplained Bank Item (fee/other - review)",IF(F1390="Yes","Matched","Payment Reference Not Found in AP Log"))</f>
        <v>Matched</v>
      </c>
    </row>
    <row r="1391" customFormat="false" ht="15" hidden="false" customHeight="false" outlineLevel="0" collapsed="false">
      <c r="A1391" s="16" t="str">
        <f aca="false">Bank_Statement!A631</f>
        <v>BNK50630</v>
      </c>
      <c r="B1391" s="17" t="n">
        <f aca="false">Bank_Statement!B631</f>
        <v>46204</v>
      </c>
      <c r="C1391" s="18" t="n">
        <f aca="false">Bank_Statement!C631</f>
        <v>-866.83</v>
      </c>
      <c r="D1391" s="16" t="str">
        <f aca="false">Bank_Statement!D631</f>
        <v>PMT-V1008</v>
      </c>
      <c r="E1391" s="16" t="str">
        <f aca="false">Bank_Statement!E631</f>
        <v>PAY40630</v>
      </c>
      <c r="F1391" s="16" t="str">
        <f aca="false">IF(E1391="","N/A",IF(COUNTIF(Payment_Log_AP!$A$2:$A$753,E1391)&gt;0,"Yes","No"))</f>
        <v>Yes</v>
      </c>
      <c r="G1391" s="16" t="str">
        <f aca="false">IF(E1391="","Unexplained Bank Item (fee/other - review)",IF(F1391="Yes","Matched","Payment Reference Not Found in AP Log"))</f>
        <v>Matched</v>
      </c>
    </row>
    <row r="1392" customFormat="false" ht="15" hidden="false" customHeight="false" outlineLevel="0" collapsed="false">
      <c r="A1392" s="16" t="str">
        <f aca="false">Bank_Statement!A632</f>
        <v>BNK50631</v>
      </c>
      <c r="B1392" s="17" t="n">
        <f aca="false">Bank_Statement!B632</f>
        <v>45730</v>
      </c>
      <c r="C1392" s="18" t="n">
        <f aca="false">Bank_Statement!C632</f>
        <v>-9584.39</v>
      </c>
      <c r="D1392" s="16" t="str">
        <f aca="false">Bank_Statement!D632</f>
        <v>PMT-V1021</v>
      </c>
      <c r="E1392" s="16" t="str">
        <f aca="false">Bank_Statement!E632</f>
        <v>PAY40631</v>
      </c>
      <c r="F1392" s="16" t="str">
        <f aca="false">IF(E1392="","N/A",IF(COUNTIF(Payment_Log_AP!$A$2:$A$753,E1392)&gt;0,"Yes","No"))</f>
        <v>Yes</v>
      </c>
      <c r="G1392" s="16" t="str">
        <f aca="false">IF(E1392="","Unexplained Bank Item (fee/other - review)",IF(F1392="Yes","Matched","Payment Reference Not Found in AP Log"))</f>
        <v>Matched</v>
      </c>
    </row>
    <row r="1393" customFormat="false" ht="15" hidden="false" customHeight="false" outlineLevel="0" collapsed="false">
      <c r="A1393" s="16" t="str">
        <f aca="false">Bank_Statement!A633</f>
        <v>BNK50632</v>
      </c>
      <c r="B1393" s="17" t="n">
        <f aca="false">Bank_Statement!B633</f>
        <v>45950</v>
      </c>
      <c r="C1393" s="18" t="n">
        <f aca="false">Bank_Statement!C633</f>
        <v>-1413.3</v>
      </c>
      <c r="D1393" s="16" t="str">
        <f aca="false">Bank_Statement!D633</f>
        <v>PMT-V1007</v>
      </c>
      <c r="E1393" s="16" t="str">
        <f aca="false">Bank_Statement!E633</f>
        <v>PAY40632</v>
      </c>
      <c r="F1393" s="16" t="str">
        <f aca="false">IF(E1393="","N/A",IF(COUNTIF(Payment_Log_AP!$A$2:$A$753,E1393)&gt;0,"Yes","No"))</f>
        <v>Yes</v>
      </c>
      <c r="G1393" s="16" t="str">
        <f aca="false">IF(E1393="","Unexplained Bank Item (fee/other - review)",IF(F1393="Yes","Matched","Payment Reference Not Found in AP Log"))</f>
        <v>Matched</v>
      </c>
    </row>
    <row r="1394" customFormat="false" ht="15" hidden="false" customHeight="false" outlineLevel="0" collapsed="false">
      <c r="A1394" s="16" t="str">
        <f aca="false">Bank_Statement!A634</f>
        <v>BNK50633</v>
      </c>
      <c r="B1394" s="17" t="n">
        <f aca="false">Bank_Statement!B634</f>
        <v>45929</v>
      </c>
      <c r="C1394" s="18" t="n">
        <f aca="false">Bank_Statement!C634</f>
        <v>-9255.12</v>
      </c>
      <c r="D1394" s="16" t="str">
        <f aca="false">Bank_Statement!D634</f>
        <v>PMT-V1035</v>
      </c>
      <c r="E1394" s="16" t="str">
        <f aca="false">Bank_Statement!E634</f>
        <v>PAY40633</v>
      </c>
      <c r="F1394" s="16" t="str">
        <f aca="false">IF(E1394="","N/A",IF(COUNTIF(Payment_Log_AP!$A$2:$A$753,E1394)&gt;0,"Yes","No"))</f>
        <v>Yes</v>
      </c>
      <c r="G1394" s="16" t="str">
        <f aca="false">IF(E1394="","Unexplained Bank Item (fee/other - review)",IF(F1394="Yes","Matched","Payment Reference Not Found in AP Log"))</f>
        <v>Matched</v>
      </c>
    </row>
    <row r="1395" customFormat="false" ht="15" hidden="false" customHeight="false" outlineLevel="0" collapsed="false">
      <c r="A1395" s="16" t="str">
        <f aca="false">Bank_Statement!A635</f>
        <v>BNK50634</v>
      </c>
      <c r="B1395" s="17" t="n">
        <f aca="false">Bank_Statement!B635</f>
        <v>46059</v>
      </c>
      <c r="C1395" s="18" t="n">
        <f aca="false">Bank_Statement!C635</f>
        <v>-363.94</v>
      </c>
      <c r="D1395" s="16" t="str">
        <f aca="false">Bank_Statement!D635</f>
        <v>PMT-V1030</v>
      </c>
      <c r="E1395" s="16" t="str">
        <f aca="false">Bank_Statement!E635</f>
        <v>PAY40634</v>
      </c>
      <c r="F1395" s="16" t="str">
        <f aca="false">IF(E1395="","N/A",IF(COUNTIF(Payment_Log_AP!$A$2:$A$753,E1395)&gt;0,"Yes","No"))</f>
        <v>Yes</v>
      </c>
      <c r="G1395" s="16" t="str">
        <f aca="false">IF(E1395="","Unexplained Bank Item (fee/other - review)",IF(F1395="Yes","Matched","Payment Reference Not Found in AP Log"))</f>
        <v>Matched</v>
      </c>
    </row>
    <row r="1396" customFormat="false" ht="15" hidden="false" customHeight="false" outlineLevel="0" collapsed="false">
      <c r="A1396" s="16" t="str">
        <f aca="false">Bank_Statement!A636</f>
        <v>BNK50635</v>
      </c>
      <c r="B1396" s="17" t="n">
        <f aca="false">Bank_Statement!B636</f>
        <v>45939</v>
      </c>
      <c r="C1396" s="18" t="n">
        <f aca="false">Bank_Statement!C636</f>
        <v>-12071.44</v>
      </c>
      <c r="D1396" s="16" t="str">
        <f aca="false">Bank_Statement!D636</f>
        <v>PMT-V1009</v>
      </c>
      <c r="E1396" s="16" t="str">
        <f aca="false">Bank_Statement!E636</f>
        <v>PAY40635</v>
      </c>
      <c r="F1396" s="16" t="str">
        <f aca="false">IF(E1396="","N/A",IF(COUNTIF(Payment_Log_AP!$A$2:$A$753,E1396)&gt;0,"Yes","No"))</f>
        <v>Yes</v>
      </c>
      <c r="G1396" s="16" t="str">
        <f aca="false">IF(E1396="","Unexplained Bank Item (fee/other - review)",IF(F1396="Yes","Matched","Payment Reference Not Found in AP Log"))</f>
        <v>Matched</v>
      </c>
    </row>
    <row r="1397" customFormat="false" ht="15" hidden="false" customHeight="false" outlineLevel="0" collapsed="false">
      <c r="A1397" s="16" t="str">
        <f aca="false">Bank_Statement!A637</f>
        <v>BNK50636</v>
      </c>
      <c r="B1397" s="17" t="n">
        <f aca="false">Bank_Statement!B637</f>
        <v>46183</v>
      </c>
      <c r="C1397" s="18" t="n">
        <f aca="false">Bank_Statement!C637</f>
        <v>-345.86</v>
      </c>
      <c r="D1397" s="16" t="str">
        <f aca="false">Bank_Statement!D637</f>
        <v>PMT-V1006</v>
      </c>
      <c r="E1397" s="16" t="str">
        <f aca="false">Bank_Statement!E637</f>
        <v>PAY40636</v>
      </c>
      <c r="F1397" s="16" t="str">
        <f aca="false">IF(E1397="","N/A",IF(COUNTIF(Payment_Log_AP!$A$2:$A$753,E1397)&gt;0,"Yes","No"))</f>
        <v>Yes</v>
      </c>
      <c r="G1397" s="16" t="str">
        <f aca="false">IF(E1397="","Unexplained Bank Item (fee/other - review)",IF(F1397="Yes","Matched","Payment Reference Not Found in AP Log"))</f>
        <v>Matched</v>
      </c>
    </row>
    <row r="1398" customFormat="false" ht="15" hidden="false" customHeight="false" outlineLevel="0" collapsed="false">
      <c r="A1398" s="16" t="str">
        <f aca="false">Bank_Statement!A638</f>
        <v>BNK50637</v>
      </c>
      <c r="B1398" s="17" t="n">
        <f aca="false">Bank_Statement!B638</f>
        <v>46189</v>
      </c>
      <c r="C1398" s="18" t="n">
        <f aca="false">Bank_Statement!C638</f>
        <v>-345.86</v>
      </c>
      <c r="D1398" s="16" t="str">
        <f aca="false">Bank_Statement!D638</f>
        <v>PMT-V1006</v>
      </c>
      <c r="E1398" s="16" t="str">
        <f aca="false">Bank_Statement!E638</f>
        <v>PAY40637</v>
      </c>
      <c r="F1398" s="16" t="str">
        <f aca="false">IF(E1398="","N/A",IF(COUNTIF(Payment_Log_AP!$A$2:$A$753,E1398)&gt;0,"Yes","No"))</f>
        <v>Yes</v>
      </c>
      <c r="G1398" s="16" t="str">
        <f aca="false">IF(E1398="","Unexplained Bank Item (fee/other - review)",IF(F1398="Yes","Matched","Payment Reference Not Found in AP Log"))</f>
        <v>Matched</v>
      </c>
    </row>
    <row r="1399" customFormat="false" ht="15" hidden="false" customHeight="false" outlineLevel="0" collapsed="false">
      <c r="A1399" s="16" t="str">
        <f aca="false">Bank_Statement!A639</f>
        <v>BNK50638</v>
      </c>
      <c r="B1399" s="17" t="n">
        <f aca="false">Bank_Statement!B639</f>
        <v>45742</v>
      </c>
      <c r="C1399" s="18" t="n">
        <f aca="false">Bank_Statement!C639</f>
        <v>-146.21</v>
      </c>
      <c r="D1399" s="16" t="str">
        <f aca="false">Bank_Statement!D639</f>
        <v>PMT-V1039</v>
      </c>
      <c r="E1399" s="16" t="str">
        <f aca="false">Bank_Statement!E639</f>
        <v>PAY40638</v>
      </c>
      <c r="F1399" s="16" t="str">
        <f aca="false">IF(E1399="","N/A",IF(COUNTIF(Payment_Log_AP!$A$2:$A$753,E1399)&gt;0,"Yes","No"))</f>
        <v>Yes</v>
      </c>
      <c r="G1399" s="16" t="str">
        <f aca="false">IF(E1399="","Unexplained Bank Item (fee/other - review)",IF(F1399="Yes","Matched","Payment Reference Not Found in AP Log"))</f>
        <v>Matched</v>
      </c>
    </row>
    <row r="1400" customFormat="false" ht="15" hidden="false" customHeight="false" outlineLevel="0" collapsed="false">
      <c r="A1400" s="16" t="str">
        <f aca="false">Bank_Statement!A640</f>
        <v>BNK50639</v>
      </c>
      <c r="B1400" s="17" t="n">
        <f aca="false">Bank_Statement!B640</f>
        <v>45744</v>
      </c>
      <c r="C1400" s="18" t="n">
        <f aca="false">Bank_Statement!C640</f>
        <v>-2671.57</v>
      </c>
      <c r="D1400" s="16" t="str">
        <f aca="false">Bank_Statement!D640</f>
        <v>PMT-V1015</v>
      </c>
      <c r="E1400" s="16" t="str">
        <f aca="false">Bank_Statement!E640</f>
        <v>PAY40639</v>
      </c>
      <c r="F1400" s="16" t="str">
        <f aca="false">IF(E1400="","N/A",IF(COUNTIF(Payment_Log_AP!$A$2:$A$753,E1400)&gt;0,"Yes","No"))</f>
        <v>Yes</v>
      </c>
      <c r="G1400" s="16" t="str">
        <f aca="false">IF(E1400="","Unexplained Bank Item (fee/other - review)",IF(F1400="Yes","Matched","Payment Reference Not Found in AP Log"))</f>
        <v>Matched</v>
      </c>
    </row>
    <row r="1401" customFormat="false" ht="15" hidden="false" customHeight="false" outlineLevel="0" collapsed="false">
      <c r="A1401" s="16" t="str">
        <f aca="false">Bank_Statement!A641</f>
        <v>BNK50640</v>
      </c>
      <c r="B1401" s="17" t="n">
        <f aca="false">Bank_Statement!B641</f>
        <v>46002</v>
      </c>
      <c r="C1401" s="18" t="n">
        <f aca="false">Bank_Statement!C641</f>
        <v>-1652.24</v>
      </c>
      <c r="D1401" s="16" t="str">
        <f aca="false">Bank_Statement!D641</f>
        <v>PMT-V1021</v>
      </c>
      <c r="E1401" s="16" t="str">
        <f aca="false">Bank_Statement!E641</f>
        <v>PAY40640</v>
      </c>
      <c r="F1401" s="16" t="str">
        <f aca="false">IF(E1401="","N/A",IF(COUNTIF(Payment_Log_AP!$A$2:$A$753,E1401)&gt;0,"Yes","No"))</f>
        <v>Yes</v>
      </c>
      <c r="G1401" s="16" t="str">
        <f aca="false">IF(E1401="","Unexplained Bank Item (fee/other - review)",IF(F1401="Yes","Matched","Payment Reference Not Found in AP Log"))</f>
        <v>Matched</v>
      </c>
    </row>
    <row r="1402" customFormat="false" ht="15" hidden="false" customHeight="false" outlineLevel="0" collapsed="false">
      <c r="A1402" s="16" t="str">
        <f aca="false">Bank_Statement!A642</f>
        <v>BNK50641</v>
      </c>
      <c r="B1402" s="17" t="n">
        <f aca="false">Bank_Statement!B642</f>
        <v>45715</v>
      </c>
      <c r="C1402" s="18" t="n">
        <f aca="false">Bank_Statement!C642</f>
        <v>-2766.5</v>
      </c>
      <c r="D1402" s="16" t="str">
        <f aca="false">Bank_Statement!D642</f>
        <v>PMT-V1006</v>
      </c>
      <c r="E1402" s="16" t="str">
        <f aca="false">Bank_Statement!E642</f>
        <v>PAY40641</v>
      </c>
      <c r="F1402" s="16" t="str">
        <f aca="false">IF(E1402="","N/A",IF(COUNTIF(Payment_Log_AP!$A$2:$A$753,E1402)&gt;0,"Yes","No"))</f>
        <v>Yes</v>
      </c>
      <c r="G1402" s="16" t="str">
        <f aca="false">IF(E1402="","Unexplained Bank Item (fee/other - review)",IF(F1402="Yes","Matched","Payment Reference Not Found in AP Log"))</f>
        <v>Matched</v>
      </c>
    </row>
    <row r="1403" customFormat="false" ht="15" hidden="false" customHeight="false" outlineLevel="0" collapsed="false">
      <c r="A1403" s="16" t="str">
        <f aca="false">Bank_Statement!A643</f>
        <v>BNK50642</v>
      </c>
      <c r="B1403" s="17" t="n">
        <f aca="false">Bank_Statement!B643</f>
        <v>45855</v>
      </c>
      <c r="C1403" s="18" t="n">
        <f aca="false">Bank_Statement!C643</f>
        <v>-5537.55</v>
      </c>
      <c r="D1403" s="16" t="str">
        <f aca="false">Bank_Statement!D643</f>
        <v>PMT-V1029</v>
      </c>
      <c r="E1403" s="16" t="str">
        <f aca="false">Bank_Statement!E643</f>
        <v>PAY40642</v>
      </c>
      <c r="F1403" s="16" t="str">
        <f aca="false">IF(E1403="","N/A",IF(COUNTIF(Payment_Log_AP!$A$2:$A$753,E1403)&gt;0,"Yes","No"))</f>
        <v>Yes</v>
      </c>
      <c r="G1403" s="16" t="str">
        <f aca="false">IF(E1403="","Unexplained Bank Item (fee/other - review)",IF(F1403="Yes","Matched","Payment Reference Not Found in AP Log"))</f>
        <v>Matched</v>
      </c>
    </row>
    <row r="1404" customFormat="false" ht="15" hidden="false" customHeight="false" outlineLevel="0" collapsed="false">
      <c r="A1404" s="16" t="str">
        <f aca="false">Bank_Statement!A644</f>
        <v>BNK50643</v>
      </c>
      <c r="B1404" s="17" t="n">
        <f aca="false">Bank_Statement!B644</f>
        <v>46058</v>
      </c>
      <c r="C1404" s="18" t="n">
        <f aca="false">Bank_Statement!C644</f>
        <v>-4823.29</v>
      </c>
      <c r="D1404" s="16" t="str">
        <f aca="false">Bank_Statement!D644</f>
        <v>PMT-V1031</v>
      </c>
      <c r="E1404" s="16" t="str">
        <f aca="false">Bank_Statement!E644</f>
        <v>PAY40643</v>
      </c>
      <c r="F1404" s="16" t="str">
        <f aca="false">IF(E1404="","N/A",IF(COUNTIF(Payment_Log_AP!$A$2:$A$753,E1404)&gt;0,"Yes","No"))</f>
        <v>Yes</v>
      </c>
      <c r="G1404" s="16" t="str">
        <f aca="false">IF(E1404="","Unexplained Bank Item (fee/other - review)",IF(F1404="Yes","Matched","Payment Reference Not Found in AP Log"))</f>
        <v>Matched</v>
      </c>
    </row>
    <row r="1405" customFormat="false" ht="15" hidden="false" customHeight="false" outlineLevel="0" collapsed="false">
      <c r="A1405" s="16" t="str">
        <f aca="false">Bank_Statement!A645</f>
        <v>BNK50644</v>
      </c>
      <c r="B1405" s="17" t="n">
        <f aca="false">Bank_Statement!B645</f>
        <v>45992</v>
      </c>
      <c r="C1405" s="18" t="n">
        <f aca="false">Bank_Statement!C645</f>
        <v>-2004.87</v>
      </c>
      <c r="D1405" s="16" t="str">
        <f aca="false">Bank_Statement!D645</f>
        <v>PMT-V1013</v>
      </c>
      <c r="E1405" s="16" t="str">
        <f aca="false">Bank_Statement!E645</f>
        <v>PAY40644</v>
      </c>
      <c r="F1405" s="16" t="str">
        <f aca="false">IF(E1405="","N/A",IF(COUNTIF(Payment_Log_AP!$A$2:$A$753,E1405)&gt;0,"Yes","No"))</f>
        <v>Yes</v>
      </c>
      <c r="G1405" s="16" t="str">
        <f aca="false">IF(E1405="","Unexplained Bank Item (fee/other - review)",IF(F1405="Yes","Matched","Payment Reference Not Found in AP Log"))</f>
        <v>Matched</v>
      </c>
    </row>
    <row r="1406" customFormat="false" ht="15" hidden="false" customHeight="false" outlineLevel="0" collapsed="false">
      <c r="A1406" s="16" t="str">
        <f aca="false">Bank_Statement!A646</f>
        <v>BNK50645</v>
      </c>
      <c r="B1406" s="17" t="n">
        <f aca="false">Bank_Statement!B646</f>
        <v>45859</v>
      </c>
      <c r="C1406" s="18" t="n">
        <f aca="false">Bank_Statement!C646</f>
        <v>-368.64</v>
      </c>
      <c r="D1406" s="16" t="str">
        <f aca="false">Bank_Statement!D646</f>
        <v>PMT-V1023</v>
      </c>
      <c r="E1406" s="16" t="str">
        <f aca="false">Bank_Statement!E646</f>
        <v>PAY40645</v>
      </c>
      <c r="F1406" s="16" t="str">
        <f aca="false">IF(E1406="","N/A",IF(COUNTIF(Payment_Log_AP!$A$2:$A$753,E1406)&gt;0,"Yes","No"))</f>
        <v>Yes</v>
      </c>
      <c r="G1406" s="16" t="str">
        <f aca="false">IF(E1406="","Unexplained Bank Item (fee/other - review)",IF(F1406="Yes","Matched","Payment Reference Not Found in AP Log"))</f>
        <v>Matched</v>
      </c>
    </row>
    <row r="1407" customFormat="false" ht="15" hidden="false" customHeight="false" outlineLevel="0" collapsed="false">
      <c r="A1407" s="16" t="str">
        <f aca="false">Bank_Statement!A647</f>
        <v>BNK50646</v>
      </c>
      <c r="B1407" s="17" t="n">
        <f aca="false">Bank_Statement!B647</f>
        <v>45969</v>
      </c>
      <c r="C1407" s="18" t="n">
        <f aca="false">Bank_Statement!C647</f>
        <v>-18808.64</v>
      </c>
      <c r="D1407" s="16" t="str">
        <f aca="false">Bank_Statement!D647</f>
        <v>PMT-V1011</v>
      </c>
      <c r="E1407" s="16" t="str">
        <f aca="false">Bank_Statement!E647</f>
        <v>PAY40646</v>
      </c>
      <c r="F1407" s="16" t="str">
        <f aca="false">IF(E1407="","N/A",IF(COUNTIF(Payment_Log_AP!$A$2:$A$753,E1407)&gt;0,"Yes","No"))</f>
        <v>Yes</v>
      </c>
      <c r="G1407" s="16" t="str">
        <f aca="false">IF(E1407="","Unexplained Bank Item (fee/other - review)",IF(F1407="Yes","Matched","Payment Reference Not Found in AP Log"))</f>
        <v>Matched</v>
      </c>
    </row>
    <row r="1408" customFormat="false" ht="15" hidden="false" customHeight="false" outlineLevel="0" collapsed="false">
      <c r="A1408" s="16" t="str">
        <f aca="false">Bank_Statement!A648</f>
        <v>BNK50647</v>
      </c>
      <c r="B1408" s="17" t="n">
        <f aca="false">Bank_Statement!B648</f>
        <v>45957</v>
      </c>
      <c r="C1408" s="18" t="n">
        <f aca="false">Bank_Statement!C648</f>
        <v>-2123.75</v>
      </c>
      <c r="D1408" s="16" t="str">
        <f aca="false">Bank_Statement!D648</f>
        <v>PMT-V1003</v>
      </c>
      <c r="E1408" s="16" t="str">
        <f aca="false">Bank_Statement!E648</f>
        <v>PAY40647</v>
      </c>
      <c r="F1408" s="16" t="str">
        <f aca="false">IF(E1408="","N/A",IF(COUNTIF(Payment_Log_AP!$A$2:$A$753,E1408)&gt;0,"Yes","No"))</f>
        <v>Yes</v>
      </c>
      <c r="G1408" s="16" t="str">
        <f aca="false">IF(E1408="","Unexplained Bank Item (fee/other - review)",IF(F1408="Yes","Matched","Payment Reference Not Found in AP Log"))</f>
        <v>Matched</v>
      </c>
    </row>
    <row r="1409" customFormat="false" ht="15" hidden="false" customHeight="false" outlineLevel="0" collapsed="false">
      <c r="A1409" s="16" t="str">
        <f aca="false">Bank_Statement!A649</f>
        <v>BNK50648</v>
      </c>
      <c r="B1409" s="17" t="n">
        <f aca="false">Bank_Statement!B649</f>
        <v>46032</v>
      </c>
      <c r="C1409" s="18" t="n">
        <f aca="false">Bank_Statement!C649</f>
        <v>-2641.8</v>
      </c>
      <c r="D1409" s="16" t="str">
        <f aca="false">Bank_Statement!D649</f>
        <v>PMT-V1010</v>
      </c>
      <c r="E1409" s="16" t="str">
        <f aca="false">Bank_Statement!E649</f>
        <v>PAY40648</v>
      </c>
      <c r="F1409" s="16" t="str">
        <f aca="false">IF(E1409="","N/A",IF(COUNTIF(Payment_Log_AP!$A$2:$A$753,E1409)&gt;0,"Yes","No"))</f>
        <v>Yes</v>
      </c>
      <c r="G1409" s="16" t="str">
        <f aca="false">IF(E1409="","Unexplained Bank Item (fee/other - review)",IF(F1409="Yes","Matched","Payment Reference Not Found in AP Log"))</f>
        <v>Matched</v>
      </c>
    </row>
    <row r="1410" customFormat="false" ht="15" hidden="false" customHeight="false" outlineLevel="0" collapsed="false">
      <c r="A1410" s="16" t="str">
        <f aca="false">Bank_Statement!A650</f>
        <v>BNK50649</v>
      </c>
      <c r="B1410" s="17" t="n">
        <f aca="false">Bank_Statement!B650</f>
        <v>45761</v>
      </c>
      <c r="C1410" s="18" t="n">
        <f aca="false">Bank_Statement!C650</f>
        <v>-2661.22</v>
      </c>
      <c r="D1410" s="16" t="str">
        <f aca="false">Bank_Statement!D650</f>
        <v>PMT-V1015</v>
      </c>
      <c r="E1410" s="16" t="str">
        <f aca="false">Bank_Statement!E650</f>
        <v>PAY40649</v>
      </c>
      <c r="F1410" s="16" t="str">
        <f aca="false">IF(E1410="","N/A",IF(COUNTIF(Payment_Log_AP!$A$2:$A$753,E1410)&gt;0,"Yes","No"))</f>
        <v>Yes</v>
      </c>
      <c r="G1410" s="16" t="str">
        <f aca="false">IF(E1410="","Unexplained Bank Item (fee/other - review)",IF(F1410="Yes","Matched","Payment Reference Not Found in AP Log"))</f>
        <v>Matched</v>
      </c>
    </row>
    <row r="1411" customFormat="false" ht="15" hidden="false" customHeight="false" outlineLevel="0" collapsed="false">
      <c r="A1411" s="16" t="str">
        <f aca="false">Bank_Statement!A651</f>
        <v>BNK50650</v>
      </c>
      <c r="B1411" s="17" t="n">
        <f aca="false">Bank_Statement!B651</f>
        <v>46091</v>
      </c>
      <c r="C1411" s="18" t="n">
        <f aca="false">Bank_Statement!C651</f>
        <v>-2608</v>
      </c>
      <c r="D1411" s="16" t="str">
        <f aca="false">Bank_Statement!D651</f>
        <v>PMT-V1022</v>
      </c>
      <c r="E1411" s="16" t="str">
        <f aca="false">Bank_Statement!E651</f>
        <v>PAY40650</v>
      </c>
      <c r="F1411" s="16" t="str">
        <f aca="false">IF(E1411="","N/A",IF(COUNTIF(Payment_Log_AP!$A$2:$A$753,E1411)&gt;0,"Yes","No"))</f>
        <v>Yes</v>
      </c>
      <c r="G1411" s="16" t="str">
        <f aca="false">IF(E1411="","Unexplained Bank Item (fee/other - review)",IF(F1411="Yes","Matched","Payment Reference Not Found in AP Log"))</f>
        <v>Matched</v>
      </c>
    </row>
    <row r="1412" customFormat="false" ht="15" hidden="false" customHeight="false" outlineLevel="0" collapsed="false">
      <c r="A1412" s="16" t="str">
        <f aca="false">Bank_Statement!A652</f>
        <v>BNK50651</v>
      </c>
      <c r="B1412" s="17" t="n">
        <f aca="false">Bank_Statement!B652</f>
        <v>46149</v>
      </c>
      <c r="C1412" s="18" t="n">
        <f aca="false">Bank_Statement!C652</f>
        <v>-19774.14</v>
      </c>
      <c r="D1412" s="16" t="str">
        <f aca="false">Bank_Statement!D652</f>
        <v>PMT-V1033</v>
      </c>
      <c r="E1412" s="16" t="str">
        <f aca="false">Bank_Statement!E652</f>
        <v>PAY40651</v>
      </c>
      <c r="F1412" s="16" t="str">
        <f aca="false">IF(E1412="","N/A",IF(COUNTIF(Payment_Log_AP!$A$2:$A$753,E1412)&gt;0,"Yes","No"))</f>
        <v>Yes</v>
      </c>
      <c r="G1412" s="16" t="str">
        <f aca="false">IF(E1412="","Unexplained Bank Item (fee/other - review)",IF(F1412="Yes","Matched","Payment Reference Not Found in AP Log"))</f>
        <v>Matched</v>
      </c>
    </row>
    <row r="1413" customFormat="false" ht="15" hidden="false" customHeight="false" outlineLevel="0" collapsed="false">
      <c r="A1413" s="16" t="str">
        <f aca="false">Bank_Statement!A653</f>
        <v>BNK50652</v>
      </c>
      <c r="B1413" s="17" t="n">
        <f aca="false">Bank_Statement!B653</f>
        <v>46033</v>
      </c>
      <c r="C1413" s="18" t="n">
        <f aca="false">Bank_Statement!C653</f>
        <v>-393.39</v>
      </c>
      <c r="D1413" s="16" t="str">
        <f aca="false">Bank_Statement!D653</f>
        <v>PMT-V1018</v>
      </c>
      <c r="E1413" s="16" t="str">
        <f aca="false">Bank_Statement!E653</f>
        <v>PAY40652</v>
      </c>
      <c r="F1413" s="16" t="str">
        <f aca="false">IF(E1413="","N/A",IF(COUNTIF(Payment_Log_AP!$A$2:$A$753,E1413)&gt;0,"Yes","No"))</f>
        <v>Yes</v>
      </c>
      <c r="G1413" s="16" t="str">
        <f aca="false">IF(E1413="","Unexplained Bank Item (fee/other - review)",IF(F1413="Yes","Matched","Payment Reference Not Found in AP Log"))</f>
        <v>Matched</v>
      </c>
    </row>
    <row r="1414" customFormat="false" ht="15" hidden="false" customHeight="false" outlineLevel="0" collapsed="false">
      <c r="A1414" s="16" t="str">
        <f aca="false">Bank_Statement!A654</f>
        <v>BNK50653</v>
      </c>
      <c r="B1414" s="17" t="n">
        <f aca="false">Bank_Statement!B654</f>
        <v>46096</v>
      </c>
      <c r="C1414" s="18" t="n">
        <f aca="false">Bank_Statement!C654</f>
        <v>-19934.95</v>
      </c>
      <c r="D1414" s="16" t="str">
        <f aca="false">Bank_Statement!D654</f>
        <v>PMT-V1026</v>
      </c>
      <c r="E1414" s="16" t="str">
        <f aca="false">Bank_Statement!E654</f>
        <v>PAY40653</v>
      </c>
      <c r="F1414" s="16" t="str">
        <f aca="false">IF(E1414="","N/A",IF(COUNTIF(Payment_Log_AP!$A$2:$A$753,E1414)&gt;0,"Yes","No"))</f>
        <v>Yes</v>
      </c>
      <c r="G1414" s="16" t="str">
        <f aca="false">IF(E1414="","Unexplained Bank Item (fee/other - review)",IF(F1414="Yes","Matched","Payment Reference Not Found in AP Log"))</f>
        <v>Matched</v>
      </c>
    </row>
    <row r="1415" customFormat="false" ht="15" hidden="false" customHeight="false" outlineLevel="0" collapsed="false">
      <c r="A1415" s="16" t="str">
        <f aca="false">Bank_Statement!A655</f>
        <v>BNK50654</v>
      </c>
      <c r="B1415" s="17" t="n">
        <f aca="false">Bank_Statement!B655</f>
        <v>45804</v>
      </c>
      <c r="C1415" s="18" t="n">
        <f aca="false">Bank_Statement!C655</f>
        <v>-812.03</v>
      </c>
      <c r="D1415" s="16" t="str">
        <f aca="false">Bank_Statement!D655</f>
        <v>PMT-V1008</v>
      </c>
      <c r="E1415" s="16" t="str">
        <f aca="false">Bank_Statement!E655</f>
        <v>PAY40654</v>
      </c>
      <c r="F1415" s="16" t="str">
        <f aca="false">IF(E1415="","N/A",IF(COUNTIF(Payment_Log_AP!$A$2:$A$753,E1415)&gt;0,"Yes","No"))</f>
        <v>Yes</v>
      </c>
      <c r="G1415" s="16" t="str">
        <f aca="false">IF(E1415="","Unexplained Bank Item (fee/other - review)",IF(F1415="Yes","Matched","Payment Reference Not Found in AP Log"))</f>
        <v>Matched</v>
      </c>
    </row>
    <row r="1416" customFormat="false" ht="15" hidden="false" customHeight="false" outlineLevel="0" collapsed="false">
      <c r="A1416" s="16" t="str">
        <f aca="false">Bank_Statement!A656</f>
        <v>BNK50655</v>
      </c>
      <c r="B1416" s="17" t="n">
        <f aca="false">Bank_Statement!B656</f>
        <v>45936</v>
      </c>
      <c r="C1416" s="18" t="n">
        <f aca="false">Bank_Statement!C656</f>
        <v>-26179.49</v>
      </c>
      <c r="D1416" s="16" t="str">
        <f aca="false">Bank_Statement!D656</f>
        <v>PMT-V1025</v>
      </c>
      <c r="E1416" s="16" t="str">
        <f aca="false">Bank_Statement!E656</f>
        <v>PAY40655</v>
      </c>
      <c r="F1416" s="16" t="str">
        <f aca="false">IF(E1416="","N/A",IF(COUNTIF(Payment_Log_AP!$A$2:$A$753,E1416)&gt;0,"Yes","No"))</f>
        <v>Yes</v>
      </c>
      <c r="G1416" s="16" t="str">
        <f aca="false">IF(E1416="","Unexplained Bank Item (fee/other - review)",IF(F1416="Yes","Matched","Payment Reference Not Found in AP Log"))</f>
        <v>Matched</v>
      </c>
    </row>
    <row r="1417" customFormat="false" ht="15" hidden="false" customHeight="false" outlineLevel="0" collapsed="false">
      <c r="A1417" s="16" t="str">
        <f aca="false">Bank_Statement!A657</f>
        <v>BNK50656</v>
      </c>
      <c r="B1417" s="17" t="n">
        <f aca="false">Bank_Statement!B657</f>
        <v>45819</v>
      </c>
      <c r="C1417" s="18" t="n">
        <f aca="false">Bank_Statement!C657</f>
        <v>-8117.27</v>
      </c>
      <c r="D1417" s="16" t="str">
        <f aca="false">Bank_Statement!D657</f>
        <v>PMT-V1007</v>
      </c>
      <c r="E1417" s="16" t="str">
        <f aca="false">Bank_Statement!E657</f>
        <v>PAY40656</v>
      </c>
      <c r="F1417" s="16" t="str">
        <f aca="false">IF(E1417="","N/A",IF(COUNTIF(Payment_Log_AP!$A$2:$A$753,E1417)&gt;0,"Yes","No"))</f>
        <v>Yes</v>
      </c>
      <c r="G1417" s="16" t="str">
        <f aca="false">IF(E1417="","Unexplained Bank Item (fee/other - review)",IF(F1417="Yes","Matched","Payment Reference Not Found in AP Log"))</f>
        <v>Matched</v>
      </c>
    </row>
    <row r="1418" customFormat="false" ht="15" hidden="false" customHeight="false" outlineLevel="0" collapsed="false">
      <c r="A1418" s="16" t="str">
        <f aca="false">Bank_Statement!A658</f>
        <v>BNK50657</v>
      </c>
      <c r="B1418" s="17" t="n">
        <f aca="false">Bank_Statement!B658</f>
        <v>45880</v>
      </c>
      <c r="C1418" s="18" t="n">
        <f aca="false">Bank_Statement!C658</f>
        <v>-9161.11</v>
      </c>
      <c r="D1418" s="16" t="str">
        <f aca="false">Bank_Statement!D658</f>
        <v>PMT-V1038</v>
      </c>
      <c r="E1418" s="16" t="str">
        <f aca="false">Bank_Statement!E658</f>
        <v>PAY40657</v>
      </c>
      <c r="F1418" s="16" t="str">
        <f aca="false">IF(E1418="","N/A",IF(COUNTIF(Payment_Log_AP!$A$2:$A$753,E1418)&gt;0,"Yes","No"))</f>
        <v>Yes</v>
      </c>
      <c r="G1418" s="16" t="str">
        <f aca="false">IF(E1418="","Unexplained Bank Item (fee/other - review)",IF(F1418="Yes","Matched","Payment Reference Not Found in AP Log"))</f>
        <v>Matched</v>
      </c>
    </row>
    <row r="1419" customFormat="false" ht="15" hidden="false" customHeight="false" outlineLevel="0" collapsed="false">
      <c r="A1419" s="16" t="str">
        <f aca="false">Bank_Statement!A659</f>
        <v>BNK50658</v>
      </c>
      <c r="B1419" s="17" t="n">
        <f aca="false">Bank_Statement!B659</f>
        <v>45929</v>
      </c>
      <c r="C1419" s="18" t="n">
        <f aca="false">Bank_Statement!C659</f>
        <v>-1056.4</v>
      </c>
      <c r="D1419" s="16" t="str">
        <f aca="false">Bank_Statement!D659</f>
        <v>PMT-V1022</v>
      </c>
      <c r="E1419" s="16" t="str">
        <f aca="false">Bank_Statement!E659</f>
        <v>PAY40658</v>
      </c>
      <c r="F1419" s="16" t="str">
        <f aca="false">IF(E1419="","N/A",IF(COUNTIF(Payment_Log_AP!$A$2:$A$753,E1419)&gt;0,"Yes","No"))</f>
        <v>Yes</v>
      </c>
      <c r="G1419" s="16" t="str">
        <f aca="false">IF(E1419="","Unexplained Bank Item (fee/other - review)",IF(F1419="Yes","Matched","Payment Reference Not Found in AP Log"))</f>
        <v>Matched</v>
      </c>
    </row>
    <row r="1420" customFormat="false" ht="15" hidden="false" customHeight="false" outlineLevel="0" collapsed="false">
      <c r="A1420" s="16" t="str">
        <f aca="false">Bank_Statement!A660</f>
        <v>BNK50659</v>
      </c>
      <c r="B1420" s="17" t="n">
        <f aca="false">Bank_Statement!B660</f>
        <v>45890</v>
      </c>
      <c r="C1420" s="18" t="n">
        <f aca="false">Bank_Statement!C660</f>
        <v>-3577.81</v>
      </c>
      <c r="D1420" s="16" t="str">
        <f aca="false">Bank_Statement!D660</f>
        <v>PMT-V1015</v>
      </c>
      <c r="E1420" s="16" t="str">
        <f aca="false">Bank_Statement!E660</f>
        <v>PAY40659</v>
      </c>
      <c r="F1420" s="16" t="str">
        <f aca="false">IF(E1420="","N/A",IF(COUNTIF(Payment_Log_AP!$A$2:$A$753,E1420)&gt;0,"Yes","No"))</f>
        <v>Yes</v>
      </c>
      <c r="G1420" s="16" t="str">
        <f aca="false">IF(E1420="","Unexplained Bank Item (fee/other - review)",IF(F1420="Yes","Matched","Payment Reference Not Found in AP Log"))</f>
        <v>Matched</v>
      </c>
    </row>
    <row r="1421" customFormat="false" ht="15" hidden="false" customHeight="false" outlineLevel="0" collapsed="false">
      <c r="A1421" s="16" t="str">
        <f aca="false">Bank_Statement!A661</f>
        <v>BNK50660</v>
      </c>
      <c r="B1421" s="17" t="n">
        <f aca="false">Bank_Statement!B661</f>
        <v>45739</v>
      </c>
      <c r="C1421" s="18" t="n">
        <f aca="false">Bank_Statement!C661</f>
        <v>-1478.7</v>
      </c>
      <c r="D1421" s="16" t="str">
        <f aca="false">Bank_Statement!D661</f>
        <v>PMT-V1006</v>
      </c>
      <c r="E1421" s="16" t="str">
        <f aca="false">Bank_Statement!E661</f>
        <v>PAY40660</v>
      </c>
      <c r="F1421" s="16" t="str">
        <f aca="false">IF(E1421="","N/A",IF(COUNTIF(Payment_Log_AP!$A$2:$A$753,E1421)&gt;0,"Yes","No"))</f>
        <v>Yes</v>
      </c>
      <c r="G1421" s="16" t="str">
        <f aca="false">IF(E1421="","Unexplained Bank Item (fee/other - review)",IF(F1421="Yes","Matched","Payment Reference Not Found in AP Log"))</f>
        <v>Matched</v>
      </c>
    </row>
    <row r="1422" customFormat="false" ht="15" hidden="false" customHeight="false" outlineLevel="0" collapsed="false">
      <c r="A1422" s="16" t="str">
        <f aca="false">Bank_Statement!A662</f>
        <v>BNK50661</v>
      </c>
      <c r="B1422" s="17" t="n">
        <f aca="false">Bank_Statement!B662</f>
        <v>45926</v>
      </c>
      <c r="C1422" s="18" t="n">
        <f aca="false">Bank_Statement!C662</f>
        <v>-5071.62</v>
      </c>
      <c r="D1422" s="16" t="str">
        <f aca="false">Bank_Statement!D662</f>
        <v>PMT-V1026</v>
      </c>
      <c r="E1422" s="16" t="str">
        <f aca="false">Bank_Statement!E662</f>
        <v>PAY40661</v>
      </c>
      <c r="F1422" s="16" t="str">
        <f aca="false">IF(E1422="","N/A",IF(COUNTIF(Payment_Log_AP!$A$2:$A$753,E1422)&gt;0,"Yes","No"))</f>
        <v>Yes</v>
      </c>
      <c r="G1422" s="16" t="str">
        <f aca="false">IF(E1422="","Unexplained Bank Item (fee/other - review)",IF(F1422="Yes","Matched","Payment Reference Not Found in AP Log"))</f>
        <v>Matched</v>
      </c>
    </row>
    <row r="1423" customFormat="false" ht="15" hidden="false" customHeight="false" outlineLevel="0" collapsed="false">
      <c r="A1423" s="16" t="str">
        <f aca="false">Bank_Statement!A663</f>
        <v>BNK50662</v>
      </c>
      <c r="B1423" s="17" t="n">
        <f aca="false">Bank_Statement!B663</f>
        <v>46060</v>
      </c>
      <c r="C1423" s="18" t="n">
        <f aca="false">Bank_Statement!C663</f>
        <v>-3714.97</v>
      </c>
      <c r="D1423" s="16" t="str">
        <f aca="false">Bank_Statement!D663</f>
        <v>PMT-V1033</v>
      </c>
      <c r="E1423" s="16" t="str">
        <f aca="false">Bank_Statement!E663</f>
        <v>PAY40662</v>
      </c>
      <c r="F1423" s="16" t="str">
        <f aca="false">IF(E1423="","N/A",IF(COUNTIF(Payment_Log_AP!$A$2:$A$753,E1423)&gt;0,"Yes","No"))</f>
        <v>Yes</v>
      </c>
      <c r="G1423" s="16" t="str">
        <f aca="false">IF(E1423="","Unexplained Bank Item (fee/other - review)",IF(F1423="Yes","Matched","Payment Reference Not Found in AP Log"))</f>
        <v>Matched</v>
      </c>
    </row>
    <row r="1424" customFormat="false" ht="15" hidden="false" customHeight="false" outlineLevel="0" collapsed="false">
      <c r="A1424" s="16" t="str">
        <f aca="false">Bank_Statement!A664</f>
        <v>BNK50663</v>
      </c>
      <c r="B1424" s="17" t="n">
        <f aca="false">Bank_Statement!B664</f>
        <v>45889</v>
      </c>
      <c r="C1424" s="18" t="n">
        <f aca="false">Bank_Statement!C664</f>
        <v>-577.47</v>
      </c>
      <c r="D1424" s="16" t="str">
        <f aca="false">Bank_Statement!D664</f>
        <v>PMT-V1025</v>
      </c>
      <c r="E1424" s="16" t="str">
        <f aca="false">Bank_Statement!E664</f>
        <v>PAY40663</v>
      </c>
      <c r="F1424" s="16" t="str">
        <f aca="false">IF(E1424="","N/A",IF(COUNTIF(Payment_Log_AP!$A$2:$A$753,E1424)&gt;0,"Yes","No"))</f>
        <v>Yes</v>
      </c>
      <c r="G1424" s="16" t="str">
        <f aca="false">IF(E1424="","Unexplained Bank Item (fee/other - review)",IF(F1424="Yes","Matched","Payment Reference Not Found in AP Log"))</f>
        <v>Matched</v>
      </c>
    </row>
    <row r="1425" customFormat="false" ht="15" hidden="false" customHeight="false" outlineLevel="0" collapsed="false">
      <c r="A1425" s="16" t="str">
        <f aca="false">Bank_Statement!A665</f>
        <v>BNK50664</v>
      </c>
      <c r="B1425" s="17" t="n">
        <f aca="false">Bank_Statement!B665</f>
        <v>46206</v>
      </c>
      <c r="C1425" s="18" t="n">
        <f aca="false">Bank_Statement!C665</f>
        <v>-2429.18</v>
      </c>
      <c r="D1425" s="16" t="str">
        <f aca="false">Bank_Statement!D665</f>
        <v>PMT-V1002</v>
      </c>
      <c r="E1425" s="16" t="str">
        <f aca="false">Bank_Statement!E665</f>
        <v>PAY40664</v>
      </c>
      <c r="F1425" s="16" t="str">
        <f aca="false">IF(E1425="","N/A",IF(COUNTIF(Payment_Log_AP!$A$2:$A$753,E1425)&gt;0,"Yes","No"))</f>
        <v>Yes</v>
      </c>
      <c r="G1425" s="16" t="str">
        <f aca="false">IF(E1425="","Unexplained Bank Item (fee/other - review)",IF(F1425="Yes","Matched","Payment Reference Not Found in AP Log"))</f>
        <v>Matched</v>
      </c>
    </row>
    <row r="1426" customFormat="false" ht="15" hidden="false" customHeight="false" outlineLevel="0" collapsed="false">
      <c r="A1426" s="16" t="str">
        <f aca="false">Bank_Statement!A666</f>
        <v>BNK50665</v>
      </c>
      <c r="B1426" s="17" t="n">
        <f aca="false">Bank_Statement!B666</f>
        <v>45722</v>
      </c>
      <c r="C1426" s="18" t="n">
        <f aca="false">Bank_Statement!C666</f>
        <v>-5420.25</v>
      </c>
      <c r="D1426" s="16" t="str">
        <f aca="false">Bank_Statement!D666</f>
        <v>PMT-V1010</v>
      </c>
      <c r="E1426" s="16" t="str">
        <f aca="false">Bank_Statement!E666</f>
        <v>PAY40665</v>
      </c>
      <c r="F1426" s="16" t="str">
        <f aca="false">IF(E1426="","N/A",IF(COUNTIF(Payment_Log_AP!$A$2:$A$753,E1426)&gt;0,"Yes","No"))</f>
        <v>Yes</v>
      </c>
      <c r="G1426" s="16" t="str">
        <f aca="false">IF(E1426="","Unexplained Bank Item (fee/other - review)",IF(F1426="Yes","Matched","Payment Reference Not Found in AP Log"))</f>
        <v>Matched</v>
      </c>
    </row>
    <row r="1427" customFormat="false" ht="15" hidden="false" customHeight="false" outlineLevel="0" collapsed="false">
      <c r="A1427" s="16" t="str">
        <f aca="false">Bank_Statement!A667</f>
        <v>BNK50666</v>
      </c>
      <c r="B1427" s="17" t="n">
        <f aca="false">Bank_Statement!B667</f>
        <v>45713</v>
      </c>
      <c r="C1427" s="18" t="n">
        <f aca="false">Bank_Statement!C667</f>
        <v>-5970.05</v>
      </c>
      <c r="D1427" s="16" t="str">
        <f aca="false">Bank_Statement!D667</f>
        <v>PMT-V1034</v>
      </c>
      <c r="E1427" s="16" t="str">
        <f aca="false">Bank_Statement!E667</f>
        <v>PAY40666</v>
      </c>
      <c r="F1427" s="16" t="str">
        <f aca="false">IF(E1427="","N/A",IF(COUNTIF(Payment_Log_AP!$A$2:$A$753,E1427)&gt;0,"Yes","No"))</f>
        <v>Yes</v>
      </c>
      <c r="G1427" s="16" t="str">
        <f aca="false">IF(E1427="","Unexplained Bank Item (fee/other - review)",IF(F1427="Yes","Matched","Payment Reference Not Found in AP Log"))</f>
        <v>Matched</v>
      </c>
    </row>
    <row r="1428" customFormat="false" ht="15" hidden="false" customHeight="false" outlineLevel="0" collapsed="false">
      <c r="A1428" s="16" t="str">
        <f aca="false">Bank_Statement!A668</f>
        <v>BNK50667</v>
      </c>
      <c r="B1428" s="17" t="n">
        <f aca="false">Bank_Statement!B668</f>
        <v>45722</v>
      </c>
      <c r="C1428" s="18" t="n">
        <f aca="false">Bank_Statement!C668</f>
        <v>-1166.53</v>
      </c>
      <c r="D1428" s="16" t="str">
        <f aca="false">Bank_Statement!D668</f>
        <v>PMT-V1020</v>
      </c>
      <c r="E1428" s="16" t="str">
        <f aca="false">Bank_Statement!E668</f>
        <v>PAY40667</v>
      </c>
      <c r="F1428" s="16" t="str">
        <f aca="false">IF(E1428="","N/A",IF(COUNTIF(Payment_Log_AP!$A$2:$A$753,E1428)&gt;0,"Yes","No"))</f>
        <v>Yes</v>
      </c>
      <c r="G1428" s="16" t="str">
        <f aca="false">IF(E1428="","Unexplained Bank Item (fee/other - review)",IF(F1428="Yes","Matched","Payment Reference Not Found in AP Log"))</f>
        <v>Matched</v>
      </c>
    </row>
    <row r="1429" customFormat="false" ht="15" hidden="false" customHeight="false" outlineLevel="0" collapsed="false">
      <c r="A1429" s="16" t="str">
        <f aca="false">Bank_Statement!A669</f>
        <v>BNK50668</v>
      </c>
      <c r="B1429" s="17" t="n">
        <f aca="false">Bank_Statement!B669</f>
        <v>46106</v>
      </c>
      <c r="C1429" s="18" t="n">
        <f aca="false">Bank_Statement!C669</f>
        <v>-305.02</v>
      </c>
      <c r="D1429" s="16" t="str">
        <f aca="false">Bank_Statement!D669</f>
        <v>PMT-V1040</v>
      </c>
      <c r="E1429" s="16" t="str">
        <f aca="false">Bank_Statement!E669</f>
        <v>PAY40668</v>
      </c>
      <c r="F1429" s="16" t="str">
        <f aca="false">IF(E1429="","N/A",IF(COUNTIF(Payment_Log_AP!$A$2:$A$753,E1429)&gt;0,"Yes","No"))</f>
        <v>Yes</v>
      </c>
      <c r="G1429" s="16" t="str">
        <f aca="false">IF(E1429="","Unexplained Bank Item (fee/other - review)",IF(F1429="Yes","Matched","Payment Reference Not Found in AP Log"))</f>
        <v>Matched</v>
      </c>
    </row>
    <row r="1430" customFormat="false" ht="15" hidden="false" customHeight="false" outlineLevel="0" collapsed="false">
      <c r="A1430" s="16" t="str">
        <f aca="false">Bank_Statement!A670</f>
        <v>BNK50669</v>
      </c>
      <c r="B1430" s="17" t="n">
        <f aca="false">Bank_Statement!B670</f>
        <v>46135</v>
      </c>
      <c r="C1430" s="18" t="n">
        <f aca="false">Bank_Statement!C670</f>
        <v>-888.47</v>
      </c>
      <c r="D1430" s="16" t="str">
        <f aca="false">Bank_Statement!D670</f>
        <v>PMT-V1008</v>
      </c>
      <c r="E1430" s="16" t="str">
        <f aca="false">Bank_Statement!E670</f>
        <v>PAY40669</v>
      </c>
      <c r="F1430" s="16" t="str">
        <f aca="false">IF(E1430="","N/A",IF(COUNTIF(Payment_Log_AP!$A$2:$A$753,E1430)&gt;0,"Yes","No"))</f>
        <v>Yes</v>
      </c>
      <c r="G1430" s="16" t="str">
        <f aca="false">IF(E1430="","Unexplained Bank Item (fee/other - review)",IF(F1430="Yes","Matched","Payment Reference Not Found in AP Log"))</f>
        <v>Matched</v>
      </c>
    </row>
    <row r="1431" customFormat="false" ht="15" hidden="false" customHeight="false" outlineLevel="0" collapsed="false">
      <c r="A1431" s="16" t="str">
        <f aca="false">Bank_Statement!A671</f>
        <v>BNK50670</v>
      </c>
      <c r="B1431" s="17" t="n">
        <f aca="false">Bank_Statement!B671</f>
        <v>46005</v>
      </c>
      <c r="C1431" s="18" t="n">
        <f aca="false">Bank_Statement!C671</f>
        <v>-6115.66</v>
      </c>
      <c r="D1431" s="16" t="str">
        <f aca="false">Bank_Statement!D671</f>
        <v>PMT-V1013</v>
      </c>
      <c r="E1431" s="16" t="str">
        <f aca="false">Bank_Statement!E671</f>
        <v>PAY40670</v>
      </c>
      <c r="F1431" s="16" t="str">
        <f aca="false">IF(E1431="","N/A",IF(COUNTIF(Payment_Log_AP!$A$2:$A$753,E1431)&gt;0,"Yes","No"))</f>
        <v>Yes</v>
      </c>
      <c r="G1431" s="16" t="str">
        <f aca="false">IF(E1431="","Unexplained Bank Item (fee/other - review)",IF(F1431="Yes","Matched","Payment Reference Not Found in AP Log"))</f>
        <v>Matched</v>
      </c>
    </row>
    <row r="1432" customFormat="false" ht="15" hidden="false" customHeight="false" outlineLevel="0" collapsed="false">
      <c r="A1432" s="16" t="str">
        <f aca="false">Bank_Statement!A672</f>
        <v>BNK50671</v>
      </c>
      <c r="B1432" s="17" t="n">
        <f aca="false">Bank_Statement!B672</f>
        <v>46000</v>
      </c>
      <c r="C1432" s="18" t="n">
        <f aca="false">Bank_Statement!C672</f>
        <v>-723.52</v>
      </c>
      <c r="D1432" s="16" t="str">
        <f aca="false">Bank_Statement!D672</f>
        <v>PMT-V1029</v>
      </c>
      <c r="E1432" s="16" t="str">
        <f aca="false">Bank_Statement!E672</f>
        <v>PAY40671</v>
      </c>
      <c r="F1432" s="16" t="str">
        <f aca="false">IF(E1432="","N/A",IF(COUNTIF(Payment_Log_AP!$A$2:$A$753,E1432)&gt;0,"Yes","No"))</f>
        <v>Yes</v>
      </c>
      <c r="G1432" s="16" t="str">
        <f aca="false">IF(E1432="","Unexplained Bank Item (fee/other - review)",IF(F1432="Yes","Matched","Payment Reference Not Found in AP Log"))</f>
        <v>Matched</v>
      </c>
    </row>
    <row r="1433" customFormat="false" ht="15" hidden="false" customHeight="false" outlineLevel="0" collapsed="false">
      <c r="A1433" s="16" t="str">
        <f aca="false">Bank_Statement!A673</f>
        <v>BNK50672</v>
      </c>
      <c r="B1433" s="17" t="n">
        <f aca="false">Bank_Statement!B673</f>
        <v>45771</v>
      </c>
      <c r="C1433" s="18" t="n">
        <f aca="false">Bank_Statement!C673</f>
        <v>-1751.47</v>
      </c>
      <c r="D1433" s="16" t="str">
        <f aca="false">Bank_Statement!D673</f>
        <v>PMT-V1040</v>
      </c>
      <c r="E1433" s="16" t="str">
        <f aca="false">Bank_Statement!E673</f>
        <v>PAY40672</v>
      </c>
      <c r="F1433" s="16" t="str">
        <f aca="false">IF(E1433="","N/A",IF(COUNTIF(Payment_Log_AP!$A$2:$A$753,E1433)&gt;0,"Yes","No"))</f>
        <v>Yes</v>
      </c>
      <c r="G1433" s="16" t="str">
        <f aca="false">IF(E1433="","Unexplained Bank Item (fee/other - review)",IF(F1433="Yes","Matched","Payment Reference Not Found in AP Log"))</f>
        <v>Matched</v>
      </c>
    </row>
    <row r="1434" customFormat="false" ht="15" hidden="false" customHeight="false" outlineLevel="0" collapsed="false">
      <c r="A1434" s="16" t="str">
        <f aca="false">Bank_Statement!A674</f>
        <v>BNK50673</v>
      </c>
      <c r="B1434" s="17" t="n">
        <f aca="false">Bank_Statement!B674</f>
        <v>45883</v>
      </c>
      <c r="C1434" s="18" t="n">
        <f aca="false">Bank_Statement!C674</f>
        <v>-17936.73</v>
      </c>
      <c r="D1434" s="16" t="str">
        <f aca="false">Bank_Statement!D674</f>
        <v>PMT-V1014</v>
      </c>
      <c r="E1434" s="16" t="str">
        <f aca="false">Bank_Statement!E674</f>
        <v>PAY40673</v>
      </c>
      <c r="F1434" s="16" t="str">
        <f aca="false">IF(E1434="","N/A",IF(COUNTIF(Payment_Log_AP!$A$2:$A$753,E1434)&gt;0,"Yes","No"))</f>
        <v>Yes</v>
      </c>
      <c r="G1434" s="16" t="str">
        <f aca="false">IF(E1434="","Unexplained Bank Item (fee/other - review)",IF(F1434="Yes","Matched","Payment Reference Not Found in AP Log"))</f>
        <v>Matched</v>
      </c>
    </row>
    <row r="1435" customFormat="false" ht="15" hidden="false" customHeight="false" outlineLevel="0" collapsed="false">
      <c r="A1435" s="16" t="str">
        <f aca="false">Bank_Statement!A675</f>
        <v>BNK50674</v>
      </c>
      <c r="B1435" s="17" t="n">
        <f aca="false">Bank_Statement!B675</f>
        <v>46062</v>
      </c>
      <c r="C1435" s="18" t="n">
        <f aca="false">Bank_Statement!C675</f>
        <v>-7872.8</v>
      </c>
      <c r="D1435" s="16" t="str">
        <f aca="false">Bank_Statement!D675</f>
        <v>PMT-V1039</v>
      </c>
      <c r="E1435" s="16" t="str">
        <f aca="false">Bank_Statement!E675</f>
        <v>PAY40674</v>
      </c>
      <c r="F1435" s="16" t="str">
        <f aca="false">IF(E1435="","N/A",IF(COUNTIF(Payment_Log_AP!$A$2:$A$753,E1435)&gt;0,"Yes","No"))</f>
        <v>Yes</v>
      </c>
      <c r="G1435" s="16" t="str">
        <f aca="false">IF(E1435="","Unexplained Bank Item (fee/other - review)",IF(F1435="Yes","Matched","Payment Reference Not Found in AP Log"))</f>
        <v>Matched</v>
      </c>
    </row>
    <row r="1436" customFormat="false" ht="15" hidden="false" customHeight="false" outlineLevel="0" collapsed="false">
      <c r="A1436" s="16" t="str">
        <f aca="false">Bank_Statement!A676</f>
        <v>BNK50675</v>
      </c>
      <c r="B1436" s="17" t="n">
        <f aca="false">Bank_Statement!B676</f>
        <v>46104</v>
      </c>
      <c r="C1436" s="18" t="n">
        <f aca="false">Bank_Statement!C676</f>
        <v>-886.11</v>
      </c>
      <c r="D1436" s="16" t="str">
        <f aca="false">Bank_Statement!D676</f>
        <v>PMT-V1029</v>
      </c>
      <c r="E1436" s="16" t="str">
        <f aca="false">Bank_Statement!E676</f>
        <v>PAY40675</v>
      </c>
      <c r="F1436" s="16" t="str">
        <f aca="false">IF(E1436="","N/A",IF(COUNTIF(Payment_Log_AP!$A$2:$A$753,E1436)&gt;0,"Yes","No"))</f>
        <v>Yes</v>
      </c>
      <c r="G1436" s="16" t="str">
        <f aca="false">IF(E1436="","Unexplained Bank Item (fee/other - review)",IF(F1436="Yes","Matched","Payment Reference Not Found in AP Log"))</f>
        <v>Matched</v>
      </c>
    </row>
    <row r="1437" customFormat="false" ht="15" hidden="false" customHeight="false" outlineLevel="0" collapsed="false">
      <c r="A1437" s="16" t="str">
        <f aca="false">Bank_Statement!A677</f>
        <v>BNK50676</v>
      </c>
      <c r="B1437" s="17" t="n">
        <f aca="false">Bank_Statement!B677</f>
        <v>46061</v>
      </c>
      <c r="C1437" s="18" t="n">
        <f aca="false">Bank_Statement!C677</f>
        <v>-270.06</v>
      </c>
      <c r="D1437" s="16" t="str">
        <f aca="false">Bank_Statement!D677</f>
        <v>PMT-V1022</v>
      </c>
      <c r="E1437" s="16" t="str">
        <f aca="false">Bank_Statement!E677</f>
        <v>PAY40676</v>
      </c>
      <c r="F1437" s="16" t="str">
        <f aca="false">IF(E1437="","N/A",IF(COUNTIF(Payment_Log_AP!$A$2:$A$753,E1437)&gt;0,"Yes","No"))</f>
        <v>Yes</v>
      </c>
      <c r="G1437" s="16" t="str">
        <f aca="false">IF(E1437="","Unexplained Bank Item (fee/other - review)",IF(F1437="Yes","Matched","Payment Reference Not Found in AP Log"))</f>
        <v>Matched</v>
      </c>
    </row>
    <row r="1438" customFormat="false" ht="15" hidden="false" customHeight="false" outlineLevel="0" collapsed="false">
      <c r="A1438" s="16" t="str">
        <f aca="false">Bank_Statement!A678</f>
        <v>BNK50677</v>
      </c>
      <c r="B1438" s="17" t="n">
        <f aca="false">Bank_Statement!B678</f>
        <v>46207</v>
      </c>
      <c r="C1438" s="18" t="n">
        <f aca="false">Bank_Statement!C678</f>
        <v>-6371.15</v>
      </c>
      <c r="D1438" s="16" t="str">
        <f aca="false">Bank_Statement!D678</f>
        <v>PMT-V1025</v>
      </c>
      <c r="E1438" s="16" t="str">
        <f aca="false">Bank_Statement!E678</f>
        <v>PAY40677</v>
      </c>
      <c r="F1438" s="16" t="str">
        <f aca="false">IF(E1438="","N/A",IF(COUNTIF(Payment_Log_AP!$A$2:$A$753,E1438)&gt;0,"Yes","No"))</f>
        <v>Yes</v>
      </c>
      <c r="G1438" s="16" t="str">
        <f aca="false">IF(E1438="","Unexplained Bank Item (fee/other - review)",IF(F1438="Yes","Matched","Payment Reference Not Found in AP Log"))</f>
        <v>Matched</v>
      </c>
    </row>
    <row r="1439" customFormat="false" ht="15" hidden="false" customHeight="false" outlineLevel="0" collapsed="false">
      <c r="A1439" s="16" t="str">
        <f aca="false">Bank_Statement!A679</f>
        <v>BNK50678</v>
      </c>
      <c r="B1439" s="17" t="n">
        <f aca="false">Bank_Statement!B679</f>
        <v>46030</v>
      </c>
      <c r="C1439" s="18" t="n">
        <f aca="false">Bank_Statement!C679</f>
        <v>-2179.28</v>
      </c>
      <c r="D1439" s="16" t="str">
        <f aca="false">Bank_Statement!D679</f>
        <v>PMT-V1028</v>
      </c>
      <c r="E1439" s="16" t="str">
        <f aca="false">Bank_Statement!E679</f>
        <v>PAY40678</v>
      </c>
      <c r="F1439" s="16" t="str">
        <f aca="false">IF(E1439="","N/A",IF(COUNTIF(Payment_Log_AP!$A$2:$A$753,E1439)&gt;0,"Yes","No"))</f>
        <v>Yes</v>
      </c>
      <c r="G1439" s="16" t="str">
        <f aca="false">IF(E1439="","Unexplained Bank Item (fee/other - review)",IF(F1439="Yes","Matched","Payment Reference Not Found in AP Log"))</f>
        <v>Matched</v>
      </c>
    </row>
    <row r="1440" customFormat="false" ht="15" hidden="false" customHeight="false" outlineLevel="0" collapsed="false">
      <c r="A1440" s="16" t="str">
        <f aca="false">Bank_Statement!A680</f>
        <v>BNK50679</v>
      </c>
      <c r="B1440" s="17" t="n">
        <f aca="false">Bank_Statement!B680</f>
        <v>45876</v>
      </c>
      <c r="C1440" s="18" t="n">
        <f aca="false">Bank_Statement!C680</f>
        <v>-4559.19</v>
      </c>
      <c r="D1440" s="16" t="str">
        <f aca="false">Bank_Statement!D680</f>
        <v>PMT-V1032</v>
      </c>
      <c r="E1440" s="16" t="str">
        <f aca="false">Bank_Statement!E680</f>
        <v>PAY40679</v>
      </c>
      <c r="F1440" s="16" t="str">
        <f aca="false">IF(E1440="","N/A",IF(COUNTIF(Payment_Log_AP!$A$2:$A$753,E1440)&gt;0,"Yes","No"))</f>
        <v>Yes</v>
      </c>
      <c r="G1440" s="16" t="str">
        <f aca="false">IF(E1440="","Unexplained Bank Item (fee/other - review)",IF(F1440="Yes","Matched","Payment Reference Not Found in AP Log"))</f>
        <v>Matched</v>
      </c>
    </row>
    <row r="1441" customFormat="false" ht="15" hidden="false" customHeight="false" outlineLevel="0" collapsed="false">
      <c r="A1441" s="16" t="str">
        <f aca="false">Bank_Statement!A681</f>
        <v>BNK50680</v>
      </c>
      <c r="B1441" s="17" t="n">
        <f aca="false">Bank_Statement!B681</f>
        <v>46029</v>
      </c>
      <c r="C1441" s="18" t="n">
        <f aca="false">Bank_Statement!C681</f>
        <v>-1738.1</v>
      </c>
      <c r="D1441" s="16" t="str">
        <f aca="false">Bank_Statement!D681</f>
        <v>PMT-V1037</v>
      </c>
      <c r="E1441" s="16" t="str">
        <f aca="false">Bank_Statement!E681</f>
        <v>PAY40680</v>
      </c>
      <c r="F1441" s="16" t="str">
        <f aca="false">IF(E1441="","N/A",IF(COUNTIF(Payment_Log_AP!$A$2:$A$753,E1441)&gt;0,"Yes","No"))</f>
        <v>Yes</v>
      </c>
      <c r="G1441" s="16" t="str">
        <f aca="false">IF(E1441="","Unexplained Bank Item (fee/other - review)",IF(F1441="Yes","Matched","Payment Reference Not Found in AP Log"))</f>
        <v>Matched</v>
      </c>
    </row>
    <row r="1442" customFormat="false" ht="15" hidden="false" customHeight="false" outlineLevel="0" collapsed="false">
      <c r="A1442" s="16" t="str">
        <f aca="false">Bank_Statement!A682</f>
        <v>BNK50681</v>
      </c>
      <c r="B1442" s="17" t="n">
        <f aca="false">Bank_Statement!B682</f>
        <v>45816</v>
      </c>
      <c r="C1442" s="18" t="n">
        <f aca="false">Bank_Statement!C682</f>
        <v>-8655.91</v>
      </c>
      <c r="D1442" s="16" t="str">
        <f aca="false">Bank_Statement!D682</f>
        <v>PMT-V1010</v>
      </c>
      <c r="E1442" s="16" t="str">
        <f aca="false">Bank_Statement!E682</f>
        <v>PAY40681</v>
      </c>
      <c r="F1442" s="16" t="str">
        <f aca="false">IF(E1442="","N/A",IF(COUNTIF(Payment_Log_AP!$A$2:$A$753,E1442)&gt;0,"Yes","No"))</f>
        <v>Yes</v>
      </c>
      <c r="G1442" s="16" t="str">
        <f aca="false">IF(E1442="","Unexplained Bank Item (fee/other - review)",IF(F1442="Yes","Matched","Payment Reference Not Found in AP Log"))</f>
        <v>Matched</v>
      </c>
    </row>
    <row r="1443" customFormat="false" ht="15" hidden="false" customHeight="false" outlineLevel="0" collapsed="false">
      <c r="A1443" s="16" t="str">
        <f aca="false">Bank_Statement!A683</f>
        <v>BNK50682</v>
      </c>
      <c r="B1443" s="17" t="n">
        <f aca="false">Bank_Statement!B683</f>
        <v>46045</v>
      </c>
      <c r="C1443" s="18" t="n">
        <f aca="false">Bank_Statement!C683</f>
        <v>-3002.81</v>
      </c>
      <c r="D1443" s="16" t="str">
        <f aca="false">Bank_Statement!D683</f>
        <v>PMT-V1028</v>
      </c>
      <c r="E1443" s="16" t="str">
        <f aca="false">Bank_Statement!E683</f>
        <v>PAY40682</v>
      </c>
      <c r="F1443" s="16" t="str">
        <f aca="false">IF(E1443="","N/A",IF(COUNTIF(Payment_Log_AP!$A$2:$A$753,E1443)&gt;0,"Yes","No"))</f>
        <v>Yes</v>
      </c>
      <c r="G1443" s="16" t="str">
        <f aca="false">IF(E1443="","Unexplained Bank Item (fee/other - review)",IF(F1443="Yes","Matched","Payment Reference Not Found in AP Log"))</f>
        <v>Matched</v>
      </c>
    </row>
    <row r="1444" customFormat="false" ht="15" hidden="false" customHeight="false" outlineLevel="0" collapsed="false">
      <c r="A1444" s="16" t="str">
        <f aca="false">Bank_Statement!A684</f>
        <v>BNK50683</v>
      </c>
      <c r="B1444" s="17" t="n">
        <f aca="false">Bank_Statement!B684</f>
        <v>45825</v>
      </c>
      <c r="C1444" s="18" t="n">
        <f aca="false">Bank_Statement!C684</f>
        <v>-2069.86</v>
      </c>
      <c r="D1444" s="16" t="str">
        <f aca="false">Bank_Statement!D684</f>
        <v>PMT-V1038</v>
      </c>
      <c r="E1444" s="16" t="str">
        <f aca="false">Bank_Statement!E684</f>
        <v>PAY40683</v>
      </c>
      <c r="F1444" s="16" t="str">
        <f aca="false">IF(E1444="","N/A",IF(COUNTIF(Payment_Log_AP!$A$2:$A$753,E1444)&gt;0,"Yes","No"))</f>
        <v>Yes</v>
      </c>
      <c r="G1444" s="16" t="str">
        <f aca="false">IF(E1444="","Unexplained Bank Item (fee/other - review)",IF(F1444="Yes","Matched","Payment Reference Not Found in AP Log"))</f>
        <v>Matched</v>
      </c>
    </row>
    <row r="1445" customFormat="false" ht="15" hidden="false" customHeight="false" outlineLevel="0" collapsed="false">
      <c r="A1445" s="16" t="str">
        <f aca="false">Bank_Statement!A685</f>
        <v>BNK50684</v>
      </c>
      <c r="B1445" s="17" t="n">
        <f aca="false">Bank_Statement!B685</f>
        <v>45743</v>
      </c>
      <c r="C1445" s="18" t="n">
        <f aca="false">Bank_Statement!C685</f>
        <v>-1217.09</v>
      </c>
      <c r="D1445" s="16" t="str">
        <f aca="false">Bank_Statement!D685</f>
        <v>PMT-V1019</v>
      </c>
      <c r="E1445" s="16" t="str">
        <f aca="false">Bank_Statement!E685</f>
        <v>PAY40684</v>
      </c>
      <c r="F1445" s="16" t="str">
        <f aca="false">IF(E1445="","N/A",IF(COUNTIF(Payment_Log_AP!$A$2:$A$753,E1445)&gt;0,"Yes","No"))</f>
        <v>Yes</v>
      </c>
      <c r="G1445" s="16" t="str">
        <f aca="false">IF(E1445="","Unexplained Bank Item (fee/other - review)",IF(F1445="Yes","Matched","Payment Reference Not Found in AP Log"))</f>
        <v>Matched</v>
      </c>
    </row>
    <row r="1446" customFormat="false" ht="15" hidden="false" customHeight="false" outlineLevel="0" collapsed="false">
      <c r="A1446" s="16" t="str">
        <f aca="false">Bank_Statement!A686</f>
        <v>BNK50685</v>
      </c>
      <c r="B1446" s="17" t="n">
        <f aca="false">Bank_Statement!B686</f>
        <v>46133</v>
      </c>
      <c r="C1446" s="18" t="n">
        <f aca="false">Bank_Statement!C686</f>
        <v>-680.64</v>
      </c>
      <c r="D1446" s="16" t="str">
        <f aca="false">Bank_Statement!D686</f>
        <v>PMT-V1009</v>
      </c>
      <c r="E1446" s="16" t="str">
        <f aca="false">Bank_Statement!E686</f>
        <v>PAY40685</v>
      </c>
      <c r="F1446" s="16" t="str">
        <f aca="false">IF(E1446="","N/A",IF(COUNTIF(Payment_Log_AP!$A$2:$A$753,E1446)&gt;0,"Yes","No"))</f>
        <v>Yes</v>
      </c>
      <c r="G1446" s="16" t="str">
        <f aca="false">IF(E1446="","Unexplained Bank Item (fee/other - review)",IF(F1446="Yes","Matched","Payment Reference Not Found in AP Log"))</f>
        <v>Matched</v>
      </c>
    </row>
    <row r="1447" customFormat="false" ht="15" hidden="false" customHeight="false" outlineLevel="0" collapsed="false">
      <c r="A1447" s="16" t="str">
        <f aca="false">Bank_Statement!A687</f>
        <v>BNK50686</v>
      </c>
      <c r="B1447" s="17" t="n">
        <f aca="false">Bank_Statement!B687</f>
        <v>45914</v>
      </c>
      <c r="C1447" s="18" t="n">
        <f aca="false">Bank_Statement!C687</f>
        <v>-1467.37</v>
      </c>
      <c r="D1447" s="16" t="str">
        <f aca="false">Bank_Statement!D687</f>
        <v>PMT-V1035</v>
      </c>
      <c r="E1447" s="16" t="str">
        <f aca="false">Bank_Statement!E687</f>
        <v>PAY40686</v>
      </c>
      <c r="F1447" s="16" t="str">
        <f aca="false">IF(E1447="","N/A",IF(COUNTIF(Payment_Log_AP!$A$2:$A$753,E1447)&gt;0,"Yes","No"))</f>
        <v>Yes</v>
      </c>
      <c r="G1447" s="16" t="str">
        <f aca="false">IF(E1447="","Unexplained Bank Item (fee/other - review)",IF(F1447="Yes","Matched","Payment Reference Not Found in AP Log"))</f>
        <v>Matched</v>
      </c>
    </row>
    <row r="1448" customFormat="false" ht="15" hidden="false" customHeight="false" outlineLevel="0" collapsed="false">
      <c r="A1448" s="16" t="str">
        <f aca="false">Bank_Statement!A688</f>
        <v>BNK50687</v>
      </c>
      <c r="B1448" s="17" t="n">
        <f aca="false">Bank_Statement!B688</f>
        <v>46099</v>
      </c>
      <c r="C1448" s="18" t="n">
        <f aca="false">Bank_Statement!C688</f>
        <v>-816.48</v>
      </c>
      <c r="D1448" s="16" t="str">
        <f aca="false">Bank_Statement!D688</f>
        <v>PMT-V1011</v>
      </c>
      <c r="E1448" s="16" t="str">
        <f aca="false">Bank_Statement!E688</f>
        <v>PAY40687</v>
      </c>
      <c r="F1448" s="16" t="str">
        <f aca="false">IF(E1448="","N/A",IF(COUNTIF(Payment_Log_AP!$A$2:$A$753,E1448)&gt;0,"Yes","No"))</f>
        <v>Yes</v>
      </c>
      <c r="G1448" s="16" t="str">
        <f aca="false">IF(E1448="","Unexplained Bank Item (fee/other - review)",IF(F1448="Yes","Matched","Payment Reference Not Found in AP Log"))</f>
        <v>Matched</v>
      </c>
    </row>
    <row r="1449" customFormat="false" ht="15" hidden="false" customHeight="false" outlineLevel="0" collapsed="false">
      <c r="A1449" s="16" t="str">
        <f aca="false">Bank_Statement!A689</f>
        <v>BNK50688</v>
      </c>
      <c r="B1449" s="17" t="n">
        <f aca="false">Bank_Statement!B689</f>
        <v>45984</v>
      </c>
      <c r="C1449" s="18" t="n">
        <f aca="false">Bank_Statement!C689</f>
        <v>-1016.58</v>
      </c>
      <c r="D1449" s="16" t="str">
        <f aca="false">Bank_Statement!D689</f>
        <v>PMT-V1002</v>
      </c>
      <c r="E1449" s="16" t="str">
        <f aca="false">Bank_Statement!E689</f>
        <v>PAY40688</v>
      </c>
      <c r="F1449" s="16" t="str">
        <f aca="false">IF(E1449="","N/A",IF(COUNTIF(Payment_Log_AP!$A$2:$A$753,E1449)&gt;0,"Yes","No"))</f>
        <v>Yes</v>
      </c>
      <c r="G1449" s="16" t="str">
        <f aca="false">IF(E1449="","Unexplained Bank Item (fee/other - review)",IF(F1449="Yes","Matched","Payment Reference Not Found in AP Log"))</f>
        <v>Matched</v>
      </c>
    </row>
    <row r="1450" customFormat="false" ht="15" hidden="false" customHeight="false" outlineLevel="0" collapsed="false">
      <c r="A1450" s="16" t="str">
        <f aca="false">Bank_Statement!A690</f>
        <v>BNK50689</v>
      </c>
      <c r="B1450" s="17" t="n">
        <f aca="false">Bank_Statement!B690</f>
        <v>46134</v>
      </c>
      <c r="C1450" s="18" t="n">
        <f aca="false">Bank_Statement!C690</f>
        <v>-7498.53</v>
      </c>
      <c r="D1450" s="16" t="str">
        <f aca="false">Bank_Statement!D690</f>
        <v>PMT-V1035</v>
      </c>
      <c r="E1450" s="16" t="str">
        <f aca="false">Bank_Statement!E690</f>
        <v>PAY40689</v>
      </c>
      <c r="F1450" s="16" t="str">
        <f aca="false">IF(E1450="","N/A",IF(COUNTIF(Payment_Log_AP!$A$2:$A$753,E1450)&gt;0,"Yes","No"))</f>
        <v>Yes</v>
      </c>
      <c r="G1450" s="16" t="str">
        <f aca="false">IF(E1450="","Unexplained Bank Item (fee/other - review)",IF(F1450="Yes","Matched","Payment Reference Not Found in AP Log"))</f>
        <v>Matched</v>
      </c>
    </row>
    <row r="1451" customFormat="false" ht="15" hidden="false" customHeight="false" outlineLevel="0" collapsed="false">
      <c r="A1451" s="16" t="str">
        <f aca="false">Bank_Statement!A691</f>
        <v>BNK50690</v>
      </c>
      <c r="B1451" s="17" t="n">
        <f aca="false">Bank_Statement!B691</f>
        <v>46140</v>
      </c>
      <c r="C1451" s="18" t="n">
        <f aca="false">Bank_Statement!C691</f>
        <v>-396.51</v>
      </c>
      <c r="D1451" s="16" t="str">
        <f aca="false">Bank_Statement!D691</f>
        <v>PMT-V1039</v>
      </c>
      <c r="E1451" s="16" t="str">
        <f aca="false">Bank_Statement!E691</f>
        <v>PAY40690</v>
      </c>
      <c r="F1451" s="16" t="str">
        <f aca="false">IF(E1451="","N/A",IF(COUNTIF(Payment_Log_AP!$A$2:$A$753,E1451)&gt;0,"Yes","No"))</f>
        <v>Yes</v>
      </c>
      <c r="G1451" s="16" t="str">
        <f aca="false">IF(E1451="","Unexplained Bank Item (fee/other - review)",IF(F1451="Yes","Matched","Payment Reference Not Found in AP Log"))</f>
        <v>Matched</v>
      </c>
    </row>
    <row r="1452" customFormat="false" ht="15" hidden="false" customHeight="false" outlineLevel="0" collapsed="false">
      <c r="A1452" s="16" t="str">
        <f aca="false">Bank_Statement!A692</f>
        <v>BNK50691</v>
      </c>
      <c r="B1452" s="17" t="n">
        <f aca="false">Bank_Statement!B692</f>
        <v>46144</v>
      </c>
      <c r="C1452" s="18" t="n">
        <f aca="false">Bank_Statement!C692</f>
        <v>-1497.3</v>
      </c>
      <c r="D1452" s="16" t="str">
        <f aca="false">Bank_Statement!D692</f>
        <v>PMT-V1004</v>
      </c>
      <c r="E1452" s="16" t="str">
        <f aca="false">Bank_Statement!E692</f>
        <v>PAY40691</v>
      </c>
      <c r="F1452" s="16" t="str">
        <f aca="false">IF(E1452="","N/A",IF(COUNTIF(Payment_Log_AP!$A$2:$A$753,E1452)&gt;0,"Yes","No"))</f>
        <v>Yes</v>
      </c>
      <c r="G1452" s="16" t="str">
        <f aca="false">IF(E1452="","Unexplained Bank Item (fee/other - review)",IF(F1452="Yes","Matched","Payment Reference Not Found in AP Log"))</f>
        <v>Matched</v>
      </c>
    </row>
    <row r="1453" customFormat="false" ht="15" hidden="false" customHeight="false" outlineLevel="0" collapsed="false">
      <c r="A1453" s="16" t="str">
        <f aca="false">Bank_Statement!A693</f>
        <v>BNK50692</v>
      </c>
      <c r="B1453" s="17" t="n">
        <f aca="false">Bank_Statement!B693</f>
        <v>46051</v>
      </c>
      <c r="C1453" s="18" t="n">
        <f aca="false">Bank_Statement!C693</f>
        <v>-2091.54</v>
      </c>
      <c r="D1453" s="16" t="str">
        <f aca="false">Bank_Statement!D693</f>
        <v>PMT-V1013</v>
      </c>
      <c r="E1453" s="16" t="str">
        <f aca="false">Bank_Statement!E693</f>
        <v>PAY40692</v>
      </c>
      <c r="F1453" s="16" t="str">
        <f aca="false">IF(E1453="","N/A",IF(COUNTIF(Payment_Log_AP!$A$2:$A$753,E1453)&gt;0,"Yes","No"))</f>
        <v>Yes</v>
      </c>
      <c r="G1453" s="16" t="str">
        <f aca="false">IF(E1453="","Unexplained Bank Item (fee/other - review)",IF(F1453="Yes","Matched","Payment Reference Not Found in AP Log"))</f>
        <v>Matched</v>
      </c>
    </row>
    <row r="1454" customFormat="false" ht="15" hidden="false" customHeight="false" outlineLevel="0" collapsed="false">
      <c r="A1454" s="16" t="str">
        <f aca="false">Bank_Statement!A694</f>
        <v>BNK50693</v>
      </c>
      <c r="B1454" s="17" t="n">
        <f aca="false">Bank_Statement!B694</f>
        <v>46054</v>
      </c>
      <c r="C1454" s="18" t="n">
        <f aca="false">Bank_Statement!C694</f>
        <v>-2091.54</v>
      </c>
      <c r="D1454" s="16" t="str">
        <f aca="false">Bank_Statement!D694</f>
        <v>PMT-V1013</v>
      </c>
      <c r="E1454" s="16" t="str">
        <f aca="false">Bank_Statement!E694</f>
        <v>PAY40693</v>
      </c>
      <c r="F1454" s="16" t="str">
        <f aca="false">IF(E1454="","N/A",IF(COUNTIF(Payment_Log_AP!$A$2:$A$753,E1454)&gt;0,"Yes","No"))</f>
        <v>Yes</v>
      </c>
      <c r="G1454" s="16" t="str">
        <f aca="false">IF(E1454="","Unexplained Bank Item (fee/other - review)",IF(F1454="Yes","Matched","Payment Reference Not Found in AP Log"))</f>
        <v>Matched</v>
      </c>
    </row>
    <row r="1455" customFormat="false" ht="15" hidden="false" customHeight="false" outlineLevel="0" collapsed="false">
      <c r="A1455" s="16" t="str">
        <f aca="false">Bank_Statement!A695</f>
        <v>BNK50694</v>
      </c>
      <c r="B1455" s="17" t="n">
        <f aca="false">Bank_Statement!B695</f>
        <v>45693</v>
      </c>
      <c r="C1455" s="18" t="n">
        <f aca="false">Bank_Statement!C695</f>
        <v>-994.15</v>
      </c>
      <c r="D1455" s="16" t="str">
        <f aca="false">Bank_Statement!D695</f>
        <v>PMT-V1030</v>
      </c>
      <c r="E1455" s="16" t="str">
        <f aca="false">Bank_Statement!E695</f>
        <v>PAY40694</v>
      </c>
      <c r="F1455" s="16" t="str">
        <f aca="false">IF(E1455="","N/A",IF(COUNTIF(Payment_Log_AP!$A$2:$A$753,E1455)&gt;0,"Yes","No"))</f>
        <v>Yes</v>
      </c>
      <c r="G1455" s="16" t="str">
        <f aca="false">IF(E1455="","Unexplained Bank Item (fee/other - review)",IF(F1455="Yes","Matched","Payment Reference Not Found in AP Log"))</f>
        <v>Matched</v>
      </c>
    </row>
    <row r="1456" customFormat="false" ht="15" hidden="false" customHeight="false" outlineLevel="0" collapsed="false">
      <c r="A1456" s="16" t="str">
        <f aca="false">Bank_Statement!A696</f>
        <v>BNK50695</v>
      </c>
      <c r="B1456" s="17" t="n">
        <f aca="false">Bank_Statement!B696</f>
        <v>46181</v>
      </c>
      <c r="C1456" s="18" t="n">
        <f aca="false">Bank_Statement!C696</f>
        <v>-2802.36</v>
      </c>
      <c r="D1456" s="16" t="str">
        <f aca="false">Bank_Statement!D696</f>
        <v>PMT-V1016</v>
      </c>
      <c r="E1456" s="16" t="str">
        <f aca="false">Bank_Statement!E696</f>
        <v>PAY40695</v>
      </c>
      <c r="F1456" s="16" t="str">
        <f aca="false">IF(E1456="","N/A",IF(COUNTIF(Payment_Log_AP!$A$2:$A$753,E1456)&gt;0,"Yes","No"))</f>
        <v>Yes</v>
      </c>
      <c r="G1456" s="16" t="str">
        <f aca="false">IF(E1456="","Unexplained Bank Item (fee/other - review)",IF(F1456="Yes","Matched","Payment Reference Not Found in AP Log"))</f>
        <v>Matched</v>
      </c>
    </row>
    <row r="1457" customFormat="false" ht="15" hidden="false" customHeight="false" outlineLevel="0" collapsed="false">
      <c r="A1457" s="16" t="str">
        <f aca="false">Bank_Statement!A697</f>
        <v>BNK50696</v>
      </c>
      <c r="B1457" s="17" t="n">
        <f aca="false">Bank_Statement!B697</f>
        <v>46195</v>
      </c>
      <c r="C1457" s="18" t="n">
        <f aca="false">Bank_Statement!C697</f>
        <v>-2802.36</v>
      </c>
      <c r="D1457" s="16" t="str">
        <f aca="false">Bank_Statement!D697</f>
        <v>PMT-V1016</v>
      </c>
      <c r="E1457" s="16" t="str">
        <f aca="false">Bank_Statement!E697</f>
        <v>PAY40696</v>
      </c>
      <c r="F1457" s="16" t="str">
        <f aca="false">IF(E1457="","N/A",IF(COUNTIF(Payment_Log_AP!$A$2:$A$753,E1457)&gt;0,"Yes","No"))</f>
        <v>Yes</v>
      </c>
      <c r="G1457" s="16" t="str">
        <f aca="false">IF(E1457="","Unexplained Bank Item (fee/other - review)",IF(F1457="Yes","Matched","Payment Reference Not Found in AP Log"))</f>
        <v>Matched</v>
      </c>
    </row>
    <row r="1458" customFormat="false" ht="15" hidden="false" customHeight="false" outlineLevel="0" collapsed="false">
      <c r="A1458" s="16" t="str">
        <f aca="false">Bank_Statement!A698</f>
        <v>BNK50697</v>
      </c>
      <c r="B1458" s="17" t="n">
        <f aca="false">Bank_Statement!B698</f>
        <v>46127</v>
      </c>
      <c r="C1458" s="18" t="n">
        <f aca="false">Bank_Statement!C698</f>
        <v>-851.07</v>
      </c>
      <c r="D1458" s="16" t="str">
        <f aca="false">Bank_Statement!D698</f>
        <v>PMT-V1031</v>
      </c>
      <c r="E1458" s="16" t="str">
        <f aca="false">Bank_Statement!E698</f>
        <v>PAY40697</v>
      </c>
      <c r="F1458" s="16" t="str">
        <f aca="false">IF(E1458="","N/A",IF(COUNTIF(Payment_Log_AP!$A$2:$A$753,E1458)&gt;0,"Yes","No"))</f>
        <v>Yes</v>
      </c>
      <c r="G1458" s="16" t="str">
        <f aca="false">IF(E1458="","Unexplained Bank Item (fee/other - review)",IF(F1458="Yes","Matched","Payment Reference Not Found in AP Log"))</f>
        <v>Matched</v>
      </c>
    </row>
    <row r="1459" customFormat="false" ht="15" hidden="false" customHeight="false" outlineLevel="0" collapsed="false">
      <c r="A1459" s="16" t="str">
        <f aca="false">Bank_Statement!A699</f>
        <v>BNK50698</v>
      </c>
      <c r="B1459" s="17" t="n">
        <f aca="false">Bank_Statement!B699</f>
        <v>45852</v>
      </c>
      <c r="C1459" s="18" t="n">
        <f aca="false">Bank_Statement!C699</f>
        <v>-14407.31</v>
      </c>
      <c r="D1459" s="16" t="str">
        <f aca="false">Bank_Statement!D699</f>
        <v>PMT-V1037</v>
      </c>
      <c r="E1459" s="16" t="str">
        <f aca="false">Bank_Statement!E699</f>
        <v>PAY40698</v>
      </c>
      <c r="F1459" s="16" t="str">
        <f aca="false">IF(E1459="","N/A",IF(COUNTIF(Payment_Log_AP!$A$2:$A$753,E1459)&gt;0,"Yes","No"))</f>
        <v>Yes</v>
      </c>
      <c r="G1459" s="16" t="str">
        <f aca="false">IF(E1459="","Unexplained Bank Item (fee/other - review)",IF(F1459="Yes","Matched","Payment Reference Not Found in AP Log"))</f>
        <v>Matched</v>
      </c>
    </row>
    <row r="1460" customFormat="false" ht="15" hidden="false" customHeight="false" outlineLevel="0" collapsed="false">
      <c r="A1460" s="16" t="str">
        <f aca="false">Bank_Statement!A700</f>
        <v>BNK50699</v>
      </c>
      <c r="B1460" s="17" t="n">
        <f aca="false">Bank_Statement!B700</f>
        <v>45793</v>
      </c>
      <c r="C1460" s="18" t="n">
        <f aca="false">Bank_Statement!C700</f>
        <v>-562.05</v>
      </c>
      <c r="D1460" s="16" t="str">
        <f aca="false">Bank_Statement!D700</f>
        <v>PMT-V1039</v>
      </c>
      <c r="E1460" s="16" t="str">
        <f aca="false">Bank_Statement!E700</f>
        <v>PAY40699</v>
      </c>
      <c r="F1460" s="16" t="str">
        <f aca="false">IF(E1460="","N/A",IF(COUNTIF(Payment_Log_AP!$A$2:$A$753,E1460)&gt;0,"Yes","No"))</f>
        <v>Yes</v>
      </c>
      <c r="G1460" s="16" t="str">
        <f aca="false">IF(E1460="","Unexplained Bank Item (fee/other - review)",IF(F1460="Yes","Matched","Payment Reference Not Found in AP Log"))</f>
        <v>Matched</v>
      </c>
    </row>
    <row r="1461" customFormat="false" ht="15" hidden="false" customHeight="false" outlineLevel="0" collapsed="false">
      <c r="A1461" s="16" t="str">
        <f aca="false">Bank_Statement!A701</f>
        <v>BNK50700</v>
      </c>
      <c r="B1461" s="17" t="n">
        <f aca="false">Bank_Statement!B701</f>
        <v>46065</v>
      </c>
      <c r="C1461" s="18" t="n">
        <f aca="false">Bank_Statement!C701</f>
        <v>-4017.91</v>
      </c>
      <c r="D1461" s="16" t="str">
        <f aca="false">Bank_Statement!D701</f>
        <v>PMT-V1036</v>
      </c>
      <c r="E1461" s="16" t="str">
        <f aca="false">Bank_Statement!E701</f>
        <v>PAY40700</v>
      </c>
      <c r="F1461" s="16" t="str">
        <f aca="false">IF(E1461="","N/A",IF(COUNTIF(Payment_Log_AP!$A$2:$A$753,E1461)&gt;0,"Yes","No"))</f>
        <v>Yes</v>
      </c>
      <c r="G1461" s="16" t="str">
        <f aca="false">IF(E1461="","Unexplained Bank Item (fee/other - review)",IF(F1461="Yes","Matched","Payment Reference Not Found in AP Log"))</f>
        <v>Matched</v>
      </c>
    </row>
    <row r="1462" customFormat="false" ht="15" hidden="false" customHeight="false" outlineLevel="0" collapsed="false">
      <c r="A1462" s="16" t="str">
        <f aca="false">Bank_Statement!A702</f>
        <v>BNK50701</v>
      </c>
      <c r="B1462" s="17" t="n">
        <f aca="false">Bank_Statement!B702</f>
        <v>45880</v>
      </c>
      <c r="C1462" s="18" t="n">
        <f aca="false">Bank_Statement!C702</f>
        <v>-474.6</v>
      </c>
      <c r="D1462" s="16" t="str">
        <f aca="false">Bank_Statement!D702</f>
        <v>PMT-V1028</v>
      </c>
      <c r="E1462" s="16" t="str">
        <f aca="false">Bank_Statement!E702</f>
        <v>PAY40701</v>
      </c>
      <c r="F1462" s="16" t="str">
        <f aca="false">IF(E1462="","N/A",IF(COUNTIF(Payment_Log_AP!$A$2:$A$753,E1462)&gt;0,"Yes","No"))</f>
        <v>Yes</v>
      </c>
      <c r="G1462" s="16" t="str">
        <f aca="false">IF(E1462="","Unexplained Bank Item (fee/other - review)",IF(F1462="Yes","Matched","Payment Reference Not Found in AP Log"))</f>
        <v>Matched</v>
      </c>
    </row>
    <row r="1463" customFormat="false" ht="15" hidden="false" customHeight="false" outlineLevel="0" collapsed="false">
      <c r="A1463" s="16" t="str">
        <f aca="false">Bank_Statement!A703</f>
        <v>BNK50702</v>
      </c>
      <c r="B1463" s="17" t="n">
        <f aca="false">Bank_Statement!B703</f>
        <v>45684</v>
      </c>
      <c r="C1463" s="18" t="n">
        <f aca="false">Bank_Statement!C703</f>
        <v>-857.39</v>
      </c>
      <c r="D1463" s="16" t="str">
        <f aca="false">Bank_Statement!D703</f>
        <v>PMT-V1023</v>
      </c>
      <c r="E1463" s="16" t="str">
        <f aca="false">Bank_Statement!E703</f>
        <v>PAY40702</v>
      </c>
      <c r="F1463" s="16" t="str">
        <f aca="false">IF(E1463="","N/A",IF(COUNTIF(Payment_Log_AP!$A$2:$A$753,E1463)&gt;0,"Yes","No"))</f>
        <v>Yes</v>
      </c>
      <c r="G1463" s="16" t="str">
        <f aca="false">IF(E1463="","Unexplained Bank Item (fee/other - review)",IF(F1463="Yes","Matched","Payment Reference Not Found in AP Log"))</f>
        <v>Matched</v>
      </c>
    </row>
    <row r="1464" customFormat="false" ht="15" hidden="false" customHeight="false" outlineLevel="0" collapsed="false">
      <c r="A1464" s="16" t="str">
        <f aca="false">Bank_Statement!A704</f>
        <v>BNK50703</v>
      </c>
      <c r="B1464" s="17" t="n">
        <f aca="false">Bank_Statement!B704</f>
        <v>46150</v>
      </c>
      <c r="C1464" s="18" t="n">
        <f aca="false">Bank_Statement!C704</f>
        <v>-8319.43</v>
      </c>
      <c r="D1464" s="16" t="str">
        <f aca="false">Bank_Statement!D704</f>
        <v>PMT-V1003</v>
      </c>
      <c r="E1464" s="16" t="str">
        <f aca="false">Bank_Statement!E704</f>
        <v>PAY40703</v>
      </c>
      <c r="F1464" s="16" t="str">
        <f aca="false">IF(E1464="","N/A",IF(COUNTIF(Payment_Log_AP!$A$2:$A$753,E1464)&gt;0,"Yes","No"))</f>
        <v>Yes</v>
      </c>
      <c r="G1464" s="16" t="str">
        <f aca="false">IF(E1464="","Unexplained Bank Item (fee/other - review)",IF(F1464="Yes","Matched","Payment Reference Not Found in AP Log"))</f>
        <v>Matched</v>
      </c>
    </row>
    <row r="1465" customFormat="false" ht="15" hidden="false" customHeight="false" outlineLevel="0" collapsed="false">
      <c r="A1465" s="16" t="str">
        <f aca="false">Bank_Statement!A705</f>
        <v>BNK50704</v>
      </c>
      <c r="B1465" s="17" t="n">
        <f aca="false">Bank_Statement!B705</f>
        <v>46002</v>
      </c>
      <c r="C1465" s="18" t="n">
        <f aca="false">Bank_Statement!C705</f>
        <v>-259.66</v>
      </c>
      <c r="D1465" s="16" t="str">
        <f aca="false">Bank_Statement!D705</f>
        <v>PMT-V1030</v>
      </c>
      <c r="E1465" s="16" t="str">
        <f aca="false">Bank_Statement!E705</f>
        <v>PAY40704</v>
      </c>
      <c r="F1465" s="16" t="str">
        <f aca="false">IF(E1465="","N/A",IF(COUNTIF(Payment_Log_AP!$A$2:$A$753,E1465)&gt;0,"Yes","No"))</f>
        <v>Yes</v>
      </c>
      <c r="G1465" s="16" t="str">
        <f aca="false">IF(E1465="","Unexplained Bank Item (fee/other - review)",IF(F1465="Yes","Matched","Payment Reference Not Found in AP Log"))</f>
        <v>Matched</v>
      </c>
    </row>
    <row r="1466" customFormat="false" ht="15" hidden="false" customHeight="false" outlineLevel="0" collapsed="false">
      <c r="A1466" s="16" t="str">
        <f aca="false">Bank_Statement!A706</f>
        <v>BNK50705</v>
      </c>
      <c r="B1466" s="17" t="n">
        <f aca="false">Bank_Statement!B706</f>
        <v>45919</v>
      </c>
      <c r="C1466" s="18" t="n">
        <f aca="false">Bank_Statement!C706</f>
        <v>-1164.71</v>
      </c>
      <c r="D1466" s="16" t="str">
        <f aca="false">Bank_Statement!D706</f>
        <v>PMT-V1025</v>
      </c>
      <c r="E1466" s="16" t="str">
        <f aca="false">Bank_Statement!E706</f>
        <v>PAY40705</v>
      </c>
      <c r="F1466" s="16" t="str">
        <f aca="false">IF(E1466="","N/A",IF(COUNTIF(Payment_Log_AP!$A$2:$A$753,E1466)&gt;0,"Yes","No"))</f>
        <v>Yes</v>
      </c>
      <c r="G1466" s="16" t="str">
        <f aca="false">IF(E1466="","Unexplained Bank Item (fee/other - review)",IF(F1466="Yes","Matched","Payment Reference Not Found in AP Log"))</f>
        <v>Matched</v>
      </c>
    </row>
    <row r="1467" customFormat="false" ht="15" hidden="false" customHeight="false" outlineLevel="0" collapsed="false">
      <c r="A1467" s="16" t="str">
        <f aca="false">Bank_Statement!A707</f>
        <v>BNK50706</v>
      </c>
      <c r="B1467" s="17" t="n">
        <f aca="false">Bank_Statement!B707</f>
        <v>45789</v>
      </c>
      <c r="C1467" s="18" t="n">
        <f aca="false">Bank_Statement!C707</f>
        <v>-820.16</v>
      </c>
      <c r="D1467" s="16" t="str">
        <f aca="false">Bank_Statement!D707</f>
        <v>PMT-V1002</v>
      </c>
      <c r="E1467" s="16" t="str">
        <f aca="false">Bank_Statement!E707</f>
        <v>PAY40706</v>
      </c>
      <c r="F1467" s="16" t="str">
        <f aca="false">IF(E1467="","N/A",IF(COUNTIF(Payment_Log_AP!$A$2:$A$753,E1467)&gt;0,"Yes","No"))</f>
        <v>Yes</v>
      </c>
      <c r="G1467" s="16" t="str">
        <f aca="false">IF(E1467="","Unexplained Bank Item (fee/other - review)",IF(F1467="Yes","Matched","Payment Reference Not Found in AP Log"))</f>
        <v>Matched</v>
      </c>
    </row>
    <row r="1468" customFormat="false" ht="15" hidden="false" customHeight="false" outlineLevel="0" collapsed="false">
      <c r="A1468" s="16" t="str">
        <f aca="false">Bank_Statement!A708</f>
        <v>BNK50707</v>
      </c>
      <c r="B1468" s="17" t="n">
        <f aca="false">Bank_Statement!B708</f>
        <v>46026</v>
      </c>
      <c r="C1468" s="18" t="n">
        <f aca="false">Bank_Statement!C708</f>
        <v>-309.11</v>
      </c>
      <c r="D1468" s="16" t="str">
        <f aca="false">Bank_Statement!D708</f>
        <v>PMT-V1030</v>
      </c>
      <c r="E1468" s="16" t="str">
        <f aca="false">Bank_Statement!E708</f>
        <v>PAY40707</v>
      </c>
      <c r="F1468" s="16" t="str">
        <f aca="false">IF(E1468="","N/A",IF(COUNTIF(Payment_Log_AP!$A$2:$A$753,E1468)&gt;0,"Yes","No"))</f>
        <v>Yes</v>
      </c>
      <c r="G1468" s="16" t="str">
        <f aca="false">IF(E1468="","Unexplained Bank Item (fee/other - review)",IF(F1468="Yes","Matched","Payment Reference Not Found in AP Log"))</f>
        <v>Matched</v>
      </c>
    </row>
    <row r="1469" customFormat="false" ht="15" hidden="false" customHeight="false" outlineLevel="0" collapsed="false">
      <c r="A1469" s="16" t="str">
        <f aca="false">Bank_Statement!A709</f>
        <v>BNK50708</v>
      </c>
      <c r="B1469" s="17" t="n">
        <f aca="false">Bank_Statement!B709</f>
        <v>45692</v>
      </c>
      <c r="C1469" s="18" t="n">
        <f aca="false">Bank_Statement!C709</f>
        <v>-1722.25</v>
      </c>
      <c r="D1469" s="16" t="str">
        <f aca="false">Bank_Statement!D709</f>
        <v>PMT-V1024</v>
      </c>
      <c r="E1469" s="16" t="str">
        <f aca="false">Bank_Statement!E709</f>
        <v>PAY40708</v>
      </c>
      <c r="F1469" s="16" t="str">
        <f aca="false">IF(E1469="","N/A",IF(COUNTIF(Payment_Log_AP!$A$2:$A$753,E1469)&gt;0,"Yes","No"))</f>
        <v>Yes</v>
      </c>
      <c r="G1469" s="16" t="str">
        <f aca="false">IF(E1469="","Unexplained Bank Item (fee/other - review)",IF(F1469="Yes","Matched","Payment Reference Not Found in AP Log"))</f>
        <v>Matched</v>
      </c>
    </row>
    <row r="1470" customFormat="false" ht="15" hidden="false" customHeight="false" outlineLevel="0" collapsed="false">
      <c r="A1470" s="16" t="str">
        <f aca="false">Bank_Statement!A710</f>
        <v>BNK50709</v>
      </c>
      <c r="B1470" s="17" t="n">
        <f aca="false">Bank_Statement!B710</f>
        <v>46105</v>
      </c>
      <c r="C1470" s="18" t="n">
        <f aca="false">Bank_Statement!C710</f>
        <v>-1834.48</v>
      </c>
      <c r="D1470" s="16" t="str">
        <f aca="false">Bank_Statement!D710</f>
        <v>PMT-V1004</v>
      </c>
      <c r="E1470" s="16" t="str">
        <f aca="false">Bank_Statement!E710</f>
        <v>PAY40709</v>
      </c>
      <c r="F1470" s="16" t="str">
        <f aca="false">IF(E1470="","N/A",IF(COUNTIF(Payment_Log_AP!$A$2:$A$753,E1470)&gt;0,"Yes","No"))</f>
        <v>Yes</v>
      </c>
      <c r="G1470" s="16" t="str">
        <f aca="false">IF(E1470="","Unexplained Bank Item (fee/other - review)",IF(F1470="Yes","Matched","Payment Reference Not Found in AP Log"))</f>
        <v>Matched</v>
      </c>
    </row>
    <row r="1471" customFormat="false" ht="15" hidden="false" customHeight="false" outlineLevel="0" collapsed="false">
      <c r="A1471" s="16" t="str">
        <f aca="false">Bank_Statement!A711</f>
        <v>BNK50710</v>
      </c>
      <c r="B1471" s="17" t="n">
        <f aca="false">Bank_Statement!B711</f>
        <v>45865</v>
      </c>
      <c r="C1471" s="18" t="n">
        <f aca="false">Bank_Statement!C711</f>
        <v>-2804.48</v>
      </c>
      <c r="D1471" s="16" t="str">
        <f aca="false">Bank_Statement!D711</f>
        <v>PMT-V1037</v>
      </c>
      <c r="E1471" s="16" t="str">
        <f aca="false">Bank_Statement!E711</f>
        <v>PAY40710</v>
      </c>
      <c r="F1471" s="16" t="str">
        <f aca="false">IF(E1471="","N/A",IF(COUNTIF(Payment_Log_AP!$A$2:$A$753,E1471)&gt;0,"Yes","No"))</f>
        <v>Yes</v>
      </c>
      <c r="G1471" s="16" t="str">
        <f aca="false">IF(E1471="","Unexplained Bank Item (fee/other - review)",IF(F1471="Yes","Matched","Payment Reference Not Found in AP Log"))</f>
        <v>Matched</v>
      </c>
    </row>
    <row r="1472" customFormat="false" ht="15" hidden="false" customHeight="false" outlineLevel="0" collapsed="false">
      <c r="A1472" s="16" t="str">
        <f aca="false">Bank_Statement!A712</f>
        <v>BNK50711</v>
      </c>
      <c r="B1472" s="17" t="n">
        <f aca="false">Bank_Statement!B712</f>
        <v>45903</v>
      </c>
      <c r="C1472" s="18" t="n">
        <f aca="false">Bank_Statement!C712</f>
        <v>-241.56</v>
      </c>
      <c r="D1472" s="16" t="str">
        <f aca="false">Bank_Statement!D712</f>
        <v>PMT-V1036</v>
      </c>
      <c r="E1472" s="16" t="str">
        <f aca="false">Bank_Statement!E712</f>
        <v>PAY40711</v>
      </c>
      <c r="F1472" s="16" t="str">
        <f aca="false">IF(E1472="","N/A",IF(COUNTIF(Payment_Log_AP!$A$2:$A$753,E1472)&gt;0,"Yes","No"))</f>
        <v>Yes</v>
      </c>
      <c r="G1472" s="16" t="str">
        <f aca="false">IF(E1472="","Unexplained Bank Item (fee/other - review)",IF(F1472="Yes","Matched","Payment Reference Not Found in AP Log"))</f>
        <v>Matched</v>
      </c>
    </row>
    <row r="1473" customFormat="false" ht="15" hidden="false" customHeight="false" outlineLevel="0" collapsed="false">
      <c r="A1473" s="16" t="str">
        <f aca="false">Bank_Statement!A713</f>
        <v>BNK50712</v>
      </c>
      <c r="B1473" s="17" t="n">
        <f aca="false">Bank_Statement!B713</f>
        <v>46105</v>
      </c>
      <c r="C1473" s="18" t="n">
        <f aca="false">Bank_Statement!C713</f>
        <v>-2328.97</v>
      </c>
      <c r="D1473" s="16" t="str">
        <f aca="false">Bank_Statement!D713</f>
        <v>PMT-V1024</v>
      </c>
      <c r="E1473" s="16" t="str">
        <f aca="false">Bank_Statement!E713</f>
        <v>PAY40712</v>
      </c>
      <c r="F1473" s="16" t="str">
        <f aca="false">IF(E1473="","N/A",IF(COUNTIF(Payment_Log_AP!$A$2:$A$753,E1473)&gt;0,"Yes","No"))</f>
        <v>Yes</v>
      </c>
      <c r="G1473" s="16" t="str">
        <f aca="false">IF(E1473="","Unexplained Bank Item (fee/other - review)",IF(F1473="Yes","Matched","Payment Reference Not Found in AP Log"))</f>
        <v>Matched</v>
      </c>
    </row>
    <row r="1474" customFormat="false" ht="15" hidden="false" customHeight="false" outlineLevel="0" collapsed="false">
      <c r="A1474" s="16" t="str">
        <f aca="false">Bank_Statement!A714</f>
        <v>BNK50713</v>
      </c>
      <c r="B1474" s="17" t="n">
        <f aca="false">Bank_Statement!B714</f>
        <v>46087</v>
      </c>
      <c r="C1474" s="18" t="n">
        <f aca="false">Bank_Statement!C714</f>
        <v>-830.55</v>
      </c>
      <c r="D1474" s="16" t="str">
        <f aca="false">Bank_Statement!D714</f>
        <v>PMT-V1030</v>
      </c>
      <c r="E1474" s="16" t="str">
        <f aca="false">Bank_Statement!E714</f>
        <v>PAY40713</v>
      </c>
      <c r="F1474" s="16" t="str">
        <f aca="false">IF(E1474="","N/A",IF(COUNTIF(Payment_Log_AP!$A$2:$A$753,E1474)&gt;0,"Yes","No"))</f>
        <v>Yes</v>
      </c>
      <c r="G1474" s="16" t="str">
        <f aca="false">IF(E1474="","Unexplained Bank Item (fee/other - review)",IF(F1474="Yes","Matched","Payment Reference Not Found in AP Log"))</f>
        <v>Matched</v>
      </c>
    </row>
    <row r="1475" customFormat="false" ht="15" hidden="false" customHeight="false" outlineLevel="0" collapsed="false">
      <c r="A1475" s="16" t="str">
        <f aca="false">Bank_Statement!A715</f>
        <v>BNK50714</v>
      </c>
      <c r="B1475" s="17" t="n">
        <f aca="false">Bank_Statement!B715</f>
        <v>46004</v>
      </c>
      <c r="C1475" s="18" t="n">
        <f aca="false">Bank_Statement!C715</f>
        <v>-1962.84</v>
      </c>
      <c r="D1475" s="16" t="str">
        <f aca="false">Bank_Statement!D715</f>
        <v>PMT-V1029</v>
      </c>
      <c r="E1475" s="16" t="str">
        <f aca="false">Bank_Statement!E715</f>
        <v>PAY40714</v>
      </c>
      <c r="F1475" s="16" t="str">
        <f aca="false">IF(E1475="","N/A",IF(COUNTIF(Payment_Log_AP!$A$2:$A$753,E1475)&gt;0,"Yes","No"))</f>
        <v>Yes</v>
      </c>
      <c r="G1475" s="16" t="str">
        <f aca="false">IF(E1475="","Unexplained Bank Item (fee/other - review)",IF(F1475="Yes","Matched","Payment Reference Not Found in AP Log"))</f>
        <v>Matched</v>
      </c>
    </row>
    <row r="1476" customFormat="false" ht="15" hidden="false" customHeight="false" outlineLevel="0" collapsed="false">
      <c r="A1476" s="16" t="str">
        <f aca="false">Bank_Statement!A716</f>
        <v>BNK50715</v>
      </c>
      <c r="B1476" s="17" t="n">
        <f aca="false">Bank_Statement!B716</f>
        <v>45736</v>
      </c>
      <c r="C1476" s="18" t="n">
        <f aca="false">Bank_Statement!C716</f>
        <v>-254.85</v>
      </c>
      <c r="D1476" s="16" t="str">
        <f aca="false">Bank_Statement!D716</f>
        <v>PMT-V1026</v>
      </c>
      <c r="E1476" s="16" t="str">
        <f aca="false">Bank_Statement!E716</f>
        <v>PAY40715</v>
      </c>
      <c r="F1476" s="16" t="str">
        <f aca="false">IF(E1476="","N/A",IF(COUNTIF(Payment_Log_AP!$A$2:$A$753,E1476)&gt;0,"Yes","No"))</f>
        <v>Yes</v>
      </c>
      <c r="G1476" s="16" t="str">
        <f aca="false">IF(E1476="","Unexplained Bank Item (fee/other - review)",IF(F1476="Yes","Matched","Payment Reference Not Found in AP Log"))</f>
        <v>Matched</v>
      </c>
    </row>
    <row r="1477" customFormat="false" ht="15" hidden="false" customHeight="false" outlineLevel="0" collapsed="false">
      <c r="A1477" s="16" t="str">
        <f aca="false">Bank_Statement!A717</f>
        <v>BNK50716</v>
      </c>
      <c r="B1477" s="17" t="n">
        <f aca="false">Bank_Statement!B717</f>
        <v>45797</v>
      </c>
      <c r="C1477" s="18" t="n">
        <f aca="false">Bank_Statement!C717</f>
        <v>-6224.71</v>
      </c>
      <c r="D1477" s="16" t="str">
        <f aca="false">Bank_Statement!D717</f>
        <v>PMT-V1023</v>
      </c>
      <c r="E1477" s="16" t="str">
        <f aca="false">Bank_Statement!E717</f>
        <v>PAY40716</v>
      </c>
      <c r="F1477" s="16" t="str">
        <f aca="false">IF(E1477="","N/A",IF(COUNTIF(Payment_Log_AP!$A$2:$A$753,E1477)&gt;0,"Yes","No"))</f>
        <v>Yes</v>
      </c>
      <c r="G1477" s="16" t="str">
        <f aca="false">IF(E1477="","Unexplained Bank Item (fee/other - review)",IF(F1477="Yes","Matched","Payment Reference Not Found in AP Log"))</f>
        <v>Matched</v>
      </c>
    </row>
    <row r="1478" customFormat="false" ht="15" hidden="false" customHeight="false" outlineLevel="0" collapsed="false">
      <c r="A1478" s="16" t="str">
        <f aca="false">Bank_Statement!A718</f>
        <v>BNK50717</v>
      </c>
      <c r="B1478" s="17" t="n">
        <f aca="false">Bank_Statement!B718</f>
        <v>46034</v>
      </c>
      <c r="C1478" s="18" t="n">
        <f aca="false">Bank_Statement!C718</f>
        <v>-505.83</v>
      </c>
      <c r="D1478" s="16" t="str">
        <f aca="false">Bank_Statement!D718</f>
        <v>PMT-V1033</v>
      </c>
      <c r="E1478" s="16" t="str">
        <f aca="false">Bank_Statement!E718</f>
        <v>PAY40717</v>
      </c>
      <c r="F1478" s="16" t="str">
        <f aca="false">IF(E1478="","N/A",IF(COUNTIF(Payment_Log_AP!$A$2:$A$753,E1478)&gt;0,"Yes","No"))</f>
        <v>Yes</v>
      </c>
      <c r="G1478" s="16" t="str">
        <f aca="false">IF(E1478="","Unexplained Bank Item (fee/other - review)",IF(F1478="Yes","Matched","Payment Reference Not Found in AP Log"))</f>
        <v>Matched</v>
      </c>
    </row>
    <row r="1479" customFormat="false" ht="15" hidden="false" customHeight="false" outlineLevel="0" collapsed="false">
      <c r="A1479" s="16" t="str">
        <f aca="false">Bank_Statement!A719</f>
        <v>BNK50718</v>
      </c>
      <c r="B1479" s="17" t="n">
        <f aca="false">Bank_Statement!B719</f>
        <v>46053</v>
      </c>
      <c r="C1479" s="18" t="n">
        <f aca="false">Bank_Statement!C719</f>
        <v>-3028.33</v>
      </c>
      <c r="D1479" s="16" t="str">
        <f aca="false">Bank_Statement!D719</f>
        <v>PMT-V1029</v>
      </c>
      <c r="E1479" s="16" t="str">
        <f aca="false">Bank_Statement!E719</f>
        <v>PAY40718</v>
      </c>
      <c r="F1479" s="16" t="str">
        <f aca="false">IF(E1479="","N/A",IF(COUNTIF(Payment_Log_AP!$A$2:$A$753,E1479)&gt;0,"Yes","No"))</f>
        <v>Yes</v>
      </c>
      <c r="G1479" s="16" t="str">
        <f aca="false">IF(E1479="","Unexplained Bank Item (fee/other - review)",IF(F1479="Yes","Matched","Payment Reference Not Found in AP Log"))</f>
        <v>Matched</v>
      </c>
    </row>
    <row r="1480" customFormat="false" ht="15" hidden="false" customHeight="false" outlineLevel="0" collapsed="false">
      <c r="A1480" s="16" t="str">
        <f aca="false">Bank_Statement!A720</f>
        <v>BNK50719</v>
      </c>
      <c r="B1480" s="17" t="n">
        <f aca="false">Bank_Statement!B720</f>
        <v>45838</v>
      </c>
      <c r="C1480" s="18" t="n">
        <f aca="false">Bank_Statement!C720</f>
        <v>-556.23</v>
      </c>
      <c r="D1480" s="16" t="str">
        <f aca="false">Bank_Statement!D720</f>
        <v>PMT-V1035</v>
      </c>
      <c r="E1480" s="16" t="str">
        <f aca="false">Bank_Statement!E720</f>
        <v>PAY40719</v>
      </c>
      <c r="F1480" s="16" t="str">
        <f aca="false">IF(E1480="","N/A",IF(COUNTIF(Payment_Log_AP!$A$2:$A$753,E1480)&gt;0,"Yes","No"))</f>
        <v>Yes</v>
      </c>
      <c r="G1480" s="16" t="str">
        <f aca="false">IF(E1480="","Unexplained Bank Item (fee/other - review)",IF(F1480="Yes","Matched","Payment Reference Not Found in AP Log"))</f>
        <v>Matched</v>
      </c>
    </row>
    <row r="1481" customFormat="false" ht="15" hidden="false" customHeight="false" outlineLevel="0" collapsed="false">
      <c r="A1481" s="16" t="str">
        <f aca="false">Bank_Statement!A721</f>
        <v>BNK50720</v>
      </c>
      <c r="B1481" s="17" t="n">
        <f aca="false">Bank_Statement!B721</f>
        <v>46059</v>
      </c>
      <c r="C1481" s="18" t="n">
        <f aca="false">Bank_Statement!C721</f>
        <v>-12577.38</v>
      </c>
      <c r="D1481" s="16" t="str">
        <f aca="false">Bank_Statement!D721</f>
        <v>PMT-V1021</v>
      </c>
      <c r="E1481" s="16" t="str">
        <f aca="false">Bank_Statement!E721</f>
        <v>PAY40720</v>
      </c>
      <c r="F1481" s="16" t="str">
        <f aca="false">IF(E1481="","N/A",IF(COUNTIF(Payment_Log_AP!$A$2:$A$753,E1481)&gt;0,"Yes","No"))</f>
        <v>Yes</v>
      </c>
      <c r="G1481" s="16" t="str">
        <f aca="false">IF(E1481="","Unexplained Bank Item (fee/other - review)",IF(F1481="Yes","Matched","Payment Reference Not Found in AP Log"))</f>
        <v>Matched</v>
      </c>
    </row>
    <row r="1482" customFormat="false" ht="15" hidden="false" customHeight="false" outlineLevel="0" collapsed="false">
      <c r="A1482" s="16" t="str">
        <f aca="false">Bank_Statement!A722</f>
        <v>BNK50721</v>
      </c>
      <c r="B1482" s="17" t="n">
        <f aca="false">Bank_Statement!B722</f>
        <v>45857</v>
      </c>
      <c r="C1482" s="18" t="n">
        <f aca="false">Bank_Statement!C722</f>
        <v>-1844.19</v>
      </c>
      <c r="D1482" s="16" t="str">
        <f aca="false">Bank_Statement!D722</f>
        <v>PMT-V1040</v>
      </c>
      <c r="E1482" s="16" t="str">
        <f aca="false">Bank_Statement!E722</f>
        <v>PAY40721</v>
      </c>
      <c r="F1482" s="16" t="str">
        <f aca="false">IF(E1482="","N/A",IF(COUNTIF(Payment_Log_AP!$A$2:$A$753,E1482)&gt;0,"Yes","No"))</f>
        <v>Yes</v>
      </c>
      <c r="G1482" s="16" t="str">
        <f aca="false">IF(E1482="","Unexplained Bank Item (fee/other - review)",IF(F1482="Yes","Matched","Payment Reference Not Found in AP Log"))</f>
        <v>Matched</v>
      </c>
    </row>
    <row r="1483" customFormat="false" ht="15" hidden="false" customHeight="false" outlineLevel="0" collapsed="false">
      <c r="A1483" s="16" t="str">
        <f aca="false">Bank_Statement!A723</f>
        <v>BNK50722</v>
      </c>
      <c r="B1483" s="17" t="n">
        <f aca="false">Bank_Statement!B723</f>
        <v>46091</v>
      </c>
      <c r="C1483" s="18" t="n">
        <f aca="false">Bank_Statement!C723</f>
        <v>-2123.23</v>
      </c>
      <c r="D1483" s="16" t="str">
        <f aca="false">Bank_Statement!D723</f>
        <v>PMT-V1016</v>
      </c>
      <c r="E1483" s="16" t="str">
        <f aca="false">Bank_Statement!E723</f>
        <v>PAY40722</v>
      </c>
      <c r="F1483" s="16" t="str">
        <f aca="false">IF(E1483="","N/A",IF(COUNTIF(Payment_Log_AP!$A$2:$A$753,E1483)&gt;0,"Yes","No"))</f>
        <v>Yes</v>
      </c>
      <c r="G1483" s="16" t="str">
        <f aca="false">IF(E1483="","Unexplained Bank Item (fee/other - review)",IF(F1483="Yes","Matched","Payment Reference Not Found in AP Log"))</f>
        <v>Matched</v>
      </c>
    </row>
    <row r="1484" customFormat="false" ht="15" hidden="false" customHeight="false" outlineLevel="0" collapsed="false">
      <c r="A1484" s="16" t="str">
        <f aca="false">Bank_Statement!A724</f>
        <v>BNK50723</v>
      </c>
      <c r="B1484" s="17" t="n">
        <f aca="false">Bank_Statement!B724</f>
        <v>45751</v>
      </c>
      <c r="C1484" s="18" t="n">
        <f aca="false">Bank_Statement!C724</f>
        <v>-424.45</v>
      </c>
      <c r="D1484" s="16" t="str">
        <f aca="false">Bank_Statement!D724</f>
        <v>PMT-V1017</v>
      </c>
      <c r="E1484" s="16" t="str">
        <f aca="false">Bank_Statement!E724</f>
        <v>PAY40723</v>
      </c>
      <c r="F1484" s="16" t="str">
        <f aca="false">IF(E1484="","N/A",IF(COUNTIF(Payment_Log_AP!$A$2:$A$753,E1484)&gt;0,"Yes","No"))</f>
        <v>Yes</v>
      </c>
      <c r="G1484" s="16" t="str">
        <f aca="false">IF(E1484="","Unexplained Bank Item (fee/other - review)",IF(F1484="Yes","Matched","Payment Reference Not Found in AP Log"))</f>
        <v>Matched</v>
      </c>
    </row>
    <row r="1485" customFormat="false" ht="15" hidden="false" customHeight="false" outlineLevel="0" collapsed="false">
      <c r="A1485" s="16" t="str">
        <f aca="false">Bank_Statement!A725</f>
        <v>BNK50724</v>
      </c>
      <c r="B1485" s="17" t="n">
        <f aca="false">Bank_Statement!B725</f>
        <v>45939</v>
      </c>
      <c r="C1485" s="18" t="n">
        <f aca="false">Bank_Statement!C725</f>
        <v>-751.88</v>
      </c>
      <c r="D1485" s="16" t="str">
        <f aca="false">Bank_Statement!D725</f>
        <v>PMT-V1006</v>
      </c>
      <c r="E1485" s="16" t="str">
        <f aca="false">Bank_Statement!E725</f>
        <v>PAY40724</v>
      </c>
      <c r="F1485" s="16" t="str">
        <f aca="false">IF(E1485="","N/A",IF(COUNTIF(Payment_Log_AP!$A$2:$A$753,E1485)&gt;0,"Yes","No"))</f>
        <v>Yes</v>
      </c>
      <c r="G1485" s="16" t="str">
        <f aca="false">IF(E1485="","Unexplained Bank Item (fee/other - review)",IF(F1485="Yes","Matched","Payment Reference Not Found in AP Log"))</f>
        <v>Matched</v>
      </c>
    </row>
    <row r="1486" customFormat="false" ht="15" hidden="false" customHeight="false" outlineLevel="0" collapsed="false">
      <c r="A1486" s="16" t="str">
        <f aca="false">Bank_Statement!A726</f>
        <v>BNK50725</v>
      </c>
      <c r="B1486" s="17" t="n">
        <f aca="false">Bank_Statement!B726</f>
        <v>45848</v>
      </c>
      <c r="C1486" s="18" t="n">
        <f aca="false">Bank_Statement!C726</f>
        <v>-2408.48</v>
      </c>
      <c r="D1486" s="16" t="str">
        <f aca="false">Bank_Statement!D726</f>
        <v>PMT-V1026</v>
      </c>
      <c r="E1486" s="16" t="str">
        <f aca="false">Bank_Statement!E726</f>
        <v>PAY40725</v>
      </c>
      <c r="F1486" s="16" t="str">
        <f aca="false">IF(E1486="","N/A",IF(COUNTIF(Payment_Log_AP!$A$2:$A$753,E1486)&gt;0,"Yes","No"))</f>
        <v>Yes</v>
      </c>
      <c r="G1486" s="16" t="str">
        <f aca="false">IF(E1486="","Unexplained Bank Item (fee/other - review)",IF(F1486="Yes","Matched","Payment Reference Not Found in AP Log"))</f>
        <v>Matched</v>
      </c>
    </row>
    <row r="1487" customFormat="false" ht="15" hidden="false" customHeight="false" outlineLevel="0" collapsed="false">
      <c r="A1487" s="16" t="str">
        <f aca="false">Bank_Statement!A727</f>
        <v>BNK50726</v>
      </c>
      <c r="B1487" s="17" t="n">
        <f aca="false">Bank_Statement!B727</f>
        <v>46051</v>
      </c>
      <c r="C1487" s="18" t="n">
        <f aca="false">Bank_Statement!C727</f>
        <v>-197.82</v>
      </c>
      <c r="D1487" s="16" t="str">
        <f aca="false">Bank_Statement!D727</f>
        <v>PMT-V1025</v>
      </c>
      <c r="E1487" s="16" t="str">
        <f aca="false">Bank_Statement!E727</f>
        <v>PAY40726</v>
      </c>
      <c r="F1487" s="16" t="str">
        <f aca="false">IF(E1487="","N/A",IF(COUNTIF(Payment_Log_AP!$A$2:$A$753,E1487)&gt;0,"Yes","No"))</f>
        <v>Yes</v>
      </c>
      <c r="G1487" s="16" t="str">
        <f aca="false">IF(E1487="","Unexplained Bank Item (fee/other - review)",IF(F1487="Yes","Matched","Payment Reference Not Found in AP Log"))</f>
        <v>Matched</v>
      </c>
    </row>
    <row r="1488" customFormat="false" ht="15" hidden="false" customHeight="false" outlineLevel="0" collapsed="false">
      <c r="A1488" s="16" t="str">
        <f aca="false">Bank_Statement!A728</f>
        <v>BNK50727</v>
      </c>
      <c r="B1488" s="17" t="n">
        <f aca="false">Bank_Statement!B728</f>
        <v>45938</v>
      </c>
      <c r="C1488" s="18" t="n">
        <f aca="false">Bank_Statement!C728</f>
        <v>-5024.64</v>
      </c>
      <c r="D1488" s="16" t="str">
        <f aca="false">Bank_Statement!D728</f>
        <v>PMT-V1014</v>
      </c>
      <c r="E1488" s="16" t="str">
        <f aca="false">Bank_Statement!E728</f>
        <v>PAY40727</v>
      </c>
      <c r="F1488" s="16" t="str">
        <f aca="false">IF(E1488="","N/A",IF(COUNTIF(Payment_Log_AP!$A$2:$A$753,E1488)&gt;0,"Yes","No"))</f>
        <v>Yes</v>
      </c>
      <c r="G1488" s="16" t="str">
        <f aca="false">IF(E1488="","Unexplained Bank Item (fee/other - review)",IF(F1488="Yes","Matched","Payment Reference Not Found in AP Log"))</f>
        <v>Matched</v>
      </c>
    </row>
    <row r="1489" customFormat="false" ht="15" hidden="false" customHeight="false" outlineLevel="0" collapsed="false">
      <c r="A1489" s="16" t="str">
        <f aca="false">Bank_Statement!A729</f>
        <v>BNK50728</v>
      </c>
      <c r="B1489" s="17" t="n">
        <f aca="false">Bank_Statement!B729</f>
        <v>45958</v>
      </c>
      <c r="C1489" s="18" t="n">
        <f aca="false">Bank_Statement!C729</f>
        <v>-5024.64</v>
      </c>
      <c r="D1489" s="16" t="str">
        <f aca="false">Bank_Statement!D729</f>
        <v>PMT-V1014</v>
      </c>
      <c r="E1489" s="16" t="str">
        <f aca="false">Bank_Statement!E729</f>
        <v>PAY40728</v>
      </c>
      <c r="F1489" s="16" t="str">
        <f aca="false">IF(E1489="","N/A",IF(COUNTIF(Payment_Log_AP!$A$2:$A$753,E1489)&gt;0,"Yes","No"))</f>
        <v>Yes</v>
      </c>
      <c r="G1489" s="16" t="str">
        <f aca="false">IF(E1489="","Unexplained Bank Item (fee/other - review)",IF(F1489="Yes","Matched","Payment Reference Not Found in AP Log"))</f>
        <v>Matched</v>
      </c>
    </row>
    <row r="1490" customFormat="false" ht="15" hidden="false" customHeight="false" outlineLevel="0" collapsed="false">
      <c r="A1490" s="16" t="str">
        <f aca="false">Bank_Statement!A730</f>
        <v>BNK50729</v>
      </c>
      <c r="B1490" s="17" t="n">
        <f aca="false">Bank_Statement!B730</f>
        <v>46050</v>
      </c>
      <c r="C1490" s="18" t="n">
        <f aca="false">Bank_Statement!C730</f>
        <v>-4289.12</v>
      </c>
      <c r="D1490" s="16" t="str">
        <f aca="false">Bank_Statement!D730</f>
        <v>PMT-V1034</v>
      </c>
      <c r="E1490" s="16" t="str">
        <f aca="false">Bank_Statement!E730</f>
        <v>PAY40729</v>
      </c>
      <c r="F1490" s="16" t="str">
        <f aca="false">IF(E1490="","N/A",IF(COUNTIF(Payment_Log_AP!$A$2:$A$753,E1490)&gt;0,"Yes","No"))</f>
        <v>Yes</v>
      </c>
      <c r="G1490" s="16" t="str">
        <f aca="false">IF(E1490="","Unexplained Bank Item (fee/other - review)",IF(F1490="Yes","Matched","Payment Reference Not Found in AP Log"))</f>
        <v>Matched</v>
      </c>
    </row>
    <row r="1491" customFormat="false" ht="15" hidden="false" customHeight="false" outlineLevel="0" collapsed="false">
      <c r="A1491" s="16" t="str">
        <f aca="false">Bank_Statement!A731</f>
        <v>BNK50730</v>
      </c>
      <c r="B1491" s="17" t="n">
        <f aca="false">Bank_Statement!B731</f>
        <v>45731</v>
      </c>
      <c r="C1491" s="18" t="n">
        <f aca="false">Bank_Statement!C731</f>
        <v>-264.62</v>
      </c>
      <c r="D1491" s="16" t="str">
        <f aca="false">Bank_Statement!D731</f>
        <v>PMT-V1002</v>
      </c>
      <c r="E1491" s="16" t="str">
        <f aca="false">Bank_Statement!E731</f>
        <v>PAY40730</v>
      </c>
      <c r="F1491" s="16" t="str">
        <f aca="false">IF(E1491="","N/A",IF(COUNTIF(Payment_Log_AP!$A$2:$A$753,E1491)&gt;0,"Yes","No"))</f>
        <v>Yes</v>
      </c>
      <c r="G1491" s="16" t="str">
        <f aca="false">IF(E1491="","Unexplained Bank Item (fee/other - review)",IF(F1491="Yes","Matched","Payment Reference Not Found in AP Log"))</f>
        <v>Matched</v>
      </c>
    </row>
    <row r="1492" customFormat="false" ht="15" hidden="false" customHeight="false" outlineLevel="0" collapsed="false">
      <c r="A1492" s="16" t="str">
        <f aca="false">Bank_Statement!A732</f>
        <v>BNK50731</v>
      </c>
      <c r="B1492" s="17" t="n">
        <f aca="false">Bank_Statement!B732</f>
        <v>45898</v>
      </c>
      <c r="C1492" s="18" t="n">
        <f aca="false">Bank_Statement!C732</f>
        <v>-18783.05</v>
      </c>
      <c r="D1492" s="16" t="str">
        <f aca="false">Bank_Statement!D732</f>
        <v>PMT-V1002</v>
      </c>
      <c r="E1492" s="16" t="str">
        <f aca="false">Bank_Statement!E732</f>
        <v>PAY40731</v>
      </c>
      <c r="F1492" s="16" t="str">
        <f aca="false">IF(E1492="","N/A",IF(COUNTIF(Payment_Log_AP!$A$2:$A$753,E1492)&gt;0,"Yes","No"))</f>
        <v>Yes</v>
      </c>
      <c r="G1492" s="16" t="str">
        <f aca="false">IF(E1492="","Unexplained Bank Item (fee/other - review)",IF(F1492="Yes","Matched","Payment Reference Not Found in AP Log"))</f>
        <v>Matched</v>
      </c>
    </row>
    <row r="1493" customFormat="false" ht="15" hidden="false" customHeight="false" outlineLevel="0" collapsed="false">
      <c r="A1493" s="16" t="str">
        <f aca="false">Bank_Statement!A733</f>
        <v>BNK50732</v>
      </c>
      <c r="B1493" s="17" t="n">
        <f aca="false">Bank_Statement!B733</f>
        <v>46029</v>
      </c>
      <c r="C1493" s="18" t="n">
        <f aca="false">Bank_Statement!C733</f>
        <v>-796.83</v>
      </c>
      <c r="D1493" s="16" t="str">
        <f aca="false">Bank_Statement!D733</f>
        <v>PMT-V1031</v>
      </c>
      <c r="E1493" s="16" t="str">
        <f aca="false">Bank_Statement!E733</f>
        <v>PAY40732</v>
      </c>
      <c r="F1493" s="16" t="str">
        <f aca="false">IF(E1493="","N/A",IF(COUNTIF(Payment_Log_AP!$A$2:$A$753,E1493)&gt;0,"Yes","No"))</f>
        <v>Yes</v>
      </c>
      <c r="G1493" s="16" t="str">
        <f aca="false">IF(E1493="","Unexplained Bank Item (fee/other - review)",IF(F1493="Yes","Matched","Payment Reference Not Found in AP Log"))</f>
        <v>Matched</v>
      </c>
    </row>
    <row r="1494" customFormat="false" ht="15" hidden="false" customHeight="false" outlineLevel="0" collapsed="false">
      <c r="A1494" s="16" t="str">
        <f aca="false">Bank_Statement!A734</f>
        <v>BNK50733</v>
      </c>
      <c r="B1494" s="17" t="n">
        <f aca="false">Bank_Statement!B734</f>
        <v>45691</v>
      </c>
      <c r="C1494" s="18" t="n">
        <f aca="false">Bank_Statement!C734</f>
        <v>-115.93</v>
      </c>
      <c r="D1494" s="16" t="str">
        <f aca="false">Bank_Statement!D734</f>
        <v>PMT-V1034</v>
      </c>
      <c r="E1494" s="16" t="str">
        <f aca="false">Bank_Statement!E734</f>
        <v>PAY40733</v>
      </c>
      <c r="F1494" s="16" t="str">
        <f aca="false">IF(E1494="","N/A",IF(COUNTIF(Payment_Log_AP!$A$2:$A$753,E1494)&gt;0,"Yes","No"))</f>
        <v>Yes</v>
      </c>
      <c r="G1494" s="16" t="str">
        <f aca="false">IF(E1494="","Unexplained Bank Item (fee/other - review)",IF(F1494="Yes","Matched","Payment Reference Not Found in AP Log"))</f>
        <v>Matched</v>
      </c>
    </row>
    <row r="1495" customFormat="false" ht="15" hidden="false" customHeight="false" outlineLevel="0" collapsed="false">
      <c r="A1495" s="16" t="str">
        <f aca="false">Bank_Statement!A735</f>
        <v>BNK50734</v>
      </c>
      <c r="B1495" s="17" t="n">
        <f aca="false">Bank_Statement!B735</f>
        <v>45832</v>
      </c>
      <c r="C1495" s="18" t="n">
        <f aca="false">Bank_Statement!C735</f>
        <v>-2115.29</v>
      </c>
      <c r="D1495" s="16" t="str">
        <f aca="false">Bank_Statement!D735</f>
        <v>PMT-V1039</v>
      </c>
      <c r="E1495" s="16" t="str">
        <f aca="false">Bank_Statement!E735</f>
        <v>PAY40734</v>
      </c>
      <c r="F1495" s="16" t="str">
        <f aca="false">IF(E1495="","N/A",IF(COUNTIF(Payment_Log_AP!$A$2:$A$753,E1495)&gt;0,"Yes","No"))</f>
        <v>Yes</v>
      </c>
      <c r="G1495" s="16" t="str">
        <f aca="false">IF(E1495="","Unexplained Bank Item (fee/other - review)",IF(F1495="Yes","Matched","Payment Reference Not Found in AP Log"))</f>
        <v>Matched</v>
      </c>
    </row>
    <row r="1496" customFormat="false" ht="15" hidden="false" customHeight="false" outlineLevel="0" collapsed="false">
      <c r="A1496" s="16" t="str">
        <f aca="false">Bank_Statement!A736</f>
        <v>BNK50735</v>
      </c>
      <c r="B1496" s="17" t="n">
        <f aca="false">Bank_Statement!B736</f>
        <v>45787</v>
      </c>
      <c r="C1496" s="18" t="n">
        <f aca="false">Bank_Statement!C736</f>
        <v>-1027.6</v>
      </c>
      <c r="D1496" s="16" t="str">
        <f aca="false">Bank_Statement!D736</f>
        <v>PMT-V1037</v>
      </c>
      <c r="E1496" s="16" t="str">
        <f aca="false">Bank_Statement!E736</f>
        <v>PAY40735</v>
      </c>
      <c r="F1496" s="16" t="str">
        <f aca="false">IF(E1496="","N/A",IF(COUNTIF(Payment_Log_AP!$A$2:$A$753,E1496)&gt;0,"Yes","No"))</f>
        <v>Yes</v>
      </c>
      <c r="G1496" s="16" t="str">
        <f aca="false">IF(E1496="","Unexplained Bank Item (fee/other - review)",IF(F1496="Yes","Matched","Payment Reference Not Found in AP Log"))</f>
        <v>Matched</v>
      </c>
    </row>
    <row r="1497" customFormat="false" ht="15" hidden="false" customHeight="false" outlineLevel="0" collapsed="false">
      <c r="A1497" s="16" t="str">
        <f aca="false">Bank_Statement!A737</f>
        <v>BNK50736</v>
      </c>
      <c r="B1497" s="17" t="n">
        <f aca="false">Bank_Statement!B737</f>
        <v>45755</v>
      </c>
      <c r="C1497" s="18" t="n">
        <f aca="false">Bank_Statement!C737</f>
        <v>-1165</v>
      </c>
      <c r="D1497" s="16" t="str">
        <f aca="false">Bank_Statement!D737</f>
        <v>PMT-V1003</v>
      </c>
      <c r="E1497" s="16" t="str">
        <f aca="false">Bank_Statement!E737</f>
        <v>PAY40736</v>
      </c>
      <c r="F1497" s="16" t="str">
        <f aca="false">IF(E1497="","N/A",IF(COUNTIF(Payment_Log_AP!$A$2:$A$753,E1497)&gt;0,"Yes","No"))</f>
        <v>Yes</v>
      </c>
      <c r="G1497" s="16" t="str">
        <f aca="false">IF(E1497="","Unexplained Bank Item (fee/other - review)",IF(F1497="Yes","Matched","Payment Reference Not Found in AP Log"))</f>
        <v>Matched</v>
      </c>
    </row>
    <row r="1498" customFormat="false" ht="15" hidden="false" customHeight="false" outlineLevel="0" collapsed="false">
      <c r="A1498" s="16" t="str">
        <f aca="false">Bank_Statement!A738</f>
        <v>BNK50737</v>
      </c>
      <c r="B1498" s="17" t="n">
        <f aca="false">Bank_Statement!B738</f>
        <v>45821</v>
      </c>
      <c r="C1498" s="18" t="n">
        <f aca="false">Bank_Statement!C738</f>
        <v>-1553.94</v>
      </c>
      <c r="D1498" s="16" t="str">
        <f aca="false">Bank_Statement!D738</f>
        <v>PMT-V1037</v>
      </c>
      <c r="E1498" s="16" t="str">
        <f aca="false">Bank_Statement!E738</f>
        <v>PAY40737</v>
      </c>
      <c r="F1498" s="16" t="str">
        <f aca="false">IF(E1498="","N/A",IF(COUNTIF(Payment_Log_AP!$A$2:$A$753,E1498)&gt;0,"Yes","No"))</f>
        <v>Yes</v>
      </c>
      <c r="G1498" s="16" t="str">
        <f aca="false">IF(E1498="","Unexplained Bank Item (fee/other - review)",IF(F1498="Yes","Matched","Payment Reference Not Found in AP Log"))</f>
        <v>Matched</v>
      </c>
    </row>
    <row r="1499" customFormat="false" ht="15" hidden="false" customHeight="false" outlineLevel="0" collapsed="false">
      <c r="A1499" s="16" t="str">
        <f aca="false">Bank_Statement!A739</f>
        <v>BNK50738</v>
      </c>
      <c r="B1499" s="17" t="n">
        <f aca="false">Bank_Statement!B739</f>
        <v>45837</v>
      </c>
      <c r="C1499" s="18" t="n">
        <f aca="false">Bank_Statement!C739</f>
        <v>-1553.94</v>
      </c>
      <c r="D1499" s="16" t="str">
        <f aca="false">Bank_Statement!D739</f>
        <v>PMT-V1037</v>
      </c>
      <c r="E1499" s="16" t="str">
        <f aca="false">Bank_Statement!E739</f>
        <v>PAY40738</v>
      </c>
      <c r="F1499" s="16" t="str">
        <f aca="false">IF(E1499="","N/A",IF(COUNTIF(Payment_Log_AP!$A$2:$A$753,E1499)&gt;0,"Yes","No"))</f>
        <v>Yes</v>
      </c>
      <c r="G1499" s="16" t="str">
        <f aca="false">IF(E1499="","Unexplained Bank Item (fee/other - review)",IF(F1499="Yes","Matched","Payment Reference Not Found in AP Log"))</f>
        <v>Matched</v>
      </c>
    </row>
    <row r="1500" customFormat="false" ht="15" hidden="false" customHeight="false" outlineLevel="0" collapsed="false">
      <c r="A1500" s="16" t="str">
        <f aca="false">Bank_Statement!A740</f>
        <v>BNK50739</v>
      </c>
      <c r="B1500" s="17" t="n">
        <f aca="false">Bank_Statement!B740</f>
        <v>45865</v>
      </c>
      <c r="C1500" s="18" t="n">
        <f aca="false">Bank_Statement!C740</f>
        <v>-764.25</v>
      </c>
      <c r="D1500" s="16" t="str">
        <f aca="false">Bank_Statement!D740</f>
        <v>PMT-V1024</v>
      </c>
      <c r="E1500" s="16" t="str">
        <f aca="false">Bank_Statement!E740</f>
        <v>PAY40739</v>
      </c>
      <c r="F1500" s="16" t="str">
        <f aca="false">IF(E1500="","N/A",IF(COUNTIF(Payment_Log_AP!$A$2:$A$753,E1500)&gt;0,"Yes","No"))</f>
        <v>Yes</v>
      </c>
      <c r="G1500" s="16" t="str">
        <f aca="false">IF(E1500="","Unexplained Bank Item (fee/other - review)",IF(F1500="Yes","Matched","Payment Reference Not Found in AP Log"))</f>
        <v>Matched</v>
      </c>
    </row>
    <row r="1501" customFormat="false" ht="15" hidden="false" customHeight="false" outlineLevel="0" collapsed="false">
      <c r="A1501" s="16" t="str">
        <f aca="false">Bank_Statement!A741</f>
        <v>BNK50740</v>
      </c>
      <c r="B1501" s="17" t="n">
        <f aca="false">Bank_Statement!B741</f>
        <v>45709</v>
      </c>
      <c r="C1501" s="18" t="n">
        <f aca="false">Bank_Statement!C741</f>
        <v>-8318.12</v>
      </c>
      <c r="D1501" s="16" t="str">
        <f aca="false">Bank_Statement!D741</f>
        <v>PMT-V1022</v>
      </c>
      <c r="E1501" s="16" t="str">
        <f aca="false">Bank_Statement!E741</f>
        <v>PAY40740</v>
      </c>
      <c r="F1501" s="16" t="str">
        <f aca="false">IF(E1501="","N/A",IF(COUNTIF(Payment_Log_AP!$A$2:$A$753,E1501)&gt;0,"Yes","No"))</f>
        <v>Yes</v>
      </c>
      <c r="G1501" s="16" t="str">
        <f aca="false">IF(E1501="","Unexplained Bank Item (fee/other - review)",IF(F1501="Yes","Matched","Payment Reference Not Found in AP Log"))</f>
        <v>Matched</v>
      </c>
    </row>
    <row r="1502" customFormat="false" ht="15" hidden="false" customHeight="false" outlineLevel="0" collapsed="false">
      <c r="A1502" s="16" t="str">
        <f aca="false">Bank_Statement!A742</f>
        <v>BNK50741</v>
      </c>
      <c r="B1502" s="17" t="n">
        <f aca="false">Bank_Statement!B742</f>
        <v>46095</v>
      </c>
      <c r="C1502" s="18" t="n">
        <f aca="false">Bank_Statement!C742</f>
        <v>-2564.63</v>
      </c>
      <c r="D1502" s="16" t="str">
        <f aca="false">Bank_Statement!D742</f>
        <v>PMT-V1027</v>
      </c>
      <c r="E1502" s="16" t="str">
        <f aca="false">Bank_Statement!E742</f>
        <v>PAY40741</v>
      </c>
      <c r="F1502" s="16" t="str">
        <f aca="false">IF(E1502="","N/A",IF(COUNTIF(Payment_Log_AP!$A$2:$A$753,E1502)&gt;0,"Yes","No"))</f>
        <v>Yes</v>
      </c>
      <c r="G1502" s="16" t="str">
        <f aca="false">IF(E1502="","Unexplained Bank Item (fee/other - review)",IF(F1502="Yes","Matched","Payment Reference Not Found in AP Log"))</f>
        <v>Matched</v>
      </c>
    </row>
    <row r="1503" customFormat="false" ht="15" hidden="false" customHeight="false" outlineLevel="0" collapsed="false">
      <c r="A1503" s="16" t="str">
        <f aca="false">Bank_Statement!A743</f>
        <v>BNK50742</v>
      </c>
      <c r="B1503" s="17" t="n">
        <f aca="false">Bank_Statement!B743</f>
        <v>45797</v>
      </c>
      <c r="C1503" s="18" t="n">
        <f aca="false">Bank_Statement!C743</f>
        <v>-5467.62</v>
      </c>
      <c r="D1503" s="16" t="str">
        <f aca="false">Bank_Statement!D743</f>
        <v>PMT-V1036</v>
      </c>
      <c r="E1503" s="16" t="str">
        <f aca="false">Bank_Statement!E743</f>
        <v>PAY40742</v>
      </c>
      <c r="F1503" s="16" t="str">
        <f aca="false">IF(E1503="","N/A",IF(COUNTIF(Payment_Log_AP!$A$2:$A$753,E1503)&gt;0,"Yes","No"))</f>
        <v>Yes</v>
      </c>
      <c r="G1503" s="16" t="str">
        <f aca="false">IF(E1503="","Unexplained Bank Item (fee/other - review)",IF(F1503="Yes","Matched","Payment Reference Not Found in AP Log"))</f>
        <v>Matched</v>
      </c>
    </row>
    <row r="1504" customFormat="false" ht="15" hidden="false" customHeight="false" outlineLevel="0" collapsed="false">
      <c r="A1504" s="16" t="str">
        <f aca="false">Bank_Statement!A744</f>
        <v>BNK50743</v>
      </c>
      <c r="B1504" s="17" t="n">
        <f aca="false">Bank_Statement!B744</f>
        <v>45875</v>
      </c>
      <c r="C1504" s="18" t="n">
        <f aca="false">Bank_Statement!C744</f>
        <v>-4948.03</v>
      </c>
      <c r="D1504" s="16" t="str">
        <f aca="false">Bank_Statement!D744</f>
        <v>PMT-V1009</v>
      </c>
      <c r="E1504" s="16" t="str">
        <f aca="false">Bank_Statement!E744</f>
        <v>PAY40743</v>
      </c>
      <c r="F1504" s="16" t="str">
        <f aca="false">IF(E1504="","N/A",IF(COUNTIF(Payment_Log_AP!$A$2:$A$753,E1504)&gt;0,"Yes","No"))</f>
        <v>Yes</v>
      </c>
      <c r="G1504" s="16" t="str">
        <f aca="false">IF(E1504="","Unexplained Bank Item (fee/other - review)",IF(F1504="Yes","Matched","Payment Reference Not Found in AP Log"))</f>
        <v>Matched</v>
      </c>
    </row>
    <row r="1505" customFormat="false" ht="15" hidden="false" customHeight="false" outlineLevel="0" collapsed="false">
      <c r="A1505" s="16" t="str">
        <f aca="false">Bank_Statement!A745</f>
        <v>BNK50744</v>
      </c>
      <c r="B1505" s="17" t="n">
        <f aca="false">Bank_Statement!B745</f>
        <v>46067</v>
      </c>
      <c r="C1505" s="18" t="n">
        <f aca="false">Bank_Statement!C745</f>
        <v>-1631.21</v>
      </c>
      <c r="D1505" s="16" t="str">
        <f aca="false">Bank_Statement!D745</f>
        <v>PMT-V1029</v>
      </c>
      <c r="E1505" s="16" t="str">
        <f aca="false">Bank_Statement!E745</f>
        <v>PAY40744</v>
      </c>
      <c r="F1505" s="16" t="str">
        <f aca="false">IF(E1505="","N/A",IF(COUNTIF(Payment_Log_AP!$A$2:$A$753,E1505)&gt;0,"Yes","No"))</f>
        <v>Yes</v>
      </c>
      <c r="G1505" s="16" t="str">
        <f aca="false">IF(E1505="","Unexplained Bank Item (fee/other - review)",IF(F1505="Yes","Matched","Payment Reference Not Found in AP Log"))</f>
        <v>Matched</v>
      </c>
    </row>
    <row r="1506" customFormat="false" ht="15" hidden="false" customHeight="false" outlineLevel="0" collapsed="false">
      <c r="A1506" s="16" t="str">
        <f aca="false">Bank_Statement!A746</f>
        <v>BNK50745</v>
      </c>
      <c r="B1506" s="17" t="n">
        <f aca="false">Bank_Statement!B746</f>
        <v>45987</v>
      </c>
      <c r="C1506" s="18" t="n">
        <f aca="false">Bank_Statement!C746</f>
        <v>-819.06</v>
      </c>
      <c r="D1506" s="16" t="str">
        <f aca="false">Bank_Statement!D746</f>
        <v>PMT-V1040</v>
      </c>
      <c r="E1506" s="16" t="str">
        <f aca="false">Bank_Statement!E746</f>
        <v>PAY40745</v>
      </c>
      <c r="F1506" s="16" t="str">
        <f aca="false">IF(E1506="","N/A",IF(COUNTIF(Payment_Log_AP!$A$2:$A$753,E1506)&gt;0,"Yes","No"))</f>
        <v>Yes</v>
      </c>
      <c r="G1506" s="16" t="str">
        <f aca="false">IF(E1506="","Unexplained Bank Item (fee/other - review)",IF(F1506="Yes","Matched","Payment Reference Not Found in AP Log"))</f>
        <v>Matched</v>
      </c>
    </row>
    <row r="1507" customFormat="false" ht="15" hidden="false" customHeight="false" outlineLevel="0" collapsed="false">
      <c r="A1507" s="16" t="str">
        <f aca="false">Bank_Statement!A747</f>
        <v>BNK50746</v>
      </c>
      <c r="B1507" s="17" t="n">
        <f aca="false">Bank_Statement!B747</f>
        <v>46140</v>
      </c>
      <c r="C1507" s="18" t="n">
        <f aca="false">Bank_Statement!C747</f>
        <v>-1380.81</v>
      </c>
      <c r="D1507" s="16" t="str">
        <f aca="false">Bank_Statement!D747</f>
        <v>PMT-V1009</v>
      </c>
      <c r="E1507" s="16" t="str">
        <f aca="false">Bank_Statement!E747</f>
        <v>PAY40746</v>
      </c>
      <c r="F1507" s="16" t="str">
        <f aca="false">IF(E1507="","N/A",IF(COUNTIF(Payment_Log_AP!$A$2:$A$753,E1507)&gt;0,"Yes","No"))</f>
        <v>Yes</v>
      </c>
      <c r="G1507" s="16" t="str">
        <f aca="false">IF(E1507="","Unexplained Bank Item (fee/other - review)",IF(F1507="Yes","Matched","Payment Reference Not Found in AP Log"))</f>
        <v>Matched</v>
      </c>
    </row>
    <row r="1508" customFormat="false" ht="15" hidden="false" customHeight="false" outlineLevel="0" collapsed="false">
      <c r="A1508" s="16" t="str">
        <f aca="false">Bank_Statement!A748</f>
        <v>BNK50747</v>
      </c>
      <c r="B1508" s="17" t="n">
        <f aca="false">Bank_Statement!B748</f>
        <v>46113</v>
      </c>
      <c r="C1508" s="18" t="n">
        <f aca="false">Bank_Statement!C748</f>
        <v>-537.91</v>
      </c>
      <c r="D1508" s="16" t="str">
        <f aca="false">Bank_Statement!D748</f>
        <v>PMT-V1028</v>
      </c>
      <c r="E1508" s="16" t="str">
        <f aca="false">Bank_Statement!E748</f>
        <v>PAY40747</v>
      </c>
      <c r="F1508" s="16" t="str">
        <f aca="false">IF(E1508="","N/A",IF(COUNTIF(Payment_Log_AP!$A$2:$A$753,E1508)&gt;0,"Yes","No"))</f>
        <v>Yes</v>
      </c>
      <c r="G1508" s="16" t="str">
        <f aca="false">IF(E1508="","Unexplained Bank Item (fee/other - review)",IF(F1508="Yes","Matched","Payment Reference Not Found in AP Log"))</f>
        <v>Matched</v>
      </c>
    </row>
    <row r="1509" customFormat="false" ht="15" hidden="false" customHeight="false" outlineLevel="0" collapsed="false">
      <c r="A1509" s="16" t="str">
        <f aca="false">Bank_Statement!A749</f>
        <v>BNK50748</v>
      </c>
      <c r="B1509" s="17" t="n">
        <f aca="false">Bank_Statement!B749</f>
        <v>45728</v>
      </c>
      <c r="C1509" s="18" t="n">
        <f aca="false">Bank_Statement!C749</f>
        <v>-2224.01</v>
      </c>
      <c r="D1509" s="16" t="str">
        <f aca="false">Bank_Statement!D749</f>
        <v>PMT-V1039</v>
      </c>
      <c r="E1509" s="16" t="str">
        <f aca="false">Bank_Statement!E749</f>
        <v>PAY40748</v>
      </c>
      <c r="F1509" s="16" t="str">
        <f aca="false">IF(E1509="","N/A",IF(COUNTIF(Payment_Log_AP!$A$2:$A$753,E1509)&gt;0,"Yes","No"))</f>
        <v>Yes</v>
      </c>
      <c r="G1509" s="16" t="str">
        <f aca="false">IF(E1509="","Unexplained Bank Item (fee/other - review)",IF(F1509="Yes","Matched","Payment Reference Not Found in AP Log"))</f>
        <v>Matched</v>
      </c>
    </row>
    <row r="1510" customFormat="false" ht="15" hidden="false" customHeight="false" outlineLevel="0" collapsed="false">
      <c r="A1510" s="16" t="str">
        <f aca="false">Bank_Statement!A750</f>
        <v>BNK50749</v>
      </c>
      <c r="B1510" s="17" t="n">
        <f aca="false">Bank_Statement!B750</f>
        <v>46180</v>
      </c>
      <c r="C1510" s="18" t="n">
        <f aca="false">Bank_Statement!C750</f>
        <v>-972.49</v>
      </c>
      <c r="D1510" s="16" t="str">
        <f aca="false">Bank_Statement!D750</f>
        <v>PMT-V1019</v>
      </c>
      <c r="E1510" s="16" t="str">
        <f aca="false">Bank_Statement!E750</f>
        <v>PAY40749</v>
      </c>
      <c r="F1510" s="16" t="str">
        <f aca="false">IF(E1510="","N/A",IF(COUNTIF(Payment_Log_AP!$A$2:$A$753,E1510)&gt;0,"Yes","No"))</f>
        <v>Yes</v>
      </c>
      <c r="G1510" s="16" t="str">
        <f aca="false">IF(E1510="","Unexplained Bank Item (fee/other - review)",IF(F1510="Yes","Matched","Payment Reference Not Found in AP Log"))</f>
        <v>Matched</v>
      </c>
    </row>
    <row r="1511" customFormat="false" ht="15" hidden="false" customHeight="false" outlineLevel="0" collapsed="false">
      <c r="A1511" s="16" t="str">
        <f aca="false">Bank_Statement!A751</f>
        <v>BNK50750</v>
      </c>
      <c r="B1511" s="17" t="n">
        <f aca="false">Bank_Statement!B751</f>
        <v>46198</v>
      </c>
      <c r="C1511" s="18" t="n">
        <f aca="false">Bank_Statement!C751</f>
        <v>-7892.6</v>
      </c>
      <c r="D1511" s="16" t="str">
        <f aca="false">Bank_Statement!D751</f>
        <v>PMT-V1020</v>
      </c>
      <c r="E1511" s="16" t="str">
        <f aca="false">Bank_Statement!E751</f>
        <v>PAY40750</v>
      </c>
      <c r="F1511" s="16" t="str">
        <f aca="false">IF(E1511="","N/A",IF(COUNTIF(Payment_Log_AP!$A$2:$A$753,E1511)&gt;0,"Yes","No"))</f>
        <v>Yes</v>
      </c>
      <c r="G1511" s="16" t="str">
        <f aca="false">IF(E1511="","Unexplained Bank Item (fee/other - review)",IF(F1511="Yes","Matched","Payment Reference Not Found in AP Log"))</f>
        <v>Matched</v>
      </c>
    </row>
    <row r="1512" customFormat="false" ht="15" hidden="false" customHeight="false" outlineLevel="0" collapsed="false">
      <c r="A1512" s="16" t="str">
        <f aca="false">Bank_Statement!A752</f>
        <v>BNK50751</v>
      </c>
      <c r="B1512" s="17" t="n">
        <f aca="false">Bank_Statement!B752</f>
        <v>46174</v>
      </c>
      <c r="C1512" s="18" t="n">
        <f aca="false">Bank_Statement!C752</f>
        <v>-5336.94</v>
      </c>
      <c r="D1512" s="16" t="str">
        <f aca="false">Bank_Statement!D752</f>
        <v>PMT-V1029</v>
      </c>
      <c r="E1512" s="16" t="str">
        <f aca="false">Bank_Statement!E752</f>
        <v>PAY40751</v>
      </c>
      <c r="F1512" s="16" t="str">
        <f aca="false">IF(E1512="","N/A",IF(COUNTIF(Payment_Log_AP!$A$2:$A$753,E1512)&gt;0,"Yes","No"))</f>
        <v>Yes</v>
      </c>
      <c r="G1512" s="16" t="str">
        <f aca="false">IF(E1512="","Unexplained Bank Item (fee/other - review)",IF(F1512="Yes","Matched","Payment Reference Not Found in AP Log"))</f>
        <v>Matched</v>
      </c>
    </row>
    <row r="1513" customFormat="false" ht="15" hidden="false" customHeight="false" outlineLevel="0" collapsed="false">
      <c r="A1513" s="16" t="str">
        <f aca="false">Bank_Statement!A753</f>
        <v>BNK50752</v>
      </c>
      <c r="B1513" s="17" t="n">
        <f aca="false">Bank_Statement!B753</f>
        <v>46002</v>
      </c>
      <c r="C1513" s="18" t="n">
        <f aca="false">Bank_Statement!C753</f>
        <v>-4104.49</v>
      </c>
      <c r="D1513" s="16" t="str">
        <f aca="false">Bank_Statement!D753</f>
        <v>PMT-V1014</v>
      </c>
      <c r="E1513" s="16" t="str">
        <f aca="false">Bank_Statement!E753</f>
        <v>PAY40752</v>
      </c>
      <c r="F1513" s="16" t="str">
        <f aca="false">IF(E1513="","N/A",IF(COUNTIF(Payment_Log_AP!$A$2:$A$753,E1513)&gt;0,"Yes","No"))</f>
        <v>Yes</v>
      </c>
      <c r="G1513" s="16" t="str">
        <f aca="false">IF(E1513="","Unexplained Bank Item (fee/other - review)",IF(F1513="Yes","Matched","Payment Reference Not Found in AP Log"))</f>
        <v>Matched</v>
      </c>
    </row>
    <row r="1514" customFormat="false" ht="15" hidden="false" customHeight="false" outlineLevel="0" collapsed="false">
      <c r="A1514" s="16" t="str">
        <f aca="false">Bank_Statement!A754</f>
        <v>BNK50753</v>
      </c>
      <c r="B1514" s="17" t="n">
        <f aca="false">Bank_Statement!B754</f>
        <v>46044</v>
      </c>
      <c r="C1514" s="18" t="n">
        <f aca="false">Bank_Statement!C754</f>
        <v>-20.43</v>
      </c>
      <c r="D1514" s="16" t="str">
        <f aca="false">Bank_Statement!D754</f>
        <v>Bank Service Charge</v>
      </c>
      <c r="E1514" s="16" t="n">
        <f aca="false">Bank_Statement!E754</f>
        <v>0</v>
      </c>
      <c r="F1514" s="16" t="str">
        <f aca="false">IF(E1514="","N/A",IF(COUNTIF(Payment_Log_AP!$A$2:$A$753,E1514)&gt;0,"Yes","No"))</f>
        <v>N/A</v>
      </c>
      <c r="G1514" s="16" t="str">
        <f aca="false">IF(E1514="","Unexplained Bank Item (fee/other - review)",IF(F1514="Yes","Matched","Payment Reference Not Found in AP Log"))</f>
        <v>Unexplained Bank Item (fee/other - review)</v>
      </c>
    </row>
    <row r="1515" customFormat="false" ht="15" hidden="false" customHeight="false" outlineLevel="0" collapsed="false">
      <c r="A1515" s="16" t="str">
        <f aca="false">Bank_Statement!A755</f>
        <v>BNK50754</v>
      </c>
      <c r="B1515" s="17" t="n">
        <f aca="false">Bank_Statement!B755</f>
        <v>45885</v>
      </c>
      <c r="C1515" s="18" t="n">
        <f aca="false">Bank_Statement!C755</f>
        <v>-142.45</v>
      </c>
      <c r="D1515" s="16" t="str">
        <f aca="false">Bank_Statement!D755</f>
        <v>FX Adjustment</v>
      </c>
      <c r="E1515" s="16" t="n">
        <f aca="false">Bank_Statement!E755</f>
        <v>0</v>
      </c>
      <c r="F1515" s="16" t="str">
        <f aca="false">IF(E1515="","N/A",IF(COUNTIF(Payment_Log_AP!$A$2:$A$753,E1515)&gt;0,"Yes","No"))</f>
        <v>N/A</v>
      </c>
      <c r="G1515" s="16" t="str">
        <f aca="false">IF(E1515="","Unexplained Bank Item (fee/other - review)",IF(F1515="Yes","Matched","Payment Reference Not Found in AP Log"))</f>
        <v>Unexplained Bank Item (fee/other - review)</v>
      </c>
    </row>
    <row r="1516" customFormat="false" ht="15" hidden="false" customHeight="false" outlineLevel="0" collapsed="false">
      <c r="A1516" s="16" t="str">
        <f aca="false">Bank_Statement!A756</f>
        <v>BNK50755</v>
      </c>
      <c r="B1516" s="17" t="n">
        <f aca="false">Bank_Statement!B756</f>
        <v>45720</v>
      </c>
      <c r="C1516" s="18" t="n">
        <f aca="false">Bank_Statement!C756</f>
        <v>-198.25</v>
      </c>
      <c r="D1516" s="16" t="str">
        <f aca="false">Bank_Statement!D756</f>
        <v>Bank Service Charge</v>
      </c>
      <c r="E1516" s="16" t="n">
        <f aca="false">Bank_Statement!E756</f>
        <v>0</v>
      </c>
      <c r="F1516" s="16" t="str">
        <f aca="false">IF(E1516="","N/A",IF(COUNTIF(Payment_Log_AP!$A$2:$A$753,E1516)&gt;0,"Yes","No"))</f>
        <v>N/A</v>
      </c>
      <c r="G1516" s="16" t="str">
        <f aca="false">IF(E1516="","Unexplained Bank Item (fee/other - review)",IF(F1516="Yes","Matched","Payment Reference Not Found in AP Log"))</f>
        <v>Unexplained Bank Item (fee/other - review)</v>
      </c>
    </row>
    <row r="1517" customFormat="false" ht="15" hidden="false" customHeight="false" outlineLevel="0" collapsed="false">
      <c r="A1517" s="16" t="str">
        <f aca="false">Bank_Statement!A757</f>
        <v>BNK50756</v>
      </c>
      <c r="B1517" s="17" t="n">
        <f aca="false">Bank_Statement!B757</f>
        <v>45669</v>
      </c>
      <c r="C1517" s="18" t="n">
        <f aca="false">Bank_Statement!C757</f>
        <v>-39.26</v>
      </c>
      <c r="D1517" s="16" t="str">
        <f aca="false">Bank_Statement!D757</f>
        <v>FX Adjustment</v>
      </c>
      <c r="E1517" s="16" t="n">
        <f aca="false">Bank_Statement!E757</f>
        <v>0</v>
      </c>
      <c r="F1517" s="16" t="str">
        <f aca="false">IF(E1517="","N/A",IF(COUNTIF(Payment_Log_AP!$A$2:$A$753,E1517)&gt;0,"Yes","No"))</f>
        <v>N/A</v>
      </c>
      <c r="G1517" s="16" t="str">
        <f aca="false">IF(E1517="","Unexplained Bank Item (fee/other - review)",IF(F1517="Yes","Matched","Payment Reference Not Found in AP Log"))</f>
        <v>Unexplained Bank Item (fee/other - review)</v>
      </c>
    </row>
    <row r="1518" customFormat="false" ht="15" hidden="false" customHeight="false" outlineLevel="0" collapsed="false">
      <c r="A1518" s="16" t="str">
        <f aca="false">Bank_Statement!A758</f>
        <v>BNK50757</v>
      </c>
      <c r="B1518" s="17" t="n">
        <f aca="false">Bank_Statement!B758</f>
        <v>45834</v>
      </c>
      <c r="C1518" s="18" t="n">
        <f aca="false">Bank_Statement!C758</f>
        <v>-198.13</v>
      </c>
      <c r="D1518" s="16" t="str">
        <f aca="false">Bank_Statement!D758</f>
        <v>Bank Service Charge</v>
      </c>
      <c r="E1518" s="16" t="n">
        <f aca="false">Bank_Statement!E758</f>
        <v>0</v>
      </c>
      <c r="F1518" s="16" t="str">
        <f aca="false">IF(E1518="","N/A",IF(COUNTIF(Payment_Log_AP!$A$2:$A$753,E1518)&gt;0,"Yes","No"))</f>
        <v>N/A</v>
      </c>
      <c r="G1518" s="16" t="str">
        <f aca="false">IF(E1518="","Unexplained Bank Item (fee/other - review)",IF(F1518="Yes","Matched","Payment Reference Not Found in AP Log"))</f>
        <v>Unexplained Bank Item (fee/other - review)</v>
      </c>
    </row>
    <row r="1519" customFormat="false" ht="15" hidden="false" customHeight="false" outlineLevel="0" collapsed="false">
      <c r="A1519" s="16" t="str">
        <f aca="false">Bank_Statement!A759</f>
        <v>BNK50758</v>
      </c>
      <c r="B1519" s="17" t="n">
        <f aca="false">Bank_Statement!B759</f>
        <v>46094</v>
      </c>
      <c r="C1519" s="18" t="n">
        <f aca="false">Bank_Statement!C759</f>
        <v>-432.76</v>
      </c>
      <c r="D1519" s="16" t="str">
        <f aca="false">Bank_Statement!D759</f>
        <v>Wire Transfer Fee</v>
      </c>
      <c r="E1519" s="16" t="n">
        <f aca="false">Bank_Statement!E759</f>
        <v>0</v>
      </c>
      <c r="F1519" s="16" t="str">
        <f aca="false">IF(E1519="","N/A",IF(COUNTIF(Payment_Log_AP!$A$2:$A$753,E1519)&gt;0,"Yes","No"))</f>
        <v>N/A</v>
      </c>
      <c r="G1519" s="16" t="str">
        <f aca="false">IF(E1519="","Unexplained Bank Item (fee/other - review)",IF(F1519="Yes","Matched","Payment Reference Not Found in AP Log"))</f>
        <v>Unexplained Bank Item (fee/other - review)</v>
      </c>
    </row>
    <row r="1520" customFormat="false" ht="15" hidden="false" customHeight="false" outlineLevel="0" collapsed="false">
      <c r="A1520" s="16" t="str">
        <f aca="false">Bank_Statement!A760</f>
        <v>BNK50759</v>
      </c>
      <c r="B1520" s="17" t="n">
        <f aca="false">Bank_Statement!B760</f>
        <v>45994</v>
      </c>
      <c r="C1520" s="18" t="n">
        <f aca="false">Bank_Statement!C760</f>
        <v>-227.57</v>
      </c>
      <c r="D1520" s="16" t="str">
        <f aca="false">Bank_Statement!D760</f>
        <v>Bank Service Charge</v>
      </c>
      <c r="E1520" s="16" t="n">
        <f aca="false">Bank_Statement!E760</f>
        <v>0</v>
      </c>
      <c r="F1520" s="16" t="str">
        <f aca="false">IF(E1520="","N/A",IF(COUNTIF(Payment_Log_AP!$A$2:$A$753,E1520)&gt;0,"Yes","No"))</f>
        <v>N/A</v>
      </c>
      <c r="G1520" s="16" t="str">
        <f aca="false">IF(E1520="","Unexplained Bank Item (fee/other - review)",IF(F1520="Yes","Matched","Payment Reference Not Found in AP Log"))</f>
        <v>Unexplained Bank Item (fee/other - review)</v>
      </c>
    </row>
    <row r="1521" customFormat="false" ht="15" hidden="false" customHeight="false" outlineLevel="0" collapsed="false">
      <c r="A1521" s="16" t="str">
        <f aca="false">Bank_Statement!A761</f>
        <v>BNK50760</v>
      </c>
      <c r="B1521" s="17" t="n">
        <f aca="false">Bank_Statement!B761</f>
        <v>46111</v>
      </c>
      <c r="C1521" s="18" t="n">
        <f aca="false">Bank_Statement!C761</f>
        <v>-110.81</v>
      </c>
      <c r="D1521" s="16" t="str">
        <f aca="false">Bank_Statement!D761</f>
        <v>Bank Service Charge</v>
      </c>
      <c r="E1521" s="16" t="n">
        <f aca="false">Bank_Statement!E761</f>
        <v>0</v>
      </c>
      <c r="F1521" s="16" t="str">
        <f aca="false">IF(E1521="","N/A",IF(COUNTIF(Payment_Log_AP!$A$2:$A$753,E1521)&gt;0,"Yes","No"))</f>
        <v>N/A</v>
      </c>
      <c r="G1521" s="16" t="str">
        <f aca="false">IF(E1521="","Unexplained Bank Item (fee/other - review)",IF(F1521="Yes","Matched","Payment Reference Not Found in AP Log"))</f>
        <v>Unexplained Bank Item (fee/other - review)</v>
      </c>
    </row>
    <row r="1522" customFormat="false" ht="15" hidden="false" customHeight="false" outlineLevel="0" collapsed="false">
      <c r="A1522" s="16" t="str">
        <f aca="false">Bank_Statement!A762</f>
        <v>BNK50761</v>
      </c>
      <c r="B1522" s="17" t="n">
        <f aca="false">Bank_Statement!B762</f>
        <v>46159</v>
      </c>
      <c r="C1522" s="18" t="n">
        <f aca="false">Bank_Statement!C762</f>
        <v>-333.36</v>
      </c>
      <c r="D1522" s="16" t="str">
        <f aca="false">Bank_Statement!D762</f>
        <v>FX Adjustment</v>
      </c>
      <c r="E1522" s="16" t="n">
        <f aca="false">Bank_Statement!E762</f>
        <v>0</v>
      </c>
      <c r="F1522" s="16" t="str">
        <f aca="false">IF(E1522="","N/A",IF(COUNTIF(Payment_Log_AP!$A$2:$A$753,E1522)&gt;0,"Yes","No"))</f>
        <v>N/A</v>
      </c>
      <c r="G1522" s="16" t="str">
        <f aca="false">IF(E1522="","Unexplained Bank Item (fee/other - review)",IF(F1522="Yes","Matched","Payment Reference Not Found in AP Log"))</f>
        <v>Unexplained Bank Item (fee/other - review)</v>
      </c>
    </row>
    <row r="1523" customFormat="false" ht="15" hidden="false" customHeight="false" outlineLevel="0" collapsed="false">
      <c r="A1523" s="16" t="str">
        <f aca="false">Bank_Statement!A763</f>
        <v>BNK50762</v>
      </c>
      <c r="B1523" s="17" t="n">
        <f aca="false">Bank_Statement!B763</f>
        <v>45706</v>
      </c>
      <c r="C1523" s="18" t="n">
        <f aca="false">Bank_Statement!C763</f>
        <v>-35.61</v>
      </c>
      <c r="D1523" s="16" t="str">
        <f aca="false">Bank_Statement!D763</f>
        <v>Wire Transfer Fee</v>
      </c>
      <c r="E1523" s="16" t="n">
        <f aca="false">Bank_Statement!E763</f>
        <v>0</v>
      </c>
      <c r="F1523" s="16" t="str">
        <f aca="false">IF(E1523="","N/A",IF(COUNTIF(Payment_Log_AP!$A$2:$A$753,E1523)&gt;0,"Yes","No"))</f>
        <v>N/A</v>
      </c>
      <c r="G1523" s="16" t="str">
        <f aca="false">IF(E1523="","Unexplained Bank Item (fee/other - review)",IF(F1523="Yes","Matched","Payment Reference Not Found in AP Log"))</f>
        <v>Unexplained Bank Item (fee/other - review)</v>
      </c>
    </row>
    <row r="1524" customFormat="false" ht="15" hidden="false" customHeight="false" outlineLevel="0" collapsed="false">
      <c r="A1524" s="16" t="str">
        <f aca="false">Bank_Statement!A764</f>
        <v>BNK50763</v>
      </c>
      <c r="B1524" s="17" t="n">
        <f aca="false">Bank_Statement!B764</f>
        <v>46118</v>
      </c>
      <c r="C1524" s="18" t="n">
        <f aca="false">Bank_Statement!C764</f>
        <v>-25.34</v>
      </c>
      <c r="D1524" s="16" t="str">
        <f aca="false">Bank_Statement!D764</f>
        <v>Wire Transfer Fee</v>
      </c>
      <c r="E1524" s="16" t="n">
        <f aca="false">Bank_Statement!E764</f>
        <v>0</v>
      </c>
      <c r="F1524" s="16" t="str">
        <f aca="false">IF(E1524="","N/A",IF(COUNTIF(Payment_Log_AP!$A$2:$A$753,E1524)&gt;0,"Yes","No"))</f>
        <v>N/A</v>
      </c>
      <c r="G1524" s="16" t="str">
        <f aca="false">IF(E1524="","Unexplained Bank Item (fee/other - review)",IF(F1524="Yes","Matched","Payment Reference Not Found in AP Log"))</f>
        <v>Unexplained Bank Item (fee/other - review)</v>
      </c>
    </row>
    <row r="1525" customFormat="false" ht="15" hidden="false" customHeight="false" outlineLevel="0" collapsed="false">
      <c r="A1525" s="16" t="str">
        <f aca="false">Bank_Statement!A765</f>
        <v>BNK50764</v>
      </c>
      <c r="B1525" s="17" t="n">
        <f aca="false">Bank_Statement!B765</f>
        <v>45790</v>
      </c>
      <c r="C1525" s="18" t="n">
        <f aca="false">Bank_Statement!C765</f>
        <v>-469.24</v>
      </c>
      <c r="D1525" s="16" t="str">
        <f aca="false">Bank_Statement!D765</f>
        <v>FX Adjustment</v>
      </c>
      <c r="E1525" s="16" t="n">
        <f aca="false">Bank_Statement!E765</f>
        <v>0</v>
      </c>
      <c r="F1525" s="16" t="str">
        <f aca="false">IF(E1525="","N/A",IF(COUNTIF(Payment_Log_AP!$A$2:$A$753,E1525)&gt;0,"Yes","No"))</f>
        <v>N/A</v>
      </c>
      <c r="G1525" s="16" t="str">
        <f aca="false">IF(E1525="","Unexplained Bank Item (fee/other - review)",IF(F1525="Yes","Matched","Payment Reference Not Found in AP Log"))</f>
        <v>Unexplained Bank Item (fee/other - review)</v>
      </c>
    </row>
    <row r="1526" customFormat="false" ht="15" hidden="false" customHeight="false" outlineLevel="0" collapsed="false">
      <c r="A1526" s="16" t="str">
        <f aca="false">Bank_Statement!A766</f>
        <v>BNK50765</v>
      </c>
      <c r="B1526" s="17" t="n">
        <f aca="false">Bank_Statement!B766</f>
        <v>45978</v>
      </c>
      <c r="C1526" s="18" t="n">
        <f aca="false">Bank_Statement!C766</f>
        <v>-379.69</v>
      </c>
      <c r="D1526" s="16" t="str">
        <f aca="false">Bank_Statement!D766</f>
        <v>Wire Transfer Fee</v>
      </c>
      <c r="E1526" s="16" t="n">
        <f aca="false">Bank_Statement!E766</f>
        <v>0</v>
      </c>
      <c r="F1526" s="16" t="str">
        <f aca="false">IF(E1526="","N/A",IF(COUNTIF(Payment_Log_AP!$A$2:$A$753,E1526)&gt;0,"Yes","No"))</f>
        <v>N/A</v>
      </c>
      <c r="G1526" s="16" t="str">
        <f aca="false">IF(E1526="","Unexplained Bank Item (fee/other - review)",IF(F1526="Yes","Matched","Payment Reference Not Found in AP Log"))</f>
        <v>Unexplained Bank Item (fee/other - review)</v>
      </c>
    </row>
    <row r="1527" customFormat="false" ht="15" hidden="false" customHeight="false" outlineLevel="0" collapsed="false">
      <c r="A1527" s="16" t="str">
        <f aca="false">Bank_Statement!A767</f>
        <v>BNK50766</v>
      </c>
      <c r="B1527" s="17" t="n">
        <f aca="false">Bank_Statement!B767</f>
        <v>45943</v>
      </c>
      <c r="C1527" s="18" t="n">
        <f aca="false">Bank_Statement!C767</f>
        <v>-462.12</v>
      </c>
      <c r="D1527" s="16" t="str">
        <f aca="false">Bank_Statement!D767</f>
        <v>Wire Transfer Fee</v>
      </c>
      <c r="E1527" s="16" t="n">
        <f aca="false">Bank_Statement!E767</f>
        <v>0</v>
      </c>
      <c r="F1527" s="16" t="str">
        <f aca="false">IF(E1527="","N/A",IF(COUNTIF(Payment_Log_AP!$A$2:$A$753,E1527)&gt;0,"Yes","No"))</f>
        <v>N/A</v>
      </c>
      <c r="G1527" s="16" t="str">
        <f aca="false">IF(E1527="","Unexplained Bank Item (fee/other - review)",IF(F1527="Yes","Matched","Payment Reference Not Found in AP Log"))</f>
        <v>Unexplained Bank Item (fee/other - review)</v>
      </c>
    </row>
    <row r="1528" customFormat="false" ht="15" hidden="false" customHeight="false" outlineLevel="0" collapsed="false">
      <c r="A1528" s="16" t="str">
        <f aca="false">Bank_Statement!A768</f>
        <v>BNK50767</v>
      </c>
      <c r="B1528" s="17" t="n">
        <f aca="false">Bank_Statement!B768</f>
        <v>45873</v>
      </c>
      <c r="C1528" s="18" t="n">
        <f aca="false">Bank_Statement!C768</f>
        <v>-407.02</v>
      </c>
      <c r="D1528" s="16" t="str">
        <f aca="false">Bank_Statement!D768</f>
        <v>FX Adjustment</v>
      </c>
      <c r="E1528" s="16" t="n">
        <f aca="false">Bank_Statement!E768</f>
        <v>0</v>
      </c>
      <c r="F1528" s="16" t="str">
        <f aca="false">IF(E1528="","N/A",IF(COUNTIF(Payment_Log_AP!$A$2:$A$753,E1528)&gt;0,"Yes","No"))</f>
        <v>N/A</v>
      </c>
      <c r="G1528" s="16" t="str">
        <f aca="false">IF(E1528="","Unexplained Bank Item (fee/other - review)",IF(F1528="Yes","Matched","Payment Reference Not Found in AP Log"))</f>
        <v>Unexplained Bank Item (fee/other - review)</v>
      </c>
    </row>
    <row r="1529" customFormat="false" ht="15" hidden="false" customHeight="false" outlineLevel="0" collapsed="false">
      <c r="A1529" s="16" t="str">
        <f aca="false">Bank_Statement!A769</f>
        <v>BNK50768</v>
      </c>
      <c r="B1529" s="17" t="n">
        <f aca="false">Bank_Statement!B769</f>
        <v>45827</v>
      </c>
      <c r="C1529" s="18" t="n">
        <f aca="false">Bank_Statement!C769</f>
        <v>-116.11</v>
      </c>
      <c r="D1529" s="16" t="str">
        <f aca="false">Bank_Statement!D769</f>
        <v>Bank Service Charge</v>
      </c>
      <c r="E1529" s="16" t="n">
        <f aca="false">Bank_Statement!E769</f>
        <v>0</v>
      </c>
      <c r="F1529" s="16" t="str">
        <f aca="false">IF(E1529="","N/A",IF(COUNTIF(Payment_Log_AP!$A$2:$A$753,E1529)&gt;0,"Yes","No"))</f>
        <v>N/A</v>
      </c>
      <c r="G1529" s="16" t="str">
        <f aca="false">IF(E1529="","Unexplained Bank Item (fee/other - review)",IF(F1529="Yes","Matched","Payment Reference Not Found in AP Log"))</f>
        <v>Unexplained Bank Item (fee/other - review)</v>
      </c>
    </row>
    <row r="1530" customFormat="false" ht="15" hidden="false" customHeight="false" outlineLevel="0" collapsed="false">
      <c r="A1530" s="16" t="str">
        <f aca="false">Bank_Statement!A770</f>
        <v>BNK50769</v>
      </c>
      <c r="B1530" s="17" t="n">
        <f aca="false">Bank_Statement!B770</f>
        <v>45843</v>
      </c>
      <c r="C1530" s="18" t="n">
        <f aca="false">Bank_Statement!C770</f>
        <v>-177.06</v>
      </c>
      <c r="D1530" s="16" t="str">
        <f aca="false">Bank_Statement!D770</f>
        <v>FX Adjustment</v>
      </c>
      <c r="E1530" s="16" t="n">
        <f aca="false">Bank_Statement!E770</f>
        <v>0</v>
      </c>
      <c r="F1530" s="16" t="str">
        <f aca="false">IF(E1530="","N/A",IF(COUNTIF(Payment_Log_AP!$A$2:$A$753,E1530)&gt;0,"Yes","No"))</f>
        <v>N/A</v>
      </c>
      <c r="G1530" s="16" t="str">
        <f aca="false">IF(E1530="","Unexplained Bank Item (fee/other - review)",IF(F1530="Yes","Matched","Payment Reference Not Found in AP Log"))</f>
        <v>Unexplained Bank Item (fee/other - review)</v>
      </c>
    </row>
    <row r="1531" customFormat="false" ht="15" hidden="false" customHeight="false" outlineLevel="0" collapsed="false">
      <c r="A1531" s="16" t="str">
        <f aca="false">Bank_Statement!A771</f>
        <v>BNK50770</v>
      </c>
      <c r="B1531" s="17" t="n">
        <f aca="false">Bank_Statement!B771</f>
        <v>45839</v>
      </c>
      <c r="C1531" s="18" t="n">
        <f aca="false">Bank_Statement!C771</f>
        <v>-222.7</v>
      </c>
      <c r="D1531" s="16" t="str">
        <f aca="false">Bank_Statement!D771</f>
        <v>Wire Transfer Fee</v>
      </c>
      <c r="E1531" s="16" t="n">
        <f aca="false">Bank_Statement!E771</f>
        <v>0</v>
      </c>
      <c r="F1531" s="16" t="str">
        <f aca="false">IF(E1531="","N/A",IF(COUNTIF(Payment_Log_AP!$A$2:$A$753,E1531)&gt;0,"Yes","No"))</f>
        <v>N/A</v>
      </c>
      <c r="G1531" s="16" t="str">
        <f aca="false">IF(E1531="","Unexplained Bank Item (fee/other - review)",IF(F1531="Yes","Matched","Payment Reference Not Found in AP Log"))</f>
        <v>Unexplained Bank Item (fee/other - review)</v>
      </c>
    </row>
    <row r="1532" customFormat="false" ht="15" hidden="false" customHeight="false" outlineLevel="0" collapsed="false">
      <c r="A1532" s="16" t="str">
        <f aca="false">Bank_Statement!A772</f>
        <v>BNK50771</v>
      </c>
      <c r="B1532" s="17" t="n">
        <f aca="false">Bank_Statement!B772</f>
        <v>45749</v>
      </c>
      <c r="C1532" s="18" t="n">
        <f aca="false">Bank_Statement!C772</f>
        <v>-393.48</v>
      </c>
      <c r="D1532" s="16" t="str">
        <f aca="false">Bank_Statement!D772</f>
        <v>FX Adjustment</v>
      </c>
      <c r="E1532" s="16" t="n">
        <f aca="false">Bank_Statement!E772</f>
        <v>0</v>
      </c>
      <c r="F1532" s="16" t="str">
        <f aca="false">IF(E1532="","N/A",IF(COUNTIF(Payment_Log_AP!$A$2:$A$753,E1532)&gt;0,"Yes","No"))</f>
        <v>N/A</v>
      </c>
      <c r="G1532" s="16" t="str">
        <f aca="false">IF(E1532="","Unexplained Bank Item (fee/other - review)",IF(F1532="Yes","Matched","Payment Reference Not Found in AP Log"))</f>
        <v>Unexplained Bank Item (fee/other - review)</v>
      </c>
    </row>
    <row r="1533" customFormat="false" ht="15" hidden="false" customHeight="false" outlineLevel="0" collapsed="false">
      <c r="A1533" s="16" t="str">
        <f aca="false">Bank_Statement!A773</f>
        <v>BNK50772</v>
      </c>
      <c r="B1533" s="17" t="n">
        <f aca="false">Bank_Statement!B773</f>
        <v>45936</v>
      </c>
      <c r="C1533" s="18" t="n">
        <f aca="false">Bank_Statement!C773</f>
        <v>-378.68</v>
      </c>
      <c r="D1533" s="16" t="str">
        <f aca="false">Bank_Statement!D773</f>
        <v>Bank Service Charge</v>
      </c>
      <c r="E1533" s="16" t="n">
        <f aca="false">Bank_Statement!E773</f>
        <v>0</v>
      </c>
      <c r="F1533" s="16" t="str">
        <f aca="false">IF(E1533="","N/A",IF(COUNTIF(Payment_Log_AP!$A$2:$A$753,E1533)&gt;0,"Yes","No"))</f>
        <v>N/A</v>
      </c>
      <c r="G1533" s="16" t="str">
        <f aca="false">IF(E1533="","Unexplained Bank Item (fee/other - review)",IF(F1533="Yes","Matched","Payment Reference Not Found in AP Log"))</f>
        <v>Unexplained Bank Item (fee/other - review)</v>
      </c>
    </row>
    <row r="1534" customFormat="false" ht="15" hidden="false" customHeight="false" outlineLevel="0" collapsed="false">
      <c r="A1534" s="16" t="str">
        <f aca="false">Bank_Statement!A774</f>
        <v>BNK50773</v>
      </c>
      <c r="B1534" s="17" t="n">
        <f aca="false">Bank_Statement!B774</f>
        <v>45720</v>
      </c>
      <c r="C1534" s="18" t="n">
        <f aca="false">Bank_Statement!C774</f>
        <v>-281.11</v>
      </c>
      <c r="D1534" s="16" t="str">
        <f aca="false">Bank_Statement!D774</f>
        <v>FX Adjustment</v>
      </c>
      <c r="E1534" s="16" t="n">
        <f aca="false">Bank_Statement!E774</f>
        <v>0</v>
      </c>
      <c r="F1534" s="16" t="str">
        <f aca="false">IF(E1534="","N/A",IF(COUNTIF(Payment_Log_AP!$A$2:$A$753,E1534)&gt;0,"Yes","No"))</f>
        <v>N/A</v>
      </c>
      <c r="G1534" s="16" t="str">
        <f aca="false">IF(E1534="","Unexplained Bank Item (fee/other - review)",IF(F1534="Yes","Matched","Payment Reference Not Found in AP Log"))</f>
        <v>Unexplained Bank Item (fee/other - review)</v>
      </c>
    </row>
    <row r="1535" customFormat="false" ht="15" hidden="false" customHeight="false" outlineLevel="0" collapsed="false">
      <c r="A1535" s="16" t="str">
        <f aca="false">Bank_Statement!A775</f>
        <v>BNK50774</v>
      </c>
      <c r="B1535" s="17" t="n">
        <f aca="false">Bank_Statement!B775</f>
        <v>45935</v>
      </c>
      <c r="C1535" s="18" t="n">
        <f aca="false">Bank_Statement!C775</f>
        <v>-466.91</v>
      </c>
      <c r="D1535" s="16" t="str">
        <f aca="false">Bank_Statement!D775</f>
        <v>Wire Transfer Fee</v>
      </c>
      <c r="E1535" s="16" t="n">
        <f aca="false">Bank_Statement!E775</f>
        <v>0</v>
      </c>
      <c r="F1535" s="16" t="str">
        <f aca="false">IF(E1535="","N/A",IF(COUNTIF(Payment_Log_AP!$A$2:$A$753,E1535)&gt;0,"Yes","No"))</f>
        <v>N/A</v>
      </c>
      <c r="G1535" s="16" t="str">
        <f aca="false">IF(E1535="","Unexplained Bank Item (fee/other - review)",IF(F1535="Yes","Matched","Payment Reference Not Found in AP Log"))</f>
        <v>Unexplained Bank Item (fee/other - review)</v>
      </c>
    </row>
    <row r="1536" customFormat="false" ht="15" hidden="false" customHeight="false" outlineLevel="0" collapsed="false">
      <c r="A1536" s="16" t="str">
        <f aca="false">Bank_Statement!A776</f>
        <v>BNK50775</v>
      </c>
      <c r="B1536" s="17" t="n">
        <f aca="false">Bank_Statement!B776</f>
        <v>46151</v>
      </c>
      <c r="C1536" s="18" t="n">
        <f aca="false">Bank_Statement!C776</f>
        <v>-430.67</v>
      </c>
      <c r="D1536" s="16" t="str">
        <f aca="false">Bank_Statement!D776</f>
        <v>FX Adjustment</v>
      </c>
      <c r="E1536" s="16" t="n">
        <f aca="false">Bank_Statement!E776</f>
        <v>0</v>
      </c>
      <c r="F1536" s="16" t="str">
        <f aca="false">IF(E1536="","N/A",IF(COUNTIF(Payment_Log_AP!$A$2:$A$753,E1536)&gt;0,"Yes","No"))</f>
        <v>N/A</v>
      </c>
      <c r="G1536" s="16" t="str">
        <f aca="false">IF(E1536="","Unexplained Bank Item (fee/other - review)",IF(F1536="Yes","Matched","Payment Reference Not Found in AP Log"))</f>
        <v>Unexplained Bank Item (fee/other - review)</v>
      </c>
    </row>
    <row r="1537" customFormat="false" ht="15" hidden="false" customHeight="false" outlineLevel="0" collapsed="false">
      <c r="A1537" s="16" t="str">
        <f aca="false">Bank_Statement!A777</f>
        <v>BNK50776</v>
      </c>
      <c r="B1537" s="17" t="n">
        <f aca="false">Bank_Statement!B777</f>
        <v>45848</v>
      </c>
      <c r="C1537" s="18" t="n">
        <f aca="false">Bank_Statement!C777</f>
        <v>-237.12</v>
      </c>
      <c r="D1537" s="16" t="str">
        <f aca="false">Bank_Statement!D777</f>
        <v>FX Adjustment</v>
      </c>
      <c r="E1537" s="16" t="n">
        <f aca="false">Bank_Statement!E777</f>
        <v>0</v>
      </c>
      <c r="F1537" s="16" t="str">
        <f aca="false">IF(E1537="","N/A",IF(COUNTIF(Payment_Log_AP!$A$2:$A$753,E1537)&gt;0,"Yes","No"))</f>
        <v>N/A</v>
      </c>
      <c r="G1537" s="16" t="str">
        <f aca="false">IF(E1537="","Unexplained Bank Item (fee/other - review)",IF(F1537="Yes","Matched","Payment Reference Not Found in AP Log"))</f>
        <v>Unexplained Bank Item (fee/other - review)</v>
      </c>
    </row>
    <row r="1538" customFormat="false" ht="15" hidden="false" customHeight="false" outlineLevel="0" collapsed="false">
      <c r="A1538" s="16" t="str">
        <f aca="false">Bank_Statement!A778</f>
        <v>BNK50777</v>
      </c>
      <c r="B1538" s="17" t="n">
        <f aca="false">Bank_Statement!B778</f>
        <v>46054</v>
      </c>
      <c r="C1538" s="18" t="n">
        <f aca="false">Bank_Statement!C778</f>
        <v>-362.42</v>
      </c>
      <c r="D1538" s="16" t="str">
        <f aca="false">Bank_Statement!D778</f>
        <v>FX Adjustment</v>
      </c>
      <c r="E1538" s="16" t="n">
        <f aca="false">Bank_Statement!E778</f>
        <v>0</v>
      </c>
      <c r="F1538" s="16" t="str">
        <f aca="false">IF(E1538="","N/A",IF(COUNTIF(Payment_Log_AP!$A$2:$A$753,E1538)&gt;0,"Yes","No"))</f>
        <v>N/A</v>
      </c>
      <c r="G1538" s="16" t="str">
        <f aca="false">IF(E1538="","Unexplained Bank Item (fee/other - review)",IF(F1538="Yes","Matched","Payment Reference Not Found in AP Log"))</f>
        <v>Unexplained Bank Item (fee/other - review)</v>
      </c>
    </row>
    <row r="1539" customFormat="false" ht="15" hidden="false" customHeight="false" outlineLevel="0" collapsed="false">
      <c r="A1539" s="16" t="str">
        <f aca="false">Bank_Statement!A779</f>
        <v>BNK50778</v>
      </c>
      <c r="B1539" s="17" t="n">
        <f aca="false">Bank_Statement!B779</f>
        <v>46104</v>
      </c>
      <c r="C1539" s="18" t="n">
        <f aca="false">Bank_Statement!C779</f>
        <v>-137.45</v>
      </c>
      <c r="D1539" s="16" t="str">
        <f aca="false">Bank_Statement!D779</f>
        <v>Wire Transfer Fee</v>
      </c>
      <c r="E1539" s="16" t="n">
        <f aca="false">Bank_Statement!E779</f>
        <v>0</v>
      </c>
      <c r="F1539" s="16" t="str">
        <f aca="false">IF(E1539="","N/A",IF(COUNTIF(Payment_Log_AP!$A$2:$A$753,E1539)&gt;0,"Yes","No"))</f>
        <v>N/A</v>
      </c>
      <c r="G1539" s="16" t="str">
        <f aca="false">IF(E1539="","Unexplained Bank Item (fee/other - review)",IF(F1539="Yes","Matched","Payment Reference Not Found in AP Log"))</f>
        <v>Unexplained Bank Item (fee/other - review)</v>
      </c>
    </row>
    <row r="1540" customFormat="false" ht="15" hidden="false" customHeight="false" outlineLevel="0" collapsed="false">
      <c r="A1540" s="16" t="str">
        <f aca="false">Bank_Statement!A780</f>
        <v>BNK50779</v>
      </c>
      <c r="B1540" s="17" t="n">
        <f aca="false">Bank_Statement!B780</f>
        <v>46102</v>
      </c>
      <c r="C1540" s="18" t="n">
        <f aca="false">Bank_Statement!C780</f>
        <v>-238.99</v>
      </c>
      <c r="D1540" s="16" t="str">
        <f aca="false">Bank_Statement!D780</f>
        <v>Bank Service Charge</v>
      </c>
      <c r="E1540" s="16" t="n">
        <f aca="false">Bank_Statement!E780</f>
        <v>0</v>
      </c>
      <c r="F1540" s="16" t="str">
        <f aca="false">IF(E1540="","N/A",IF(COUNTIF(Payment_Log_AP!$A$2:$A$753,E1540)&gt;0,"Yes","No"))</f>
        <v>N/A</v>
      </c>
      <c r="G1540" s="16" t="str">
        <f aca="false">IF(E1540="","Unexplained Bank Item (fee/other - review)",IF(F1540="Yes","Matched","Payment Reference Not Found in AP Log"))</f>
        <v>Unexplained Bank Item (fee/other - review)</v>
      </c>
    </row>
    <row r="1541" customFormat="false" ht="15" hidden="false" customHeight="false" outlineLevel="0" collapsed="false">
      <c r="A1541" s="16" t="str">
        <f aca="false">Bank_Statement!A781</f>
        <v>BNK50780</v>
      </c>
      <c r="B1541" s="17" t="n">
        <f aca="false">Bank_Statement!B781</f>
        <v>45786</v>
      </c>
      <c r="C1541" s="18" t="n">
        <f aca="false">Bank_Statement!C781</f>
        <v>-74.62</v>
      </c>
      <c r="D1541" s="16" t="str">
        <f aca="false">Bank_Statement!D781</f>
        <v>Bank Service Charge</v>
      </c>
      <c r="E1541" s="16" t="n">
        <f aca="false">Bank_Statement!E781</f>
        <v>0</v>
      </c>
      <c r="F1541" s="16" t="str">
        <f aca="false">IF(E1541="","N/A",IF(COUNTIF(Payment_Log_AP!$A$2:$A$753,E1541)&gt;0,"Yes","No"))</f>
        <v>N/A</v>
      </c>
      <c r="G1541" s="16" t="str">
        <f aca="false">IF(E1541="","Unexplained Bank Item (fee/other - review)",IF(F1541="Yes","Matched","Payment Reference Not Found in AP Log"))</f>
        <v>Unexplained Bank Item (fee/other - review)</v>
      </c>
    </row>
    <row r="1542" customFormat="false" ht="15" hidden="false" customHeight="false" outlineLevel="0" collapsed="false">
      <c r="A1542" s="16" t="str">
        <f aca="false">Bank_Statement!A782</f>
        <v>BNK50781</v>
      </c>
      <c r="B1542" s="17" t="n">
        <f aca="false">Bank_Statement!B782</f>
        <v>45737</v>
      </c>
      <c r="C1542" s="18" t="n">
        <f aca="false">Bank_Statement!C782</f>
        <v>-147.54</v>
      </c>
      <c r="D1542" s="16" t="str">
        <f aca="false">Bank_Statement!D782</f>
        <v>FX Adjustment</v>
      </c>
      <c r="E1542" s="16" t="n">
        <f aca="false">Bank_Statement!E782</f>
        <v>0</v>
      </c>
      <c r="F1542" s="16" t="str">
        <f aca="false">IF(E1542="","N/A",IF(COUNTIF(Payment_Log_AP!$A$2:$A$753,E1542)&gt;0,"Yes","No"))</f>
        <v>N/A</v>
      </c>
      <c r="G1542" s="16" t="str">
        <f aca="false">IF(E1542="","Unexplained Bank Item (fee/other - review)",IF(F1542="Yes","Matched","Payment Reference Not Found in AP Log"))</f>
        <v>Unexplained Bank Item (fee/other - review)</v>
      </c>
    </row>
    <row r="1543" customFormat="false" ht="15" hidden="false" customHeight="false" outlineLevel="0" collapsed="false">
      <c r="A1543" s="16" t="str">
        <f aca="false">Bank_Statement!A783</f>
        <v>BNK50782</v>
      </c>
      <c r="B1543" s="17" t="n">
        <f aca="false">Bank_Statement!B783</f>
        <v>45765</v>
      </c>
      <c r="C1543" s="18" t="n">
        <f aca="false">Bank_Statement!C783</f>
        <v>-475.97</v>
      </c>
      <c r="D1543" s="16" t="str">
        <f aca="false">Bank_Statement!D783</f>
        <v>Bank Service Charge</v>
      </c>
      <c r="E1543" s="16" t="n">
        <f aca="false">Bank_Statement!E783</f>
        <v>0</v>
      </c>
      <c r="F1543" s="16" t="str">
        <f aca="false">IF(E1543="","N/A",IF(COUNTIF(Payment_Log_AP!$A$2:$A$753,E1543)&gt;0,"Yes","No"))</f>
        <v>N/A</v>
      </c>
      <c r="G1543" s="16" t="str">
        <f aca="false">IF(E1543="","Unexplained Bank Item (fee/other - review)",IF(F1543="Yes","Matched","Payment Reference Not Found in AP Log"))</f>
        <v>Unexplained Bank Item (fee/other - review)</v>
      </c>
    </row>
  </sheetData>
  <autoFilter ref="A761:G15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K8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5547</v>
      </c>
    </row>
    <row r="2" customFormat="false" ht="15" hidden="false" customHeight="false" outlineLevel="0" collapsed="false">
      <c r="A2" s="2" t="s">
        <v>5548</v>
      </c>
    </row>
    <row r="4" customFormat="false" ht="27.75" hidden="false" customHeight="true" outlineLevel="0" collapsed="false">
      <c r="A4" s="7" t="s">
        <v>1953</v>
      </c>
      <c r="B4" s="7" t="s">
        <v>63</v>
      </c>
      <c r="C4" s="7" t="s">
        <v>64</v>
      </c>
      <c r="D4" s="7" t="s">
        <v>1954</v>
      </c>
      <c r="E4" s="7" t="s">
        <v>1956</v>
      </c>
      <c r="F4" s="7" t="s">
        <v>1955</v>
      </c>
      <c r="G4" s="7" t="s">
        <v>5549</v>
      </c>
      <c r="H4" s="7" t="s">
        <v>5550</v>
      </c>
      <c r="I4" s="7" t="s">
        <v>5551</v>
      </c>
      <c r="J4" s="7" t="s">
        <v>5552</v>
      </c>
      <c r="K4" s="7" t="s">
        <v>5546</v>
      </c>
    </row>
    <row r="5" customFormat="false" ht="15" hidden="false" customHeight="false" outlineLevel="0" collapsed="false">
      <c r="A5" s="16" t="str">
        <f aca="false">Vendor_Invoices_AP!A2</f>
        <v>INV30001</v>
      </c>
      <c r="B5" s="16" t="str">
        <f aca="false">Vendor_Invoices_AP!C2</f>
        <v>V1020</v>
      </c>
      <c r="C5" s="16" t="str">
        <f aca="false">IFERROR(INDEX(Vendor_Master!$B$2:$B$41,MATCH(B5,Vendor_Master!$A$2:$A$41,0)),"Unknown Vendor")</f>
        <v>Lewis-Porter</v>
      </c>
      <c r="D5" s="17" t="n">
        <f aca="false">Vendor_Invoices_AP!D2</f>
        <v>46109</v>
      </c>
      <c r="E5" s="17" t="n">
        <f aca="false">Vendor_Invoices_AP!F2</f>
        <v>46139</v>
      </c>
      <c r="F5" s="18" t="n">
        <f aca="false">Vendor_Invoices_AP!E2</f>
        <v>1417.41</v>
      </c>
      <c r="G5" s="18" t="n">
        <f aca="false">SUMIFS(Payment_Log_AP!$E$2:$E$753,Payment_Log_AP!$B$2:$B$753,A5)</f>
        <v>1417.41</v>
      </c>
      <c r="H5" s="18" t="n">
        <f aca="false">F5-G5</f>
        <v>0</v>
      </c>
      <c r="I5" s="16" t="n">
        <f aca="false">IF(H5&lt;=0.01,0,MAX(Assumptions!$B$5-E5,0))</f>
        <v>0</v>
      </c>
      <c r="J5" s="16" t="str">
        <f aca="false">IF(H5&lt;=0.01,"Paid",IF(I5&lt;=30,"0-30",IF(I5&lt;=60,"31-60",IF(I5&lt;=90,"61-90","90+"))))</f>
        <v>Paid</v>
      </c>
      <c r="K5" s="16" t="str">
        <f aca="false">IF(H5&lt;=0.01,"Paid",IF(G5&gt;0,"Partially Paid","Unpaid"))</f>
        <v>Paid</v>
      </c>
    </row>
    <row r="6" customFormat="false" ht="15" hidden="false" customHeight="false" outlineLevel="0" collapsed="false">
      <c r="A6" s="16" t="str">
        <f aca="false">Vendor_Invoices_AP!A3</f>
        <v>INV30002</v>
      </c>
      <c r="B6" s="16" t="str">
        <f aca="false">Vendor_Invoices_AP!C3</f>
        <v>V1034</v>
      </c>
      <c r="C6" s="16" t="str">
        <f aca="false">IFERROR(INDEX(Vendor_Master!$B$2:$B$41,MATCH(B6,Vendor_Master!$A$2:$A$41,0)),"Unknown Vendor")</f>
        <v>Koch-Decker</v>
      </c>
      <c r="D6" s="17" t="n">
        <f aca="false">Vendor_Invoices_AP!D3</f>
        <v>45803</v>
      </c>
      <c r="E6" s="17" t="n">
        <f aca="false">Vendor_Invoices_AP!F3</f>
        <v>45848</v>
      </c>
      <c r="F6" s="18" t="n">
        <f aca="false">Vendor_Invoices_AP!E3</f>
        <v>1749.66</v>
      </c>
      <c r="G6" s="18" t="n">
        <f aca="false">SUMIFS(Payment_Log_AP!$E$2:$E$753,Payment_Log_AP!$B$2:$B$753,A6)</f>
        <v>1749.66</v>
      </c>
      <c r="H6" s="18" t="n">
        <f aca="false">F6-G6</f>
        <v>0</v>
      </c>
      <c r="I6" s="16" t="n">
        <f aca="false">IF(H6&lt;=0.01,0,MAX(Assumptions!$B$5-E6,0))</f>
        <v>0</v>
      </c>
      <c r="J6" s="16" t="str">
        <f aca="false">IF(H6&lt;=0.01,"Paid",IF(I6&lt;=30,"0-30",IF(I6&lt;=60,"31-60",IF(I6&lt;=90,"61-90","90+"))))</f>
        <v>Paid</v>
      </c>
      <c r="K6" s="16" t="str">
        <f aca="false">IF(H6&lt;=0.01,"Paid",IF(G6&gt;0,"Partially Paid","Unpaid"))</f>
        <v>Paid</v>
      </c>
    </row>
    <row r="7" customFormat="false" ht="15" hidden="false" customHeight="false" outlineLevel="0" collapsed="false">
      <c r="A7" s="16" t="str">
        <f aca="false">Vendor_Invoices_AP!A4</f>
        <v>INV30003</v>
      </c>
      <c r="B7" s="16" t="str">
        <f aca="false">Vendor_Invoices_AP!C4</f>
        <v>V1014</v>
      </c>
      <c r="C7" s="16" t="str">
        <f aca="false">IFERROR(INDEX(Vendor_Master!$B$2:$B$41,MATCH(B7,Vendor_Master!$A$2:$A$41,0)),"Unknown Vendor")</f>
        <v>Flowers, Martin and Kelly</v>
      </c>
      <c r="D7" s="17" t="n">
        <f aca="false">Vendor_Invoices_AP!D4</f>
        <v>45676</v>
      </c>
      <c r="E7" s="17" t="n">
        <f aca="false">Vendor_Invoices_AP!F4</f>
        <v>45706</v>
      </c>
      <c r="F7" s="18" t="n">
        <f aca="false">Vendor_Invoices_AP!E4</f>
        <v>2691.35</v>
      </c>
      <c r="G7" s="18" t="n">
        <f aca="false">SUMIFS(Payment_Log_AP!$E$2:$E$753,Payment_Log_AP!$B$2:$B$753,A7)</f>
        <v>2691.35</v>
      </c>
      <c r="H7" s="18" t="n">
        <f aca="false">F7-G7</f>
        <v>0</v>
      </c>
      <c r="I7" s="16" t="n">
        <f aca="false">IF(H7&lt;=0.01,0,MAX(Assumptions!$B$5-E7,0))</f>
        <v>0</v>
      </c>
      <c r="J7" s="16" t="str">
        <f aca="false">IF(H7&lt;=0.01,"Paid",IF(I7&lt;=30,"0-30",IF(I7&lt;=60,"31-60",IF(I7&lt;=90,"61-90","90+"))))</f>
        <v>Paid</v>
      </c>
      <c r="K7" s="16" t="str">
        <f aca="false">IF(H7&lt;=0.01,"Paid",IF(G7&gt;0,"Partially Paid","Unpaid"))</f>
        <v>Paid</v>
      </c>
    </row>
    <row r="8" customFormat="false" ht="15" hidden="false" customHeight="false" outlineLevel="0" collapsed="false">
      <c r="A8" s="16" t="str">
        <f aca="false">Vendor_Invoices_AP!A5</f>
        <v>INV30004</v>
      </c>
      <c r="B8" s="16" t="str">
        <f aca="false">Vendor_Invoices_AP!C5</f>
        <v>V1040</v>
      </c>
      <c r="C8" s="16" t="str">
        <f aca="false">IFERROR(INDEX(Vendor_Master!$B$2:$B$41,MATCH(B8,Vendor_Master!$A$2:$A$41,0)),"Unknown Vendor")</f>
        <v>Santos, Kim and Holmes</v>
      </c>
      <c r="D8" s="17" t="n">
        <f aca="false">Vendor_Invoices_AP!D5</f>
        <v>45783</v>
      </c>
      <c r="E8" s="17" t="n">
        <f aca="false">Vendor_Invoices_AP!F5</f>
        <v>45798</v>
      </c>
      <c r="F8" s="18" t="n">
        <f aca="false">Vendor_Invoices_AP!E5</f>
        <v>889.24</v>
      </c>
      <c r="G8" s="18" t="n">
        <f aca="false">SUMIFS(Payment_Log_AP!$E$2:$E$753,Payment_Log_AP!$B$2:$B$753,A8)</f>
        <v>889.24</v>
      </c>
      <c r="H8" s="18" t="n">
        <f aca="false">F8-G8</f>
        <v>0</v>
      </c>
      <c r="I8" s="16" t="n">
        <f aca="false">IF(H8&lt;=0.01,0,MAX(Assumptions!$B$5-E8,0))</f>
        <v>0</v>
      </c>
      <c r="J8" s="16" t="str">
        <f aca="false">IF(H8&lt;=0.01,"Paid",IF(I8&lt;=30,"0-30",IF(I8&lt;=60,"31-60",IF(I8&lt;=90,"61-90","90+"))))</f>
        <v>Paid</v>
      </c>
      <c r="K8" s="16" t="str">
        <f aca="false">IF(H8&lt;=0.01,"Paid",IF(G8&gt;0,"Partially Paid","Unpaid"))</f>
        <v>Paid</v>
      </c>
    </row>
    <row r="9" customFormat="false" ht="15" hidden="false" customHeight="false" outlineLevel="0" collapsed="false">
      <c r="A9" s="16" t="str">
        <f aca="false">Vendor_Invoices_AP!A6</f>
        <v>INV30005</v>
      </c>
      <c r="B9" s="16" t="str">
        <f aca="false">Vendor_Invoices_AP!C6</f>
        <v>V1022</v>
      </c>
      <c r="C9" s="16" t="str">
        <f aca="false">IFERROR(INDEX(Vendor_Master!$B$2:$B$41,MATCH(B9,Vendor_Master!$A$2:$A$41,0)),"Unknown Vendor")</f>
        <v>Burgess-Patterson</v>
      </c>
      <c r="D9" s="17" t="n">
        <f aca="false">Vendor_Invoices_AP!D6</f>
        <v>45861</v>
      </c>
      <c r="E9" s="17" t="n">
        <f aca="false">Vendor_Invoices_AP!F6</f>
        <v>45891</v>
      </c>
      <c r="F9" s="18" t="n">
        <f aca="false">Vendor_Invoices_AP!E6</f>
        <v>3058.04</v>
      </c>
      <c r="G9" s="18" t="n">
        <f aca="false">SUMIFS(Payment_Log_AP!$E$2:$E$753,Payment_Log_AP!$B$2:$B$753,A9)</f>
        <v>3058.04</v>
      </c>
      <c r="H9" s="18" t="n">
        <f aca="false">F9-G9</f>
        <v>0</v>
      </c>
      <c r="I9" s="16" t="n">
        <f aca="false">IF(H9&lt;=0.01,0,MAX(Assumptions!$B$5-E9,0))</f>
        <v>0</v>
      </c>
      <c r="J9" s="16" t="str">
        <f aca="false">IF(H9&lt;=0.01,"Paid",IF(I9&lt;=30,"0-30",IF(I9&lt;=60,"31-60",IF(I9&lt;=90,"61-90","90+"))))</f>
        <v>Paid</v>
      </c>
      <c r="K9" s="16" t="str">
        <f aca="false">IF(H9&lt;=0.01,"Paid",IF(G9&gt;0,"Partially Paid","Unpaid"))</f>
        <v>Paid</v>
      </c>
    </row>
    <row r="10" customFormat="false" ht="15" hidden="false" customHeight="false" outlineLevel="0" collapsed="false">
      <c r="A10" s="16" t="str">
        <f aca="false">Vendor_Invoices_AP!A7</f>
        <v>INV30006</v>
      </c>
      <c r="B10" s="16" t="str">
        <f aca="false">Vendor_Invoices_AP!C7</f>
        <v>V1040</v>
      </c>
      <c r="C10" s="16" t="str">
        <f aca="false">IFERROR(INDEX(Vendor_Master!$B$2:$B$41,MATCH(B10,Vendor_Master!$A$2:$A$41,0)),"Unknown Vendor")</f>
        <v>Santos, Kim and Holmes</v>
      </c>
      <c r="D10" s="17" t="n">
        <f aca="false">Vendor_Invoices_AP!D7</f>
        <v>46132</v>
      </c>
      <c r="E10" s="17" t="n">
        <f aca="false">Vendor_Invoices_AP!F7</f>
        <v>46147</v>
      </c>
      <c r="F10" s="18" t="n">
        <f aca="false">Vendor_Invoices_AP!E7</f>
        <v>1359.77</v>
      </c>
      <c r="G10" s="18" t="n">
        <f aca="false">SUMIFS(Payment_Log_AP!$E$2:$E$753,Payment_Log_AP!$B$2:$B$753,A10)</f>
        <v>1359.77</v>
      </c>
      <c r="H10" s="18" t="n">
        <f aca="false">F10-G10</f>
        <v>0</v>
      </c>
      <c r="I10" s="16" t="n">
        <f aca="false">IF(H10&lt;=0.01,0,MAX(Assumptions!$B$5-E10,0))</f>
        <v>0</v>
      </c>
      <c r="J10" s="16" t="str">
        <f aca="false">IF(H10&lt;=0.01,"Paid",IF(I10&lt;=30,"0-30",IF(I10&lt;=60,"31-60",IF(I10&lt;=90,"61-90","90+"))))</f>
        <v>Paid</v>
      </c>
      <c r="K10" s="16" t="str">
        <f aca="false">IF(H10&lt;=0.01,"Paid",IF(G10&gt;0,"Partially Paid","Unpaid"))</f>
        <v>Paid</v>
      </c>
    </row>
    <row r="11" customFormat="false" ht="15" hidden="false" customHeight="false" outlineLevel="0" collapsed="false">
      <c r="A11" s="16" t="str">
        <f aca="false">Vendor_Invoices_AP!A8</f>
        <v>INV30007</v>
      </c>
      <c r="B11" s="16" t="str">
        <f aca="false">Vendor_Invoices_AP!C8</f>
        <v>V1040</v>
      </c>
      <c r="C11" s="16" t="str">
        <f aca="false">IFERROR(INDEX(Vendor_Master!$B$2:$B$41,MATCH(B11,Vendor_Master!$A$2:$A$41,0)),"Unknown Vendor")</f>
        <v>Santos, Kim and Holmes</v>
      </c>
      <c r="D11" s="17" t="n">
        <f aca="false">Vendor_Invoices_AP!D8</f>
        <v>46188</v>
      </c>
      <c r="E11" s="17" t="n">
        <f aca="false">Vendor_Invoices_AP!F8</f>
        <v>46203</v>
      </c>
      <c r="F11" s="18" t="n">
        <f aca="false">Vendor_Invoices_AP!E8</f>
        <v>3708.39</v>
      </c>
      <c r="G11" s="18" t="n">
        <f aca="false">SUMIFS(Payment_Log_AP!$E$2:$E$753,Payment_Log_AP!$B$2:$B$753,A11)</f>
        <v>3708.39</v>
      </c>
      <c r="H11" s="18" t="n">
        <f aca="false">F11-G11</f>
        <v>0</v>
      </c>
      <c r="I11" s="16" t="n">
        <f aca="false">IF(H11&lt;=0.01,0,MAX(Assumptions!$B$5-E11,0))</f>
        <v>0</v>
      </c>
      <c r="J11" s="16" t="str">
        <f aca="false">IF(H11&lt;=0.01,"Paid",IF(I11&lt;=30,"0-30",IF(I11&lt;=60,"31-60",IF(I11&lt;=90,"61-90","90+"))))</f>
        <v>Paid</v>
      </c>
      <c r="K11" s="16" t="str">
        <f aca="false">IF(H11&lt;=0.01,"Paid",IF(G11&gt;0,"Partially Paid","Unpaid"))</f>
        <v>Paid</v>
      </c>
    </row>
    <row r="12" customFormat="false" ht="15" hidden="false" customHeight="false" outlineLevel="0" collapsed="false">
      <c r="A12" s="16" t="str">
        <f aca="false">Vendor_Invoices_AP!A9</f>
        <v>INV30008</v>
      </c>
      <c r="B12" s="16" t="str">
        <f aca="false">Vendor_Invoices_AP!C9</f>
        <v>V1015</v>
      </c>
      <c r="C12" s="16" t="str">
        <f aca="false">IFERROR(INDEX(Vendor_Master!$B$2:$B$41,MATCH(B12,Vendor_Master!$A$2:$A$41,0)),"Unknown Vendor")</f>
        <v>Zuniga, Wong and Lynch</v>
      </c>
      <c r="D12" s="17" t="n">
        <f aca="false">Vendor_Invoices_AP!D9</f>
        <v>45833</v>
      </c>
      <c r="E12" s="17" t="n">
        <f aca="false">Vendor_Invoices_AP!F9</f>
        <v>45863</v>
      </c>
      <c r="F12" s="18" t="n">
        <f aca="false">Vendor_Invoices_AP!E9</f>
        <v>6081.19</v>
      </c>
      <c r="G12" s="18" t="n">
        <f aca="false">SUMIFS(Payment_Log_AP!$E$2:$E$753,Payment_Log_AP!$B$2:$B$753,A12)</f>
        <v>6081.19</v>
      </c>
      <c r="H12" s="18" t="n">
        <f aca="false">F12-G12</f>
        <v>0</v>
      </c>
      <c r="I12" s="16" t="n">
        <f aca="false">IF(H12&lt;=0.01,0,MAX(Assumptions!$B$5-E12,0))</f>
        <v>0</v>
      </c>
      <c r="J12" s="16" t="str">
        <f aca="false">IF(H12&lt;=0.01,"Paid",IF(I12&lt;=30,"0-30",IF(I12&lt;=60,"31-60",IF(I12&lt;=90,"61-90","90+"))))</f>
        <v>Paid</v>
      </c>
      <c r="K12" s="16" t="str">
        <f aca="false">IF(H12&lt;=0.01,"Paid",IF(G12&gt;0,"Partially Paid","Unpaid"))</f>
        <v>Paid</v>
      </c>
    </row>
    <row r="13" customFormat="false" ht="15" hidden="false" customHeight="false" outlineLevel="0" collapsed="false">
      <c r="A13" s="16" t="str">
        <f aca="false">Vendor_Invoices_AP!A10</f>
        <v>INV30009</v>
      </c>
      <c r="B13" s="16" t="str">
        <f aca="false">Vendor_Invoices_AP!C10</f>
        <v>V1018</v>
      </c>
      <c r="C13" s="16" t="str">
        <f aca="false">IFERROR(INDEX(Vendor_Master!$B$2:$B$41,MATCH(B13,Vendor_Master!$A$2:$A$41,0)),"Unknown Vendor")</f>
        <v>Underwood LLC</v>
      </c>
      <c r="D13" s="17" t="n">
        <f aca="false">Vendor_Invoices_AP!D10</f>
        <v>46020</v>
      </c>
      <c r="E13" s="17" t="n">
        <f aca="false">Vendor_Invoices_AP!F10</f>
        <v>46050</v>
      </c>
      <c r="F13" s="18" t="n">
        <f aca="false">Vendor_Invoices_AP!E10</f>
        <v>6038.81</v>
      </c>
      <c r="G13" s="18" t="n">
        <f aca="false">SUMIFS(Payment_Log_AP!$E$2:$E$753,Payment_Log_AP!$B$2:$B$753,A13)</f>
        <v>0</v>
      </c>
      <c r="H13" s="18" t="n">
        <f aca="false">F13-G13</f>
        <v>6038.81</v>
      </c>
      <c r="I13" s="16" t="n">
        <f aca="false">IF(H13&lt;=0.01,0,MAX(Assumptions!$B$5-E13,0))</f>
        <v>184</v>
      </c>
      <c r="J13" s="16" t="str">
        <f aca="false">IF(H13&lt;=0.01,"Paid",IF(I13&lt;=30,"0-30",IF(I13&lt;=60,"31-60",IF(I13&lt;=90,"61-90","90+"))))</f>
        <v>90+</v>
      </c>
      <c r="K13" s="16" t="str">
        <f aca="false">IF(H13&lt;=0.01,"Paid",IF(G13&gt;0,"Partially Paid","Unpaid"))</f>
        <v>Unpaid</v>
      </c>
    </row>
    <row r="14" customFormat="false" ht="15" hidden="false" customHeight="false" outlineLevel="0" collapsed="false">
      <c r="A14" s="16" t="str">
        <f aca="false">Vendor_Invoices_AP!A11</f>
        <v>INV30010</v>
      </c>
      <c r="B14" s="16" t="str">
        <f aca="false">Vendor_Invoices_AP!C11</f>
        <v>V1005</v>
      </c>
      <c r="C14" s="16" t="str">
        <f aca="false">IFERROR(INDEX(Vendor_Master!$B$2:$B$41,MATCH(B14,Vendor_Master!$A$2:$A$41,0)),"Unknown Vendor")</f>
        <v>Cole LLC</v>
      </c>
      <c r="D14" s="17" t="n">
        <f aca="false">Vendor_Invoices_AP!D11</f>
        <v>45878</v>
      </c>
      <c r="E14" s="17" t="n">
        <f aca="false">Vendor_Invoices_AP!F11</f>
        <v>45893</v>
      </c>
      <c r="F14" s="18" t="n">
        <f aca="false">Vendor_Invoices_AP!E11</f>
        <v>1466.07</v>
      </c>
      <c r="G14" s="18" t="n">
        <f aca="false">SUMIFS(Payment_Log_AP!$E$2:$E$753,Payment_Log_AP!$B$2:$B$753,A14)</f>
        <v>1466.07</v>
      </c>
      <c r="H14" s="18" t="n">
        <f aca="false">F14-G14</f>
        <v>0</v>
      </c>
      <c r="I14" s="16" t="n">
        <f aca="false">IF(H14&lt;=0.01,0,MAX(Assumptions!$B$5-E14,0))</f>
        <v>0</v>
      </c>
      <c r="J14" s="16" t="str">
        <f aca="false">IF(H14&lt;=0.01,"Paid",IF(I14&lt;=30,"0-30",IF(I14&lt;=60,"31-60",IF(I14&lt;=90,"61-90","90+"))))</f>
        <v>Paid</v>
      </c>
      <c r="K14" s="16" t="str">
        <f aca="false">IF(H14&lt;=0.01,"Paid",IF(G14&gt;0,"Partially Paid","Unpaid"))</f>
        <v>Paid</v>
      </c>
    </row>
    <row r="15" customFormat="false" ht="15" hidden="false" customHeight="false" outlineLevel="0" collapsed="false">
      <c r="A15" s="16" t="str">
        <f aca="false">Vendor_Invoices_AP!A12</f>
        <v>INV30011</v>
      </c>
      <c r="B15" s="16" t="str">
        <f aca="false">Vendor_Invoices_AP!C12</f>
        <v>V1024</v>
      </c>
      <c r="C15" s="16" t="str">
        <f aca="false">IFERROR(INDEX(Vendor_Master!$B$2:$B$41,MATCH(B15,Vendor_Master!$A$2:$A$41,0)),"Unknown Vendor")</f>
        <v>Campos Inc</v>
      </c>
      <c r="D15" s="17" t="n">
        <f aca="false">Vendor_Invoices_AP!D12</f>
        <v>46210</v>
      </c>
      <c r="E15" s="17" t="n">
        <f aca="false">Vendor_Invoices_AP!F12</f>
        <v>46270</v>
      </c>
      <c r="F15" s="18" t="n">
        <f aca="false">Vendor_Invoices_AP!E12</f>
        <v>760.24</v>
      </c>
      <c r="G15" s="18" t="n">
        <f aca="false">SUMIFS(Payment_Log_AP!$E$2:$E$753,Payment_Log_AP!$B$2:$B$753,A15)</f>
        <v>0</v>
      </c>
      <c r="H15" s="18" t="n">
        <f aca="false">F15-G15</f>
        <v>760.24</v>
      </c>
      <c r="I15" s="16" t="n">
        <f aca="false">IF(H15&lt;=0.01,0,MAX(Assumptions!$B$5-E15,0))</f>
        <v>0</v>
      </c>
      <c r="J15" s="16" t="str">
        <f aca="false">IF(H15&lt;=0.01,"Paid",IF(I15&lt;=30,"0-30",IF(I15&lt;=60,"31-60",IF(I15&lt;=90,"61-90","90+"))))</f>
        <v>0-30</v>
      </c>
      <c r="K15" s="16" t="str">
        <f aca="false">IF(H15&lt;=0.01,"Paid",IF(G15&gt;0,"Partially Paid","Unpaid"))</f>
        <v>Unpaid</v>
      </c>
    </row>
    <row r="16" customFormat="false" ht="15" hidden="false" customHeight="false" outlineLevel="0" collapsed="false">
      <c r="A16" s="16" t="str">
        <f aca="false">Vendor_Invoices_AP!A13</f>
        <v>INV30012</v>
      </c>
      <c r="B16" s="16" t="str">
        <f aca="false">Vendor_Invoices_AP!C13</f>
        <v>V1035</v>
      </c>
      <c r="C16" s="16" t="str">
        <f aca="false">IFERROR(INDEX(Vendor_Master!$B$2:$B$41,MATCH(B16,Vendor_Master!$A$2:$A$41,0)),"Unknown Vendor")</f>
        <v>Allen PLC</v>
      </c>
      <c r="D16" s="17" t="n">
        <f aca="false">Vendor_Invoices_AP!D13</f>
        <v>45975</v>
      </c>
      <c r="E16" s="17" t="n">
        <f aca="false">Vendor_Invoices_AP!F13</f>
        <v>45990</v>
      </c>
      <c r="F16" s="18" t="n">
        <f aca="false">Vendor_Invoices_AP!E13</f>
        <v>15002.72</v>
      </c>
      <c r="G16" s="18" t="n">
        <f aca="false">SUMIFS(Payment_Log_AP!$E$2:$E$753,Payment_Log_AP!$B$2:$B$753,A16)</f>
        <v>15002.72</v>
      </c>
      <c r="H16" s="18" t="n">
        <f aca="false">F16-G16</f>
        <v>0</v>
      </c>
      <c r="I16" s="16" t="n">
        <f aca="false">IF(H16&lt;=0.01,0,MAX(Assumptions!$B$5-E16,0))</f>
        <v>0</v>
      </c>
      <c r="J16" s="16" t="str">
        <f aca="false">IF(H16&lt;=0.01,"Paid",IF(I16&lt;=30,"0-30",IF(I16&lt;=60,"31-60",IF(I16&lt;=90,"61-90","90+"))))</f>
        <v>Paid</v>
      </c>
      <c r="K16" s="16" t="str">
        <f aca="false">IF(H16&lt;=0.01,"Paid",IF(G16&gt;0,"Partially Paid","Unpaid"))</f>
        <v>Paid</v>
      </c>
    </row>
    <row r="17" customFormat="false" ht="15" hidden="false" customHeight="false" outlineLevel="0" collapsed="false">
      <c r="A17" s="16" t="str">
        <f aca="false">Vendor_Invoices_AP!A14</f>
        <v>INV30013</v>
      </c>
      <c r="B17" s="16" t="str">
        <f aca="false">Vendor_Invoices_AP!C14</f>
        <v>V1016</v>
      </c>
      <c r="C17" s="16" t="str">
        <f aca="false">IFERROR(INDEX(Vendor_Master!$B$2:$B$41,MATCH(B17,Vendor_Master!$A$2:$A$41,0)),"Unknown Vendor")</f>
        <v>Sanchez, Ford and Nelson</v>
      </c>
      <c r="D17" s="17" t="n">
        <f aca="false">Vendor_Invoices_AP!D14</f>
        <v>46176</v>
      </c>
      <c r="E17" s="17" t="n">
        <f aca="false">Vendor_Invoices_AP!F14</f>
        <v>46206</v>
      </c>
      <c r="F17" s="18" t="n">
        <f aca="false">Vendor_Invoices_AP!E14</f>
        <v>911.91</v>
      </c>
      <c r="G17" s="18" t="n">
        <f aca="false">SUMIFS(Payment_Log_AP!$E$2:$E$753,Payment_Log_AP!$B$2:$B$753,A17)</f>
        <v>911.91</v>
      </c>
      <c r="H17" s="18" t="n">
        <f aca="false">F17-G17</f>
        <v>0</v>
      </c>
      <c r="I17" s="16" t="n">
        <f aca="false">IF(H17&lt;=0.01,0,MAX(Assumptions!$B$5-E17,0))</f>
        <v>0</v>
      </c>
      <c r="J17" s="16" t="str">
        <f aca="false">IF(H17&lt;=0.01,"Paid",IF(I17&lt;=30,"0-30",IF(I17&lt;=60,"31-60",IF(I17&lt;=90,"61-90","90+"))))</f>
        <v>Paid</v>
      </c>
      <c r="K17" s="16" t="str">
        <f aca="false">IF(H17&lt;=0.01,"Paid",IF(G17&gt;0,"Partially Paid","Unpaid"))</f>
        <v>Paid</v>
      </c>
    </row>
    <row r="18" customFormat="false" ht="15" hidden="false" customHeight="false" outlineLevel="0" collapsed="false">
      <c r="A18" s="16" t="str">
        <f aca="false">Vendor_Invoices_AP!A15</f>
        <v>INV30014</v>
      </c>
      <c r="B18" s="16" t="str">
        <f aca="false">Vendor_Invoices_AP!C15</f>
        <v>V1002</v>
      </c>
      <c r="C18" s="16" t="str">
        <f aca="false">IFERROR(INDEX(Vendor_Master!$B$2:$B$41,MATCH(B18,Vendor_Master!$A$2:$A$41,0)),"Unknown Vendor")</f>
        <v>Garcia, Yang and Gardner</v>
      </c>
      <c r="D18" s="17" t="n">
        <f aca="false">Vendor_Invoices_AP!D15</f>
        <v>45740</v>
      </c>
      <c r="E18" s="17" t="n">
        <f aca="false">Vendor_Invoices_AP!F15</f>
        <v>45755</v>
      </c>
      <c r="F18" s="18" t="n">
        <f aca="false">Vendor_Invoices_AP!E15</f>
        <v>1222.88</v>
      </c>
      <c r="G18" s="18" t="n">
        <f aca="false">SUMIFS(Payment_Log_AP!$E$2:$E$753,Payment_Log_AP!$B$2:$B$753,A18)</f>
        <v>1222.88</v>
      </c>
      <c r="H18" s="18" t="n">
        <f aca="false">F18-G18</f>
        <v>0</v>
      </c>
      <c r="I18" s="16" t="n">
        <f aca="false">IF(H18&lt;=0.01,0,MAX(Assumptions!$B$5-E18,0))</f>
        <v>0</v>
      </c>
      <c r="J18" s="16" t="str">
        <f aca="false">IF(H18&lt;=0.01,"Paid",IF(I18&lt;=30,"0-30",IF(I18&lt;=60,"31-60",IF(I18&lt;=90,"61-90","90+"))))</f>
        <v>Paid</v>
      </c>
      <c r="K18" s="16" t="str">
        <f aca="false">IF(H18&lt;=0.01,"Paid",IF(G18&gt;0,"Partially Paid","Unpaid"))</f>
        <v>Paid</v>
      </c>
    </row>
    <row r="19" customFormat="false" ht="15" hidden="false" customHeight="false" outlineLevel="0" collapsed="false">
      <c r="A19" s="16" t="str">
        <f aca="false">Vendor_Invoices_AP!A16</f>
        <v>INV30015</v>
      </c>
      <c r="B19" s="16" t="str">
        <f aca="false">Vendor_Invoices_AP!C16</f>
        <v>V1017</v>
      </c>
      <c r="C19" s="16" t="str">
        <f aca="false">IFERROR(INDEX(Vendor_Master!$B$2:$B$41,MATCH(B19,Vendor_Master!$A$2:$A$41,0)),"Unknown Vendor")</f>
        <v>Hawkins, Cohen and Cameron</v>
      </c>
      <c r="D19" s="17" t="n">
        <f aca="false">Vendor_Invoices_AP!D16</f>
        <v>46204</v>
      </c>
      <c r="E19" s="17" t="n">
        <f aca="false">Vendor_Invoices_AP!F16</f>
        <v>46249</v>
      </c>
      <c r="F19" s="18" t="n">
        <f aca="false">Vendor_Invoices_AP!E16</f>
        <v>3344.32</v>
      </c>
      <c r="G19" s="18" t="n">
        <f aca="false">SUMIFS(Payment_Log_AP!$E$2:$E$753,Payment_Log_AP!$B$2:$B$753,A19)</f>
        <v>0</v>
      </c>
      <c r="H19" s="18" t="n">
        <f aca="false">F19-G19</f>
        <v>3344.32</v>
      </c>
      <c r="I19" s="16" t="n">
        <f aca="false">IF(H19&lt;=0.01,0,MAX(Assumptions!$B$5-E19,0))</f>
        <v>0</v>
      </c>
      <c r="J19" s="16" t="str">
        <f aca="false">IF(H19&lt;=0.01,"Paid",IF(I19&lt;=30,"0-30",IF(I19&lt;=60,"31-60",IF(I19&lt;=90,"61-90","90+"))))</f>
        <v>0-30</v>
      </c>
      <c r="K19" s="16" t="str">
        <f aca="false">IF(H19&lt;=0.01,"Paid",IF(G19&gt;0,"Partially Paid","Unpaid"))</f>
        <v>Unpaid</v>
      </c>
    </row>
    <row r="20" customFormat="false" ht="15" hidden="false" customHeight="false" outlineLevel="0" collapsed="false">
      <c r="A20" s="16" t="str">
        <f aca="false">Vendor_Invoices_AP!A17</f>
        <v>INV30016</v>
      </c>
      <c r="B20" s="16" t="str">
        <f aca="false">Vendor_Invoices_AP!C17</f>
        <v>V1026</v>
      </c>
      <c r="C20" s="16" t="str">
        <f aca="false">IFERROR(INDEX(Vendor_Master!$B$2:$B$41,MATCH(B20,Vendor_Master!$A$2:$A$41,0)),"Unknown Vendor")</f>
        <v>James-Ferrell</v>
      </c>
      <c r="D20" s="17" t="n">
        <f aca="false">Vendor_Invoices_AP!D17</f>
        <v>45764</v>
      </c>
      <c r="E20" s="17" t="n">
        <f aca="false">Vendor_Invoices_AP!F17</f>
        <v>45824</v>
      </c>
      <c r="F20" s="18" t="n">
        <f aca="false">Vendor_Invoices_AP!E17</f>
        <v>4721.09</v>
      </c>
      <c r="G20" s="18" t="n">
        <f aca="false">SUMIFS(Payment_Log_AP!$E$2:$E$753,Payment_Log_AP!$B$2:$B$753,A20)</f>
        <v>4721.09</v>
      </c>
      <c r="H20" s="18" t="n">
        <f aca="false">F20-G20</f>
        <v>0</v>
      </c>
      <c r="I20" s="16" t="n">
        <f aca="false">IF(H20&lt;=0.01,0,MAX(Assumptions!$B$5-E20,0))</f>
        <v>0</v>
      </c>
      <c r="J20" s="16" t="str">
        <f aca="false">IF(H20&lt;=0.01,"Paid",IF(I20&lt;=30,"0-30",IF(I20&lt;=60,"31-60",IF(I20&lt;=90,"61-90","90+"))))</f>
        <v>Paid</v>
      </c>
      <c r="K20" s="16" t="str">
        <f aca="false">IF(H20&lt;=0.01,"Paid",IF(G20&gt;0,"Partially Paid","Unpaid"))</f>
        <v>Paid</v>
      </c>
    </row>
    <row r="21" customFormat="false" ht="15" hidden="false" customHeight="false" outlineLevel="0" collapsed="false">
      <c r="A21" s="16" t="str">
        <f aca="false">Vendor_Invoices_AP!A18</f>
        <v>INV30017</v>
      </c>
      <c r="B21" s="16" t="str">
        <f aca="false">Vendor_Invoices_AP!C18</f>
        <v>V1024</v>
      </c>
      <c r="C21" s="16" t="str">
        <f aca="false">IFERROR(INDEX(Vendor_Master!$B$2:$B$41,MATCH(B21,Vendor_Master!$A$2:$A$41,0)),"Unknown Vendor")</f>
        <v>Campos Inc</v>
      </c>
      <c r="D21" s="17" t="n">
        <f aca="false">Vendor_Invoices_AP!D18</f>
        <v>46195</v>
      </c>
      <c r="E21" s="17" t="n">
        <f aca="false">Vendor_Invoices_AP!F18</f>
        <v>46255</v>
      </c>
      <c r="F21" s="18" t="n">
        <f aca="false">Vendor_Invoices_AP!E18</f>
        <v>5629.98</v>
      </c>
      <c r="G21" s="18" t="n">
        <f aca="false">SUMIFS(Payment_Log_AP!$E$2:$E$753,Payment_Log_AP!$B$2:$B$753,A21)</f>
        <v>0</v>
      </c>
      <c r="H21" s="18" t="n">
        <f aca="false">F21-G21</f>
        <v>5629.98</v>
      </c>
      <c r="I21" s="16" t="n">
        <f aca="false">IF(H21&lt;=0.01,0,MAX(Assumptions!$B$5-E21,0))</f>
        <v>0</v>
      </c>
      <c r="J21" s="16" t="str">
        <f aca="false">IF(H21&lt;=0.01,"Paid",IF(I21&lt;=30,"0-30",IF(I21&lt;=60,"31-60",IF(I21&lt;=90,"61-90","90+"))))</f>
        <v>0-30</v>
      </c>
      <c r="K21" s="16" t="str">
        <f aca="false">IF(H21&lt;=0.01,"Paid",IF(G21&gt;0,"Partially Paid","Unpaid"))</f>
        <v>Unpaid</v>
      </c>
    </row>
    <row r="22" customFormat="false" ht="15" hidden="false" customHeight="false" outlineLevel="0" collapsed="false">
      <c r="A22" s="16" t="str">
        <f aca="false">Vendor_Invoices_AP!A19</f>
        <v>INV30018</v>
      </c>
      <c r="B22" s="16" t="str">
        <f aca="false">Vendor_Invoices_AP!C19</f>
        <v>V1004</v>
      </c>
      <c r="C22" s="16" t="str">
        <f aca="false">IFERROR(INDEX(Vendor_Master!$B$2:$B$41,MATCH(B22,Vendor_Master!$A$2:$A$41,0)),"Unknown Vendor")</f>
        <v>Johnson, Gonzalez and Santos</v>
      </c>
      <c r="D22" s="17" t="n">
        <f aca="false">Vendor_Invoices_AP!D19</f>
        <v>45823</v>
      </c>
      <c r="E22" s="17" t="n">
        <f aca="false">Vendor_Invoices_AP!F19</f>
        <v>45838</v>
      </c>
      <c r="F22" s="18" t="n">
        <f aca="false">Vendor_Invoices_AP!E19</f>
        <v>302.18</v>
      </c>
      <c r="G22" s="18" t="n">
        <f aca="false">SUMIFS(Payment_Log_AP!$E$2:$E$753,Payment_Log_AP!$B$2:$B$753,A22)</f>
        <v>302.18</v>
      </c>
      <c r="H22" s="18" t="n">
        <f aca="false">F22-G22</f>
        <v>0</v>
      </c>
      <c r="I22" s="16" t="n">
        <f aca="false">IF(H22&lt;=0.01,0,MAX(Assumptions!$B$5-E22,0))</f>
        <v>0</v>
      </c>
      <c r="J22" s="16" t="str">
        <f aca="false">IF(H22&lt;=0.01,"Paid",IF(I22&lt;=30,"0-30",IF(I22&lt;=60,"31-60",IF(I22&lt;=90,"61-90","90+"))))</f>
        <v>Paid</v>
      </c>
      <c r="K22" s="16" t="str">
        <f aca="false">IF(H22&lt;=0.01,"Paid",IF(G22&gt;0,"Partially Paid","Unpaid"))</f>
        <v>Paid</v>
      </c>
    </row>
    <row r="23" customFormat="false" ht="15" hidden="false" customHeight="false" outlineLevel="0" collapsed="false">
      <c r="A23" s="16" t="str">
        <f aca="false">Vendor_Invoices_AP!A20</f>
        <v>INV30019</v>
      </c>
      <c r="B23" s="16" t="str">
        <f aca="false">Vendor_Invoices_AP!C20</f>
        <v>V1024</v>
      </c>
      <c r="C23" s="16" t="str">
        <f aca="false">IFERROR(INDEX(Vendor_Master!$B$2:$B$41,MATCH(B23,Vendor_Master!$A$2:$A$41,0)),"Unknown Vendor")</f>
        <v>Campos Inc</v>
      </c>
      <c r="D23" s="17" t="n">
        <f aca="false">Vendor_Invoices_AP!D20</f>
        <v>45726</v>
      </c>
      <c r="E23" s="17" t="n">
        <f aca="false">Vendor_Invoices_AP!F20</f>
        <v>45786</v>
      </c>
      <c r="F23" s="18" t="n">
        <f aca="false">Vendor_Invoices_AP!E20</f>
        <v>2051.54</v>
      </c>
      <c r="G23" s="18" t="n">
        <f aca="false">SUMIFS(Payment_Log_AP!$E$2:$E$753,Payment_Log_AP!$B$2:$B$753,A23)</f>
        <v>2051.54</v>
      </c>
      <c r="H23" s="18" t="n">
        <f aca="false">F23-G23</f>
        <v>0</v>
      </c>
      <c r="I23" s="16" t="n">
        <f aca="false">IF(H23&lt;=0.01,0,MAX(Assumptions!$B$5-E23,0))</f>
        <v>0</v>
      </c>
      <c r="J23" s="16" t="str">
        <f aca="false">IF(H23&lt;=0.01,"Paid",IF(I23&lt;=30,"0-30",IF(I23&lt;=60,"31-60",IF(I23&lt;=90,"61-90","90+"))))</f>
        <v>Paid</v>
      </c>
      <c r="K23" s="16" t="str">
        <f aca="false">IF(H23&lt;=0.01,"Paid",IF(G23&gt;0,"Partially Paid","Unpaid"))</f>
        <v>Paid</v>
      </c>
    </row>
    <row r="24" customFormat="false" ht="15" hidden="false" customHeight="false" outlineLevel="0" collapsed="false">
      <c r="A24" s="16" t="str">
        <f aca="false">Vendor_Invoices_AP!A21</f>
        <v>INV30020</v>
      </c>
      <c r="B24" s="16" t="str">
        <f aca="false">Vendor_Invoices_AP!C21</f>
        <v>V1028</v>
      </c>
      <c r="C24" s="16" t="str">
        <f aca="false">IFERROR(INDEX(Vendor_Master!$B$2:$B$41,MATCH(B24,Vendor_Master!$A$2:$A$41,0)),"Unknown Vendor")</f>
        <v>Potter, Mack and Peterson</v>
      </c>
      <c r="D24" s="17" t="n">
        <f aca="false">Vendor_Invoices_AP!D21</f>
        <v>45902</v>
      </c>
      <c r="E24" s="17" t="n">
        <f aca="false">Vendor_Invoices_AP!F21</f>
        <v>45947</v>
      </c>
      <c r="F24" s="18" t="n">
        <f aca="false">Vendor_Invoices_AP!E21</f>
        <v>9960.57</v>
      </c>
      <c r="G24" s="18" t="n">
        <f aca="false">SUMIFS(Payment_Log_AP!$E$2:$E$753,Payment_Log_AP!$B$2:$B$753,A24)</f>
        <v>9960.57</v>
      </c>
      <c r="H24" s="18" t="n">
        <f aca="false">F24-G24</f>
        <v>0</v>
      </c>
      <c r="I24" s="16" t="n">
        <f aca="false">IF(H24&lt;=0.01,0,MAX(Assumptions!$B$5-E24,0))</f>
        <v>0</v>
      </c>
      <c r="J24" s="16" t="str">
        <f aca="false">IF(H24&lt;=0.01,"Paid",IF(I24&lt;=30,"0-30",IF(I24&lt;=60,"31-60",IF(I24&lt;=90,"61-90","90+"))))</f>
        <v>Paid</v>
      </c>
      <c r="K24" s="16" t="str">
        <f aca="false">IF(H24&lt;=0.01,"Paid",IF(G24&gt;0,"Partially Paid","Unpaid"))</f>
        <v>Paid</v>
      </c>
    </row>
    <row r="25" customFormat="false" ht="15" hidden="false" customHeight="false" outlineLevel="0" collapsed="false">
      <c r="A25" s="16" t="str">
        <f aca="false">Vendor_Invoices_AP!A22</f>
        <v>INV30021</v>
      </c>
      <c r="B25" s="16" t="str">
        <f aca="false">Vendor_Invoices_AP!C22</f>
        <v>V1018</v>
      </c>
      <c r="C25" s="16" t="str">
        <f aca="false">IFERROR(INDEX(Vendor_Master!$B$2:$B$41,MATCH(B25,Vendor_Master!$A$2:$A$41,0)),"Unknown Vendor")</f>
        <v>Underwood LLC</v>
      </c>
      <c r="D25" s="17" t="n">
        <f aca="false">Vendor_Invoices_AP!D22</f>
        <v>46076</v>
      </c>
      <c r="E25" s="17" t="n">
        <f aca="false">Vendor_Invoices_AP!F22</f>
        <v>46106</v>
      </c>
      <c r="F25" s="18" t="n">
        <f aca="false">Vendor_Invoices_AP!E22</f>
        <v>15696.57</v>
      </c>
      <c r="G25" s="18" t="n">
        <f aca="false">SUMIFS(Payment_Log_AP!$E$2:$E$753,Payment_Log_AP!$B$2:$B$753,A25)</f>
        <v>15696.57</v>
      </c>
      <c r="H25" s="18" t="n">
        <f aca="false">F25-G25</f>
        <v>0</v>
      </c>
      <c r="I25" s="16" t="n">
        <f aca="false">IF(H25&lt;=0.01,0,MAX(Assumptions!$B$5-E25,0))</f>
        <v>0</v>
      </c>
      <c r="J25" s="16" t="str">
        <f aca="false">IF(H25&lt;=0.01,"Paid",IF(I25&lt;=30,"0-30",IF(I25&lt;=60,"31-60",IF(I25&lt;=90,"61-90","90+"))))</f>
        <v>Paid</v>
      </c>
      <c r="K25" s="16" t="str">
        <f aca="false">IF(H25&lt;=0.01,"Paid",IF(G25&gt;0,"Partially Paid","Unpaid"))</f>
        <v>Paid</v>
      </c>
    </row>
    <row r="26" customFormat="false" ht="15" hidden="false" customHeight="false" outlineLevel="0" collapsed="false">
      <c r="A26" s="16" t="str">
        <f aca="false">Vendor_Invoices_AP!A23</f>
        <v>INV30022</v>
      </c>
      <c r="B26" s="16" t="str">
        <f aca="false">Vendor_Invoices_AP!C23</f>
        <v>V1016</v>
      </c>
      <c r="C26" s="16" t="str">
        <f aca="false">IFERROR(INDEX(Vendor_Master!$B$2:$B$41,MATCH(B26,Vendor_Master!$A$2:$A$41,0)),"Unknown Vendor")</f>
        <v>Sanchez, Ford and Nelson</v>
      </c>
      <c r="D26" s="17" t="n">
        <f aca="false">Vendor_Invoices_AP!D23</f>
        <v>45837</v>
      </c>
      <c r="E26" s="17" t="n">
        <f aca="false">Vendor_Invoices_AP!F23</f>
        <v>45867</v>
      </c>
      <c r="F26" s="18" t="n">
        <f aca="false">Vendor_Invoices_AP!E23</f>
        <v>1879.55</v>
      </c>
      <c r="G26" s="18" t="n">
        <f aca="false">SUMIFS(Payment_Log_AP!$E$2:$E$753,Payment_Log_AP!$B$2:$B$753,A26)</f>
        <v>1879.55</v>
      </c>
      <c r="H26" s="18" t="n">
        <f aca="false">F26-G26</f>
        <v>0</v>
      </c>
      <c r="I26" s="16" t="n">
        <f aca="false">IF(H26&lt;=0.01,0,MAX(Assumptions!$B$5-E26,0))</f>
        <v>0</v>
      </c>
      <c r="J26" s="16" t="str">
        <f aca="false">IF(H26&lt;=0.01,"Paid",IF(I26&lt;=30,"0-30",IF(I26&lt;=60,"31-60",IF(I26&lt;=90,"61-90","90+"))))</f>
        <v>Paid</v>
      </c>
      <c r="K26" s="16" t="str">
        <f aca="false">IF(H26&lt;=0.01,"Paid",IF(G26&gt;0,"Partially Paid","Unpaid"))</f>
        <v>Paid</v>
      </c>
    </row>
    <row r="27" customFormat="false" ht="15" hidden="false" customHeight="false" outlineLevel="0" collapsed="false">
      <c r="A27" s="16" t="str">
        <f aca="false">Vendor_Invoices_AP!A24</f>
        <v>INV30023</v>
      </c>
      <c r="B27" s="16" t="str">
        <f aca="false">Vendor_Invoices_AP!C24</f>
        <v>V1027</v>
      </c>
      <c r="C27" s="16" t="str">
        <f aca="false">IFERROR(INDEX(Vendor_Master!$B$2:$B$41,MATCH(B27,Vendor_Master!$A$2:$A$41,0)),"Unknown Vendor")</f>
        <v>Valencia, Smith and Le</v>
      </c>
      <c r="D27" s="17" t="n">
        <f aca="false">Vendor_Invoices_AP!D24</f>
        <v>45993</v>
      </c>
      <c r="E27" s="17" t="n">
        <f aca="false">Vendor_Invoices_AP!F24</f>
        <v>46038</v>
      </c>
      <c r="F27" s="18" t="n">
        <f aca="false">Vendor_Invoices_AP!E24</f>
        <v>883.86</v>
      </c>
      <c r="G27" s="18" t="n">
        <f aca="false">SUMIFS(Payment_Log_AP!$E$2:$E$753,Payment_Log_AP!$B$2:$B$753,A27)</f>
        <v>883.86</v>
      </c>
      <c r="H27" s="18" t="n">
        <f aca="false">F27-G27</f>
        <v>0</v>
      </c>
      <c r="I27" s="16" t="n">
        <f aca="false">IF(H27&lt;=0.01,0,MAX(Assumptions!$B$5-E27,0))</f>
        <v>0</v>
      </c>
      <c r="J27" s="16" t="str">
        <f aca="false">IF(H27&lt;=0.01,"Paid",IF(I27&lt;=30,"0-30",IF(I27&lt;=60,"31-60",IF(I27&lt;=90,"61-90","90+"))))</f>
        <v>Paid</v>
      </c>
      <c r="K27" s="16" t="str">
        <f aca="false">IF(H27&lt;=0.01,"Paid",IF(G27&gt;0,"Partially Paid","Unpaid"))</f>
        <v>Paid</v>
      </c>
    </row>
    <row r="28" customFormat="false" ht="15" hidden="false" customHeight="false" outlineLevel="0" collapsed="false">
      <c r="A28" s="16" t="str">
        <f aca="false">Vendor_Invoices_AP!A25</f>
        <v>INV30024</v>
      </c>
      <c r="B28" s="16" t="str">
        <f aca="false">Vendor_Invoices_AP!C25</f>
        <v>V1007</v>
      </c>
      <c r="C28" s="16" t="str">
        <f aca="false">IFERROR(INDEX(Vendor_Master!$B$2:$B$41,MATCH(B28,Vendor_Master!$A$2:$A$41,0)),"Unknown Vendor")</f>
        <v>Ramirez-Lewis</v>
      </c>
      <c r="D28" s="17" t="n">
        <f aca="false">Vendor_Invoices_AP!D25</f>
        <v>45944</v>
      </c>
      <c r="E28" s="17" t="n">
        <f aca="false">Vendor_Invoices_AP!F25</f>
        <v>45959</v>
      </c>
      <c r="F28" s="18" t="n">
        <f aca="false">Vendor_Invoices_AP!E25</f>
        <v>1058.03</v>
      </c>
      <c r="G28" s="18" t="n">
        <f aca="false">SUMIFS(Payment_Log_AP!$E$2:$E$753,Payment_Log_AP!$B$2:$B$753,A28)</f>
        <v>1058.03</v>
      </c>
      <c r="H28" s="18" t="n">
        <f aca="false">F28-G28</f>
        <v>0</v>
      </c>
      <c r="I28" s="16" t="n">
        <f aca="false">IF(H28&lt;=0.01,0,MAX(Assumptions!$B$5-E28,0))</f>
        <v>0</v>
      </c>
      <c r="J28" s="16" t="str">
        <f aca="false">IF(H28&lt;=0.01,"Paid",IF(I28&lt;=30,"0-30",IF(I28&lt;=60,"31-60",IF(I28&lt;=90,"61-90","90+"))))</f>
        <v>Paid</v>
      </c>
      <c r="K28" s="16" t="str">
        <f aca="false">IF(H28&lt;=0.01,"Paid",IF(G28&gt;0,"Partially Paid","Unpaid"))</f>
        <v>Paid</v>
      </c>
    </row>
    <row r="29" customFormat="false" ht="15" hidden="false" customHeight="false" outlineLevel="0" collapsed="false">
      <c r="A29" s="16" t="str">
        <f aca="false">Vendor_Invoices_AP!A26</f>
        <v>INV30025</v>
      </c>
      <c r="B29" s="16" t="str">
        <f aca="false">Vendor_Invoices_AP!C26</f>
        <v>V1039</v>
      </c>
      <c r="C29" s="16" t="str">
        <f aca="false">IFERROR(INDEX(Vendor_Master!$B$2:$B$41,MATCH(B29,Vendor_Master!$A$2:$A$41,0)),"Unknown Vendor")</f>
        <v>Campos, Vaughn and Marquez</v>
      </c>
      <c r="D29" s="17" t="n">
        <f aca="false">Vendor_Invoices_AP!D26</f>
        <v>45882</v>
      </c>
      <c r="E29" s="17" t="n">
        <f aca="false">Vendor_Invoices_AP!F26</f>
        <v>45912</v>
      </c>
      <c r="F29" s="18" t="n">
        <f aca="false">Vendor_Invoices_AP!E26</f>
        <v>2265.24</v>
      </c>
      <c r="G29" s="18" t="n">
        <f aca="false">SUMIFS(Payment_Log_AP!$E$2:$E$753,Payment_Log_AP!$B$2:$B$753,A29)</f>
        <v>2265.24</v>
      </c>
      <c r="H29" s="18" t="n">
        <f aca="false">F29-G29</f>
        <v>0</v>
      </c>
      <c r="I29" s="16" t="n">
        <f aca="false">IF(H29&lt;=0.01,0,MAX(Assumptions!$B$5-E29,0))</f>
        <v>0</v>
      </c>
      <c r="J29" s="16" t="str">
        <f aca="false">IF(H29&lt;=0.01,"Paid",IF(I29&lt;=30,"0-30",IF(I29&lt;=60,"31-60",IF(I29&lt;=90,"61-90","90+"))))</f>
        <v>Paid</v>
      </c>
      <c r="K29" s="16" t="str">
        <f aca="false">IF(H29&lt;=0.01,"Paid",IF(G29&gt;0,"Partially Paid","Unpaid"))</f>
        <v>Paid</v>
      </c>
    </row>
    <row r="30" customFormat="false" ht="15" hidden="false" customHeight="false" outlineLevel="0" collapsed="false">
      <c r="A30" s="16" t="str">
        <f aca="false">Vendor_Invoices_AP!A27</f>
        <v>INV30026</v>
      </c>
      <c r="B30" s="16" t="str">
        <f aca="false">Vendor_Invoices_AP!C27</f>
        <v>V1027</v>
      </c>
      <c r="C30" s="16" t="str">
        <f aca="false">IFERROR(INDEX(Vendor_Master!$B$2:$B$41,MATCH(B30,Vendor_Master!$A$2:$A$41,0)),"Unknown Vendor")</f>
        <v>Valencia, Smith and Le</v>
      </c>
      <c r="D30" s="17" t="n">
        <f aca="false">Vendor_Invoices_AP!D27</f>
        <v>45979</v>
      </c>
      <c r="E30" s="17" t="n">
        <f aca="false">Vendor_Invoices_AP!F27</f>
        <v>46024</v>
      </c>
      <c r="F30" s="18" t="n">
        <f aca="false">Vendor_Invoices_AP!E27</f>
        <v>1994.87</v>
      </c>
      <c r="G30" s="18" t="n">
        <f aca="false">SUMIFS(Payment_Log_AP!$E$2:$E$753,Payment_Log_AP!$B$2:$B$753,A30)</f>
        <v>1994.87</v>
      </c>
      <c r="H30" s="18" t="n">
        <f aca="false">F30-G30</f>
        <v>0</v>
      </c>
      <c r="I30" s="16" t="n">
        <f aca="false">IF(H30&lt;=0.01,0,MAX(Assumptions!$B$5-E30,0))</f>
        <v>0</v>
      </c>
      <c r="J30" s="16" t="str">
        <f aca="false">IF(H30&lt;=0.01,"Paid",IF(I30&lt;=30,"0-30",IF(I30&lt;=60,"31-60",IF(I30&lt;=90,"61-90","90+"))))</f>
        <v>Paid</v>
      </c>
      <c r="K30" s="16" t="str">
        <f aca="false">IF(H30&lt;=0.01,"Paid",IF(G30&gt;0,"Partially Paid","Unpaid"))</f>
        <v>Paid</v>
      </c>
    </row>
    <row r="31" customFormat="false" ht="15" hidden="false" customHeight="false" outlineLevel="0" collapsed="false">
      <c r="A31" s="16" t="str">
        <f aca="false">Vendor_Invoices_AP!A28</f>
        <v>INV30027</v>
      </c>
      <c r="B31" s="16" t="str">
        <f aca="false">Vendor_Invoices_AP!C28</f>
        <v>V1017</v>
      </c>
      <c r="C31" s="16" t="str">
        <f aca="false">IFERROR(INDEX(Vendor_Master!$B$2:$B$41,MATCH(B31,Vendor_Master!$A$2:$A$41,0)),"Unknown Vendor")</f>
        <v>Hawkins, Cohen and Cameron</v>
      </c>
      <c r="D31" s="17" t="n">
        <f aca="false">Vendor_Invoices_AP!D28</f>
        <v>45816</v>
      </c>
      <c r="E31" s="17" t="n">
        <f aca="false">Vendor_Invoices_AP!F28</f>
        <v>45861</v>
      </c>
      <c r="F31" s="18" t="n">
        <f aca="false">Vendor_Invoices_AP!E28</f>
        <v>1863.09</v>
      </c>
      <c r="G31" s="18" t="n">
        <f aca="false">SUMIFS(Payment_Log_AP!$E$2:$E$753,Payment_Log_AP!$B$2:$B$753,A31)</f>
        <v>1863.09</v>
      </c>
      <c r="H31" s="18" t="n">
        <f aca="false">F31-G31</f>
        <v>0</v>
      </c>
      <c r="I31" s="16" t="n">
        <f aca="false">IF(H31&lt;=0.01,0,MAX(Assumptions!$B$5-E31,0))</f>
        <v>0</v>
      </c>
      <c r="J31" s="16" t="str">
        <f aca="false">IF(H31&lt;=0.01,"Paid",IF(I31&lt;=30,"0-30",IF(I31&lt;=60,"31-60",IF(I31&lt;=90,"61-90","90+"))))</f>
        <v>Paid</v>
      </c>
      <c r="K31" s="16" t="str">
        <f aca="false">IF(H31&lt;=0.01,"Paid",IF(G31&gt;0,"Partially Paid","Unpaid"))</f>
        <v>Paid</v>
      </c>
    </row>
    <row r="32" customFormat="false" ht="15" hidden="false" customHeight="false" outlineLevel="0" collapsed="false">
      <c r="A32" s="16" t="str">
        <f aca="false">Vendor_Invoices_AP!A29</f>
        <v>INV30028</v>
      </c>
      <c r="B32" s="16" t="str">
        <f aca="false">Vendor_Invoices_AP!C29</f>
        <v>V1009</v>
      </c>
      <c r="C32" s="16" t="str">
        <f aca="false">IFERROR(INDEX(Vendor_Master!$B$2:$B$41,MATCH(B32,Vendor_Master!$A$2:$A$41,0)),"Unknown Vendor")</f>
        <v>Munoz-Roman</v>
      </c>
      <c r="D32" s="17" t="n">
        <f aca="false">Vendor_Invoices_AP!D29</f>
        <v>46051</v>
      </c>
      <c r="E32" s="17" t="n">
        <f aca="false">Vendor_Invoices_AP!F29</f>
        <v>46081</v>
      </c>
      <c r="F32" s="18" t="n">
        <f aca="false">Vendor_Invoices_AP!E29</f>
        <v>1558.36</v>
      </c>
      <c r="G32" s="18" t="n">
        <f aca="false">SUMIFS(Payment_Log_AP!$E$2:$E$753,Payment_Log_AP!$B$2:$B$753,A32)</f>
        <v>1558.36</v>
      </c>
      <c r="H32" s="18" t="n">
        <f aca="false">F32-G32</f>
        <v>0</v>
      </c>
      <c r="I32" s="16" t="n">
        <f aca="false">IF(H32&lt;=0.01,0,MAX(Assumptions!$B$5-E32,0))</f>
        <v>0</v>
      </c>
      <c r="J32" s="16" t="str">
        <f aca="false">IF(H32&lt;=0.01,"Paid",IF(I32&lt;=30,"0-30",IF(I32&lt;=60,"31-60",IF(I32&lt;=90,"61-90","90+"))))</f>
        <v>Paid</v>
      </c>
      <c r="K32" s="16" t="str">
        <f aca="false">IF(H32&lt;=0.01,"Paid",IF(G32&gt;0,"Partially Paid","Unpaid"))</f>
        <v>Paid</v>
      </c>
    </row>
    <row r="33" customFormat="false" ht="15" hidden="false" customHeight="false" outlineLevel="0" collapsed="false">
      <c r="A33" s="16" t="str">
        <f aca="false">Vendor_Invoices_AP!A30</f>
        <v>INV30029</v>
      </c>
      <c r="B33" s="16" t="str">
        <f aca="false">Vendor_Invoices_AP!C30</f>
        <v>V1013</v>
      </c>
      <c r="C33" s="16" t="str">
        <f aca="false">IFERROR(INDEX(Vendor_Master!$B$2:$B$41,MATCH(B33,Vendor_Master!$A$2:$A$41,0)),"Unknown Vendor")</f>
        <v>Delacruz Group</v>
      </c>
      <c r="D33" s="17" t="n">
        <f aca="false">Vendor_Invoices_AP!D30</f>
        <v>45678</v>
      </c>
      <c r="E33" s="17" t="n">
        <f aca="false">Vendor_Invoices_AP!F30</f>
        <v>45693</v>
      </c>
      <c r="F33" s="18" t="n">
        <f aca="false">Vendor_Invoices_AP!E30</f>
        <v>1249.67</v>
      </c>
      <c r="G33" s="18" t="n">
        <f aca="false">SUMIFS(Payment_Log_AP!$E$2:$E$753,Payment_Log_AP!$B$2:$B$753,A33)</f>
        <v>1249.67</v>
      </c>
      <c r="H33" s="18" t="n">
        <f aca="false">F33-G33</f>
        <v>0</v>
      </c>
      <c r="I33" s="16" t="n">
        <f aca="false">IF(H33&lt;=0.01,0,MAX(Assumptions!$B$5-E33,0))</f>
        <v>0</v>
      </c>
      <c r="J33" s="16" t="str">
        <f aca="false">IF(H33&lt;=0.01,"Paid",IF(I33&lt;=30,"0-30",IF(I33&lt;=60,"31-60",IF(I33&lt;=90,"61-90","90+"))))</f>
        <v>Paid</v>
      </c>
      <c r="K33" s="16" t="str">
        <f aca="false">IF(H33&lt;=0.01,"Paid",IF(G33&gt;0,"Partially Paid","Unpaid"))</f>
        <v>Paid</v>
      </c>
    </row>
    <row r="34" customFormat="false" ht="15" hidden="false" customHeight="false" outlineLevel="0" collapsed="false">
      <c r="A34" s="16" t="str">
        <f aca="false">Vendor_Invoices_AP!A31</f>
        <v>INV30030</v>
      </c>
      <c r="B34" s="16" t="str">
        <f aca="false">Vendor_Invoices_AP!C31</f>
        <v>V1037</v>
      </c>
      <c r="C34" s="16" t="str">
        <f aca="false">IFERROR(INDEX(Vendor_Master!$B$2:$B$41,MATCH(B34,Vendor_Master!$A$2:$A$41,0)),"Unknown Vendor")</f>
        <v>Cannon, Anderson and Alvarez</v>
      </c>
      <c r="D34" s="17" t="n">
        <f aca="false">Vendor_Invoices_AP!D31</f>
        <v>46187</v>
      </c>
      <c r="E34" s="17" t="n">
        <f aca="false">Vendor_Invoices_AP!F31</f>
        <v>46217</v>
      </c>
      <c r="F34" s="18" t="n">
        <f aca="false">Vendor_Invoices_AP!E31</f>
        <v>11338.1</v>
      </c>
      <c r="G34" s="18" t="n">
        <f aca="false">SUMIFS(Payment_Log_AP!$E$2:$E$753,Payment_Log_AP!$B$2:$B$753,A34)</f>
        <v>0</v>
      </c>
      <c r="H34" s="18" t="n">
        <f aca="false">F34-G34</f>
        <v>11338.1</v>
      </c>
      <c r="I34" s="16" t="n">
        <f aca="false">IF(H34&lt;=0.01,0,MAX(Assumptions!$B$5-E34,0))</f>
        <v>17</v>
      </c>
      <c r="J34" s="16" t="str">
        <f aca="false">IF(H34&lt;=0.01,"Paid",IF(I34&lt;=30,"0-30",IF(I34&lt;=60,"31-60",IF(I34&lt;=90,"61-90","90+"))))</f>
        <v>0-30</v>
      </c>
      <c r="K34" s="16" t="str">
        <f aca="false">IF(H34&lt;=0.01,"Paid",IF(G34&gt;0,"Partially Paid","Unpaid"))</f>
        <v>Unpaid</v>
      </c>
    </row>
    <row r="35" customFormat="false" ht="15" hidden="false" customHeight="false" outlineLevel="0" collapsed="false">
      <c r="A35" s="16" t="str">
        <f aca="false">Vendor_Invoices_AP!A32</f>
        <v>INV30031</v>
      </c>
      <c r="B35" s="16" t="str">
        <f aca="false">Vendor_Invoices_AP!C32</f>
        <v>V1016</v>
      </c>
      <c r="C35" s="16" t="str">
        <f aca="false">IFERROR(INDEX(Vendor_Master!$B$2:$B$41,MATCH(B35,Vendor_Master!$A$2:$A$41,0)),"Unknown Vendor")</f>
        <v>Sanchez, Ford and Nelson</v>
      </c>
      <c r="D35" s="17" t="n">
        <f aca="false">Vendor_Invoices_AP!D32</f>
        <v>45955</v>
      </c>
      <c r="E35" s="17" t="n">
        <f aca="false">Vendor_Invoices_AP!F32</f>
        <v>45985</v>
      </c>
      <c r="F35" s="18" t="n">
        <f aca="false">Vendor_Invoices_AP!E32</f>
        <v>877.47</v>
      </c>
      <c r="G35" s="18" t="n">
        <f aca="false">SUMIFS(Payment_Log_AP!$E$2:$E$753,Payment_Log_AP!$B$2:$B$753,A35)</f>
        <v>877.47</v>
      </c>
      <c r="H35" s="18" t="n">
        <f aca="false">F35-G35</f>
        <v>0</v>
      </c>
      <c r="I35" s="16" t="n">
        <f aca="false">IF(H35&lt;=0.01,0,MAX(Assumptions!$B$5-E35,0))</f>
        <v>0</v>
      </c>
      <c r="J35" s="16" t="str">
        <f aca="false">IF(H35&lt;=0.01,"Paid",IF(I35&lt;=30,"0-30",IF(I35&lt;=60,"31-60",IF(I35&lt;=90,"61-90","90+"))))</f>
        <v>Paid</v>
      </c>
      <c r="K35" s="16" t="str">
        <f aca="false">IF(H35&lt;=0.01,"Paid",IF(G35&gt;0,"Partially Paid","Unpaid"))</f>
        <v>Paid</v>
      </c>
    </row>
    <row r="36" customFormat="false" ht="15" hidden="false" customHeight="false" outlineLevel="0" collapsed="false">
      <c r="A36" s="16" t="str">
        <f aca="false">Vendor_Invoices_AP!A33</f>
        <v>INV30032</v>
      </c>
      <c r="B36" s="16" t="str">
        <f aca="false">Vendor_Invoices_AP!C33</f>
        <v>V1017</v>
      </c>
      <c r="C36" s="16" t="str">
        <f aca="false">IFERROR(INDEX(Vendor_Master!$B$2:$B$41,MATCH(B36,Vendor_Master!$A$2:$A$41,0)),"Unknown Vendor")</f>
        <v>Hawkins, Cohen and Cameron</v>
      </c>
      <c r="D36" s="17" t="n">
        <f aca="false">Vendor_Invoices_AP!D33</f>
        <v>46067</v>
      </c>
      <c r="E36" s="17" t="n">
        <f aca="false">Vendor_Invoices_AP!F33</f>
        <v>46112</v>
      </c>
      <c r="F36" s="18" t="n">
        <f aca="false">Vendor_Invoices_AP!E33</f>
        <v>644.78</v>
      </c>
      <c r="G36" s="18" t="n">
        <f aca="false">SUMIFS(Payment_Log_AP!$E$2:$E$753,Payment_Log_AP!$B$2:$B$753,A36)</f>
        <v>644.78</v>
      </c>
      <c r="H36" s="18" t="n">
        <f aca="false">F36-G36</f>
        <v>0</v>
      </c>
      <c r="I36" s="16" t="n">
        <f aca="false">IF(H36&lt;=0.01,0,MAX(Assumptions!$B$5-E36,0))</f>
        <v>0</v>
      </c>
      <c r="J36" s="16" t="str">
        <f aca="false">IF(H36&lt;=0.01,"Paid",IF(I36&lt;=30,"0-30",IF(I36&lt;=60,"31-60",IF(I36&lt;=90,"61-90","90+"))))</f>
        <v>Paid</v>
      </c>
      <c r="K36" s="16" t="str">
        <f aca="false">IF(H36&lt;=0.01,"Paid",IF(G36&gt;0,"Partially Paid","Unpaid"))</f>
        <v>Paid</v>
      </c>
    </row>
    <row r="37" customFormat="false" ht="15" hidden="false" customHeight="false" outlineLevel="0" collapsed="false">
      <c r="A37" s="16" t="str">
        <f aca="false">Vendor_Invoices_AP!A34</f>
        <v>INV30033</v>
      </c>
      <c r="B37" s="16" t="str">
        <f aca="false">Vendor_Invoices_AP!C34</f>
        <v>V1040</v>
      </c>
      <c r="C37" s="16" t="str">
        <f aca="false">IFERROR(INDEX(Vendor_Master!$B$2:$B$41,MATCH(B37,Vendor_Master!$A$2:$A$41,0)),"Unknown Vendor")</f>
        <v>Santos, Kim and Holmes</v>
      </c>
      <c r="D37" s="17" t="n">
        <f aca="false">Vendor_Invoices_AP!D34</f>
        <v>46077</v>
      </c>
      <c r="E37" s="17" t="n">
        <f aca="false">Vendor_Invoices_AP!F34</f>
        <v>46092</v>
      </c>
      <c r="F37" s="18" t="n">
        <f aca="false">Vendor_Invoices_AP!E34</f>
        <v>10749.2</v>
      </c>
      <c r="G37" s="18" t="n">
        <f aca="false">SUMIFS(Payment_Log_AP!$E$2:$E$753,Payment_Log_AP!$B$2:$B$753,A37)</f>
        <v>10749.2</v>
      </c>
      <c r="H37" s="18" t="n">
        <f aca="false">F37-G37</f>
        <v>0</v>
      </c>
      <c r="I37" s="16" t="n">
        <f aca="false">IF(H37&lt;=0.01,0,MAX(Assumptions!$B$5-E37,0))</f>
        <v>0</v>
      </c>
      <c r="J37" s="16" t="str">
        <f aca="false">IF(H37&lt;=0.01,"Paid",IF(I37&lt;=30,"0-30",IF(I37&lt;=60,"31-60",IF(I37&lt;=90,"61-90","90+"))))</f>
        <v>Paid</v>
      </c>
      <c r="K37" s="16" t="str">
        <f aca="false">IF(H37&lt;=0.01,"Paid",IF(G37&gt;0,"Partially Paid","Unpaid"))</f>
        <v>Paid</v>
      </c>
    </row>
    <row r="38" customFormat="false" ht="15" hidden="false" customHeight="false" outlineLevel="0" collapsed="false">
      <c r="A38" s="16" t="str">
        <f aca="false">Vendor_Invoices_AP!A35</f>
        <v>INV30034</v>
      </c>
      <c r="B38" s="16" t="str">
        <f aca="false">Vendor_Invoices_AP!C35</f>
        <v>V1018</v>
      </c>
      <c r="C38" s="16" t="str">
        <f aca="false">IFERROR(INDEX(Vendor_Master!$B$2:$B$41,MATCH(B38,Vendor_Master!$A$2:$A$41,0)),"Unknown Vendor")</f>
        <v>Underwood LLC</v>
      </c>
      <c r="D38" s="17" t="n">
        <f aca="false">Vendor_Invoices_AP!D35</f>
        <v>46030</v>
      </c>
      <c r="E38" s="17" t="n">
        <f aca="false">Vendor_Invoices_AP!F35</f>
        <v>46060</v>
      </c>
      <c r="F38" s="18" t="n">
        <f aca="false">Vendor_Invoices_AP!E35</f>
        <v>10173.53</v>
      </c>
      <c r="G38" s="18" t="n">
        <f aca="false">SUMIFS(Payment_Log_AP!$E$2:$E$753,Payment_Log_AP!$B$2:$B$753,A38)</f>
        <v>10173.53</v>
      </c>
      <c r="H38" s="18" t="n">
        <f aca="false">F38-G38</f>
        <v>0</v>
      </c>
      <c r="I38" s="16" t="n">
        <f aca="false">IF(H38&lt;=0.01,0,MAX(Assumptions!$B$5-E38,0))</f>
        <v>0</v>
      </c>
      <c r="J38" s="16" t="str">
        <f aca="false">IF(H38&lt;=0.01,"Paid",IF(I38&lt;=30,"0-30",IF(I38&lt;=60,"31-60",IF(I38&lt;=90,"61-90","90+"))))</f>
        <v>Paid</v>
      </c>
      <c r="K38" s="16" t="str">
        <f aca="false">IF(H38&lt;=0.01,"Paid",IF(G38&gt;0,"Partially Paid","Unpaid"))</f>
        <v>Paid</v>
      </c>
    </row>
    <row r="39" customFormat="false" ht="15" hidden="false" customHeight="false" outlineLevel="0" collapsed="false">
      <c r="A39" s="16" t="str">
        <f aca="false">Vendor_Invoices_AP!A36</f>
        <v>INV30035</v>
      </c>
      <c r="B39" s="16" t="str">
        <f aca="false">Vendor_Invoices_AP!C36</f>
        <v>V1023</v>
      </c>
      <c r="C39" s="16" t="str">
        <f aca="false">IFERROR(INDEX(Vendor_Master!$B$2:$B$41,MATCH(B39,Vendor_Master!$A$2:$A$41,0)),"Unknown Vendor")</f>
        <v>Robinson-Bright</v>
      </c>
      <c r="D39" s="17" t="n">
        <f aca="false">Vendor_Invoices_AP!D36</f>
        <v>45863</v>
      </c>
      <c r="E39" s="17" t="n">
        <f aca="false">Vendor_Invoices_AP!F36</f>
        <v>45893</v>
      </c>
      <c r="F39" s="18" t="n">
        <f aca="false">Vendor_Invoices_AP!E36</f>
        <v>7427.81</v>
      </c>
      <c r="G39" s="18" t="n">
        <f aca="false">SUMIFS(Payment_Log_AP!$E$2:$E$753,Payment_Log_AP!$B$2:$B$753,A39)</f>
        <v>7427.81</v>
      </c>
      <c r="H39" s="18" t="n">
        <f aca="false">F39-G39</f>
        <v>0</v>
      </c>
      <c r="I39" s="16" t="n">
        <f aca="false">IF(H39&lt;=0.01,0,MAX(Assumptions!$B$5-E39,0))</f>
        <v>0</v>
      </c>
      <c r="J39" s="16" t="str">
        <f aca="false">IF(H39&lt;=0.01,"Paid",IF(I39&lt;=30,"0-30",IF(I39&lt;=60,"31-60",IF(I39&lt;=90,"61-90","90+"))))</f>
        <v>Paid</v>
      </c>
      <c r="K39" s="16" t="str">
        <f aca="false">IF(H39&lt;=0.01,"Paid",IF(G39&gt;0,"Partially Paid","Unpaid"))</f>
        <v>Paid</v>
      </c>
    </row>
    <row r="40" customFormat="false" ht="15" hidden="false" customHeight="false" outlineLevel="0" collapsed="false">
      <c r="A40" s="16" t="str">
        <f aca="false">Vendor_Invoices_AP!A37</f>
        <v>INV30036</v>
      </c>
      <c r="B40" s="16" t="str">
        <f aca="false">Vendor_Invoices_AP!C37</f>
        <v>V1024</v>
      </c>
      <c r="C40" s="16" t="str">
        <f aca="false">IFERROR(INDEX(Vendor_Master!$B$2:$B$41,MATCH(B40,Vendor_Master!$A$2:$A$41,0)),"Unknown Vendor")</f>
        <v>Campos Inc</v>
      </c>
      <c r="D40" s="17" t="n">
        <f aca="false">Vendor_Invoices_AP!D37</f>
        <v>45712</v>
      </c>
      <c r="E40" s="17" t="n">
        <f aca="false">Vendor_Invoices_AP!F37</f>
        <v>45772</v>
      </c>
      <c r="F40" s="18" t="n">
        <f aca="false">Vendor_Invoices_AP!E37</f>
        <v>3858.14</v>
      </c>
      <c r="G40" s="18" t="n">
        <f aca="false">SUMIFS(Payment_Log_AP!$E$2:$E$753,Payment_Log_AP!$B$2:$B$753,A40)</f>
        <v>3858.14</v>
      </c>
      <c r="H40" s="18" t="n">
        <f aca="false">F40-G40</f>
        <v>0</v>
      </c>
      <c r="I40" s="16" t="n">
        <f aca="false">IF(H40&lt;=0.01,0,MAX(Assumptions!$B$5-E40,0))</f>
        <v>0</v>
      </c>
      <c r="J40" s="16" t="str">
        <f aca="false">IF(H40&lt;=0.01,"Paid",IF(I40&lt;=30,"0-30",IF(I40&lt;=60,"31-60",IF(I40&lt;=90,"61-90","90+"))))</f>
        <v>Paid</v>
      </c>
      <c r="K40" s="16" t="str">
        <f aca="false">IF(H40&lt;=0.01,"Paid",IF(G40&gt;0,"Partially Paid","Unpaid"))</f>
        <v>Paid</v>
      </c>
    </row>
    <row r="41" customFormat="false" ht="15" hidden="false" customHeight="false" outlineLevel="0" collapsed="false">
      <c r="A41" s="16" t="str">
        <f aca="false">Vendor_Invoices_AP!A38</f>
        <v>INV30037</v>
      </c>
      <c r="B41" s="16" t="str">
        <f aca="false">Vendor_Invoices_AP!C38</f>
        <v>V1008</v>
      </c>
      <c r="C41" s="16" t="str">
        <f aca="false">IFERROR(INDEX(Vendor_Master!$B$2:$B$41,MATCH(B41,Vendor_Master!$A$2:$A$41,0)),"Unknown Vendor")</f>
        <v>Davis Inc</v>
      </c>
      <c r="D41" s="17" t="n">
        <f aca="false">Vendor_Invoices_AP!D38</f>
        <v>46034</v>
      </c>
      <c r="E41" s="17" t="n">
        <f aca="false">Vendor_Invoices_AP!F38</f>
        <v>46094</v>
      </c>
      <c r="F41" s="18" t="n">
        <f aca="false">Vendor_Invoices_AP!E38</f>
        <v>1031.9</v>
      </c>
      <c r="G41" s="18" t="n">
        <f aca="false">SUMIFS(Payment_Log_AP!$E$2:$E$753,Payment_Log_AP!$B$2:$B$753,A41)</f>
        <v>1031.9</v>
      </c>
      <c r="H41" s="18" t="n">
        <f aca="false">F41-G41</f>
        <v>0</v>
      </c>
      <c r="I41" s="16" t="n">
        <f aca="false">IF(H41&lt;=0.01,0,MAX(Assumptions!$B$5-E41,0))</f>
        <v>0</v>
      </c>
      <c r="J41" s="16" t="str">
        <f aca="false">IF(H41&lt;=0.01,"Paid",IF(I41&lt;=30,"0-30",IF(I41&lt;=60,"31-60",IF(I41&lt;=90,"61-90","90+"))))</f>
        <v>Paid</v>
      </c>
      <c r="K41" s="16" t="str">
        <f aca="false">IF(H41&lt;=0.01,"Paid",IF(G41&gt;0,"Partially Paid","Unpaid"))</f>
        <v>Paid</v>
      </c>
    </row>
    <row r="42" customFormat="false" ht="15" hidden="false" customHeight="false" outlineLevel="0" collapsed="false">
      <c r="A42" s="16" t="str">
        <f aca="false">Vendor_Invoices_AP!A39</f>
        <v>INV30038</v>
      </c>
      <c r="B42" s="16" t="str">
        <f aca="false">Vendor_Invoices_AP!C39</f>
        <v>V1023</v>
      </c>
      <c r="C42" s="16" t="str">
        <f aca="false">IFERROR(INDEX(Vendor_Master!$B$2:$B$41,MATCH(B42,Vendor_Master!$A$2:$A$41,0)),"Unknown Vendor")</f>
        <v>Robinson-Bright</v>
      </c>
      <c r="D42" s="17" t="n">
        <f aca="false">Vendor_Invoices_AP!D39</f>
        <v>45845</v>
      </c>
      <c r="E42" s="17" t="n">
        <f aca="false">Vendor_Invoices_AP!F39</f>
        <v>45875</v>
      </c>
      <c r="F42" s="18" t="n">
        <f aca="false">Vendor_Invoices_AP!E39</f>
        <v>117.56</v>
      </c>
      <c r="G42" s="18" t="n">
        <f aca="false">SUMIFS(Payment_Log_AP!$E$2:$E$753,Payment_Log_AP!$B$2:$B$753,A42)</f>
        <v>117.56</v>
      </c>
      <c r="H42" s="18" t="n">
        <f aca="false">F42-G42</f>
        <v>0</v>
      </c>
      <c r="I42" s="16" t="n">
        <f aca="false">IF(H42&lt;=0.01,0,MAX(Assumptions!$B$5-E42,0))</f>
        <v>0</v>
      </c>
      <c r="J42" s="16" t="str">
        <f aca="false">IF(H42&lt;=0.01,"Paid",IF(I42&lt;=30,"0-30",IF(I42&lt;=60,"31-60",IF(I42&lt;=90,"61-90","90+"))))</f>
        <v>Paid</v>
      </c>
      <c r="K42" s="16" t="str">
        <f aca="false">IF(H42&lt;=0.01,"Paid",IF(G42&gt;0,"Partially Paid","Unpaid"))</f>
        <v>Paid</v>
      </c>
    </row>
    <row r="43" customFormat="false" ht="15" hidden="false" customHeight="false" outlineLevel="0" collapsed="false">
      <c r="A43" s="16" t="str">
        <f aca="false">Vendor_Invoices_AP!A40</f>
        <v>INV30039</v>
      </c>
      <c r="B43" s="16" t="str">
        <f aca="false">Vendor_Invoices_AP!C40</f>
        <v>V1012</v>
      </c>
      <c r="C43" s="16" t="str">
        <f aca="false">IFERROR(INDEX(Vendor_Master!$B$2:$B$41,MATCH(B43,Vendor_Master!$A$2:$A$41,0)),"Unknown Vendor")</f>
        <v>Stanley LLC</v>
      </c>
      <c r="D43" s="17" t="n">
        <f aca="false">Vendor_Invoices_AP!D40</f>
        <v>45852</v>
      </c>
      <c r="E43" s="17" t="n">
        <f aca="false">Vendor_Invoices_AP!F40</f>
        <v>45912</v>
      </c>
      <c r="F43" s="18" t="n">
        <f aca="false">Vendor_Invoices_AP!E40</f>
        <v>21146.76</v>
      </c>
      <c r="G43" s="18" t="n">
        <f aca="false">SUMIFS(Payment_Log_AP!$E$2:$E$753,Payment_Log_AP!$B$2:$B$753,A43)</f>
        <v>21146.76</v>
      </c>
      <c r="H43" s="18" t="n">
        <f aca="false">F43-G43</f>
        <v>0</v>
      </c>
      <c r="I43" s="16" t="n">
        <f aca="false">IF(H43&lt;=0.01,0,MAX(Assumptions!$B$5-E43,0))</f>
        <v>0</v>
      </c>
      <c r="J43" s="16" t="str">
        <f aca="false">IF(H43&lt;=0.01,"Paid",IF(I43&lt;=30,"0-30",IF(I43&lt;=60,"31-60",IF(I43&lt;=90,"61-90","90+"))))</f>
        <v>Paid</v>
      </c>
      <c r="K43" s="16" t="str">
        <f aca="false">IF(H43&lt;=0.01,"Paid",IF(G43&gt;0,"Partially Paid","Unpaid"))</f>
        <v>Paid</v>
      </c>
    </row>
    <row r="44" customFormat="false" ht="15" hidden="false" customHeight="false" outlineLevel="0" collapsed="false">
      <c r="A44" s="16" t="str">
        <f aca="false">Vendor_Invoices_AP!A41</f>
        <v>INV30040</v>
      </c>
      <c r="B44" s="16" t="str">
        <f aca="false">Vendor_Invoices_AP!C41</f>
        <v>V1038</v>
      </c>
      <c r="C44" s="16" t="str">
        <f aca="false">IFERROR(INDEX(Vendor_Master!$B$2:$B$41,MATCH(B44,Vendor_Master!$A$2:$A$41,0)),"Unknown Vendor")</f>
        <v>Rose-Obrien</v>
      </c>
      <c r="D44" s="17" t="n">
        <f aca="false">Vendor_Invoices_AP!D41</f>
        <v>46125</v>
      </c>
      <c r="E44" s="17" t="n">
        <f aca="false">Vendor_Invoices_AP!F41</f>
        <v>46155</v>
      </c>
      <c r="F44" s="18" t="n">
        <f aca="false">Vendor_Invoices_AP!E41</f>
        <v>869.11</v>
      </c>
      <c r="G44" s="18" t="n">
        <f aca="false">SUMIFS(Payment_Log_AP!$E$2:$E$753,Payment_Log_AP!$B$2:$B$753,A44)</f>
        <v>869.11</v>
      </c>
      <c r="H44" s="18" t="n">
        <f aca="false">F44-G44</f>
        <v>0</v>
      </c>
      <c r="I44" s="16" t="n">
        <f aca="false">IF(H44&lt;=0.01,0,MAX(Assumptions!$B$5-E44,0))</f>
        <v>0</v>
      </c>
      <c r="J44" s="16" t="str">
        <f aca="false">IF(H44&lt;=0.01,"Paid",IF(I44&lt;=30,"0-30",IF(I44&lt;=60,"31-60",IF(I44&lt;=90,"61-90","90+"))))</f>
        <v>Paid</v>
      </c>
      <c r="K44" s="16" t="str">
        <f aca="false">IF(H44&lt;=0.01,"Paid",IF(G44&gt;0,"Partially Paid","Unpaid"))</f>
        <v>Paid</v>
      </c>
    </row>
    <row r="45" customFormat="false" ht="15" hidden="false" customHeight="false" outlineLevel="0" collapsed="false">
      <c r="A45" s="16" t="str">
        <f aca="false">Vendor_Invoices_AP!A42</f>
        <v>INV30041</v>
      </c>
      <c r="B45" s="16" t="str">
        <f aca="false">Vendor_Invoices_AP!C42</f>
        <v>V1015</v>
      </c>
      <c r="C45" s="16" t="str">
        <f aca="false">IFERROR(INDEX(Vendor_Master!$B$2:$B$41,MATCH(B45,Vendor_Master!$A$2:$A$41,0)),"Unknown Vendor")</f>
        <v>Zuniga, Wong and Lynch</v>
      </c>
      <c r="D45" s="17" t="n">
        <f aca="false">Vendor_Invoices_AP!D42</f>
        <v>46071</v>
      </c>
      <c r="E45" s="17" t="n">
        <f aca="false">Vendor_Invoices_AP!F42</f>
        <v>46101</v>
      </c>
      <c r="F45" s="18" t="n">
        <f aca="false">Vendor_Invoices_AP!E42</f>
        <v>1696.08</v>
      </c>
      <c r="G45" s="18" t="n">
        <f aca="false">SUMIFS(Payment_Log_AP!$E$2:$E$753,Payment_Log_AP!$B$2:$B$753,A45)</f>
        <v>1696.08</v>
      </c>
      <c r="H45" s="18" t="n">
        <f aca="false">F45-G45</f>
        <v>0</v>
      </c>
      <c r="I45" s="16" t="n">
        <f aca="false">IF(H45&lt;=0.01,0,MAX(Assumptions!$B$5-E45,0))</f>
        <v>0</v>
      </c>
      <c r="J45" s="16" t="str">
        <f aca="false">IF(H45&lt;=0.01,"Paid",IF(I45&lt;=30,"0-30",IF(I45&lt;=60,"31-60",IF(I45&lt;=90,"61-90","90+"))))</f>
        <v>Paid</v>
      </c>
      <c r="K45" s="16" t="str">
        <f aca="false">IF(H45&lt;=0.01,"Paid",IF(G45&gt;0,"Partially Paid","Unpaid"))</f>
        <v>Paid</v>
      </c>
    </row>
    <row r="46" customFormat="false" ht="15" hidden="false" customHeight="false" outlineLevel="0" collapsed="false">
      <c r="A46" s="16" t="str">
        <f aca="false">Vendor_Invoices_AP!A43</f>
        <v>INV30042</v>
      </c>
      <c r="B46" s="16" t="str">
        <f aca="false">Vendor_Invoices_AP!C43</f>
        <v>V1011</v>
      </c>
      <c r="C46" s="16" t="str">
        <f aca="false">IFERROR(INDEX(Vendor_Master!$B$2:$B$41,MATCH(B46,Vendor_Master!$A$2:$A$41,0)),"Unknown Vendor")</f>
        <v>Montgomery, Hensley and Ray</v>
      </c>
      <c r="D46" s="17" t="n">
        <f aca="false">Vendor_Invoices_AP!D43</f>
        <v>45826</v>
      </c>
      <c r="E46" s="17" t="n">
        <f aca="false">Vendor_Invoices_AP!F43</f>
        <v>45871</v>
      </c>
      <c r="F46" s="18" t="n">
        <f aca="false">Vendor_Invoices_AP!E43</f>
        <v>1814.85</v>
      </c>
      <c r="G46" s="18" t="n">
        <f aca="false">SUMIFS(Payment_Log_AP!$E$2:$E$753,Payment_Log_AP!$B$2:$B$753,A46)</f>
        <v>1814.85</v>
      </c>
      <c r="H46" s="18" t="n">
        <f aca="false">F46-G46</f>
        <v>0</v>
      </c>
      <c r="I46" s="16" t="n">
        <f aca="false">IF(H46&lt;=0.01,0,MAX(Assumptions!$B$5-E46,0))</f>
        <v>0</v>
      </c>
      <c r="J46" s="16" t="str">
        <f aca="false">IF(H46&lt;=0.01,"Paid",IF(I46&lt;=30,"0-30",IF(I46&lt;=60,"31-60",IF(I46&lt;=90,"61-90","90+"))))</f>
        <v>Paid</v>
      </c>
      <c r="K46" s="16" t="str">
        <f aca="false">IF(H46&lt;=0.01,"Paid",IF(G46&gt;0,"Partially Paid","Unpaid"))</f>
        <v>Paid</v>
      </c>
    </row>
    <row r="47" customFormat="false" ht="15" hidden="false" customHeight="false" outlineLevel="0" collapsed="false">
      <c r="A47" s="16" t="str">
        <f aca="false">Vendor_Invoices_AP!A44</f>
        <v>INV30043</v>
      </c>
      <c r="B47" s="16" t="str">
        <f aca="false">Vendor_Invoices_AP!C44</f>
        <v>V1008</v>
      </c>
      <c r="C47" s="16" t="str">
        <f aca="false">IFERROR(INDEX(Vendor_Master!$B$2:$B$41,MATCH(B47,Vendor_Master!$A$2:$A$41,0)),"Unknown Vendor")</f>
        <v>Davis Inc</v>
      </c>
      <c r="D47" s="17" t="n">
        <f aca="false">Vendor_Invoices_AP!D44</f>
        <v>45847</v>
      </c>
      <c r="E47" s="17" t="n">
        <f aca="false">Vendor_Invoices_AP!F44</f>
        <v>45907</v>
      </c>
      <c r="F47" s="18" t="n">
        <f aca="false">Vendor_Invoices_AP!E44</f>
        <v>1238.85</v>
      </c>
      <c r="G47" s="18" t="n">
        <f aca="false">SUMIFS(Payment_Log_AP!$E$2:$E$753,Payment_Log_AP!$B$2:$B$753,A47)</f>
        <v>0</v>
      </c>
      <c r="H47" s="18" t="n">
        <f aca="false">F47-G47</f>
        <v>1238.85</v>
      </c>
      <c r="I47" s="16" t="n">
        <f aca="false">IF(H47&lt;=0.01,0,MAX(Assumptions!$B$5-E47,0))</f>
        <v>327</v>
      </c>
      <c r="J47" s="16" t="str">
        <f aca="false">IF(H47&lt;=0.01,"Paid",IF(I47&lt;=30,"0-30",IF(I47&lt;=60,"31-60",IF(I47&lt;=90,"61-90","90+"))))</f>
        <v>90+</v>
      </c>
      <c r="K47" s="16" t="str">
        <f aca="false">IF(H47&lt;=0.01,"Paid",IF(G47&gt;0,"Partially Paid","Unpaid"))</f>
        <v>Unpaid</v>
      </c>
    </row>
    <row r="48" customFormat="false" ht="15" hidden="false" customHeight="false" outlineLevel="0" collapsed="false">
      <c r="A48" s="16" t="str">
        <f aca="false">Vendor_Invoices_AP!A45</f>
        <v>INV30044</v>
      </c>
      <c r="B48" s="16" t="str">
        <f aca="false">Vendor_Invoices_AP!C45</f>
        <v>V1011</v>
      </c>
      <c r="C48" s="16" t="str">
        <f aca="false">IFERROR(INDEX(Vendor_Master!$B$2:$B$41,MATCH(B48,Vendor_Master!$A$2:$A$41,0)),"Unknown Vendor")</f>
        <v>Montgomery, Hensley and Ray</v>
      </c>
      <c r="D48" s="17" t="n">
        <f aca="false">Vendor_Invoices_AP!D45</f>
        <v>45903</v>
      </c>
      <c r="E48" s="17" t="n">
        <f aca="false">Vendor_Invoices_AP!F45</f>
        <v>45948</v>
      </c>
      <c r="F48" s="18" t="n">
        <f aca="false">Vendor_Invoices_AP!E45</f>
        <v>9938.09</v>
      </c>
      <c r="G48" s="18" t="n">
        <f aca="false">SUMIFS(Payment_Log_AP!$E$2:$E$753,Payment_Log_AP!$B$2:$B$753,A48)</f>
        <v>9938.09</v>
      </c>
      <c r="H48" s="18" t="n">
        <f aca="false">F48-G48</f>
        <v>0</v>
      </c>
      <c r="I48" s="16" t="n">
        <f aca="false">IF(H48&lt;=0.01,0,MAX(Assumptions!$B$5-E48,0))</f>
        <v>0</v>
      </c>
      <c r="J48" s="16" t="str">
        <f aca="false">IF(H48&lt;=0.01,"Paid",IF(I48&lt;=30,"0-30",IF(I48&lt;=60,"31-60",IF(I48&lt;=90,"61-90","90+"))))</f>
        <v>Paid</v>
      </c>
      <c r="K48" s="16" t="str">
        <f aca="false">IF(H48&lt;=0.01,"Paid",IF(G48&gt;0,"Partially Paid","Unpaid"))</f>
        <v>Paid</v>
      </c>
    </row>
    <row r="49" customFormat="false" ht="15" hidden="false" customHeight="false" outlineLevel="0" collapsed="false">
      <c r="A49" s="16" t="str">
        <f aca="false">Vendor_Invoices_AP!A46</f>
        <v>INV30045</v>
      </c>
      <c r="B49" s="16" t="str">
        <f aca="false">Vendor_Invoices_AP!C46</f>
        <v>V1011</v>
      </c>
      <c r="C49" s="16" t="str">
        <f aca="false">IFERROR(INDEX(Vendor_Master!$B$2:$B$41,MATCH(B49,Vendor_Master!$A$2:$A$41,0)),"Unknown Vendor")</f>
        <v>Montgomery, Hensley and Ray</v>
      </c>
      <c r="D49" s="17" t="n">
        <f aca="false">Vendor_Invoices_AP!D46</f>
        <v>45898</v>
      </c>
      <c r="E49" s="17" t="n">
        <f aca="false">Vendor_Invoices_AP!F46</f>
        <v>45943</v>
      </c>
      <c r="F49" s="18" t="n">
        <f aca="false">Vendor_Invoices_AP!E46</f>
        <v>9938.09</v>
      </c>
      <c r="G49" s="18" t="n">
        <f aca="false">SUMIFS(Payment_Log_AP!$E$2:$E$753,Payment_Log_AP!$B$2:$B$753,A49)</f>
        <v>9938.09</v>
      </c>
      <c r="H49" s="18" t="n">
        <f aca="false">F49-G49</f>
        <v>0</v>
      </c>
      <c r="I49" s="16" t="n">
        <f aca="false">IF(H49&lt;=0.01,0,MAX(Assumptions!$B$5-E49,0))</f>
        <v>0</v>
      </c>
      <c r="J49" s="16" t="str">
        <f aca="false">IF(H49&lt;=0.01,"Paid",IF(I49&lt;=30,"0-30",IF(I49&lt;=60,"31-60",IF(I49&lt;=90,"61-90","90+"))))</f>
        <v>Paid</v>
      </c>
      <c r="K49" s="16" t="str">
        <f aca="false">IF(H49&lt;=0.01,"Paid",IF(G49&gt;0,"Partially Paid","Unpaid"))</f>
        <v>Paid</v>
      </c>
    </row>
    <row r="50" customFormat="false" ht="15" hidden="false" customHeight="false" outlineLevel="0" collapsed="false">
      <c r="A50" s="16" t="str">
        <f aca="false">Vendor_Invoices_AP!A47</f>
        <v>INV30046</v>
      </c>
      <c r="B50" s="16" t="str">
        <f aca="false">Vendor_Invoices_AP!C47</f>
        <v>V1016</v>
      </c>
      <c r="C50" s="16" t="str">
        <f aca="false">IFERROR(INDEX(Vendor_Master!$B$2:$B$41,MATCH(B50,Vendor_Master!$A$2:$A$41,0)),"Unknown Vendor")</f>
        <v>Sanchez, Ford and Nelson</v>
      </c>
      <c r="D50" s="17" t="n">
        <f aca="false">Vendor_Invoices_AP!D47</f>
        <v>45901</v>
      </c>
      <c r="E50" s="17" t="n">
        <f aca="false">Vendor_Invoices_AP!F47</f>
        <v>45931</v>
      </c>
      <c r="F50" s="18" t="n">
        <f aca="false">Vendor_Invoices_AP!E47</f>
        <v>1076.83</v>
      </c>
      <c r="G50" s="18" t="n">
        <f aca="false">SUMIFS(Payment_Log_AP!$E$2:$E$753,Payment_Log_AP!$B$2:$B$753,A50)</f>
        <v>2153.66</v>
      </c>
      <c r="H50" s="18" t="n">
        <f aca="false">F50-G50</f>
        <v>-1076.83</v>
      </c>
      <c r="I50" s="16" t="n">
        <f aca="false">IF(H50&lt;=0.01,0,MAX(Assumptions!$B$5-E50,0))</f>
        <v>0</v>
      </c>
      <c r="J50" s="16" t="str">
        <f aca="false">IF(H50&lt;=0.01,"Paid",IF(I50&lt;=30,"0-30",IF(I50&lt;=60,"31-60",IF(I50&lt;=90,"61-90","90+"))))</f>
        <v>Paid</v>
      </c>
      <c r="K50" s="16" t="str">
        <f aca="false">IF(H50&lt;=0.01,"Paid",IF(G50&gt;0,"Partially Paid","Unpaid"))</f>
        <v>Paid</v>
      </c>
    </row>
    <row r="51" customFormat="false" ht="15" hidden="false" customHeight="false" outlineLevel="0" collapsed="false">
      <c r="A51" s="16" t="str">
        <f aca="false">Vendor_Invoices_AP!A48</f>
        <v>INV30047</v>
      </c>
      <c r="B51" s="16" t="str">
        <f aca="false">Vendor_Invoices_AP!C48</f>
        <v>V1001</v>
      </c>
      <c r="C51" s="16" t="str">
        <f aca="false">IFERROR(INDEX(Vendor_Master!$B$2:$B$41,MATCH(B51,Vendor_Master!$A$2:$A$41,0)),"Unknown Vendor")</f>
        <v>Figueroa and Sons</v>
      </c>
      <c r="D51" s="17" t="n">
        <f aca="false">Vendor_Invoices_AP!D48</f>
        <v>45836</v>
      </c>
      <c r="E51" s="17" t="n">
        <f aca="false">Vendor_Invoices_AP!F48</f>
        <v>45881</v>
      </c>
      <c r="F51" s="18" t="n">
        <f aca="false">Vendor_Invoices_AP!E48</f>
        <v>5899.58</v>
      </c>
      <c r="G51" s="18" t="n">
        <f aca="false">SUMIFS(Payment_Log_AP!$E$2:$E$753,Payment_Log_AP!$B$2:$B$753,A51)</f>
        <v>5899.58</v>
      </c>
      <c r="H51" s="18" t="n">
        <f aca="false">F51-G51</f>
        <v>0</v>
      </c>
      <c r="I51" s="16" t="n">
        <f aca="false">IF(H51&lt;=0.01,0,MAX(Assumptions!$B$5-E51,0))</f>
        <v>0</v>
      </c>
      <c r="J51" s="16" t="str">
        <f aca="false">IF(H51&lt;=0.01,"Paid",IF(I51&lt;=30,"0-30",IF(I51&lt;=60,"31-60",IF(I51&lt;=90,"61-90","90+"))))</f>
        <v>Paid</v>
      </c>
      <c r="K51" s="16" t="str">
        <f aca="false">IF(H51&lt;=0.01,"Paid",IF(G51&gt;0,"Partially Paid","Unpaid"))</f>
        <v>Paid</v>
      </c>
    </row>
    <row r="52" customFormat="false" ht="15" hidden="false" customHeight="false" outlineLevel="0" collapsed="false">
      <c r="A52" s="16" t="str">
        <f aca="false">Vendor_Invoices_AP!A49</f>
        <v>INV30048</v>
      </c>
      <c r="B52" s="16" t="str">
        <f aca="false">Vendor_Invoices_AP!C49</f>
        <v>V1020</v>
      </c>
      <c r="C52" s="16" t="str">
        <f aca="false">IFERROR(INDEX(Vendor_Master!$B$2:$B$41,MATCH(B52,Vendor_Master!$A$2:$A$41,0)),"Unknown Vendor")</f>
        <v>Lewis-Porter</v>
      </c>
      <c r="D52" s="17" t="n">
        <f aca="false">Vendor_Invoices_AP!D49</f>
        <v>45747</v>
      </c>
      <c r="E52" s="17" t="n">
        <f aca="false">Vendor_Invoices_AP!F49</f>
        <v>45777</v>
      </c>
      <c r="F52" s="18" t="n">
        <f aca="false">Vendor_Invoices_AP!E49</f>
        <v>31348.72</v>
      </c>
      <c r="G52" s="18" t="n">
        <f aca="false">SUMIFS(Payment_Log_AP!$E$2:$E$753,Payment_Log_AP!$B$2:$B$753,A52)</f>
        <v>31348.72</v>
      </c>
      <c r="H52" s="18" t="n">
        <f aca="false">F52-G52</f>
        <v>0</v>
      </c>
      <c r="I52" s="16" t="n">
        <f aca="false">IF(H52&lt;=0.01,0,MAX(Assumptions!$B$5-E52,0))</f>
        <v>0</v>
      </c>
      <c r="J52" s="16" t="str">
        <f aca="false">IF(H52&lt;=0.01,"Paid",IF(I52&lt;=30,"0-30",IF(I52&lt;=60,"31-60",IF(I52&lt;=90,"61-90","90+"))))</f>
        <v>Paid</v>
      </c>
      <c r="K52" s="16" t="str">
        <f aca="false">IF(H52&lt;=0.01,"Paid",IF(G52&gt;0,"Partially Paid","Unpaid"))</f>
        <v>Paid</v>
      </c>
    </row>
    <row r="53" customFormat="false" ht="15" hidden="false" customHeight="false" outlineLevel="0" collapsed="false">
      <c r="A53" s="16" t="str">
        <f aca="false">Vendor_Invoices_AP!A50</f>
        <v>INV30049</v>
      </c>
      <c r="B53" s="16" t="str">
        <f aca="false">Vendor_Invoices_AP!C50</f>
        <v>V1022</v>
      </c>
      <c r="C53" s="16" t="str">
        <f aca="false">IFERROR(INDEX(Vendor_Master!$B$2:$B$41,MATCH(B53,Vendor_Master!$A$2:$A$41,0)),"Unknown Vendor")</f>
        <v>Burgess-Patterson</v>
      </c>
      <c r="D53" s="17" t="n">
        <f aca="false">Vendor_Invoices_AP!D50</f>
        <v>45911</v>
      </c>
      <c r="E53" s="17" t="n">
        <f aca="false">Vendor_Invoices_AP!F50</f>
        <v>45941</v>
      </c>
      <c r="F53" s="18" t="n">
        <f aca="false">Vendor_Invoices_AP!E50</f>
        <v>2845.35</v>
      </c>
      <c r="G53" s="18" t="n">
        <f aca="false">SUMIFS(Payment_Log_AP!$E$2:$E$753,Payment_Log_AP!$B$2:$B$753,A53)</f>
        <v>2845.35</v>
      </c>
      <c r="H53" s="18" t="n">
        <f aca="false">F53-G53</f>
        <v>0</v>
      </c>
      <c r="I53" s="16" t="n">
        <f aca="false">IF(H53&lt;=0.01,0,MAX(Assumptions!$B$5-E53,0))</f>
        <v>0</v>
      </c>
      <c r="J53" s="16" t="str">
        <f aca="false">IF(H53&lt;=0.01,"Paid",IF(I53&lt;=30,"0-30",IF(I53&lt;=60,"31-60",IF(I53&lt;=90,"61-90","90+"))))</f>
        <v>Paid</v>
      </c>
      <c r="K53" s="16" t="str">
        <f aca="false">IF(H53&lt;=0.01,"Paid",IF(G53&gt;0,"Partially Paid","Unpaid"))</f>
        <v>Paid</v>
      </c>
    </row>
    <row r="54" customFormat="false" ht="15" hidden="false" customHeight="false" outlineLevel="0" collapsed="false">
      <c r="A54" s="16" t="str">
        <f aca="false">Vendor_Invoices_AP!A51</f>
        <v>INV30050</v>
      </c>
      <c r="B54" s="16" t="str">
        <f aca="false">Vendor_Invoices_AP!C51</f>
        <v>V1039</v>
      </c>
      <c r="C54" s="16" t="str">
        <f aca="false">IFERROR(INDEX(Vendor_Master!$B$2:$B$41,MATCH(B54,Vendor_Master!$A$2:$A$41,0)),"Unknown Vendor")</f>
        <v>Campos, Vaughn and Marquez</v>
      </c>
      <c r="D54" s="17" t="n">
        <f aca="false">Vendor_Invoices_AP!D51</f>
        <v>46180</v>
      </c>
      <c r="E54" s="17" t="n">
        <f aca="false">Vendor_Invoices_AP!F51</f>
        <v>46210</v>
      </c>
      <c r="F54" s="18" t="n">
        <f aca="false">Vendor_Invoices_AP!E51</f>
        <v>10325.83</v>
      </c>
      <c r="G54" s="18" t="n">
        <f aca="false">SUMIFS(Payment_Log_AP!$E$2:$E$753,Payment_Log_AP!$B$2:$B$753,A54)</f>
        <v>0</v>
      </c>
      <c r="H54" s="18" t="n">
        <f aca="false">F54-G54</f>
        <v>10325.83</v>
      </c>
      <c r="I54" s="16" t="n">
        <f aca="false">IF(H54&lt;=0.01,0,MAX(Assumptions!$B$5-E54,0))</f>
        <v>24</v>
      </c>
      <c r="J54" s="16" t="str">
        <f aca="false">IF(H54&lt;=0.01,"Paid",IF(I54&lt;=30,"0-30",IF(I54&lt;=60,"31-60",IF(I54&lt;=90,"61-90","90+"))))</f>
        <v>0-30</v>
      </c>
      <c r="K54" s="16" t="str">
        <f aca="false">IF(H54&lt;=0.01,"Paid",IF(G54&gt;0,"Partially Paid","Unpaid"))</f>
        <v>Unpaid</v>
      </c>
    </row>
    <row r="55" customFormat="false" ht="15" hidden="false" customHeight="false" outlineLevel="0" collapsed="false">
      <c r="A55" s="16" t="str">
        <f aca="false">Vendor_Invoices_AP!A52</f>
        <v>INV30051</v>
      </c>
      <c r="B55" s="16" t="str">
        <f aca="false">Vendor_Invoices_AP!C52</f>
        <v>V1025</v>
      </c>
      <c r="C55" s="16" t="str">
        <f aca="false">IFERROR(INDEX(Vendor_Master!$B$2:$B$41,MATCH(B55,Vendor_Master!$A$2:$A$41,0)),"Unknown Vendor")</f>
        <v>Conner Group</v>
      </c>
      <c r="D55" s="17" t="n">
        <f aca="false">Vendor_Invoices_AP!D52</f>
        <v>46031</v>
      </c>
      <c r="E55" s="17" t="n">
        <f aca="false">Vendor_Invoices_AP!F52</f>
        <v>46076</v>
      </c>
      <c r="F55" s="18" t="n">
        <f aca="false">Vendor_Invoices_AP!E52</f>
        <v>22892.64</v>
      </c>
      <c r="G55" s="18" t="n">
        <f aca="false">SUMIFS(Payment_Log_AP!$E$2:$E$753,Payment_Log_AP!$B$2:$B$753,A55)</f>
        <v>22892.64</v>
      </c>
      <c r="H55" s="18" t="n">
        <f aca="false">F55-G55</f>
        <v>0</v>
      </c>
      <c r="I55" s="16" t="n">
        <f aca="false">IF(H55&lt;=0.01,0,MAX(Assumptions!$B$5-E55,0))</f>
        <v>0</v>
      </c>
      <c r="J55" s="16" t="str">
        <f aca="false">IF(H55&lt;=0.01,"Paid",IF(I55&lt;=30,"0-30",IF(I55&lt;=60,"31-60",IF(I55&lt;=90,"61-90","90+"))))</f>
        <v>Paid</v>
      </c>
      <c r="K55" s="16" t="str">
        <f aca="false">IF(H55&lt;=0.01,"Paid",IF(G55&gt;0,"Partially Paid","Unpaid"))</f>
        <v>Paid</v>
      </c>
    </row>
    <row r="56" customFormat="false" ht="15" hidden="false" customHeight="false" outlineLevel="0" collapsed="false">
      <c r="A56" s="16" t="str">
        <f aca="false">Vendor_Invoices_AP!A53</f>
        <v>INV30052</v>
      </c>
      <c r="B56" s="16" t="str">
        <f aca="false">Vendor_Invoices_AP!C53</f>
        <v>V1006</v>
      </c>
      <c r="C56" s="16" t="str">
        <f aca="false">IFERROR(INDEX(Vendor_Master!$B$2:$B$41,MATCH(B56,Vendor_Master!$A$2:$A$41,0)),"Unknown Vendor")</f>
        <v>Blake and Sons</v>
      </c>
      <c r="D56" s="17" t="n">
        <f aca="false">Vendor_Invoices_AP!D53</f>
        <v>46165</v>
      </c>
      <c r="E56" s="17" t="n">
        <f aca="false">Vendor_Invoices_AP!F53</f>
        <v>46225</v>
      </c>
      <c r="F56" s="18" t="n">
        <f aca="false">Vendor_Invoices_AP!E53</f>
        <v>306.49</v>
      </c>
      <c r="G56" s="18" t="n">
        <f aca="false">SUMIFS(Payment_Log_AP!$E$2:$E$753,Payment_Log_AP!$B$2:$B$753,A56)</f>
        <v>306.49</v>
      </c>
      <c r="H56" s="18" t="n">
        <f aca="false">F56-G56</f>
        <v>0</v>
      </c>
      <c r="I56" s="16" t="n">
        <f aca="false">IF(H56&lt;=0.01,0,MAX(Assumptions!$B$5-E56,0))</f>
        <v>0</v>
      </c>
      <c r="J56" s="16" t="str">
        <f aca="false">IF(H56&lt;=0.01,"Paid",IF(I56&lt;=30,"0-30",IF(I56&lt;=60,"31-60",IF(I56&lt;=90,"61-90","90+"))))</f>
        <v>Paid</v>
      </c>
      <c r="K56" s="16" t="str">
        <f aca="false">IF(H56&lt;=0.01,"Paid",IF(G56&gt;0,"Partially Paid","Unpaid"))</f>
        <v>Paid</v>
      </c>
    </row>
    <row r="57" customFormat="false" ht="15" hidden="false" customHeight="false" outlineLevel="0" collapsed="false">
      <c r="A57" s="16" t="str">
        <f aca="false">Vendor_Invoices_AP!A54</f>
        <v>INV30053</v>
      </c>
      <c r="B57" s="16" t="str">
        <f aca="false">Vendor_Invoices_AP!C54</f>
        <v>V1024</v>
      </c>
      <c r="C57" s="16" t="str">
        <f aca="false">IFERROR(INDEX(Vendor_Master!$B$2:$B$41,MATCH(B57,Vendor_Master!$A$2:$A$41,0)),"Unknown Vendor")</f>
        <v>Campos Inc</v>
      </c>
      <c r="D57" s="17" t="n">
        <f aca="false">Vendor_Invoices_AP!D54</f>
        <v>46018</v>
      </c>
      <c r="E57" s="17" t="n">
        <f aca="false">Vendor_Invoices_AP!F54</f>
        <v>46078</v>
      </c>
      <c r="F57" s="18" t="n">
        <f aca="false">Vendor_Invoices_AP!E54</f>
        <v>5034.71</v>
      </c>
      <c r="G57" s="18" t="n">
        <f aca="false">SUMIFS(Payment_Log_AP!$E$2:$E$753,Payment_Log_AP!$B$2:$B$753,A57)</f>
        <v>5034.71</v>
      </c>
      <c r="H57" s="18" t="n">
        <f aca="false">F57-G57</f>
        <v>0</v>
      </c>
      <c r="I57" s="16" t="n">
        <f aca="false">IF(H57&lt;=0.01,0,MAX(Assumptions!$B$5-E57,0))</f>
        <v>0</v>
      </c>
      <c r="J57" s="16" t="str">
        <f aca="false">IF(H57&lt;=0.01,"Paid",IF(I57&lt;=30,"0-30",IF(I57&lt;=60,"31-60",IF(I57&lt;=90,"61-90","90+"))))</f>
        <v>Paid</v>
      </c>
      <c r="K57" s="16" t="str">
        <f aca="false">IF(H57&lt;=0.01,"Paid",IF(G57&gt;0,"Partially Paid","Unpaid"))</f>
        <v>Paid</v>
      </c>
    </row>
    <row r="58" customFormat="false" ht="15" hidden="false" customHeight="false" outlineLevel="0" collapsed="false">
      <c r="A58" s="16" t="str">
        <f aca="false">Vendor_Invoices_AP!A55</f>
        <v>INV30054</v>
      </c>
      <c r="B58" s="16" t="str">
        <f aca="false">Vendor_Invoices_AP!C55</f>
        <v>V1024</v>
      </c>
      <c r="C58" s="16" t="str">
        <f aca="false">IFERROR(INDEX(Vendor_Master!$B$2:$B$41,MATCH(B58,Vendor_Master!$A$2:$A$41,0)),"Unknown Vendor")</f>
        <v>Campos Inc</v>
      </c>
      <c r="D58" s="17" t="n">
        <f aca="false">Vendor_Invoices_AP!D55</f>
        <v>46013</v>
      </c>
      <c r="E58" s="17" t="n">
        <f aca="false">Vendor_Invoices_AP!F55</f>
        <v>46073</v>
      </c>
      <c r="F58" s="18" t="n">
        <f aca="false">Vendor_Invoices_AP!E55</f>
        <v>5034.71</v>
      </c>
      <c r="G58" s="18" t="n">
        <f aca="false">SUMIFS(Payment_Log_AP!$E$2:$E$753,Payment_Log_AP!$B$2:$B$753,A58)</f>
        <v>5034.71</v>
      </c>
      <c r="H58" s="18" t="n">
        <f aca="false">F58-G58</f>
        <v>0</v>
      </c>
      <c r="I58" s="16" t="n">
        <f aca="false">IF(H58&lt;=0.01,0,MAX(Assumptions!$B$5-E58,0))</f>
        <v>0</v>
      </c>
      <c r="J58" s="16" t="str">
        <f aca="false">IF(H58&lt;=0.01,"Paid",IF(I58&lt;=30,"0-30",IF(I58&lt;=60,"31-60",IF(I58&lt;=90,"61-90","90+"))))</f>
        <v>Paid</v>
      </c>
      <c r="K58" s="16" t="str">
        <f aca="false">IF(H58&lt;=0.01,"Paid",IF(G58&gt;0,"Partially Paid","Unpaid"))</f>
        <v>Paid</v>
      </c>
    </row>
    <row r="59" customFormat="false" ht="15" hidden="false" customHeight="false" outlineLevel="0" collapsed="false">
      <c r="A59" s="16" t="str">
        <f aca="false">Vendor_Invoices_AP!A56</f>
        <v>INV30055</v>
      </c>
      <c r="B59" s="16" t="str">
        <f aca="false">Vendor_Invoices_AP!C56</f>
        <v>V1029</v>
      </c>
      <c r="C59" s="16" t="str">
        <f aca="false">IFERROR(INDEX(Vendor_Master!$B$2:$B$41,MATCH(B59,Vendor_Master!$A$2:$A$41,0)),"Unknown Vendor")</f>
        <v>Chavez Ltd</v>
      </c>
      <c r="D59" s="17" t="n">
        <f aca="false">Vendor_Invoices_AP!D56</f>
        <v>45836</v>
      </c>
      <c r="E59" s="17" t="n">
        <f aca="false">Vendor_Invoices_AP!F56</f>
        <v>45896</v>
      </c>
      <c r="F59" s="18" t="n">
        <f aca="false">Vendor_Invoices_AP!E56</f>
        <v>1369.29</v>
      </c>
      <c r="G59" s="18" t="n">
        <f aca="false">SUMIFS(Payment_Log_AP!$E$2:$E$753,Payment_Log_AP!$B$2:$B$753,A59)</f>
        <v>1369.29</v>
      </c>
      <c r="H59" s="18" t="n">
        <f aca="false">F59-G59</f>
        <v>0</v>
      </c>
      <c r="I59" s="16" t="n">
        <f aca="false">IF(H59&lt;=0.01,0,MAX(Assumptions!$B$5-E59,0))</f>
        <v>0</v>
      </c>
      <c r="J59" s="16" t="str">
        <f aca="false">IF(H59&lt;=0.01,"Paid",IF(I59&lt;=30,"0-30",IF(I59&lt;=60,"31-60",IF(I59&lt;=90,"61-90","90+"))))</f>
        <v>Paid</v>
      </c>
      <c r="K59" s="16" t="str">
        <f aca="false">IF(H59&lt;=0.01,"Paid",IF(G59&gt;0,"Partially Paid","Unpaid"))</f>
        <v>Paid</v>
      </c>
    </row>
    <row r="60" customFormat="false" ht="15" hidden="false" customHeight="false" outlineLevel="0" collapsed="false">
      <c r="A60" s="16" t="str">
        <f aca="false">Vendor_Invoices_AP!A57</f>
        <v>INV30056</v>
      </c>
      <c r="B60" s="16" t="str">
        <f aca="false">Vendor_Invoices_AP!C57</f>
        <v>V1025</v>
      </c>
      <c r="C60" s="16" t="str">
        <f aca="false">IFERROR(INDEX(Vendor_Master!$B$2:$B$41,MATCH(B60,Vendor_Master!$A$2:$A$41,0)),"Unknown Vendor")</f>
        <v>Conner Group</v>
      </c>
      <c r="D60" s="17" t="n">
        <f aca="false">Vendor_Invoices_AP!D57</f>
        <v>45968</v>
      </c>
      <c r="E60" s="17" t="n">
        <f aca="false">Vendor_Invoices_AP!F57</f>
        <v>46013</v>
      </c>
      <c r="F60" s="18" t="n">
        <f aca="false">Vendor_Invoices_AP!E57</f>
        <v>2783.02</v>
      </c>
      <c r="G60" s="18" t="n">
        <f aca="false">SUMIFS(Payment_Log_AP!$E$2:$E$753,Payment_Log_AP!$B$2:$B$753,A60)</f>
        <v>2783.02</v>
      </c>
      <c r="H60" s="18" t="n">
        <f aca="false">F60-G60</f>
        <v>0</v>
      </c>
      <c r="I60" s="16" t="n">
        <f aca="false">IF(H60&lt;=0.01,0,MAX(Assumptions!$B$5-E60,0))</f>
        <v>0</v>
      </c>
      <c r="J60" s="16" t="str">
        <f aca="false">IF(H60&lt;=0.01,"Paid",IF(I60&lt;=30,"0-30",IF(I60&lt;=60,"31-60",IF(I60&lt;=90,"61-90","90+"))))</f>
        <v>Paid</v>
      </c>
      <c r="K60" s="16" t="str">
        <f aca="false">IF(H60&lt;=0.01,"Paid",IF(G60&gt;0,"Partially Paid","Unpaid"))</f>
        <v>Paid</v>
      </c>
    </row>
    <row r="61" customFormat="false" ht="15" hidden="false" customHeight="false" outlineLevel="0" collapsed="false">
      <c r="A61" s="16" t="str">
        <f aca="false">Vendor_Invoices_AP!A58</f>
        <v>INV30057</v>
      </c>
      <c r="B61" s="16" t="str">
        <f aca="false">Vendor_Invoices_AP!C58</f>
        <v>V1031</v>
      </c>
      <c r="C61" s="16" t="str">
        <f aca="false">IFERROR(INDEX(Vendor_Master!$B$2:$B$41,MATCH(B61,Vendor_Master!$A$2:$A$41,0)),"Unknown Vendor")</f>
        <v>Harrell LLC</v>
      </c>
      <c r="D61" s="17" t="n">
        <f aca="false">Vendor_Invoices_AP!D58</f>
        <v>45673</v>
      </c>
      <c r="E61" s="17" t="n">
        <f aca="false">Vendor_Invoices_AP!F58</f>
        <v>45688</v>
      </c>
      <c r="F61" s="18" t="n">
        <f aca="false">Vendor_Invoices_AP!E58</f>
        <v>1474.66</v>
      </c>
      <c r="G61" s="18" t="n">
        <f aca="false">SUMIFS(Payment_Log_AP!$E$2:$E$753,Payment_Log_AP!$B$2:$B$753,A61)</f>
        <v>1474.66</v>
      </c>
      <c r="H61" s="18" t="n">
        <f aca="false">F61-G61</f>
        <v>0</v>
      </c>
      <c r="I61" s="16" t="n">
        <f aca="false">IF(H61&lt;=0.01,0,MAX(Assumptions!$B$5-E61,0))</f>
        <v>0</v>
      </c>
      <c r="J61" s="16" t="str">
        <f aca="false">IF(H61&lt;=0.01,"Paid",IF(I61&lt;=30,"0-30",IF(I61&lt;=60,"31-60",IF(I61&lt;=90,"61-90","90+"))))</f>
        <v>Paid</v>
      </c>
      <c r="K61" s="16" t="str">
        <f aca="false">IF(H61&lt;=0.01,"Paid",IF(G61&gt;0,"Partially Paid","Unpaid"))</f>
        <v>Paid</v>
      </c>
    </row>
    <row r="62" customFormat="false" ht="15" hidden="false" customHeight="false" outlineLevel="0" collapsed="false">
      <c r="A62" s="16" t="str">
        <f aca="false">Vendor_Invoices_AP!A59</f>
        <v>INV30058</v>
      </c>
      <c r="B62" s="16" t="str">
        <f aca="false">Vendor_Invoices_AP!C59</f>
        <v>V1031</v>
      </c>
      <c r="C62" s="16" t="str">
        <f aca="false">IFERROR(INDEX(Vendor_Master!$B$2:$B$41,MATCH(B62,Vendor_Master!$A$2:$A$41,0)),"Unknown Vendor")</f>
        <v>Harrell LLC</v>
      </c>
      <c r="D62" s="17" t="n">
        <f aca="false">Vendor_Invoices_AP!D59</f>
        <v>45833</v>
      </c>
      <c r="E62" s="17" t="n">
        <f aca="false">Vendor_Invoices_AP!F59</f>
        <v>45848</v>
      </c>
      <c r="F62" s="18" t="n">
        <f aca="false">Vendor_Invoices_AP!E59</f>
        <v>1567.44</v>
      </c>
      <c r="G62" s="18" t="n">
        <f aca="false">SUMIFS(Payment_Log_AP!$E$2:$E$753,Payment_Log_AP!$B$2:$B$753,A62)</f>
        <v>1567.44</v>
      </c>
      <c r="H62" s="18" t="n">
        <f aca="false">F62-G62</f>
        <v>0</v>
      </c>
      <c r="I62" s="16" t="n">
        <f aca="false">IF(H62&lt;=0.01,0,MAX(Assumptions!$B$5-E62,0))</f>
        <v>0</v>
      </c>
      <c r="J62" s="16" t="str">
        <f aca="false">IF(H62&lt;=0.01,"Paid",IF(I62&lt;=30,"0-30",IF(I62&lt;=60,"31-60",IF(I62&lt;=90,"61-90","90+"))))</f>
        <v>Paid</v>
      </c>
      <c r="K62" s="16" t="str">
        <f aca="false">IF(H62&lt;=0.01,"Paid",IF(G62&gt;0,"Partially Paid","Unpaid"))</f>
        <v>Paid</v>
      </c>
    </row>
    <row r="63" customFormat="false" ht="15" hidden="false" customHeight="false" outlineLevel="0" collapsed="false">
      <c r="A63" s="16" t="str">
        <f aca="false">Vendor_Invoices_AP!A60</f>
        <v>INV30059</v>
      </c>
      <c r="B63" s="16" t="str">
        <f aca="false">Vendor_Invoices_AP!C60</f>
        <v>V1029</v>
      </c>
      <c r="C63" s="16" t="str">
        <f aca="false">IFERROR(INDEX(Vendor_Master!$B$2:$B$41,MATCH(B63,Vendor_Master!$A$2:$A$41,0)),"Unknown Vendor")</f>
        <v>Chavez Ltd</v>
      </c>
      <c r="D63" s="17" t="n">
        <f aca="false">Vendor_Invoices_AP!D60</f>
        <v>45902</v>
      </c>
      <c r="E63" s="17" t="n">
        <f aca="false">Vendor_Invoices_AP!F60</f>
        <v>45962</v>
      </c>
      <c r="F63" s="18" t="n">
        <f aca="false">Vendor_Invoices_AP!E60</f>
        <v>7649.01</v>
      </c>
      <c r="G63" s="18" t="n">
        <f aca="false">SUMIFS(Payment_Log_AP!$E$2:$E$753,Payment_Log_AP!$B$2:$B$753,A63)</f>
        <v>7649.01</v>
      </c>
      <c r="H63" s="18" t="n">
        <f aca="false">F63-G63</f>
        <v>0</v>
      </c>
      <c r="I63" s="16" t="n">
        <f aca="false">IF(H63&lt;=0.01,0,MAX(Assumptions!$B$5-E63,0))</f>
        <v>0</v>
      </c>
      <c r="J63" s="16" t="str">
        <f aca="false">IF(H63&lt;=0.01,"Paid",IF(I63&lt;=30,"0-30",IF(I63&lt;=60,"31-60",IF(I63&lt;=90,"61-90","90+"))))</f>
        <v>Paid</v>
      </c>
      <c r="K63" s="16" t="str">
        <f aca="false">IF(H63&lt;=0.01,"Paid",IF(G63&gt;0,"Partially Paid","Unpaid"))</f>
        <v>Paid</v>
      </c>
    </row>
    <row r="64" customFormat="false" ht="15" hidden="false" customHeight="false" outlineLevel="0" collapsed="false">
      <c r="A64" s="16" t="str">
        <f aca="false">Vendor_Invoices_AP!A61</f>
        <v>INV30060</v>
      </c>
      <c r="B64" s="16" t="str">
        <f aca="false">Vendor_Invoices_AP!C61</f>
        <v>V1009</v>
      </c>
      <c r="C64" s="16" t="str">
        <f aca="false">IFERROR(INDEX(Vendor_Master!$B$2:$B$41,MATCH(B64,Vendor_Master!$A$2:$A$41,0)),"Unknown Vendor")</f>
        <v>Munoz-Roman</v>
      </c>
      <c r="D64" s="17" t="n">
        <f aca="false">Vendor_Invoices_AP!D61</f>
        <v>45982</v>
      </c>
      <c r="E64" s="17" t="n">
        <f aca="false">Vendor_Invoices_AP!F61</f>
        <v>46012</v>
      </c>
      <c r="F64" s="18" t="n">
        <f aca="false">Vendor_Invoices_AP!E61</f>
        <v>3881</v>
      </c>
      <c r="G64" s="18" t="n">
        <f aca="false">SUMIFS(Payment_Log_AP!$E$2:$E$753,Payment_Log_AP!$B$2:$B$753,A64)</f>
        <v>3881</v>
      </c>
      <c r="H64" s="18" t="n">
        <f aca="false">F64-G64</f>
        <v>0</v>
      </c>
      <c r="I64" s="16" t="n">
        <f aca="false">IF(H64&lt;=0.01,0,MAX(Assumptions!$B$5-E64,0))</f>
        <v>0</v>
      </c>
      <c r="J64" s="16" t="str">
        <f aca="false">IF(H64&lt;=0.01,"Paid",IF(I64&lt;=30,"0-30",IF(I64&lt;=60,"31-60",IF(I64&lt;=90,"61-90","90+"))))</f>
        <v>Paid</v>
      </c>
      <c r="K64" s="16" t="str">
        <f aca="false">IF(H64&lt;=0.01,"Paid",IF(G64&gt;0,"Partially Paid","Unpaid"))</f>
        <v>Paid</v>
      </c>
    </row>
    <row r="65" customFormat="false" ht="15" hidden="false" customHeight="false" outlineLevel="0" collapsed="false">
      <c r="A65" s="16" t="str">
        <f aca="false">Vendor_Invoices_AP!A62</f>
        <v>INV30061</v>
      </c>
      <c r="B65" s="16" t="str">
        <f aca="false">Vendor_Invoices_AP!C62</f>
        <v>V1019</v>
      </c>
      <c r="C65" s="16" t="str">
        <f aca="false">IFERROR(INDEX(Vendor_Master!$B$2:$B$41,MATCH(B65,Vendor_Master!$A$2:$A$41,0)),"Unknown Vendor")</f>
        <v>Clark PLC</v>
      </c>
      <c r="D65" s="17" t="n">
        <f aca="false">Vendor_Invoices_AP!D62</f>
        <v>46031</v>
      </c>
      <c r="E65" s="17" t="n">
        <f aca="false">Vendor_Invoices_AP!F62</f>
        <v>46076</v>
      </c>
      <c r="F65" s="18" t="n">
        <f aca="false">Vendor_Invoices_AP!E62</f>
        <v>3262.21</v>
      </c>
      <c r="G65" s="18" t="n">
        <f aca="false">SUMIFS(Payment_Log_AP!$E$2:$E$753,Payment_Log_AP!$B$2:$B$753,A65)</f>
        <v>3262.21</v>
      </c>
      <c r="H65" s="18" t="n">
        <f aca="false">F65-G65</f>
        <v>0</v>
      </c>
      <c r="I65" s="16" t="n">
        <f aca="false">IF(H65&lt;=0.01,0,MAX(Assumptions!$B$5-E65,0))</f>
        <v>0</v>
      </c>
      <c r="J65" s="16" t="str">
        <f aca="false">IF(H65&lt;=0.01,"Paid",IF(I65&lt;=30,"0-30",IF(I65&lt;=60,"31-60",IF(I65&lt;=90,"61-90","90+"))))</f>
        <v>Paid</v>
      </c>
      <c r="K65" s="16" t="str">
        <f aca="false">IF(H65&lt;=0.01,"Paid",IF(G65&gt;0,"Partially Paid","Unpaid"))</f>
        <v>Paid</v>
      </c>
    </row>
    <row r="66" customFormat="false" ht="15" hidden="false" customHeight="false" outlineLevel="0" collapsed="false">
      <c r="A66" s="16" t="str">
        <f aca="false">Vendor_Invoices_AP!A63</f>
        <v>INV30062</v>
      </c>
      <c r="B66" s="16" t="str">
        <f aca="false">Vendor_Invoices_AP!C63</f>
        <v>V1023</v>
      </c>
      <c r="C66" s="16" t="str">
        <f aca="false">IFERROR(INDEX(Vendor_Master!$B$2:$B$41,MATCH(B66,Vendor_Master!$A$2:$A$41,0)),"Unknown Vendor")</f>
        <v>Robinson-Bright</v>
      </c>
      <c r="D66" s="17" t="n">
        <f aca="false">Vendor_Invoices_AP!D63</f>
        <v>45928</v>
      </c>
      <c r="E66" s="17" t="n">
        <f aca="false">Vendor_Invoices_AP!F63</f>
        <v>45958</v>
      </c>
      <c r="F66" s="18" t="n">
        <f aca="false">Vendor_Invoices_AP!E63</f>
        <v>672.96</v>
      </c>
      <c r="G66" s="18" t="n">
        <f aca="false">SUMIFS(Payment_Log_AP!$E$2:$E$753,Payment_Log_AP!$B$2:$B$753,A66)</f>
        <v>0</v>
      </c>
      <c r="H66" s="18" t="n">
        <f aca="false">F66-G66</f>
        <v>672.96</v>
      </c>
      <c r="I66" s="16" t="n">
        <f aca="false">IF(H66&lt;=0.01,0,MAX(Assumptions!$B$5-E66,0))</f>
        <v>276</v>
      </c>
      <c r="J66" s="16" t="str">
        <f aca="false">IF(H66&lt;=0.01,"Paid",IF(I66&lt;=30,"0-30",IF(I66&lt;=60,"31-60",IF(I66&lt;=90,"61-90","90+"))))</f>
        <v>90+</v>
      </c>
      <c r="K66" s="16" t="str">
        <f aca="false">IF(H66&lt;=0.01,"Paid",IF(G66&gt;0,"Partially Paid","Unpaid"))</f>
        <v>Unpaid</v>
      </c>
    </row>
    <row r="67" customFormat="false" ht="15" hidden="false" customHeight="false" outlineLevel="0" collapsed="false">
      <c r="A67" s="16" t="str">
        <f aca="false">Vendor_Invoices_AP!A64</f>
        <v>INV30063</v>
      </c>
      <c r="B67" s="16" t="str">
        <f aca="false">Vendor_Invoices_AP!C64</f>
        <v>V1013</v>
      </c>
      <c r="C67" s="16" t="str">
        <f aca="false">IFERROR(INDEX(Vendor_Master!$B$2:$B$41,MATCH(B67,Vendor_Master!$A$2:$A$41,0)),"Unknown Vendor")</f>
        <v>Delacruz Group</v>
      </c>
      <c r="D67" s="17" t="n">
        <f aca="false">Vendor_Invoices_AP!D64</f>
        <v>45911</v>
      </c>
      <c r="E67" s="17" t="n">
        <f aca="false">Vendor_Invoices_AP!F64</f>
        <v>45926</v>
      </c>
      <c r="F67" s="18" t="n">
        <f aca="false">Vendor_Invoices_AP!E64</f>
        <v>5144.03</v>
      </c>
      <c r="G67" s="18" t="n">
        <f aca="false">SUMIFS(Payment_Log_AP!$E$2:$E$753,Payment_Log_AP!$B$2:$B$753,A67)</f>
        <v>5144.03</v>
      </c>
      <c r="H67" s="18" t="n">
        <f aca="false">F67-G67</f>
        <v>0</v>
      </c>
      <c r="I67" s="16" t="n">
        <f aca="false">IF(H67&lt;=0.01,0,MAX(Assumptions!$B$5-E67,0))</f>
        <v>0</v>
      </c>
      <c r="J67" s="16" t="str">
        <f aca="false">IF(H67&lt;=0.01,"Paid",IF(I67&lt;=30,"0-30",IF(I67&lt;=60,"31-60",IF(I67&lt;=90,"61-90","90+"))))</f>
        <v>Paid</v>
      </c>
      <c r="K67" s="16" t="str">
        <f aca="false">IF(H67&lt;=0.01,"Paid",IF(G67&gt;0,"Partially Paid","Unpaid"))</f>
        <v>Paid</v>
      </c>
    </row>
    <row r="68" customFormat="false" ht="15" hidden="false" customHeight="false" outlineLevel="0" collapsed="false">
      <c r="A68" s="16" t="str">
        <f aca="false">Vendor_Invoices_AP!A65</f>
        <v>INV30064</v>
      </c>
      <c r="B68" s="16" t="str">
        <f aca="false">Vendor_Invoices_AP!C65</f>
        <v>V1036</v>
      </c>
      <c r="C68" s="16" t="str">
        <f aca="false">IFERROR(INDEX(Vendor_Master!$B$2:$B$41,MATCH(B68,Vendor_Master!$A$2:$A$41,0)),"Unknown Vendor")</f>
        <v>Dennis Inc</v>
      </c>
      <c r="D68" s="17" t="n">
        <f aca="false">Vendor_Invoices_AP!D65</f>
        <v>45780</v>
      </c>
      <c r="E68" s="17" t="n">
        <f aca="false">Vendor_Invoices_AP!F65</f>
        <v>45825</v>
      </c>
      <c r="F68" s="18" t="n">
        <f aca="false">Vendor_Invoices_AP!E65</f>
        <v>2886.68</v>
      </c>
      <c r="G68" s="18" t="n">
        <f aca="false">SUMIFS(Payment_Log_AP!$E$2:$E$753,Payment_Log_AP!$B$2:$B$753,A68)</f>
        <v>0</v>
      </c>
      <c r="H68" s="18" t="n">
        <f aca="false">F68-G68</f>
        <v>2886.68</v>
      </c>
      <c r="I68" s="16" t="n">
        <f aca="false">IF(H68&lt;=0.01,0,MAX(Assumptions!$B$5-E68,0))</f>
        <v>409</v>
      </c>
      <c r="J68" s="16" t="str">
        <f aca="false">IF(H68&lt;=0.01,"Paid",IF(I68&lt;=30,"0-30",IF(I68&lt;=60,"31-60",IF(I68&lt;=90,"61-90","90+"))))</f>
        <v>90+</v>
      </c>
      <c r="K68" s="16" t="str">
        <f aca="false">IF(H68&lt;=0.01,"Paid",IF(G68&gt;0,"Partially Paid","Unpaid"))</f>
        <v>Unpaid</v>
      </c>
    </row>
    <row r="69" customFormat="false" ht="15" hidden="false" customHeight="false" outlineLevel="0" collapsed="false">
      <c r="A69" s="16" t="str">
        <f aca="false">Vendor_Invoices_AP!A66</f>
        <v>INV30065</v>
      </c>
      <c r="B69" s="16" t="str">
        <f aca="false">Vendor_Invoices_AP!C66</f>
        <v>V1038</v>
      </c>
      <c r="C69" s="16" t="str">
        <f aca="false">IFERROR(INDEX(Vendor_Master!$B$2:$B$41,MATCH(B69,Vendor_Master!$A$2:$A$41,0)),"Unknown Vendor")</f>
        <v>Rose-Obrien</v>
      </c>
      <c r="D69" s="17" t="n">
        <f aca="false">Vendor_Invoices_AP!D66</f>
        <v>45940</v>
      </c>
      <c r="E69" s="17" t="n">
        <f aca="false">Vendor_Invoices_AP!F66</f>
        <v>45970</v>
      </c>
      <c r="F69" s="18" t="n">
        <f aca="false">Vendor_Invoices_AP!E66</f>
        <v>5496.95</v>
      </c>
      <c r="G69" s="18" t="n">
        <f aca="false">SUMIFS(Payment_Log_AP!$E$2:$E$753,Payment_Log_AP!$B$2:$B$753,A69)</f>
        <v>5496.95</v>
      </c>
      <c r="H69" s="18" t="n">
        <f aca="false">F69-G69</f>
        <v>0</v>
      </c>
      <c r="I69" s="16" t="n">
        <f aca="false">IF(H69&lt;=0.01,0,MAX(Assumptions!$B$5-E69,0))</f>
        <v>0</v>
      </c>
      <c r="J69" s="16" t="str">
        <f aca="false">IF(H69&lt;=0.01,"Paid",IF(I69&lt;=30,"0-30",IF(I69&lt;=60,"31-60",IF(I69&lt;=90,"61-90","90+"))))</f>
        <v>Paid</v>
      </c>
      <c r="K69" s="16" t="str">
        <f aca="false">IF(H69&lt;=0.01,"Paid",IF(G69&gt;0,"Partially Paid","Unpaid"))</f>
        <v>Paid</v>
      </c>
    </row>
    <row r="70" customFormat="false" ht="15" hidden="false" customHeight="false" outlineLevel="0" collapsed="false">
      <c r="A70" s="16" t="str">
        <f aca="false">Vendor_Invoices_AP!A67</f>
        <v>INV30066</v>
      </c>
      <c r="B70" s="16" t="str">
        <f aca="false">Vendor_Invoices_AP!C67</f>
        <v>V1031</v>
      </c>
      <c r="C70" s="16" t="str">
        <f aca="false">IFERROR(INDEX(Vendor_Master!$B$2:$B$41,MATCH(B70,Vendor_Master!$A$2:$A$41,0)),"Unknown Vendor")</f>
        <v>Harrell LLC</v>
      </c>
      <c r="D70" s="17" t="n">
        <f aca="false">Vendor_Invoices_AP!D67</f>
        <v>46156</v>
      </c>
      <c r="E70" s="17" t="n">
        <f aca="false">Vendor_Invoices_AP!F67</f>
        <v>46171</v>
      </c>
      <c r="F70" s="18" t="n">
        <f aca="false">Vendor_Invoices_AP!E67</f>
        <v>1566.24</v>
      </c>
      <c r="G70" s="18" t="n">
        <f aca="false">SUMIFS(Payment_Log_AP!$E$2:$E$753,Payment_Log_AP!$B$2:$B$753,A70)</f>
        <v>1566.24</v>
      </c>
      <c r="H70" s="18" t="n">
        <f aca="false">F70-G70</f>
        <v>0</v>
      </c>
      <c r="I70" s="16" t="n">
        <f aca="false">IF(H70&lt;=0.01,0,MAX(Assumptions!$B$5-E70,0))</f>
        <v>0</v>
      </c>
      <c r="J70" s="16" t="str">
        <f aca="false">IF(H70&lt;=0.01,"Paid",IF(I70&lt;=30,"0-30",IF(I70&lt;=60,"31-60",IF(I70&lt;=90,"61-90","90+"))))</f>
        <v>Paid</v>
      </c>
      <c r="K70" s="16" t="str">
        <f aca="false">IF(H70&lt;=0.01,"Paid",IF(G70&gt;0,"Partially Paid","Unpaid"))</f>
        <v>Paid</v>
      </c>
    </row>
    <row r="71" customFormat="false" ht="15" hidden="false" customHeight="false" outlineLevel="0" collapsed="false">
      <c r="A71" s="16" t="str">
        <f aca="false">Vendor_Invoices_AP!A68</f>
        <v>INV30067</v>
      </c>
      <c r="B71" s="16" t="str">
        <f aca="false">Vendor_Invoices_AP!C68</f>
        <v>V1027</v>
      </c>
      <c r="C71" s="16" t="str">
        <f aca="false">IFERROR(INDEX(Vendor_Master!$B$2:$B$41,MATCH(B71,Vendor_Master!$A$2:$A$41,0)),"Unknown Vendor")</f>
        <v>Valencia, Smith and Le</v>
      </c>
      <c r="D71" s="17" t="n">
        <f aca="false">Vendor_Invoices_AP!D68</f>
        <v>46103</v>
      </c>
      <c r="E71" s="17" t="n">
        <f aca="false">Vendor_Invoices_AP!F68</f>
        <v>46148</v>
      </c>
      <c r="F71" s="18" t="n">
        <f aca="false">Vendor_Invoices_AP!E68</f>
        <v>17358.33</v>
      </c>
      <c r="G71" s="18" t="n">
        <f aca="false">SUMIFS(Payment_Log_AP!$E$2:$E$753,Payment_Log_AP!$B$2:$B$753,A71)</f>
        <v>17358.33</v>
      </c>
      <c r="H71" s="18" t="n">
        <f aca="false">F71-G71</f>
        <v>0</v>
      </c>
      <c r="I71" s="16" t="n">
        <f aca="false">IF(H71&lt;=0.01,0,MAX(Assumptions!$B$5-E71,0))</f>
        <v>0</v>
      </c>
      <c r="J71" s="16" t="str">
        <f aca="false">IF(H71&lt;=0.01,"Paid",IF(I71&lt;=30,"0-30",IF(I71&lt;=60,"31-60",IF(I71&lt;=90,"61-90","90+"))))</f>
        <v>Paid</v>
      </c>
      <c r="K71" s="16" t="str">
        <f aca="false">IF(H71&lt;=0.01,"Paid",IF(G71&gt;0,"Partially Paid","Unpaid"))</f>
        <v>Paid</v>
      </c>
    </row>
    <row r="72" customFormat="false" ht="15" hidden="false" customHeight="false" outlineLevel="0" collapsed="false">
      <c r="A72" s="16" t="str">
        <f aca="false">Vendor_Invoices_AP!A69</f>
        <v>INV30068</v>
      </c>
      <c r="B72" s="16" t="str">
        <f aca="false">Vendor_Invoices_AP!C69</f>
        <v>V1010</v>
      </c>
      <c r="C72" s="16" t="str">
        <f aca="false">IFERROR(INDEX(Vendor_Master!$B$2:$B$41,MATCH(B72,Vendor_Master!$A$2:$A$41,0)),"Unknown Vendor")</f>
        <v>Martinez, Nielsen and Miller</v>
      </c>
      <c r="D72" s="17" t="n">
        <f aca="false">Vendor_Invoices_AP!D69</f>
        <v>45773</v>
      </c>
      <c r="E72" s="17" t="n">
        <f aca="false">Vendor_Invoices_AP!F69</f>
        <v>45788</v>
      </c>
      <c r="F72" s="18" t="n">
        <f aca="false">Vendor_Invoices_AP!E69</f>
        <v>537.25</v>
      </c>
      <c r="G72" s="18" t="n">
        <f aca="false">SUMIFS(Payment_Log_AP!$E$2:$E$753,Payment_Log_AP!$B$2:$B$753,A72)</f>
        <v>537.25</v>
      </c>
      <c r="H72" s="18" t="n">
        <f aca="false">F72-G72</f>
        <v>0</v>
      </c>
      <c r="I72" s="16" t="n">
        <f aca="false">IF(H72&lt;=0.01,0,MAX(Assumptions!$B$5-E72,0))</f>
        <v>0</v>
      </c>
      <c r="J72" s="16" t="str">
        <f aca="false">IF(H72&lt;=0.01,"Paid",IF(I72&lt;=30,"0-30",IF(I72&lt;=60,"31-60",IF(I72&lt;=90,"61-90","90+"))))</f>
        <v>Paid</v>
      </c>
      <c r="K72" s="16" t="str">
        <f aca="false">IF(H72&lt;=0.01,"Paid",IF(G72&gt;0,"Partially Paid","Unpaid"))</f>
        <v>Paid</v>
      </c>
    </row>
    <row r="73" customFormat="false" ht="15" hidden="false" customHeight="false" outlineLevel="0" collapsed="false">
      <c r="A73" s="16" t="str">
        <f aca="false">Vendor_Invoices_AP!A70</f>
        <v>INV30069</v>
      </c>
      <c r="B73" s="16" t="str">
        <f aca="false">Vendor_Invoices_AP!C70</f>
        <v>V1014</v>
      </c>
      <c r="C73" s="16" t="str">
        <f aca="false">IFERROR(INDEX(Vendor_Master!$B$2:$B$41,MATCH(B73,Vendor_Master!$A$2:$A$41,0)),"Unknown Vendor")</f>
        <v>Flowers, Martin and Kelly</v>
      </c>
      <c r="D73" s="17" t="n">
        <f aca="false">Vendor_Invoices_AP!D70</f>
        <v>45726</v>
      </c>
      <c r="E73" s="17" t="n">
        <f aca="false">Vendor_Invoices_AP!F70</f>
        <v>45756</v>
      </c>
      <c r="F73" s="18" t="n">
        <f aca="false">Vendor_Invoices_AP!E70</f>
        <v>4040.21</v>
      </c>
      <c r="G73" s="18" t="n">
        <f aca="false">SUMIFS(Payment_Log_AP!$E$2:$E$753,Payment_Log_AP!$B$2:$B$753,A73)</f>
        <v>4040.21</v>
      </c>
      <c r="H73" s="18" t="n">
        <f aca="false">F73-G73</f>
        <v>0</v>
      </c>
      <c r="I73" s="16" t="n">
        <f aca="false">IF(H73&lt;=0.01,0,MAX(Assumptions!$B$5-E73,0))</f>
        <v>0</v>
      </c>
      <c r="J73" s="16" t="str">
        <f aca="false">IF(H73&lt;=0.01,"Paid",IF(I73&lt;=30,"0-30",IF(I73&lt;=60,"31-60",IF(I73&lt;=90,"61-90","90+"))))</f>
        <v>Paid</v>
      </c>
      <c r="K73" s="16" t="str">
        <f aca="false">IF(H73&lt;=0.01,"Paid",IF(G73&gt;0,"Partially Paid","Unpaid"))</f>
        <v>Paid</v>
      </c>
    </row>
    <row r="74" customFormat="false" ht="15" hidden="false" customHeight="false" outlineLevel="0" collapsed="false">
      <c r="A74" s="16" t="str">
        <f aca="false">Vendor_Invoices_AP!A71</f>
        <v>INV30070</v>
      </c>
      <c r="B74" s="16" t="str">
        <f aca="false">Vendor_Invoices_AP!C71</f>
        <v>V1002</v>
      </c>
      <c r="C74" s="16" t="str">
        <f aca="false">IFERROR(INDEX(Vendor_Master!$B$2:$B$41,MATCH(B74,Vendor_Master!$A$2:$A$41,0)),"Unknown Vendor")</f>
        <v>Garcia, Yang and Gardner</v>
      </c>
      <c r="D74" s="17" t="n">
        <f aca="false">Vendor_Invoices_AP!D71</f>
        <v>45959</v>
      </c>
      <c r="E74" s="17" t="n">
        <f aca="false">Vendor_Invoices_AP!F71</f>
        <v>45974</v>
      </c>
      <c r="F74" s="18" t="n">
        <f aca="false">Vendor_Invoices_AP!E71</f>
        <v>158.45</v>
      </c>
      <c r="G74" s="18" t="n">
        <f aca="false">SUMIFS(Payment_Log_AP!$E$2:$E$753,Payment_Log_AP!$B$2:$B$753,A74)</f>
        <v>158.45</v>
      </c>
      <c r="H74" s="18" t="n">
        <f aca="false">F74-G74</f>
        <v>0</v>
      </c>
      <c r="I74" s="16" t="n">
        <f aca="false">IF(H74&lt;=0.01,0,MAX(Assumptions!$B$5-E74,0))</f>
        <v>0</v>
      </c>
      <c r="J74" s="16" t="str">
        <f aca="false">IF(H74&lt;=0.01,"Paid",IF(I74&lt;=30,"0-30",IF(I74&lt;=60,"31-60",IF(I74&lt;=90,"61-90","90+"))))</f>
        <v>Paid</v>
      </c>
      <c r="K74" s="16" t="str">
        <f aca="false">IF(H74&lt;=0.01,"Paid",IF(G74&gt;0,"Partially Paid","Unpaid"))</f>
        <v>Paid</v>
      </c>
    </row>
    <row r="75" customFormat="false" ht="15" hidden="false" customHeight="false" outlineLevel="0" collapsed="false">
      <c r="A75" s="16" t="str">
        <f aca="false">Vendor_Invoices_AP!A72</f>
        <v>INV30071</v>
      </c>
      <c r="B75" s="16" t="str">
        <f aca="false">Vendor_Invoices_AP!C72</f>
        <v>V1010</v>
      </c>
      <c r="C75" s="16" t="str">
        <f aca="false">IFERROR(INDEX(Vendor_Master!$B$2:$B$41,MATCH(B75,Vendor_Master!$A$2:$A$41,0)),"Unknown Vendor")</f>
        <v>Martinez, Nielsen and Miller</v>
      </c>
      <c r="D75" s="17" t="n">
        <f aca="false">Vendor_Invoices_AP!D72</f>
        <v>46011</v>
      </c>
      <c r="E75" s="17" t="n">
        <f aca="false">Vendor_Invoices_AP!F72</f>
        <v>46026</v>
      </c>
      <c r="F75" s="18" t="n">
        <f aca="false">Vendor_Invoices_AP!E72</f>
        <v>2227.94</v>
      </c>
      <c r="G75" s="18" t="n">
        <f aca="false">SUMIFS(Payment_Log_AP!$E$2:$E$753,Payment_Log_AP!$B$2:$B$753,A75)</f>
        <v>2227.94</v>
      </c>
      <c r="H75" s="18" t="n">
        <f aca="false">F75-G75</f>
        <v>0</v>
      </c>
      <c r="I75" s="16" t="n">
        <f aca="false">IF(H75&lt;=0.01,0,MAX(Assumptions!$B$5-E75,0))</f>
        <v>0</v>
      </c>
      <c r="J75" s="16" t="str">
        <f aca="false">IF(H75&lt;=0.01,"Paid",IF(I75&lt;=30,"0-30",IF(I75&lt;=60,"31-60",IF(I75&lt;=90,"61-90","90+"))))</f>
        <v>Paid</v>
      </c>
      <c r="K75" s="16" t="str">
        <f aca="false">IF(H75&lt;=0.01,"Paid",IF(G75&gt;0,"Partially Paid","Unpaid"))</f>
        <v>Paid</v>
      </c>
    </row>
    <row r="76" customFormat="false" ht="15" hidden="false" customHeight="false" outlineLevel="0" collapsed="false">
      <c r="A76" s="16" t="str">
        <f aca="false">Vendor_Invoices_AP!A73</f>
        <v>INV30072</v>
      </c>
      <c r="B76" s="16" t="str">
        <f aca="false">Vendor_Invoices_AP!C73</f>
        <v>V1008</v>
      </c>
      <c r="C76" s="16" t="str">
        <f aca="false">IFERROR(INDEX(Vendor_Master!$B$2:$B$41,MATCH(B76,Vendor_Master!$A$2:$A$41,0)),"Unknown Vendor")</f>
        <v>Davis Inc</v>
      </c>
      <c r="D76" s="17" t="n">
        <f aca="false">Vendor_Invoices_AP!D73</f>
        <v>45865</v>
      </c>
      <c r="E76" s="17" t="n">
        <f aca="false">Vendor_Invoices_AP!F73</f>
        <v>45925</v>
      </c>
      <c r="F76" s="18" t="n">
        <f aca="false">Vendor_Invoices_AP!E73</f>
        <v>3409.89</v>
      </c>
      <c r="G76" s="18" t="n">
        <f aca="false">SUMIFS(Payment_Log_AP!$E$2:$E$753,Payment_Log_AP!$B$2:$B$753,A76)</f>
        <v>3409.89</v>
      </c>
      <c r="H76" s="18" t="n">
        <f aca="false">F76-G76</f>
        <v>0</v>
      </c>
      <c r="I76" s="16" t="n">
        <f aca="false">IF(H76&lt;=0.01,0,MAX(Assumptions!$B$5-E76,0))</f>
        <v>0</v>
      </c>
      <c r="J76" s="16" t="str">
        <f aca="false">IF(H76&lt;=0.01,"Paid",IF(I76&lt;=30,"0-30",IF(I76&lt;=60,"31-60",IF(I76&lt;=90,"61-90","90+"))))</f>
        <v>Paid</v>
      </c>
      <c r="K76" s="16" t="str">
        <f aca="false">IF(H76&lt;=0.01,"Paid",IF(G76&gt;0,"Partially Paid","Unpaid"))</f>
        <v>Paid</v>
      </c>
    </row>
    <row r="77" customFormat="false" ht="15" hidden="false" customHeight="false" outlineLevel="0" collapsed="false">
      <c r="A77" s="16" t="str">
        <f aca="false">Vendor_Invoices_AP!A74</f>
        <v>INV30073</v>
      </c>
      <c r="B77" s="16" t="str">
        <f aca="false">Vendor_Invoices_AP!C74</f>
        <v>V1011</v>
      </c>
      <c r="C77" s="16" t="str">
        <f aca="false">IFERROR(INDEX(Vendor_Master!$B$2:$B$41,MATCH(B77,Vendor_Master!$A$2:$A$41,0)),"Unknown Vendor")</f>
        <v>Montgomery, Hensley and Ray</v>
      </c>
      <c r="D77" s="17" t="n">
        <f aca="false">Vendor_Invoices_AP!D74</f>
        <v>46125</v>
      </c>
      <c r="E77" s="17" t="n">
        <f aca="false">Vendor_Invoices_AP!F74</f>
        <v>46170</v>
      </c>
      <c r="F77" s="18" t="n">
        <f aca="false">Vendor_Invoices_AP!E74</f>
        <v>426.18</v>
      </c>
      <c r="G77" s="18" t="n">
        <f aca="false">SUMIFS(Payment_Log_AP!$E$2:$E$753,Payment_Log_AP!$B$2:$B$753,A77)</f>
        <v>426.18</v>
      </c>
      <c r="H77" s="18" t="n">
        <f aca="false">F77-G77</f>
        <v>0</v>
      </c>
      <c r="I77" s="16" t="n">
        <f aca="false">IF(H77&lt;=0.01,0,MAX(Assumptions!$B$5-E77,0))</f>
        <v>0</v>
      </c>
      <c r="J77" s="16" t="str">
        <f aca="false">IF(H77&lt;=0.01,"Paid",IF(I77&lt;=30,"0-30",IF(I77&lt;=60,"31-60",IF(I77&lt;=90,"61-90","90+"))))</f>
        <v>Paid</v>
      </c>
      <c r="K77" s="16" t="str">
        <f aca="false">IF(H77&lt;=0.01,"Paid",IF(G77&gt;0,"Partially Paid","Unpaid"))</f>
        <v>Paid</v>
      </c>
    </row>
    <row r="78" customFormat="false" ht="15" hidden="false" customHeight="false" outlineLevel="0" collapsed="false">
      <c r="A78" s="16" t="str">
        <f aca="false">Vendor_Invoices_AP!A75</f>
        <v>INV30074</v>
      </c>
      <c r="B78" s="16" t="str">
        <f aca="false">Vendor_Invoices_AP!C75</f>
        <v>V1038</v>
      </c>
      <c r="C78" s="16" t="str">
        <f aca="false">IFERROR(INDEX(Vendor_Master!$B$2:$B$41,MATCH(B78,Vendor_Master!$A$2:$A$41,0)),"Unknown Vendor")</f>
        <v>Rose-Obrien</v>
      </c>
      <c r="D78" s="17" t="n">
        <f aca="false">Vendor_Invoices_AP!D75</f>
        <v>46088</v>
      </c>
      <c r="E78" s="17" t="n">
        <f aca="false">Vendor_Invoices_AP!F75</f>
        <v>46118</v>
      </c>
      <c r="F78" s="18" t="n">
        <f aca="false">Vendor_Invoices_AP!E75</f>
        <v>650.45</v>
      </c>
      <c r="G78" s="18" t="n">
        <f aca="false">SUMIFS(Payment_Log_AP!$E$2:$E$753,Payment_Log_AP!$B$2:$B$753,A78)</f>
        <v>650.45</v>
      </c>
      <c r="H78" s="18" t="n">
        <f aca="false">F78-G78</f>
        <v>0</v>
      </c>
      <c r="I78" s="16" t="n">
        <f aca="false">IF(H78&lt;=0.01,0,MAX(Assumptions!$B$5-E78,0))</f>
        <v>0</v>
      </c>
      <c r="J78" s="16" t="str">
        <f aca="false">IF(H78&lt;=0.01,"Paid",IF(I78&lt;=30,"0-30",IF(I78&lt;=60,"31-60",IF(I78&lt;=90,"61-90","90+"))))</f>
        <v>Paid</v>
      </c>
      <c r="K78" s="16" t="str">
        <f aca="false">IF(H78&lt;=0.01,"Paid",IF(G78&gt;0,"Partially Paid","Unpaid"))</f>
        <v>Paid</v>
      </c>
    </row>
    <row r="79" customFormat="false" ht="15" hidden="false" customHeight="false" outlineLevel="0" collapsed="false">
      <c r="A79" s="16" t="str">
        <f aca="false">Vendor_Invoices_AP!A76</f>
        <v>INV30075</v>
      </c>
      <c r="B79" s="16" t="str">
        <f aca="false">Vendor_Invoices_AP!C76</f>
        <v>V1009</v>
      </c>
      <c r="C79" s="16" t="str">
        <f aca="false">IFERROR(INDEX(Vendor_Master!$B$2:$B$41,MATCH(B79,Vendor_Master!$A$2:$A$41,0)),"Unknown Vendor")</f>
        <v>Munoz-Roman</v>
      </c>
      <c r="D79" s="17" t="n">
        <f aca="false">Vendor_Invoices_AP!D76</f>
        <v>46041</v>
      </c>
      <c r="E79" s="17" t="n">
        <f aca="false">Vendor_Invoices_AP!F76</f>
        <v>46071</v>
      </c>
      <c r="F79" s="18" t="n">
        <f aca="false">Vendor_Invoices_AP!E76</f>
        <v>173.05</v>
      </c>
      <c r="G79" s="18" t="n">
        <f aca="false">SUMIFS(Payment_Log_AP!$E$2:$E$753,Payment_Log_AP!$B$2:$B$753,A79)</f>
        <v>346.1</v>
      </c>
      <c r="H79" s="18" t="n">
        <f aca="false">F79-G79</f>
        <v>-173.05</v>
      </c>
      <c r="I79" s="16" t="n">
        <f aca="false">IF(H79&lt;=0.01,0,MAX(Assumptions!$B$5-E79,0))</f>
        <v>0</v>
      </c>
      <c r="J79" s="16" t="str">
        <f aca="false">IF(H79&lt;=0.01,"Paid",IF(I79&lt;=30,"0-30",IF(I79&lt;=60,"31-60",IF(I79&lt;=90,"61-90","90+"))))</f>
        <v>Paid</v>
      </c>
      <c r="K79" s="16" t="str">
        <f aca="false">IF(H79&lt;=0.01,"Paid",IF(G79&gt;0,"Partially Paid","Unpaid"))</f>
        <v>Paid</v>
      </c>
    </row>
    <row r="80" customFormat="false" ht="15" hidden="false" customHeight="false" outlineLevel="0" collapsed="false">
      <c r="A80" s="16" t="str">
        <f aca="false">Vendor_Invoices_AP!A77</f>
        <v>INV30076</v>
      </c>
      <c r="B80" s="16" t="str">
        <f aca="false">Vendor_Invoices_AP!C77</f>
        <v>V1029</v>
      </c>
      <c r="C80" s="16" t="str">
        <f aca="false">IFERROR(INDEX(Vendor_Master!$B$2:$B$41,MATCH(B80,Vendor_Master!$A$2:$A$41,0)),"Unknown Vendor")</f>
        <v>Chavez Ltd</v>
      </c>
      <c r="D80" s="17" t="n">
        <f aca="false">Vendor_Invoices_AP!D77</f>
        <v>45803</v>
      </c>
      <c r="E80" s="17" t="n">
        <f aca="false">Vendor_Invoices_AP!F77</f>
        <v>45863</v>
      </c>
      <c r="F80" s="18" t="n">
        <f aca="false">Vendor_Invoices_AP!E77</f>
        <v>1736.82</v>
      </c>
      <c r="G80" s="18" t="n">
        <f aca="false">SUMIFS(Payment_Log_AP!$E$2:$E$753,Payment_Log_AP!$B$2:$B$753,A80)</f>
        <v>0</v>
      </c>
      <c r="H80" s="18" t="n">
        <f aca="false">F80-G80</f>
        <v>1736.82</v>
      </c>
      <c r="I80" s="16" t="n">
        <f aca="false">IF(H80&lt;=0.01,0,MAX(Assumptions!$B$5-E80,0))</f>
        <v>371</v>
      </c>
      <c r="J80" s="16" t="str">
        <f aca="false">IF(H80&lt;=0.01,"Paid",IF(I80&lt;=30,"0-30",IF(I80&lt;=60,"31-60",IF(I80&lt;=90,"61-90","90+"))))</f>
        <v>90+</v>
      </c>
      <c r="K80" s="16" t="str">
        <f aca="false">IF(H80&lt;=0.01,"Paid",IF(G80&gt;0,"Partially Paid","Unpaid"))</f>
        <v>Unpaid</v>
      </c>
    </row>
    <row r="81" customFormat="false" ht="15" hidden="false" customHeight="false" outlineLevel="0" collapsed="false">
      <c r="A81" s="16" t="str">
        <f aca="false">Vendor_Invoices_AP!A78</f>
        <v>INV30077</v>
      </c>
      <c r="B81" s="16" t="str">
        <f aca="false">Vendor_Invoices_AP!C78</f>
        <v>V1017</v>
      </c>
      <c r="C81" s="16" t="str">
        <f aca="false">IFERROR(INDEX(Vendor_Master!$B$2:$B$41,MATCH(B81,Vendor_Master!$A$2:$A$41,0)),"Unknown Vendor")</f>
        <v>Hawkins, Cohen and Cameron</v>
      </c>
      <c r="D81" s="17" t="n">
        <f aca="false">Vendor_Invoices_AP!D78</f>
        <v>45774</v>
      </c>
      <c r="E81" s="17" t="n">
        <f aca="false">Vendor_Invoices_AP!F78</f>
        <v>45819</v>
      </c>
      <c r="F81" s="18" t="n">
        <f aca="false">Vendor_Invoices_AP!E78</f>
        <v>3225.76</v>
      </c>
      <c r="G81" s="18" t="n">
        <f aca="false">SUMIFS(Payment_Log_AP!$E$2:$E$753,Payment_Log_AP!$B$2:$B$753,A81)</f>
        <v>3225.76</v>
      </c>
      <c r="H81" s="18" t="n">
        <f aca="false">F81-G81</f>
        <v>0</v>
      </c>
      <c r="I81" s="16" t="n">
        <f aca="false">IF(H81&lt;=0.01,0,MAX(Assumptions!$B$5-E81,0))</f>
        <v>0</v>
      </c>
      <c r="J81" s="16" t="str">
        <f aca="false">IF(H81&lt;=0.01,"Paid",IF(I81&lt;=30,"0-30",IF(I81&lt;=60,"31-60",IF(I81&lt;=90,"61-90","90+"))))</f>
        <v>Paid</v>
      </c>
      <c r="K81" s="16" t="str">
        <f aca="false">IF(H81&lt;=0.01,"Paid",IF(G81&gt;0,"Partially Paid","Unpaid"))</f>
        <v>Paid</v>
      </c>
    </row>
    <row r="82" customFormat="false" ht="15" hidden="false" customHeight="false" outlineLevel="0" collapsed="false">
      <c r="A82" s="16" t="str">
        <f aca="false">Vendor_Invoices_AP!A79</f>
        <v>INV30078</v>
      </c>
      <c r="B82" s="16" t="str">
        <f aca="false">Vendor_Invoices_AP!C79</f>
        <v>V1014</v>
      </c>
      <c r="C82" s="16" t="str">
        <f aca="false">IFERROR(INDEX(Vendor_Master!$B$2:$B$41,MATCH(B82,Vendor_Master!$A$2:$A$41,0)),"Unknown Vendor")</f>
        <v>Flowers, Martin and Kelly</v>
      </c>
      <c r="D82" s="17" t="n">
        <f aca="false">Vendor_Invoices_AP!D79</f>
        <v>45680</v>
      </c>
      <c r="E82" s="17" t="n">
        <f aca="false">Vendor_Invoices_AP!F79</f>
        <v>45710</v>
      </c>
      <c r="F82" s="18" t="n">
        <f aca="false">Vendor_Invoices_AP!E79</f>
        <v>773.09</v>
      </c>
      <c r="G82" s="18" t="n">
        <f aca="false">SUMIFS(Payment_Log_AP!$E$2:$E$753,Payment_Log_AP!$B$2:$B$753,A82)</f>
        <v>773.09</v>
      </c>
      <c r="H82" s="18" t="n">
        <f aca="false">F82-G82</f>
        <v>0</v>
      </c>
      <c r="I82" s="16" t="n">
        <f aca="false">IF(H82&lt;=0.01,0,MAX(Assumptions!$B$5-E82,0))</f>
        <v>0</v>
      </c>
      <c r="J82" s="16" t="str">
        <f aca="false">IF(H82&lt;=0.01,"Paid",IF(I82&lt;=30,"0-30",IF(I82&lt;=60,"31-60",IF(I82&lt;=90,"61-90","90+"))))</f>
        <v>Paid</v>
      </c>
      <c r="K82" s="16" t="str">
        <f aca="false">IF(H82&lt;=0.01,"Paid",IF(G82&gt;0,"Partially Paid","Unpaid"))</f>
        <v>Paid</v>
      </c>
    </row>
    <row r="83" customFormat="false" ht="15" hidden="false" customHeight="false" outlineLevel="0" collapsed="false">
      <c r="A83" s="16" t="str">
        <f aca="false">Vendor_Invoices_AP!A80</f>
        <v>INV30079</v>
      </c>
      <c r="B83" s="16" t="str">
        <f aca="false">Vendor_Invoices_AP!C80</f>
        <v>V1024</v>
      </c>
      <c r="C83" s="16" t="str">
        <f aca="false">IFERROR(INDEX(Vendor_Master!$B$2:$B$41,MATCH(B83,Vendor_Master!$A$2:$A$41,0)),"Unknown Vendor")</f>
        <v>Campos Inc</v>
      </c>
      <c r="D83" s="17" t="n">
        <f aca="false">Vendor_Invoices_AP!D80</f>
        <v>45804</v>
      </c>
      <c r="E83" s="17" t="n">
        <f aca="false">Vendor_Invoices_AP!F80</f>
        <v>45864</v>
      </c>
      <c r="F83" s="18" t="n">
        <f aca="false">Vendor_Invoices_AP!E80</f>
        <v>3182.11</v>
      </c>
      <c r="G83" s="18" t="n">
        <f aca="false">SUMIFS(Payment_Log_AP!$E$2:$E$753,Payment_Log_AP!$B$2:$B$753,A83)</f>
        <v>3182.11</v>
      </c>
      <c r="H83" s="18" t="n">
        <f aca="false">F83-G83</f>
        <v>0</v>
      </c>
      <c r="I83" s="16" t="n">
        <f aca="false">IF(H83&lt;=0.01,0,MAX(Assumptions!$B$5-E83,0))</f>
        <v>0</v>
      </c>
      <c r="J83" s="16" t="str">
        <f aca="false">IF(H83&lt;=0.01,"Paid",IF(I83&lt;=30,"0-30",IF(I83&lt;=60,"31-60",IF(I83&lt;=90,"61-90","90+"))))</f>
        <v>Paid</v>
      </c>
      <c r="K83" s="16" t="str">
        <f aca="false">IF(H83&lt;=0.01,"Paid",IF(G83&gt;0,"Partially Paid","Unpaid"))</f>
        <v>Paid</v>
      </c>
    </row>
    <row r="84" customFormat="false" ht="15" hidden="false" customHeight="false" outlineLevel="0" collapsed="false">
      <c r="A84" s="16" t="str">
        <f aca="false">Vendor_Invoices_AP!A81</f>
        <v>INV30080</v>
      </c>
      <c r="B84" s="16" t="str">
        <f aca="false">Vendor_Invoices_AP!C81</f>
        <v>V1021</v>
      </c>
      <c r="C84" s="16" t="str">
        <f aca="false">IFERROR(INDEX(Vendor_Master!$B$2:$B$41,MATCH(B84,Vendor_Master!$A$2:$A$41,0)),"Unknown Vendor")</f>
        <v>Ellis, Baker and Wright</v>
      </c>
      <c r="D84" s="17" t="n">
        <f aca="false">Vendor_Invoices_AP!D81</f>
        <v>45923</v>
      </c>
      <c r="E84" s="17" t="n">
        <f aca="false">Vendor_Invoices_AP!F81</f>
        <v>45953</v>
      </c>
      <c r="F84" s="18" t="n">
        <f aca="false">Vendor_Invoices_AP!E81</f>
        <v>2202.92</v>
      </c>
      <c r="G84" s="18" t="n">
        <f aca="false">SUMIFS(Payment_Log_AP!$E$2:$E$753,Payment_Log_AP!$B$2:$B$753,A84)</f>
        <v>2202.92</v>
      </c>
      <c r="H84" s="18" t="n">
        <f aca="false">F84-G84</f>
        <v>0</v>
      </c>
      <c r="I84" s="16" t="n">
        <f aca="false">IF(H84&lt;=0.01,0,MAX(Assumptions!$B$5-E84,0))</f>
        <v>0</v>
      </c>
      <c r="J84" s="16" t="str">
        <f aca="false">IF(H84&lt;=0.01,"Paid",IF(I84&lt;=30,"0-30",IF(I84&lt;=60,"31-60",IF(I84&lt;=90,"61-90","90+"))))</f>
        <v>Paid</v>
      </c>
      <c r="K84" s="16" t="str">
        <f aca="false">IF(H84&lt;=0.01,"Paid",IF(G84&gt;0,"Partially Paid","Unpaid"))</f>
        <v>Paid</v>
      </c>
    </row>
    <row r="85" customFormat="false" ht="15" hidden="false" customHeight="false" outlineLevel="0" collapsed="false">
      <c r="A85" s="16" t="str">
        <f aca="false">Vendor_Invoices_AP!A82</f>
        <v>INV30081</v>
      </c>
      <c r="B85" s="16" t="str">
        <f aca="false">Vendor_Invoices_AP!C82</f>
        <v>V1021</v>
      </c>
      <c r="C85" s="16" t="str">
        <f aca="false">IFERROR(INDEX(Vendor_Master!$B$2:$B$41,MATCH(B85,Vendor_Master!$A$2:$A$41,0)),"Unknown Vendor")</f>
        <v>Ellis, Baker and Wright</v>
      </c>
      <c r="D85" s="17" t="n">
        <f aca="false">Vendor_Invoices_AP!D82</f>
        <v>45926</v>
      </c>
      <c r="E85" s="17" t="n">
        <f aca="false">Vendor_Invoices_AP!F82</f>
        <v>45956</v>
      </c>
      <c r="F85" s="18" t="n">
        <f aca="false">Vendor_Invoices_AP!E82</f>
        <v>2202.92</v>
      </c>
      <c r="G85" s="18" t="n">
        <f aca="false">SUMIFS(Payment_Log_AP!$E$2:$E$753,Payment_Log_AP!$B$2:$B$753,A85)</f>
        <v>2202.92</v>
      </c>
      <c r="H85" s="18" t="n">
        <f aca="false">F85-G85</f>
        <v>0</v>
      </c>
      <c r="I85" s="16" t="n">
        <f aca="false">IF(H85&lt;=0.01,0,MAX(Assumptions!$B$5-E85,0))</f>
        <v>0</v>
      </c>
      <c r="J85" s="16" t="str">
        <f aca="false">IF(H85&lt;=0.01,"Paid",IF(I85&lt;=30,"0-30",IF(I85&lt;=60,"31-60",IF(I85&lt;=90,"61-90","90+"))))</f>
        <v>Paid</v>
      </c>
      <c r="K85" s="16" t="str">
        <f aca="false">IF(H85&lt;=0.01,"Paid",IF(G85&gt;0,"Partially Paid","Unpaid"))</f>
        <v>Paid</v>
      </c>
    </row>
    <row r="86" customFormat="false" ht="15" hidden="false" customHeight="false" outlineLevel="0" collapsed="false">
      <c r="A86" s="16" t="str">
        <f aca="false">Vendor_Invoices_AP!A83</f>
        <v>INV30082</v>
      </c>
      <c r="B86" s="16" t="str">
        <f aca="false">Vendor_Invoices_AP!C83</f>
        <v>V1012</v>
      </c>
      <c r="C86" s="16" t="str">
        <f aca="false">IFERROR(INDEX(Vendor_Master!$B$2:$B$41,MATCH(B86,Vendor_Master!$A$2:$A$41,0)),"Unknown Vendor")</f>
        <v>Stanley LLC</v>
      </c>
      <c r="D86" s="17" t="n">
        <f aca="false">Vendor_Invoices_AP!D83</f>
        <v>46135</v>
      </c>
      <c r="E86" s="17" t="n">
        <f aca="false">Vendor_Invoices_AP!F83</f>
        <v>46195</v>
      </c>
      <c r="F86" s="18" t="n">
        <f aca="false">Vendor_Invoices_AP!E83</f>
        <v>13999.16</v>
      </c>
      <c r="G86" s="18" t="n">
        <f aca="false">SUMIFS(Payment_Log_AP!$E$2:$E$753,Payment_Log_AP!$B$2:$B$753,A86)</f>
        <v>13999.16</v>
      </c>
      <c r="H86" s="18" t="n">
        <f aca="false">F86-G86</f>
        <v>0</v>
      </c>
      <c r="I86" s="16" t="n">
        <f aca="false">IF(H86&lt;=0.01,0,MAX(Assumptions!$B$5-E86,0))</f>
        <v>0</v>
      </c>
      <c r="J86" s="16" t="str">
        <f aca="false">IF(H86&lt;=0.01,"Paid",IF(I86&lt;=30,"0-30",IF(I86&lt;=60,"31-60",IF(I86&lt;=90,"61-90","90+"))))</f>
        <v>Paid</v>
      </c>
      <c r="K86" s="16" t="str">
        <f aca="false">IF(H86&lt;=0.01,"Paid",IF(G86&gt;0,"Partially Paid","Unpaid"))</f>
        <v>Paid</v>
      </c>
    </row>
    <row r="87" customFormat="false" ht="15" hidden="false" customHeight="false" outlineLevel="0" collapsed="false">
      <c r="A87" s="16" t="str">
        <f aca="false">Vendor_Invoices_AP!A84</f>
        <v>INV30083</v>
      </c>
      <c r="B87" s="16" t="str">
        <f aca="false">Vendor_Invoices_AP!C84</f>
        <v>V1016</v>
      </c>
      <c r="C87" s="16" t="str">
        <f aca="false">IFERROR(INDEX(Vendor_Master!$B$2:$B$41,MATCH(B87,Vendor_Master!$A$2:$A$41,0)),"Unknown Vendor")</f>
        <v>Sanchez, Ford and Nelson</v>
      </c>
      <c r="D87" s="17" t="n">
        <f aca="false">Vendor_Invoices_AP!D84</f>
        <v>45699</v>
      </c>
      <c r="E87" s="17" t="n">
        <f aca="false">Vendor_Invoices_AP!F84</f>
        <v>45729</v>
      </c>
      <c r="F87" s="18" t="n">
        <f aca="false">Vendor_Invoices_AP!E84</f>
        <v>4652.88</v>
      </c>
      <c r="G87" s="18" t="n">
        <f aca="false">SUMIFS(Payment_Log_AP!$E$2:$E$753,Payment_Log_AP!$B$2:$B$753,A87)</f>
        <v>4652.88</v>
      </c>
      <c r="H87" s="18" t="n">
        <f aca="false">F87-G87</f>
        <v>0</v>
      </c>
      <c r="I87" s="16" t="n">
        <f aca="false">IF(H87&lt;=0.01,0,MAX(Assumptions!$B$5-E87,0))</f>
        <v>0</v>
      </c>
      <c r="J87" s="16" t="str">
        <f aca="false">IF(H87&lt;=0.01,"Paid",IF(I87&lt;=30,"0-30",IF(I87&lt;=60,"31-60",IF(I87&lt;=90,"61-90","90+"))))</f>
        <v>Paid</v>
      </c>
      <c r="K87" s="16" t="str">
        <f aca="false">IF(H87&lt;=0.01,"Paid",IF(G87&gt;0,"Partially Paid","Unpaid"))</f>
        <v>Paid</v>
      </c>
    </row>
    <row r="88" customFormat="false" ht="15" hidden="false" customHeight="false" outlineLevel="0" collapsed="false">
      <c r="A88" s="16" t="str">
        <f aca="false">Vendor_Invoices_AP!A85</f>
        <v>INV30084</v>
      </c>
      <c r="B88" s="16" t="str">
        <f aca="false">Vendor_Invoices_AP!C85</f>
        <v>V1005</v>
      </c>
      <c r="C88" s="16" t="str">
        <f aca="false">IFERROR(INDEX(Vendor_Master!$B$2:$B$41,MATCH(B88,Vendor_Master!$A$2:$A$41,0)),"Unknown Vendor")</f>
        <v>Cole LLC</v>
      </c>
      <c r="D88" s="17" t="n">
        <f aca="false">Vendor_Invoices_AP!D85</f>
        <v>45887</v>
      </c>
      <c r="E88" s="17" t="n">
        <f aca="false">Vendor_Invoices_AP!F85</f>
        <v>45902</v>
      </c>
      <c r="F88" s="18" t="n">
        <f aca="false">Vendor_Invoices_AP!E85</f>
        <v>131.26</v>
      </c>
      <c r="G88" s="18" t="n">
        <f aca="false">SUMIFS(Payment_Log_AP!$E$2:$E$753,Payment_Log_AP!$B$2:$B$753,A88)</f>
        <v>131.26</v>
      </c>
      <c r="H88" s="18" t="n">
        <f aca="false">F88-G88</f>
        <v>0</v>
      </c>
      <c r="I88" s="16" t="n">
        <f aca="false">IF(H88&lt;=0.01,0,MAX(Assumptions!$B$5-E88,0))</f>
        <v>0</v>
      </c>
      <c r="J88" s="16" t="str">
        <f aca="false">IF(H88&lt;=0.01,"Paid",IF(I88&lt;=30,"0-30",IF(I88&lt;=60,"31-60",IF(I88&lt;=90,"61-90","90+"))))</f>
        <v>Paid</v>
      </c>
      <c r="K88" s="16" t="str">
        <f aca="false">IF(H88&lt;=0.01,"Paid",IF(G88&gt;0,"Partially Paid","Unpaid"))</f>
        <v>Paid</v>
      </c>
    </row>
    <row r="89" customFormat="false" ht="15" hidden="false" customHeight="false" outlineLevel="0" collapsed="false">
      <c r="A89" s="16" t="str">
        <f aca="false">Vendor_Invoices_AP!A86</f>
        <v>INV30085</v>
      </c>
      <c r="B89" s="16" t="str">
        <f aca="false">Vendor_Invoices_AP!C86</f>
        <v>V1002</v>
      </c>
      <c r="C89" s="16" t="str">
        <f aca="false">IFERROR(INDEX(Vendor_Master!$B$2:$B$41,MATCH(B89,Vendor_Master!$A$2:$A$41,0)),"Unknown Vendor")</f>
        <v>Garcia, Yang and Gardner</v>
      </c>
      <c r="D89" s="17" t="n">
        <f aca="false">Vendor_Invoices_AP!D86</f>
        <v>46020</v>
      </c>
      <c r="E89" s="17" t="n">
        <f aca="false">Vendor_Invoices_AP!F86</f>
        <v>46035</v>
      </c>
      <c r="F89" s="18" t="n">
        <f aca="false">Vendor_Invoices_AP!E86</f>
        <v>370.46</v>
      </c>
      <c r="G89" s="18" t="n">
        <f aca="false">SUMIFS(Payment_Log_AP!$E$2:$E$753,Payment_Log_AP!$B$2:$B$753,A89)</f>
        <v>370.46</v>
      </c>
      <c r="H89" s="18" t="n">
        <f aca="false">F89-G89</f>
        <v>0</v>
      </c>
      <c r="I89" s="16" t="n">
        <f aca="false">IF(H89&lt;=0.01,0,MAX(Assumptions!$B$5-E89,0))</f>
        <v>0</v>
      </c>
      <c r="J89" s="16" t="str">
        <f aca="false">IF(H89&lt;=0.01,"Paid",IF(I89&lt;=30,"0-30",IF(I89&lt;=60,"31-60",IF(I89&lt;=90,"61-90","90+"))))</f>
        <v>Paid</v>
      </c>
      <c r="K89" s="16" t="str">
        <f aca="false">IF(H89&lt;=0.01,"Paid",IF(G89&gt;0,"Partially Paid","Unpaid"))</f>
        <v>Paid</v>
      </c>
    </row>
    <row r="90" customFormat="false" ht="15" hidden="false" customHeight="false" outlineLevel="0" collapsed="false">
      <c r="A90" s="16" t="str">
        <f aca="false">Vendor_Invoices_AP!A87</f>
        <v>INV30086</v>
      </c>
      <c r="B90" s="16" t="str">
        <f aca="false">Vendor_Invoices_AP!C87</f>
        <v>V1032</v>
      </c>
      <c r="C90" s="16" t="str">
        <f aca="false">IFERROR(INDEX(Vendor_Master!$B$2:$B$41,MATCH(B90,Vendor_Master!$A$2:$A$41,0)),"Unknown Vendor")</f>
        <v>Lynch, Hernandez and Farmer</v>
      </c>
      <c r="D90" s="17" t="n">
        <f aca="false">Vendor_Invoices_AP!D87</f>
        <v>45773</v>
      </c>
      <c r="E90" s="17" t="n">
        <f aca="false">Vendor_Invoices_AP!F87</f>
        <v>45833</v>
      </c>
      <c r="F90" s="18" t="n">
        <f aca="false">Vendor_Invoices_AP!E87</f>
        <v>2277.66</v>
      </c>
      <c r="G90" s="18" t="n">
        <f aca="false">SUMIFS(Payment_Log_AP!$E$2:$E$753,Payment_Log_AP!$B$2:$B$753,A90)</f>
        <v>0</v>
      </c>
      <c r="H90" s="18" t="n">
        <f aca="false">F90-G90</f>
        <v>2277.66</v>
      </c>
      <c r="I90" s="16" t="n">
        <f aca="false">IF(H90&lt;=0.01,0,MAX(Assumptions!$B$5-E90,0))</f>
        <v>401</v>
      </c>
      <c r="J90" s="16" t="str">
        <f aca="false">IF(H90&lt;=0.01,"Paid",IF(I90&lt;=30,"0-30",IF(I90&lt;=60,"31-60",IF(I90&lt;=90,"61-90","90+"))))</f>
        <v>90+</v>
      </c>
      <c r="K90" s="16" t="str">
        <f aca="false">IF(H90&lt;=0.01,"Paid",IF(G90&gt;0,"Partially Paid","Unpaid"))</f>
        <v>Unpaid</v>
      </c>
    </row>
    <row r="91" customFormat="false" ht="15" hidden="false" customHeight="false" outlineLevel="0" collapsed="false">
      <c r="A91" s="16" t="str">
        <f aca="false">Vendor_Invoices_AP!A88</f>
        <v>INV30087</v>
      </c>
      <c r="B91" s="16" t="str">
        <f aca="false">Vendor_Invoices_AP!C88</f>
        <v>V1014</v>
      </c>
      <c r="C91" s="16" t="str">
        <f aca="false">IFERROR(INDEX(Vendor_Master!$B$2:$B$41,MATCH(B91,Vendor_Master!$A$2:$A$41,0)),"Unknown Vendor")</f>
        <v>Flowers, Martin and Kelly</v>
      </c>
      <c r="D91" s="17" t="n">
        <f aca="false">Vendor_Invoices_AP!D88</f>
        <v>46053</v>
      </c>
      <c r="E91" s="17" t="n">
        <f aca="false">Vendor_Invoices_AP!F88</f>
        <v>46083</v>
      </c>
      <c r="F91" s="18" t="n">
        <f aca="false">Vendor_Invoices_AP!E88</f>
        <v>11559.96</v>
      </c>
      <c r="G91" s="18" t="n">
        <f aca="false">SUMIFS(Payment_Log_AP!$E$2:$E$753,Payment_Log_AP!$B$2:$B$753,A91)</f>
        <v>11559.96</v>
      </c>
      <c r="H91" s="18" t="n">
        <f aca="false">F91-G91</f>
        <v>0</v>
      </c>
      <c r="I91" s="16" t="n">
        <f aca="false">IF(H91&lt;=0.01,0,MAX(Assumptions!$B$5-E91,0))</f>
        <v>0</v>
      </c>
      <c r="J91" s="16" t="str">
        <f aca="false">IF(H91&lt;=0.01,"Paid",IF(I91&lt;=30,"0-30",IF(I91&lt;=60,"31-60",IF(I91&lt;=90,"61-90","90+"))))</f>
        <v>Paid</v>
      </c>
      <c r="K91" s="16" t="str">
        <f aca="false">IF(H91&lt;=0.01,"Paid",IF(G91&gt;0,"Partially Paid","Unpaid"))</f>
        <v>Paid</v>
      </c>
    </row>
    <row r="92" customFormat="false" ht="15" hidden="false" customHeight="false" outlineLevel="0" collapsed="false">
      <c r="A92" s="16" t="str">
        <f aca="false">Vendor_Invoices_AP!A89</f>
        <v>INV30088</v>
      </c>
      <c r="B92" s="16" t="str">
        <f aca="false">Vendor_Invoices_AP!C89</f>
        <v>V1035</v>
      </c>
      <c r="C92" s="16" t="str">
        <f aca="false">IFERROR(INDEX(Vendor_Master!$B$2:$B$41,MATCH(B92,Vendor_Master!$A$2:$A$41,0)),"Unknown Vendor")</f>
        <v>Allen PLC</v>
      </c>
      <c r="D92" s="17" t="n">
        <f aca="false">Vendor_Invoices_AP!D89</f>
        <v>45937</v>
      </c>
      <c r="E92" s="17" t="n">
        <f aca="false">Vendor_Invoices_AP!F89</f>
        <v>45952</v>
      </c>
      <c r="F92" s="18" t="n">
        <f aca="false">Vendor_Invoices_AP!E89</f>
        <v>1118.76</v>
      </c>
      <c r="G92" s="18" t="n">
        <f aca="false">SUMIFS(Payment_Log_AP!$E$2:$E$753,Payment_Log_AP!$B$2:$B$753,A92)</f>
        <v>1118.76</v>
      </c>
      <c r="H92" s="18" t="n">
        <f aca="false">F92-G92</f>
        <v>0</v>
      </c>
      <c r="I92" s="16" t="n">
        <f aca="false">IF(H92&lt;=0.01,0,MAX(Assumptions!$B$5-E92,0))</f>
        <v>0</v>
      </c>
      <c r="J92" s="16" t="str">
        <f aca="false">IF(H92&lt;=0.01,"Paid",IF(I92&lt;=30,"0-30",IF(I92&lt;=60,"31-60",IF(I92&lt;=90,"61-90","90+"))))</f>
        <v>Paid</v>
      </c>
      <c r="K92" s="16" t="str">
        <f aca="false">IF(H92&lt;=0.01,"Paid",IF(G92&gt;0,"Partially Paid","Unpaid"))</f>
        <v>Paid</v>
      </c>
    </row>
    <row r="93" customFormat="false" ht="15" hidden="false" customHeight="false" outlineLevel="0" collapsed="false">
      <c r="A93" s="16" t="str">
        <f aca="false">Vendor_Invoices_AP!A90</f>
        <v>INV30089</v>
      </c>
      <c r="B93" s="16" t="str">
        <f aca="false">Vendor_Invoices_AP!C90</f>
        <v>V1021</v>
      </c>
      <c r="C93" s="16" t="str">
        <f aca="false">IFERROR(INDEX(Vendor_Master!$B$2:$B$41,MATCH(B93,Vendor_Master!$A$2:$A$41,0)),"Unknown Vendor")</f>
        <v>Ellis, Baker and Wright</v>
      </c>
      <c r="D93" s="17" t="n">
        <f aca="false">Vendor_Invoices_AP!D90</f>
        <v>45809</v>
      </c>
      <c r="E93" s="17" t="n">
        <f aca="false">Vendor_Invoices_AP!F90</f>
        <v>45839</v>
      </c>
      <c r="F93" s="18" t="n">
        <f aca="false">Vendor_Invoices_AP!E90</f>
        <v>1602.67</v>
      </c>
      <c r="G93" s="18" t="n">
        <f aca="false">SUMIFS(Payment_Log_AP!$E$2:$E$753,Payment_Log_AP!$B$2:$B$753,A93)</f>
        <v>1602.67</v>
      </c>
      <c r="H93" s="18" t="n">
        <f aca="false">F93-G93</f>
        <v>0</v>
      </c>
      <c r="I93" s="16" t="n">
        <f aca="false">IF(H93&lt;=0.01,0,MAX(Assumptions!$B$5-E93,0))</f>
        <v>0</v>
      </c>
      <c r="J93" s="16" t="str">
        <f aca="false">IF(H93&lt;=0.01,"Paid",IF(I93&lt;=30,"0-30",IF(I93&lt;=60,"31-60",IF(I93&lt;=90,"61-90","90+"))))</f>
        <v>Paid</v>
      </c>
      <c r="K93" s="16" t="str">
        <f aca="false">IF(H93&lt;=0.01,"Paid",IF(G93&gt;0,"Partially Paid","Unpaid"))</f>
        <v>Paid</v>
      </c>
    </row>
    <row r="94" customFormat="false" ht="15" hidden="false" customHeight="false" outlineLevel="0" collapsed="false">
      <c r="A94" s="16" t="str">
        <f aca="false">Vendor_Invoices_AP!A91</f>
        <v>INV30090</v>
      </c>
      <c r="B94" s="16" t="str">
        <f aca="false">Vendor_Invoices_AP!C91</f>
        <v>V1009</v>
      </c>
      <c r="C94" s="16" t="str">
        <f aca="false">IFERROR(INDEX(Vendor_Master!$B$2:$B$41,MATCH(B94,Vendor_Master!$A$2:$A$41,0)),"Unknown Vendor")</f>
        <v>Munoz-Roman</v>
      </c>
      <c r="D94" s="17" t="n">
        <f aca="false">Vendor_Invoices_AP!D91</f>
        <v>46020</v>
      </c>
      <c r="E94" s="17" t="n">
        <f aca="false">Vendor_Invoices_AP!F91</f>
        <v>46050</v>
      </c>
      <c r="F94" s="18" t="n">
        <f aca="false">Vendor_Invoices_AP!E91</f>
        <v>2430.96</v>
      </c>
      <c r="G94" s="18" t="n">
        <f aca="false">SUMIFS(Payment_Log_AP!$E$2:$E$753,Payment_Log_AP!$B$2:$B$753,A94)</f>
        <v>0</v>
      </c>
      <c r="H94" s="18" t="n">
        <f aca="false">F94-G94</f>
        <v>2430.96</v>
      </c>
      <c r="I94" s="16" t="n">
        <f aca="false">IF(H94&lt;=0.01,0,MAX(Assumptions!$B$5-E94,0))</f>
        <v>184</v>
      </c>
      <c r="J94" s="16" t="str">
        <f aca="false">IF(H94&lt;=0.01,"Paid",IF(I94&lt;=30,"0-30",IF(I94&lt;=60,"31-60",IF(I94&lt;=90,"61-90","90+"))))</f>
        <v>90+</v>
      </c>
      <c r="K94" s="16" t="str">
        <f aca="false">IF(H94&lt;=0.01,"Paid",IF(G94&gt;0,"Partially Paid","Unpaid"))</f>
        <v>Unpaid</v>
      </c>
    </row>
    <row r="95" customFormat="false" ht="15" hidden="false" customHeight="false" outlineLevel="0" collapsed="false">
      <c r="A95" s="16" t="str">
        <f aca="false">Vendor_Invoices_AP!A92</f>
        <v>INV30091</v>
      </c>
      <c r="B95" s="16" t="str">
        <f aca="false">Vendor_Invoices_AP!C92</f>
        <v>V1002</v>
      </c>
      <c r="C95" s="16" t="str">
        <f aca="false">IFERROR(INDEX(Vendor_Master!$B$2:$B$41,MATCH(B95,Vendor_Master!$A$2:$A$41,0)),"Unknown Vendor")</f>
        <v>Garcia, Yang and Gardner</v>
      </c>
      <c r="D95" s="17" t="n">
        <f aca="false">Vendor_Invoices_AP!D92</f>
        <v>45680</v>
      </c>
      <c r="E95" s="17" t="n">
        <f aca="false">Vendor_Invoices_AP!F92</f>
        <v>45695</v>
      </c>
      <c r="F95" s="18" t="n">
        <f aca="false">Vendor_Invoices_AP!E92</f>
        <v>1239.53</v>
      </c>
      <c r="G95" s="18" t="n">
        <f aca="false">SUMIFS(Payment_Log_AP!$E$2:$E$753,Payment_Log_AP!$B$2:$B$753,A95)</f>
        <v>1239.53</v>
      </c>
      <c r="H95" s="18" t="n">
        <f aca="false">F95-G95</f>
        <v>0</v>
      </c>
      <c r="I95" s="16" t="n">
        <f aca="false">IF(H95&lt;=0.01,0,MAX(Assumptions!$B$5-E95,0))</f>
        <v>0</v>
      </c>
      <c r="J95" s="16" t="str">
        <f aca="false">IF(H95&lt;=0.01,"Paid",IF(I95&lt;=30,"0-30",IF(I95&lt;=60,"31-60",IF(I95&lt;=90,"61-90","90+"))))</f>
        <v>Paid</v>
      </c>
      <c r="K95" s="16" t="str">
        <f aca="false">IF(H95&lt;=0.01,"Paid",IF(G95&gt;0,"Partially Paid","Unpaid"))</f>
        <v>Paid</v>
      </c>
    </row>
    <row r="96" customFormat="false" ht="15" hidden="false" customHeight="false" outlineLevel="0" collapsed="false">
      <c r="A96" s="16" t="str">
        <f aca="false">Vendor_Invoices_AP!A93</f>
        <v>INV30092</v>
      </c>
      <c r="B96" s="16" t="str">
        <f aca="false">Vendor_Invoices_AP!C93</f>
        <v>V1030</v>
      </c>
      <c r="C96" s="16" t="str">
        <f aca="false">IFERROR(INDEX(Vendor_Master!$B$2:$B$41,MATCH(B96,Vendor_Master!$A$2:$A$41,0)),"Unknown Vendor")</f>
        <v>Stanton-Gill</v>
      </c>
      <c r="D96" s="17" t="n">
        <f aca="false">Vendor_Invoices_AP!D93</f>
        <v>46091</v>
      </c>
      <c r="E96" s="17" t="n">
        <f aca="false">Vendor_Invoices_AP!F93</f>
        <v>46151</v>
      </c>
      <c r="F96" s="18" t="n">
        <f aca="false">Vendor_Invoices_AP!E93</f>
        <v>6686.22</v>
      </c>
      <c r="G96" s="18" t="n">
        <f aca="false">SUMIFS(Payment_Log_AP!$E$2:$E$753,Payment_Log_AP!$B$2:$B$753,A96)</f>
        <v>6686.22</v>
      </c>
      <c r="H96" s="18" t="n">
        <f aca="false">F96-G96</f>
        <v>0</v>
      </c>
      <c r="I96" s="16" t="n">
        <f aca="false">IF(H96&lt;=0.01,0,MAX(Assumptions!$B$5-E96,0))</f>
        <v>0</v>
      </c>
      <c r="J96" s="16" t="str">
        <f aca="false">IF(H96&lt;=0.01,"Paid",IF(I96&lt;=30,"0-30",IF(I96&lt;=60,"31-60",IF(I96&lt;=90,"61-90","90+"))))</f>
        <v>Paid</v>
      </c>
      <c r="K96" s="16" t="str">
        <f aca="false">IF(H96&lt;=0.01,"Paid",IF(G96&gt;0,"Partially Paid","Unpaid"))</f>
        <v>Paid</v>
      </c>
    </row>
    <row r="97" customFormat="false" ht="15" hidden="false" customHeight="false" outlineLevel="0" collapsed="false">
      <c r="A97" s="16" t="str">
        <f aca="false">Vendor_Invoices_AP!A94</f>
        <v>INV30093</v>
      </c>
      <c r="B97" s="16" t="str">
        <f aca="false">Vendor_Invoices_AP!C94</f>
        <v>V1015</v>
      </c>
      <c r="C97" s="16" t="str">
        <f aca="false">IFERROR(INDEX(Vendor_Master!$B$2:$B$41,MATCH(B97,Vendor_Master!$A$2:$A$41,0)),"Unknown Vendor")</f>
        <v>Zuniga, Wong and Lynch</v>
      </c>
      <c r="D97" s="17" t="n">
        <f aca="false">Vendor_Invoices_AP!D94</f>
        <v>46094</v>
      </c>
      <c r="E97" s="17" t="n">
        <f aca="false">Vendor_Invoices_AP!F94</f>
        <v>46124</v>
      </c>
      <c r="F97" s="18" t="n">
        <f aca="false">Vendor_Invoices_AP!E94</f>
        <v>3940.78</v>
      </c>
      <c r="G97" s="18" t="n">
        <f aca="false">SUMIFS(Payment_Log_AP!$E$2:$E$753,Payment_Log_AP!$B$2:$B$753,A97)</f>
        <v>3940.78</v>
      </c>
      <c r="H97" s="18" t="n">
        <f aca="false">F97-G97</f>
        <v>0</v>
      </c>
      <c r="I97" s="16" t="n">
        <f aca="false">IF(H97&lt;=0.01,0,MAX(Assumptions!$B$5-E97,0))</f>
        <v>0</v>
      </c>
      <c r="J97" s="16" t="str">
        <f aca="false">IF(H97&lt;=0.01,"Paid",IF(I97&lt;=30,"0-30",IF(I97&lt;=60,"31-60",IF(I97&lt;=90,"61-90","90+"))))</f>
        <v>Paid</v>
      </c>
      <c r="K97" s="16" t="str">
        <f aca="false">IF(H97&lt;=0.01,"Paid",IF(G97&gt;0,"Partially Paid","Unpaid"))</f>
        <v>Paid</v>
      </c>
    </row>
    <row r="98" customFormat="false" ht="15" hidden="false" customHeight="false" outlineLevel="0" collapsed="false">
      <c r="A98" s="16" t="str">
        <f aca="false">Vendor_Invoices_AP!A95</f>
        <v>INV30094</v>
      </c>
      <c r="B98" s="16" t="str">
        <f aca="false">Vendor_Invoices_AP!C95</f>
        <v>V1036</v>
      </c>
      <c r="C98" s="16" t="str">
        <f aca="false">IFERROR(INDEX(Vendor_Master!$B$2:$B$41,MATCH(B98,Vendor_Master!$A$2:$A$41,0)),"Unknown Vendor")</f>
        <v>Dennis Inc</v>
      </c>
      <c r="D98" s="17" t="n">
        <f aca="false">Vendor_Invoices_AP!D95</f>
        <v>45732</v>
      </c>
      <c r="E98" s="17" t="n">
        <f aca="false">Vendor_Invoices_AP!F95</f>
        <v>45777</v>
      </c>
      <c r="F98" s="18" t="n">
        <f aca="false">Vendor_Invoices_AP!E95</f>
        <v>625.95</v>
      </c>
      <c r="G98" s="18" t="n">
        <f aca="false">SUMIFS(Payment_Log_AP!$E$2:$E$753,Payment_Log_AP!$B$2:$B$753,A98)</f>
        <v>625.95</v>
      </c>
      <c r="H98" s="18" t="n">
        <f aca="false">F98-G98</f>
        <v>0</v>
      </c>
      <c r="I98" s="16" t="n">
        <f aca="false">IF(H98&lt;=0.01,0,MAX(Assumptions!$B$5-E98,0))</f>
        <v>0</v>
      </c>
      <c r="J98" s="16" t="str">
        <f aca="false">IF(H98&lt;=0.01,"Paid",IF(I98&lt;=30,"0-30",IF(I98&lt;=60,"31-60",IF(I98&lt;=90,"61-90","90+"))))</f>
        <v>Paid</v>
      </c>
      <c r="K98" s="16" t="str">
        <f aca="false">IF(H98&lt;=0.01,"Paid",IF(G98&gt;0,"Partially Paid","Unpaid"))</f>
        <v>Paid</v>
      </c>
    </row>
    <row r="99" customFormat="false" ht="15" hidden="false" customHeight="false" outlineLevel="0" collapsed="false">
      <c r="A99" s="16" t="str">
        <f aca="false">Vendor_Invoices_AP!A96</f>
        <v>INV30095</v>
      </c>
      <c r="B99" s="16" t="str">
        <f aca="false">Vendor_Invoices_AP!C96</f>
        <v>V1010</v>
      </c>
      <c r="C99" s="16" t="str">
        <f aca="false">IFERROR(INDEX(Vendor_Master!$B$2:$B$41,MATCH(B99,Vendor_Master!$A$2:$A$41,0)),"Unknown Vendor")</f>
        <v>Martinez, Nielsen and Miller</v>
      </c>
      <c r="D99" s="17" t="n">
        <f aca="false">Vendor_Invoices_AP!D96</f>
        <v>45891</v>
      </c>
      <c r="E99" s="17" t="n">
        <f aca="false">Vendor_Invoices_AP!F96</f>
        <v>45906</v>
      </c>
      <c r="F99" s="18" t="n">
        <f aca="false">Vendor_Invoices_AP!E96</f>
        <v>5061.76</v>
      </c>
      <c r="G99" s="18" t="n">
        <f aca="false">SUMIFS(Payment_Log_AP!$E$2:$E$753,Payment_Log_AP!$B$2:$B$753,A99)</f>
        <v>0</v>
      </c>
      <c r="H99" s="18" t="n">
        <f aca="false">F99-G99</f>
        <v>5061.76</v>
      </c>
      <c r="I99" s="16" t="n">
        <f aca="false">IF(H99&lt;=0.01,0,MAX(Assumptions!$B$5-E99,0))</f>
        <v>328</v>
      </c>
      <c r="J99" s="16" t="str">
        <f aca="false">IF(H99&lt;=0.01,"Paid",IF(I99&lt;=30,"0-30",IF(I99&lt;=60,"31-60",IF(I99&lt;=90,"61-90","90+"))))</f>
        <v>90+</v>
      </c>
      <c r="K99" s="16" t="str">
        <f aca="false">IF(H99&lt;=0.01,"Paid",IF(G99&gt;0,"Partially Paid","Unpaid"))</f>
        <v>Unpaid</v>
      </c>
    </row>
    <row r="100" customFormat="false" ht="15" hidden="false" customHeight="false" outlineLevel="0" collapsed="false">
      <c r="A100" s="16" t="str">
        <f aca="false">Vendor_Invoices_AP!A97</f>
        <v>INV30096</v>
      </c>
      <c r="B100" s="16" t="str">
        <f aca="false">Vendor_Invoices_AP!C97</f>
        <v>V1026</v>
      </c>
      <c r="C100" s="16" t="str">
        <f aca="false">IFERROR(INDEX(Vendor_Master!$B$2:$B$41,MATCH(B100,Vendor_Master!$A$2:$A$41,0)),"Unknown Vendor")</f>
        <v>James-Ferrell</v>
      </c>
      <c r="D100" s="17" t="n">
        <f aca="false">Vendor_Invoices_AP!D97</f>
        <v>45767</v>
      </c>
      <c r="E100" s="17" t="n">
        <f aca="false">Vendor_Invoices_AP!F97</f>
        <v>45827</v>
      </c>
      <c r="F100" s="18" t="n">
        <f aca="false">Vendor_Invoices_AP!E97</f>
        <v>2302.86</v>
      </c>
      <c r="G100" s="18" t="n">
        <f aca="false">SUMIFS(Payment_Log_AP!$E$2:$E$753,Payment_Log_AP!$B$2:$B$753,A100)</f>
        <v>2302.86</v>
      </c>
      <c r="H100" s="18" t="n">
        <f aca="false">F100-G100</f>
        <v>0</v>
      </c>
      <c r="I100" s="16" t="n">
        <f aca="false">IF(H100&lt;=0.01,0,MAX(Assumptions!$B$5-E100,0))</f>
        <v>0</v>
      </c>
      <c r="J100" s="16" t="str">
        <f aca="false">IF(H100&lt;=0.01,"Paid",IF(I100&lt;=30,"0-30",IF(I100&lt;=60,"31-60",IF(I100&lt;=90,"61-90","90+"))))</f>
        <v>Paid</v>
      </c>
      <c r="K100" s="16" t="str">
        <f aca="false">IF(H100&lt;=0.01,"Paid",IF(G100&gt;0,"Partially Paid","Unpaid"))</f>
        <v>Paid</v>
      </c>
    </row>
    <row r="101" customFormat="false" ht="15" hidden="false" customHeight="false" outlineLevel="0" collapsed="false">
      <c r="A101" s="16" t="str">
        <f aca="false">Vendor_Invoices_AP!A98</f>
        <v>INV30097</v>
      </c>
      <c r="B101" s="16" t="str">
        <f aca="false">Vendor_Invoices_AP!C98</f>
        <v>V1026</v>
      </c>
      <c r="C101" s="16" t="str">
        <f aca="false">IFERROR(INDEX(Vendor_Master!$B$2:$B$41,MATCH(B101,Vendor_Master!$A$2:$A$41,0)),"Unknown Vendor")</f>
        <v>James-Ferrell</v>
      </c>
      <c r="D101" s="17" t="n">
        <f aca="false">Vendor_Invoices_AP!D98</f>
        <v>46203</v>
      </c>
      <c r="E101" s="17" t="n">
        <f aca="false">Vendor_Invoices_AP!F98</f>
        <v>46263</v>
      </c>
      <c r="F101" s="18" t="n">
        <f aca="false">Vendor_Invoices_AP!E98</f>
        <v>420.44</v>
      </c>
      <c r="G101" s="18" t="n">
        <f aca="false">SUMIFS(Payment_Log_AP!$E$2:$E$753,Payment_Log_AP!$B$2:$B$753,A101)</f>
        <v>0</v>
      </c>
      <c r="H101" s="18" t="n">
        <f aca="false">F101-G101</f>
        <v>420.44</v>
      </c>
      <c r="I101" s="16" t="n">
        <f aca="false">IF(H101&lt;=0.01,0,MAX(Assumptions!$B$5-E101,0))</f>
        <v>0</v>
      </c>
      <c r="J101" s="16" t="str">
        <f aca="false">IF(H101&lt;=0.01,"Paid",IF(I101&lt;=30,"0-30",IF(I101&lt;=60,"31-60",IF(I101&lt;=90,"61-90","90+"))))</f>
        <v>0-30</v>
      </c>
      <c r="K101" s="16" t="str">
        <f aca="false">IF(H101&lt;=0.01,"Paid",IF(G101&gt;0,"Partially Paid","Unpaid"))</f>
        <v>Unpaid</v>
      </c>
    </row>
    <row r="102" customFormat="false" ht="15" hidden="false" customHeight="false" outlineLevel="0" collapsed="false">
      <c r="A102" s="16" t="str">
        <f aca="false">Vendor_Invoices_AP!A99</f>
        <v>INV30098</v>
      </c>
      <c r="B102" s="16" t="str">
        <f aca="false">Vendor_Invoices_AP!C99</f>
        <v>V1026</v>
      </c>
      <c r="C102" s="16" t="str">
        <f aca="false">IFERROR(INDEX(Vendor_Master!$B$2:$B$41,MATCH(B102,Vendor_Master!$A$2:$A$41,0)),"Unknown Vendor")</f>
        <v>James-Ferrell</v>
      </c>
      <c r="D102" s="17" t="n">
        <f aca="false">Vendor_Invoices_AP!D99</f>
        <v>45955</v>
      </c>
      <c r="E102" s="17" t="n">
        <f aca="false">Vendor_Invoices_AP!F99</f>
        <v>46015</v>
      </c>
      <c r="F102" s="18" t="n">
        <f aca="false">Vendor_Invoices_AP!E99</f>
        <v>226.65</v>
      </c>
      <c r="G102" s="18" t="n">
        <f aca="false">SUMIFS(Payment_Log_AP!$E$2:$E$753,Payment_Log_AP!$B$2:$B$753,A102)</f>
        <v>226.65</v>
      </c>
      <c r="H102" s="18" t="n">
        <f aca="false">F102-G102</f>
        <v>0</v>
      </c>
      <c r="I102" s="16" t="n">
        <f aca="false">IF(H102&lt;=0.01,0,MAX(Assumptions!$B$5-E102,0))</f>
        <v>0</v>
      </c>
      <c r="J102" s="16" t="str">
        <f aca="false">IF(H102&lt;=0.01,"Paid",IF(I102&lt;=30,"0-30",IF(I102&lt;=60,"31-60",IF(I102&lt;=90,"61-90","90+"))))</f>
        <v>Paid</v>
      </c>
      <c r="K102" s="16" t="str">
        <f aca="false">IF(H102&lt;=0.01,"Paid",IF(G102&gt;0,"Partially Paid","Unpaid"))</f>
        <v>Paid</v>
      </c>
    </row>
    <row r="103" customFormat="false" ht="15" hidden="false" customHeight="false" outlineLevel="0" collapsed="false">
      <c r="A103" s="16" t="str">
        <f aca="false">Vendor_Invoices_AP!A100</f>
        <v>INV30099</v>
      </c>
      <c r="B103" s="16" t="str">
        <f aca="false">Vendor_Invoices_AP!C100</f>
        <v>V1006</v>
      </c>
      <c r="C103" s="16" t="str">
        <f aca="false">IFERROR(INDEX(Vendor_Master!$B$2:$B$41,MATCH(B103,Vendor_Master!$A$2:$A$41,0)),"Unknown Vendor")</f>
        <v>Blake and Sons</v>
      </c>
      <c r="D103" s="17" t="n">
        <f aca="false">Vendor_Invoices_AP!D100</f>
        <v>45687</v>
      </c>
      <c r="E103" s="17" t="n">
        <f aca="false">Vendor_Invoices_AP!F100</f>
        <v>45747</v>
      </c>
      <c r="F103" s="18" t="n">
        <f aca="false">Vendor_Invoices_AP!E100</f>
        <v>814.32</v>
      </c>
      <c r="G103" s="18" t="n">
        <f aca="false">SUMIFS(Payment_Log_AP!$E$2:$E$753,Payment_Log_AP!$B$2:$B$753,A103)</f>
        <v>814.32</v>
      </c>
      <c r="H103" s="18" t="n">
        <f aca="false">F103-G103</f>
        <v>0</v>
      </c>
      <c r="I103" s="16" t="n">
        <f aca="false">IF(H103&lt;=0.01,0,MAX(Assumptions!$B$5-E103,0))</f>
        <v>0</v>
      </c>
      <c r="J103" s="16" t="str">
        <f aca="false">IF(H103&lt;=0.01,"Paid",IF(I103&lt;=30,"0-30",IF(I103&lt;=60,"31-60",IF(I103&lt;=90,"61-90","90+"))))</f>
        <v>Paid</v>
      </c>
      <c r="K103" s="16" t="str">
        <f aca="false">IF(H103&lt;=0.01,"Paid",IF(G103&gt;0,"Partially Paid","Unpaid"))</f>
        <v>Paid</v>
      </c>
    </row>
    <row r="104" customFormat="false" ht="15" hidden="false" customHeight="false" outlineLevel="0" collapsed="false">
      <c r="A104" s="16" t="str">
        <f aca="false">Vendor_Invoices_AP!A101</f>
        <v>INV30100</v>
      </c>
      <c r="B104" s="16" t="str">
        <f aca="false">Vendor_Invoices_AP!C101</f>
        <v>V1031</v>
      </c>
      <c r="C104" s="16" t="str">
        <f aca="false">IFERROR(INDEX(Vendor_Master!$B$2:$B$41,MATCH(B104,Vendor_Master!$A$2:$A$41,0)),"Unknown Vendor")</f>
        <v>Harrell LLC</v>
      </c>
      <c r="D104" s="17" t="n">
        <f aca="false">Vendor_Invoices_AP!D101</f>
        <v>45804</v>
      </c>
      <c r="E104" s="17" t="n">
        <f aca="false">Vendor_Invoices_AP!F101</f>
        <v>45819</v>
      </c>
      <c r="F104" s="18" t="n">
        <f aca="false">Vendor_Invoices_AP!E101</f>
        <v>1618.39</v>
      </c>
      <c r="G104" s="18" t="n">
        <f aca="false">SUMIFS(Payment_Log_AP!$E$2:$E$753,Payment_Log_AP!$B$2:$B$753,A104)</f>
        <v>1618.39</v>
      </c>
      <c r="H104" s="18" t="n">
        <f aca="false">F104-G104</f>
        <v>0</v>
      </c>
      <c r="I104" s="16" t="n">
        <f aca="false">IF(H104&lt;=0.01,0,MAX(Assumptions!$B$5-E104,0))</f>
        <v>0</v>
      </c>
      <c r="J104" s="16" t="str">
        <f aca="false">IF(H104&lt;=0.01,"Paid",IF(I104&lt;=30,"0-30",IF(I104&lt;=60,"31-60",IF(I104&lt;=90,"61-90","90+"))))</f>
        <v>Paid</v>
      </c>
      <c r="K104" s="16" t="str">
        <f aca="false">IF(H104&lt;=0.01,"Paid",IF(G104&gt;0,"Partially Paid","Unpaid"))</f>
        <v>Paid</v>
      </c>
    </row>
    <row r="105" customFormat="false" ht="15" hidden="false" customHeight="false" outlineLevel="0" collapsed="false">
      <c r="A105" s="16" t="str">
        <f aca="false">Vendor_Invoices_AP!A102</f>
        <v>INV30101</v>
      </c>
      <c r="B105" s="16" t="str">
        <f aca="false">Vendor_Invoices_AP!C102</f>
        <v>V1029</v>
      </c>
      <c r="C105" s="16" t="str">
        <f aca="false">IFERROR(INDEX(Vendor_Master!$B$2:$B$41,MATCH(B105,Vendor_Master!$A$2:$A$41,0)),"Unknown Vendor")</f>
        <v>Chavez Ltd</v>
      </c>
      <c r="D105" s="17" t="n">
        <f aca="false">Vendor_Invoices_AP!D102</f>
        <v>46132</v>
      </c>
      <c r="E105" s="17" t="n">
        <f aca="false">Vendor_Invoices_AP!F102</f>
        <v>46192</v>
      </c>
      <c r="F105" s="18" t="n">
        <f aca="false">Vendor_Invoices_AP!E102</f>
        <v>994</v>
      </c>
      <c r="G105" s="18" t="n">
        <f aca="false">SUMIFS(Payment_Log_AP!$E$2:$E$753,Payment_Log_AP!$B$2:$B$753,A105)</f>
        <v>994</v>
      </c>
      <c r="H105" s="18" t="n">
        <f aca="false">F105-G105</f>
        <v>0</v>
      </c>
      <c r="I105" s="16" t="n">
        <f aca="false">IF(H105&lt;=0.01,0,MAX(Assumptions!$B$5-E105,0))</f>
        <v>0</v>
      </c>
      <c r="J105" s="16" t="str">
        <f aca="false">IF(H105&lt;=0.01,"Paid",IF(I105&lt;=30,"0-30",IF(I105&lt;=60,"31-60",IF(I105&lt;=90,"61-90","90+"))))</f>
        <v>Paid</v>
      </c>
      <c r="K105" s="16" t="str">
        <f aca="false">IF(H105&lt;=0.01,"Paid",IF(G105&gt;0,"Partially Paid","Unpaid"))</f>
        <v>Paid</v>
      </c>
    </row>
    <row r="106" customFormat="false" ht="15" hidden="false" customHeight="false" outlineLevel="0" collapsed="false">
      <c r="A106" s="16" t="str">
        <f aca="false">Vendor_Invoices_AP!A103</f>
        <v>INV30102</v>
      </c>
      <c r="B106" s="16" t="str">
        <f aca="false">Vendor_Invoices_AP!C103</f>
        <v>V1009</v>
      </c>
      <c r="C106" s="16" t="str">
        <f aca="false">IFERROR(INDEX(Vendor_Master!$B$2:$B$41,MATCH(B106,Vendor_Master!$A$2:$A$41,0)),"Unknown Vendor")</f>
        <v>Munoz-Roman</v>
      </c>
      <c r="D106" s="17" t="n">
        <f aca="false">Vendor_Invoices_AP!D103</f>
        <v>45923</v>
      </c>
      <c r="E106" s="17" t="n">
        <f aca="false">Vendor_Invoices_AP!F103</f>
        <v>45953</v>
      </c>
      <c r="F106" s="18" t="n">
        <f aca="false">Vendor_Invoices_AP!E103</f>
        <v>456.94</v>
      </c>
      <c r="G106" s="18" t="n">
        <f aca="false">SUMIFS(Payment_Log_AP!$E$2:$E$753,Payment_Log_AP!$B$2:$B$753,A106)</f>
        <v>456.94</v>
      </c>
      <c r="H106" s="18" t="n">
        <f aca="false">F106-G106</f>
        <v>0</v>
      </c>
      <c r="I106" s="16" t="n">
        <f aca="false">IF(H106&lt;=0.01,0,MAX(Assumptions!$B$5-E106,0))</f>
        <v>0</v>
      </c>
      <c r="J106" s="16" t="str">
        <f aca="false">IF(H106&lt;=0.01,"Paid",IF(I106&lt;=30,"0-30",IF(I106&lt;=60,"31-60",IF(I106&lt;=90,"61-90","90+"))))</f>
        <v>Paid</v>
      </c>
      <c r="K106" s="16" t="str">
        <f aca="false">IF(H106&lt;=0.01,"Paid",IF(G106&gt;0,"Partially Paid","Unpaid"))</f>
        <v>Paid</v>
      </c>
    </row>
    <row r="107" customFormat="false" ht="15" hidden="false" customHeight="false" outlineLevel="0" collapsed="false">
      <c r="A107" s="16" t="str">
        <f aca="false">Vendor_Invoices_AP!A104</f>
        <v>INV30103</v>
      </c>
      <c r="B107" s="16" t="str">
        <f aca="false">Vendor_Invoices_AP!C104</f>
        <v>V1006</v>
      </c>
      <c r="C107" s="16" t="str">
        <f aca="false">IFERROR(INDEX(Vendor_Master!$B$2:$B$41,MATCH(B107,Vendor_Master!$A$2:$A$41,0)),"Unknown Vendor")</f>
        <v>Blake and Sons</v>
      </c>
      <c r="D107" s="17" t="n">
        <f aca="false">Vendor_Invoices_AP!D104</f>
        <v>46114</v>
      </c>
      <c r="E107" s="17" t="n">
        <f aca="false">Vendor_Invoices_AP!F104</f>
        <v>46174</v>
      </c>
      <c r="F107" s="18" t="n">
        <f aca="false">Vendor_Invoices_AP!E104</f>
        <v>3515.6</v>
      </c>
      <c r="G107" s="18" t="n">
        <f aca="false">SUMIFS(Payment_Log_AP!$E$2:$E$753,Payment_Log_AP!$B$2:$B$753,A107)</f>
        <v>3515.6</v>
      </c>
      <c r="H107" s="18" t="n">
        <f aca="false">F107-G107</f>
        <v>0</v>
      </c>
      <c r="I107" s="16" t="n">
        <f aca="false">IF(H107&lt;=0.01,0,MAX(Assumptions!$B$5-E107,0))</f>
        <v>0</v>
      </c>
      <c r="J107" s="16" t="str">
        <f aca="false">IF(H107&lt;=0.01,"Paid",IF(I107&lt;=30,"0-30",IF(I107&lt;=60,"31-60",IF(I107&lt;=90,"61-90","90+"))))</f>
        <v>Paid</v>
      </c>
      <c r="K107" s="16" t="str">
        <f aca="false">IF(H107&lt;=0.01,"Paid",IF(G107&gt;0,"Partially Paid","Unpaid"))</f>
        <v>Paid</v>
      </c>
    </row>
    <row r="108" customFormat="false" ht="15" hidden="false" customHeight="false" outlineLevel="0" collapsed="false">
      <c r="A108" s="16" t="str">
        <f aca="false">Vendor_Invoices_AP!A105</f>
        <v>INV30104</v>
      </c>
      <c r="B108" s="16" t="str">
        <f aca="false">Vendor_Invoices_AP!C105</f>
        <v>V1018</v>
      </c>
      <c r="C108" s="16" t="str">
        <f aca="false">IFERROR(INDEX(Vendor_Master!$B$2:$B$41,MATCH(B108,Vendor_Master!$A$2:$A$41,0)),"Unknown Vendor")</f>
        <v>Underwood LLC</v>
      </c>
      <c r="D108" s="17" t="n">
        <f aca="false">Vendor_Invoices_AP!D105</f>
        <v>46044</v>
      </c>
      <c r="E108" s="17" t="n">
        <f aca="false">Vendor_Invoices_AP!F105</f>
        <v>46074</v>
      </c>
      <c r="F108" s="18" t="n">
        <f aca="false">Vendor_Invoices_AP!E105</f>
        <v>702.04</v>
      </c>
      <c r="G108" s="18" t="n">
        <f aca="false">SUMIFS(Payment_Log_AP!$E$2:$E$753,Payment_Log_AP!$B$2:$B$753,A108)</f>
        <v>0</v>
      </c>
      <c r="H108" s="18" t="n">
        <f aca="false">F108-G108</f>
        <v>702.04</v>
      </c>
      <c r="I108" s="16" t="n">
        <f aca="false">IF(H108&lt;=0.01,0,MAX(Assumptions!$B$5-E108,0))</f>
        <v>160</v>
      </c>
      <c r="J108" s="16" t="str">
        <f aca="false">IF(H108&lt;=0.01,"Paid",IF(I108&lt;=30,"0-30",IF(I108&lt;=60,"31-60",IF(I108&lt;=90,"61-90","90+"))))</f>
        <v>90+</v>
      </c>
      <c r="K108" s="16" t="str">
        <f aca="false">IF(H108&lt;=0.01,"Paid",IF(G108&gt;0,"Partially Paid","Unpaid"))</f>
        <v>Unpaid</v>
      </c>
    </row>
    <row r="109" customFormat="false" ht="15" hidden="false" customHeight="false" outlineLevel="0" collapsed="false">
      <c r="A109" s="16" t="str">
        <f aca="false">Vendor_Invoices_AP!A106</f>
        <v>INV30105</v>
      </c>
      <c r="B109" s="16" t="str">
        <f aca="false">Vendor_Invoices_AP!C106</f>
        <v>V1023</v>
      </c>
      <c r="C109" s="16" t="str">
        <f aca="false">IFERROR(INDEX(Vendor_Master!$B$2:$B$41,MATCH(B109,Vendor_Master!$A$2:$A$41,0)),"Unknown Vendor")</f>
        <v>Robinson-Bright</v>
      </c>
      <c r="D109" s="17" t="n">
        <f aca="false">Vendor_Invoices_AP!D106</f>
        <v>46221</v>
      </c>
      <c r="E109" s="17" t="n">
        <f aca="false">Vendor_Invoices_AP!F106</f>
        <v>46251</v>
      </c>
      <c r="F109" s="18" t="n">
        <f aca="false">Vendor_Invoices_AP!E106</f>
        <v>582.3</v>
      </c>
      <c r="G109" s="18" t="n">
        <f aca="false">SUMIFS(Payment_Log_AP!$E$2:$E$753,Payment_Log_AP!$B$2:$B$753,A109)</f>
        <v>0</v>
      </c>
      <c r="H109" s="18" t="n">
        <f aca="false">F109-G109</f>
        <v>582.3</v>
      </c>
      <c r="I109" s="16" t="n">
        <f aca="false">IF(H109&lt;=0.01,0,MAX(Assumptions!$B$5-E109,0))</f>
        <v>0</v>
      </c>
      <c r="J109" s="16" t="str">
        <f aca="false">IF(H109&lt;=0.01,"Paid",IF(I109&lt;=30,"0-30",IF(I109&lt;=60,"31-60",IF(I109&lt;=90,"61-90","90+"))))</f>
        <v>0-30</v>
      </c>
      <c r="K109" s="16" t="str">
        <f aca="false">IF(H109&lt;=0.01,"Paid",IF(G109&gt;0,"Partially Paid","Unpaid"))</f>
        <v>Unpaid</v>
      </c>
    </row>
    <row r="110" customFormat="false" ht="15" hidden="false" customHeight="false" outlineLevel="0" collapsed="false">
      <c r="A110" s="16" t="str">
        <f aca="false">Vendor_Invoices_AP!A107</f>
        <v>INV30106</v>
      </c>
      <c r="B110" s="16" t="str">
        <f aca="false">Vendor_Invoices_AP!C107</f>
        <v>V1006</v>
      </c>
      <c r="C110" s="16" t="str">
        <f aca="false">IFERROR(INDEX(Vendor_Master!$B$2:$B$41,MATCH(B110,Vendor_Master!$A$2:$A$41,0)),"Unknown Vendor")</f>
        <v>Blake and Sons</v>
      </c>
      <c r="D110" s="17" t="n">
        <f aca="false">Vendor_Invoices_AP!D107</f>
        <v>45992</v>
      </c>
      <c r="E110" s="17" t="n">
        <f aca="false">Vendor_Invoices_AP!F107</f>
        <v>46052</v>
      </c>
      <c r="F110" s="18" t="n">
        <f aca="false">Vendor_Invoices_AP!E107</f>
        <v>2184.66</v>
      </c>
      <c r="G110" s="18" t="n">
        <f aca="false">SUMIFS(Payment_Log_AP!$E$2:$E$753,Payment_Log_AP!$B$2:$B$753,A110)</f>
        <v>2184.66</v>
      </c>
      <c r="H110" s="18" t="n">
        <f aca="false">F110-G110</f>
        <v>0</v>
      </c>
      <c r="I110" s="16" t="n">
        <f aca="false">IF(H110&lt;=0.01,0,MAX(Assumptions!$B$5-E110,0))</f>
        <v>0</v>
      </c>
      <c r="J110" s="16" t="str">
        <f aca="false">IF(H110&lt;=0.01,"Paid",IF(I110&lt;=30,"0-30",IF(I110&lt;=60,"31-60",IF(I110&lt;=90,"61-90","90+"))))</f>
        <v>Paid</v>
      </c>
      <c r="K110" s="16" t="str">
        <f aca="false">IF(H110&lt;=0.01,"Paid",IF(G110&gt;0,"Partially Paid","Unpaid"))</f>
        <v>Paid</v>
      </c>
    </row>
    <row r="111" customFormat="false" ht="15" hidden="false" customHeight="false" outlineLevel="0" collapsed="false">
      <c r="A111" s="16" t="str">
        <f aca="false">Vendor_Invoices_AP!A108</f>
        <v>INV30107</v>
      </c>
      <c r="B111" s="16" t="str">
        <f aca="false">Vendor_Invoices_AP!C108</f>
        <v>V1005</v>
      </c>
      <c r="C111" s="16" t="str">
        <f aca="false">IFERROR(INDEX(Vendor_Master!$B$2:$B$41,MATCH(B111,Vendor_Master!$A$2:$A$41,0)),"Unknown Vendor")</f>
        <v>Cole LLC</v>
      </c>
      <c r="D111" s="17" t="n">
        <f aca="false">Vendor_Invoices_AP!D108</f>
        <v>46184</v>
      </c>
      <c r="E111" s="17" t="n">
        <f aca="false">Vendor_Invoices_AP!F108</f>
        <v>46199</v>
      </c>
      <c r="F111" s="18" t="n">
        <f aca="false">Vendor_Invoices_AP!E108</f>
        <v>563.83</v>
      </c>
      <c r="G111" s="18" t="n">
        <f aca="false">SUMIFS(Payment_Log_AP!$E$2:$E$753,Payment_Log_AP!$B$2:$B$753,A111)</f>
        <v>0</v>
      </c>
      <c r="H111" s="18" t="n">
        <f aca="false">F111-G111</f>
        <v>563.83</v>
      </c>
      <c r="I111" s="16" t="n">
        <f aca="false">IF(H111&lt;=0.01,0,MAX(Assumptions!$B$5-E111,0))</f>
        <v>35</v>
      </c>
      <c r="J111" s="16" t="str">
        <f aca="false">IF(H111&lt;=0.01,"Paid",IF(I111&lt;=30,"0-30",IF(I111&lt;=60,"31-60",IF(I111&lt;=90,"61-90","90+"))))</f>
        <v>31-60</v>
      </c>
      <c r="K111" s="16" t="str">
        <f aca="false">IF(H111&lt;=0.01,"Paid",IF(G111&gt;0,"Partially Paid","Unpaid"))</f>
        <v>Unpaid</v>
      </c>
    </row>
    <row r="112" customFormat="false" ht="15" hidden="false" customHeight="false" outlineLevel="0" collapsed="false">
      <c r="A112" s="16" t="str">
        <f aca="false">Vendor_Invoices_AP!A109</f>
        <v>INV30108</v>
      </c>
      <c r="B112" s="16" t="str">
        <f aca="false">Vendor_Invoices_AP!C109</f>
        <v>V1023</v>
      </c>
      <c r="C112" s="16" t="str">
        <f aca="false">IFERROR(INDEX(Vendor_Master!$B$2:$B$41,MATCH(B112,Vendor_Master!$A$2:$A$41,0)),"Unknown Vendor")</f>
        <v>Robinson-Bright</v>
      </c>
      <c r="D112" s="17" t="n">
        <f aca="false">Vendor_Invoices_AP!D109</f>
        <v>46148</v>
      </c>
      <c r="E112" s="17" t="n">
        <f aca="false">Vendor_Invoices_AP!F109</f>
        <v>46178</v>
      </c>
      <c r="F112" s="18" t="n">
        <f aca="false">Vendor_Invoices_AP!E109</f>
        <v>3835.01</v>
      </c>
      <c r="G112" s="18" t="n">
        <f aca="false">SUMIFS(Payment_Log_AP!$E$2:$E$753,Payment_Log_AP!$B$2:$B$753,A112)</f>
        <v>3835.01</v>
      </c>
      <c r="H112" s="18" t="n">
        <f aca="false">F112-G112</f>
        <v>0</v>
      </c>
      <c r="I112" s="16" t="n">
        <f aca="false">IF(H112&lt;=0.01,0,MAX(Assumptions!$B$5-E112,0))</f>
        <v>0</v>
      </c>
      <c r="J112" s="16" t="str">
        <f aca="false">IF(H112&lt;=0.01,"Paid",IF(I112&lt;=30,"0-30",IF(I112&lt;=60,"31-60",IF(I112&lt;=90,"61-90","90+"))))</f>
        <v>Paid</v>
      </c>
      <c r="K112" s="16" t="str">
        <f aca="false">IF(H112&lt;=0.01,"Paid",IF(G112&gt;0,"Partially Paid","Unpaid"))</f>
        <v>Paid</v>
      </c>
    </row>
    <row r="113" customFormat="false" ht="15" hidden="false" customHeight="false" outlineLevel="0" collapsed="false">
      <c r="A113" s="16" t="str">
        <f aca="false">Vendor_Invoices_AP!A110</f>
        <v>INV30109</v>
      </c>
      <c r="B113" s="16" t="str">
        <f aca="false">Vendor_Invoices_AP!C110</f>
        <v>V1035</v>
      </c>
      <c r="C113" s="16" t="str">
        <f aca="false">IFERROR(INDEX(Vendor_Master!$B$2:$B$41,MATCH(B113,Vendor_Master!$A$2:$A$41,0)),"Unknown Vendor")</f>
        <v>Allen PLC</v>
      </c>
      <c r="D113" s="17" t="n">
        <f aca="false">Vendor_Invoices_AP!D110</f>
        <v>46014</v>
      </c>
      <c r="E113" s="17" t="n">
        <f aca="false">Vendor_Invoices_AP!F110</f>
        <v>46029</v>
      </c>
      <c r="F113" s="18" t="n">
        <f aca="false">Vendor_Invoices_AP!E110</f>
        <v>402.4</v>
      </c>
      <c r="G113" s="18" t="n">
        <f aca="false">SUMIFS(Payment_Log_AP!$E$2:$E$753,Payment_Log_AP!$B$2:$B$753,A113)</f>
        <v>402.4</v>
      </c>
      <c r="H113" s="18" t="n">
        <f aca="false">F113-G113</f>
        <v>0</v>
      </c>
      <c r="I113" s="16" t="n">
        <f aca="false">IF(H113&lt;=0.01,0,MAX(Assumptions!$B$5-E113,0))</f>
        <v>0</v>
      </c>
      <c r="J113" s="16" t="str">
        <f aca="false">IF(H113&lt;=0.01,"Paid",IF(I113&lt;=30,"0-30",IF(I113&lt;=60,"31-60",IF(I113&lt;=90,"61-90","90+"))))</f>
        <v>Paid</v>
      </c>
      <c r="K113" s="16" t="str">
        <f aca="false">IF(H113&lt;=0.01,"Paid",IF(G113&gt;0,"Partially Paid","Unpaid"))</f>
        <v>Paid</v>
      </c>
    </row>
    <row r="114" customFormat="false" ht="15" hidden="false" customHeight="false" outlineLevel="0" collapsed="false">
      <c r="A114" s="16" t="str">
        <f aca="false">Vendor_Invoices_AP!A111</f>
        <v>INV30110</v>
      </c>
      <c r="B114" s="16" t="str">
        <f aca="false">Vendor_Invoices_AP!C111</f>
        <v>V1004</v>
      </c>
      <c r="C114" s="16" t="str">
        <f aca="false">IFERROR(INDEX(Vendor_Master!$B$2:$B$41,MATCH(B114,Vendor_Master!$A$2:$A$41,0)),"Unknown Vendor")</f>
        <v>Johnson, Gonzalez and Santos</v>
      </c>
      <c r="D114" s="17" t="n">
        <f aca="false">Vendor_Invoices_AP!D111</f>
        <v>46069</v>
      </c>
      <c r="E114" s="17" t="n">
        <f aca="false">Vendor_Invoices_AP!F111</f>
        <v>46084</v>
      </c>
      <c r="F114" s="18" t="n">
        <f aca="false">Vendor_Invoices_AP!E111</f>
        <v>1590.35</v>
      </c>
      <c r="G114" s="18" t="n">
        <f aca="false">SUMIFS(Payment_Log_AP!$E$2:$E$753,Payment_Log_AP!$B$2:$B$753,A114)</f>
        <v>0</v>
      </c>
      <c r="H114" s="18" t="n">
        <f aca="false">F114-G114</f>
        <v>1590.35</v>
      </c>
      <c r="I114" s="16" t="n">
        <f aca="false">IF(H114&lt;=0.01,0,MAX(Assumptions!$B$5-E114,0))</f>
        <v>150</v>
      </c>
      <c r="J114" s="16" t="str">
        <f aca="false">IF(H114&lt;=0.01,"Paid",IF(I114&lt;=30,"0-30",IF(I114&lt;=60,"31-60",IF(I114&lt;=90,"61-90","90+"))))</f>
        <v>90+</v>
      </c>
      <c r="K114" s="16" t="str">
        <f aca="false">IF(H114&lt;=0.01,"Paid",IF(G114&gt;0,"Partially Paid","Unpaid"))</f>
        <v>Unpaid</v>
      </c>
    </row>
    <row r="115" customFormat="false" ht="15" hidden="false" customHeight="false" outlineLevel="0" collapsed="false">
      <c r="A115" s="16" t="str">
        <f aca="false">Vendor_Invoices_AP!A112</f>
        <v>INV30111</v>
      </c>
      <c r="B115" s="16" t="str">
        <f aca="false">Vendor_Invoices_AP!C112</f>
        <v>V1004</v>
      </c>
      <c r="C115" s="16" t="str">
        <f aca="false">IFERROR(INDEX(Vendor_Master!$B$2:$B$41,MATCH(B115,Vendor_Master!$A$2:$A$41,0)),"Unknown Vendor")</f>
        <v>Johnson, Gonzalez and Santos</v>
      </c>
      <c r="D115" s="17" t="n">
        <f aca="false">Vendor_Invoices_AP!D112</f>
        <v>46067</v>
      </c>
      <c r="E115" s="17" t="n">
        <f aca="false">Vendor_Invoices_AP!F112</f>
        <v>46082</v>
      </c>
      <c r="F115" s="18" t="n">
        <f aca="false">Vendor_Invoices_AP!E112</f>
        <v>1590.35</v>
      </c>
      <c r="G115" s="18" t="n">
        <f aca="false">SUMIFS(Payment_Log_AP!$E$2:$E$753,Payment_Log_AP!$B$2:$B$753,A115)</f>
        <v>0</v>
      </c>
      <c r="H115" s="18" t="n">
        <f aca="false">F115-G115</f>
        <v>1590.35</v>
      </c>
      <c r="I115" s="16" t="n">
        <f aca="false">IF(H115&lt;=0.01,0,MAX(Assumptions!$B$5-E115,0))</f>
        <v>152</v>
      </c>
      <c r="J115" s="16" t="str">
        <f aca="false">IF(H115&lt;=0.01,"Paid",IF(I115&lt;=30,"0-30",IF(I115&lt;=60,"31-60",IF(I115&lt;=90,"61-90","90+"))))</f>
        <v>90+</v>
      </c>
      <c r="K115" s="16" t="str">
        <f aca="false">IF(H115&lt;=0.01,"Paid",IF(G115&gt;0,"Partially Paid","Unpaid"))</f>
        <v>Unpaid</v>
      </c>
    </row>
    <row r="116" customFormat="false" ht="15" hidden="false" customHeight="false" outlineLevel="0" collapsed="false">
      <c r="A116" s="16" t="str">
        <f aca="false">Vendor_Invoices_AP!A113</f>
        <v>INV30112</v>
      </c>
      <c r="B116" s="16" t="str">
        <f aca="false">Vendor_Invoices_AP!C113</f>
        <v>V1012</v>
      </c>
      <c r="C116" s="16" t="str">
        <f aca="false">IFERROR(INDEX(Vendor_Master!$B$2:$B$41,MATCH(B116,Vendor_Master!$A$2:$A$41,0)),"Unknown Vendor")</f>
        <v>Stanley LLC</v>
      </c>
      <c r="D116" s="17" t="n">
        <f aca="false">Vendor_Invoices_AP!D113</f>
        <v>45953</v>
      </c>
      <c r="E116" s="17" t="n">
        <f aca="false">Vendor_Invoices_AP!F113</f>
        <v>46013</v>
      </c>
      <c r="F116" s="18" t="n">
        <f aca="false">Vendor_Invoices_AP!E113</f>
        <v>816.15</v>
      </c>
      <c r="G116" s="18" t="n">
        <f aca="false">SUMIFS(Payment_Log_AP!$E$2:$E$753,Payment_Log_AP!$B$2:$B$753,A116)</f>
        <v>816.15</v>
      </c>
      <c r="H116" s="18" t="n">
        <f aca="false">F116-G116</f>
        <v>0</v>
      </c>
      <c r="I116" s="16" t="n">
        <f aca="false">IF(H116&lt;=0.01,0,MAX(Assumptions!$B$5-E116,0))</f>
        <v>0</v>
      </c>
      <c r="J116" s="16" t="str">
        <f aca="false">IF(H116&lt;=0.01,"Paid",IF(I116&lt;=30,"0-30",IF(I116&lt;=60,"31-60",IF(I116&lt;=90,"61-90","90+"))))</f>
        <v>Paid</v>
      </c>
      <c r="K116" s="16" t="str">
        <f aca="false">IF(H116&lt;=0.01,"Paid",IF(G116&gt;0,"Partially Paid","Unpaid"))</f>
        <v>Paid</v>
      </c>
    </row>
    <row r="117" customFormat="false" ht="15" hidden="false" customHeight="false" outlineLevel="0" collapsed="false">
      <c r="A117" s="16" t="str">
        <f aca="false">Vendor_Invoices_AP!A114</f>
        <v>INV30113</v>
      </c>
      <c r="B117" s="16" t="str">
        <f aca="false">Vendor_Invoices_AP!C114</f>
        <v>V1012</v>
      </c>
      <c r="C117" s="16" t="str">
        <f aca="false">IFERROR(INDEX(Vendor_Master!$B$2:$B$41,MATCH(B117,Vendor_Master!$A$2:$A$41,0)),"Unknown Vendor")</f>
        <v>Stanley LLC</v>
      </c>
      <c r="D117" s="17" t="n">
        <f aca="false">Vendor_Invoices_AP!D114</f>
        <v>46128</v>
      </c>
      <c r="E117" s="17" t="n">
        <f aca="false">Vendor_Invoices_AP!F114</f>
        <v>46188</v>
      </c>
      <c r="F117" s="18" t="n">
        <f aca="false">Vendor_Invoices_AP!E114</f>
        <v>5798.93</v>
      </c>
      <c r="G117" s="18" t="n">
        <f aca="false">SUMIFS(Payment_Log_AP!$E$2:$E$753,Payment_Log_AP!$B$2:$B$753,A117)</f>
        <v>5798.93</v>
      </c>
      <c r="H117" s="18" t="n">
        <f aca="false">F117-G117</f>
        <v>0</v>
      </c>
      <c r="I117" s="16" t="n">
        <f aca="false">IF(H117&lt;=0.01,0,MAX(Assumptions!$B$5-E117,0))</f>
        <v>0</v>
      </c>
      <c r="J117" s="16" t="str">
        <f aca="false">IF(H117&lt;=0.01,"Paid",IF(I117&lt;=30,"0-30",IF(I117&lt;=60,"31-60",IF(I117&lt;=90,"61-90","90+"))))</f>
        <v>Paid</v>
      </c>
      <c r="K117" s="16" t="str">
        <f aca="false">IF(H117&lt;=0.01,"Paid",IF(G117&gt;0,"Partially Paid","Unpaid"))</f>
        <v>Paid</v>
      </c>
    </row>
    <row r="118" customFormat="false" ht="15" hidden="false" customHeight="false" outlineLevel="0" collapsed="false">
      <c r="A118" s="16" t="str">
        <f aca="false">Vendor_Invoices_AP!A115</f>
        <v>INV30114</v>
      </c>
      <c r="B118" s="16" t="str">
        <f aca="false">Vendor_Invoices_AP!C115</f>
        <v>V1028</v>
      </c>
      <c r="C118" s="16" t="str">
        <f aca="false">IFERROR(INDEX(Vendor_Master!$B$2:$B$41,MATCH(B118,Vendor_Master!$A$2:$A$41,0)),"Unknown Vendor")</f>
        <v>Potter, Mack and Peterson</v>
      </c>
      <c r="D118" s="17" t="n">
        <f aca="false">Vendor_Invoices_AP!D115</f>
        <v>45976</v>
      </c>
      <c r="E118" s="17" t="n">
        <f aca="false">Vendor_Invoices_AP!F115</f>
        <v>46021</v>
      </c>
      <c r="F118" s="18" t="n">
        <f aca="false">Vendor_Invoices_AP!E115</f>
        <v>3177.07</v>
      </c>
      <c r="G118" s="18" t="n">
        <f aca="false">SUMIFS(Payment_Log_AP!$E$2:$E$753,Payment_Log_AP!$B$2:$B$753,A118)</f>
        <v>3177.07</v>
      </c>
      <c r="H118" s="18" t="n">
        <f aca="false">F118-G118</f>
        <v>0</v>
      </c>
      <c r="I118" s="16" t="n">
        <f aca="false">IF(H118&lt;=0.01,0,MAX(Assumptions!$B$5-E118,0))</f>
        <v>0</v>
      </c>
      <c r="J118" s="16" t="str">
        <f aca="false">IF(H118&lt;=0.01,"Paid",IF(I118&lt;=30,"0-30",IF(I118&lt;=60,"31-60",IF(I118&lt;=90,"61-90","90+"))))</f>
        <v>Paid</v>
      </c>
      <c r="K118" s="16" t="str">
        <f aca="false">IF(H118&lt;=0.01,"Paid",IF(G118&gt;0,"Partially Paid","Unpaid"))</f>
        <v>Paid</v>
      </c>
    </row>
    <row r="119" customFormat="false" ht="15" hidden="false" customHeight="false" outlineLevel="0" collapsed="false">
      <c r="A119" s="16" t="str">
        <f aca="false">Vendor_Invoices_AP!A116</f>
        <v>INV30115</v>
      </c>
      <c r="B119" s="16" t="str">
        <f aca="false">Vendor_Invoices_AP!C116</f>
        <v>V1017</v>
      </c>
      <c r="C119" s="16" t="str">
        <f aca="false">IFERROR(INDEX(Vendor_Master!$B$2:$B$41,MATCH(B119,Vendor_Master!$A$2:$A$41,0)),"Unknown Vendor")</f>
        <v>Hawkins, Cohen and Cameron</v>
      </c>
      <c r="D119" s="17" t="n">
        <f aca="false">Vendor_Invoices_AP!D116</f>
        <v>46161</v>
      </c>
      <c r="E119" s="17" t="n">
        <f aca="false">Vendor_Invoices_AP!F116</f>
        <v>46206</v>
      </c>
      <c r="F119" s="18" t="n">
        <f aca="false">Vendor_Invoices_AP!E116</f>
        <v>2099.16</v>
      </c>
      <c r="G119" s="18" t="n">
        <f aca="false">SUMIFS(Payment_Log_AP!$E$2:$E$753,Payment_Log_AP!$B$2:$B$753,A119)</f>
        <v>2099.16</v>
      </c>
      <c r="H119" s="18" t="n">
        <f aca="false">F119-G119</f>
        <v>0</v>
      </c>
      <c r="I119" s="16" t="n">
        <f aca="false">IF(H119&lt;=0.01,0,MAX(Assumptions!$B$5-E119,0))</f>
        <v>0</v>
      </c>
      <c r="J119" s="16" t="str">
        <f aca="false">IF(H119&lt;=0.01,"Paid",IF(I119&lt;=30,"0-30",IF(I119&lt;=60,"31-60",IF(I119&lt;=90,"61-90","90+"))))</f>
        <v>Paid</v>
      </c>
      <c r="K119" s="16" t="str">
        <f aca="false">IF(H119&lt;=0.01,"Paid",IF(G119&gt;0,"Partially Paid","Unpaid"))</f>
        <v>Paid</v>
      </c>
    </row>
    <row r="120" customFormat="false" ht="15" hidden="false" customHeight="false" outlineLevel="0" collapsed="false">
      <c r="A120" s="16" t="str">
        <f aca="false">Vendor_Invoices_AP!A117</f>
        <v>INV30116</v>
      </c>
      <c r="B120" s="16" t="str">
        <f aca="false">Vendor_Invoices_AP!C117</f>
        <v>V1015</v>
      </c>
      <c r="C120" s="16" t="str">
        <f aca="false">IFERROR(INDEX(Vendor_Master!$B$2:$B$41,MATCH(B120,Vendor_Master!$A$2:$A$41,0)),"Unknown Vendor")</f>
        <v>Zuniga, Wong and Lynch</v>
      </c>
      <c r="D120" s="17" t="n">
        <f aca="false">Vendor_Invoices_AP!D117</f>
        <v>46081</v>
      </c>
      <c r="E120" s="17" t="n">
        <f aca="false">Vendor_Invoices_AP!F117</f>
        <v>46111</v>
      </c>
      <c r="F120" s="18" t="n">
        <f aca="false">Vendor_Invoices_AP!E117</f>
        <v>2167.65</v>
      </c>
      <c r="G120" s="18" t="n">
        <f aca="false">SUMIFS(Payment_Log_AP!$E$2:$E$753,Payment_Log_AP!$B$2:$B$753,A120)</f>
        <v>2167.65</v>
      </c>
      <c r="H120" s="18" t="n">
        <f aca="false">F120-G120</f>
        <v>0</v>
      </c>
      <c r="I120" s="16" t="n">
        <f aca="false">IF(H120&lt;=0.01,0,MAX(Assumptions!$B$5-E120,0))</f>
        <v>0</v>
      </c>
      <c r="J120" s="16" t="str">
        <f aca="false">IF(H120&lt;=0.01,"Paid",IF(I120&lt;=30,"0-30",IF(I120&lt;=60,"31-60",IF(I120&lt;=90,"61-90","90+"))))</f>
        <v>Paid</v>
      </c>
      <c r="K120" s="16" t="str">
        <f aca="false">IF(H120&lt;=0.01,"Paid",IF(G120&gt;0,"Partially Paid","Unpaid"))</f>
        <v>Paid</v>
      </c>
    </row>
    <row r="121" customFormat="false" ht="15" hidden="false" customHeight="false" outlineLevel="0" collapsed="false">
      <c r="A121" s="16" t="str">
        <f aca="false">Vendor_Invoices_AP!A118</f>
        <v>INV30117</v>
      </c>
      <c r="B121" s="16" t="str">
        <f aca="false">Vendor_Invoices_AP!C118</f>
        <v>V1018</v>
      </c>
      <c r="C121" s="16" t="str">
        <f aca="false">IFERROR(INDEX(Vendor_Master!$B$2:$B$41,MATCH(B121,Vendor_Master!$A$2:$A$41,0)),"Unknown Vendor")</f>
        <v>Underwood LLC</v>
      </c>
      <c r="D121" s="17" t="n">
        <f aca="false">Vendor_Invoices_AP!D118</f>
        <v>45923</v>
      </c>
      <c r="E121" s="17" t="n">
        <f aca="false">Vendor_Invoices_AP!F118</f>
        <v>45953</v>
      </c>
      <c r="F121" s="18" t="n">
        <f aca="false">Vendor_Invoices_AP!E118</f>
        <v>865.82</v>
      </c>
      <c r="G121" s="18" t="n">
        <f aca="false">SUMIFS(Payment_Log_AP!$E$2:$E$753,Payment_Log_AP!$B$2:$B$753,A121)</f>
        <v>865.82</v>
      </c>
      <c r="H121" s="18" t="n">
        <f aca="false">F121-G121</f>
        <v>0</v>
      </c>
      <c r="I121" s="16" t="n">
        <f aca="false">IF(H121&lt;=0.01,0,MAX(Assumptions!$B$5-E121,0))</f>
        <v>0</v>
      </c>
      <c r="J121" s="16" t="str">
        <f aca="false">IF(H121&lt;=0.01,"Paid",IF(I121&lt;=30,"0-30",IF(I121&lt;=60,"31-60",IF(I121&lt;=90,"61-90","90+"))))</f>
        <v>Paid</v>
      </c>
      <c r="K121" s="16" t="str">
        <f aca="false">IF(H121&lt;=0.01,"Paid",IF(G121&gt;0,"Partially Paid","Unpaid"))</f>
        <v>Paid</v>
      </c>
    </row>
    <row r="122" customFormat="false" ht="15" hidden="false" customHeight="false" outlineLevel="0" collapsed="false">
      <c r="A122" s="16" t="str">
        <f aca="false">Vendor_Invoices_AP!A119</f>
        <v>INV30118</v>
      </c>
      <c r="B122" s="16" t="str">
        <f aca="false">Vendor_Invoices_AP!C119</f>
        <v>V1006</v>
      </c>
      <c r="C122" s="16" t="str">
        <f aca="false">IFERROR(INDEX(Vendor_Master!$B$2:$B$41,MATCH(B122,Vendor_Master!$A$2:$A$41,0)),"Unknown Vendor")</f>
        <v>Blake and Sons</v>
      </c>
      <c r="D122" s="17" t="n">
        <f aca="false">Vendor_Invoices_AP!D119</f>
        <v>45817</v>
      </c>
      <c r="E122" s="17" t="n">
        <f aca="false">Vendor_Invoices_AP!F119</f>
        <v>45877</v>
      </c>
      <c r="F122" s="18" t="n">
        <f aca="false">Vendor_Invoices_AP!E119</f>
        <v>588.49</v>
      </c>
      <c r="G122" s="18" t="n">
        <f aca="false">SUMIFS(Payment_Log_AP!$E$2:$E$753,Payment_Log_AP!$B$2:$B$753,A122)</f>
        <v>588.49</v>
      </c>
      <c r="H122" s="18" t="n">
        <f aca="false">F122-G122</f>
        <v>0</v>
      </c>
      <c r="I122" s="16" t="n">
        <f aca="false">IF(H122&lt;=0.01,0,MAX(Assumptions!$B$5-E122,0))</f>
        <v>0</v>
      </c>
      <c r="J122" s="16" t="str">
        <f aca="false">IF(H122&lt;=0.01,"Paid",IF(I122&lt;=30,"0-30",IF(I122&lt;=60,"31-60",IF(I122&lt;=90,"61-90","90+"))))</f>
        <v>Paid</v>
      </c>
      <c r="K122" s="16" t="str">
        <f aca="false">IF(H122&lt;=0.01,"Paid",IF(G122&gt;0,"Partially Paid","Unpaid"))</f>
        <v>Paid</v>
      </c>
    </row>
    <row r="123" customFormat="false" ht="15" hidden="false" customHeight="false" outlineLevel="0" collapsed="false">
      <c r="A123" s="16" t="str">
        <f aca="false">Vendor_Invoices_AP!A120</f>
        <v>INV30119</v>
      </c>
      <c r="B123" s="16" t="str">
        <f aca="false">Vendor_Invoices_AP!C120</f>
        <v>V1038</v>
      </c>
      <c r="C123" s="16" t="str">
        <f aca="false">IFERROR(INDEX(Vendor_Master!$B$2:$B$41,MATCH(B123,Vendor_Master!$A$2:$A$41,0)),"Unknown Vendor")</f>
        <v>Rose-Obrien</v>
      </c>
      <c r="D123" s="17" t="n">
        <f aca="false">Vendor_Invoices_AP!D120</f>
        <v>45794</v>
      </c>
      <c r="E123" s="17" t="n">
        <f aca="false">Vendor_Invoices_AP!F120</f>
        <v>45824</v>
      </c>
      <c r="F123" s="18" t="n">
        <f aca="false">Vendor_Invoices_AP!E120</f>
        <v>1755.83</v>
      </c>
      <c r="G123" s="18" t="n">
        <f aca="false">SUMIFS(Payment_Log_AP!$E$2:$E$753,Payment_Log_AP!$B$2:$B$753,A123)</f>
        <v>1755.83</v>
      </c>
      <c r="H123" s="18" t="n">
        <f aca="false">F123-G123</f>
        <v>0</v>
      </c>
      <c r="I123" s="16" t="n">
        <f aca="false">IF(H123&lt;=0.01,0,MAX(Assumptions!$B$5-E123,0))</f>
        <v>0</v>
      </c>
      <c r="J123" s="16" t="str">
        <f aca="false">IF(H123&lt;=0.01,"Paid",IF(I123&lt;=30,"0-30",IF(I123&lt;=60,"31-60",IF(I123&lt;=90,"61-90","90+"))))</f>
        <v>Paid</v>
      </c>
      <c r="K123" s="16" t="str">
        <f aca="false">IF(H123&lt;=0.01,"Paid",IF(G123&gt;0,"Partially Paid","Unpaid"))</f>
        <v>Paid</v>
      </c>
    </row>
    <row r="124" customFormat="false" ht="15" hidden="false" customHeight="false" outlineLevel="0" collapsed="false">
      <c r="A124" s="16" t="str">
        <f aca="false">Vendor_Invoices_AP!A121</f>
        <v>INV30120</v>
      </c>
      <c r="B124" s="16" t="str">
        <f aca="false">Vendor_Invoices_AP!C121</f>
        <v>V1026</v>
      </c>
      <c r="C124" s="16" t="str">
        <f aca="false">IFERROR(INDEX(Vendor_Master!$B$2:$B$41,MATCH(B124,Vendor_Master!$A$2:$A$41,0)),"Unknown Vendor")</f>
        <v>James-Ferrell</v>
      </c>
      <c r="D124" s="17" t="n">
        <f aca="false">Vendor_Invoices_AP!D121</f>
        <v>46010</v>
      </c>
      <c r="E124" s="17" t="n">
        <f aca="false">Vendor_Invoices_AP!F121</f>
        <v>46070</v>
      </c>
      <c r="F124" s="18" t="n">
        <f aca="false">Vendor_Invoices_AP!E121</f>
        <v>946.66</v>
      </c>
      <c r="G124" s="18" t="n">
        <f aca="false">SUMIFS(Payment_Log_AP!$E$2:$E$753,Payment_Log_AP!$B$2:$B$753,A124)</f>
        <v>946.66</v>
      </c>
      <c r="H124" s="18" t="n">
        <f aca="false">F124-G124</f>
        <v>0</v>
      </c>
      <c r="I124" s="16" t="n">
        <f aca="false">IF(H124&lt;=0.01,0,MAX(Assumptions!$B$5-E124,0))</f>
        <v>0</v>
      </c>
      <c r="J124" s="16" t="str">
        <f aca="false">IF(H124&lt;=0.01,"Paid",IF(I124&lt;=30,"0-30",IF(I124&lt;=60,"31-60",IF(I124&lt;=90,"61-90","90+"))))</f>
        <v>Paid</v>
      </c>
      <c r="K124" s="16" t="str">
        <f aca="false">IF(H124&lt;=0.01,"Paid",IF(G124&gt;0,"Partially Paid","Unpaid"))</f>
        <v>Paid</v>
      </c>
    </row>
    <row r="125" customFormat="false" ht="15" hidden="false" customHeight="false" outlineLevel="0" collapsed="false">
      <c r="A125" s="16" t="str">
        <f aca="false">Vendor_Invoices_AP!A122</f>
        <v>INV30121</v>
      </c>
      <c r="B125" s="16" t="str">
        <f aca="false">Vendor_Invoices_AP!C122</f>
        <v>V1027</v>
      </c>
      <c r="C125" s="16" t="str">
        <f aca="false">IFERROR(INDEX(Vendor_Master!$B$2:$B$41,MATCH(B125,Vendor_Master!$A$2:$A$41,0)),"Unknown Vendor")</f>
        <v>Valencia, Smith and Le</v>
      </c>
      <c r="D125" s="17" t="n">
        <f aca="false">Vendor_Invoices_AP!D122</f>
        <v>46085</v>
      </c>
      <c r="E125" s="17" t="n">
        <f aca="false">Vendor_Invoices_AP!F122</f>
        <v>46130</v>
      </c>
      <c r="F125" s="18" t="n">
        <f aca="false">Vendor_Invoices_AP!E122</f>
        <v>17767.35</v>
      </c>
      <c r="G125" s="18" t="n">
        <f aca="false">SUMIFS(Payment_Log_AP!$E$2:$E$753,Payment_Log_AP!$B$2:$B$753,A125)</f>
        <v>17767.35</v>
      </c>
      <c r="H125" s="18" t="n">
        <f aca="false">F125-G125</f>
        <v>0</v>
      </c>
      <c r="I125" s="16" t="n">
        <f aca="false">IF(H125&lt;=0.01,0,MAX(Assumptions!$B$5-E125,0))</f>
        <v>0</v>
      </c>
      <c r="J125" s="16" t="str">
        <f aca="false">IF(H125&lt;=0.01,"Paid",IF(I125&lt;=30,"0-30",IF(I125&lt;=60,"31-60",IF(I125&lt;=90,"61-90","90+"))))</f>
        <v>Paid</v>
      </c>
      <c r="K125" s="16" t="str">
        <f aca="false">IF(H125&lt;=0.01,"Paid",IF(G125&gt;0,"Partially Paid","Unpaid"))</f>
        <v>Paid</v>
      </c>
    </row>
    <row r="126" customFormat="false" ht="15" hidden="false" customHeight="false" outlineLevel="0" collapsed="false">
      <c r="A126" s="16" t="str">
        <f aca="false">Vendor_Invoices_AP!A123</f>
        <v>INV30122</v>
      </c>
      <c r="B126" s="16" t="str">
        <f aca="false">Vendor_Invoices_AP!C123</f>
        <v>V1002</v>
      </c>
      <c r="C126" s="16" t="str">
        <f aca="false">IFERROR(INDEX(Vendor_Master!$B$2:$B$41,MATCH(B126,Vendor_Master!$A$2:$A$41,0)),"Unknown Vendor")</f>
        <v>Garcia, Yang and Gardner</v>
      </c>
      <c r="D126" s="17" t="n">
        <f aca="false">Vendor_Invoices_AP!D123</f>
        <v>45952</v>
      </c>
      <c r="E126" s="17" t="n">
        <f aca="false">Vendor_Invoices_AP!F123</f>
        <v>45967</v>
      </c>
      <c r="F126" s="18" t="n">
        <f aca="false">Vendor_Invoices_AP!E123</f>
        <v>8633.55</v>
      </c>
      <c r="G126" s="18" t="n">
        <f aca="false">SUMIFS(Payment_Log_AP!$E$2:$E$753,Payment_Log_AP!$B$2:$B$753,A126)</f>
        <v>8633.55</v>
      </c>
      <c r="H126" s="18" t="n">
        <f aca="false">F126-G126</f>
        <v>0</v>
      </c>
      <c r="I126" s="16" t="n">
        <f aca="false">IF(H126&lt;=0.01,0,MAX(Assumptions!$B$5-E126,0))</f>
        <v>0</v>
      </c>
      <c r="J126" s="16" t="str">
        <f aca="false">IF(H126&lt;=0.01,"Paid",IF(I126&lt;=30,"0-30",IF(I126&lt;=60,"31-60",IF(I126&lt;=90,"61-90","90+"))))</f>
        <v>Paid</v>
      </c>
      <c r="K126" s="16" t="str">
        <f aca="false">IF(H126&lt;=0.01,"Paid",IF(G126&gt;0,"Partially Paid","Unpaid"))</f>
        <v>Paid</v>
      </c>
    </row>
    <row r="127" customFormat="false" ht="15" hidden="false" customHeight="false" outlineLevel="0" collapsed="false">
      <c r="A127" s="16" t="str">
        <f aca="false">Vendor_Invoices_AP!A124</f>
        <v>INV30123</v>
      </c>
      <c r="B127" s="16" t="str">
        <f aca="false">Vendor_Invoices_AP!C124</f>
        <v>V1038</v>
      </c>
      <c r="C127" s="16" t="str">
        <f aca="false">IFERROR(INDEX(Vendor_Master!$B$2:$B$41,MATCH(B127,Vendor_Master!$A$2:$A$41,0)),"Unknown Vendor")</f>
        <v>Rose-Obrien</v>
      </c>
      <c r="D127" s="17" t="n">
        <f aca="false">Vendor_Invoices_AP!D124</f>
        <v>46012</v>
      </c>
      <c r="E127" s="17" t="n">
        <f aca="false">Vendor_Invoices_AP!F124</f>
        <v>46042</v>
      </c>
      <c r="F127" s="18" t="n">
        <f aca="false">Vendor_Invoices_AP!E124</f>
        <v>1731.53</v>
      </c>
      <c r="G127" s="18" t="n">
        <f aca="false">SUMIFS(Payment_Log_AP!$E$2:$E$753,Payment_Log_AP!$B$2:$B$753,A127)</f>
        <v>1731.53</v>
      </c>
      <c r="H127" s="18" t="n">
        <f aca="false">F127-G127</f>
        <v>0</v>
      </c>
      <c r="I127" s="16" t="n">
        <f aca="false">IF(H127&lt;=0.01,0,MAX(Assumptions!$B$5-E127,0))</f>
        <v>0</v>
      </c>
      <c r="J127" s="16" t="str">
        <f aca="false">IF(H127&lt;=0.01,"Paid",IF(I127&lt;=30,"0-30",IF(I127&lt;=60,"31-60",IF(I127&lt;=90,"61-90","90+"))))</f>
        <v>Paid</v>
      </c>
      <c r="K127" s="16" t="str">
        <f aca="false">IF(H127&lt;=0.01,"Paid",IF(G127&gt;0,"Partially Paid","Unpaid"))</f>
        <v>Paid</v>
      </c>
    </row>
    <row r="128" customFormat="false" ht="15" hidden="false" customHeight="false" outlineLevel="0" collapsed="false">
      <c r="A128" s="16" t="str">
        <f aca="false">Vendor_Invoices_AP!A125</f>
        <v>INV30124</v>
      </c>
      <c r="B128" s="16" t="str">
        <f aca="false">Vendor_Invoices_AP!C125</f>
        <v>V1025</v>
      </c>
      <c r="C128" s="16" t="str">
        <f aca="false">IFERROR(INDEX(Vendor_Master!$B$2:$B$41,MATCH(B128,Vendor_Master!$A$2:$A$41,0)),"Unknown Vendor")</f>
        <v>Conner Group</v>
      </c>
      <c r="D128" s="17" t="n">
        <f aca="false">Vendor_Invoices_AP!D125</f>
        <v>45822</v>
      </c>
      <c r="E128" s="17" t="n">
        <f aca="false">Vendor_Invoices_AP!F125</f>
        <v>45867</v>
      </c>
      <c r="F128" s="18" t="n">
        <f aca="false">Vendor_Invoices_AP!E125</f>
        <v>1559.4</v>
      </c>
      <c r="G128" s="18" t="n">
        <f aca="false">SUMIFS(Payment_Log_AP!$E$2:$E$753,Payment_Log_AP!$B$2:$B$753,A128)</f>
        <v>1559.4</v>
      </c>
      <c r="H128" s="18" t="n">
        <f aca="false">F128-G128</f>
        <v>0</v>
      </c>
      <c r="I128" s="16" t="n">
        <f aca="false">IF(H128&lt;=0.01,0,MAX(Assumptions!$B$5-E128,0))</f>
        <v>0</v>
      </c>
      <c r="J128" s="16" t="str">
        <f aca="false">IF(H128&lt;=0.01,"Paid",IF(I128&lt;=30,"0-30",IF(I128&lt;=60,"31-60",IF(I128&lt;=90,"61-90","90+"))))</f>
        <v>Paid</v>
      </c>
      <c r="K128" s="16" t="str">
        <f aca="false">IF(H128&lt;=0.01,"Paid",IF(G128&gt;0,"Partially Paid","Unpaid"))</f>
        <v>Paid</v>
      </c>
    </row>
    <row r="129" customFormat="false" ht="15" hidden="false" customHeight="false" outlineLevel="0" collapsed="false">
      <c r="A129" s="16" t="str">
        <f aca="false">Vendor_Invoices_AP!A126</f>
        <v>INV30125</v>
      </c>
      <c r="B129" s="16" t="str">
        <f aca="false">Vendor_Invoices_AP!C126</f>
        <v>V1019</v>
      </c>
      <c r="C129" s="16" t="str">
        <f aca="false">IFERROR(INDEX(Vendor_Master!$B$2:$B$41,MATCH(B129,Vendor_Master!$A$2:$A$41,0)),"Unknown Vendor")</f>
        <v>Clark PLC</v>
      </c>
      <c r="D129" s="17" t="n">
        <f aca="false">Vendor_Invoices_AP!D126</f>
        <v>45714</v>
      </c>
      <c r="E129" s="17" t="n">
        <f aca="false">Vendor_Invoices_AP!F126</f>
        <v>45759</v>
      </c>
      <c r="F129" s="18" t="n">
        <f aca="false">Vendor_Invoices_AP!E126</f>
        <v>1484.65</v>
      </c>
      <c r="G129" s="18" t="n">
        <f aca="false">SUMIFS(Payment_Log_AP!$E$2:$E$753,Payment_Log_AP!$B$2:$B$753,A129)</f>
        <v>1484.65</v>
      </c>
      <c r="H129" s="18" t="n">
        <f aca="false">F129-G129</f>
        <v>0</v>
      </c>
      <c r="I129" s="16" t="n">
        <f aca="false">IF(H129&lt;=0.01,0,MAX(Assumptions!$B$5-E129,0))</f>
        <v>0</v>
      </c>
      <c r="J129" s="16" t="str">
        <f aca="false">IF(H129&lt;=0.01,"Paid",IF(I129&lt;=30,"0-30",IF(I129&lt;=60,"31-60",IF(I129&lt;=90,"61-90","90+"))))</f>
        <v>Paid</v>
      </c>
      <c r="K129" s="16" t="str">
        <f aca="false">IF(H129&lt;=0.01,"Paid",IF(G129&gt;0,"Partially Paid","Unpaid"))</f>
        <v>Paid</v>
      </c>
    </row>
    <row r="130" customFormat="false" ht="15" hidden="false" customHeight="false" outlineLevel="0" collapsed="false">
      <c r="A130" s="16" t="str">
        <f aca="false">Vendor_Invoices_AP!A127</f>
        <v>INV30126</v>
      </c>
      <c r="B130" s="16" t="str">
        <f aca="false">Vendor_Invoices_AP!C127</f>
        <v>V1014</v>
      </c>
      <c r="C130" s="16" t="str">
        <f aca="false">IFERROR(INDEX(Vendor_Master!$B$2:$B$41,MATCH(B130,Vendor_Master!$A$2:$A$41,0)),"Unknown Vendor")</f>
        <v>Flowers, Martin and Kelly</v>
      </c>
      <c r="D130" s="17" t="n">
        <f aca="false">Vendor_Invoices_AP!D127</f>
        <v>45819</v>
      </c>
      <c r="E130" s="17" t="n">
        <f aca="false">Vendor_Invoices_AP!F127</f>
        <v>45849</v>
      </c>
      <c r="F130" s="18" t="n">
        <f aca="false">Vendor_Invoices_AP!E127</f>
        <v>448.18</v>
      </c>
      <c r="G130" s="18" t="n">
        <f aca="false">SUMIFS(Payment_Log_AP!$E$2:$E$753,Payment_Log_AP!$B$2:$B$753,A130)</f>
        <v>448.18</v>
      </c>
      <c r="H130" s="18" t="n">
        <f aca="false">F130-G130</f>
        <v>0</v>
      </c>
      <c r="I130" s="16" t="n">
        <f aca="false">IF(H130&lt;=0.01,0,MAX(Assumptions!$B$5-E130,0))</f>
        <v>0</v>
      </c>
      <c r="J130" s="16" t="str">
        <f aca="false">IF(H130&lt;=0.01,"Paid",IF(I130&lt;=30,"0-30",IF(I130&lt;=60,"31-60",IF(I130&lt;=90,"61-90","90+"))))</f>
        <v>Paid</v>
      </c>
      <c r="K130" s="16" t="str">
        <f aca="false">IF(H130&lt;=0.01,"Paid",IF(G130&gt;0,"Partially Paid","Unpaid"))</f>
        <v>Paid</v>
      </c>
    </row>
    <row r="131" customFormat="false" ht="15" hidden="false" customHeight="false" outlineLevel="0" collapsed="false">
      <c r="A131" s="16" t="str">
        <f aca="false">Vendor_Invoices_AP!A128</f>
        <v>INV30127</v>
      </c>
      <c r="B131" s="16" t="str">
        <f aca="false">Vendor_Invoices_AP!C128</f>
        <v>V1028</v>
      </c>
      <c r="C131" s="16" t="str">
        <f aca="false">IFERROR(INDEX(Vendor_Master!$B$2:$B$41,MATCH(B131,Vendor_Master!$A$2:$A$41,0)),"Unknown Vendor")</f>
        <v>Potter, Mack and Peterson</v>
      </c>
      <c r="D131" s="17" t="n">
        <f aca="false">Vendor_Invoices_AP!D128</f>
        <v>45811</v>
      </c>
      <c r="E131" s="17" t="n">
        <f aca="false">Vendor_Invoices_AP!F128</f>
        <v>45856</v>
      </c>
      <c r="F131" s="18" t="n">
        <f aca="false">Vendor_Invoices_AP!E128</f>
        <v>381.28</v>
      </c>
      <c r="G131" s="18" t="n">
        <f aca="false">SUMIFS(Payment_Log_AP!$E$2:$E$753,Payment_Log_AP!$B$2:$B$753,A131)</f>
        <v>381.28</v>
      </c>
      <c r="H131" s="18" t="n">
        <f aca="false">F131-G131</f>
        <v>0</v>
      </c>
      <c r="I131" s="16" t="n">
        <f aca="false">IF(H131&lt;=0.01,0,MAX(Assumptions!$B$5-E131,0))</f>
        <v>0</v>
      </c>
      <c r="J131" s="16" t="str">
        <f aca="false">IF(H131&lt;=0.01,"Paid",IF(I131&lt;=30,"0-30",IF(I131&lt;=60,"31-60",IF(I131&lt;=90,"61-90","90+"))))</f>
        <v>Paid</v>
      </c>
      <c r="K131" s="16" t="str">
        <f aca="false">IF(H131&lt;=0.01,"Paid",IF(G131&gt;0,"Partially Paid","Unpaid"))</f>
        <v>Paid</v>
      </c>
    </row>
    <row r="132" customFormat="false" ht="15" hidden="false" customHeight="false" outlineLevel="0" collapsed="false">
      <c r="A132" s="16" t="str">
        <f aca="false">Vendor_Invoices_AP!A129</f>
        <v>INV30128</v>
      </c>
      <c r="B132" s="16" t="str">
        <f aca="false">Vendor_Invoices_AP!C129</f>
        <v>V1017</v>
      </c>
      <c r="C132" s="16" t="str">
        <f aca="false">IFERROR(INDEX(Vendor_Master!$B$2:$B$41,MATCH(B132,Vendor_Master!$A$2:$A$41,0)),"Unknown Vendor")</f>
        <v>Hawkins, Cohen and Cameron</v>
      </c>
      <c r="D132" s="17" t="n">
        <f aca="false">Vendor_Invoices_AP!D129</f>
        <v>45851</v>
      </c>
      <c r="E132" s="17" t="n">
        <f aca="false">Vendor_Invoices_AP!F129</f>
        <v>45896</v>
      </c>
      <c r="F132" s="18" t="n">
        <f aca="false">Vendor_Invoices_AP!E129</f>
        <v>432.73</v>
      </c>
      <c r="G132" s="18" t="n">
        <f aca="false">SUMIFS(Payment_Log_AP!$E$2:$E$753,Payment_Log_AP!$B$2:$B$753,A132)</f>
        <v>432.73</v>
      </c>
      <c r="H132" s="18" t="n">
        <f aca="false">F132-G132</f>
        <v>0</v>
      </c>
      <c r="I132" s="16" t="n">
        <f aca="false">IF(H132&lt;=0.01,0,MAX(Assumptions!$B$5-E132,0))</f>
        <v>0</v>
      </c>
      <c r="J132" s="16" t="str">
        <f aca="false">IF(H132&lt;=0.01,"Paid",IF(I132&lt;=30,"0-30",IF(I132&lt;=60,"31-60",IF(I132&lt;=90,"61-90","90+"))))</f>
        <v>Paid</v>
      </c>
      <c r="K132" s="16" t="str">
        <f aca="false">IF(H132&lt;=0.01,"Paid",IF(G132&gt;0,"Partially Paid","Unpaid"))</f>
        <v>Paid</v>
      </c>
    </row>
    <row r="133" customFormat="false" ht="15" hidden="false" customHeight="false" outlineLevel="0" collapsed="false">
      <c r="A133" s="16" t="str">
        <f aca="false">Vendor_Invoices_AP!A130</f>
        <v>INV30129</v>
      </c>
      <c r="B133" s="16" t="str">
        <f aca="false">Vendor_Invoices_AP!C130</f>
        <v>V1032</v>
      </c>
      <c r="C133" s="16" t="str">
        <f aca="false">IFERROR(INDEX(Vendor_Master!$B$2:$B$41,MATCH(B133,Vendor_Master!$A$2:$A$41,0)),"Unknown Vendor")</f>
        <v>Lynch, Hernandez and Farmer</v>
      </c>
      <c r="D133" s="17" t="n">
        <f aca="false">Vendor_Invoices_AP!D130</f>
        <v>45958</v>
      </c>
      <c r="E133" s="17" t="n">
        <f aca="false">Vendor_Invoices_AP!F130</f>
        <v>46018</v>
      </c>
      <c r="F133" s="18" t="n">
        <f aca="false">Vendor_Invoices_AP!E130</f>
        <v>2005.68</v>
      </c>
      <c r="G133" s="18" t="n">
        <f aca="false">SUMIFS(Payment_Log_AP!$E$2:$E$753,Payment_Log_AP!$B$2:$B$753,A133)</f>
        <v>2005.68</v>
      </c>
      <c r="H133" s="18" t="n">
        <f aca="false">F133-G133</f>
        <v>0</v>
      </c>
      <c r="I133" s="16" t="n">
        <f aca="false">IF(H133&lt;=0.01,0,MAX(Assumptions!$B$5-E133,0))</f>
        <v>0</v>
      </c>
      <c r="J133" s="16" t="str">
        <f aca="false">IF(H133&lt;=0.01,"Paid",IF(I133&lt;=30,"0-30",IF(I133&lt;=60,"31-60",IF(I133&lt;=90,"61-90","90+"))))</f>
        <v>Paid</v>
      </c>
      <c r="K133" s="16" t="str">
        <f aca="false">IF(H133&lt;=0.01,"Paid",IF(G133&gt;0,"Partially Paid","Unpaid"))</f>
        <v>Paid</v>
      </c>
    </row>
    <row r="134" customFormat="false" ht="15" hidden="false" customHeight="false" outlineLevel="0" collapsed="false">
      <c r="A134" s="16" t="str">
        <f aca="false">Vendor_Invoices_AP!A131</f>
        <v>INV30130</v>
      </c>
      <c r="B134" s="16" t="str">
        <f aca="false">Vendor_Invoices_AP!C131</f>
        <v>V1009</v>
      </c>
      <c r="C134" s="16" t="str">
        <f aca="false">IFERROR(INDEX(Vendor_Master!$B$2:$B$41,MATCH(B134,Vendor_Master!$A$2:$A$41,0)),"Unknown Vendor")</f>
        <v>Munoz-Roman</v>
      </c>
      <c r="D134" s="17" t="n">
        <f aca="false">Vendor_Invoices_AP!D131</f>
        <v>45750</v>
      </c>
      <c r="E134" s="17" t="n">
        <f aca="false">Vendor_Invoices_AP!F131</f>
        <v>45780</v>
      </c>
      <c r="F134" s="18" t="n">
        <f aca="false">Vendor_Invoices_AP!E131</f>
        <v>12091.17</v>
      </c>
      <c r="G134" s="18" t="n">
        <f aca="false">SUMIFS(Payment_Log_AP!$E$2:$E$753,Payment_Log_AP!$B$2:$B$753,A134)</f>
        <v>12091.17</v>
      </c>
      <c r="H134" s="18" t="n">
        <f aca="false">F134-G134</f>
        <v>0</v>
      </c>
      <c r="I134" s="16" t="n">
        <f aca="false">IF(H134&lt;=0.01,0,MAX(Assumptions!$B$5-E134,0))</f>
        <v>0</v>
      </c>
      <c r="J134" s="16" t="str">
        <f aca="false">IF(H134&lt;=0.01,"Paid",IF(I134&lt;=30,"0-30",IF(I134&lt;=60,"31-60",IF(I134&lt;=90,"61-90","90+"))))</f>
        <v>Paid</v>
      </c>
      <c r="K134" s="16" t="str">
        <f aca="false">IF(H134&lt;=0.01,"Paid",IF(G134&gt;0,"Partially Paid","Unpaid"))</f>
        <v>Paid</v>
      </c>
    </row>
    <row r="135" customFormat="false" ht="15" hidden="false" customHeight="false" outlineLevel="0" collapsed="false">
      <c r="A135" s="16" t="str">
        <f aca="false">Vendor_Invoices_AP!A132</f>
        <v>INV30131</v>
      </c>
      <c r="B135" s="16" t="str">
        <f aca="false">Vendor_Invoices_AP!C132</f>
        <v>V1003</v>
      </c>
      <c r="C135" s="16" t="str">
        <f aca="false">IFERROR(INDEX(Vendor_Master!$B$2:$B$41,MATCH(B135,Vendor_Master!$A$2:$A$41,0)),"Unknown Vendor")</f>
        <v>Johnson and Sons</v>
      </c>
      <c r="D135" s="17" t="n">
        <f aca="false">Vendor_Invoices_AP!D132</f>
        <v>45801</v>
      </c>
      <c r="E135" s="17" t="n">
        <f aca="false">Vendor_Invoices_AP!F132</f>
        <v>45816</v>
      </c>
      <c r="F135" s="18" t="n">
        <f aca="false">Vendor_Invoices_AP!E132</f>
        <v>1425.03</v>
      </c>
      <c r="G135" s="18" t="n">
        <f aca="false">SUMIFS(Payment_Log_AP!$E$2:$E$753,Payment_Log_AP!$B$2:$B$753,A135)</f>
        <v>1425.03</v>
      </c>
      <c r="H135" s="18" t="n">
        <f aca="false">F135-G135</f>
        <v>0</v>
      </c>
      <c r="I135" s="16" t="n">
        <f aca="false">IF(H135&lt;=0.01,0,MAX(Assumptions!$B$5-E135,0))</f>
        <v>0</v>
      </c>
      <c r="J135" s="16" t="str">
        <f aca="false">IF(H135&lt;=0.01,"Paid",IF(I135&lt;=30,"0-30",IF(I135&lt;=60,"31-60",IF(I135&lt;=90,"61-90","90+"))))</f>
        <v>Paid</v>
      </c>
      <c r="K135" s="16" t="str">
        <f aca="false">IF(H135&lt;=0.01,"Paid",IF(G135&gt;0,"Partially Paid","Unpaid"))</f>
        <v>Paid</v>
      </c>
    </row>
    <row r="136" customFormat="false" ht="15" hidden="false" customHeight="false" outlineLevel="0" collapsed="false">
      <c r="A136" s="16" t="str">
        <f aca="false">Vendor_Invoices_AP!A133</f>
        <v>INV30132</v>
      </c>
      <c r="B136" s="16" t="str">
        <f aca="false">Vendor_Invoices_AP!C133</f>
        <v>V1005</v>
      </c>
      <c r="C136" s="16" t="str">
        <f aca="false">IFERROR(INDEX(Vendor_Master!$B$2:$B$41,MATCH(B136,Vendor_Master!$A$2:$A$41,0)),"Unknown Vendor")</f>
        <v>Cole LLC</v>
      </c>
      <c r="D136" s="17" t="n">
        <f aca="false">Vendor_Invoices_AP!D133</f>
        <v>46058</v>
      </c>
      <c r="E136" s="17" t="n">
        <f aca="false">Vendor_Invoices_AP!F133</f>
        <v>46073</v>
      </c>
      <c r="F136" s="18" t="n">
        <f aca="false">Vendor_Invoices_AP!E133</f>
        <v>13874.68</v>
      </c>
      <c r="G136" s="18" t="n">
        <f aca="false">SUMIFS(Payment_Log_AP!$E$2:$E$753,Payment_Log_AP!$B$2:$B$753,A136)</f>
        <v>13874.68</v>
      </c>
      <c r="H136" s="18" t="n">
        <f aca="false">F136-G136</f>
        <v>0</v>
      </c>
      <c r="I136" s="16" t="n">
        <f aca="false">IF(H136&lt;=0.01,0,MAX(Assumptions!$B$5-E136,0))</f>
        <v>0</v>
      </c>
      <c r="J136" s="16" t="str">
        <f aca="false">IF(H136&lt;=0.01,"Paid",IF(I136&lt;=30,"0-30",IF(I136&lt;=60,"31-60",IF(I136&lt;=90,"61-90","90+"))))</f>
        <v>Paid</v>
      </c>
      <c r="K136" s="16" t="str">
        <f aca="false">IF(H136&lt;=0.01,"Paid",IF(G136&gt;0,"Partially Paid","Unpaid"))</f>
        <v>Paid</v>
      </c>
    </row>
    <row r="137" customFormat="false" ht="15" hidden="false" customHeight="false" outlineLevel="0" collapsed="false">
      <c r="A137" s="16" t="str">
        <f aca="false">Vendor_Invoices_AP!A134</f>
        <v>INV30133</v>
      </c>
      <c r="B137" s="16" t="str">
        <f aca="false">Vendor_Invoices_AP!C134</f>
        <v>V1025</v>
      </c>
      <c r="C137" s="16" t="str">
        <f aca="false">IFERROR(INDEX(Vendor_Master!$B$2:$B$41,MATCH(B137,Vendor_Master!$A$2:$A$41,0)),"Unknown Vendor")</f>
        <v>Conner Group</v>
      </c>
      <c r="D137" s="17" t="n">
        <f aca="false">Vendor_Invoices_AP!D134</f>
        <v>46059</v>
      </c>
      <c r="E137" s="17" t="n">
        <f aca="false">Vendor_Invoices_AP!F134</f>
        <v>46104</v>
      </c>
      <c r="F137" s="18" t="n">
        <f aca="false">Vendor_Invoices_AP!E134</f>
        <v>2603.15</v>
      </c>
      <c r="G137" s="18" t="n">
        <f aca="false">SUMIFS(Payment_Log_AP!$E$2:$E$753,Payment_Log_AP!$B$2:$B$753,A137)</f>
        <v>2603.15</v>
      </c>
      <c r="H137" s="18" t="n">
        <f aca="false">F137-G137</f>
        <v>0</v>
      </c>
      <c r="I137" s="16" t="n">
        <f aca="false">IF(H137&lt;=0.01,0,MAX(Assumptions!$B$5-E137,0))</f>
        <v>0</v>
      </c>
      <c r="J137" s="16" t="str">
        <f aca="false">IF(H137&lt;=0.01,"Paid",IF(I137&lt;=30,"0-30",IF(I137&lt;=60,"31-60",IF(I137&lt;=90,"61-90","90+"))))</f>
        <v>Paid</v>
      </c>
      <c r="K137" s="16" t="str">
        <f aca="false">IF(H137&lt;=0.01,"Paid",IF(G137&gt;0,"Partially Paid","Unpaid"))</f>
        <v>Paid</v>
      </c>
    </row>
    <row r="138" customFormat="false" ht="15" hidden="false" customHeight="false" outlineLevel="0" collapsed="false">
      <c r="A138" s="16" t="str">
        <f aca="false">Vendor_Invoices_AP!A135</f>
        <v>INV30134</v>
      </c>
      <c r="B138" s="16" t="str">
        <f aca="false">Vendor_Invoices_AP!C135</f>
        <v>V1037</v>
      </c>
      <c r="C138" s="16" t="str">
        <f aca="false">IFERROR(INDEX(Vendor_Master!$B$2:$B$41,MATCH(B138,Vendor_Master!$A$2:$A$41,0)),"Unknown Vendor")</f>
        <v>Cannon, Anderson and Alvarez</v>
      </c>
      <c r="D138" s="17" t="n">
        <f aca="false">Vendor_Invoices_AP!D135</f>
        <v>45713</v>
      </c>
      <c r="E138" s="17" t="n">
        <f aca="false">Vendor_Invoices_AP!F135</f>
        <v>45743</v>
      </c>
      <c r="F138" s="18" t="n">
        <f aca="false">Vendor_Invoices_AP!E135</f>
        <v>3419.39</v>
      </c>
      <c r="G138" s="18" t="n">
        <f aca="false">SUMIFS(Payment_Log_AP!$E$2:$E$753,Payment_Log_AP!$B$2:$B$753,A138)</f>
        <v>0</v>
      </c>
      <c r="H138" s="18" t="n">
        <f aca="false">F138-G138</f>
        <v>3419.39</v>
      </c>
      <c r="I138" s="16" t="n">
        <f aca="false">IF(H138&lt;=0.01,0,MAX(Assumptions!$B$5-E138,0))</f>
        <v>491</v>
      </c>
      <c r="J138" s="16" t="str">
        <f aca="false">IF(H138&lt;=0.01,"Paid",IF(I138&lt;=30,"0-30",IF(I138&lt;=60,"31-60",IF(I138&lt;=90,"61-90","90+"))))</f>
        <v>90+</v>
      </c>
      <c r="K138" s="16" t="str">
        <f aca="false">IF(H138&lt;=0.01,"Paid",IF(G138&gt;0,"Partially Paid","Unpaid"))</f>
        <v>Unpaid</v>
      </c>
    </row>
    <row r="139" customFormat="false" ht="15" hidden="false" customHeight="false" outlineLevel="0" collapsed="false">
      <c r="A139" s="16" t="str">
        <f aca="false">Vendor_Invoices_AP!A136</f>
        <v>INV30135</v>
      </c>
      <c r="B139" s="16" t="str">
        <f aca="false">Vendor_Invoices_AP!C136</f>
        <v>V1007</v>
      </c>
      <c r="C139" s="16" t="str">
        <f aca="false">IFERROR(INDEX(Vendor_Master!$B$2:$B$41,MATCH(B139,Vendor_Master!$A$2:$A$41,0)),"Unknown Vendor")</f>
        <v>Ramirez-Lewis</v>
      </c>
      <c r="D139" s="17" t="n">
        <f aca="false">Vendor_Invoices_AP!D136</f>
        <v>45888</v>
      </c>
      <c r="E139" s="17" t="n">
        <f aca="false">Vendor_Invoices_AP!F136</f>
        <v>45903</v>
      </c>
      <c r="F139" s="18" t="n">
        <f aca="false">Vendor_Invoices_AP!E136</f>
        <v>4244.35</v>
      </c>
      <c r="G139" s="18" t="n">
        <f aca="false">SUMIFS(Payment_Log_AP!$E$2:$E$753,Payment_Log_AP!$B$2:$B$753,A139)</f>
        <v>4244.35</v>
      </c>
      <c r="H139" s="18" t="n">
        <f aca="false">F139-G139</f>
        <v>0</v>
      </c>
      <c r="I139" s="16" t="n">
        <f aca="false">IF(H139&lt;=0.01,0,MAX(Assumptions!$B$5-E139,0))</f>
        <v>0</v>
      </c>
      <c r="J139" s="16" t="str">
        <f aca="false">IF(H139&lt;=0.01,"Paid",IF(I139&lt;=30,"0-30",IF(I139&lt;=60,"31-60",IF(I139&lt;=90,"61-90","90+"))))</f>
        <v>Paid</v>
      </c>
      <c r="K139" s="16" t="str">
        <f aca="false">IF(H139&lt;=0.01,"Paid",IF(G139&gt;0,"Partially Paid","Unpaid"))</f>
        <v>Paid</v>
      </c>
    </row>
    <row r="140" customFormat="false" ht="15" hidden="false" customHeight="false" outlineLevel="0" collapsed="false">
      <c r="A140" s="16" t="str">
        <f aca="false">Vendor_Invoices_AP!A137</f>
        <v>INV30136</v>
      </c>
      <c r="B140" s="16" t="str">
        <f aca="false">Vendor_Invoices_AP!C137</f>
        <v>V1015</v>
      </c>
      <c r="C140" s="16" t="str">
        <f aca="false">IFERROR(INDEX(Vendor_Master!$B$2:$B$41,MATCH(B140,Vendor_Master!$A$2:$A$41,0)),"Unknown Vendor")</f>
        <v>Zuniga, Wong and Lynch</v>
      </c>
      <c r="D140" s="17" t="n">
        <f aca="false">Vendor_Invoices_AP!D137</f>
        <v>45975</v>
      </c>
      <c r="E140" s="17" t="n">
        <f aca="false">Vendor_Invoices_AP!F137</f>
        <v>46005</v>
      </c>
      <c r="F140" s="18" t="n">
        <f aca="false">Vendor_Invoices_AP!E137</f>
        <v>8178.53</v>
      </c>
      <c r="G140" s="18" t="n">
        <f aca="false">SUMIFS(Payment_Log_AP!$E$2:$E$753,Payment_Log_AP!$B$2:$B$753,A140)</f>
        <v>0</v>
      </c>
      <c r="H140" s="18" t="n">
        <f aca="false">F140-G140</f>
        <v>8178.53</v>
      </c>
      <c r="I140" s="16" t="n">
        <f aca="false">IF(H140&lt;=0.01,0,MAX(Assumptions!$B$5-E140,0))</f>
        <v>229</v>
      </c>
      <c r="J140" s="16" t="str">
        <f aca="false">IF(H140&lt;=0.01,"Paid",IF(I140&lt;=30,"0-30",IF(I140&lt;=60,"31-60",IF(I140&lt;=90,"61-90","90+"))))</f>
        <v>90+</v>
      </c>
      <c r="K140" s="16" t="str">
        <f aca="false">IF(H140&lt;=0.01,"Paid",IF(G140&gt;0,"Partially Paid","Unpaid"))</f>
        <v>Unpaid</v>
      </c>
    </row>
    <row r="141" customFormat="false" ht="15" hidden="false" customHeight="false" outlineLevel="0" collapsed="false">
      <c r="A141" s="16" t="str">
        <f aca="false">Vendor_Invoices_AP!A138</f>
        <v>INV30137</v>
      </c>
      <c r="B141" s="16" t="str">
        <f aca="false">Vendor_Invoices_AP!C138</f>
        <v>V1007</v>
      </c>
      <c r="C141" s="16" t="str">
        <f aca="false">IFERROR(INDEX(Vendor_Master!$B$2:$B$41,MATCH(B141,Vendor_Master!$A$2:$A$41,0)),"Unknown Vendor")</f>
        <v>Ramirez-Lewis</v>
      </c>
      <c r="D141" s="17" t="n">
        <f aca="false">Vendor_Invoices_AP!D138</f>
        <v>45894</v>
      </c>
      <c r="E141" s="17" t="n">
        <f aca="false">Vendor_Invoices_AP!F138</f>
        <v>45909</v>
      </c>
      <c r="F141" s="18" t="n">
        <f aca="false">Vendor_Invoices_AP!E138</f>
        <v>1297.3</v>
      </c>
      <c r="G141" s="18" t="n">
        <f aca="false">SUMIFS(Payment_Log_AP!$E$2:$E$753,Payment_Log_AP!$B$2:$B$753,A141)</f>
        <v>1297.3</v>
      </c>
      <c r="H141" s="18" t="n">
        <f aca="false">F141-G141</f>
        <v>0</v>
      </c>
      <c r="I141" s="16" t="n">
        <f aca="false">IF(H141&lt;=0.01,0,MAX(Assumptions!$B$5-E141,0))</f>
        <v>0</v>
      </c>
      <c r="J141" s="16" t="str">
        <f aca="false">IF(H141&lt;=0.01,"Paid",IF(I141&lt;=30,"0-30",IF(I141&lt;=60,"31-60",IF(I141&lt;=90,"61-90","90+"))))</f>
        <v>Paid</v>
      </c>
      <c r="K141" s="16" t="str">
        <f aca="false">IF(H141&lt;=0.01,"Paid",IF(G141&gt;0,"Partially Paid","Unpaid"))</f>
        <v>Paid</v>
      </c>
    </row>
    <row r="142" customFormat="false" ht="15" hidden="false" customHeight="false" outlineLevel="0" collapsed="false">
      <c r="A142" s="16" t="str">
        <f aca="false">Vendor_Invoices_AP!A139</f>
        <v>INV30138</v>
      </c>
      <c r="B142" s="16" t="str">
        <f aca="false">Vendor_Invoices_AP!C139</f>
        <v>V1009</v>
      </c>
      <c r="C142" s="16" t="str">
        <f aca="false">IFERROR(INDEX(Vendor_Master!$B$2:$B$41,MATCH(B142,Vendor_Master!$A$2:$A$41,0)),"Unknown Vendor")</f>
        <v>Munoz-Roman</v>
      </c>
      <c r="D142" s="17" t="n">
        <f aca="false">Vendor_Invoices_AP!D139</f>
        <v>45780</v>
      </c>
      <c r="E142" s="17" t="n">
        <f aca="false">Vendor_Invoices_AP!F139</f>
        <v>45810</v>
      </c>
      <c r="F142" s="18" t="n">
        <f aca="false">Vendor_Invoices_AP!E139</f>
        <v>1349.8</v>
      </c>
      <c r="G142" s="18" t="n">
        <f aca="false">SUMIFS(Payment_Log_AP!$E$2:$E$753,Payment_Log_AP!$B$2:$B$753,A142)</f>
        <v>1349.8</v>
      </c>
      <c r="H142" s="18" t="n">
        <f aca="false">F142-G142</f>
        <v>0</v>
      </c>
      <c r="I142" s="16" t="n">
        <f aca="false">IF(H142&lt;=0.01,0,MAX(Assumptions!$B$5-E142,0))</f>
        <v>0</v>
      </c>
      <c r="J142" s="16" t="str">
        <f aca="false">IF(H142&lt;=0.01,"Paid",IF(I142&lt;=30,"0-30",IF(I142&lt;=60,"31-60",IF(I142&lt;=90,"61-90","90+"))))</f>
        <v>Paid</v>
      </c>
      <c r="K142" s="16" t="str">
        <f aca="false">IF(H142&lt;=0.01,"Paid",IF(G142&gt;0,"Partially Paid","Unpaid"))</f>
        <v>Paid</v>
      </c>
    </row>
    <row r="143" customFormat="false" ht="15" hidden="false" customHeight="false" outlineLevel="0" collapsed="false">
      <c r="A143" s="16" t="str">
        <f aca="false">Vendor_Invoices_AP!A140</f>
        <v>INV30139</v>
      </c>
      <c r="B143" s="16" t="str">
        <f aca="false">Vendor_Invoices_AP!C140</f>
        <v>V1022</v>
      </c>
      <c r="C143" s="16" t="str">
        <f aca="false">IFERROR(INDEX(Vendor_Master!$B$2:$B$41,MATCH(B143,Vendor_Master!$A$2:$A$41,0)),"Unknown Vendor")</f>
        <v>Burgess-Patterson</v>
      </c>
      <c r="D143" s="17" t="n">
        <f aca="false">Vendor_Invoices_AP!D140</f>
        <v>45899</v>
      </c>
      <c r="E143" s="17" t="n">
        <f aca="false">Vendor_Invoices_AP!F140</f>
        <v>45929</v>
      </c>
      <c r="F143" s="18" t="n">
        <f aca="false">Vendor_Invoices_AP!E140</f>
        <v>9053.44</v>
      </c>
      <c r="G143" s="18" t="n">
        <f aca="false">SUMIFS(Payment_Log_AP!$E$2:$E$753,Payment_Log_AP!$B$2:$B$753,A143)</f>
        <v>9053.44</v>
      </c>
      <c r="H143" s="18" t="n">
        <f aca="false">F143-G143</f>
        <v>0</v>
      </c>
      <c r="I143" s="16" t="n">
        <f aca="false">IF(H143&lt;=0.01,0,MAX(Assumptions!$B$5-E143,0))</f>
        <v>0</v>
      </c>
      <c r="J143" s="16" t="str">
        <f aca="false">IF(H143&lt;=0.01,"Paid",IF(I143&lt;=30,"0-30",IF(I143&lt;=60,"31-60",IF(I143&lt;=90,"61-90","90+"))))</f>
        <v>Paid</v>
      </c>
      <c r="K143" s="16" t="str">
        <f aca="false">IF(H143&lt;=0.01,"Paid",IF(G143&gt;0,"Partially Paid","Unpaid"))</f>
        <v>Paid</v>
      </c>
    </row>
    <row r="144" customFormat="false" ht="15" hidden="false" customHeight="false" outlineLevel="0" collapsed="false">
      <c r="A144" s="16" t="str">
        <f aca="false">Vendor_Invoices_AP!A141</f>
        <v>INV30140</v>
      </c>
      <c r="B144" s="16" t="str">
        <f aca="false">Vendor_Invoices_AP!C141</f>
        <v>V1022</v>
      </c>
      <c r="C144" s="16" t="str">
        <f aca="false">IFERROR(INDEX(Vendor_Master!$B$2:$B$41,MATCH(B144,Vendor_Master!$A$2:$A$41,0)),"Unknown Vendor")</f>
        <v>Burgess-Patterson</v>
      </c>
      <c r="D144" s="17" t="n">
        <f aca="false">Vendor_Invoices_AP!D141</f>
        <v>46159</v>
      </c>
      <c r="E144" s="17" t="n">
        <f aca="false">Vendor_Invoices_AP!F141</f>
        <v>46189</v>
      </c>
      <c r="F144" s="18" t="n">
        <f aca="false">Vendor_Invoices_AP!E141</f>
        <v>974.82</v>
      </c>
      <c r="G144" s="18" t="n">
        <f aca="false">SUMIFS(Payment_Log_AP!$E$2:$E$753,Payment_Log_AP!$B$2:$B$753,A144)</f>
        <v>974.82</v>
      </c>
      <c r="H144" s="18" t="n">
        <f aca="false">F144-G144</f>
        <v>0</v>
      </c>
      <c r="I144" s="16" t="n">
        <f aca="false">IF(H144&lt;=0.01,0,MAX(Assumptions!$B$5-E144,0))</f>
        <v>0</v>
      </c>
      <c r="J144" s="16" t="str">
        <f aca="false">IF(H144&lt;=0.01,"Paid",IF(I144&lt;=30,"0-30",IF(I144&lt;=60,"31-60",IF(I144&lt;=90,"61-90","90+"))))</f>
        <v>Paid</v>
      </c>
      <c r="K144" s="16" t="str">
        <f aca="false">IF(H144&lt;=0.01,"Paid",IF(G144&gt;0,"Partially Paid","Unpaid"))</f>
        <v>Paid</v>
      </c>
    </row>
    <row r="145" customFormat="false" ht="15" hidden="false" customHeight="false" outlineLevel="0" collapsed="false">
      <c r="A145" s="16" t="str">
        <f aca="false">Vendor_Invoices_AP!A142</f>
        <v>INV30141</v>
      </c>
      <c r="B145" s="16" t="str">
        <f aca="false">Vendor_Invoices_AP!C142</f>
        <v>V1034</v>
      </c>
      <c r="C145" s="16" t="str">
        <f aca="false">IFERROR(INDEX(Vendor_Master!$B$2:$B$41,MATCH(B145,Vendor_Master!$A$2:$A$41,0)),"Unknown Vendor")</f>
        <v>Koch-Decker</v>
      </c>
      <c r="D145" s="17" t="n">
        <f aca="false">Vendor_Invoices_AP!D142</f>
        <v>45995</v>
      </c>
      <c r="E145" s="17" t="n">
        <f aca="false">Vendor_Invoices_AP!F142</f>
        <v>46040</v>
      </c>
      <c r="F145" s="18" t="n">
        <f aca="false">Vendor_Invoices_AP!E142</f>
        <v>5730.61</v>
      </c>
      <c r="G145" s="18" t="n">
        <f aca="false">SUMIFS(Payment_Log_AP!$E$2:$E$753,Payment_Log_AP!$B$2:$B$753,A145)</f>
        <v>5730.61</v>
      </c>
      <c r="H145" s="18" t="n">
        <f aca="false">F145-G145</f>
        <v>0</v>
      </c>
      <c r="I145" s="16" t="n">
        <f aca="false">IF(H145&lt;=0.01,0,MAX(Assumptions!$B$5-E145,0))</f>
        <v>0</v>
      </c>
      <c r="J145" s="16" t="str">
        <f aca="false">IF(H145&lt;=0.01,"Paid",IF(I145&lt;=30,"0-30",IF(I145&lt;=60,"31-60",IF(I145&lt;=90,"61-90","90+"))))</f>
        <v>Paid</v>
      </c>
      <c r="K145" s="16" t="str">
        <f aca="false">IF(H145&lt;=0.01,"Paid",IF(G145&gt;0,"Partially Paid","Unpaid"))</f>
        <v>Paid</v>
      </c>
    </row>
    <row r="146" customFormat="false" ht="15" hidden="false" customHeight="false" outlineLevel="0" collapsed="false">
      <c r="A146" s="16" t="str">
        <f aca="false">Vendor_Invoices_AP!A143</f>
        <v>INV30142</v>
      </c>
      <c r="B146" s="16" t="str">
        <f aca="false">Vendor_Invoices_AP!C143</f>
        <v>V1040</v>
      </c>
      <c r="C146" s="16" t="str">
        <f aca="false">IFERROR(INDEX(Vendor_Master!$B$2:$B$41,MATCH(B146,Vendor_Master!$A$2:$A$41,0)),"Unknown Vendor")</f>
        <v>Santos, Kim and Holmes</v>
      </c>
      <c r="D146" s="17" t="n">
        <f aca="false">Vendor_Invoices_AP!D143</f>
        <v>46050</v>
      </c>
      <c r="E146" s="17" t="n">
        <f aca="false">Vendor_Invoices_AP!F143</f>
        <v>46065</v>
      </c>
      <c r="F146" s="18" t="n">
        <f aca="false">Vendor_Invoices_AP!E143</f>
        <v>11169.56</v>
      </c>
      <c r="G146" s="18" t="n">
        <f aca="false">SUMIFS(Payment_Log_AP!$E$2:$E$753,Payment_Log_AP!$B$2:$B$753,A146)</f>
        <v>11169.56</v>
      </c>
      <c r="H146" s="18" t="n">
        <f aca="false">F146-G146</f>
        <v>0</v>
      </c>
      <c r="I146" s="16" t="n">
        <f aca="false">IF(H146&lt;=0.01,0,MAX(Assumptions!$B$5-E146,0))</f>
        <v>0</v>
      </c>
      <c r="J146" s="16" t="str">
        <f aca="false">IF(H146&lt;=0.01,"Paid",IF(I146&lt;=30,"0-30",IF(I146&lt;=60,"31-60",IF(I146&lt;=90,"61-90","90+"))))</f>
        <v>Paid</v>
      </c>
      <c r="K146" s="16" t="str">
        <f aca="false">IF(H146&lt;=0.01,"Paid",IF(G146&gt;0,"Partially Paid","Unpaid"))</f>
        <v>Paid</v>
      </c>
    </row>
    <row r="147" customFormat="false" ht="15" hidden="false" customHeight="false" outlineLevel="0" collapsed="false">
      <c r="A147" s="16" t="str">
        <f aca="false">Vendor_Invoices_AP!A144</f>
        <v>INV30143</v>
      </c>
      <c r="B147" s="16" t="str">
        <f aca="false">Vendor_Invoices_AP!C144</f>
        <v>V1032</v>
      </c>
      <c r="C147" s="16" t="str">
        <f aca="false">IFERROR(INDEX(Vendor_Master!$B$2:$B$41,MATCH(B147,Vendor_Master!$A$2:$A$41,0)),"Unknown Vendor")</f>
        <v>Lynch, Hernandez and Farmer</v>
      </c>
      <c r="D147" s="17" t="n">
        <f aca="false">Vendor_Invoices_AP!D144</f>
        <v>46149</v>
      </c>
      <c r="E147" s="17" t="n">
        <f aca="false">Vendor_Invoices_AP!F144</f>
        <v>46209</v>
      </c>
      <c r="F147" s="18" t="n">
        <f aca="false">Vendor_Invoices_AP!E144</f>
        <v>573.05</v>
      </c>
      <c r="G147" s="18" t="n">
        <f aca="false">SUMIFS(Payment_Log_AP!$E$2:$E$753,Payment_Log_AP!$B$2:$B$753,A147)</f>
        <v>573.05</v>
      </c>
      <c r="H147" s="18" t="n">
        <f aca="false">F147-G147</f>
        <v>0</v>
      </c>
      <c r="I147" s="16" t="n">
        <f aca="false">IF(H147&lt;=0.01,0,MAX(Assumptions!$B$5-E147,0))</f>
        <v>0</v>
      </c>
      <c r="J147" s="16" t="str">
        <f aca="false">IF(H147&lt;=0.01,"Paid",IF(I147&lt;=30,"0-30",IF(I147&lt;=60,"31-60",IF(I147&lt;=90,"61-90","90+"))))</f>
        <v>Paid</v>
      </c>
      <c r="K147" s="16" t="str">
        <f aca="false">IF(H147&lt;=0.01,"Paid",IF(G147&gt;0,"Partially Paid","Unpaid"))</f>
        <v>Paid</v>
      </c>
    </row>
    <row r="148" customFormat="false" ht="15" hidden="false" customHeight="false" outlineLevel="0" collapsed="false">
      <c r="A148" s="16" t="str">
        <f aca="false">Vendor_Invoices_AP!A145</f>
        <v>INV30144</v>
      </c>
      <c r="B148" s="16" t="str">
        <f aca="false">Vendor_Invoices_AP!C145</f>
        <v>V1021</v>
      </c>
      <c r="C148" s="16" t="str">
        <f aca="false">IFERROR(INDEX(Vendor_Master!$B$2:$B$41,MATCH(B148,Vendor_Master!$A$2:$A$41,0)),"Unknown Vendor")</f>
        <v>Ellis, Baker and Wright</v>
      </c>
      <c r="D148" s="17" t="n">
        <f aca="false">Vendor_Invoices_AP!D145</f>
        <v>46096</v>
      </c>
      <c r="E148" s="17" t="n">
        <f aca="false">Vendor_Invoices_AP!F145</f>
        <v>46126</v>
      </c>
      <c r="F148" s="18" t="n">
        <f aca="false">Vendor_Invoices_AP!E145</f>
        <v>267.6</v>
      </c>
      <c r="G148" s="18" t="n">
        <f aca="false">SUMIFS(Payment_Log_AP!$E$2:$E$753,Payment_Log_AP!$B$2:$B$753,A148)</f>
        <v>267.6</v>
      </c>
      <c r="H148" s="18" t="n">
        <f aca="false">F148-G148</f>
        <v>0</v>
      </c>
      <c r="I148" s="16" t="n">
        <f aca="false">IF(H148&lt;=0.01,0,MAX(Assumptions!$B$5-E148,0))</f>
        <v>0</v>
      </c>
      <c r="J148" s="16" t="str">
        <f aca="false">IF(H148&lt;=0.01,"Paid",IF(I148&lt;=30,"0-30",IF(I148&lt;=60,"31-60",IF(I148&lt;=90,"61-90","90+"))))</f>
        <v>Paid</v>
      </c>
      <c r="K148" s="16" t="str">
        <f aca="false">IF(H148&lt;=0.01,"Paid",IF(G148&gt;0,"Partially Paid","Unpaid"))</f>
        <v>Paid</v>
      </c>
    </row>
    <row r="149" customFormat="false" ht="15" hidden="false" customHeight="false" outlineLevel="0" collapsed="false">
      <c r="A149" s="16" t="str">
        <f aca="false">Vendor_Invoices_AP!A146</f>
        <v>INV30145</v>
      </c>
      <c r="B149" s="16" t="str">
        <f aca="false">Vendor_Invoices_AP!C146</f>
        <v>V1036</v>
      </c>
      <c r="C149" s="16" t="str">
        <f aca="false">IFERROR(INDEX(Vendor_Master!$B$2:$B$41,MATCH(B149,Vendor_Master!$A$2:$A$41,0)),"Unknown Vendor")</f>
        <v>Dennis Inc</v>
      </c>
      <c r="D149" s="17" t="n">
        <f aca="false">Vendor_Invoices_AP!D146</f>
        <v>45871</v>
      </c>
      <c r="E149" s="17" t="n">
        <f aca="false">Vendor_Invoices_AP!F146</f>
        <v>45916</v>
      </c>
      <c r="F149" s="18" t="n">
        <f aca="false">Vendor_Invoices_AP!E146</f>
        <v>634.26</v>
      </c>
      <c r="G149" s="18" t="n">
        <f aca="false">SUMIFS(Payment_Log_AP!$E$2:$E$753,Payment_Log_AP!$B$2:$B$753,A149)</f>
        <v>634.26</v>
      </c>
      <c r="H149" s="18" t="n">
        <f aca="false">F149-G149</f>
        <v>0</v>
      </c>
      <c r="I149" s="16" t="n">
        <f aca="false">IF(H149&lt;=0.01,0,MAX(Assumptions!$B$5-E149,0))</f>
        <v>0</v>
      </c>
      <c r="J149" s="16" t="str">
        <f aca="false">IF(H149&lt;=0.01,"Paid",IF(I149&lt;=30,"0-30",IF(I149&lt;=60,"31-60",IF(I149&lt;=90,"61-90","90+"))))</f>
        <v>Paid</v>
      </c>
      <c r="K149" s="16" t="str">
        <f aca="false">IF(H149&lt;=0.01,"Paid",IF(G149&gt;0,"Partially Paid","Unpaid"))</f>
        <v>Paid</v>
      </c>
    </row>
    <row r="150" customFormat="false" ht="15" hidden="false" customHeight="false" outlineLevel="0" collapsed="false">
      <c r="A150" s="16" t="str">
        <f aca="false">Vendor_Invoices_AP!A147</f>
        <v>INV30146</v>
      </c>
      <c r="B150" s="16" t="str">
        <f aca="false">Vendor_Invoices_AP!C147</f>
        <v>V1029</v>
      </c>
      <c r="C150" s="16" t="str">
        <f aca="false">IFERROR(INDEX(Vendor_Master!$B$2:$B$41,MATCH(B150,Vendor_Master!$A$2:$A$41,0)),"Unknown Vendor")</f>
        <v>Chavez Ltd</v>
      </c>
      <c r="D150" s="17" t="n">
        <f aca="false">Vendor_Invoices_AP!D147</f>
        <v>45673</v>
      </c>
      <c r="E150" s="17" t="n">
        <f aca="false">Vendor_Invoices_AP!F147</f>
        <v>45733</v>
      </c>
      <c r="F150" s="18" t="n">
        <f aca="false">Vendor_Invoices_AP!E147</f>
        <v>858.6</v>
      </c>
      <c r="G150" s="18" t="n">
        <f aca="false">SUMIFS(Payment_Log_AP!$E$2:$E$753,Payment_Log_AP!$B$2:$B$753,A150)</f>
        <v>858.6</v>
      </c>
      <c r="H150" s="18" t="n">
        <f aca="false">F150-G150</f>
        <v>0</v>
      </c>
      <c r="I150" s="16" t="n">
        <f aca="false">IF(H150&lt;=0.01,0,MAX(Assumptions!$B$5-E150,0))</f>
        <v>0</v>
      </c>
      <c r="J150" s="16" t="str">
        <f aca="false">IF(H150&lt;=0.01,"Paid",IF(I150&lt;=30,"0-30",IF(I150&lt;=60,"31-60",IF(I150&lt;=90,"61-90","90+"))))</f>
        <v>Paid</v>
      </c>
      <c r="K150" s="16" t="str">
        <f aca="false">IF(H150&lt;=0.01,"Paid",IF(G150&gt;0,"Partially Paid","Unpaid"))</f>
        <v>Paid</v>
      </c>
    </row>
    <row r="151" customFormat="false" ht="15" hidden="false" customHeight="false" outlineLevel="0" collapsed="false">
      <c r="A151" s="16" t="str">
        <f aca="false">Vendor_Invoices_AP!A148</f>
        <v>INV30147</v>
      </c>
      <c r="B151" s="16" t="str">
        <f aca="false">Vendor_Invoices_AP!C148</f>
        <v>V1023</v>
      </c>
      <c r="C151" s="16" t="str">
        <f aca="false">IFERROR(INDEX(Vendor_Master!$B$2:$B$41,MATCH(B151,Vendor_Master!$A$2:$A$41,0)),"Unknown Vendor")</f>
        <v>Robinson-Bright</v>
      </c>
      <c r="D151" s="17" t="n">
        <f aca="false">Vendor_Invoices_AP!D148</f>
        <v>45863</v>
      </c>
      <c r="E151" s="17" t="n">
        <f aca="false">Vendor_Invoices_AP!F148</f>
        <v>45893</v>
      </c>
      <c r="F151" s="18" t="n">
        <f aca="false">Vendor_Invoices_AP!E148</f>
        <v>1495.05</v>
      </c>
      <c r="G151" s="18" t="n">
        <f aca="false">SUMIFS(Payment_Log_AP!$E$2:$E$753,Payment_Log_AP!$B$2:$B$753,A151)</f>
        <v>1495.05</v>
      </c>
      <c r="H151" s="18" t="n">
        <f aca="false">F151-G151</f>
        <v>0</v>
      </c>
      <c r="I151" s="16" t="n">
        <f aca="false">IF(H151&lt;=0.01,0,MAX(Assumptions!$B$5-E151,0))</f>
        <v>0</v>
      </c>
      <c r="J151" s="16" t="str">
        <f aca="false">IF(H151&lt;=0.01,"Paid",IF(I151&lt;=30,"0-30",IF(I151&lt;=60,"31-60",IF(I151&lt;=90,"61-90","90+"))))</f>
        <v>Paid</v>
      </c>
      <c r="K151" s="16" t="str">
        <f aca="false">IF(H151&lt;=0.01,"Paid",IF(G151&gt;0,"Partially Paid","Unpaid"))</f>
        <v>Paid</v>
      </c>
    </row>
    <row r="152" customFormat="false" ht="15" hidden="false" customHeight="false" outlineLevel="0" collapsed="false">
      <c r="A152" s="16" t="str">
        <f aca="false">Vendor_Invoices_AP!A149</f>
        <v>INV30148</v>
      </c>
      <c r="B152" s="16" t="str">
        <f aca="false">Vendor_Invoices_AP!C149</f>
        <v>V1037</v>
      </c>
      <c r="C152" s="16" t="str">
        <f aca="false">IFERROR(INDEX(Vendor_Master!$B$2:$B$41,MATCH(B152,Vendor_Master!$A$2:$A$41,0)),"Unknown Vendor")</f>
        <v>Cannon, Anderson and Alvarez</v>
      </c>
      <c r="D152" s="17" t="n">
        <f aca="false">Vendor_Invoices_AP!D149</f>
        <v>46075</v>
      </c>
      <c r="E152" s="17" t="n">
        <f aca="false">Vendor_Invoices_AP!F149</f>
        <v>46105</v>
      </c>
      <c r="F152" s="18" t="n">
        <f aca="false">Vendor_Invoices_AP!E149</f>
        <v>4226.43</v>
      </c>
      <c r="G152" s="18" t="n">
        <f aca="false">SUMIFS(Payment_Log_AP!$E$2:$E$753,Payment_Log_AP!$B$2:$B$753,A152)</f>
        <v>4226.43</v>
      </c>
      <c r="H152" s="18" t="n">
        <f aca="false">F152-G152</f>
        <v>0</v>
      </c>
      <c r="I152" s="16" t="n">
        <f aca="false">IF(H152&lt;=0.01,0,MAX(Assumptions!$B$5-E152,0))</f>
        <v>0</v>
      </c>
      <c r="J152" s="16" t="str">
        <f aca="false">IF(H152&lt;=0.01,"Paid",IF(I152&lt;=30,"0-30",IF(I152&lt;=60,"31-60",IF(I152&lt;=90,"61-90","90+"))))</f>
        <v>Paid</v>
      </c>
      <c r="K152" s="16" t="str">
        <f aca="false">IF(H152&lt;=0.01,"Paid",IF(G152&gt;0,"Partially Paid","Unpaid"))</f>
        <v>Paid</v>
      </c>
    </row>
    <row r="153" customFormat="false" ht="15" hidden="false" customHeight="false" outlineLevel="0" collapsed="false">
      <c r="A153" s="16" t="str">
        <f aca="false">Vendor_Invoices_AP!A150</f>
        <v>INV30149</v>
      </c>
      <c r="B153" s="16" t="str">
        <f aca="false">Vendor_Invoices_AP!C150</f>
        <v>V1029</v>
      </c>
      <c r="C153" s="16" t="str">
        <f aca="false">IFERROR(INDEX(Vendor_Master!$B$2:$B$41,MATCH(B153,Vendor_Master!$A$2:$A$41,0)),"Unknown Vendor")</f>
        <v>Chavez Ltd</v>
      </c>
      <c r="D153" s="17" t="n">
        <f aca="false">Vendor_Invoices_AP!D150</f>
        <v>46145</v>
      </c>
      <c r="E153" s="17" t="n">
        <f aca="false">Vendor_Invoices_AP!F150</f>
        <v>46205</v>
      </c>
      <c r="F153" s="18" t="n">
        <f aca="false">Vendor_Invoices_AP!E150</f>
        <v>203.15</v>
      </c>
      <c r="G153" s="18" t="n">
        <f aca="false">SUMIFS(Payment_Log_AP!$E$2:$E$753,Payment_Log_AP!$B$2:$B$753,A153)</f>
        <v>203.15</v>
      </c>
      <c r="H153" s="18" t="n">
        <f aca="false">F153-G153</f>
        <v>0</v>
      </c>
      <c r="I153" s="16" t="n">
        <f aca="false">IF(H153&lt;=0.01,0,MAX(Assumptions!$B$5-E153,0))</f>
        <v>0</v>
      </c>
      <c r="J153" s="16" t="str">
        <f aca="false">IF(H153&lt;=0.01,"Paid",IF(I153&lt;=30,"0-30",IF(I153&lt;=60,"31-60",IF(I153&lt;=90,"61-90","90+"))))</f>
        <v>Paid</v>
      </c>
      <c r="K153" s="16" t="str">
        <f aca="false">IF(H153&lt;=0.01,"Paid",IF(G153&gt;0,"Partially Paid","Unpaid"))</f>
        <v>Paid</v>
      </c>
    </row>
    <row r="154" customFormat="false" ht="15" hidden="false" customHeight="false" outlineLevel="0" collapsed="false">
      <c r="A154" s="16" t="str">
        <f aca="false">Vendor_Invoices_AP!A151</f>
        <v>INV30150</v>
      </c>
      <c r="B154" s="16" t="str">
        <f aca="false">Vendor_Invoices_AP!C151</f>
        <v>V1001</v>
      </c>
      <c r="C154" s="16" t="str">
        <f aca="false">IFERROR(INDEX(Vendor_Master!$B$2:$B$41,MATCH(B154,Vendor_Master!$A$2:$A$41,0)),"Unknown Vendor")</f>
        <v>Figueroa and Sons</v>
      </c>
      <c r="D154" s="17" t="n">
        <f aca="false">Vendor_Invoices_AP!D151</f>
        <v>46199</v>
      </c>
      <c r="E154" s="17" t="n">
        <f aca="false">Vendor_Invoices_AP!F151</f>
        <v>46244</v>
      </c>
      <c r="F154" s="18" t="n">
        <f aca="false">Vendor_Invoices_AP!E151</f>
        <v>1362.11</v>
      </c>
      <c r="G154" s="18" t="n">
        <f aca="false">SUMIFS(Payment_Log_AP!$E$2:$E$753,Payment_Log_AP!$B$2:$B$753,A154)</f>
        <v>0</v>
      </c>
      <c r="H154" s="18" t="n">
        <f aca="false">F154-G154</f>
        <v>1362.11</v>
      </c>
      <c r="I154" s="16" t="n">
        <f aca="false">IF(H154&lt;=0.01,0,MAX(Assumptions!$B$5-E154,0))</f>
        <v>0</v>
      </c>
      <c r="J154" s="16" t="str">
        <f aca="false">IF(H154&lt;=0.01,"Paid",IF(I154&lt;=30,"0-30",IF(I154&lt;=60,"31-60",IF(I154&lt;=90,"61-90","90+"))))</f>
        <v>0-30</v>
      </c>
      <c r="K154" s="16" t="str">
        <f aca="false">IF(H154&lt;=0.01,"Paid",IF(G154&gt;0,"Partially Paid","Unpaid"))</f>
        <v>Unpaid</v>
      </c>
    </row>
    <row r="155" customFormat="false" ht="15" hidden="false" customHeight="false" outlineLevel="0" collapsed="false">
      <c r="A155" s="16" t="str">
        <f aca="false">Vendor_Invoices_AP!A152</f>
        <v>INV30151</v>
      </c>
      <c r="B155" s="16" t="str">
        <f aca="false">Vendor_Invoices_AP!C152</f>
        <v>V1036</v>
      </c>
      <c r="C155" s="16" t="str">
        <f aca="false">IFERROR(INDEX(Vendor_Master!$B$2:$B$41,MATCH(B155,Vendor_Master!$A$2:$A$41,0)),"Unknown Vendor")</f>
        <v>Dennis Inc</v>
      </c>
      <c r="D155" s="17" t="n">
        <f aca="false">Vendor_Invoices_AP!D152</f>
        <v>45899</v>
      </c>
      <c r="E155" s="17" t="n">
        <f aca="false">Vendor_Invoices_AP!F152</f>
        <v>45944</v>
      </c>
      <c r="F155" s="18" t="n">
        <f aca="false">Vendor_Invoices_AP!E152</f>
        <v>3143.41</v>
      </c>
      <c r="G155" s="18" t="n">
        <f aca="false">SUMIFS(Payment_Log_AP!$E$2:$E$753,Payment_Log_AP!$B$2:$B$753,A155)</f>
        <v>3143.41</v>
      </c>
      <c r="H155" s="18" t="n">
        <f aca="false">F155-G155</f>
        <v>0</v>
      </c>
      <c r="I155" s="16" t="n">
        <f aca="false">IF(H155&lt;=0.01,0,MAX(Assumptions!$B$5-E155,0))</f>
        <v>0</v>
      </c>
      <c r="J155" s="16" t="str">
        <f aca="false">IF(H155&lt;=0.01,"Paid",IF(I155&lt;=30,"0-30",IF(I155&lt;=60,"31-60",IF(I155&lt;=90,"61-90","90+"))))</f>
        <v>Paid</v>
      </c>
      <c r="K155" s="16" t="str">
        <f aca="false">IF(H155&lt;=0.01,"Paid",IF(G155&gt;0,"Partially Paid","Unpaid"))</f>
        <v>Paid</v>
      </c>
    </row>
    <row r="156" customFormat="false" ht="15" hidden="false" customHeight="false" outlineLevel="0" collapsed="false">
      <c r="A156" s="16" t="str">
        <f aca="false">Vendor_Invoices_AP!A153</f>
        <v>INV30152</v>
      </c>
      <c r="B156" s="16" t="str">
        <f aca="false">Vendor_Invoices_AP!C153</f>
        <v>V1005</v>
      </c>
      <c r="C156" s="16" t="str">
        <f aca="false">IFERROR(INDEX(Vendor_Master!$B$2:$B$41,MATCH(B156,Vendor_Master!$A$2:$A$41,0)),"Unknown Vendor")</f>
        <v>Cole LLC</v>
      </c>
      <c r="D156" s="17" t="n">
        <f aca="false">Vendor_Invoices_AP!D153</f>
        <v>46081</v>
      </c>
      <c r="E156" s="17" t="n">
        <f aca="false">Vendor_Invoices_AP!F153</f>
        <v>46096</v>
      </c>
      <c r="F156" s="18" t="n">
        <f aca="false">Vendor_Invoices_AP!E153</f>
        <v>13042.87</v>
      </c>
      <c r="G156" s="18" t="n">
        <f aca="false">SUMIFS(Payment_Log_AP!$E$2:$E$753,Payment_Log_AP!$B$2:$B$753,A156)</f>
        <v>13042.87</v>
      </c>
      <c r="H156" s="18" t="n">
        <f aca="false">F156-G156</f>
        <v>0</v>
      </c>
      <c r="I156" s="16" t="n">
        <f aca="false">IF(H156&lt;=0.01,0,MAX(Assumptions!$B$5-E156,0))</f>
        <v>0</v>
      </c>
      <c r="J156" s="16" t="str">
        <f aca="false">IF(H156&lt;=0.01,"Paid",IF(I156&lt;=30,"0-30",IF(I156&lt;=60,"31-60",IF(I156&lt;=90,"61-90","90+"))))</f>
        <v>Paid</v>
      </c>
      <c r="K156" s="16" t="str">
        <f aca="false">IF(H156&lt;=0.01,"Paid",IF(G156&gt;0,"Partially Paid","Unpaid"))</f>
        <v>Paid</v>
      </c>
    </row>
    <row r="157" customFormat="false" ht="15" hidden="false" customHeight="false" outlineLevel="0" collapsed="false">
      <c r="A157" s="16" t="str">
        <f aca="false">Vendor_Invoices_AP!A154</f>
        <v>INV30153</v>
      </c>
      <c r="B157" s="16" t="str">
        <f aca="false">Vendor_Invoices_AP!C154</f>
        <v>V1039</v>
      </c>
      <c r="C157" s="16" t="str">
        <f aca="false">IFERROR(INDEX(Vendor_Master!$B$2:$B$41,MATCH(B157,Vendor_Master!$A$2:$A$41,0)),"Unknown Vendor")</f>
        <v>Campos, Vaughn and Marquez</v>
      </c>
      <c r="D157" s="17" t="n">
        <f aca="false">Vendor_Invoices_AP!D154</f>
        <v>45957</v>
      </c>
      <c r="E157" s="17" t="n">
        <f aca="false">Vendor_Invoices_AP!F154</f>
        <v>45987</v>
      </c>
      <c r="F157" s="18" t="n">
        <f aca="false">Vendor_Invoices_AP!E154</f>
        <v>4664.8</v>
      </c>
      <c r="G157" s="18" t="n">
        <f aca="false">SUMIFS(Payment_Log_AP!$E$2:$E$753,Payment_Log_AP!$B$2:$B$753,A157)</f>
        <v>4664.8</v>
      </c>
      <c r="H157" s="18" t="n">
        <f aca="false">F157-G157</f>
        <v>0</v>
      </c>
      <c r="I157" s="16" t="n">
        <f aca="false">IF(H157&lt;=0.01,0,MAX(Assumptions!$B$5-E157,0))</f>
        <v>0</v>
      </c>
      <c r="J157" s="16" t="str">
        <f aca="false">IF(H157&lt;=0.01,"Paid",IF(I157&lt;=30,"0-30",IF(I157&lt;=60,"31-60",IF(I157&lt;=90,"61-90","90+"))))</f>
        <v>Paid</v>
      </c>
      <c r="K157" s="16" t="str">
        <f aca="false">IF(H157&lt;=0.01,"Paid",IF(G157&gt;0,"Partially Paid","Unpaid"))</f>
        <v>Paid</v>
      </c>
    </row>
    <row r="158" customFormat="false" ht="15" hidden="false" customHeight="false" outlineLevel="0" collapsed="false">
      <c r="A158" s="16" t="str">
        <f aca="false">Vendor_Invoices_AP!A155</f>
        <v>INV30154</v>
      </c>
      <c r="B158" s="16" t="str">
        <f aca="false">Vendor_Invoices_AP!C155</f>
        <v>V1015</v>
      </c>
      <c r="C158" s="16" t="str">
        <f aca="false">IFERROR(INDEX(Vendor_Master!$B$2:$B$41,MATCH(B158,Vendor_Master!$A$2:$A$41,0)),"Unknown Vendor")</f>
        <v>Zuniga, Wong and Lynch</v>
      </c>
      <c r="D158" s="17" t="n">
        <f aca="false">Vendor_Invoices_AP!D155</f>
        <v>45996</v>
      </c>
      <c r="E158" s="17" t="n">
        <f aca="false">Vendor_Invoices_AP!F155</f>
        <v>46026</v>
      </c>
      <c r="F158" s="18" t="n">
        <f aca="false">Vendor_Invoices_AP!E155</f>
        <v>2106.89</v>
      </c>
      <c r="G158" s="18" t="n">
        <f aca="false">SUMIFS(Payment_Log_AP!$E$2:$E$753,Payment_Log_AP!$B$2:$B$753,A158)</f>
        <v>2106.89</v>
      </c>
      <c r="H158" s="18" t="n">
        <f aca="false">F158-G158</f>
        <v>0</v>
      </c>
      <c r="I158" s="16" t="n">
        <f aca="false">IF(H158&lt;=0.01,0,MAX(Assumptions!$B$5-E158,0))</f>
        <v>0</v>
      </c>
      <c r="J158" s="16" t="str">
        <f aca="false">IF(H158&lt;=0.01,"Paid",IF(I158&lt;=30,"0-30",IF(I158&lt;=60,"31-60",IF(I158&lt;=90,"61-90","90+"))))</f>
        <v>Paid</v>
      </c>
      <c r="K158" s="16" t="str">
        <f aca="false">IF(H158&lt;=0.01,"Paid",IF(G158&gt;0,"Partially Paid","Unpaid"))</f>
        <v>Paid</v>
      </c>
    </row>
    <row r="159" customFormat="false" ht="15" hidden="false" customHeight="false" outlineLevel="0" collapsed="false">
      <c r="A159" s="16" t="str">
        <f aca="false">Vendor_Invoices_AP!A156</f>
        <v>INV30155</v>
      </c>
      <c r="B159" s="16" t="str">
        <f aca="false">Vendor_Invoices_AP!C156</f>
        <v>V1008</v>
      </c>
      <c r="C159" s="16" t="str">
        <f aca="false">IFERROR(INDEX(Vendor_Master!$B$2:$B$41,MATCH(B159,Vendor_Master!$A$2:$A$41,0)),"Unknown Vendor")</f>
        <v>Davis Inc</v>
      </c>
      <c r="D159" s="17" t="n">
        <f aca="false">Vendor_Invoices_AP!D156</f>
        <v>45782</v>
      </c>
      <c r="E159" s="17" t="n">
        <f aca="false">Vendor_Invoices_AP!F156</f>
        <v>45842</v>
      </c>
      <c r="F159" s="18" t="n">
        <f aca="false">Vendor_Invoices_AP!E156</f>
        <v>7303.36</v>
      </c>
      <c r="G159" s="18" t="n">
        <f aca="false">SUMIFS(Payment_Log_AP!$E$2:$E$753,Payment_Log_AP!$B$2:$B$753,A159)</f>
        <v>7303.36</v>
      </c>
      <c r="H159" s="18" t="n">
        <f aca="false">F159-G159</f>
        <v>0</v>
      </c>
      <c r="I159" s="16" t="n">
        <f aca="false">IF(H159&lt;=0.01,0,MAX(Assumptions!$B$5-E159,0))</f>
        <v>0</v>
      </c>
      <c r="J159" s="16" t="str">
        <f aca="false">IF(H159&lt;=0.01,"Paid",IF(I159&lt;=30,"0-30",IF(I159&lt;=60,"31-60",IF(I159&lt;=90,"61-90","90+"))))</f>
        <v>Paid</v>
      </c>
      <c r="K159" s="16" t="str">
        <f aca="false">IF(H159&lt;=0.01,"Paid",IF(G159&gt;0,"Partially Paid","Unpaid"))</f>
        <v>Paid</v>
      </c>
    </row>
    <row r="160" customFormat="false" ht="15" hidden="false" customHeight="false" outlineLevel="0" collapsed="false">
      <c r="A160" s="16" t="str">
        <f aca="false">Vendor_Invoices_AP!A157</f>
        <v>INV30156</v>
      </c>
      <c r="B160" s="16" t="str">
        <f aca="false">Vendor_Invoices_AP!C157</f>
        <v>V1001</v>
      </c>
      <c r="C160" s="16" t="str">
        <f aca="false">IFERROR(INDEX(Vendor_Master!$B$2:$B$41,MATCH(B160,Vendor_Master!$A$2:$A$41,0)),"Unknown Vendor")</f>
        <v>Figueroa and Sons</v>
      </c>
      <c r="D160" s="17" t="n">
        <f aca="false">Vendor_Invoices_AP!D157</f>
        <v>45782</v>
      </c>
      <c r="E160" s="17" t="n">
        <f aca="false">Vendor_Invoices_AP!F157</f>
        <v>45827</v>
      </c>
      <c r="F160" s="18" t="n">
        <f aca="false">Vendor_Invoices_AP!E157</f>
        <v>2285.28</v>
      </c>
      <c r="G160" s="18" t="n">
        <f aca="false">SUMIFS(Payment_Log_AP!$E$2:$E$753,Payment_Log_AP!$B$2:$B$753,A160)</f>
        <v>2285.28</v>
      </c>
      <c r="H160" s="18" t="n">
        <f aca="false">F160-G160</f>
        <v>0</v>
      </c>
      <c r="I160" s="16" t="n">
        <f aca="false">IF(H160&lt;=0.01,0,MAX(Assumptions!$B$5-E160,0))</f>
        <v>0</v>
      </c>
      <c r="J160" s="16" t="str">
        <f aca="false">IF(H160&lt;=0.01,"Paid",IF(I160&lt;=30,"0-30",IF(I160&lt;=60,"31-60",IF(I160&lt;=90,"61-90","90+"))))</f>
        <v>Paid</v>
      </c>
      <c r="K160" s="16" t="str">
        <f aca="false">IF(H160&lt;=0.01,"Paid",IF(G160&gt;0,"Partially Paid","Unpaid"))</f>
        <v>Paid</v>
      </c>
    </row>
    <row r="161" customFormat="false" ht="15" hidden="false" customHeight="false" outlineLevel="0" collapsed="false">
      <c r="A161" s="16" t="str">
        <f aca="false">Vendor_Invoices_AP!A158</f>
        <v>INV30157</v>
      </c>
      <c r="B161" s="16" t="str">
        <f aca="false">Vendor_Invoices_AP!C158</f>
        <v>V1018</v>
      </c>
      <c r="C161" s="16" t="str">
        <f aca="false">IFERROR(INDEX(Vendor_Master!$B$2:$B$41,MATCH(B161,Vendor_Master!$A$2:$A$41,0)),"Unknown Vendor")</f>
        <v>Underwood LLC</v>
      </c>
      <c r="D161" s="17" t="n">
        <f aca="false">Vendor_Invoices_AP!D158</f>
        <v>45914</v>
      </c>
      <c r="E161" s="17" t="n">
        <f aca="false">Vendor_Invoices_AP!F158</f>
        <v>45944</v>
      </c>
      <c r="F161" s="18" t="n">
        <f aca="false">Vendor_Invoices_AP!E158</f>
        <v>358.03</v>
      </c>
      <c r="G161" s="18" t="n">
        <f aca="false">SUMIFS(Payment_Log_AP!$E$2:$E$753,Payment_Log_AP!$B$2:$B$753,A161)</f>
        <v>358.03</v>
      </c>
      <c r="H161" s="18" t="n">
        <f aca="false">F161-G161</f>
        <v>0</v>
      </c>
      <c r="I161" s="16" t="n">
        <f aca="false">IF(H161&lt;=0.01,0,MAX(Assumptions!$B$5-E161,0))</f>
        <v>0</v>
      </c>
      <c r="J161" s="16" t="str">
        <f aca="false">IF(H161&lt;=0.01,"Paid",IF(I161&lt;=30,"0-30",IF(I161&lt;=60,"31-60",IF(I161&lt;=90,"61-90","90+"))))</f>
        <v>Paid</v>
      </c>
      <c r="K161" s="16" t="str">
        <f aca="false">IF(H161&lt;=0.01,"Paid",IF(G161&gt;0,"Partially Paid","Unpaid"))</f>
        <v>Paid</v>
      </c>
    </row>
    <row r="162" customFormat="false" ht="15" hidden="false" customHeight="false" outlineLevel="0" collapsed="false">
      <c r="A162" s="16" t="str">
        <f aca="false">Vendor_Invoices_AP!A159</f>
        <v>INV30158</v>
      </c>
      <c r="B162" s="16" t="str">
        <f aca="false">Vendor_Invoices_AP!C159</f>
        <v>V1017</v>
      </c>
      <c r="C162" s="16" t="str">
        <f aca="false">IFERROR(INDEX(Vendor_Master!$B$2:$B$41,MATCH(B162,Vendor_Master!$A$2:$A$41,0)),"Unknown Vendor")</f>
        <v>Hawkins, Cohen and Cameron</v>
      </c>
      <c r="D162" s="17" t="n">
        <f aca="false">Vendor_Invoices_AP!D159</f>
        <v>45677</v>
      </c>
      <c r="E162" s="17" t="n">
        <f aca="false">Vendor_Invoices_AP!F159</f>
        <v>45722</v>
      </c>
      <c r="F162" s="18" t="n">
        <f aca="false">Vendor_Invoices_AP!E159</f>
        <v>2062.27</v>
      </c>
      <c r="G162" s="18" t="n">
        <f aca="false">SUMIFS(Payment_Log_AP!$E$2:$E$753,Payment_Log_AP!$B$2:$B$753,A162)</f>
        <v>2062.27</v>
      </c>
      <c r="H162" s="18" t="n">
        <f aca="false">F162-G162</f>
        <v>0</v>
      </c>
      <c r="I162" s="16" t="n">
        <f aca="false">IF(H162&lt;=0.01,0,MAX(Assumptions!$B$5-E162,0))</f>
        <v>0</v>
      </c>
      <c r="J162" s="16" t="str">
        <f aca="false">IF(H162&lt;=0.01,"Paid",IF(I162&lt;=30,"0-30",IF(I162&lt;=60,"31-60",IF(I162&lt;=90,"61-90","90+"))))</f>
        <v>Paid</v>
      </c>
      <c r="K162" s="16" t="str">
        <f aca="false">IF(H162&lt;=0.01,"Paid",IF(G162&gt;0,"Partially Paid","Unpaid"))</f>
        <v>Paid</v>
      </c>
    </row>
    <row r="163" customFormat="false" ht="15" hidden="false" customHeight="false" outlineLevel="0" collapsed="false">
      <c r="A163" s="16" t="str">
        <f aca="false">Vendor_Invoices_AP!A160</f>
        <v>INV30159</v>
      </c>
      <c r="B163" s="16" t="str">
        <f aca="false">Vendor_Invoices_AP!C160</f>
        <v>V1025</v>
      </c>
      <c r="C163" s="16" t="str">
        <f aca="false">IFERROR(INDEX(Vendor_Master!$B$2:$B$41,MATCH(B163,Vendor_Master!$A$2:$A$41,0)),"Unknown Vendor")</f>
        <v>Conner Group</v>
      </c>
      <c r="D163" s="17" t="n">
        <f aca="false">Vendor_Invoices_AP!D160</f>
        <v>45845</v>
      </c>
      <c r="E163" s="17" t="n">
        <f aca="false">Vendor_Invoices_AP!F160</f>
        <v>45890</v>
      </c>
      <c r="F163" s="18" t="n">
        <f aca="false">Vendor_Invoices_AP!E160</f>
        <v>8142.95</v>
      </c>
      <c r="G163" s="18" t="n">
        <f aca="false">SUMIFS(Payment_Log_AP!$E$2:$E$753,Payment_Log_AP!$B$2:$B$753,A163)</f>
        <v>8142.95</v>
      </c>
      <c r="H163" s="18" t="n">
        <f aca="false">F163-G163</f>
        <v>0</v>
      </c>
      <c r="I163" s="16" t="n">
        <f aca="false">IF(H163&lt;=0.01,0,MAX(Assumptions!$B$5-E163,0))</f>
        <v>0</v>
      </c>
      <c r="J163" s="16" t="str">
        <f aca="false">IF(H163&lt;=0.01,"Paid",IF(I163&lt;=30,"0-30",IF(I163&lt;=60,"31-60",IF(I163&lt;=90,"61-90","90+"))))</f>
        <v>Paid</v>
      </c>
      <c r="K163" s="16" t="str">
        <f aca="false">IF(H163&lt;=0.01,"Paid",IF(G163&gt;0,"Partially Paid","Unpaid"))</f>
        <v>Paid</v>
      </c>
    </row>
    <row r="164" customFormat="false" ht="15" hidden="false" customHeight="false" outlineLevel="0" collapsed="false">
      <c r="A164" s="16" t="str">
        <f aca="false">Vendor_Invoices_AP!A161</f>
        <v>INV30160</v>
      </c>
      <c r="B164" s="16" t="str">
        <f aca="false">Vendor_Invoices_AP!C161</f>
        <v>V1017</v>
      </c>
      <c r="C164" s="16" t="str">
        <f aca="false">IFERROR(INDEX(Vendor_Master!$B$2:$B$41,MATCH(B164,Vendor_Master!$A$2:$A$41,0)),"Unknown Vendor")</f>
        <v>Hawkins, Cohen and Cameron</v>
      </c>
      <c r="D164" s="17" t="n">
        <f aca="false">Vendor_Invoices_AP!D161</f>
        <v>46039</v>
      </c>
      <c r="E164" s="17" t="n">
        <f aca="false">Vendor_Invoices_AP!F161</f>
        <v>46084</v>
      </c>
      <c r="F164" s="18" t="n">
        <f aca="false">Vendor_Invoices_AP!E161</f>
        <v>499.89</v>
      </c>
      <c r="G164" s="18" t="n">
        <f aca="false">SUMIFS(Payment_Log_AP!$E$2:$E$753,Payment_Log_AP!$B$2:$B$753,A164)</f>
        <v>499.89</v>
      </c>
      <c r="H164" s="18" t="n">
        <f aca="false">F164-G164</f>
        <v>0</v>
      </c>
      <c r="I164" s="16" t="n">
        <f aca="false">IF(H164&lt;=0.01,0,MAX(Assumptions!$B$5-E164,0))</f>
        <v>0</v>
      </c>
      <c r="J164" s="16" t="str">
        <f aca="false">IF(H164&lt;=0.01,"Paid",IF(I164&lt;=30,"0-30",IF(I164&lt;=60,"31-60",IF(I164&lt;=90,"61-90","90+"))))</f>
        <v>Paid</v>
      </c>
      <c r="K164" s="16" t="str">
        <f aca="false">IF(H164&lt;=0.01,"Paid",IF(G164&gt;0,"Partially Paid","Unpaid"))</f>
        <v>Paid</v>
      </c>
    </row>
    <row r="165" customFormat="false" ht="15" hidden="false" customHeight="false" outlineLevel="0" collapsed="false">
      <c r="A165" s="16" t="str">
        <f aca="false">Vendor_Invoices_AP!A162</f>
        <v>INV30161</v>
      </c>
      <c r="B165" s="16" t="str">
        <f aca="false">Vendor_Invoices_AP!C162</f>
        <v>V1007</v>
      </c>
      <c r="C165" s="16" t="str">
        <f aca="false">IFERROR(INDEX(Vendor_Master!$B$2:$B$41,MATCH(B165,Vendor_Master!$A$2:$A$41,0)),"Unknown Vendor")</f>
        <v>Ramirez-Lewis</v>
      </c>
      <c r="D165" s="17" t="n">
        <f aca="false">Vendor_Invoices_AP!D162</f>
        <v>45894</v>
      </c>
      <c r="E165" s="17" t="n">
        <f aca="false">Vendor_Invoices_AP!F162</f>
        <v>45909</v>
      </c>
      <c r="F165" s="18" t="n">
        <f aca="false">Vendor_Invoices_AP!E162</f>
        <v>2573.09</v>
      </c>
      <c r="G165" s="18" t="n">
        <f aca="false">SUMIFS(Payment_Log_AP!$E$2:$E$753,Payment_Log_AP!$B$2:$B$753,A165)</f>
        <v>2573.09</v>
      </c>
      <c r="H165" s="18" t="n">
        <f aca="false">F165-G165</f>
        <v>0</v>
      </c>
      <c r="I165" s="16" t="n">
        <f aca="false">IF(H165&lt;=0.01,0,MAX(Assumptions!$B$5-E165,0))</f>
        <v>0</v>
      </c>
      <c r="J165" s="16" t="str">
        <f aca="false">IF(H165&lt;=0.01,"Paid",IF(I165&lt;=30,"0-30",IF(I165&lt;=60,"31-60",IF(I165&lt;=90,"61-90","90+"))))</f>
        <v>Paid</v>
      </c>
      <c r="K165" s="16" t="str">
        <f aca="false">IF(H165&lt;=0.01,"Paid",IF(G165&gt;0,"Partially Paid","Unpaid"))</f>
        <v>Paid</v>
      </c>
    </row>
    <row r="166" customFormat="false" ht="15" hidden="false" customHeight="false" outlineLevel="0" collapsed="false">
      <c r="A166" s="16" t="str">
        <f aca="false">Vendor_Invoices_AP!A163</f>
        <v>INV30162</v>
      </c>
      <c r="B166" s="16" t="str">
        <f aca="false">Vendor_Invoices_AP!C163</f>
        <v>V1002</v>
      </c>
      <c r="C166" s="16" t="str">
        <f aca="false">IFERROR(INDEX(Vendor_Master!$B$2:$B$41,MATCH(B166,Vendor_Master!$A$2:$A$41,0)),"Unknown Vendor")</f>
        <v>Garcia, Yang and Gardner</v>
      </c>
      <c r="D166" s="17" t="n">
        <f aca="false">Vendor_Invoices_AP!D163</f>
        <v>45754</v>
      </c>
      <c r="E166" s="17" t="n">
        <f aca="false">Vendor_Invoices_AP!F163</f>
        <v>45769</v>
      </c>
      <c r="F166" s="18" t="n">
        <f aca="false">Vendor_Invoices_AP!E163</f>
        <v>2632.16</v>
      </c>
      <c r="G166" s="18" t="n">
        <f aca="false">SUMIFS(Payment_Log_AP!$E$2:$E$753,Payment_Log_AP!$B$2:$B$753,A166)</f>
        <v>2632.16</v>
      </c>
      <c r="H166" s="18" t="n">
        <f aca="false">F166-G166</f>
        <v>0</v>
      </c>
      <c r="I166" s="16" t="n">
        <f aca="false">IF(H166&lt;=0.01,0,MAX(Assumptions!$B$5-E166,0))</f>
        <v>0</v>
      </c>
      <c r="J166" s="16" t="str">
        <f aca="false">IF(H166&lt;=0.01,"Paid",IF(I166&lt;=30,"0-30",IF(I166&lt;=60,"31-60",IF(I166&lt;=90,"61-90","90+"))))</f>
        <v>Paid</v>
      </c>
      <c r="K166" s="16" t="str">
        <f aca="false">IF(H166&lt;=0.01,"Paid",IF(G166&gt;0,"Partially Paid","Unpaid"))</f>
        <v>Paid</v>
      </c>
    </row>
    <row r="167" customFormat="false" ht="15" hidden="false" customHeight="false" outlineLevel="0" collapsed="false">
      <c r="A167" s="16" t="str">
        <f aca="false">Vendor_Invoices_AP!A164</f>
        <v>INV30163</v>
      </c>
      <c r="B167" s="16" t="str">
        <f aca="false">Vendor_Invoices_AP!C164</f>
        <v>V1001</v>
      </c>
      <c r="C167" s="16" t="str">
        <f aca="false">IFERROR(INDEX(Vendor_Master!$B$2:$B$41,MATCH(B167,Vendor_Master!$A$2:$A$41,0)),"Unknown Vendor")</f>
        <v>Figueroa and Sons</v>
      </c>
      <c r="D167" s="17" t="n">
        <f aca="false">Vendor_Invoices_AP!D164</f>
        <v>45924</v>
      </c>
      <c r="E167" s="17" t="n">
        <f aca="false">Vendor_Invoices_AP!F164</f>
        <v>45969</v>
      </c>
      <c r="F167" s="18" t="n">
        <f aca="false">Vendor_Invoices_AP!E164</f>
        <v>332.16</v>
      </c>
      <c r="G167" s="18" t="n">
        <f aca="false">SUMIFS(Payment_Log_AP!$E$2:$E$753,Payment_Log_AP!$B$2:$B$753,A167)</f>
        <v>332.16</v>
      </c>
      <c r="H167" s="18" t="n">
        <f aca="false">F167-G167</f>
        <v>0</v>
      </c>
      <c r="I167" s="16" t="n">
        <f aca="false">IF(H167&lt;=0.01,0,MAX(Assumptions!$B$5-E167,0))</f>
        <v>0</v>
      </c>
      <c r="J167" s="16" t="str">
        <f aca="false">IF(H167&lt;=0.01,"Paid",IF(I167&lt;=30,"0-30",IF(I167&lt;=60,"31-60",IF(I167&lt;=90,"61-90","90+"))))</f>
        <v>Paid</v>
      </c>
      <c r="K167" s="16" t="str">
        <f aca="false">IF(H167&lt;=0.01,"Paid",IF(G167&gt;0,"Partially Paid","Unpaid"))</f>
        <v>Paid</v>
      </c>
    </row>
    <row r="168" customFormat="false" ht="15" hidden="false" customHeight="false" outlineLevel="0" collapsed="false">
      <c r="A168" s="16" t="str">
        <f aca="false">Vendor_Invoices_AP!A165</f>
        <v>INV30164</v>
      </c>
      <c r="B168" s="16" t="str">
        <f aca="false">Vendor_Invoices_AP!C165</f>
        <v>V1021</v>
      </c>
      <c r="C168" s="16" t="str">
        <f aca="false">IFERROR(INDEX(Vendor_Master!$B$2:$B$41,MATCH(B168,Vendor_Master!$A$2:$A$41,0)),"Unknown Vendor")</f>
        <v>Ellis, Baker and Wright</v>
      </c>
      <c r="D168" s="17" t="n">
        <f aca="false">Vendor_Invoices_AP!D165</f>
        <v>45746</v>
      </c>
      <c r="E168" s="17" t="n">
        <f aca="false">Vendor_Invoices_AP!F165</f>
        <v>45776</v>
      </c>
      <c r="F168" s="18" t="n">
        <f aca="false">Vendor_Invoices_AP!E165</f>
        <v>390.27</v>
      </c>
      <c r="G168" s="18" t="n">
        <f aca="false">SUMIFS(Payment_Log_AP!$E$2:$E$753,Payment_Log_AP!$B$2:$B$753,A168)</f>
        <v>0</v>
      </c>
      <c r="H168" s="18" t="n">
        <f aca="false">F168-G168</f>
        <v>390.27</v>
      </c>
      <c r="I168" s="16" t="n">
        <f aca="false">IF(H168&lt;=0.01,0,MAX(Assumptions!$B$5-E168,0))</f>
        <v>458</v>
      </c>
      <c r="J168" s="16" t="str">
        <f aca="false">IF(H168&lt;=0.01,"Paid",IF(I168&lt;=30,"0-30",IF(I168&lt;=60,"31-60",IF(I168&lt;=90,"61-90","90+"))))</f>
        <v>90+</v>
      </c>
      <c r="K168" s="16" t="str">
        <f aca="false">IF(H168&lt;=0.01,"Paid",IF(G168&gt;0,"Partially Paid","Unpaid"))</f>
        <v>Unpaid</v>
      </c>
    </row>
    <row r="169" customFormat="false" ht="15" hidden="false" customHeight="false" outlineLevel="0" collapsed="false">
      <c r="A169" s="16" t="str">
        <f aca="false">Vendor_Invoices_AP!A166</f>
        <v>INV30165</v>
      </c>
      <c r="B169" s="16" t="str">
        <f aca="false">Vendor_Invoices_AP!C166</f>
        <v>V1035</v>
      </c>
      <c r="C169" s="16" t="str">
        <f aca="false">IFERROR(INDEX(Vendor_Master!$B$2:$B$41,MATCH(B169,Vendor_Master!$A$2:$A$41,0)),"Unknown Vendor")</f>
        <v>Allen PLC</v>
      </c>
      <c r="D169" s="17" t="n">
        <f aca="false">Vendor_Invoices_AP!D166</f>
        <v>46003</v>
      </c>
      <c r="E169" s="17" t="n">
        <f aca="false">Vendor_Invoices_AP!F166</f>
        <v>46018</v>
      </c>
      <c r="F169" s="18" t="n">
        <f aca="false">Vendor_Invoices_AP!E166</f>
        <v>783.53</v>
      </c>
      <c r="G169" s="18" t="n">
        <f aca="false">SUMIFS(Payment_Log_AP!$E$2:$E$753,Payment_Log_AP!$B$2:$B$753,A169)</f>
        <v>783.53</v>
      </c>
      <c r="H169" s="18" t="n">
        <f aca="false">F169-G169</f>
        <v>0</v>
      </c>
      <c r="I169" s="16" t="n">
        <f aca="false">IF(H169&lt;=0.01,0,MAX(Assumptions!$B$5-E169,0))</f>
        <v>0</v>
      </c>
      <c r="J169" s="16" t="str">
        <f aca="false">IF(H169&lt;=0.01,"Paid",IF(I169&lt;=30,"0-30",IF(I169&lt;=60,"31-60",IF(I169&lt;=90,"61-90","90+"))))</f>
        <v>Paid</v>
      </c>
      <c r="K169" s="16" t="str">
        <f aca="false">IF(H169&lt;=0.01,"Paid",IF(G169&gt;0,"Partially Paid","Unpaid"))</f>
        <v>Paid</v>
      </c>
    </row>
    <row r="170" customFormat="false" ht="15" hidden="false" customHeight="false" outlineLevel="0" collapsed="false">
      <c r="A170" s="16" t="str">
        <f aca="false">Vendor_Invoices_AP!A167</f>
        <v>INV30166</v>
      </c>
      <c r="B170" s="16" t="str">
        <f aca="false">Vendor_Invoices_AP!C167</f>
        <v>V1025</v>
      </c>
      <c r="C170" s="16" t="str">
        <f aca="false">IFERROR(INDEX(Vendor_Master!$B$2:$B$41,MATCH(B170,Vendor_Master!$A$2:$A$41,0)),"Unknown Vendor")</f>
        <v>Conner Group</v>
      </c>
      <c r="D170" s="17" t="n">
        <f aca="false">Vendor_Invoices_AP!D167</f>
        <v>45679</v>
      </c>
      <c r="E170" s="17" t="n">
        <f aca="false">Vendor_Invoices_AP!F167</f>
        <v>45724</v>
      </c>
      <c r="F170" s="18" t="n">
        <f aca="false">Vendor_Invoices_AP!E167</f>
        <v>2198.89</v>
      </c>
      <c r="G170" s="18" t="n">
        <f aca="false">SUMIFS(Payment_Log_AP!$E$2:$E$753,Payment_Log_AP!$B$2:$B$753,A170)</f>
        <v>0</v>
      </c>
      <c r="H170" s="18" t="n">
        <f aca="false">F170-G170</f>
        <v>2198.89</v>
      </c>
      <c r="I170" s="16" t="n">
        <f aca="false">IF(H170&lt;=0.01,0,MAX(Assumptions!$B$5-E170,0))</f>
        <v>510</v>
      </c>
      <c r="J170" s="16" t="str">
        <f aca="false">IF(H170&lt;=0.01,"Paid",IF(I170&lt;=30,"0-30",IF(I170&lt;=60,"31-60",IF(I170&lt;=90,"61-90","90+"))))</f>
        <v>90+</v>
      </c>
      <c r="K170" s="16" t="str">
        <f aca="false">IF(H170&lt;=0.01,"Paid",IF(G170&gt;0,"Partially Paid","Unpaid"))</f>
        <v>Unpaid</v>
      </c>
    </row>
    <row r="171" customFormat="false" ht="15" hidden="false" customHeight="false" outlineLevel="0" collapsed="false">
      <c r="A171" s="16" t="str">
        <f aca="false">Vendor_Invoices_AP!A168</f>
        <v>INV30167</v>
      </c>
      <c r="B171" s="16" t="str">
        <f aca="false">Vendor_Invoices_AP!C168</f>
        <v>V1011</v>
      </c>
      <c r="C171" s="16" t="str">
        <f aca="false">IFERROR(INDEX(Vendor_Master!$B$2:$B$41,MATCH(B171,Vendor_Master!$A$2:$A$41,0)),"Unknown Vendor")</f>
        <v>Montgomery, Hensley and Ray</v>
      </c>
      <c r="D171" s="17" t="n">
        <f aca="false">Vendor_Invoices_AP!D168</f>
        <v>45897</v>
      </c>
      <c r="E171" s="17" t="n">
        <f aca="false">Vendor_Invoices_AP!F168</f>
        <v>45942</v>
      </c>
      <c r="F171" s="18" t="n">
        <f aca="false">Vendor_Invoices_AP!E168</f>
        <v>327.42</v>
      </c>
      <c r="G171" s="18" t="n">
        <f aca="false">SUMIFS(Payment_Log_AP!$E$2:$E$753,Payment_Log_AP!$B$2:$B$753,A171)</f>
        <v>327.42</v>
      </c>
      <c r="H171" s="18" t="n">
        <f aca="false">F171-G171</f>
        <v>0</v>
      </c>
      <c r="I171" s="16" t="n">
        <f aca="false">IF(H171&lt;=0.01,0,MAX(Assumptions!$B$5-E171,0))</f>
        <v>0</v>
      </c>
      <c r="J171" s="16" t="str">
        <f aca="false">IF(H171&lt;=0.01,"Paid",IF(I171&lt;=30,"0-30",IF(I171&lt;=60,"31-60",IF(I171&lt;=90,"61-90","90+"))))</f>
        <v>Paid</v>
      </c>
      <c r="K171" s="16" t="str">
        <f aca="false">IF(H171&lt;=0.01,"Paid",IF(G171&gt;0,"Partially Paid","Unpaid"))</f>
        <v>Paid</v>
      </c>
    </row>
    <row r="172" customFormat="false" ht="15" hidden="false" customHeight="false" outlineLevel="0" collapsed="false">
      <c r="A172" s="16" t="str">
        <f aca="false">Vendor_Invoices_AP!A169</f>
        <v>INV30168</v>
      </c>
      <c r="B172" s="16" t="str">
        <f aca="false">Vendor_Invoices_AP!C169</f>
        <v>V1014</v>
      </c>
      <c r="C172" s="16" t="str">
        <f aca="false">IFERROR(INDEX(Vendor_Master!$B$2:$B$41,MATCH(B172,Vendor_Master!$A$2:$A$41,0)),"Unknown Vendor")</f>
        <v>Flowers, Martin and Kelly</v>
      </c>
      <c r="D172" s="17" t="n">
        <f aca="false">Vendor_Invoices_AP!D169</f>
        <v>45983</v>
      </c>
      <c r="E172" s="17" t="n">
        <f aca="false">Vendor_Invoices_AP!F169</f>
        <v>46013</v>
      </c>
      <c r="F172" s="18" t="n">
        <f aca="false">Vendor_Invoices_AP!E169</f>
        <v>12338.24</v>
      </c>
      <c r="G172" s="18" t="n">
        <f aca="false">SUMIFS(Payment_Log_AP!$E$2:$E$753,Payment_Log_AP!$B$2:$B$753,A172)</f>
        <v>12338.24</v>
      </c>
      <c r="H172" s="18" t="n">
        <f aca="false">F172-G172</f>
        <v>0</v>
      </c>
      <c r="I172" s="16" t="n">
        <f aca="false">IF(H172&lt;=0.01,0,MAX(Assumptions!$B$5-E172,0))</f>
        <v>0</v>
      </c>
      <c r="J172" s="16" t="str">
        <f aca="false">IF(H172&lt;=0.01,"Paid",IF(I172&lt;=30,"0-30",IF(I172&lt;=60,"31-60",IF(I172&lt;=90,"61-90","90+"))))</f>
        <v>Paid</v>
      </c>
      <c r="K172" s="16" t="str">
        <f aca="false">IF(H172&lt;=0.01,"Paid",IF(G172&gt;0,"Partially Paid","Unpaid"))</f>
        <v>Paid</v>
      </c>
    </row>
    <row r="173" customFormat="false" ht="15" hidden="false" customHeight="false" outlineLevel="0" collapsed="false">
      <c r="A173" s="16" t="str">
        <f aca="false">Vendor_Invoices_AP!A170</f>
        <v>INV30169</v>
      </c>
      <c r="B173" s="16" t="str">
        <f aca="false">Vendor_Invoices_AP!C170</f>
        <v>V1022</v>
      </c>
      <c r="C173" s="16" t="str">
        <f aca="false">IFERROR(INDEX(Vendor_Master!$B$2:$B$41,MATCH(B173,Vendor_Master!$A$2:$A$41,0)),"Unknown Vendor")</f>
        <v>Burgess-Patterson</v>
      </c>
      <c r="D173" s="17" t="n">
        <f aca="false">Vendor_Invoices_AP!D170</f>
        <v>45685</v>
      </c>
      <c r="E173" s="17" t="n">
        <f aca="false">Vendor_Invoices_AP!F170</f>
        <v>45715</v>
      </c>
      <c r="F173" s="18" t="n">
        <f aca="false">Vendor_Invoices_AP!E170</f>
        <v>1431.29</v>
      </c>
      <c r="G173" s="18" t="n">
        <f aca="false">SUMIFS(Payment_Log_AP!$E$2:$E$753,Payment_Log_AP!$B$2:$B$753,A173)</f>
        <v>1431.29</v>
      </c>
      <c r="H173" s="18" t="n">
        <f aca="false">F173-G173</f>
        <v>0</v>
      </c>
      <c r="I173" s="16" t="n">
        <f aca="false">IF(H173&lt;=0.01,0,MAX(Assumptions!$B$5-E173,0))</f>
        <v>0</v>
      </c>
      <c r="J173" s="16" t="str">
        <f aca="false">IF(H173&lt;=0.01,"Paid",IF(I173&lt;=30,"0-30",IF(I173&lt;=60,"31-60",IF(I173&lt;=90,"61-90","90+"))))</f>
        <v>Paid</v>
      </c>
      <c r="K173" s="16" t="str">
        <f aca="false">IF(H173&lt;=0.01,"Paid",IF(G173&gt;0,"Partially Paid","Unpaid"))</f>
        <v>Paid</v>
      </c>
    </row>
    <row r="174" customFormat="false" ht="15" hidden="false" customHeight="false" outlineLevel="0" collapsed="false">
      <c r="A174" s="16" t="str">
        <f aca="false">Vendor_Invoices_AP!A171</f>
        <v>INV30170</v>
      </c>
      <c r="B174" s="16" t="str">
        <f aca="false">Vendor_Invoices_AP!C171</f>
        <v>V1028</v>
      </c>
      <c r="C174" s="16" t="str">
        <f aca="false">IFERROR(INDEX(Vendor_Master!$B$2:$B$41,MATCH(B174,Vendor_Master!$A$2:$A$41,0)),"Unknown Vendor")</f>
        <v>Potter, Mack and Peterson</v>
      </c>
      <c r="D174" s="17" t="n">
        <f aca="false">Vendor_Invoices_AP!D171</f>
        <v>46012</v>
      </c>
      <c r="E174" s="17" t="n">
        <f aca="false">Vendor_Invoices_AP!F171</f>
        <v>46057</v>
      </c>
      <c r="F174" s="18" t="n">
        <f aca="false">Vendor_Invoices_AP!E171</f>
        <v>9458.18</v>
      </c>
      <c r="G174" s="18" t="n">
        <f aca="false">SUMIFS(Payment_Log_AP!$E$2:$E$753,Payment_Log_AP!$B$2:$B$753,A174)</f>
        <v>9458.18</v>
      </c>
      <c r="H174" s="18" t="n">
        <f aca="false">F174-G174</f>
        <v>0</v>
      </c>
      <c r="I174" s="16" t="n">
        <f aca="false">IF(H174&lt;=0.01,0,MAX(Assumptions!$B$5-E174,0))</f>
        <v>0</v>
      </c>
      <c r="J174" s="16" t="str">
        <f aca="false">IF(H174&lt;=0.01,"Paid",IF(I174&lt;=30,"0-30",IF(I174&lt;=60,"31-60",IF(I174&lt;=90,"61-90","90+"))))</f>
        <v>Paid</v>
      </c>
      <c r="K174" s="16" t="str">
        <f aca="false">IF(H174&lt;=0.01,"Paid",IF(G174&gt;0,"Partially Paid","Unpaid"))</f>
        <v>Paid</v>
      </c>
    </row>
    <row r="175" customFormat="false" ht="15" hidden="false" customHeight="false" outlineLevel="0" collapsed="false">
      <c r="A175" s="16" t="str">
        <f aca="false">Vendor_Invoices_AP!A172</f>
        <v>INV30171</v>
      </c>
      <c r="B175" s="16" t="str">
        <f aca="false">Vendor_Invoices_AP!C172</f>
        <v>V1033</v>
      </c>
      <c r="C175" s="16" t="str">
        <f aca="false">IFERROR(INDEX(Vendor_Master!$B$2:$B$41,MATCH(B175,Vendor_Master!$A$2:$A$41,0)),"Unknown Vendor")</f>
        <v>Sellers, George and Burns</v>
      </c>
      <c r="D175" s="17" t="n">
        <f aca="false">Vendor_Invoices_AP!D172</f>
        <v>45741</v>
      </c>
      <c r="E175" s="17" t="n">
        <f aca="false">Vendor_Invoices_AP!F172</f>
        <v>45801</v>
      </c>
      <c r="F175" s="18" t="n">
        <f aca="false">Vendor_Invoices_AP!E172</f>
        <v>354.26</v>
      </c>
      <c r="G175" s="18" t="n">
        <f aca="false">SUMIFS(Payment_Log_AP!$E$2:$E$753,Payment_Log_AP!$B$2:$B$753,A175)</f>
        <v>354.26</v>
      </c>
      <c r="H175" s="18" t="n">
        <f aca="false">F175-G175</f>
        <v>0</v>
      </c>
      <c r="I175" s="16" t="n">
        <f aca="false">IF(H175&lt;=0.01,0,MAX(Assumptions!$B$5-E175,0))</f>
        <v>0</v>
      </c>
      <c r="J175" s="16" t="str">
        <f aca="false">IF(H175&lt;=0.01,"Paid",IF(I175&lt;=30,"0-30",IF(I175&lt;=60,"31-60",IF(I175&lt;=90,"61-90","90+"))))</f>
        <v>Paid</v>
      </c>
      <c r="K175" s="16" t="str">
        <f aca="false">IF(H175&lt;=0.01,"Paid",IF(G175&gt;0,"Partially Paid","Unpaid"))</f>
        <v>Paid</v>
      </c>
    </row>
    <row r="176" customFormat="false" ht="15" hidden="false" customHeight="false" outlineLevel="0" collapsed="false">
      <c r="A176" s="16" t="str">
        <f aca="false">Vendor_Invoices_AP!A173</f>
        <v>INV30172</v>
      </c>
      <c r="B176" s="16" t="str">
        <f aca="false">Vendor_Invoices_AP!C173</f>
        <v>V1024</v>
      </c>
      <c r="C176" s="16" t="str">
        <f aca="false">IFERROR(INDEX(Vendor_Master!$B$2:$B$41,MATCH(B176,Vendor_Master!$A$2:$A$41,0)),"Unknown Vendor")</f>
        <v>Campos Inc</v>
      </c>
      <c r="D176" s="17" t="n">
        <f aca="false">Vendor_Invoices_AP!D173</f>
        <v>45927</v>
      </c>
      <c r="E176" s="17" t="n">
        <f aca="false">Vendor_Invoices_AP!F173</f>
        <v>45987</v>
      </c>
      <c r="F176" s="18" t="n">
        <f aca="false">Vendor_Invoices_AP!E173</f>
        <v>1640.65</v>
      </c>
      <c r="G176" s="18" t="n">
        <f aca="false">SUMIFS(Payment_Log_AP!$E$2:$E$753,Payment_Log_AP!$B$2:$B$753,A176)</f>
        <v>1640.65</v>
      </c>
      <c r="H176" s="18" t="n">
        <f aca="false">F176-G176</f>
        <v>0</v>
      </c>
      <c r="I176" s="16" t="n">
        <f aca="false">IF(H176&lt;=0.01,0,MAX(Assumptions!$B$5-E176,0))</f>
        <v>0</v>
      </c>
      <c r="J176" s="16" t="str">
        <f aca="false">IF(H176&lt;=0.01,"Paid",IF(I176&lt;=30,"0-30",IF(I176&lt;=60,"31-60",IF(I176&lt;=90,"61-90","90+"))))</f>
        <v>Paid</v>
      </c>
      <c r="K176" s="16" t="str">
        <f aca="false">IF(H176&lt;=0.01,"Paid",IF(G176&gt;0,"Partially Paid","Unpaid"))</f>
        <v>Paid</v>
      </c>
    </row>
    <row r="177" customFormat="false" ht="15" hidden="false" customHeight="false" outlineLevel="0" collapsed="false">
      <c r="A177" s="16" t="str">
        <f aca="false">Vendor_Invoices_AP!A174</f>
        <v>INV30173</v>
      </c>
      <c r="B177" s="16" t="str">
        <f aca="false">Vendor_Invoices_AP!C174</f>
        <v>V1024</v>
      </c>
      <c r="C177" s="16" t="str">
        <f aca="false">IFERROR(INDEX(Vendor_Master!$B$2:$B$41,MATCH(B177,Vendor_Master!$A$2:$A$41,0)),"Unknown Vendor")</f>
        <v>Campos Inc</v>
      </c>
      <c r="D177" s="17" t="n">
        <f aca="false">Vendor_Invoices_AP!D174</f>
        <v>45915</v>
      </c>
      <c r="E177" s="17" t="n">
        <f aca="false">Vendor_Invoices_AP!F174</f>
        <v>45975</v>
      </c>
      <c r="F177" s="18" t="n">
        <f aca="false">Vendor_Invoices_AP!E174</f>
        <v>1640.65</v>
      </c>
      <c r="G177" s="18" t="n">
        <f aca="false">SUMIFS(Payment_Log_AP!$E$2:$E$753,Payment_Log_AP!$B$2:$B$753,A177)</f>
        <v>1640.65</v>
      </c>
      <c r="H177" s="18" t="n">
        <f aca="false">F177-G177</f>
        <v>0</v>
      </c>
      <c r="I177" s="16" t="n">
        <f aca="false">IF(H177&lt;=0.01,0,MAX(Assumptions!$B$5-E177,0))</f>
        <v>0</v>
      </c>
      <c r="J177" s="16" t="str">
        <f aca="false">IF(H177&lt;=0.01,"Paid",IF(I177&lt;=30,"0-30",IF(I177&lt;=60,"31-60",IF(I177&lt;=90,"61-90","90+"))))</f>
        <v>Paid</v>
      </c>
      <c r="K177" s="16" t="str">
        <f aca="false">IF(H177&lt;=0.01,"Paid",IF(G177&gt;0,"Partially Paid","Unpaid"))</f>
        <v>Paid</v>
      </c>
    </row>
    <row r="178" customFormat="false" ht="15" hidden="false" customHeight="false" outlineLevel="0" collapsed="false">
      <c r="A178" s="16" t="str">
        <f aca="false">Vendor_Invoices_AP!A175</f>
        <v>INV30174</v>
      </c>
      <c r="B178" s="16" t="str">
        <f aca="false">Vendor_Invoices_AP!C175</f>
        <v>V1011</v>
      </c>
      <c r="C178" s="16" t="str">
        <f aca="false">IFERROR(INDEX(Vendor_Master!$B$2:$B$41,MATCH(B178,Vendor_Master!$A$2:$A$41,0)),"Unknown Vendor")</f>
        <v>Montgomery, Hensley and Ray</v>
      </c>
      <c r="D178" s="17" t="n">
        <f aca="false">Vendor_Invoices_AP!D175</f>
        <v>45687</v>
      </c>
      <c r="E178" s="17" t="n">
        <f aca="false">Vendor_Invoices_AP!F175</f>
        <v>45732</v>
      </c>
      <c r="F178" s="18" t="n">
        <f aca="false">Vendor_Invoices_AP!E175</f>
        <v>14457.87</v>
      </c>
      <c r="G178" s="18" t="n">
        <f aca="false">SUMIFS(Payment_Log_AP!$E$2:$E$753,Payment_Log_AP!$B$2:$B$753,A178)</f>
        <v>14457.87</v>
      </c>
      <c r="H178" s="18" t="n">
        <f aca="false">F178-G178</f>
        <v>0</v>
      </c>
      <c r="I178" s="16" t="n">
        <f aca="false">IF(H178&lt;=0.01,0,MAX(Assumptions!$B$5-E178,0))</f>
        <v>0</v>
      </c>
      <c r="J178" s="16" t="str">
        <f aca="false">IF(H178&lt;=0.01,"Paid",IF(I178&lt;=30,"0-30",IF(I178&lt;=60,"31-60",IF(I178&lt;=90,"61-90","90+"))))</f>
        <v>Paid</v>
      </c>
      <c r="K178" s="16" t="str">
        <f aca="false">IF(H178&lt;=0.01,"Paid",IF(G178&gt;0,"Partially Paid","Unpaid"))</f>
        <v>Paid</v>
      </c>
    </row>
    <row r="179" customFormat="false" ht="15" hidden="false" customHeight="false" outlineLevel="0" collapsed="false">
      <c r="A179" s="16" t="str">
        <f aca="false">Vendor_Invoices_AP!A176</f>
        <v>INV30175</v>
      </c>
      <c r="B179" s="16" t="str">
        <f aca="false">Vendor_Invoices_AP!C176</f>
        <v>V1011</v>
      </c>
      <c r="C179" s="16" t="str">
        <f aca="false">IFERROR(INDEX(Vendor_Master!$B$2:$B$41,MATCH(B179,Vendor_Master!$A$2:$A$41,0)),"Unknown Vendor")</f>
        <v>Montgomery, Hensley and Ray</v>
      </c>
      <c r="D179" s="17" t="n">
        <f aca="false">Vendor_Invoices_AP!D176</f>
        <v>45881</v>
      </c>
      <c r="E179" s="17" t="n">
        <f aca="false">Vendor_Invoices_AP!F176</f>
        <v>45926</v>
      </c>
      <c r="F179" s="18" t="n">
        <f aca="false">Vendor_Invoices_AP!E176</f>
        <v>3828.96</v>
      </c>
      <c r="G179" s="18" t="n">
        <f aca="false">SUMIFS(Payment_Log_AP!$E$2:$E$753,Payment_Log_AP!$B$2:$B$753,A179)</f>
        <v>3828.96</v>
      </c>
      <c r="H179" s="18" t="n">
        <f aca="false">F179-G179</f>
        <v>0</v>
      </c>
      <c r="I179" s="16" t="n">
        <f aca="false">IF(H179&lt;=0.01,0,MAX(Assumptions!$B$5-E179,0))</f>
        <v>0</v>
      </c>
      <c r="J179" s="16" t="str">
        <f aca="false">IF(H179&lt;=0.01,"Paid",IF(I179&lt;=30,"0-30",IF(I179&lt;=60,"31-60",IF(I179&lt;=90,"61-90","90+"))))</f>
        <v>Paid</v>
      </c>
      <c r="K179" s="16" t="str">
        <f aca="false">IF(H179&lt;=0.01,"Paid",IF(G179&gt;0,"Partially Paid","Unpaid"))</f>
        <v>Paid</v>
      </c>
    </row>
    <row r="180" customFormat="false" ht="15" hidden="false" customHeight="false" outlineLevel="0" collapsed="false">
      <c r="A180" s="16" t="str">
        <f aca="false">Vendor_Invoices_AP!A177</f>
        <v>INV30176</v>
      </c>
      <c r="B180" s="16" t="str">
        <f aca="false">Vendor_Invoices_AP!C177</f>
        <v>V1025</v>
      </c>
      <c r="C180" s="16" t="str">
        <f aca="false">IFERROR(INDEX(Vendor_Master!$B$2:$B$41,MATCH(B180,Vendor_Master!$A$2:$A$41,0)),"Unknown Vendor")</f>
        <v>Conner Group</v>
      </c>
      <c r="D180" s="17" t="n">
        <f aca="false">Vendor_Invoices_AP!D177</f>
        <v>45784</v>
      </c>
      <c r="E180" s="17" t="n">
        <f aca="false">Vendor_Invoices_AP!F177</f>
        <v>45829</v>
      </c>
      <c r="F180" s="18" t="n">
        <f aca="false">Vendor_Invoices_AP!E177</f>
        <v>1542.51</v>
      </c>
      <c r="G180" s="18" t="n">
        <f aca="false">SUMIFS(Payment_Log_AP!$E$2:$E$753,Payment_Log_AP!$B$2:$B$753,A180)</f>
        <v>1542.51</v>
      </c>
      <c r="H180" s="18" t="n">
        <f aca="false">F180-G180</f>
        <v>0</v>
      </c>
      <c r="I180" s="16" t="n">
        <f aca="false">IF(H180&lt;=0.01,0,MAX(Assumptions!$B$5-E180,0))</f>
        <v>0</v>
      </c>
      <c r="J180" s="16" t="str">
        <f aca="false">IF(H180&lt;=0.01,"Paid",IF(I180&lt;=30,"0-30",IF(I180&lt;=60,"31-60",IF(I180&lt;=90,"61-90","90+"))))</f>
        <v>Paid</v>
      </c>
      <c r="K180" s="16" t="str">
        <f aca="false">IF(H180&lt;=0.01,"Paid",IF(G180&gt;0,"Partially Paid","Unpaid"))</f>
        <v>Paid</v>
      </c>
    </row>
    <row r="181" customFormat="false" ht="15" hidden="false" customHeight="false" outlineLevel="0" collapsed="false">
      <c r="A181" s="16" t="str">
        <f aca="false">Vendor_Invoices_AP!A178</f>
        <v>INV30177</v>
      </c>
      <c r="B181" s="16" t="str">
        <f aca="false">Vendor_Invoices_AP!C178</f>
        <v>V1020</v>
      </c>
      <c r="C181" s="16" t="str">
        <f aca="false">IFERROR(INDEX(Vendor_Master!$B$2:$B$41,MATCH(B181,Vendor_Master!$A$2:$A$41,0)),"Unknown Vendor")</f>
        <v>Lewis-Porter</v>
      </c>
      <c r="D181" s="17" t="n">
        <f aca="false">Vendor_Invoices_AP!D178</f>
        <v>45855</v>
      </c>
      <c r="E181" s="17" t="n">
        <f aca="false">Vendor_Invoices_AP!F178</f>
        <v>45885</v>
      </c>
      <c r="F181" s="18" t="n">
        <f aca="false">Vendor_Invoices_AP!E178</f>
        <v>1235.82</v>
      </c>
      <c r="G181" s="18" t="n">
        <f aca="false">SUMIFS(Payment_Log_AP!$E$2:$E$753,Payment_Log_AP!$B$2:$B$753,A181)</f>
        <v>1235.82</v>
      </c>
      <c r="H181" s="18" t="n">
        <f aca="false">F181-G181</f>
        <v>0</v>
      </c>
      <c r="I181" s="16" t="n">
        <f aca="false">IF(H181&lt;=0.01,0,MAX(Assumptions!$B$5-E181,0))</f>
        <v>0</v>
      </c>
      <c r="J181" s="16" t="str">
        <f aca="false">IF(H181&lt;=0.01,"Paid",IF(I181&lt;=30,"0-30",IF(I181&lt;=60,"31-60",IF(I181&lt;=90,"61-90","90+"))))</f>
        <v>Paid</v>
      </c>
      <c r="K181" s="16" t="str">
        <f aca="false">IF(H181&lt;=0.01,"Paid",IF(G181&gt;0,"Partially Paid","Unpaid"))</f>
        <v>Paid</v>
      </c>
    </row>
    <row r="182" customFormat="false" ht="15" hidden="false" customHeight="false" outlineLevel="0" collapsed="false">
      <c r="A182" s="16" t="str">
        <f aca="false">Vendor_Invoices_AP!A179</f>
        <v>INV30178</v>
      </c>
      <c r="B182" s="16" t="str">
        <f aca="false">Vendor_Invoices_AP!C179</f>
        <v>V1005</v>
      </c>
      <c r="C182" s="16" t="str">
        <f aca="false">IFERROR(INDEX(Vendor_Master!$B$2:$B$41,MATCH(B182,Vendor_Master!$A$2:$A$41,0)),"Unknown Vendor")</f>
        <v>Cole LLC</v>
      </c>
      <c r="D182" s="17" t="n">
        <f aca="false">Vendor_Invoices_AP!D179</f>
        <v>46091</v>
      </c>
      <c r="E182" s="17" t="n">
        <f aca="false">Vendor_Invoices_AP!F179</f>
        <v>46106</v>
      </c>
      <c r="F182" s="18" t="n">
        <f aca="false">Vendor_Invoices_AP!E179</f>
        <v>21822.22</v>
      </c>
      <c r="G182" s="18" t="n">
        <f aca="false">SUMIFS(Payment_Log_AP!$E$2:$E$753,Payment_Log_AP!$B$2:$B$753,A182)</f>
        <v>21822.22</v>
      </c>
      <c r="H182" s="18" t="n">
        <f aca="false">F182-G182</f>
        <v>0</v>
      </c>
      <c r="I182" s="16" t="n">
        <f aca="false">IF(H182&lt;=0.01,0,MAX(Assumptions!$B$5-E182,0))</f>
        <v>0</v>
      </c>
      <c r="J182" s="16" t="str">
        <f aca="false">IF(H182&lt;=0.01,"Paid",IF(I182&lt;=30,"0-30",IF(I182&lt;=60,"31-60",IF(I182&lt;=90,"61-90","90+"))))</f>
        <v>Paid</v>
      </c>
      <c r="K182" s="16" t="str">
        <f aca="false">IF(H182&lt;=0.01,"Paid",IF(G182&gt;0,"Partially Paid","Unpaid"))</f>
        <v>Paid</v>
      </c>
    </row>
    <row r="183" customFormat="false" ht="15" hidden="false" customHeight="false" outlineLevel="0" collapsed="false">
      <c r="A183" s="16" t="str">
        <f aca="false">Vendor_Invoices_AP!A180</f>
        <v>INV30179</v>
      </c>
      <c r="B183" s="16" t="str">
        <f aca="false">Vendor_Invoices_AP!C180</f>
        <v>V1001</v>
      </c>
      <c r="C183" s="16" t="str">
        <f aca="false">IFERROR(INDEX(Vendor_Master!$B$2:$B$41,MATCH(B183,Vendor_Master!$A$2:$A$41,0)),"Unknown Vendor")</f>
        <v>Figueroa and Sons</v>
      </c>
      <c r="D183" s="17" t="n">
        <f aca="false">Vendor_Invoices_AP!D180</f>
        <v>45888</v>
      </c>
      <c r="E183" s="17" t="n">
        <f aca="false">Vendor_Invoices_AP!F180</f>
        <v>45933</v>
      </c>
      <c r="F183" s="18" t="n">
        <f aca="false">Vendor_Invoices_AP!E180</f>
        <v>3828.8</v>
      </c>
      <c r="G183" s="18" t="n">
        <f aca="false">SUMIFS(Payment_Log_AP!$E$2:$E$753,Payment_Log_AP!$B$2:$B$753,A183)</f>
        <v>3828.8</v>
      </c>
      <c r="H183" s="18" t="n">
        <f aca="false">F183-G183</f>
        <v>0</v>
      </c>
      <c r="I183" s="16" t="n">
        <f aca="false">IF(H183&lt;=0.01,0,MAX(Assumptions!$B$5-E183,0))</f>
        <v>0</v>
      </c>
      <c r="J183" s="16" t="str">
        <f aca="false">IF(H183&lt;=0.01,"Paid",IF(I183&lt;=30,"0-30",IF(I183&lt;=60,"31-60",IF(I183&lt;=90,"61-90","90+"))))</f>
        <v>Paid</v>
      </c>
      <c r="K183" s="16" t="str">
        <f aca="false">IF(H183&lt;=0.01,"Paid",IF(G183&gt;0,"Partially Paid","Unpaid"))</f>
        <v>Paid</v>
      </c>
    </row>
    <row r="184" customFormat="false" ht="15" hidden="false" customHeight="false" outlineLevel="0" collapsed="false">
      <c r="A184" s="16" t="str">
        <f aca="false">Vendor_Invoices_AP!A181</f>
        <v>INV30180</v>
      </c>
      <c r="B184" s="16" t="str">
        <f aca="false">Vendor_Invoices_AP!C181</f>
        <v>V1024</v>
      </c>
      <c r="C184" s="16" t="str">
        <f aca="false">IFERROR(INDEX(Vendor_Master!$B$2:$B$41,MATCH(B184,Vendor_Master!$A$2:$A$41,0)),"Unknown Vendor")</f>
        <v>Campos Inc</v>
      </c>
      <c r="D184" s="17" t="n">
        <f aca="false">Vendor_Invoices_AP!D181</f>
        <v>46081</v>
      </c>
      <c r="E184" s="17" t="n">
        <f aca="false">Vendor_Invoices_AP!F181</f>
        <v>46141</v>
      </c>
      <c r="F184" s="18" t="n">
        <f aca="false">Vendor_Invoices_AP!E181</f>
        <v>2084.01</v>
      </c>
      <c r="G184" s="18" t="n">
        <f aca="false">SUMIFS(Payment_Log_AP!$E$2:$E$753,Payment_Log_AP!$B$2:$B$753,A184)</f>
        <v>2084.01</v>
      </c>
      <c r="H184" s="18" t="n">
        <f aca="false">F184-G184</f>
        <v>0</v>
      </c>
      <c r="I184" s="16" t="n">
        <f aca="false">IF(H184&lt;=0.01,0,MAX(Assumptions!$B$5-E184,0))</f>
        <v>0</v>
      </c>
      <c r="J184" s="16" t="str">
        <f aca="false">IF(H184&lt;=0.01,"Paid",IF(I184&lt;=30,"0-30",IF(I184&lt;=60,"31-60",IF(I184&lt;=90,"61-90","90+"))))</f>
        <v>Paid</v>
      </c>
      <c r="K184" s="16" t="str">
        <f aca="false">IF(H184&lt;=0.01,"Paid",IF(G184&gt;0,"Partially Paid","Unpaid"))</f>
        <v>Paid</v>
      </c>
    </row>
    <row r="185" customFormat="false" ht="15" hidden="false" customHeight="false" outlineLevel="0" collapsed="false">
      <c r="A185" s="16" t="str">
        <f aca="false">Vendor_Invoices_AP!A182</f>
        <v>INV30181</v>
      </c>
      <c r="B185" s="16" t="str">
        <f aca="false">Vendor_Invoices_AP!C182</f>
        <v>V1003</v>
      </c>
      <c r="C185" s="16" t="str">
        <f aca="false">IFERROR(INDEX(Vendor_Master!$B$2:$B$41,MATCH(B185,Vendor_Master!$A$2:$A$41,0)),"Unknown Vendor")</f>
        <v>Johnson and Sons</v>
      </c>
      <c r="D185" s="17" t="n">
        <f aca="false">Vendor_Invoices_AP!D182</f>
        <v>46133</v>
      </c>
      <c r="E185" s="17" t="n">
        <f aca="false">Vendor_Invoices_AP!F182</f>
        <v>46148</v>
      </c>
      <c r="F185" s="18" t="n">
        <f aca="false">Vendor_Invoices_AP!E182</f>
        <v>1489.22</v>
      </c>
      <c r="G185" s="18" t="n">
        <f aca="false">SUMIFS(Payment_Log_AP!$E$2:$E$753,Payment_Log_AP!$B$2:$B$753,A185)</f>
        <v>1489.22</v>
      </c>
      <c r="H185" s="18" t="n">
        <f aca="false">F185-G185</f>
        <v>0</v>
      </c>
      <c r="I185" s="16" t="n">
        <f aca="false">IF(H185&lt;=0.01,0,MAX(Assumptions!$B$5-E185,0))</f>
        <v>0</v>
      </c>
      <c r="J185" s="16" t="str">
        <f aca="false">IF(H185&lt;=0.01,"Paid",IF(I185&lt;=30,"0-30",IF(I185&lt;=60,"31-60",IF(I185&lt;=90,"61-90","90+"))))</f>
        <v>Paid</v>
      </c>
      <c r="K185" s="16" t="str">
        <f aca="false">IF(H185&lt;=0.01,"Paid",IF(G185&gt;0,"Partially Paid","Unpaid"))</f>
        <v>Paid</v>
      </c>
    </row>
    <row r="186" customFormat="false" ht="15" hidden="false" customHeight="false" outlineLevel="0" collapsed="false">
      <c r="A186" s="16" t="str">
        <f aca="false">Vendor_Invoices_AP!A183</f>
        <v>INV30182</v>
      </c>
      <c r="B186" s="16" t="str">
        <f aca="false">Vendor_Invoices_AP!C183</f>
        <v>V1035</v>
      </c>
      <c r="C186" s="16" t="str">
        <f aca="false">IFERROR(INDEX(Vendor_Master!$B$2:$B$41,MATCH(B186,Vendor_Master!$A$2:$A$41,0)),"Unknown Vendor")</f>
        <v>Allen PLC</v>
      </c>
      <c r="D186" s="17" t="n">
        <f aca="false">Vendor_Invoices_AP!D183</f>
        <v>45816</v>
      </c>
      <c r="E186" s="17" t="n">
        <f aca="false">Vendor_Invoices_AP!F183</f>
        <v>45831</v>
      </c>
      <c r="F186" s="18" t="n">
        <f aca="false">Vendor_Invoices_AP!E183</f>
        <v>1056.69</v>
      </c>
      <c r="G186" s="18" t="n">
        <f aca="false">SUMIFS(Payment_Log_AP!$E$2:$E$753,Payment_Log_AP!$B$2:$B$753,A186)</f>
        <v>1056.69</v>
      </c>
      <c r="H186" s="18" t="n">
        <f aca="false">F186-G186</f>
        <v>0</v>
      </c>
      <c r="I186" s="16" t="n">
        <f aca="false">IF(H186&lt;=0.01,0,MAX(Assumptions!$B$5-E186,0))</f>
        <v>0</v>
      </c>
      <c r="J186" s="16" t="str">
        <f aca="false">IF(H186&lt;=0.01,"Paid",IF(I186&lt;=30,"0-30",IF(I186&lt;=60,"31-60",IF(I186&lt;=90,"61-90","90+"))))</f>
        <v>Paid</v>
      </c>
      <c r="K186" s="16" t="str">
        <f aca="false">IF(H186&lt;=0.01,"Paid",IF(G186&gt;0,"Partially Paid","Unpaid"))</f>
        <v>Paid</v>
      </c>
    </row>
    <row r="187" customFormat="false" ht="15" hidden="false" customHeight="false" outlineLevel="0" collapsed="false">
      <c r="A187" s="16" t="str">
        <f aca="false">Vendor_Invoices_AP!A184</f>
        <v>INV30183</v>
      </c>
      <c r="B187" s="16" t="str">
        <f aca="false">Vendor_Invoices_AP!C184</f>
        <v>V1009</v>
      </c>
      <c r="C187" s="16" t="str">
        <f aca="false">IFERROR(INDEX(Vendor_Master!$B$2:$B$41,MATCH(B187,Vendor_Master!$A$2:$A$41,0)),"Unknown Vendor")</f>
        <v>Munoz-Roman</v>
      </c>
      <c r="D187" s="17" t="n">
        <f aca="false">Vendor_Invoices_AP!D184</f>
        <v>45713</v>
      </c>
      <c r="E187" s="17" t="n">
        <f aca="false">Vendor_Invoices_AP!F184</f>
        <v>45743</v>
      </c>
      <c r="F187" s="18" t="n">
        <f aca="false">Vendor_Invoices_AP!E184</f>
        <v>3628.81</v>
      </c>
      <c r="G187" s="18" t="n">
        <f aca="false">SUMIFS(Payment_Log_AP!$E$2:$E$753,Payment_Log_AP!$B$2:$B$753,A187)</f>
        <v>3628.81</v>
      </c>
      <c r="H187" s="18" t="n">
        <f aca="false">F187-G187</f>
        <v>0</v>
      </c>
      <c r="I187" s="16" t="n">
        <f aca="false">IF(H187&lt;=0.01,0,MAX(Assumptions!$B$5-E187,0))</f>
        <v>0</v>
      </c>
      <c r="J187" s="16" t="str">
        <f aca="false">IF(H187&lt;=0.01,"Paid",IF(I187&lt;=30,"0-30",IF(I187&lt;=60,"31-60",IF(I187&lt;=90,"61-90","90+"))))</f>
        <v>Paid</v>
      </c>
      <c r="K187" s="16" t="str">
        <f aca="false">IF(H187&lt;=0.01,"Paid",IF(G187&gt;0,"Partially Paid","Unpaid"))</f>
        <v>Paid</v>
      </c>
    </row>
    <row r="188" customFormat="false" ht="15" hidden="false" customHeight="false" outlineLevel="0" collapsed="false">
      <c r="A188" s="16" t="str">
        <f aca="false">Vendor_Invoices_AP!A185</f>
        <v>INV30184</v>
      </c>
      <c r="B188" s="16" t="str">
        <f aca="false">Vendor_Invoices_AP!C185</f>
        <v>V1034</v>
      </c>
      <c r="C188" s="16" t="str">
        <f aca="false">IFERROR(INDEX(Vendor_Master!$B$2:$B$41,MATCH(B188,Vendor_Master!$A$2:$A$41,0)),"Unknown Vendor")</f>
        <v>Koch-Decker</v>
      </c>
      <c r="D188" s="17" t="n">
        <f aca="false">Vendor_Invoices_AP!D185</f>
        <v>45678</v>
      </c>
      <c r="E188" s="17" t="n">
        <f aca="false">Vendor_Invoices_AP!F185</f>
        <v>45723</v>
      </c>
      <c r="F188" s="18" t="n">
        <f aca="false">Vendor_Invoices_AP!E185</f>
        <v>588.95</v>
      </c>
      <c r="G188" s="18" t="n">
        <f aca="false">SUMIFS(Payment_Log_AP!$E$2:$E$753,Payment_Log_AP!$B$2:$B$753,A188)</f>
        <v>588.95</v>
      </c>
      <c r="H188" s="18" t="n">
        <f aca="false">F188-G188</f>
        <v>0</v>
      </c>
      <c r="I188" s="16" t="n">
        <f aca="false">IF(H188&lt;=0.01,0,MAX(Assumptions!$B$5-E188,0))</f>
        <v>0</v>
      </c>
      <c r="J188" s="16" t="str">
        <f aca="false">IF(H188&lt;=0.01,"Paid",IF(I188&lt;=30,"0-30",IF(I188&lt;=60,"31-60",IF(I188&lt;=90,"61-90","90+"))))</f>
        <v>Paid</v>
      </c>
      <c r="K188" s="16" t="str">
        <f aca="false">IF(H188&lt;=0.01,"Paid",IF(G188&gt;0,"Partially Paid","Unpaid"))</f>
        <v>Paid</v>
      </c>
    </row>
    <row r="189" customFormat="false" ht="15" hidden="false" customHeight="false" outlineLevel="0" collapsed="false">
      <c r="A189" s="16" t="str">
        <f aca="false">Vendor_Invoices_AP!A186</f>
        <v>INV30185</v>
      </c>
      <c r="B189" s="16" t="str">
        <f aca="false">Vendor_Invoices_AP!C186</f>
        <v>V1017</v>
      </c>
      <c r="C189" s="16" t="str">
        <f aca="false">IFERROR(INDEX(Vendor_Master!$B$2:$B$41,MATCH(B189,Vendor_Master!$A$2:$A$41,0)),"Unknown Vendor")</f>
        <v>Hawkins, Cohen and Cameron</v>
      </c>
      <c r="D189" s="17" t="n">
        <f aca="false">Vendor_Invoices_AP!D186</f>
        <v>45958</v>
      </c>
      <c r="E189" s="17" t="n">
        <f aca="false">Vendor_Invoices_AP!F186</f>
        <v>46003</v>
      </c>
      <c r="F189" s="18" t="n">
        <f aca="false">Vendor_Invoices_AP!E186</f>
        <v>2268.78</v>
      </c>
      <c r="G189" s="18" t="n">
        <f aca="false">SUMIFS(Payment_Log_AP!$E$2:$E$753,Payment_Log_AP!$B$2:$B$753,A189)</f>
        <v>2268.78</v>
      </c>
      <c r="H189" s="18" t="n">
        <f aca="false">F189-G189</f>
        <v>0</v>
      </c>
      <c r="I189" s="16" t="n">
        <f aca="false">IF(H189&lt;=0.01,0,MAX(Assumptions!$B$5-E189,0))</f>
        <v>0</v>
      </c>
      <c r="J189" s="16" t="str">
        <f aca="false">IF(H189&lt;=0.01,"Paid",IF(I189&lt;=30,"0-30",IF(I189&lt;=60,"31-60",IF(I189&lt;=90,"61-90","90+"))))</f>
        <v>Paid</v>
      </c>
      <c r="K189" s="16" t="str">
        <f aca="false">IF(H189&lt;=0.01,"Paid",IF(G189&gt;0,"Partially Paid","Unpaid"))</f>
        <v>Paid</v>
      </c>
    </row>
    <row r="190" customFormat="false" ht="15" hidden="false" customHeight="false" outlineLevel="0" collapsed="false">
      <c r="A190" s="16" t="str">
        <f aca="false">Vendor_Invoices_AP!A187</f>
        <v>INV30186</v>
      </c>
      <c r="B190" s="16" t="str">
        <f aca="false">Vendor_Invoices_AP!C187</f>
        <v>V1021</v>
      </c>
      <c r="C190" s="16" t="str">
        <f aca="false">IFERROR(INDEX(Vendor_Master!$B$2:$B$41,MATCH(B190,Vendor_Master!$A$2:$A$41,0)),"Unknown Vendor")</f>
        <v>Ellis, Baker and Wright</v>
      </c>
      <c r="D190" s="17" t="n">
        <f aca="false">Vendor_Invoices_AP!D187</f>
        <v>46218</v>
      </c>
      <c r="E190" s="17" t="n">
        <f aca="false">Vendor_Invoices_AP!F187</f>
        <v>46248</v>
      </c>
      <c r="F190" s="18" t="n">
        <f aca="false">Vendor_Invoices_AP!E187</f>
        <v>780.2</v>
      </c>
      <c r="G190" s="18" t="n">
        <f aca="false">SUMIFS(Payment_Log_AP!$E$2:$E$753,Payment_Log_AP!$B$2:$B$753,A190)</f>
        <v>0</v>
      </c>
      <c r="H190" s="18" t="n">
        <f aca="false">F190-G190</f>
        <v>780.2</v>
      </c>
      <c r="I190" s="16" t="n">
        <f aca="false">IF(H190&lt;=0.01,0,MAX(Assumptions!$B$5-E190,0))</f>
        <v>0</v>
      </c>
      <c r="J190" s="16" t="str">
        <f aca="false">IF(H190&lt;=0.01,"Paid",IF(I190&lt;=30,"0-30",IF(I190&lt;=60,"31-60",IF(I190&lt;=90,"61-90","90+"))))</f>
        <v>0-30</v>
      </c>
      <c r="K190" s="16" t="str">
        <f aca="false">IF(H190&lt;=0.01,"Paid",IF(G190&gt;0,"Partially Paid","Unpaid"))</f>
        <v>Unpaid</v>
      </c>
    </row>
    <row r="191" customFormat="false" ht="15" hidden="false" customHeight="false" outlineLevel="0" collapsed="false">
      <c r="A191" s="16" t="str">
        <f aca="false">Vendor_Invoices_AP!A188</f>
        <v>INV30187</v>
      </c>
      <c r="B191" s="16" t="str">
        <f aca="false">Vendor_Invoices_AP!C188</f>
        <v>V1033</v>
      </c>
      <c r="C191" s="16" t="str">
        <f aca="false">IFERROR(INDEX(Vendor_Master!$B$2:$B$41,MATCH(B191,Vendor_Master!$A$2:$A$41,0)),"Unknown Vendor")</f>
        <v>Sellers, George and Burns</v>
      </c>
      <c r="D191" s="17" t="n">
        <f aca="false">Vendor_Invoices_AP!D188</f>
        <v>45869</v>
      </c>
      <c r="E191" s="17" t="n">
        <f aca="false">Vendor_Invoices_AP!F188</f>
        <v>45929</v>
      </c>
      <c r="F191" s="18" t="n">
        <f aca="false">Vendor_Invoices_AP!E188</f>
        <v>560.32</v>
      </c>
      <c r="G191" s="18" t="n">
        <f aca="false">SUMIFS(Payment_Log_AP!$E$2:$E$753,Payment_Log_AP!$B$2:$B$753,A191)</f>
        <v>560.32</v>
      </c>
      <c r="H191" s="18" t="n">
        <f aca="false">F191-G191</f>
        <v>0</v>
      </c>
      <c r="I191" s="16" t="n">
        <f aca="false">IF(H191&lt;=0.01,0,MAX(Assumptions!$B$5-E191,0))</f>
        <v>0</v>
      </c>
      <c r="J191" s="16" t="str">
        <f aca="false">IF(H191&lt;=0.01,"Paid",IF(I191&lt;=30,"0-30",IF(I191&lt;=60,"31-60",IF(I191&lt;=90,"61-90","90+"))))</f>
        <v>Paid</v>
      </c>
      <c r="K191" s="16" t="str">
        <f aca="false">IF(H191&lt;=0.01,"Paid",IF(G191&gt;0,"Partially Paid","Unpaid"))</f>
        <v>Paid</v>
      </c>
    </row>
    <row r="192" customFormat="false" ht="15" hidden="false" customHeight="false" outlineLevel="0" collapsed="false">
      <c r="A192" s="16" t="str">
        <f aca="false">Vendor_Invoices_AP!A189</f>
        <v>INV30188</v>
      </c>
      <c r="B192" s="16" t="str">
        <f aca="false">Vendor_Invoices_AP!C189</f>
        <v>V1005</v>
      </c>
      <c r="C192" s="16" t="str">
        <f aca="false">IFERROR(INDEX(Vendor_Master!$B$2:$B$41,MATCH(B192,Vendor_Master!$A$2:$A$41,0)),"Unknown Vendor")</f>
        <v>Cole LLC</v>
      </c>
      <c r="D192" s="17" t="n">
        <f aca="false">Vendor_Invoices_AP!D189</f>
        <v>46018</v>
      </c>
      <c r="E192" s="17" t="n">
        <f aca="false">Vendor_Invoices_AP!F189</f>
        <v>46033</v>
      </c>
      <c r="F192" s="18" t="n">
        <f aca="false">Vendor_Invoices_AP!E189</f>
        <v>2281.25</v>
      </c>
      <c r="G192" s="18" t="n">
        <f aca="false">SUMIFS(Payment_Log_AP!$E$2:$E$753,Payment_Log_AP!$B$2:$B$753,A192)</f>
        <v>2281.25</v>
      </c>
      <c r="H192" s="18" t="n">
        <f aca="false">F192-G192</f>
        <v>0</v>
      </c>
      <c r="I192" s="16" t="n">
        <f aca="false">IF(H192&lt;=0.01,0,MAX(Assumptions!$B$5-E192,0))</f>
        <v>0</v>
      </c>
      <c r="J192" s="16" t="str">
        <f aca="false">IF(H192&lt;=0.01,"Paid",IF(I192&lt;=30,"0-30",IF(I192&lt;=60,"31-60",IF(I192&lt;=90,"61-90","90+"))))</f>
        <v>Paid</v>
      </c>
      <c r="K192" s="16" t="str">
        <f aca="false">IF(H192&lt;=0.01,"Paid",IF(G192&gt;0,"Partially Paid","Unpaid"))</f>
        <v>Paid</v>
      </c>
    </row>
    <row r="193" customFormat="false" ht="15" hidden="false" customHeight="false" outlineLevel="0" collapsed="false">
      <c r="A193" s="16" t="str">
        <f aca="false">Vendor_Invoices_AP!A190</f>
        <v>INV30189</v>
      </c>
      <c r="B193" s="16" t="str">
        <f aca="false">Vendor_Invoices_AP!C190</f>
        <v>V1008</v>
      </c>
      <c r="C193" s="16" t="str">
        <f aca="false">IFERROR(INDEX(Vendor_Master!$B$2:$B$41,MATCH(B193,Vendor_Master!$A$2:$A$41,0)),"Unknown Vendor")</f>
        <v>Davis Inc</v>
      </c>
      <c r="D193" s="17" t="n">
        <f aca="false">Vendor_Invoices_AP!D190</f>
        <v>46088</v>
      </c>
      <c r="E193" s="17" t="n">
        <f aca="false">Vendor_Invoices_AP!F190</f>
        <v>46148</v>
      </c>
      <c r="F193" s="18" t="n">
        <f aca="false">Vendor_Invoices_AP!E190</f>
        <v>795.03</v>
      </c>
      <c r="G193" s="18" t="n">
        <f aca="false">SUMIFS(Payment_Log_AP!$E$2:$E$753,Payment_Log_AP!$B$2:$B$753,A193)</f>
        <v>795.03</v>
      </c>
      <c r="H193" s="18" t="n">
        <f aca="false">F193-G193</f>
        <v>0</v>
      </c>
      <c r="I193" s="16" t="n">
        <f aca="false">IF(H193&lt;=0.01,0,MAX(Assumptions!$B$5-E193,0))</f>
        <v>0</v>
      </c>
      <c r="J193" s="16" t="str">
        <f aca="false">IF(H193&lt;=0.01,"Paid",IF(I193&lt;=30,"0-30",IF(I193&lt;=60,"31-60",IF(I193&lt;=90,"61-90","90+"))))</f>
        <v>Paid</v>
      </c>
      <c r="K193" s="16" t="str">
        <f aca="false">IF(H193&lt;=0.01,"Paid",IF(G193&gt;0,"Partially Paid","Unpaid"))</f>
        <v>Paid</v>
      </c>
    </row>
    <row r="194" customFormat="false" ht="15" hidden="false" customHeight="false" outlineLevel="0" collapsed="false">
      <c r="A194" s="16" t="str">
        <f aca="false">Vendor_Invoices_AP!A191</f>
        <v>INV30190</v>
      </c>
      <c r="B194" s="16" t="str">
        <f aca="false">Vendor_Invoices_AP!C191</f>
        <v>V1038</v>
      </c>
      <c r="C194" s="16" t="str">
        <f aca="false">IFERROR(INDEX(Vendor_Master!$B$2:$B$41,MATCH(B194,Vendor_Master!$A$2:$A$41,0)),"Unknown Vendor")</f>
        <v>Rose-Obrien</v>
      </c>
      <c r="D194" s="17" t="n">
        <f aca="false">Vendor_Invoices_AP!D191</f>
        <v>46029</v>
      </c>
      <c r="E194" s="17" t="n">
        <f aca="false">Vendor_Invoices_AP!F191</f>
        <v>46059</v>
      </c>
      <c r="F194" s="18" t="n">
        <f aca="false">Vendor_Invoices_AP!E191</f>
        <v>1829.81</v>
      </c>
      <c r="G194" s="18" t="n">
        <f aca="false">SUMIFS(Payment_Log_AP!$E$2:$E$753,Payment_Log_AP!$B$2:$B$753,A194)</f>
        <v>1829.81</v>
      </c>
      <c r="H194" s="18" t="n">
        <f aca="false">F194-G194</f>
        <v>0</v>
      </c>
      <c r="I194" s="16" t="n">
        <f aca="false">IF(H194&lt;=0.01,0,MAX(Assumptions!$B$5-E194,0))</f>
        <v>0</v>
      </c>
      <c r="J194" s="16" t="str">
        <f aca="false">IF(H194&lt;=0.01,"Paid",IF(I194&lt;=30,"0-30",IF(I194&lt;=60,"31-60",IF(I194&lt;=90,"61-90","90+"))))</f>
        <v>Paid</v>
      </c>
      <c r="K194" s="16" t="str">
        <f aca="false">IF(H194&lt;=0.01,"Paid",IF(G194&gt;0,"Partially Paid","Unpaid"))</f>
        <v>Paid</v>
      </c>
    </row>
    <row r="195" customFormat="false" ht="15" hidden="false" customHeight="false" outlineLevel="0" collapsed="false">
      <c r="A195" s="16" t="str">
        <f aca="false">Vendor_Invoices_AP!A192</f>
        <v>INV30191</v>
      </c>
      <c r="B195" s="16" t="str">
        <f aca="false">Vendor_Invoices_AP!C192</f>
        <v>V1017</v>
      </c>
      <c r="C195" s="16" t="str">
        <f aca="false">IFERROR(INDEX(Vendor_Master!$B$2:$B$41,MATCH(B195,Vendor_Master!$A$2:$A$41,0)),"Unknown Vendor")</f>
        <v>Hawkins, Cohen and Cameron</v>
      </c>
      <c r="D195" s="17" t="n">
        <f aca="false">Vendor_Invoices_AP!D192</f>
        <v>46075</v>
      </c>
      <c r="E195" s="17" t="n">
        <f aca="false">Vendor_Invoices_AP!F192</f>
        <v>46120</v>
      </c>
      <c r="F195" s="18" t="n">
        <f aca="false">Vendor_Invoices_AP!E192</f>
        <v>3612.23</v>
      </c>
      <c r="G195" s="18" t="n">
        <f aca="false">SUMIFS(Payment_Log_AP!$E$2:$E$753,Payment_Log_AP!$B$2:$B$753,A195)</f>
        <v>3612.23</v>
      </c>
      <c r="H195" s="18" t="n">
        <f aca="false">F195-G195</f>
        <v>0</v>
      </c>
      <c r="I195" s="16" t="n">
        <f aca="false">IF(H195&lt;=0.01,0,MAX(Assumptions!$B$5-E195,0))</f>
        <v>0</v>
      </c>
      <c r="J195" s="16" t="str">
        <f aca="false">IF(H195&lt;=0.01,"Paid",IF(I195&lt;=30,"0-30",IF(I195&lt;=60,"31-60",IF(I195&lt;=90,"61-90","90+"))))</f>
        <v>Paid</v>
      </c>
      <c r="K195" s="16" t="str">
        <f aca="false">IF(H195&lt;=0.01,"Paid",IF(G195&gt;0,"Partially Paid","Unpaid"))</f>
        <v>Paid</v>
      </c>
    </row>
    <row r="196" customFormat="false" ht="15" hidden="false" customHeight="false" outlineLevel="0" collapsed="false">
      <c r="A196" s="16" t="str">
        <f aca="false">Vendor_Invoices_AP!A193</f>
        <v>INV30192</v>
      </c>
      <c r="B196" s="16" t="str">
        <f aca="false">Vendor_Invoices_AP!C193</f>
        <v>V1012</v>
      </c>
      <c r="C196" s="16" t="str">
        <f aca="false">IFERROR(INDEX(Vendor_Master!$B$2:$B$41,MATCH(B196,Vendor_Master!$A$2:$A$41,0)),"Unknown Vendor")</f>
        <v>Stanley LLC</v>
      </c>
      <c r="D196" s="17" t="n">
        <f aca="false">Vendor_Invoices_AP!D193</f>
        <v>46192</v>
      </c>
      <c r="E196" s="17" t="n">
        <f aca="false">Vendor_Invoices_AP!F193</f>
        <v>46252</v>
      </c>
      <c r="F196" s="18" t="n">
        <f aca="false">Vendor_Invoices_AP!E193</f>
        <v>2450.97</v>
      </c>
      <c r="G196" s="18" t="n">
        <f aca="false">SUMIFS(Payment_Log_AP!$E$2:$E$753,Payment_Log_AP!$B$2:$B$753,A196)</f>
        <v>0</v>
      </c>
      <c r="H196" s="18" t="n">
        <f aca="false">F196-G196</f>
        <v>2450.97</v>
      </c>
      <c r="I196" s="16" t="n">
        <f aca="false">IF(H196&lt;=0.01,0,MAX(Assumptions!$B$5-E196,0))</f>
        <v>0</v>
      </c>
      <c r="J196" s="16" t="str">
        <f aca="false">IF(H196&lt;=0.01,"Paid",IF(I196&lt;=30,"0-30",IF(I196&lt;=60,"31-60",IF(I196&lt;=90,"61-90","90+"))))</f>
        <v>0-30</v>
      </c>
      <c r="K196" s="16" t="str">
        <f aca="false">IF(H196&lt;=0.01,"Paid",IF(G196&gt;0,"Partially Paid","Unpaid"))</f>
        <v>Unpaid</v>
      </c>
    </row>
    <row r="197" customFormat="false" ht="15" hidden="false" customHeight="false" outlineLevel="0" collapsed="false">
      <c r="A197" s="16" t="str">
        <f aca="false">Vendor_Invoices_AP!A194</f>
        <v>INV30193</v>
      </c>
      <c r="B197" s="16" t="str">
        <f aca="false">Vendor_Invoices_AP!C194</f>
        <v>V1008</v>
      </c>
      <c r="C197" s="16" t="str">
        <f aca="false">IFERROR(INDEX(Vendor_Master!$B$2:$B$41,MATCH(B197,Vendor_Master!$A$2:$A$41,0)),"Unknown Vendor")</f>
        <v>Davis Inc</v>
      </c>
      <c r="D197" s="17" t="n">
        <f aca="false">Vendor_Invoices_AP!D194</f>
        <v>45769</v>
      </c>
      <c r="E197" s="17" t="n">
        <f aca="false">Vendor_Invoices_AP!F194</f>
        <v>45829</v>
      </c>
      <c r="F197" s="18" t="n">
        <f aca="false">Vendor_Invoices_AP!E194</f>
        <v>1825.14</v>
      </c>
      <c r="G197" s="18" t="n">
        <f aca="false">SUMIFS(Payment_Log_AP!$E$2:$E$753,Payment_Log_AP!$B$2:$B$753,A197)</f>
        <v>1825.14</v>
      </c>
      <c r="H197" s="18" t="n">
        <f aca="false">F197-G197</f>
        <v>0</v>
      </c>
      <c r="I197" s="16" t="n">
        <f aca="false">IF(H197&lt;=0.01,0,MAX(Assumptions!$B$5-E197,0))</f>
        <v>0</v>
      </c>
      <c r="J197" s="16" t="str">
        <f aca="false">IF(H197&lt;=0.01,"Paid",IF(I197&lt;=30,"0-30",IF(I197&lt;=60,"31-60",IF(I197&lt;=90,"61-90","90+"))))</f>
        <v>Paid</v>
      </c>
      <c r="K197" s="16" t="str">
        <f aca="false">IF(H197&lt;=0.01,"Paid",IF(G197&gt;0,"Partially Paid","Unpaid"))</f>
        <v>Paid</v>
      </c>
    </row>
    <row r="198" customFormat="false" ht="15" hidden="false" customHeight="false" outlineLevel="0" collapsed="false">
      <c r="A198" s="16" t="str">
        <f aca="false">Vendor_Invoices_AP!A195</f>
        <v>INV30194</v>
      </c>
      <c r="B198" s="16" t="str">
        <f aca="false">Vendor_Invoices_AP!C195</f>
        <v>V1022</v>
      </c>
      <c r="C198" s="16" t="str">
        <f aca="false">IFERROR(INDEX(Vendor_Master!$B$2:$B$41,MATCH(B198,Vendor_Master!$A$2:$A$41,0)),"Unknown Vendor")</f>
        <v>Burgess-Patterson</v>
      </c>
      <c r="D198" s="17" t="n">
        <f aca="false">Vendor_Invoices_AP!D195</f>
        <v>45675</v>
      </c>
      <c r="E198" s="17" t="n">
        <f aca="false">Vendor_Invoices_AP!F195</f>
        <v>45705</v>
      </c>
      <c r="F198" s="18" t="n">
        <f aca="false">Vendor_Invoices_AP!E195</f>
        <v>21706.69</v>
      </c>
      <c r="G198" s="18" t="n">
        <f aca="false">SUMIFS(Payment_Log_AP!$E$2:$E$753,Payment_Log_AP!$B$2:$B$753,A198)</f>
        <v>21706.69</v>
      </c>
      <c r="H198" s="18" t="n">
        <f aca="false">F198-G198</f>
        <v>0</v>
      </c>
      <c r="I198" s="16" t="n">
        <f aca="false">IF(H198&lt;=0.01,0,MAX(Assumptions!$B$5-E198,0))</f>
        <v>0</v>
      </c>
      <c r="J198" s="16" t="str">
        <f aca="false">IF(H198&lt;=0.01,"Paid",IF(I198&lt;=30,"0-30",IF(I198&lt;=60,"31-60",IF(I198&lt;=90,"61-90","90+"))))</f>
        <v>Paid</v>
      </c>
      <c r="K198" s="16" t="str">
        <f aca="false">IF(H198&lt;=0.01,"Paid",IF(G198&gt;0,"Partially Paid","Unpaid"))</f>
        <v>Paid</v>
      </c>
    </row>
    <row r="199" customFormat="false" ht="15" hidden="false" customHeight="false" outlineLevel="0" collapsed="false">
      <c r="A199" s="16" t="str">
        <f aca="false">Vendor_Invoices_AP!A196</f>
        <v>INV30195</v>
      </c>
      <c r="B199" s="16" t="str">
        <f aca="false">Vendor_Invoices_AP!C196</f>
        <v>V1011</v>
      </c>
      <c r="C199" s="16" t="str">
        <f aca="false">IFERROR(INDEX(Vendor_Master!$B$2:$B$41,MATCH(B199,Vendor_Master!$A$2:$A$41,0)),"Unknown Vendor")</f>
        <v>Montgomery, Hensley and Ray</v>
      </c>
      <c r="D199" s="17" t="n">
        <f aca="false">Vendor_Invoices_AP!D196</f>
        <v>45758</v>
      </c>
      <c r="E199" s="17" t="n">
        <f aca="false">Vendor_Invoices_AP!F196</f>
        <v>45803</v>
      </c>
      <c r="F199" s="18" t="n">
        <f aca="false">Vendor_Invoices_AP!E196</f>
        <v>342.72</v>
      </c>
      <c r="G199" s="18" t="n">
        <f aca="false">SUMIFS(Payment_Log_AP!$E$2:$E$753,Payment_Log_AP!$B$2:$B$753,A199)</f>
        <v>342.72</v>
      </c>
      <c r="H199" s="18" t="n">
        <f aca="false">F199-G199</f>
        <v>0</v>
      </c>
      <c r="I199" s="16" t="n">
        <f aca="false">IF(H199&lt;=0.01,0,MAX(Assumptions!$B$5-E199,0))</f>
        <v>0</v>
      </c>
      <c r="J199" s="16" t="str">
        <f aca="false">IF(H199&lt;=0.01,"Paid",IF(I199&lt;=30,"0-30",IF(I199&lt;=60,"31-60",IF(I199&lt;=90,"61-90","90+"))))</f>
        <v>Paid</v>
      </c>
      <c r="K199" s="16" t="str">
        <f aca="false">IF(H199&lt;=0.01,"Paid",IF(G199&gt;0,"Partially Paid","Unpaid"))</f>
        <v>Paid</v>
      </c>
    </row>
    <row r="200" customFormat="false" ht="15" hidden="false" customHeight="false" outlineLevel="0" collapsed="false">
      <c r="A200" s="16" t="str">
        <f aca="false">Vendor_Invoices_AP!A197</f>
        <v>INV30196</v>
      </c>
      <c r="B200" s="16" t="str">
        <f aca="false">Vendor_Invoices_AP!C197</f>
        <v>V1007</v>
      </c>
      <c r="C200" s="16" t="str">
        <f aca="false">IFERROR(INDEX(Vendor_Master!$B$2:$B$41,MATCH(B200,Vendor_Master!$A$2:$A$41,0)),"Unknown Vendor")</f>
        <v>Ramirez-Lewis</v>
      </c>
      <c r="D200" s="17" t="n">
        <f aca="false">Vendor_Invoices_AP!D197</f>
        <v>45736</v>
      </c>
      <c r="E200" s="17" t="n">
        <f aca="false">Vendor_Invoices_AP!F197</f>
        <v>45751</v>
      </c>
      <c r="F200" s="18" t="n">
        <f aca="false">Vendor_Invoices_AP!E197</f>
        <v>781.51</v>
      </c>
      <c r="G200" s="18" t="n">
        <f aca="false">SUMIFS(Payment_Log_AP!$E$2:$E$753,Payment_Log_AP!$B$2:$B$753,A200)</f>
        <v>781.51</v>
      </c>
      <c r="H200" s="18" t="n">
        <f aca="false">F200-G200</f>
        <v>0</v>
      </c>
      <c r="I200" s="16" t="n">
        <f aca="false">IF(H200&lt;=0.01,0,MAX(Assumptions!$B$5-E200,0))</f>
        <v>0</v>
      </c>
      <c r="J200" s="16" t="str">
        <f aca="false">IF(H200&lt;=0.01,"Paid",IF(I200&lt;=30,"0-30",IF(I200&lt;=60,"31-60",IF(I200&lt;=90,"61-90","90+"))))</f>
        <v>Paid</v>
      </c>
      <c r="K200" s="16" t="str">
        <f aca="false">IF(H200&lt;=0.01,"Paid",IF(G200&gt;0,"Partially Paid","Unpaid"))</f>
        <v>Paid</v>
      </c>
    </row>
    <row r="201" customFormat="false" ht="15" hidden="false" customHeight="false" outlineLevel="0" collapsed="false">
      <c r="A201" s="16" t="str">
        <f aca="false">Vendor_Invoices_AP!A198</f>
        <v>INV30197</v>
      </c>
      <c r="B201" s="16" t="str">
        <f aca="false">Vendor_Invoices_AP!C198</f>
        <v>V1021</v>
      </c>
      <c r="C201" s="16" t="str">
        <f aca="false">IFERROR(INDEX(Vendor_Master!$B$2:$B$41,MATCH(B201,Vendor_Master!$A$2:$A$41,0)),"Unknown Vendor")</f>
        <v>Ellis, Baker and Wright</v>
      </c>
      <c r="D201" s="17" t="n">
        <f aca="false">Vendor_Invoices_AP!D198</f>
        <v>46027</v>
      </c>
      <c r="E201" s="17" t="n">
        <f aca="false">Vendor_Invoices_AP!F198</f>
        <v>46057</v>
      </c>
      <c r="F201" s="18" t="n">
        <f aca="false">Vendor_Invoices_AP!E198</f>
        <v>5652.95</v>
      </c>
      <c r="G201" s="18" t="n">
        <f aca="false">SUMIFS(Payment_Log_AP!$E$2:$E$753,Payment_Log_AP!$B$2:$B$753,A201)</f>
        <v>5652.95</v>
      </c>
      <c r="H201" s="18" t="n">
        <f aca="false">F201-G201</f>
        <v>0</v>
      </c>
      <c r="I201" s="16" t="n">
        <f aca="false">IF(H201&lt;=0.01,0,MAX(Assumptions!$B$5-E201,0))</f>
        <v>0</v>
      </c>
      <c r="J201" s="16" t="str">
        <f aca="false">IF(H201&lt;=0.01,"Paid",IF(I201&lt;=30,"0-30",IF(I201&lt;=60,"31-60",IF(I201&lt;=90,"61-90","90+"))))</f>
        <v>Paid</v>
      </c>
      <c r="K201" s="16" t="str">
        <f aca="false">IF(H201&lt;=0.01,"Paid",IF(G201&gt;0,"Partially Paid","Unpaid"))</f>
        <v>Paid</v>
      </c>
    </row>
    <row r="202" customFormat="false" ht="15" hidden="false" customHeight="false" outlineLevel="0" collapsed="false">
      <c r="A202" s="16" t="str">
        <f aca="false">Vendor_Invoices_AP!A199</f>
        <v>INV30198</v>
      </c>
      <c r="B202" s="16" t="str">
        <f aca="false">Vendor_Invoices_AP!C199</f>
        <v>V1010</v>
      </c>
      <c r="C202" s="16" t="str">
        <f aca="false">IFERROR(INDEX(Vendor_Master!$B$2:$B$41,MATCH(B202,Vendor_Master!$A$2:$A$41,0)),"Unknown Vendor")</f>
        <v>Martinez, Nielsen and Miller</v>
      </c>
      <c r="D202" s="17" t="n">
        <f aca="false">Vendor_Invoices_AP!D199</f>
        <v>45979</v>
      </c>
      <c r="E202" s="17" t="n">
        <f aca="false">Vendor_Invoices_AP!F199</f>
        <v>45994</v>
      </c>
      <c r="F202" s="18" t="n">
        <f aca="false">Vendor_Invoices_AP!E199</f>
        <v>133.11</v>
      </c>
      <c r="G202" s="18" t="n">
        <f aca="false">SUMIFS(Payment_Log_AP!$E$2:$E$753,Payment_Log_AP!$B$2:$B$753,A202)</f>
        <v>133.11</v>
      </c>
      <c r="H202" s="18" t="n">
        <f aca="false">F202-G202</f>
        <v>0</v>
      </c>
      <c r="I202" s="16" t="n">
        <f aca="false">IF(H202&lt;=0.01,0,MAX(Assumptions!$B$5-E202,0))</f>
        <v>0</v>
      </c>
      <c r="J202" s="16" t="str">
        <f aca="false">IF(H202&lt;=0.01,"Paid",IF(I202&lt;=30,"0-30",IF(I202&lt;=60,"31-60",IF(I202&lt;=90,"61-90","90+"))))</f>
        <v>Paid</v>
      </c>
      <c r="K202" s="16" t="str">
        <f aca="false">IF(H202&lt;=0.01,"Paid",IF(G202&gt;0,"Partially Paid","Unpaid"))</f>
        <v>Paid</v>
      </c>
    </row>
    <row r="203" customFormat="false" ht="15" hidden="false" customHeight="false" outlineLevel="0" collapsed="false">
      <c r="A203" s="16" t="str">
        <f aca="false">Vendor_Invoices_AP!A200</f>
        <v>INV30199</v>
      </c>
      <c r="B203" s="16" t="str">
        <f aca="false">Vendor_Invoices_AP!C200</f>
        <v>V1013</v>
      </c>
      <c r="C203" s="16" t="str">
        <f aca="false">IFERROR(INDEX(Vendor_Master!$B$2:$B$41,MATCH(B203,Vendor_Master!$A$2:$A$41,0)),"Unknown Vendor")</f>
        <v>Delacruz Group</v>
      </c>
      <c r="D203" s="17" t="n">
        <f aca="false">Vendor_Invoices_AP!D200</f>
        <v>45801</v>
      </c>
      <c r="E203" s="17" t="n">
        <f aca="false">Vendor_Invoices_AP!F200</f>
        <v>45816</v>
      </c>
      <c r="F203" s="18" t="n">
        <f aca="false">Vendor_Invoices_AP!E200</f>
        <v>17090.48</v>
      </c>
      <c r="G203" s="18" t="n">
        <f aca="false">SUMIFS(Payment_Log_AP!$E$2:$E$753,Payment_Log_AP!$B$2:$B$753,A203)</f>
        <v>17090.48</v>
      </c>
      <c r="H203" s="18" t="n">
        <f aca="false">F203-G203</f>
        <v>0</v>
      </c>
      <c r="I203" s="16" t="n">
        <f aca="false">IF(H203&lt;=0.01,0,MAX(Assumptions!$B$5-E203,0))</f>
        <v>0</v>
      </c>
      <c r="J203" s="16" t="str">
        <f aca="false">IF(H203&lt;=0.01,"Paid",IF(I203&lt;=30,"0-30",IF(I203&lt;=60,"31-60",IF(I203&lt;=90,"61-90","90+"))))</f>
        <v>Paid</v>
      </c>
      <c r="K203" s="16" t="str">
        <f aca="false">IF(H203&lt;=0.01,"Paid",IF(G203&gt;0,"Partially Paid","Unpaid"))</f>
        <v>Paid</v>
      </c>
    </row>
    <row r="204" customFormat="false" ht="15" hidden="false" customHeight="false" outlineLevel="0" collapsed="false">
      <c r="A204" s="16" t="str">
        <f aca="false">Vendor_Invoices_AP!A201</f>
        <v>INV30200</v>
      </c>
      <c r="B204" s="16" t="str">
        <f aca="false">Vendor_Invoices_AP!C201</f>
        <v>V1015</v>
      </c>
      <c r="C204" s="16" t="str">
        <f aca="false">IFERROR(INDEX(Vendor_Master!$B$2:$B$41,MATCH(B204,Vendor_Master!$A$2:$A$41,0)),"Unknown Vendor")</f>
        <v>Zuniga, Wong and Lynch</v>
      </c>
      <c r="D204" s="17" t="n">
        <f aca="false">Vendor_Invoices_AP!D201</f>
        <v>46064</v>
      </c>
      <c r="E204" s="17" t="n">
        <f aca="false">Vendor_Invoices_AP!F201</f>
        <v>46094</v>
      </c>
      <c r="F204" s="18" t="n">
        <f aca="false">Vendor_Invoices_AP!E201</f>
        <v>8157.32</v>
      </c>
      <c r="G204" s="18" t="n">
        <f aca="false">SUMIFS(Payment_Log_AP!$E$2:$E$753,Payment_Log_AP!$B$2:$B$753,A204)</f>
        <v>8157.32</v>
      </c>
      <c r="H204" s="18" t="n">
        <f aca="false">F204-G204</f>
        <v>0</v>
      </c>
      <c r="I204" s="16" t="n">
        <f aca="false">IF(H204&lt;=0.01,0,MAX(Assumptions!$B$5-E204,0))</f>
        <v>0</v>
      </c>
      <c r="J204" s="16" t="str">
        <f aca="false">IF(H204&lt;=0.01,"Paid",IF(I204&lt;=30,"0-30",IF(I204&lt;=60,"31-60",IF(I204&lt;=90,"61-90","90+"))))</f>
        <v>Paid</v>
      </c>
      <c r="K204" s="16" t="str">
        <f aca="false">IF(H204&lt;=0.01,"Paid",IF(G204&gt;0,"Partially Paid","Unpaid"))</f>
        <v>Paid</v>
      </c>
    </row>
    <row r="205" customFormat="false" ht="15" hidden="false" customHeight="false" outlineLevel="0" collapsed="false">
      <c r="A205" s="16" t="str">
        <f aca="false">Vendor_Invoices_AP!A202</f>
        <v>INV30201</v>
      </c>
      <c r="B205" s="16" t="str">
        <f aca="false">Vendor_Invoices_AP!C202</f>
        <v>V1018</v>
      </c>
      <c r="C205" s="16" t="str">
        <f aca="false">IFERROR(INDEX(Vendor_Master!$B$2:$B$41,MATCH(B205,Vendor_Master!$A$2:$A$41,0)),"Unknown Vendor")</f>
        <v>Underwood LLC</v>
      </c>
      <c r="D205" s="17" t="n">
        <f aca="false">Vendor_Invoices_AP!D202</f>
        <v>46083</v>
      </c>
      <c r="E205" s="17" t="n">
        <f aca="false">Vendor_Invoices_AP!F202</f>
        <v>46113</v>
      </c>
      <c r="F205" s="18" t="n">
        <f aca="false">Vendor_Invoices_AP!E202</f>
        <v>547.49</v>
      </c>
      <c r="G205" s="18" t="n">
        <f aca="false">SUMIFS(Payment_Log_AP!$E$2:$E$753,Payment_Log_AP!$B$2:$B$753,A205)</f>
        <v>547.49</v>
      </c>
      <c r="H205" s="18" t="n">
        <f aca="false">F205-G205</f>
        <v>0</v>
      </c>
      <c r="I205" s="16" t="n">
        <f aca="false">IF(H205&lt;=0.01,0,MAX(Assumptions!$B$5-E205,0))</f>
        <v>0</v>
      </c>
      <c r="J205" s="16" t="str">
        <f aca="false">IF(H205&lt;=0.01,"Paid",IF(I205&lt;=30,"0-30",IF(I205&lt;=60,"31-60",IF(I205&lt;=90,"61-90","90+"))))</f>
        <v>Paid</v>
      </c>
      <c r="K205" s="16" t="str">
        <f aca="false">IF(H205&lt;=0.01,"Paid",IF(G205&gt;0,"Partially Paid","Unpaid"))</f>
        <v>Paid</v>
      </c>
    </row>
    <row r="206" customFormat="false" ht="15" hidden="false" customHeight="false" outlineLevel="0" collapsed="false">
      <c r="A206" s="16" t="str">
        <f aca="false">Vendor_Invoices_AP!A203</f>
        <v>INV30202</v>
      </c>
      <c r="B206" s="16" t="str">
        <f aca="false">Vendor_Invoices_AP!C203</f>
        <v>V1036</v>
      </c>
      <c r="C206" s="16" t="str">
        <f aca="false">IFERROR(INDEX(Vendor_Master!$B$2:$B$41,MATCH(B206,Vendor_Master!$A$2:$A$41,0)),"Unknown Vendor")</f>
        <v>Dennis Inc</v>
      </c>
      <c r="D206" s="17" t="n">
        <f aca="false">Vendor_Invoices_AP!D203</f>
        <v>45760</v>
      </c>
      <c r="E206" s="17" t="n">
        <f aca="false">Vendor_Invoices_AP!F203</f>
        <v>45805</v>
      </c>
      <c r="F206" s="18" t="n">
        <f aca="false">Vendor_Invoices_AP!E203</f>
        <v>10027.78</v>
      </c>
      <c r="G206" s="18" t="n">
        <f aca="false">SUMIFS(Payment_Log_AP!$E$2:$E$753,Payment_Log_AP!$B$2:$B$753,A206)</f>
        <v>10027.78</v>
      </c>
      <c r="H206" s="18" t="n">
        <f aca="false">F206-G206</f>
        <v>0</v>
      </c>
      <c r="I206" s="16" t="n">
        <f aca="false">IF(H206&lt;=0.01,0,MAX(Assumptions!$B$5-E206,0))</f>
        <v>0</v>
      </c>
      <c r="J206" s="16" t="str">
        <f aca="false">IF(H206&lt;=0.01,"Paid",IF(I206&lt;=30,"0-30",IF(I206&lt;=60,"31-60",IF(I206&lt;=90,"61-90","90+"))))</f>
        <v>Paid</v>
      </c>
      <c r="K206" s="16" t="str">
        <f aca="false">IF(H206&lt;=0.01,"Paid",IF(G206&gt;0,"Partially Paid","Unpaid"))</f>
        <v>Paid</v>
      </c>
    </row>
    <row r="207" customFormat="false" ht="15" hidden="false" customHeight="false" outlineLevel="0" collapsed="false">
      <c r="A207" s="16" t="str">
        <f aca="false">Vendor_Invoices_AP!A204</f>
        <v>INV30203</v>
      </c>
      <c r="B207" s="16" t="str">
        <f aca="false">Vendor_Invoices_AP!C204</f>
        <v>V1031</v>
      </c>
      <c r="C207" s="16" t="str">
        <f aca="false">IFERROR(INDEX(Vendor_Master!$B$2:$B$41,MATCH(B207,Vendor_Master!$A$2:$A$41,0)),"Unknown Vendor")</f>
        <v>Harrell LLC</v>
      </c>
      <c r="D207" s="17" t="n">
        <f aca="false">Vendor_Invoices_AP!D204</f>
        <v>46013</v>
      </c>
      <c r="E207" s="17" t="n">
        <f aca="false">Vendor_Invoices_AP!F204</f>
        <v>46028</v>
      </c>
      <c r="F207" s="18" t="n">
        <f aca="false">Vendor_Invoices_AP!E204</f>
        <v>3961.93</v>
      </c>
      <c r="G207" s="18" t="n">
        <f aca="false">SUMIFS(Payment_Log_AP!$E$2:$E$753,Payment_Log_AP!$B$2:$B$753,A207)</f>
        <v>3961.93</v>
      </c>
      <c r="H207" s="18" t="n">
        <f aca="false">F207-G207</f>
        <v>0</v>
      </c>
      <c r="I207" s="16" t="n">
        <f aca="false">IF(H207&lt;=0.01,0,MAX(Assumptions!$B$5-E207,0))</f>
        <v>0</v>
      </c>
      <c r="J207" s="16" t="str">
        <f aca="false">IF(H207&lt;=0.01,"Paid",IF(I207&lt;=30,"0-30",IF(I207&lt;=60,"31-60",IF(I207&lt;=90,"61-90","90+"))))</f>
        <v>Paid</v>
      </c>
      <c r="K207" s="16" t="str">
        <f aca="false">IF(H207&lt;=0.01,"Paid",IF(G207&gt;0,"Partially Paid","Unpaid"))</f>
        <v>Paid</v>
      </c>
    </row>
    <row r="208" customFormat="false" ht="15" hidden="false" customHeight="false" outlineLevel="0" collapsed="false">
      <c r="A208" s="16" t="str">
        <f aca="false">Vendor_Invoices_AP!A205</f>
        <v>INV30204</v>
      </c>
      <c r="B208" s="16" t="str">
        <f aca="false">Vendor_Invoices_AP!C205</f>
        <v>V1036</v>
      </c>
      <c r="C208" s="16" t="str">
        <f aca="false">IFERROR(INDEX(Vendor_Master!$B$2:$B$41,MATCH(B208,Vendor_Master!$A$2:$A$41,0)),"Unknown Vendor")</f>
        <v>Dennis Inc</v>
      </c>
      <c r="D208" s="17" t="n">
        <f aca="false">Vendor_Invoices_AP!D205</f>
        <v>46075</v>
      </c>
      <c r="E208" s="17" t="n">
        <f aca="false">Vendor_Invoices_AP!F205</f>
        <v>46120</v>
      </c>
      <c r="F208" s="18" t="n">
        <f aca="false">Vendor_Invoices_AP!E205</f>
        <v>2554.75</v>
      </c>
      <c r="G208" s="18" t="n">
        <f aca="false">SUMIFS(Payment_Log_AP!$E$2:$E$753,Payment_Log_AP!$B$2:$B$753,A208)</f>
        <v>2554.75</v>
      </c>
      <c r="H208" s="18" t="n">
        <f aca="false">F208-G208</f>
        <v>0</v>
      </c>
      <c r="I208" s="16" t="n">
        <f aca="false">IF(H208&lt;=0.01,0,MAX(Assumptions!$B$5-E208,0))</f>
        <v>0</v>
      </c>
      <c r="J208" s="16" t="str">
        <f aca="false">IF(H208&lt;=0.01,"Paid",IF(I208&lt;=30,"0-30",IF(I208&lt;=60,"31-60",IF(I208&lt;=90,"61-90","90+"))))</f>
        <v>Paid</v>
      </c>
      <c r="K208" s="16" t="str">
        <f aca="false">IF(H208&lt;=0.01,"Paid",IF(G208&gt;0,"Partially Paid","Unpaid"))</f>
        <v>Paid</v>
      </c>
    </row>
    <row r="209" customFormat="false" ht="15" hidden="false" customHeight="false" outlineLevel="0" collapsed="false">
      <c r="A209" s="16" t="str">
        <f aca="false">Vendor_Invoices_AP!A206</f>
        <v>INV30205</v>
      </c>
      <c r="B209" s="16" t="str">
        <f aca="false">Vendor_Invoices_AP!C206</f>
        <v>V1036</v>
      </c>
      <c r="C209" s="16" t="str">
        <f aca="false">IFERROR(INDEX(Vendor_Master!$B$2:$B$41,MATCH(B209,Vendor_Master!$A$2:$A$41,0)),"Unknown Vendor")</f>
        <v>Dennis Inc</v>
      </c>
      <c r="D209" s="17" t="n">
        <f aca="false">Vendor_Invoices_AP!D206</f>
        <v>45733</v>
      </c>
      <c r="E209" s="17" t="n">
        <f aca="false">Vendor_Invoices_AP!F206</f>
        <v>45778</v>
      </c>
      <c r="F209" s="18" t="n">
        <f aca="false">Vendor_Invoices_AP!E206</f>
        <v>1471.18</v>
      </c>
      <c r="G209" s="18" t="n">
        <f aca="false">SUMIFS(Payment_Log_AP!$E$2:$E$753,Payment_Log_AP!$B$2:$B$753,A209)</f>
        <v>1471.18</v>
      </c>
      <c r="H209" s="18" t="n">
        <f aca="false">F209-G209</f>
        <v>0</v>
      </c>
      <c r="I209" s="16" t="n">
        <f aca="false">IF(H209&lt;=0.01,0,MAX(Assumptions!$B$5-E209,0))</f>
        <v>0</v>
      </c>
      <c r="J209" s="16" t="str">
        <f aca="false">IF(H209&lt;=0.01,"Paid",IF(I209&lt;=30,"0-30",IF(I209&lt;=60,"31-60",IF(I209&lt;=90,"61-90","90+"))))</f>
        <v>Paid</v>
      </c>
      <c r="K209" s="16" t="str">
        <f aca="false">IF(H209&lt;=0.01,"Paid",IF(G209&gt;0,"Partially Paid","Unpaid"))</f>
        <v>Paid</v>
      </c>
    </row>
    <row r="210" customFormat="false" ht="15" hidden="false" customHeight="false" outlineLevel="0" collapsed="false">
      <c r="A210" s="16" t="str">
        <f aca="false">Vendor_Invoices_AP!A207</f>
        <v>INV30206</v>
      </c>
      <c r="B210" s="16" t="str">
        <f aca="false">Vendor_Invoices_AP!C207</f>
        <v>V1006</v>
      </c>
      <c r="C210" s="16" t="str">
        <f aca="false">IFERROR(INDEX(Vendor_Master!$B$2:$B$41,MATCH(B210,Vendor_Master!$A$2:$A$41,0)),"Unknown Vendor")</f>
        <v>Blake and Sons</v>
      </c>
      <c r="D210" s="17" t="n">
        <f aca="false">Vendor_Invoices_AP!D207</f>
        <v>46112</v>
      </c>
      <c r="E210" s="17" t="n">
        <f aca="false">Vendor_Invoices_AP!F207</f>
        <v>46172</v>
      </c>
      <c r="F210" s="18" t="n">
        <f aca="false">Vendor_Invoices_AP!E207</f>
        <v>682.63</v>
      </c>
      <c r="G210" s="18" t="n">
        <f aca="false">SUMIFS(Payment_Log_AP!$E$2:$E$753,Payment_Log_AP!$B$2:$B$753,A210)</f>
        <v>682.63</v>
      </c>
      <c r="H210" s="18" t="n">
        <f aca="false">F210-G210</f>
        <v>0</v>
      </c>
      <c r="I210" s="16" t="n">
        <f aca="false">IF(H210&lt;=0.01,0,MAX(Assumptions!$B$5-E210,0))</f>
        <v>0</v>
      </c>
      <c r="J210" s="16" t="str">
        <f aca="false">IF(H210&lt;=0.01,"Paid",IF(I210&lt;=30,"0-30",IF(I210&lt;=60,"31-60",IF(I210&lt;=90,"61-90","90+"))))</f>
        <v>Paid</v>
      </c>
      <c r="K210" s="16" t="str">
        <f aca="false">IF(H210&lt;=0.01,"Paid",IF(G210&gt;0,"Partially Paid","Unpaid"))</f>
        <v>Paid</v>
      </c>
    </row>
    <row r="211" customFormat="false" ht="15" hidden="false" customHeight="false" outlineLevel="0" collapsed="false">
      <c r="A211" s="16" t="str">
        <f aca="false">Vendor_Invoices_AP!A208</f>
        <v>INV30207</v>
      </c>
      <c r="B211" s="16" t="str">
        <f aca="false">Vendor_Invoices_AP!C208</f>
        <v>V1001</v>
      </c>
      <c r="C211" s="16" t="str">
        <f aca="false">IFERROR(INDEX(Vendor_Master!$B$2:$B$41,MATCH(B211,Vendor_Master!$A$2:$A$41,0)),"Unknown Vendor")</f>
        <v>Figueroa and Sons</v>
      </c>
      <c r="D211" s="17" t="n">
        <f aca="false">Vendor_Invoices_AP!D208</f>
        <v>46198</v>
      </c>
      <c r="E211" s="17" t="n">
        <f aca="false">Vendor_Invoices_AP!F208</f>
        <v>46243</v>
      </c>
      <c r="F211" s="18" t="n">
        <f aca="false">Vendor_Invoices_AP!E208</f>
        <v>2160.46</v>
      </c>
      <c r="G211" s="18" t="n">
        <f aca="false">SUMIFS(Payment_Log_AP!$E$2:$E$753,Payment_Log_AP!$B$2:$B$753,A211)</f>
        <v>0</v>
      </c>
      <c r="H211" s="18" t="n">
        <f aca="false">F211-G211</f>
        <v>2160.46</v>
      </c>
      <c r="I211" s="16" t="n">
        <f aca="false">IF(H211&lt;=0.01,0,MAX(Assumptions!$B$5-E211,0))</f>
        <v>0</v>
      </c>
      <c r="J211" s="16" t="str">
        <f aca="false">IF(H211&lt;=0.01,"Paid",IF(I211&lt;=30,"0-30",IF(I211&lt;=60,"31-60",IF(I211&lt;=90,"61-90","90+"))))</f>
        <v>0-30</v>
      </c>
      <c r="K211" s="16" t="str">
        <f aca="false">IF(H211&lt;=0.01,"Paid",IF(G211&gt;0,"Partially Paid","Unpaid"))</f>
        <v>Unpaid</v>
      </c>
    </row>
    <row r="212" customFormat="false" ht="15" hidden="false" customHeight="false" outlineLevel="0" collapsed="false">
      <c r="A212" s="16" t="str">
        <f aca="false">Vendor_Invoices_AP!A209</f>
        <v>INV30208</v>
      </c>
      <c r="B212" s="16" t="str">
        <f aca="false">Vendor_Invoices_AP!C209</f>
        <v>V1020</v>
      </c>
      <c r="C212" s="16" t="str">
        <f aca="false">IFERROR(INDEX(Vendor_Master!$B$2:$B$41,MATCH(B212,Vendor_Master!$A$2:$A$41,0)),"Unknown Vendor")</f>
        <v>Lewis-Porter</v>
      </c>
      <c r="D212" s="17" t="n">
        <f aca="false">Vendor_Invoices_AP!D209</f>
        <v>45726</v>
      </c>
      <c r="E212" s="17" t="n">
        <f aca="false">Vendor_Invoices_AP!F209</f>
        <v>45756</v>
      </c>
      <c r="F212" s="18" t="n">
        <f aca="false">Vendor_Invoices_AP!E209</f>
        <v>7251.89</v>
      </c>
      <c r="G212" s="18" t="n">
        <f aca="false">SUMIFS(Payment_Log_AP!$E$2:$E$753,Payment_Log_AP!$B$2:$B$753,A212)</f>
        <v>7251.89</v>
      </c>
      <c r="H212" s="18" t="n">
        <f aca="false">F212-G212</f>
        <v>0</v>
      </c>
      <c r="I212" s="16" t="n">
        <f aca="false">IF(H212&lt;=0.01,0,MAX(Assumptions!$B$5-E212,0))</f>
        <v>0</v>
      </c>
      <c r="J212" s="16" t="str">
        <f aca="false">IF(H212&lt;=0.01,"Paid",IF(I212&lt;=30,"0-30",IF(I212&lt;=60,"31-60",IF(I212&lt;=90,"61-90","90+"))))</f>
        <v>Paid</v>
      </c>
      <c r="K212" s="16" t="str">
        <f aca="false">IF(H212&lt;=0.01,"Paid",IF(G212&gt;0,"Partially Paid","Unpaid"))</f>
        <v>Paid</v>
      </c>
    </row>
    <row r="213" customFormat="false" ht="15" hidden="false" customHeight="false" outlineLevel="0" collapsed="false">
      <c r="A213" s="16" t="str">
        <f aca="false">Vendor_Invoices_AP!A210</f>
        <v>INV30209</v>
      </c>
      <c r="B213" s="16" t="str">
        <f aca="false">Vendor_Invoices_AP!C210</f>
        <v>V1009</v>
      </c>
      <c r="C213" s="16" t="str">
        <f aca="false">IFERROR(INDEX(Vendor_Master!$B$2:$B$41,MATCH(B213,Vendor_Master!$A$2:$A$41,0)),"Unknown Vendor")</f>
        <v>Munoz-Roman</v>
      </c>
      <c r="D213" s="17" t="n">
        <f aca="false">Vendor_Invoices_AP!D210</f>
        <v>45680</v>
      </c>
      <c r="E213" s="17" t="n">
        <f aca="false">Vendor_Invoices_AP!F210</f>
        <v>45710</v>
      </c>
      <c r="F213" s="18" t="n">
        <f aca="false">Vendor_Invoices_AP!E210</f>
        <v>4929.33</v>
      </c>
      <c r="G213" s="18" t="n">
        <f aca="false">SUMIFS(Payment_Log_AP!$E$2:$E$753,Payment_Log_AP!$B$2:$B$753,A213)</f>
        <v>4929.33</v>
      </c>
      <c r="H213" s="18" t="n">
        <f aca="false">F213-G213</f>
        <v>0</v>
      </c>
      <c r="I213" s="16" t="n">
        <f aca="false">IF(H213&lt;=0.01,0,MAX(Assumptions!$B$5-E213,0))</f>
        <v>0</v>
      </c>
      <c r="J213" s="16" t="str">
        <f aca="false">IF(H213&lt;=0.01,"Paid",IF(I213&lt;=30,"0-30",IF(I213&lt;=60,"31-60",IF(I213&lt;=90,"61-90","90+"))))</f>
        <v>Paid</v>
      </c>
      <c r="K213" s="16" t="str">
        <f aca="false">IF(H213&lt;=0.01,"Paid",IF(G213&gt;0,"Partially Paid","Unpaid"))</f>
        <v>Paid</v>
      </c>
    </row>
    <row r="214" customFormat="false" ht="15" hidden="false" customHeight="false" outlineLevel="0" collapsed="false">
      <c r="A214" s="16" t="str">
        <f aca="false">Vendor_Invoices_AP!A211</f>
        <v>INV30210</v>
      </c>
      <c r="B214" s="16" t="str">
        <f aca="false">Vendor_Invoices_AP!C211</f>
        <v>V1004</v>
      </c>
      <c r="C214" s="16" t="str">
        <f aca="false">IFERROR(INDEX(Vendor_Master!$B$2:$B$41,MATCH(B214,Vendor_Master!$A$2:$A$41,0)),"Unknown Vendor")</f>
        <v>Johnson, Gonzalez and Santos</v>
      </c>
      <c r="D214" s="17" t="n">
        <f aca="false">Vendor_Invoices_AP!D211</f>
        <v>45845</v>
      </c>
      <c r="E214" s="17" t="n">
        <f aca="false">Vendor_Invoices_AP!F211</f>
        <v>45860</v>
      </c>
      <c r="F214" s="18" t="n">
        <f aca="false">Vendor_Invoices_AP!E211</f>
        <v>1892.29</v>
      </c>
      <c r="G214" s="18" t="n">
        <f aca="false">SUMIFS(Payment_Log_AP!$E$2:$E$753,Payment_Log_AP!$B$2:$B$753,A214)</f>
        <v>0</v>
      </c>
      <c r="H214" s="18" t="n">
        <f aca="false">F214-G214</f>
        <v>1892.29</v>
      </c>
      <c r="I214" s="16" t="n">
        <f aca="false">IF(H214&lt;=0.01,0,MAX(Assumptions!$B$5-E214,0))</f>
        <v>374</v>
      </c>
      <c r="J214" s="16" t="str">
        <f aca="false">IF(H214&lt;=0.01,"Paid",IF(I214&lt;=30,"0-30",IF(I214&lt;=60,"31-60",IF(I214&lt;=90,"61-90","90+"))))</f>
        <v>90+</v>
      </c>
      <c r="K214" s="16" t="str">
        <f aca="false">IF(H214&lt;=0.01,"Paid",IF(G214&gt;0,"Partially Paid","Unpaid"))</f>
        <v>Unpaid</v>
      </c>
    </row>
    <row r="215" customFormat="false" ht="15" hidden="false" customHeight="false" outlineLevel="0" collapsed="false">
      <c r="A215" s="16" t="str">
        <f aca="false">Vendor_Invoices_AP!A212</f>
        <v>INV30211</v>
      </c>
      <c r="B215" s="16" t="str">
        <f aca="false">Vendor_Invoices_AP!C212</f>
        <v>V1005</v>
      </c>
      <c r="C215" s="16" t="str">
        <f aca="false">IFERROR(INDEX(Vendor_Master!$B$2:$B$41,MATCH(B215,Vendor_Master!$A$2:$A$41,0)),"Unknown Vendor")</f>
        <v>Cole LLC</v>
      </c>
      <c r="D215" s="17" t="n">
        <f aca="false">Vendor_Invoices_AP!D212</f>
        <v>46031</v>
      </c>
      <c r="E215" s="17" t="n">
        <f aca="false">Vendor_Invoices_AP!F212</f>
        <v>46046</v>
      </c>
      <c r="F215" s="18" t="n">
        <f aca="false">Vendor_Invoices_AP!E212</f>
        <v>1074.95</v>
      </c>
      <c r="G215" s="18" t="n">
        <f aca="false">SUMIFS(Payment_Log_AP!$E$2:$E$753,Payment_Log_AP!$B$2:$B$753,A215)</f>
        <v>1074.95</v>
      </c>
      <c r="H215" s="18" t="n">
        <f aca="false">F215-G215</f>
        <v>0</v>
      </c>
      <c r="I215" s="16" t="n">
        <f aca="false">IF(H215&lt;=0.01,0,MAX(Assumptions!$B$5-E215,0))</f>
        <v>0</v>
      </c>
      <c r="J215" s="16" t="str">
        <f aca="false">IF(H215&lt;=0.01,"Paid",IF(I215&lt;=30,"0-30",IF(I215&lt;=60,"31-60",IF(I215&lt;=90,"61-90","90+"))))</f>
        <v>Paid</v>
      </c>
      <c r="K215" s="16" t="str">
        <f aca="false">IF(H215&lt;=0.01,"Paid",IF(G215&gt;0,"Partially Paid","Unpaid"))</f>
        <v>Paid</v>
      </c>
    </row>
    <row r="216" customFormat="false" ht="15" hidden="false" customHeight="false" outlineLevel="0" collapsed="false">
      <c r="A216" s="16" t="str">
        <f aca="false">Vendor_Invoices_AP!A213</f>
        <v>INV30212</v>
      </c>
      <c r="B216" s="16" t="str">
        <f aca="false">Vendor_Invoices_AP!C213</f>
        <v>V1027</v>
      </c>
      <c r="C216" s="16" t="str">
        <f aca="false">IFERROR(INDEX(Vendor_Master!$B$2:$B$41,MATCH(B216,Vendor_Master!$A$2:$A$41,0)),"Unknown Vendor")</f>
        <v>Valencia, Smith and Le</v>
      </c>
      <c r="D216" s="17" t="n">
        <f aca="false">Vendor_Invoices_AP!D213</f>
        <v>46203</v>
      </c>
      <c r="E216" s="17" t="n">
        <f aca="false">Vendor_Invoices_AP!F213</f>
        <v>46248</v>
      </c>
      <c r="F216" s="18" t="n">
        <f aca="false">Vendor_Invoices_AP!E213</f>
        <v>496.96</v>
      </c>
      <c r="G216" s="18" t="n">
        <f aca="false">SUMIFS(Payment_Log_AP!$E$2:$E$753,Payment_Log_AP!$B$2:$B$753,A216)</f>
        <v>0</v>
      </c>
      <c r="H216" s="18" t="n">
        <f aca="false">F216-G216</f>
        <v>496.96</v>
      </c>
      <c r="I216" s="16" t="n">
        <f aca="false">IF(H216&lt;=0.01,0,MAX(Assumptions!$B$5-E216,0))</f>
        <v>0</v>
      </c>
      <c r="J216" s="16" t="str">
        <f aca="false">IF(H216&lt;=0.01,"Paid",IF(I216&lt;=30,"0-30",IF(I216&lt;=60,"31-60",IF(I216&lt;=90,"61-90","90+"))))</f>
        <v>0-30</v>
      </c>
      <c r="K216" s="16" t="str">
        <f aca="false">IF(H216&lt;=0.01,"Paid",IF(G216&gt;0,"Partially Paid","Unpaid"))</f>
        <v>Unpaid</v>
      </c>
    </row>
    <row r="217" customFormat="false" ht="15" hidden="false" customHeight="false" outlineLevel="0" collapsed="false">
      <c r="A217" s="16" t="str">
        <f aca="false">Vendor_Invoices_AP!A214</f>
        <v>INV30213</v>
      </c>
      <c r="B217" s="16" t="str">
        <f aca="false">Vendor_Invoices_AP!C214</f>
        <v>V1034</v>
      </c>
      <c r="C217" s="16" t="str">
        <f aca="false">IFERROR(INDEX(Vendor_Master!$B$2:$B$41,MATCH(B217,Vendor_Master!$A$2:$A$41,0)),"Unknown Vendor")</f>
        <v>Koch-Decker</v>
      </c>
      <c r="D217" s="17" t="n">
        <f aca="false">Vendor_Invoices_AP!D214</f>
        <v>45896</v>
      </c>
      <c r="E217" s="17" t="n">
        <f aca="false">Vendor_Invoices_AP!F214</f>
        <v>45941</v>
      </c>
      <c r="F217" s="18" t="n">
        <f aca="false">Vendor_Invoices_AP!E214</f>
        <v>759.35</v>
      </c>
      <c r="G217" s="18" t="n">
        <f aca="false">SUMIFS(Payment_Log_AP!$E$2:$E$753,Payment_Log_AP!$B$2:$B$753,A217)</f>
        <v>759.35</v>
      </c>
      <c r="H217" s="18" t="n">
        <f aca="false">F217-G217</f>
        <v>0</v>
      </c>
      <c r="I217" s="16" t="n">
        <f aca="false">IF(H217&lt;=0.01,0,MAX(Assumptions!$B$5-E217,0))</f>
        <v>0</v>
      </c>
      <c r="J217" s="16" t="str">
        <f aca="false">IF(H217&lt;=0.01,"Paid",IF(I217&lt;=30,"0-30",IF(I217&lt;=60,"31-60",IF(I217&lt;=90,"61-90","90+"))))</f>
        <v>Paid</v>
      </c>
      <c r="K217" s="16" t="str">
        <f aca="false">IF(H217&lt;=0.01,"Paid",IF(G217&gt;0,"Partially Paid","Unpaid"))</f>
        <v>Paid</v>
      </c>
    </row>
    <row r="218" customFormat="false" ht="15" hidden="false" customHeight="false" outlineLevel="0" collapsed="false">
      <c r="A218" s="16" t="str">
        <f aca="false">Vendor_Invoices_AP!A215</f>
        <v>INV30214</v>
      </c>
      <c r="B218" s="16" t="str">
        <f aca="false">Vendor_Invoices_AP!C215</f>
        <v>V1030</v>
      </c>
      <c r="C218" s="16" t="str">
        <f aca="false">IFERROR(INDEX(Vendor_Master!$B$2:$B$41,MATCH(B218,Vendor_Master!$A$2:$A$41,0)),"Unknown Vendor")</f>
        <v>Stanton-Gill</v>
      </c>
      <c r="D218" s="17" t="n">
        <f aca="false">Vendor_Invoices_AP!D215</f>
        <v>46053</v>
      </c>
      <c r="E218" s="17" t="n">
        <f aca="false">Vendor_Invoices_AP!F215</f>
        <v>46113</v>
      </c>
      <c r="F218" s="18" t="n">
        <f aca="false">Vendor_Invoices_AP!E215</f>
        <v>2745.78</v>
      </c>
      <c r="G218" s="18" t="n">
        <f aca="false">SUMIFS(Payment_Log_AP!$E$2:$E$753,Payment_Log_AP!$B$2:$B$753,A218)</f>
        <v>2745.78</v>
      </c>
      <c r="H218" s="18" t="n">
        <f aca="false">F218-G218</f>
        <v>0</v>
      </c>
      <c r="I218" s="16" t="n">
        <f aca="false">IF(H218&lt;=0.01,0,MAX(Assumptions!$B$5-E218,0))</f>
        <v>0</v>
      </c>
      <c r="J218" s="16" t="str">
        <f aca="false">IF(H218&lt;=0.01,"Paid",IF(I218&lt;=30,"0-30",IF(I218&lt;=60,"31-60",IF(I218&lt;=90,"61-90","90+"))))</f>
        <v>Paid</v>
      </c>
      <c r="K218" s="16" t="str">
        <f aca="false">IF(H218&lt;=0.01,"Paid",IF(G218&gt;0,"Partially Paid","Unpaid"))</f>
        <v>Paid</v>
      </c>
    </row>
    <row r="219" customFormat="false" ht="15" hidden="false" customHeight="false" outlineLevel="0" collapsed="false">
      <c r="A219" s="16" t="str">
        <f aca="false">Vendor_Invoices_AP!A216</f>
        <v>INV30215</v>
      </c>
      <c r="B219" s="16" t="str">
        <f aca="false">Vendor_Invoices_AP!C216</f>
        <v>V1011</v>
      </c>
      <c r="C219" s="16" t="str">
        <f aca="false">IFERROR(INDEX(Vendor_Master!$B$2:$B$41,MATCH(B219,Vendor_Master!$A$2:$A$41,0)),"Unknown Vendor")</f>
        <v>Montgomery, Hensley and Ray</v>
      </c>
      <c r="D219" s="17" t="n">
        <f aca="false">Vendor_Invoices_AP!D216</f>
        <v>45705</v>
      </c>
      <c r="E219" s="17" t="n">
        <f aca="false">Vendor_Invoices_AP!F216</f>
        <v>45750</v>
      </c>
      <c r="F219" s="18" t="n">
        <f aca="false">Vendor_Invoices_AP!E216</f>
        <v>1562.55</v>
      </c>
      <c r="G219" s="18" t="n">
        <f aca="false">SUMIFS(Payment_Log_AP!$E$2:$E$753,Payment_Log_AP!$B$2:$B$753,A219)</f>
        <v>1562.55</v>
      </c>
      <c r="H219" s="18" t="n">
        <f aca="false">F219-G219</f>
        <v>0</v>
      </c>
      <c r="I219" s="16" t="n">
        <f aca="false">IF(H219&lt;=0.01,0,MAX(Assumptions!$B$5-E219,0))</f>
        <v>0</v>
      </c>
      <c r="J219" s="16" t="str">
        <f aca="false">IF(H219&lt;=0.01,"Paid",IF(I219&lt;=30,"0-30",IF(I219&lt;=60,"31-60",IF(I219&lt;=90,"61-90","90+"))))</f>
        <v>Paid</v>
      </c>
      <c r="K219" s="16" t="str">
        <f aca="false">IF(H219&lt;=0.01,"Paid",IF(G219&gt;0,"Partially Paid","Unpaid"))</f>
        <v>Paid</v>
      </c>
    </row>
    <row r="220" customFormat="false" ht="15" hidden="false" customHeight="false" outlineLevel="0" collapsed="false">
      <c r="A220" s="16" t="str">
        <f aca="false">Vendor_Invoices_AP!A217</f>
        <v>INV30216</v>
      </c>
      <c r="B220" s="16" t="str">
        <f aca="false">Vendor_Invoices_AP!C217</f>
        <v>V1020</v>
      </c>
      <c r="C220" s="16" t="str">
        <f aca="false">IFERROR(INDEX(Vendor_Master!$B$2:$B$41,MATCH(B220,Vendor_Master!$A$2:$A$41,0)),"Unknown Vendor")</f>
        <v>Lewis-Porter</v>
      </c>
      <c r="D220" s="17" t="n">
        <f aca="false">Vendor_Invoices_AP!D217</f>
        <v>46053</v>
      </c>
      <c r="E220" s="17" t="n">
        <f aca="false">Vendor_Invoices_AP!F217</f>
        <v>46083</v>
      </c>
      <c r="F220" s="18" t="n">
        <f aca="false">Vendor_Invoices_AP!E217</f>
        <v>1854.08</v>
      </c>
      <c r="G220" s="18" t="n">
        <f aca="false">SUMIFS(Payment_Log_AP!$E$2:$E$753,Payment_Log_AP!$B$2:$B$753,A220)</f>
        <v>1854.08</v>
      </c>
      <c r="H220" s="18" t="n">
        <f aca="false">F220-G220</f>
        <v>0</v>
      </c>
      <c r="I220" s="16" t="n">
        <f aca="false">IF(H220&lt;=0.01,0,MAX(Assumptions!$B$5-E220,0))</f>
        <v>0</v>
      </c>
      <c r="J220" s="16" t="str">
        <f aca="false">IF(H220&lt;=0.01,"Paid",IF(I220&lt;=30,"0-30",IF(I220&lt;=60,"31-60",IF(I220&lt;=90,"61-90","90+"))))</f>
        <v>Paid</v>
      </c>
      <c r="K220" s="16" t="str">
        <f aca="false">IF(H220&lt;=0.01,"Paid",IF(G220&gt;0,"Partially Paid","Unpaid"))</f>
        <v>Paid</v>
      </c>
    </row>
    <row r="221" customFormat="false" ht="15" hidden="false" customHeight="false" outlineLevel="0" collapsed="false">
      <c r="A221" s="16" t="str">
        <f aca="false">Vendor_Invoices_AP!A218</f>
        <v>INV30217</v>
      </c>
      <c r="B221" s="16" t="str">
        <f aca="false">Vendor_Invoices_AP!C218</f>
        <v>V1015</v>
      </c>
      <c r="C221" s="16" t="str">
        <f aca="false">IFERROR(INDEX(Vendor_Master!$B$2:$B$41,MATCH(B221,Vendor_Master!$A$2:$A$41,0)),"Unknown Vendor")</f>
        <v>Zuniga, Wong and Lynch</v>
      </c>
      <c r="D221" s="17" t="n">
        <f aca="false">Vendor_Invoices_AP!D218</f>
        <v>46015</v>
      </c>
      <c r="E221" s="17" t="n">
        <f aca="false">Vendor_Invoices_AP!F218</f>
        <v>46045</v>
      </c>
      <c r="F221" s="18" t="n">
        <f aca="false">Vendor_Invoices_AP!E218</f>
        <v>4069.45</v>
      </c>
      <c r="G221" s="18" t="n">
        <f aca="false">SUMIFS(Payment_Log_AP!$E$2:$E$753,Payment_Log_AP!$B$2:$B$753,A221)</f>
        <v>4069.45</v>
      </c>
      <c r="H221" s="18" t="n">
        <f aca="false">F221-G221</f>
        <v>0</v>
      </c>
      <c r="I221" s="16" t="n">
        <f aca="false">IF(H221&lt;=0.01,0,MAX(Assumptions!$B$5-E221,0))</f>
        <v>0</v>
      </c>
      <c r="J221" s="16" t="str">
        <f aca="false">IF(H221&lt;=0.01,"Paid",IF(I221&lt;=30,"0-30",IF(I221&lt;=60,"31-60",IF(I221&lt;=90,"61-90","90+"))))</f>
        <v>Paid</v>
      </c>
      <c r="K221" s="16" t="str">
        <f aca="false">IF(H221&lt;=0.01,"Paid",IF(G221&gt;0,"Partially Paid","Unpaid"))</f>
        <v>Paid</v>
      </c>
    </row>
    <row r="222" customFormat="false" ht="15" hidden="false" customHeight="false" outlineLevel="0" collapsed="false">
      <c r="A222" s="16" t="str">
        <f aca="false">Vendor_Invoices_AP!A219</f>
        <v>INV30218</v>
      </c>
      <c r="B222" s="16" t="str">
        <f aca="false">Vendor_Invoices_AP!C219</f>
        <v>V1004</v>
      </c>
      <c r="C222" s="16" t="str">
        <f aca="false">IFERROR(INDEX(Vendor_Master!$B$2:$B$41,MATCH(B222,Vendor_Master!$A$2:$A$41,0)),"Unknown Vendor")</f>
        <v>Johnson, Gonzalez and Santos</v>
      </c>
      <c r="D222" s="17" t="n">
        <f aca="false">Vendor_Invoices_AP!D219</f>
        <v>45727</v>
      </c>
      <c r="E222" s="17" t="n">
        <f aca="false">Vendor_Invoices_AP!F219</f>
        <v>45742</v>
      </c>
      <c r="F222" s="18" t="n">
        <f aca="false">Vendor_Invoices_AP!E219</f>
        <v>2117.88</v>
      </c>
      <c r="G222" s="18" t="n">
        <f aca="false">SUMIFS(Payment_Log_AP!$E$2:$E$753,Payment_Log_AP!$B$2:$B$753,A222)</f>
        <v>2117.88</v>
      </c>
      <c r="H222" s="18" t="n">
        <f aca="false">F222-G222</f>
        <v>0</v>
      </c>
      <c r="I222" s="16" t="n">
        <f aca="false">IF(H222&lt;=0.01,0,MAX(Assumptions!$B$5-E222,0))</f>
        <v>0</v>
      </c>
      <c r="J222" s="16" t="str">
        <f aca="false">IF(H222&lt;=0.01,"Paid",IF(I222&lt;=30,"0-30",IF(I222&lt;=60,"31-60",IF(I222&lt;=90,"61-90","90+"))))</f>
        <v>Paid</v>
      </c>
      <c r="K222" s="16" t="str">
        <f aca="false">IF(H222&lt;=0.01,"Paid",IF(G222&gt;0,"Partially Paid","Unpaid"))</f>
        <v>Paid</v>
      </c>
    </row>
    <row r="223" customFormat="false" ht="15" hidden="false" customHeight="false" outlineLevel="0" collapsed="false">
      <c r="A223" s="16" t="str">
        <f aca="false">Vendor_Invoices_AP!A220</f>
        <v>INV30219</v>
      </c>
      <c r="B223" s="16" t="str">
        <f aca="false">Vendor_Invoices_AP!C220</f>
        <v>V1004</v>
      </c>
      <c r="C223" s="16" t="str">
        <f aca="false">IFERROR(INDEX(Vendor_Master!$B$2:$B$41,MATCH(B223,Vendor_Master!$A$2:$A$41,0)),"Unknown Vendor")</f>
        <v>Johnson, Gonzalez and Santos</v>
      </c>
      <c r="D223" s="17" t="n">
        <f aca="false">Vendor_Invoices_AP!D220</f>
        <v>45719</v>
      </c>
      <c r="E223" s="17" t="n">
        <f aca="false">Vendor_Invoices_AP!F220</f>
        <v>45734</v>
      </c>
      <c r="F223" s="18" t="n">
        <f aca="false">Vendor_Invoices_AP!E220</f>
        <v>2117.88</v>
      </c>
      <c r="G223" s="18" t="n">
        <f aca="false">SUMIFS(Payment_Log_AP!$E$2:$E$753,Payment_Log_AP!$B$2:$B$753,A223)</f>
        <v>2117.88</v>
      </c>
      <c r="H223" s="18" t="n">
        <f aca="false">F223-G223</f>
        <v>0</v>
      </c>
      <c r="I223" s="16" t="n">
        <f aca="false">IF(H223&lt;=0.01,0,MAX(Assumptions!$B$5-E223,0))</f>
        <v>0</v>
      </c>
      <c r="J223" s="16" t="str">
        <f aca="false">IF(H223&lt;=0.01,"Paid",IF(I223&lt;=30,"0-30",IF(I223&lt;=60,"31-60",IF(I223&lt;=90,"61-90","90+"))))</f>
        <v>Paid</v>
      </c>
      <c r="K223" s="16" t="str">
        <f aca="false">IF(H223&lt;=0.01,"Paid",IF(G223&gt;0,"Partially Paid","Unpaid"))</f>
        <v>Paid</v>
      </c>
    </row>
    <row r="224" customFormat="false" ht="15" hidden="false" customHeight="false" outlineLevel="0" collapsed="false">
      <c r="A224" s="16" t="str">
        <f aca="false">Vendor_Invoices_AP!A221</f>
        <v>INV30220</v>
      </c>
      <c r="B224" s="16" t="str">
        <f aca="false">Vendor_Invoices_AP!C221</f>
        <v>V1001</v>
      </c>
      <c r="C224" s="16" t="str">
        <f aca="false">IFERROR(INDEX(Vendor_Master!$B$2:$B$41,MATCH(B224,Vendor_Master!$A$2:$A$41,0)),"Unknown Vendor")</f>
        <v>Figueroa and Sons</v>
      </c>
      <c r="D224" s="17" t="n">
        <f aca="false">Vendor_Invoices_AP!D221</f>
        <v>46103</v>
      </c>
      <c r="E224" s="17" t="n">
        <f aca="false">Vendor_Invoices_AP!F221</f>
        <v>46148</v>
      </c>
      <c r="F224" s="18" t="n">
        <f aca="false">Vendor_Invoices_AP!E221</f>
        <v>266.54</v>
      </c>
      <c r="G224" s="18" t="n">
        <f aca="false">SUMIFS(Payment_Log_AP!$E$2:$E$753,Payment_Log_AP!$B$2:$B$753,A224)</f>
        <v>266.54</v>
      </c>
      <c r="H224" s="18" t="n">
        <f aca="false">F224-G224</f>
        <v>0</v>
      </c>
      <c r="I224" s="16" t="n">
        <f aca="false">IF(H224&lt;=0.01,0,MAX(Assumptions!$B$5-E224,0))</f>
        <v>0</v>
      </c>
      <c r="J224" s="16" t="str">
        <f aca="false">IF(H224&lt;=0.01,"Paid",IF(I224&lt;=30,"0-30",IF(I224&lt;=60,"31-60",IF(I224&lt;=90,"61-90","90+"))))</f>
        <v>Paid</v>
      </c>
      <c r="K224" s="16" t="str">
        <f aca="false">IF(H224&lt;=0.01,"Paid",IF(G224&gt;0,"Partially Paid","Unpaid"))</f>
        <v>Paid</v>
      </c>
    </row>
    <row r="225" customFormat="false" ht="15" hidden="false" customHeight="false" outlineLevel="0" collapsed="false">
      <c r="A225" s="16" t="str">
        <f aca="false">Vendor_Invoices_AP!A222</f>
        <v>INV30221</v>
      </c>
      <c r="B225" s="16" t="str">
        <f aca="false">Vendor_Invoices_AP!C222</f>
        <v>V1001</v>
      </c>
      <c r="C225" s="16" t="str">
        <f aca="false">IFERROR(INDEX(Vendor_Master!$B$2:$B$41,MATCH(B225,Vendor_Master!$A$2:$A$41,0)),"Unknown Vendor")</f>
        <v>Figueroa and Sons</v>
      </c>
      <c r="D225" s="17" t="n">
        <f aca="false">Vendor_Invoices_AP!D222</f>
        <v>46090</v>
      </c>
      <c r="E225" s="17" t="n">
        <f aca="false">Vendor_Invoices_AP!F222</f>
        <v>46135</v>
      </c>
      <c r="F225" s="18" t="n">
        <f aca="false">Vendor_Invoices_AP!E222</f>
        <v>266.54</v>
      </c>
      <c r="G225" s="18" t="n">
        <f aca="false">SUMIFS(Payment_Log_AP!$E$2:$E$753,Payment_Log_AP!$B$2:$B$753,A225)</f>
        <v>266.54</v>
      </c>
      <c r="H225" s="18" t="n">
        <f aca="false">F225-G225</f>
        <v>0</v>
      </c>
      <c r="I225" s="16" t="n">
        <f aca="false">IF(H225&lt;=0.01,0,MAX(Assumptions!$B$5-E225,0))</f>
        <v>0</v>
      </c>
      <c r="J225" s="16" t="str">
        <f aca="false">IF(H225&lt;=0.01,"Paid",IF(I225&lt;=30,"0-30",IF(I225&lt;=60,"31-60",IF(I225&lt;=90,"61-90","90+"))))</f>
        <v>Paid</v>
      </c>
      <c r="K225" s="16" t="str">
        <f aca="false">IF(H225&lt;=0.01,"Paid",IF(G225&gt;0,"Partially Paid","Unpaid"))</f>
        <v>Paid</v>
      </c>
    </row>
    <row r="226" customFormat="false" ht="15" hidden="false" customHeight="false" outlineLevel="0" collapsed="false">
      <c r="A226" s="16" t="str">
        <f aca="false">Vendor_Invoices_AP!A223</f>
        <v>INV30222</v>
      </c>
      <c r="B226" s="16" t="str">
        <f aca="false">Vendor_Invoices_AP!C223</f>
        <v>V1016</v>
      </c>
      <c r="C226" s="16" t="str">
        <f aca="false">IFERROR(INDEX(Vendor_Master!$B$2:$B$41,MATCH(B226,Vendor_Master!$A$2:$A$41,0)),"Unknown Vendor")</f>
        <v>Sanchez, Ford and Nelson</v>
      </c>
      <c r="D226" s="17" t="n">
        <f aca="false">Vendor_Invoices_AP!D223</f>
        <v>46141</v>
      </c>
      <c r="E226" s="17" t="n">
        <f aca="false">Vendor_Invoices_AP!F223</f>
        <v>46171</v>
      </c>
      <c r="F226" s="18" t="n">
        <f aca="false">Vendor_Invoices_AP!E223</f>
        <v>1071.3</v>
      </c>
      <c r="G226" s="18" t="n">
        <f aca="false">SUMIFS(Payment_Log_AP!$E$2:$E$753,Payment_Log_AP!$B$2:$B$753,A226)</f>
        <v>1071.3</v>
      </c>
      <c r="H226" s="18" t="n">
        <f aca="false">F226-G226</f>
        <v>0</v>
      </c>
      <c r="I226" s="16" t="n">
        <f aca="false">IF(H226&lt;=0.01,0,MAX(Assumptions!$B$5-E226,0))</f>
        <v>0</v>
      </c>
      <c r="J226" s="16" t="str">
        <f aca="false">IF(H226&lt;=0.01,"Paid",IF(I226&lt;=30,"0-30",IF(I226&lt;=60,"31-60",IF(I226&lt;=90,"61-90","90+"))))</f>
        <v>Paid</v>
      </c>
      <c r="K226" s="16" t="str">
        <f aca="false">IF(H226&lt;=0.01,"Paid",IF(G226&gt;0,"Partially Paid","Unpaid"))</f>
        <v>Paid</v>
      </c>
    </row>
    <row r="227" customFormat="false" ht="15" hidden="false" customHeight="false" outlineLevel="0" collapsed="false">
      <c r="A227" s="16" t="str">
        <f aca="false">Vendor_Invoices_AP!A224</f>
        <v>INV30223</v>
      </c>
      <c r="B227" s="16" t="str">
        <f aca="false">Vendor_Invoices_AP!C224</f>
        <v>V1016</v>
      </c>
      <c r="C227" s="16" t="str">
        <f aca="false">IFERROR(INDEX(Vendor_Master!$B$2:$B$41,MATCH(B227,Vendor_Master!$A$2:$A$41,0)),"Unknown Vendor")</f>
        <v>Sanchez, Ford and Nelson</v>
      </c>
      <c r="D227" s="17" t="n">
        <f aca="false">Vendor_Invoices_AP!D224</f>
        <v>46010</v>
      </c>
      <c r="E227" s="17" t="n">
        <f aca="false">Vendor_Invoices_AP!F224</f>
        <v>46040</v>
      </c>
      <c r="F227" s="18" t="n">
        <f aca="false">Vendor_Invoices_AP!E224</f>
        <v>728.71</v>
      </c>
      <c r="G227" s="18" t="n">
        <f aca="false">SUMIFS(Payment_Log_AP!$E$2:$E$753,Payment_Log_AP!$B$2:$B$753,A227)</f>
        <v>728.71</v>
      </c>
      <c r="H227" s="18" t="n">
        <f aca="false">F227-G227</f>
        <v>0</v>
      </c>
      <c r="I227" s="16" t="n">
        <f aca="false">IF(H227&lt;=0.01,0,MAX(Assumptions!$B$5-E227,0))</f>
        <v>0</v>
      </c>
      <c r="J227" s="16" t="str">
        <f aca="false">IF(H227&lt;=0.01,"Paid",IF(I227&lt;=30,"0-30",IF(I227&lt;=60,"31-60",IF(I227&lt;=90,"61-90","90+"))))</f>
        <v>Paid</v>
      </c>
      <c r="K227" s="16" t="str">
        <f aca="false">IF(H227&lt;=0.01,"Paid",IF(G227&gt;0,"Partially Paid","Unpaid"))</f>
        <v>Paid</v>
      </c>
    </row>
    <row r="228" customFormat="false" ht="15" hidden="false" customHeight="false" outlineLevel="0" collapsed="false">
      <c r="A228" s="16" t="str">
        <f aca="false">Vendor_Invoices_AP!A225</f>
        <v>INV30224</v>
      </c>
      <c r="B228" s="16" t="str">
        <f aca="false">Vendor_Invoices_AP!C225</f>
        <v>V1023</v>
      </c>
      <c r="C228" s="16" t="str">
        <f aca="false">IFERROR(INDEX(Vendor_Master!$B$2:$B$41,MATCH(B228,Vendor_Master!$A$2:$A$41,0)),"Unknown Vendor")</f>
        <v>Robinson-Bright</v>
      </c>
      <c r="D228" s="17" t="n">
        <f aca="false">Vendor_Invoices_AP!D225</f>
        <v>45744</v>
      </c>
      <c r="E228" s="17" t="n">
        <f aca="false">Vendor_Invoices_AP!F225</f>
        <v>45774</v>
      </c>
      <c r="F228" s="18" t="n">
        <f aca="false">Vendor_Invoices_AP!E225</f>
        <v>3728.38</v>
      </c>
      <c r="G228" s="18" t="n">
        <f aca="false">SUMIFS(Payment_Log_AP!$E$2:$E$753,Payment_Log_AP!$B$2:$B$753,A228)</f>
        <v>3728.38</v>
      </c>
      <c r="H228" s="18" t="n">
        <f aca="false">F228-G228</f>
        <v>0</v>
      </c>
      <c r="I228" s="16" t="n">
        <f aca="false">IF(H228&lt;=0.01,0,MAX(Assumptions!$B$5-E228,0))</f>
        <v>0</v>
      </c>
      <c r="J228" s="16" t="str">
        <f aca="false">IF(H228&lt;=0.01,"Paid",IF(I228&lt;=30,"0-30",IF(I228&lt;=60,"31-60",IF(I228&lt;=90,"61-90","90+"))))</f>
        <v>Paid</v>
      </c>
      <c r="K228" s="16" t="str">
        <f aca="false">IF(H228&lt;=0.01,"Paid",IF(G228&gt;0,"Partially Paid","Unpaid"))</f>
        <v>Paid</v>
      </c>
    </row>
    <row r="229" customFormat="false" ht="15" hidden="false" customHeight="false" outlineLevel="0" collapsed="false">
      <c r="A229" s="16" t="str">
        <f aca="false">Vendor_Invoices_AP!A226</f>
        <v>INV30225</v>
      </c>
      <c r="B229" s="16" t="str">
        <f aca="false">Vendor_Invoices_AP!C226</f>
        <v>V1016</v>
      </c>
      <c r="C229" s="16" t="str">
        <f aca="false">IFERROR(INDEX(Vendor_Master!$B$2:$B$41,MATCH(B229,Vendor_Master!$A$2:$A$41,0)),"Unknown Vendor")</f>
        <v>Sanchez, Ford and Nelson</v>
      </c>
      <c r="D229" s="17" t="n">
        <f aca="false">Vendor_Invoices_AP!D226</f>
        <v>46198</v>
      </c>
      <c r="E229" s="17" t="n">
        <f aca="false">Vendor_Invoices_AP!F226</f>
        <v>46228</v>
      </c>
      <c r="F229" s="18" t="n">
        <f aca="false">Vendor_Invoices_AP!E226</f>
        <v>5712.19</v>
      </c>
      <c r="G229" s="18" t="n">
        <f aca="false">SUMIFS(Payment_Log_AP!$E$2:$E$753,Payment_Log_AP!$B$2:$B$753,A229)</f>
        <v>5712.19</v>
      </c>
      <c r="H229" s="18" t="n">
        <f aca="false">F229-G229</f>
        <v>0</v>
      </c>
      <c r="I229" s="16" t="n">
        <f aca="false">IF(H229&lt;=0.01,0,MAX(Assumptions!$B$5-E229,0))</f>
        <v>0</v>
      </c>
      <c r="J229" s="16" t="str">
        <f aca="false">IF(H229&lt;=0.01,"Paid",IF(I229&lt;=30,"0-30",IF(I229&lt;=60,"31-60",IF(I229&lt;=90,"61-90","90+"))))</f>
        <v>Paid</v>
      </c>
      <c r="K229" s="16" t="str">
        <f aca="false">IF(H229&lt;=0.01,"Paid",IF(G229&gt;0,"Partially Paid","Unpaid"))</f>
        <v>Paid</v>
      </c>
    </row>
    <row r="230" customFormat="false" ht="15" hidden="false" customHeight="false" outlineLevel="0" collapsed="false">
      <c r="A230" s="16" t="str">
        <f aca="false">Vendor_Invoices_AP!A227</f>
        <v>INV30226</v>
      </c>
      <c r="B230" s="16" t="str">
        <f aca="false">Vendor_Invoices_AP!C227</f>
        <v>V1031</v>
      </c>
      <c r="C230" s="16" t="str">
        <f aca="false">IFERROR(INDEX(Vendor_Master!$B$2:$B$41,MATCH(B230,Vendor_Master!$A$2:$A$41,0)),"Unknown Vendor")</f>
        <v>Harrell LLC</v>
      </c>
      <c r="D230" s="17" t="n">
        <f aca="false">Vendor_Invoices_AP!D227</f>
        <v>46094</v>
      </c>
      <c r="E230" s="17" t="n">
        <f aca="false">Vendor_Invoices_AP!F227</f>
        <v>46109</v>
      </c>
      <c r="F230" s="18" t="n">
        <f aca="false">Vendor_Invoices_AP!E227</f>
        <v>3449.51</v>
      </c>
      <c r="G230" s="18" t="n">
        <f aca="false">SUMIFS(Payment_Log_AP!$E$2:$E$753,Payment_Log_AP!$B$2:$B$753,A230)</f>
        <v>0</v>
      </c>
      <c r="H230" s="18" t="n">
        <f aca="false">F230-G230</f>
        <v>3449.51</v>
      </c>
      <c r="I230" s="16" t="n">
        <f aca="false">IF(H230&lt;=0.01,0,MAX(Assumptions!$B$5-E230,0))</f>
        <v>125</v>
      </c>
      <c r="J230" s="16" t="str">
        <f aca="false">IF(H230&lt;=0.01,"Paid",IF(I230&lt;=30,"0-30",IF(I230&lt;=60,"31-60",IF(I230&lt;=90,"61-90","90+"))))</f>
        <v>90+</v>
      </c>
      <c r="K230" s="16" t="str">
        <f aca="false">IF(H230&lt;=0.01,"Paid",IF(G230&gt;0,"Partially Paid","Unpaid"))</f>
        <v>Unpaid</v>
      </c>
    </row>
    <row r="231" customFormat="false" ht="15" hidden="false" customHeight="false" outlineLevel="0" collapsed="false">
      <c r="A231" s="16" t="str">
        <f aca="false">Vendor_Invoices_AP!A228</f>
        <v>INV30227</v>
      </c>
      <c r="B231" s="16" t="str">
        <f aca="false">Vendor_Invoices_AP!C228</f>
        <v>V1018</v>
      </c>
      <c r="C231" s="16" t="str">
        <f aca="false">IFERROR(INDEX(Vendor_Master!$B$2:$B$41,MATCH(B231,Vendor_Master!$A$2:$A$41,0)),"Unknown Vendor")</f>
        <v>Underwood LLC</v>
      </c>
      <c r="D231" s="17" t="n">
        <f aca="false">Vendor_Invoices_AP!D228</f>
        <v>45869</v>
      </c>
      <c r="E231" s="17" t="n">
        <f aca="false">Vendor_Invoices_AP!F228</f>
        <v>45899</v>
      </c>
      <c r="F231" s="18" t="n">
        <f aca="false">Vendor_Invoices_AP!E228</f>
        <v>1442.03</v>
      </c>
      <c r="G231" s="18" t="n">
        <f aca="false">SUMIFS(Payment_Log_AP!$E$2:$E$753,Payment_Log_AP!$B$2:$B$753,A231)</f>
        <v>1442.03</v>
      </c>
      <c r="H231" s="18" t="n">
        <f aca="false">F231-G231</f>
        <v>0</v>
      </c>
      <c r="I231" s="16" t="n">
        <f aca="false">IF(H231&lt;=0.01,0,MAX(Assumptions!$B$5-E231,0))</f>
        <v>0</v>
      </c>
      <c r="J231" s="16" t="str">
        <f aca="false">IF(H231&lt;=0.01,"Paid",IF(I231&lt;=30,"0-30",IF(I231&lt;=60,"31-60",IF(I231&lt;=90,"61-90","90+"))))</f>
        <v>Paid</v>
      </c>
      <c r="K231" s="16" t="str">
        <f aca="false">IF(H231&lt;=0.01,"Paid",IF(G231&gt;0,"Partially Paid","Unpaid"))</f>
        <v>Paid</v>
      </c>
    </row>
    <row r="232" customFormat="false" ht="15" hidden="false" customHeight="false" outlineLevel="0" collapsed="false">
      <c r="A232" s="16" t="str">
        <f aca="false">Vendor_Invoices_AP!A229</f>
        <v>INV30228</v>
      </c>
      <c r="B232" s="16" t="str">
        <f aca="false">Vendor_Invoices_AP!C229</f>
        <v>V1007</v>
      </c>
      <c r="C232" s="16" t="str">
        <f aca="false">IFERROR(INDEX(Vendor_Master!$B$2:$B$41,MATCH(B232,Vendor_Master!$A$2:$A$41,0)),"Unknown Vendor")</f>
        <v>Ramirez-Lewis</v>
      </c>
      <c r="D232" s="17" t="n">
        <f aca="false">Vendor_Invoices_AP!D229</f>
        <v>45893</v>
      </c>
      <c r="E232" s="17" t="n">
        <f aca="false">Vendor_Invoices_AP!F229</f>
        <v>45908</v>
      </c>
      <c r="F232" s="18" t="n">
        <f aca="false">Vendor_Invoices_AP!E229</f>
        <v>14974.83</v>
      </c>
      <c r="G232" s="18" t="n">
        <f aca="false">SUMIFS(Payment_Log_AP!$E$2:$E$753,Payment_Log_AP!$B$2:$B$753,A232)</f>
        <v>14974.83</v>
      </c>
      <c r="H232" s="18" t="n">
        <f aca="false">F232-G232</f>
        <v>0</v>
      </c>
      <c r="I232" s="16" t="n">
        <f aca="false">IF(H232&lt;=0.01,0,MAX(Assumptions!$B$5-E232,0))</f>
        <v>0</v>
      </c>
      <c r="J232" s="16" t="str">
        <f aca="false">IF(H232&lt;=0.01,"Paid",IF(I232&lt;=30,"0-30",IF(I232&lt;=60,"31-60",IF(I232&lt;=90,"61-90","90+"))))</f>
        <v>Paid</v>
      </c>
      <c r="K232" s="16" t="str">
        <f aca="false">IF(H232&lt;=0.01,"Paid",IF(G232&gt;0,"Partially Paid","Unpaid"))</f>
        <v>Paid</v>
      </c>
    </row>
    <row r="233" customFormat="false" ht="15" hidden="false" customHeight="false" outlineLevel="0" collapsed="false">
      <c r="A233" s="16" t="str">
        <f aca="false">Vendor_Invoices_AP!A230</f>
        <v>INV30229</v>
      </c>
      <c r="B233" s="16" t="str">
        <f aca="false">Vendor_Invoices_AP!C230</f>
        <v>V1032</v>
      </c>
      <c r="C233" s="16" t="str">
        <f aca="false">IFERROR(INDEX(Vendor_Master!$B$2:$B$41,MATCH(B233,Vendor_Master!$A$2:$A$41,0)),"Unknown Vendor")</f>
        <v>Lynch, Hernandez and Farmer</v>
      </c>
      <c r="D233" s="17" t="n">
        <f aca="false">Vendor_Invoices_AP!D230</f>
        <v>45880</v>
      </c>
      <c r="E233" s="17" t="n">
        <f aca="false">Vendor_Invoices_AP!F230</f>
        <v>45940</v>
      </c>
      <c r="F233" s="18" t="n">
        <f aca="false">Vendor_Invoices_AP!E230</f>
        <v>877.63</v>
      </c>
      <c r="G233" s="18" t="n">
        <f aca="false">SUMIFS(Payment_Log_AP!$E$2:$E$753,Payment_Log_AP!$B$2:$B$753,A233)</f>
        <v>877.63</v>
      </c>
      <c r="H233" s="18" t="n">
        <f aca="false">F233-G233</f>
        <v>0</v>
      </c>
      <c r="I233" s="16" t="n">
        <f aca="false">IF(H233&lt;=0.01,0,MAX(Assumptions!$B$5-E233,0))</f>
        <v>0</v>
      </c>
      <c r="J233" s="16" t="str">
        <f aca="false">IF(H233&lt;=0.01,"Paid",IF(I233&lt;=30,"0-30",IF(I233&lt;=60,"31-60",IF(I233&lt;=90,"61-90","90+"))))</f>
        <v>Paid</v>
      </c>
      <c r="K233" s="16" t="str">
        <f aca="false">IF(H233&lt;=0.01,"Paid",IF(G233&gt;0,"Partially Paid","Unpaid"))</f>
        <v>Paid</v>
      </c>
    </row>
    <row r="234" customFormat="false" ht="15" hidden="false" customHeight="false" outlineLevel="0" collapsed="false">
      <c r="A234" s="16" t="str">
        <f aca="false">Vendor_Invoices_AP!A231</f>
        <v>INV30230</v>
      </c>
      <c r="B234" s="16" t="str">
        <f aca="false">Vendor_Invoices_AP!C231</f>
        <v>V1033</v>
      </c>
      <c r="C234" s="16" t="str">
        <f aca="false">IFERROR(INDEX(Vendor_Master!$B$2:$B$41,MATCH(B234,Vendor_Master!$A$2:$A$41,0)),"Unknown Vendor")</f>
        <v>Sellers, George and Burns</v>
      </c>
      <c r="D234" s="17" t="n">
        <f aca="false">Vendor_Invoices_AP!D231</f>
        <v>45956</v>
      </c>
      <c r="E234" s="17" t="n">
        <f aca="false">Vendor_Invoices_AP!F231</f>
        <v>46016</v>
      </c>
      <c r="F234" s="18" t="n">
        <f aca="false">Vendor_Invoices_AP!E231</f>
        <v>2542.66</v>
      </c>
      <c r="G234" s="18" t="n">
        <f aca="false">SUMIFS(Payment_Log_AP!$E$2:$E$753,Payment_Log_AP!$B$2:$B$753,A234)</f>
        <v>2542.66</v>
      </c>
      <c r="H234" s="18" t="n">
        <f aca="false">F234-G234</f>
        <v>0</v>
      </c>
      <c r="I234" s="16" t="n">
        <f aca="false">IF(H234&lt;=0.01,0,MAX(Assumptions!$B$5-E234,0))</f>
        <v>0</v>
      </c>
      <c r="J234" s="16" t="str">
        <f aca="false">IF(H234&lt;=0.01,"Paid",IF(I234&lt;=30,"0-30",IF(I234&lt;=60,"31-60",IF(I234&lt;=90,"61-90","90+"))))</f>
        <v>Paid</v>
      </c>
      <c r="K234" s="16" t="str">
        <f aca="false">IF(H234&lt;=0.01,"Paid",IF(G234&gt;0,"Partially Paid","Unpaid"))</f>
        <v>Paid</v>
      </c>
    </row>
    <row r="235" customFormat="false" ht="15" hidden="false" customHeight="false" outlineLevel="0" collapsed="false">
      <c r="A235" s="16" t="str">
        <f aca="false">Vendor_Invoices_AP!A232</f>
        <v>INV30231</v>
      </c>
      <c r="B235" s="16" t="str">
        <f aca="false">Vendor_Invoices_AP!C232</f>
        <v>V1007</v>
      </c>
      <c r="C235" s="16" t="str">
        <f aca="false">IFERROR(INDEX(Vendor_Master!$B$2:$B$41,MATCH(B235,Vendor_Master!$A$2:$A$41,0)),"Unknown Vendor")</f>
        <v>Ramirez-Lewis</v>
      </c>
      <c r="D235" s="17" t="n">
        <f aca="false">Vendor_Invoices_AP!D232</f>
        <v>45851</v>
      </c>
      <c r="E235" s="17" t="n">
        <f aca="false">Vendor_Invoices_AP!F232</f>
        <v>45866</v>
      </c>
      <c r="F235" s="18" t="n">
        <f aca="false">Vendor_Invoices_AP!E232</f>
        <v>3210.01</v>
      </c>
      <c r="G235" s="18" t="n">
        <f aca="false">SUMIFS(Payment_Log_AP!$E$2:$E$753,Payment_Log_AP!$B$2:$B$753,A235)</f>
        <v>3210.01</v>
      </c>
      <c r="H235" s="18" t="n">
        <f aca="false">F235-G235</f>
        <v>0</v>
      </c>
      <c r="I235" s="16" t="n">
        <f aca="false">IF(H235&lt;=0.01,0,MAX(Assumptions!$B$5-E235,0))</f>
        <v>0</v>
      </c>
      <c r="J235" s="16" t="str">
        <f aca="false">IF(H235&lt;=0.01,"Paid",IF(I235&lt;=30,"0-30",IF(I235&lt;=60,"31-60",IF(I235&lt;=90,"61-90","90+"))))</f>
        <v>Paid</v>
      </c>
      <c r="K235" s="16" t="str">
        <f aca="false">IF(H235&lt;=0.01,"Paid",IF(G235&gt;0,"Partially Paid","Unpaid"))</f>
        <v>Paid</v>
      </c>
    </row>
    <row r="236" customFormat="false" ht="15" hidden="false" customHeight="false" outlineLevel="0" collapsed="false">
      <c r="A236" s="16" t="str">
        <f aca="false">Vendor_Invoices_AP!A233</f>
        <v>INV30232</v>
      </c>
      <c r="B236" s="16" t="str">
        <f aca="false">Vendor_Invoices_AP!C233</f>
        <v>V1017</v>
      </c>
      <c r="C236" s="16" t="str">
        <f aca="false">IFERROR(INDEX(Vendor_Master!$B$2:$B$41,MATCH(B236,Vendor_Master!$A$2:$A$41,0)),"Unknown Vendor")</f>
        <v>Hawkins, Cohen and Cameron</v>
      </c>
      <c r="D236" s="17" t="n">
        <f aca="false">Vendor_Invoices_AP!D233</f>
        <v>46140</v>
      </c>
      <c r="E236" s="17" t="n">
        <f aca="false">Vendor_Invoices_AP!F233</f>
        <v>46185</v>
      </c>
      <c r="F236" s="18" t="n">
        <f aca="false">Vendor_Invoices_AP!E233</f>
        <v>610.78</v>
      </c>
      <c r="G236" s="18" t="n">
        <f aca="false">SUMIFS(Payment_Log_AP!$E$2:$E$753,Payment_Log_AP!$B$2:$B$753,A236)</f>
        <v>0</v>
      </c>
      <c r="H236" s="18" t="n">
        <f aca="false">F236-G236</f>
        <v>610.78</v>
      </c>
      <c r="I236" s="16" t="n">
        <f aca="false">IF(H236&lt;=0.01,0,MAX(Assumptions!$B$5-E236,0))</f>
        <v>49</v>
      </c>
      <c r="J236" s="16" t="str">
        <f aca="false">IF(H236&lt;=0.01,"Paid",IF(I236&lt;=30,"0-30",IF(I236&lt;=60,"31-60",IF(I236&lt;=90,"61-90","90+"))))</f>
        <v>31-60</v>
      </c>
      <c r="K236" s="16" t="str">
        <f aca="false">IF(H236&lt;=0.01,"Paid",IF(G236&gt;0,"Partially Paid","Unpaid"))</f>
        <v>Unpaid</v>
      </c>
    </row>
    <row r="237" customFormat="false" ht="15" hidden="false" customHeight="false" outlineLevel="0" collapsed="false">
      <c r="A237" s="16" t="str">
        <f aca="false">Vendor_Invoices_AP!A234</f>
        <v>INV30233</v>
      </c>
      <c r="B237" s="16" t="str">
        <f aca="false">Vendor_Invoices_AP!C234</f>
        <v>V1005</v>
      </c>
      <c r="C237" s="16" t="str">
        <f aca="false">IFERROR(INDEX(Vendor_Master!$B$2:$B$41,MATCH(B237,Vendor_Master!$A$2:$A$41,0)),"Unknown Vendor")</f>
        <v>Cole LLC</v>
      </c>
      <c r="D237" s="17" t="n">
        <f aca="false">Vendor_Invoices_AP!D234</f>
        <v>46121</v>
      </c>
      <c r="E237" s="17" t="n">
        <f aca="false">Vendor_Invoices_AP!F234</f>
        <v>46136</v>
      </c>
      <c r="F237" s="18" t="n">
        <f aca="false">Vendor_Invoices_AP!E234</f>
        <v>4612.25</v>
      </c>
      <c r="G237" s="18" t="n">
        <f aca="false">SUMIFS(Payment_Log_AP!$E$2:$E$753,Payment_Log_AP!$B$2:$B$753,A237)</f>
        <v>4612.25</v>
      </c>
      <c r="H237" s="18" t="n">
        <f aca="false">F237-G237</f>
        <v>0</v>
      </c>
      <c r="I237" s="16" t="n">
        <f aca="false">IF(H237&lt;=0.01,0,MAX(Assumptions!$B$5-E237,0))</f>
        <v>0</v>
      </c>
      <c r="J237" s="16" t="str">
        <f aca="false">IF(H237&lt;=0.01,"Paid",IF(I237&lt;=30,"0-30",IF(I237&lt;=60,"31-60",IF(I237&lt;=90,"61-90","90+"))))</f>
        <v>Paid</v>
      </c>
      <c r="K237" s="16" t="str">
        <f aca="false">IF(H237&lt;=0.01,"Paid",IF(G237&gt;0,"Partially Paid","Unpaid"))</f>
        <v>Paid</v>
      </c>
    </row>
    <row r="238" customFormat="false" ht="15" hidden="false" customHeight="false" outlineLevel="0" collapsed="false">
      <c r="A238" s="16" t="str">
        <f aca="false">Vendor_Invoices_AP!A235</f>
        <v>INV30234</v>
      </c>
      <c r="B238" s="16" t="str">
        <f aca="false">Vendor_Invoices_AP!C235</f>
        <v>V1031</v>
      </c>
      <c r="C238" s="16" t="str">
        <f aca="false">IFERROR(INDEX(Vendor_Master!$B$2:$B$41,MATCH(B238,Vendor_Master!$A$2:$A$41,0)),"Unknown Vendor")</f>
        <v>Harrell LLC</v>
      </c>
      <c r="D238" s="17" t="n">
        <f aca="false">Vendor_Invoices_AP!D235</f>
        <v>45733</v>
      </c>
      <c r="E238" s="17" t="n">
        <f aca="false">Vendor_Invoices_AP!F235</f>
        <v>45748</v>
      </c>
      <c r="F238" s="18" t="n">
        <f aca="false">Vendor_Invoices_AP!E235</f>
        <v>884.17</v>
      </c>
      <c r="G238" s="18" t="n">
        <f aca="false">SUMIFS(Payment_Log_AP!$E$2:$E$753,Payment_Log_AP!$B$2:$B$753,A238)</f>
        <v>884.17</v>
      </c>
      <c r="H238" s="18" t="n">
        <f aca="false">F238-G238</f>
        <v>0</v>
      </c>
      <c r="I238" s="16" t="n">
        <f aca="false">IF(H238&lt;=0.01,0,MAX(Assumptions!$B$5-E238,0))</f>
        <v>0</v>
      </c>
      <c r="J238" s="16" t="str">
        <f aca="false">IF(H238&lt;=0.01,"Paid",IF(I238&lt;=30,"0-30",IF(I238&lt;=60,"31-60",IF(I238&lt;=90,"61-90","90+"))))</f>
        <v>Paid</v>
      </c>
      <c r="K238" s="16" t="str">
        <f aca="false">IF(H238&lt;=0.01,"Paid",IF(G238&gt;0,"Partially Paid","Unpaid"))</f>
        <v>Paid</v>
      </c>
    </row>
    <row r="239" customFormat="false" ht="15" hidden="false" customHeight="false" outlineLevel="0" collapsed="false">
      <c r="A239" s="16" t="str">
        <f aca="false">Vendor_Invoices_AP!A236</f>
        <v>INV30235</v>
      </c>
      <c r="B239" s="16" t="str">
        <f aca="false">Vendor_Invoices_AP!C236</f>
        <v>V1003</v>
      </c>
      <c r="C239" s="16" t="str">
        <f aca="false">IFERROR(INDEX(Vendor_Master!$B$2:$B$41,MATCH(B239,Vendor_Master!$A$2:$A$41,0)),"Unknown Vendor")</f>
        <v>Johnson and Sons</v>
      </c>
      <c r="D239" s="17" t="n">
        <f aca="false">Vendor_Invoices_AP!D236</f>
        <v>46187</v>
      </c>
      <c r="E239" s="17" t="n">
        <f aca="false">Vendor_Invoices_AP!F236</f>
        <v>46202</v>
      </c>
      <c r="F239" s="18" t="n">
        <f aca="false">Vendor_Invoices_AP!E236</f>
        <v>3538.33</v>
      </c>
      <c r="G239" s="18" t="n">
        <f aca="false">SUMIFS(Payment_Log_AP!$E$2:$E$753,Payment_Log_AP!$B$2:$B$753,A239)</f>
        <v>0</v>
      </c>
      <c r="H239" s="18" t="n">
        <f aca="false">F239-G239</f>
        <v>3538.33</v>
      </c>
      <c r="I239" s="16" t="n">
        <f aca="false">IF(H239&lt;=0.01,0,MAX(Assumptions!$B$5-E239,0))</f>
        <v>32</v>
      </c>
      <c r="J239" s="16" t="str">
        <f aca="false">IF(H239&lt;=0.01,"Paid",IF(I239&lt;=30,"0-30",IF(I239&lt;=60,"31-60",IF(I239&lt;=90,"61-90","90+"))))</f>
        <v>31-60</v>
      </c>
      <c r="K239" s="16" t="str">
        <f aca="false">IF(H239&lt;=0.01,"Paid",IF(G239&gt;0,"Partially Paid","Unpaid"))</f>
        <v>Unpaid</v>
      </c>
    </row>
    <row r="240" customFormat="false" ht="15" hidden="false" customHeight="false" outlineLevel="0" collapsed="false">
      <c r="A240" s="16" t="str">
        <f aca="false">Vendor_Invoices_AP!A237</f>
        <v>INV30236</v>
      </c>
      <c r="B240" s="16" t="str">
        <f aca="false">Vendor_Invoices_AP!C237</f>
        <v>V1020</v>
      </c>
      <c r="C240" s="16" t="str">
        <f aca="false">IFERROR(INDEX(Vendor_Master!$B$2:$B$41,MATCH(B240,Vendor_Master!$A$2:$A$41,0)),"Unknown Vendor")</f>
        <v>Lewis-Porter</v>
      </c>
      <c r="D240" s="17" t="n">
        <f aca="false">Vendor_Invoices_AP!D237</f>
        <v>46009</v>
      </c>
      <c r="E240" s="17" t="n">
        <f aca="false">Vendor_Invoices_AP!F237</f>
        <v>46039</v>
      </c>
      <c r="F240" s="18" t="n">
        <f aca="false">Vendor_Invoices_AP!E237</f>
        <v>1486.84</v>
      </c>
      <c r="G240" s="18" t="n">
        <f aca="false">SUMIFS(Payment_Log_AP!$E$2:$E$753,Payment_Log_AP!$B$2:$B$753,A240)</f>
        <v>1486.84</v>
      </c>
      <c r="H240" s="18" t="n">
        <f aca="false">F240-G240</f>
        <v>0</v>
      </c>
      <c r="I240" s="16" t="n">
        <f aca="false">IF(H240&lt;=0.01,0,MAX(Assumptions!$B$5-E240,0))</f>
        <v>0</v>
      </c>
      <c r="J240" s="16" t="str">
        <f aca="false">IF(H240&lt;=0.01,"Paid",IF(I240&lt;=30,"0-30",IF(I240&lt;=60,"31-60",IF(I240&lt;=90,"61-90","90+"))))</f>
        <v>Paid</v>
      </c>
      <c r="K240" s="16" t="str">
        <f aca="false">IF(H240&lt;=0.01,"Paid",IF(G240&gt;0,"Partially Paid","Unpaid"))</f>
        <v>Paid</v>
      </c>
    </row>
    <row r="241" customFormat="false" ht="15" hidden="false" customHeight="false" outlineLevel="0" collapsed="false">
      <c r="A241" s="16" t="str">
        <f aca="false">Vendor_Invoices_AP!A238</f>
        <v>INV30237</v>
      </c>
      <c r="B241" s="16" t="str">
        <f aca="false">Vendor_Invoices_AP!C238</f>
        <v>V1020</v>
      </c>
      <c r="C241" s="16" t="str">
        <f aca="false">IFERROR(INDEX(Vendor_Master!$B$2:$B$41,MATCH(B241,Vendor_Master!$A$2:$A$41,0)),"Unknown Vendor")</f>
        <v>Lewis-Porter</v>
      </c>
      <c r="D241" s="17" t="n">
        <f aca="false">Vendor_Invoices_AP!D238</f>
        <v>46009</v>
      </c>
      <c r="E241" s="17" t="n">
        <f aca="false">Vendor_Invoices_AP!F238</f>
        <v>46039</v>
      </c>
      <c r="F241" s="18" t="n">
        <f aca="false">Vendor_Invoices_AP!E238</f>
        <v>1741.37</v>
      </c>
      <c r="G241" s="18" t="n">
        <f aca="false">SUMIFS(Payment_Log_AP!$E$2:$E$753,Payment_Log_AP!$B$2:$B$753,A241)</f>
        <v>1741.37</v>
      </c>
      <c r="H241" s="18" t="n">
        <f aca="false">F241-G241</f>
        <v>0</v>
      </c>
      <c r="I241" s="16" t="n">
        <f aca="false">IF(H241&lt;=0.01,0,MAX(Assumptions!$B$5-E241,0))</f>
        <v>0</v>
      </c>
      <c r="J241" s="16" t="str">
        <f aca="false">IF(H241&lt;=0.01,"Paid",IF(I241&lt;=30,"0-30",IF(I241&lt;=60,"31-60",IF(I241&lt;=90,"61-90","90+"))))</f>
        <v>Paid</v>
      </c>
      <c r="K241" s="16" t="str">
        <f aca="false">IF(H241&lt;=0.01,"Paid",IF(G241&gt;0,"Partially Paid","Unpaid"))</f>
        <v>Paid</v>
      </c>
    </row>
    <row r="242" customFormat="false" ht="15" hidden="false" customHeight="false" outlineLevel="0" collapsed="false">
      <c r="A242" s="16" t="str">
        <f aca="false">Vendor_Invoices_AP!A239</f>
        <v>INV30238</v>
      </c>
      <c r="B242" s="16" t="str">
        <f aca="false">Vendor_Invoices_AP!C239</f>
        <v>V1030</v>
      </c>
      <c r="C242" s="16" t="str">
        <f aca="false">IFERROR(INDEX(Vendor_Master!$B$2:$B$41,MATCH(B242,Vendor_Master!$A$2:$A$41,0)),"Unknown Vendor")</f>
        <v>Stanton-Gill</v>
      </c>
      <c r="D242" s="17" t="n">
        <f aca="false">Vendor_Invoices_AP!D239</f>
        <v>46126</v>
      </c>
      <c r="E242" s="17" t="n">
        <f aca="false">Vendor_Invoices_AP!F239</f>
        <v>46186</v>
      </c>
      <c r="F242" s="18" t="n">
        <f aca="false">Vendor_Invoices_AP!E239</f>
        <v>201.48</v>
      </c>
      <c r="G242" s="18" t="n">
        <f aca="false">SUMIFS(Payment_Log_AP!$E$2:$E$753,Payment_Log_AP!$B$2:$B$753,A242)</f>
        <v>201.48</v>
      </c>
      <c r="H242" s="18" t="n">
        <f aca="false">F242-G242</f>
        <v>0</v>
      </c>
      <c r="I242" s="16" t="n">
        <f aca="false">IF(H242&lt;=0.01,0,MAX(Assumptions!$B$5-E242,0))</f>
        <v>0</v>
      </c>
      <c r="J242" s="16" t="str">
        <f aca="false">IF(H242&lt;=0.01,"Paid",IF(I242&lt;=30,"0-30",IF(I242&lt;=60,"31-60",IF(I242&lt;=90,"61-90","90+"))))</f>
        <v>Paid</v>
      </c>
      <c r="K242" s="16" t="str">
        <f aca="false">IF(H242&lt;=0.01,"Paid",IF(G242&gt;0,"Partially Paid","Unpaid"))</f>
        <v>Paid</v>
      </c>
    </row>
    <row r="243" customFormat="false" ht="15" hidden="false" customHeight="false" outlineLevel="0" collapsed="false">
      <c r="A243" s="16" t="str">
        <f aca="false">Vendor_Invoices_AP!A240</f>
        <v>INV30239</v>
      </c>
      <c r="B243" s="16" t="str">
        <f aca="false">Vendor_Invoices_AP!C240</f>
        <v>V1035</v>
      </c>
      <c r="C243" s="16" t="str">
        <f aca="false">IFERROR(INDEX(Vendor_Master!$B$2:$B$41,MATCH(B243,Vendor_Master!$A$2:$A$41,0)),"Unknown Vendor")</f>
        <v>Allen PLC</v>
      </c>
      <c r="D243" s="17" t="n">
        <f aca="false">Vendor_Invoices_AP!D240</f>
        <v>46053</v>
      </c>
      <c r="E243" s="17" t="n">
        <f aca="false">Vendor_Invoices_AP!F240</f>
        <v>46068</v>
      </c>
      <c r="F243" s="18" t="n">
        <f aca="false">Vendor_Invoices_AP!E240</f>
        <v>4326.08</v>
      </c>
      <c r="G243" s="18" t="n">
        <f aca="false">SUMIFS(Payment_Log_AP!$E$2:$E$753,Payment_Log_AP!$B$2:$B$753,A243)</f>
        <v>4326.08</v>
      </c>
      <c r="H243" s="18" t="n">
        <f aca="false">F243-G243</f>
        <v>0</v>
      </c>
      <c r="I243" s="16" t="n">
        <f aca="false">IF(H243&lt;=0.01,0,MAX(Assumptions!$B$5-E243,0))</f>
        <v>0</v>
      </c>
      <c r="J243" s="16" t="str">
        <f aca="false">IF(H243&lt;=0.01,"Paid",IF(I243&lt;=30,"0-30",IF(I243&lt;=60,"31-60",IF(I243&lt;=90,"61-90","90+"))))</f>
        <v>Paid</v>
      </c>
      <c r="K243" s="16" t="str">
        <f aca="false">IF(H243&lt;=0.01,"Paid",IF(G243&gt;0,"Partially Paid","Unpaid"))</f>
        <v>Paid</v>
      </c>
    </row>
    <row r="244" customFormat="false" ht="15" hidden="false" customHeight="false" outlineLevel="0" collapsed="false">
      <c r="A244" s="16" t="str">
        <f aca="false">Vendor_Invoices_AP!A241</f>
        <v>INV30240</v>
      </c>
      <c r="B244" s="16" t="str">
        <f aca="false">Vendor_Invoices_AP!C241</f>
        <v>V1013</v>
      </c>
      <c r="C244" s="16" t="str">
        <f aca="false">IFERROR(INDEX(Vendor_Master!$B$2:$B$41,MATCH(B244,Vendor_Master!$A$2:$A$41,0)),"Unknown Vendor")</f>
        <v>Delacruz Group</v>
      </c>
      <c r="D244" s="17" t="n">
        <f aca="false">Vendor_Invoices_AP!D241</f>
        <v>45897</v>
      </c>
      <c r="E244" s="17" t="n">
        <f aca="false">Vendor_Invoices_AP!F241</f>
        <v>45912</v>
      </c>
      <c r="F244" s="18" t="n">
        <f aca="false">Vendor_Invoices_AP!E241</f>
        <v>1933.86</v>
      </c>
      <c r="G244" s="18" t="n">
        <f aca="false">SUMIFS(Payment_Log_AP!$E$2:$E$753,Payment_Log_AP!$B$2:$B$753,A244)</f>
        <v>1933.86</v>
      </c>
      <c r="H244" s="18" t="n">
        <f aca="false">F244-G244</f>
        <v>0</v>
      </c>
      <c r="I244" s="16" t="n">
        <f aca="false">IF(H244&lt;=0.01,0,MAX(Assumptions!$B$5-E244,0))</f>
        <v>0</v>
      </c>
      <c r="J244" s="16" t="str">
        <f aca="false">IF(H244&lt;=0.01,"Paid",IF(I244&lt;=30,"0-30",IF(I244&lt;=60,"31-60",IF(I244&lt;=90,"61-90","90+"))))</f>
        <v>Paid</v>
      </c>
      <c r="K244" s="16" t="str">
        <f aca="false">IF(H244&lt;=0.01,"Paid",IF(G244&gt;0,"Partially Paid","Unpaid"))</f>
        <v>Paid</v>
      </c>
    </row>
    <row r="245" customFormat="false" ht="15" hidden="false" customHeight="false" outlineLevel="0" collapsed="false">
      <c r="A245" s="16" t="str">
        <f aca="false">Vendor_Invoices_AP!A242</f>
        <v>INV30241</v>
      </c>
      <c r="B245" s="16" t="str">
        <f aca="false">Vendor_Invoices_AP!C242</f>
        <v>V1005</v>
      </c>
      <c r="C245" s="16" t="str">
        <f aca="false">IFERROR(INDEX(Vendor_Master!$B$2:$B$41,MATCH(B245,Vendor_Master!$A$2:$A$41,0)),"Unknown Vendor")</f>
        <v>Cole LLC</v>
      </c>
      <c r="D245" s="17" t="n">
        <f aca="false">Vendor_Invoices_AP!D242</f>
        <v>46074</v>
      </c>
      <c r="E245" s="17" t="n">
        <f aca="false">Vendor_Invoices_AP!F242</f>
        <v>46089</v>
      </c>
      <c r="F245" s="18" t="n">
        <f aca="false">Vendor_Invoices_AP!E242</f>
        <v>301.96</v>
      </c>
      <c r="G245" s="18" t="n">
        <f aca="false">SUMIFS(Payment_Log_AP!$E$2:$E$753,Payment_Log_AP!$B$2:$B$753,A245)</f>
        <v>301.96</v>
      </c>
      <c r="H245" s="18" t="n">
        <f aca="false">F245-G245</f>
        <v>0</v>
      </c>
      <c r="I245" s="16" t="n">
        <f aca="false">IF(H245&lt;=0.01,0,MAX(Assumptions!$B$5-E245,0))</f>
        <v>0</v>
      </c>
      <c r="J245" s="16" t="str">
        <f aca="false">IF(H245&lt;=0.01,"Paid",IF(I245&lt;=30,"0-30",IF(I245&lt;=60,"31-60",IF(I245&lt;=90,"61-90","90+"))))</f>
        <v>Paid</v>
      </c>
      <c r="K245" s="16" t="str">
        <f aca="false">IF(H245&lt;=0.01,"Paid",IF(G245&gt;0,"Partially Paid","Unpaid"))</f>
        <v>Paid</v>
      </c>
    </row>
    <row r="246" customFormat="false" ht="15" hidden="false" customHeight="false" outlineLevel="0" collapsed="false">
      <c r="A246" s="16" t="str">
        <f aca="false">Vendor_Invoices_AP!A243</f>
        <v>INV30242</v>
      </c>
      <c r="B246" s="16" t="str">
        <f aca="false">Vendor_Invoices_AP!C243</f>
        <v>V1007</v>
      </c>
      <c r="C246" s="16" t="str">
        <f aca="false">IFERROR(INDEX(Vendor_Master!$B$2:$B$41,MATCH(B246,Vendor_Master!$A$2:$A$41,0)),"Unknown Vendor")</f>
        <v>Ramirez-Lewis</v>
      </c>
      <c r="D246" s="17" t="n">
        <f aca="false">Vendor_Invoices_AP!D243</f>
        <v>46200</v>
      </c>
      <c r="E246" s="17" t="n">
        <f aca="false">Vendor_Invoices_AP!F243</f>
        <v>46215</v>
      </c>
      <c r="F246" s="18" t="n">
        <f aca="false">Vendor_Invoices_AP!E243</f>
        <v>16728.17</v>
      </c>
      <c r="G246" s="18" t="n">
        <f aca="false">SUMIFS(Payment_Log_AP!$E$2:$E$753,Payment_Log_AP!$B$2:$B$753,A246)</f>
        <v>0</v>
      </c>
      <c r="H246" s="18" t="n">
        <f aca="false">F246-G246</f>
        <v>16728.17</v>
      </c>
      <c r="I246" s="16" t="n">
        <f aca="false">IF(H246&lt;=0.01,0,MAX(Assumptions!$B$5-E246,0))</f>
        <v>19</v>
      </c>
      <c r="J246" s="16" t="str">
        <f aca="false">IF(H246&lt;=0.01,"Paid",IF(I246&lt;=30,"0-30",IF(I246&lt;=60,"31-60",IF(I246&lt;=90,"61-90","90+"))))</f>
        <v>0-30</v>
      </c>
      <c r="K246" s="16" t="str">
        <f aca="false">IF(H246&lt;=0.01,"Paid",IF(G246&gt;0,"Partially Paid","Unpaid"))</f>
        <v>Unpaid</v>
      </c>
    </row>
    <row r="247" customFormat="false" ht="15" hidden="false" customHeight="false" outlineLevel="0" collapsed="false">
      <c r="A247" s="16" t="str">
        <f aca="false">Vendor_Invoices_AP!A244</f>
        <v>INV30243</v>
      </c>
      <c r="B247" s="16" t="str">
        <f aca="false">Vendor_Invoices_AP!C244</f>
        <v>V1038</v>
      </c>
      <c r="C247" s="16" t="str">
        <f aca="false">IFERROR(INDEX(Vendor_Master!$B$2:$B$41,MATCH(B247,Vendor_Master!$A$2:$A$41,0)),"Unknown Vendor")</f>
        <v>Rose-Obrien</v>
      </c>
      <c r="D247" s="17" t="n">
        <f aca="false">Vendor_Invoices_AP!D244</f>
        <v>45824</v>
      </c>
      <c r="E247" s="17" t="n">
        <f aca="false">Vendor_Invoices_AP!F244</f>
        <v>45854</v>
      </c>
      <c r="F247" s="18" t="n">
        <f aca="false">Vendor_Invoices_AP!E244</f>
        <v>594.08</v>
      </c>
      <c r="G247" s="18" t="n">
        <f aca="false">SUMIFS(Payment_Log_AP!$E$2:$E$753,Payment_Log_AP!$B$2:$B$753,A247)</f>
        <v>594.08</v>
      </c>
      <c r="H247" s="18" t="n">
        <f aca="false">F247-G247</f>
        <v>0</v>
      </c>
      <c r="I247" s="16" t="n">
        <f aca="false">IF(H247&lt;=0.01,0,MAX(Assumptions!$B$5-E247,0))</f>
        <v>0</v>
      </c>
      <c r="J247" s="16" t="str">
        <f aca="false">IF(H247&lt;=0.01,"Paid",IF(I247&lt;=30,"0-30",IF(I247&lt;=60,"31-60",IF(I247&lt;=90,"61-90","90+"))))</f>
        <v>Paid</v>
      </c>
      <c r="K247" s="16" t="str">
        <f aca="false">IF(H247&lt;=0.01,"Paid",IF(G247&gt;0,"Partially Paid","Unpaid"))</f>
        <v>Paid</v>
      </c>
    </row>
    <row r="248" customFormat="false" ht="15" hidden="false" customHeight="false" outlineLevel="0" collapsed="false">
      <c r="A248" s="16" t="str">
        <f aca="false">Vendor_Invoices_AP!A245</f>
        <v>INV30244</v>
      </c>
      <c r="B248" s="16" t="str">
        <f aca="false">Vendor_Invoices_AP!C245</f>
        <v>V1007</v>
      </c>
      <c r="C248" s="16" t="str">
        <f aca="false">IFERROR(INDEX(Vendor_Master!$B$2:$B$41,MATCH(B248,Vendor_Master!$A$2:$A$41,0)),"Unknown Vendor")</f>
        <v>Ramirez-Lewis</v>
      </c>
      <c r="D248" s="17" t="n">
        <f aca="false">Vendor_Invoices_AP!D245</f>
        <v>46111</v>
      </c>
      <c r="E248" s="17" t="n">
        <f aca="false">Vendor_Invoices_AP!F245</f>
        <v>46126</v>
      </c>
      <c r="F248" s="18" t="n">
        <f aca="false">Vendor_Invoices_AP!E245</f>
        <v>4409.64</v>
      </c>
      <c r="G248" s="18" t="n">
        <f aca="false">SUMIFS(Payment_Log_AP!$E$2:$E$753,Payment_Log_AP!$B$2:$B$753,A248)</f>
        <v>4409.64</v>
      </c>
      <c r="H248" s="18" t="n">
        <f aca="false">F248-G248</f>
        <v>0</v>
      </c>
      <c r="I248" s="16" t="n">
        <f aca="false">IF(H248&lt;=0.01,0,MAX(Assumptions!$B$5-E248,0))</f>
        <v>0</v>
      </c>
      <c r="J248" s="16" t="str">
        <f aca="false">IF(H248&lt;=0.01,"Paid",IF(I248&lt;=30,"0-30",IF(I248&lt;=60,"31-60",IF(I248&lt;=90,"61-90","90+"))))</f>
        <v>Paid</v>
      </c>
      <c r="K248" s="16" t="str">
        <f aca="false">IF(H248&lt;=0.01,"Paid",IF(G248&gt;0,"Partially Paid","Unpaid"))</f>
        <v>Paid</v>
      </c>
    </row>
    <row r="249" customFormat="false" ht="15" hidden="false" customHeight="false" outlineLevel="0" collapsed="false">
      <c r="A249" s="16" t="str">
        <f aca="false">Vendor_Invoices_AP!A246</f>
        <v>INV30245</v>
      </c>
      <c r="B249" s="16" t="str">
        <f aca="false">Vendor_Invoices_AP!C246</f>
        <v>V1020</v>
      </c>
      <c r="C249" s="16" t="str">
        <f aca="false">IFERROR(INDEX(Vendor_Master!$B$2:$B$41,MATCH(B249,Vendor_Master!$A$2:$A$41,0)),"Unknown Vendor")</f>
        <v>Lewis-Porter</v>
      </c>
      <c r="D249" s="17" t="n">
        <f aca="false">Vendor_Invoices_AP!D246</f>
        <v>45972</v>
      </c>
      <c r="E249" s="17" t="n">
        <f aca="false">Vendor_Invoices_AP!F246</f>
        <v>46002</v>
      </c>
      <c r="F249" s="18" t="n">
        <f aca="false">Vendor_Invoices_AP!E246</f>
        <v>1370.36</v>
      </c>
      <c r="G249" s="18" t="n">
        <f aca="false">SUMIFS(Payment_Log_AP!$E$2:$E$753,Payment_Log_AP!$B$2:$B$753,A249)</f>
        <v>1370.36</v>
      </c>
      <c r="H249" s="18" t="n">
        <f aca="false">F249-G249</f>
        <v>0</v>
      </c>
      <c r="I249" s="16" t="n">
        <f aca="false">IF(H249&lt;=0.01,0,MAX(Assumptions!$B$5-E249,0))</f>
        <v>0</v>
      </c>
      <c r="J249" s="16" t="str">
        <f aca="false">IF(H249&lt;=0.01,"Paid",IF(I249&lt;=30,"0-30",IF(I249&lt;=60,"31-60",IF(I249&lt;=90,"61-90","90+"))))</f>
        <v>Paid</v>
      </c>
      <c r="K249" s="16" t="str">
        <f aca="false">IF(H249&lt;=0.01,"Paid",IF(G249&gt;0,"Partially Paid","Unpaid"))</f>
        <v>Paid</v>
      </c>
    </row>
    <row r="250" customFormat="false" ht="15" hidden="false" customHeight="false" outlineLevel="0" collapsed="false">
      <c r="A250" s="16" t="str">
        <f aca="false">Vendor_Invoices_AP!A247</f>
        <v>INV30246</v>
      </c>
      <c r="B250" s="16" t="str">
        <f aca="false">Vendor_Invoices_AP!C247</f>
        <v>V1031</v>
      </c>
      <c r="C250" s="16" t="str">
        <f aca="false">IFERROR(INDEX(Vendor_Master!$B$2:$B$41,MATCH(B250,Vendor_Master!$A$2:$A$41,0)),"Unknown Vendor")</f>
        <v>Harrell LLC</v>
      </c>
      <c r="D250" s="17" t="n">
        <f aca="false">Vendor_Invoices_AP!D247</f>
        <v>45925</v>
      </c>
      <c r="E250" s="17" t="n">
        <f aca="false">Vendor_Invoices_AP!F247</f>
        <v>45940</v>
      </c>
      <c r="F250" s="18" t="n">
        <f aca="false">Vendor_Invoices_AP!E247</f>
        <v>480.9</v>
      </c>
      <c r="G250" s="18" t="n">
        <f aca="false">SUMIFS(Payment_Log_AP!$E$2:$E$753,Payment_Log_AP!$B$2:$B$753,A250)</f>
        <v>480.9</v>
      </c>
      <c r="H250" s="18" t="n">
        <f aca="false">F250-G250</f>
        <v>0</v>
      </c>
      <c r="I250" s="16" t="n">
        <f aca="false">IF(H250&lt;=0.01,0,MAX(Assumptions!$B$5-E250,0))</f>
        <v>0</v>
      </c>
      <c r="J250" s="16" t="str">
        <f aca="false">IF(H250&lt;=0.01,"Paid",IF(I250&lt;=30,"0-30",IF(I250&lt;=60,"31-60",IF(I250&lt;=90,"61-90","90+"))))</f>
        <v>Paid</v>
      </c>
      <c r="K250" s="16" t="str">
        <f aca="false">IF(H250&lt;=0.01,"Paid",IF(G250&gt;0,"Partially Paid","Unpaid"))</f>
        <v>Paid</v>
      </c>
    </row>
    <row r="251" customFormat="false" ht="15" hidden="false" customHeight="false" outlineLevel="0" collapsed="false">
      <c r="A251" s="16" t="str">
        <f aca="false">Vendor_Invoices_AP!A248</f>
        <v>INV30247</v>
      </c>
      <c r="B251" s="16" t="str">
        <f aca="false">Vendor_Invoices_AP!C248</f>
        <v>V1024</v>
      </c>
      <c r="C251" s="16" t="str">
        <f aca="false">IFERROR(INDEX(Vendor_Master!$B$2:$B$41,MATCH(B251,Vendor_Master!$A$2:$A$41,0)),"Unknown Vendor")</f>
        <v>Campos Inc</v>
      </c>
      <c r="D251" s="17" t="n">
        <f aca="false">Vendor_Invoices_AP!D248</f>
        <v>45903</v>
      </c>
      <c r="E251" s="17" t="n">
        <f aca="false">Vendor_Invoices_AP!F248</f>
        <v>45963</v>
      </c>
      <c r="F251" s="18" t="n">
        <f aca="false">Vendor_Invoices_AP!E248</f>
        <v>728.26</v>
      </c>
      <c r="G251" s="18" t="n">
        <f aca="false">SUMIFS(Payment_Log_AP!$E$2:$E$753,Payment_Log_AP!$B$2:$B$753,A251)</f>
        <v>728.26</v>
      </c>
      <c r="H251" s="18" t="n">
        <f aca="false">F251-G251</f>
        <v>0</v>
      </c>
      <c r="I251" s="16" t="n">
        <f aca="false">IF(H251&lt;=0.01,0,MAX(Assumptions!$B$5-E251,0))</f>
        <v>0</v>
      </c>
      <c r="J251" s="16" t="str">
        <f aca="false">IF(H251&lt;=0.01,"Paid",IF(I251&lt;=30,"0-30",IF(I251&lt;=60,"31-60",IF(I251&lt;=90,"61-90","90+"))))</f>
        <v>Paid</v>
      </c>
      <c r="K251" s="16" t="str">
        <f aca="false">IF(H251&lt;=0.01,"Paid",IF(G251&gt;0,"Partially Paid","Unpaid"))</f>
        <v>Paid</v>
      </c>
    </row>
    <row r="252" customFormat="false" ht="15" hidden="false" customHeight="false" outlineLevel="0" collapsed="false">
      <c r="A252" s="16" t="str">
        <f aca="false">Vendor_Invoices_AP!A249</f>
        <v>INV30248</v>
      </c>
      <c r="B252" s="16" t="str">
        <f aca="false">Vendor_Invoices_AP!C249</f>
        <v>V1035</v>
      </c>
      <c r="C252" s="16" t="str">
        <f aca="false">IFERROR(INDEX(Vendor_Master!$B$2:$B$41,MATCH(B252,Vendor_Master!$A$2:$A$41,0)),"Unknown Vendor")</f>
        <v>Allen PLC</v>
      </c>
      <c r="D252" s="17" t="n">
        <f aca="false">Vendor_Invoices_AP!D249</f>
        <v>46081</v>
      </c>
      <c r="E252" s="17" t="n">
        <f aca="false">Vendor_Invoices_AP!F249</f>
        <v>46096</v>
      </c>
      <c r="F252" s="18" t="n">
        <f aca="false">Vendor_Invoices_AP!E249</f>
        <v>4217.99</v>
      </c>
      <c r="G252" s="18" t="n">
        <f aca="false">SUMIFS(Payment_Log_AP!$E$2:$E$753,Payment_Log_AP!$B$2:$B$753,A252)</f>
        <v>4217.99</v>
      </c>
      <c r="H252" s="18" t="n">
        <f aca="false">F252-G252</f>
        <v>0</v>
      </c>
      <c r="I252" s="16" t="n">
        <f aca="false">IF(H252&lt;=0.01,0,MAX(Assumptions!$B$5-E252,0))</f>
        <v>0</v>
      </c>
      <c r="J252" s="16" t="str">
        <f aca="false">IF(H252&lt;=0.01,"Paid",IF(I252&lt;=30,"0-30",IF(I252&lt;=60,"31-60",IF(I252&lt;=90,"61-90","90+"))))</f>
        <v>Paid</v>
      </c>
      <c r="K252" s="16" t="str">
        <f aca="false">IF(H252&lt;=0.01,"Paid",IF(G252&gt;0,"Partially Paid","Unpaid"))</f>
        <v>Paid</v>
      </c>
    </row>
    <row r="253" customFormat="false" ht="15" hidden="false" customHeight="false" outlineLevel="0" collapsed="false">
      <c r="A253" s="16" t="str">
        <f aca="false">Vendor_Invoices_AP!A250</f>
        <v>INV30249</v>
      </c>
      <c r="B253" s="16" t="str">
        <f aca="false">Vendor_Invoices_AP!C250</f>
        <v>V1033</v>
      </c>
      <c r="C253" s="16" t="str">
        <f aca="false">IFERROR(INDEX(Vendor_Master!$B$2:$B$41,MATCH(B253,Vendor_Master!$A$2:$A$41,0)),"Unknown Vendor")</f>
        <v>Sellers, George and Burns</v>
      </c>
      <c r="D253" s="17" t="n">
        <f aca="false">Vendor_Invoices_AP!D250</f>
        <v>45812</v>
      </c>
      <c r="E253" s="17" t="n">
        <f aca="false">Vendor_Invoices_AP!F250</f>
        <v>45872</v>
      </c>
      <c r="F253" s="18" t="n">
        <f aca="false">Vendor_Invoices_AP!E250</f>
        <v>6467.02</v>
      </c>
      <c r="G253" s="18" t="n">
        <f aca="false">SUMIFS(Payment_Log_AP!$E$2:$E$753,Payment_Log_AP!$B$2:$B$753,A253)</f>
        <v>0</v>
      </c>
      <c r="H253" s="18" t="n">
        <f aca="false">F253-G253</f>
        <v>6467.02</v>
      </c>
      <c r="I253" s="16" t="n">
        <f aca="false">IF(H253&lt;=0.01,0,MAX(Assumptions!$B$5-E253,0))</f>
        <v>362</v>
      </c>
      <c r="J253" s="16" t="str">
        <f aca="false">IF(H253&lt;=0.01,"Paid",IF(I253&lt;=30,"0-30",IF(I253&lt;=60,"31-60",IF(I253&lt;=90,"61-90","90+"))))</f>
        <v>90+</v>
      </c>
      <c r="K253" s="16" t="str">
        <f aca="false">IF(H253&lt;=0.01,"Paid",IF(G253&gt;0,"Partially Paid","Unpaid"))</f>
        <v>Unpaid</v>
      </c>
    </row>
    <row r="254" customFormat="false" ht="15" hidden="false" customHeight="false" outlineLevel="0" collapsed="false">
      <c r="A254" s="16" t="str">
        <f aca="false">Vendor_Invoices_AP!A251</f>
        <v>INV30250</v>
      </c>
      <c r="B254" s="16" t="str">
        <f aca="false">Vendor_Invoices_AP!C251</f>
        <v>V1007</v>
      </c>
      <c r="C254" s="16" t="str">
        <f aca="false">IFERROR(INDEX(Vendor_Master!$B$2:$B$41,MATCH(B254,Vendor_Master!$A$2:$A$41,0)),"Unknown Vendor")</f>
        <v>Ramirez-Lewis</v>
      </c>
      <c r="D254" s="17" t="n">
        <f aca="false">Vendor_Invoices_AP!D251</f>
        <v>46144</v>
      </c>
      <c r="E254" s="17" t="n">
        <f aca="false">Vendor_Invoices_AP!F251</f>
        <v>46159</v>
      </c>
      <c r="F254" s="18" t="n">
        <f aca="false">Vendor_Invoices_AP!E251</f>
        <v>2055.39</v>
      </c>
      <c r="G254" s="18" t="n">
        <f aca="false">SUMIFS(Payment_Log_AP!$E$2:$E$753,Payment_Log_AP!$B$2:$B$753,A254)</f>
        <v>2055.39</v>
      </c>
      <c r="H254" s="18" t="n">
        <f aca="false">F254-G254</f>
        <v>0</v>
      </c>
      <c r="I254" s="16" t="n">
        <f aca="false">IF(H254&lt;=0.01,0,MAX(Assumptions!$B$5-E254,0))</f>
        <v>0</v>
      </c>
      <c r="J254" s="16" t="str">
        <f aca="false">IF(H254&lt;=0.01,"Paid",IF(I254&lt;=30,"0-30",IF(I254&lt;=60,"31-60",IF(I254&lt;=90,"61-90","90+"))))</f>
        <v>Paid</v>
      </c>
      <c r="K254" s="16" t="str">
        <f aca="false">IF(H254&lt;=0.01,"Paid",IF(G254&gt;0,"Partially Paid","Unpaid"))</f>
        <v>Paid</v>
      </c>
    </row>
    <row r="255" customFormat="false" ht="15" hidden="false" customHeight="false" outlineLevel="0" collapsed="false">
      <c r="A255" s="16" t="str">
        <f aca="false">Vendor_Invoices_AP!A252</f>
        <v>INV30251</v>
      </c>
      <c r="B255" s="16" t="str">
        <f aca="false">Vendor_Invoices_AP!C252</f>
        <v>V1019</v>
      </c>
      <c r="C255" s="16" t="str">
        <f aca="false">IFERROR(INDEX(Vendor_Master!$B$2:$B$41,MATCH(B255,Vendor_Master!$A$2:$A$41,0)),"Unknown Vendor")</f>
        <v>Clark PLC</v>
      </c>
      <c r="D255" s="17" t="n">
        <f aca="false">Vendor_Invoices_AP!D252</f>
        <v>46129</v>
      </c>
      <c r="E255" s="17" t="n">
        <f aca="false">Vendor_Invoices_AP!F252</f>
        <v>46174</v>
      </c>
      <c r="F255" s="18" t="n">
        <f aca="false">Vendor_Invoices_AP!E252</f>
        <v>207.67</v>
      </c>
      <c r="G255" s="18" t="n">
        <f aca="false">SUMIFS(Payment_Log_AP!$E$2:$E$753,Payment_Log_AP!$B$2:$B$753,A255)</f>
        <v>207.67</v>
      </c>
      <c r="H255" s="18" t="n">
        <f aca="false">F255-G255</f>
        <v>0</v>
      </c>
      <c r="I255" s="16" t="n">
        <f aca="false">IF(H255&lt;=0.01,0,MAX(Assumptions!$B$5-E255,0))</f>
        <v>0</v>
      </c>
      <c r="J255" s="16" t="str">
        <f aca="false">IF(H255&lt;=0.01,"Paid",IF(I255&lt;=30,"0-30",IF(I255&lt;=60,"31-60",IF(I255&lt;=90,"61-90","90+"))))</f>
        <v>Paid</v>
      </c>
      <c r="K255" s="16" t="str">
        <f aca="false">IF(H255&lt;=0.01,"Paid",IF(G255&gt;0,"Partially Paid","Unpaid"))</f>
        <v>Paid</v>
      </c>
    </row>
    <row r="256" customFormat="false" ht="15" hidden="false" customHeight="false" outlineLevel="0" collapsed="false">
      <c r="A256" s="16" t="str">
        <f aca="false">Vendor_Invoices_AP!A253</f>
        <v>INV30252</v>
      </c>
      <c r="B256" s="16" t="str">
        <f aca="false">Vendor_Invoices_AP!C253</f>
        <v>V1023</v>
      </c>
      <c r="C256" s="16" t="str">
        <f aca="false">IFERROR(INDEX(Vendor_Master!$B$2:$B$41,MATCH(B256,Vendor_Master!$A$2:$A$41,0)),"Unknown Vendor")</f>
        <v>Robinson-Bright</v>
      </c>
      <c r="D256" s="17" t="n">
        <f aca="false">Vendor_Invoices_AP!D253</f>
        <v>45727</v>
      </c>
      <c r="E256" s="17" t="n">
        <f aca="false">Vendor_Invoices_AP!F253</f>
        <v>45757</v>
      </c>
      <c r="F256" s="18" t="n">
        <f aca="false">Vendor_Invoices_AP!E253</f>
        <v>1766.28</v>
      </c>
      <c r="G256" s="18" t="n">
        <f aca="false">SUMIFS(Payment_Log_AP!$E$2:$E$753,Payment_Log_AP!$B$2:$B$753,A256)</f>
        <v>1766.28</v>
      </c>
      <c r="H256" s="18" t="n">
        <f aca="false">F256-G256</f>
        <v>0</v>
      </c>
      <c r="I256" s="16" t="n">
        <f aca="false">IF(H256&lt;=0.01,0,MAX(Assumptions!$B$5-E256,0))</f>
        <v>0</v>
      </c>
      <c r="J256" s="16" t="str">
        <f aca="false">IF(H256&lt;=0.01,"Paid",IF(I256&lt;=30,"0-30",IF(I256&lt;=60,"31-60",IF(I256&lt;=90,"61-90","90+"))))</f>
        <v>Paid</v>
      </c>
      <c r="K256" s="16" t="str">
        <f aca="false">IF(H256&lt;=0.01,"Paid",IF(G256&gt;0,"Partially Paid","Unpaid"))</f>
        <v>Paid</v>
      </c>
    </row>
    <row r="257" customFormat="false" ht="15" hidden="false" customHeight="false" outlineLevel="0" collapsed="false">
      <c r="A257" s="16" t="str">
        <f aca="false">Vendor_Invoices_AP!A254</f>
        <v>INV30253</v>
      </c>
      <c r="B257" s="16" t="str">
        <f aca="false">Vendor_Invoices_AP!C254</f>
        <v>V1036</v>
      </c>
      <c r="C257" s="16" t="str">
        <f aca="false">IFERROR(INDEX(Vendor_Master!$B$2:$B$41,MATCH(B257,Vendor_Master!$A$2:$A$41,0)),"Unknown Vendor")</f>
        <v>Dennis Inc</v>
      </c>
      <c r="D257" s="17" t="n">
        <f aca="false">Vendor_Invoices_AP!D254</f>
        <v>46162</v>
      </c>
      <c r="E257" s="17" t="n">
        <f aca="false">Vendor_Invoices_AP!F254</f>
        <v>46207</v>
      </c>
      <c r="F257" s="18" t="n">
        <f aca="false">Vendor_Invoices_AP!E254</f>
        <v>1408.36</v>
      </c>
      <c r="G257" s="18" t="n">
        <f aca="false">SUMIFS(Payment_Log_AP!$E$2:$E$753,Payment_Log_AP!$B$2:$B$753,A257)</f>
        <v>1408.36</v>
      </c>
      <c r="H257" s="18" t="n">
        <f aca="false">F257-G257</f>
        <v>0</v>
      </c>
      <c r="I257" s="16" t="n">
        <f aca="false">IF(H257&lt;=0.01,0,MAX(Assumptions!$B$5-E257,0))</f>
        <v>0</v>
      </c>
      <c r="J257" s="16" t="str">
        <f aca="false">IF(H257&lt;=0.01,"Paid",IF(I257&lt;=30,"0-30",IF(I257&lt;=60,"31-60",IF(I257&lt;=90,"61-90","90+"))))</f>
        <v>Paid</v>
      </c>
      <c r="K257" s="16" t="str">
        <f aca="false">IF(H257&lt;=0.01,"Paid",IF(G257&gt;0,"Partially Paid","Unpaid"))</f>
        <v>Paid</v>
      </c>
    </row>
    <row r="258" customFormat="false" ht="15" hidden="false" customHeight="false" outlineLevel="0" collapsed="false">
      <c r="A258" s="16" t="str">
        <f aca="false">Vendor_Invoices_AP!A255</f>
        <v>INV30254</v>
      </c>
      <c r="B258" s="16" t="str">
        <f aca="false">Vendor_Invoices_AP!C255</f>
        <v>V1030</v>
      </c>
      <c r="C258" s="16" t="str">
        <f aca="false">IFERROR(INDEX(Vendor_Master!$B$2:$B$41,MATCH(B258,Vendor_Master!$A$2:$A$41,0)),"Unknown Vendor")</f>
        <v>Stanton-Gill</v>
      </c>
      <c r="D258" s="17" t="n">
        <f aca="false">Vendor_Invoices_AP!D255</f>
        <v>45797</v>
      </c>
      <c r="E258" s="17" t="n">
        <f aca="false">Vendor_Invoices_AP!F255</f>
        <v>45857</v>
      </c>
      <c r="F258" s="18" t="n">
        <f aca="false">Vendor_Invoices_AP!E255</f>
        <v>1546.99</v>
      </c>
      <c r="G258" s="18" t="n">
        <f aca="false">SUMIFS(Payment_Log_AP!$E$2:$E$753,Payment_Log_AP!$B$2:$B$753,A258)</f>
        <v>3093.98</v>
      </c>
      <c r="H258" s="18" t="n">
        <f aca="false">F258-G258</f>
        <v>-1546.99</v>
      </c>
      <c r="I258" s="16" t="n">
        <f aca="false">IF(H258&lt;=0.01,0,MAX(Assumptions!$B$5-E258,0))</f>
        <v>0</v>
      </c>
      <c r="J258" s="16" t="str">
        <f aca="false">IF(H258&lt;=0.01,"Paid",IF(I258&lt;=30,"0-30",IF(I258&lt;=60,"31-60",IF(I258&lt;=90,"61-90","90+"))))</f>
        <v>Paid</v>
      </c>
      <c r="K258" s="16" t="str">
        <f aca="false">IF(H258&lt;=0.01,"Paid",IF(G258&gt;0,"Partially Paid","Unpaid"))</f>
        <v>Paid</v>
      </c>
    </row>
    <row r="259" customFormat="false" ht="15" hidden="false" customHeight="false" outlineLevel="0" collapsed="false">
      <c r="A259" s="16" t="str">
        <f aca="false">Vendor_Invoices_AP!A256</f>
        <v>INV30255</v>
      </c>
      <c r="B259" s="16" t="str">
        <f aca="false">Vendor_Invoices_AP!C256</f>
        <v>V1040</v>
      </c>
      <c r="C259" s="16" t="str">
        <f aca="false">IFERROR(INDEX(Vendor_Master!$B$2:$B$41,MATCH(B259,Vendor_Master!$A$2:$A$41,0)),"Unknown Vendor")</f>
        <v>Santos, Kim and Holmes</v>
      </c>
      <c r="D259" s="17" t="n">
        <f aca="false">Vendor_Invoices_AP!D256</f>
        <v>45929</v>
      </c>
      <c r="E259" s="17" t="n">
        <f aca="false">Vendor_Invoices_AP!F256</f>
        <v>45944</v>
      </c>
      <c r="F259" s="18" t="n">
        <f aca="false">Vendor_Invoices_AP!E256</f>
        <v>5615.74</v>
      </c>
      <c r="G259" s="18" t="n">
        <f aca="false">SUMIFS(Payment_Log_AP!$E$2:$E$753,Payment_Log_AP!$B$2:$B$753,A259)</f>
        <v>5615.74</v>
      </c>
      <c r="H259" s="18" t="n">
        <f aca="false">F259-G259</f>
        <v>0</v>
      </c>
      <c r="I259" s="16" t="n">
        <f aca="false">IF(H259&lt;=0.01,0,MAX(Assumptions!$B$5-E259,0))</f>
        <v>0</v>
      </c>
      <c r="J259" s="16" t="str">
        <f aca="false">IF(H259&lt;=0.01,"Paid",IF(I259&lt;=30,"0-30",IF(I259&lt;=60,"31-60",IF(I259&lt;=90,"61-90","90+"))))</f>
        <v>Paid</v>
      </c>
      <c r="K259" s="16" t="str">
        <f aca="false">IF(H259&lt;=0.01,"Paid",IF(G259&gt;0,"Partially Paid","Unpaid"))</f>
        <v>Paid</v>
      </c>
    </row>
    <row r="260" customFormat="false" ht="15" hidden="false" customHeight="false" outlineLevel="0" collapsed="false">
      <c r="A260" s="16" t="str">
        <f aca="false">Vendor_Invoices_AP!A257</f>
        <v>INV30256</v>
      </c>
      <c r="B260" s="16" t="str">
        <f aca="false">Vendor_Invoices_AP!C257</f>
        <v>V1034</v>
      </c>
      <c r="C260" s="16" t="str">
        <f aca="false">IFERROR(INDEX(Vendor_Master!$B$2:$B$41,MATCH(B260,Vendor_Master!$A$2:$A$41,0)),"Unknown Vendor")</f>
        <v>Koch-Decker</v>
      </c>
      <c r="D260" s="17" t="n">
        <f aca="false">Vendor_Invoices_AP!D257</f>
        <v>46011</v>
      </c>
      <c r="E260" s="17" t="n">
        <f aca="false">Vendor_Invoices_AP!F257</f>
        <v>46056</v>
      </c>
      <c r="F260" s="18" t="n">
        <f aca="false">Vendor_Invoices_AP!E257</f>
        <v>3821.71</v>
      </c>
      <c r="G260" s="18" t="n">
        <f aca="false">SUMIFS(Payment_Log_AP!$E$2:$E$753,Payment_Log_AP!$B$2:$B$753,A260)</f>
        <v>3821.71</v>
      </c>
      <c r="H260" s="18" t="n">
        <f aca="false">F260-G260</f>
        <v>0</v>
      </c>
      <c r="I260" s="16" t="n">
        <f aca="false">IF(H260&lt;=0.01,0,MAX(Assumptions!$B$5-E260,0))</f>
        <v>0</v>
      </c>
      <c r="J260" s="16" t="str">
        <f aca="false">IF(H260&lt;=0.01,"Paid",IF(I260&lt;=30,"0-30",IF(I260&lt;=60,"31-60",IF(I260&lt;=90,"61-90","90+"))))</f>
        <v>Paid</v>
      </c>
      <c r="K260" s="16" t="str">
        <f aca="false">IF(H260&lt;=0.01,"Paid",IF(G260&gt;0,"Partially Paid","Unpaid"))</f>
        <v>Paid</v>
      </c>
    </row>
    <row r="261" customFormat="false" ht="15" hidden="false" customHeight="false" outlineLevel="0" collapsed="false">
      <c r="A261" s="16" t="str">
        <f aca="false">Vendor_Invoices_AP!A258</f>
        <v>INV30257</v>
      </c>
      <c r="B261" s="16" t="str">
        <f aca="false">Vendor_Invoices_AP!C258</f>
        <v>V1008</v>
      </c>
      <c r="C261" s="16" t="str">
        <f aca="false">IFERROR(INDEX(Vendor_Master!$B$2:$B$41,MATCH(B261,Vendor_Master!$A$2:$A$41,0)),"Unknown Vendor")</f>
        <v>Davis Inc</v>
      </c>
      <c r="D261" s="17" t="n">
        <f aca="false">Vendor_Invoices_AP!D258</f>
        <v>45876</v>
      </c>
      <c r="E261" s="17" t="n">
        <f aca="false">Vendor_Invoices_AP!F258</f>
        <v>45936</v>
      </c>
      <c r="F261" s="18" t="n">
        <f aca="false">Vendor_Invoices_AP!E258</f>
        <v>943.22</v>
      </c>
      <c r="G261" s="18" t="n">
        <f aca="false">SUMIFS(Payment_Log_AP!$E$2:$E$753,Payment_Log_AP!$B$2:$B$753,A261)</f>
        <v>943.22</v>
      </c>
      <c r="H261" s="18" t="n">
        <f aca="false">F261-G261</f>
        <v>0</v>
      </c>
      <c r="I261" s="16" t="n">
        <f aca="false">IF(H261&lt;=0.01,0,MAX(Assumptions!$B$5-E261,0))</f>
        <v>0</v>
      </c>
      <c r="J261" s="16" t="str">
        <f aca="false">IF(H261&lt;=0.01,"Paid",IF(I261&lt;=30,"0-30",IF(I261&lt;=60,"31-60",IF(I261&lt;=90,"61-90","90+"))))</f>
        <v>Paid</v>
      </c>
      <c r="K261" s="16" t="str">
        <f aca="false">IF(H261&lt;=0.01,"Paid",IF(G261&gt;0,"Partially Paid","Unpaid"))</f>
        <v>Paid</v>
      </c>
    </row>
    <row r="262" customFormat="false" ht="15" hidden="false" customHeight="false" outlineLevel="0" collapsed="false">
      <c r="A262" s="16" t="str">
        <f aca="false">Vendor_Invoices_AP!A259</f>
        <v>INV30258</v>
      </c>
      <c r="B262" s="16" t="str">
        <f aca="false">Vendor_Invoices_AP!C259</f>
        <v>V1031</v>
      </c>
      <c r="C262" s="16" t="str">
        <f aca="false">IFERROR(INDEX(Vendor_Master!$B$2:$B$41,MATCH(B262,Vendor_Master!$A$2:$A$41,0)),"Unknown Vendor")</f>
        <v>Harrell LLC</v>
      </c>
      <c r="D262" s="17" t="n">
        <f aca="false">Vendor_Invoices_AP!D259</f>
        <v>45686</v>
      </c>
      <c r="E262" s="17" t="n">
        <f aca="false">Vendor_Invoices_AP!F259</f>
        <v>45701</v>
      </c>
      <c r="F262" s="18" t="n">
        <f aca="false">Vendor_Invoices_AP!E259</f>
        <v>618.31</v>
      </c>
      <c r="G262" s="18" t="n">
        <f aca="false">SUMIFS(Payment_Log_AP!$E$2:$E$753,Payment_Log_AP!$B$2:$B$753,A262)</f>
        <v>618.31</v>
      </c>
      <c r="H262" s="18" t="n">
        <f aca="false">F262-G262</f>
        <v>0</v>
      </c>
      <c r="I262" s="16" t="n">
        <f aca="false">IF(H262&lt;=0.01,0,MAX(Assumptions!$B$5-E262,0))</f>
        <v>0</v>
      </c>
      <c r="J262" s="16" t="str">
        <f aca="false">IF(H262&lt;=0.01,"Paid",IF(I262&lt;=30,"0-30",IF(I262&lt;=60,"31-60",IF(I262&lt;=90,"61-90","90+"))))</f>
        <v>Paid</v>
      </c>
      <c r="K262" s="16" t="str">
        <f aca="false">IF(H262&lt;=0.01,"Paid",IF(G262&gt;0,"Partially Paid","Unpaid"))</f>
        <v>Paid</v>
      </c>
    </row>
    <row r="263" customFormat="false" ht="15" hidden="false" customHeight="false" outlineLevel="0" collapsed="false">
      <c r="A263" s="16" t="str">
        <f aca="false">Vendor_Invoices_AP!A260</f>
        <v>INV30259</v>
      </c>
      <c r="B263" s="16" t="str">
        <f aca="false">Vendor_Invoices_AP!C260</f>
        <v>V1038</v>
      </c>
      <c r="C263" s="16" t="str">
        <f aca="false">IFERROR(INDEX(Vendor_Master!$B$2:$B$41,MATCH(B263,Vendor_Master!$A$2:$A$41,0)),"Unknown Vendor")</f>
        <v>Rose-Obrien</v>
      </c>
      <c r="D263" s="17" t="n">
        <f aca="false">Vendor_Invoices_AP!D260</f>
        <v>46146</v>
      </c>
      <c r="E263" s="17" t="n">
        <f aca="false">Vendor_Invoices_AP!F260</f>
        <v>46176</v>
      </c>
      <c r="F263" s="18" t="n">
        <f aca="false">Vendor_Invoices_AP!E260</f>
        <v>17214.28</v>
      </c>
      <c r="G263" s="18" t="n">
        <f aca="false">SUMIFS(Payment_Log_AP!$E$2:$E$753,Payment_Log_AP!$B$2:$B$753,A263)</f>
        <v>17214.28</v>
      </c>
      <c r="H263" s="18" t="n">
        <f aca="false">F263-G263</f>
        <v>0</v>
      </c>
      <c r="I263" s="16" t="n">
        <f aca="false">IF(H263&lt;=0.01,0,MAX(Assumptions!$B$5-E263,0))</f>
        <v>0</v>
      </c>
      <c r="J263" s="16" t="str">
        <f aca="false">IF(H263&lt;=0.01,"Paid",IF(I263&lt;=30,"0-30",IF(I263&lt;=60,"31-60",IF(I263&lt;=90,"61-90","90+"))))</f>
        <v>Paid</v>
      </c>
      <c r="K263" s="16" t="str">
        <f aca="false">IF(H263&lt;=0.01,"Paid",IF(G263&gt;0,"Partially Paid","Unpaid"))</f>
        <v>Paid</v>
      </c>
    </row>
    <row r="264" customFormat="false" ht="15" hidden="false" customHeight="false" outlineLevel="0" collapsed="false">
      <c r="A264" s="16" t="str">
        <f aca="false">Vendor_Invoices_AP!A261</f>
        <v>INV30260</v>
      </c>
      <c r="B264" s="16" t="str">
        <f aca="false">Vendor_Invoices_AP!C261</f>
        <v>V1005</v>
      </c>
      <c r="C264" s="16" t="str">
        <f aca="false">IFERROR(INDEX(Vendor_Master!$B$2:$B$41,MATCH(B264,Vendor_Master!$A$2:$A$41,0)),"Unknown Vendor")</f>
        <v>Cole LLC</v>
      </c>
      <c r="D264" s="17" t="n">
        <f aca="false">Vendor_Invoices_AP!D261</f>
        <v>45776</v>
      </c>
      <c r="E264" s="17" t="n">
        <f aca="false">Vendor_Invoices_AP!F261</f>
        <v>45791</v>
      </c>
      <c r="F264" s="18" t="n">
        <f aca="false">Vendor_Invoices_AP!E261</f>
        <v>518.98</v>
      </c>
      <c r="G264" s="18" t="n">
        <f aca="false">SUMIFS(Payment_Log_AP!$E$2:$E$753,Payment_Log_AP!$B$2:$B$753,A264)</f>
        <v>0</v>
      </c>
      <c r="H264" s="18" t="n">
        <f aca="false">F264-G264</f>
        <v>518.98</v>
      </c>
      <c r="I264" s="16" t="n">
        <f aca="false">IF(H264&lt;=0.01,0,MAX(Assumptions!$B$5-E264,0))</f>
        <v>443</v>
      </c>
      <c r="J264" s="16" t="str">
        <f aca="false">IF(H264&lt;=0.01,"Paid",IF(I264&lt;=30,"0-30",IF(I264&lt;=60,"31-60",IF(I264&lt;=90,"61-90","90+"))))</f>
        <v>90+</v>
      </c>
      <c r="K264" s="16" t="str">
        <f aca="false">IF(H264&lt;=0.01,"Paid",IF(G264&gt;0,"Partially Paid","Unpaid"))</f>
        <v>Unpaid</v>
      </c>
    </row>
    <row r="265" customFormat="false" ht="15" hidden="false" customHeight="false" outlineLevel="0" collapsed="false">
      <c r="A265" s="16" t="str">
        <f aca="false">Vendor_Invoices_AP!A262</f>
        <v>INV30261</v>
      </c>
      <c r="B265" s="16" t="str">
        <f aca="false">Vendor_Invoices_AP!C262</f>
        <v>V1020</v>
      </c>
      <c r="C265" s="16" t="str">
        <f aca="false">IFERROR(INDEX(Vendor_Master!$B$2:$B$41,MATCH(B265,Vendor_Master!$A$2:$A$41,0)),"Unknown Vendor")</f>
        <v>Lewis-Porter</v>
      </c>
      <c r="D265" s="17" t="n">
        <f aca="false">Vendor_Invoices_AP!D262</f>
        <v>45798</v>
      </c>
      <c r="E265" s="17" t="n">
        <f aca="false">Vendor_Invoices_AP!F262</f>
        <v>45828</v>
      </c>
      <c r="F265" s="18" t="n">
        <f aca="false">Vendor_Invoices_AP!E262</f>
        <v>1164.57</v>
      </c>
      <c r="G265" s="18" t="n">
        <f aca="false">SUMIFS(Payment_Log_AP!$E$2:$E$753,Payment_Log_AP!$B$2:$B$753,A265)</f>
        <v>1164.57</v>
      </c>
      <c r="H265" s="18" t="n">
        <f aca="false">F265-G265</f>
        <v>0</v>
      </c>
      <c r="I265" s="16" t="n">
        <f aca="false">IF(H265&lt;=0.01,0,MAX(Assumptions!$B$5-E265,0))</f>
        <v>0</v>
      </c>
      <c r="J265" s="16" t="str">
        <f aca="false">IF(H265&lt;=0.01,"Paid",IF(I265&lt;=30,"0-30",IF(I265&lt;=60,"31-60",IF(I265&lt;=90,"61-90","90+"))))</f>
        <v>Paid</v>
      </c>
      <c r="K265" s="16" t="str">
        <f aca="false">IF(H265&lt;=0.01,"Paid",IF(G265&gt;0,"Partially Paid","Unpaid"))</f>
        <v>Paid</v>
      </c>
    </row>
    <row r="266" customFormat="false" ht="15" hidden="false" customHeight="false" outlineLevel="0" collapsed="false">
      <c r="A266" s="16" t="str">
        <f aca="false">Vendor_Invoices_AP!A263</f>
        <v>INV30262</v>
      </c>
      <c r="B266" s="16" t="str">
        <f aca="false">Vendor_Invoices_AP!C263</f>
        <v>V1031</v>
      </c>
      <c r="C266" s="16" t="str">
        <f aca="false">IFERROR(INDEX(Vendor_Master!$B$2:$B$41,MATCH(B266,Vendor_Master!$A$2:$A$41,0)),"Unknown Vendor")</f>
        <v>Harrell LLC</v>
      </c>
      <c r="D266" s="17" t="n">
        <f aca="false">Vendor_Invoices_AP!D263</f>
        <v>46108</v>
      </c>
      <c r="E266" s="17" t="n">
        <f aca="false">Vendor_Invoices_AP!F263</f>
        <v>46123</v>
      </c>
      <c r="F266" s="18" t="n">
        <f aca="false">Vendor_Invoices_AP!E263</f>
        <v>796.57</v>
      </c>
      <c r="G266" s="18" t="n">
        <f aca="false">SUMIFS(Payment_Log_AP!$E$2:$E$753,Payment_Log_AP!$B$2:$B$753,A266)</f>
        <v>0</v>
      </c>
      <c r="H266" s="18" t="n">
        <f aca="false">F266-G266</f>
        <v>796.57</v>
      </c>
      <c r="I266" s="16" t="n">
        <f aca="false">IF(H266&lt;=0.01,0,MAX(Assumptions!$B$5-E266,0))</f>
        <v>111</v>
      </c>
      <c r="J266" s="16" t="str">
        <f aca="false">IF(H266&lt;=0.01,"Paid",IF(I266&lt;=30,"0-30",IF(I266&lt;=60,"31-60",IF(I266&lt;=90,"61-90","90+"))))</f>
        <v>90+</v>
      </c>
      <c r="K266" s="16" t="str">
        <f aca="false">IF(H266&lt;=0.01,"Paid",IF(G266&gt;0,"Partially Paid","Unpaid"))</f>
        <v>Unpaid</v>
      </c>
    </row>
    <row r="267" customFormat="false" ht="15" hidden="false" customHeight="false" outlineLevel="0" collapsed="false">
      <c r="A267" s="16" t="str">
        <f aca="false">Vendor_Invoices_AP!A264</f>
        <v>INV30263</v>
      </c>
      <c r="B267" s="16" t="str">
        <f aca="false">Vendor_Invoices_AP!C264</f>
        <v>V1030</v>
      </c>
      <c r="C267" s="16" t="str">
        <f aca="false">IFERROR(INDEX(Vendor_Master!$B$2:$B$41,MATCH(B267,Vendor_Master!$A$2:$A$41,0)),"Unknown Vendor")</f>
        <v>Stanton-Gill</v>
      </c>
      <c r="D267" s="17" t="n">
        <f aca="false">Vendor_Invoices_AP!D264</f>
        <v>45846</v>
      </c>
      <c r="E267" s="17" t="n">
        <f aca="false">Vendor_Invoices_AP!F264</f>
        <v>45906</v>
      </c>
      <c r="F267" s="18" t="n">
        <f aca="false">Vendor_Invoices_AP!E264</f>
        <v>1150.99</v>
      </c>
      <c r="G267" s="18" t="n">
        <f aca="false">SUMIFS(Payment_Log_AP!$E$2:$E$753,Payment_Log_AP!$B$2:$B$753,A267)</f>
        <v>1150.99</v>
      </c>
      <c r="H267" s="18" t="n">
        <f aca="false">F267-G267</f>
        <v>0</v>
      </c>
      <c r="I267" s="16" t="n">
        <f aca="false">IF(H267&lt;=0.01,0,MAX(Assumptions!$B$5-E267,0))</f>
        <v>0</v>
      </c>
      <c r="J267" s="16" t="str">
        <f aca="false">IF(H267&lt;=0.01,"Paid",IF(I267&lt;=30,"0-30",IF(I267&lt;=60,"31-60",IF(I267&lt;=90,"61-90","90+"))))</f>
        <v>Paid</v>
      </c>
      <c r="K267" s="16" t="str">
        <f aca="false">IF(H267&lt;=0.01,"Paid",IF(G267&gt;0,"Partially Paid","Unpaid"))</f>
        <v>Paid</v>
      </c>
    </row>
    <row r="268" customFormat="false" ht="15" hidden="false" customHeight="false" outlineLevel="0" collapsed="false">
      <c r="A268" s="16" t="str">
        <f aca="false">Vendor_Invoices_AP!A265</f>
        <v>INV30264</v>
      </c>
      <c r="B268" s="16" t="str">
        <f aca="false">Vendor_Invoices_AP!C265</f>
        <v>V1030</v>
      </c>
      <c r="C268" s="16" t="str">
        <f aca="false">IFERROR(INDEX(Vendor_Master!$B$2:$B$41,MATCH(B268,Vendor_Master!$A$2:$A$41,0)),"Unknown Vendor")</f>
        <v>Stanton-Gill</v>
      </c>
      <c r="D268" s="17" t="n">
        <f aca="false">Vendor_Invoices_AP!D265</f>
        <v>45864</v>
      </c>
      <c r="E268" s="17" t="n">
        <f aca="false">Vendor_Invoices_AP!F265</f>
        <v>45924</v>
      </c>
      <c r="F268" s="18" t="n">
        <f aca="false">Vendor_Invoices_AP!E265</f>
        <v>1219.73</v>
      </c>
      <c r="G268" s="18" t="n">
        <f aca="false">SUMIFS(Payment_Log_AP!$E$2:$E$753,Payment_Log_AP!$B$2:$B$753,A268)</f>
        <v>2439.46</v>
      </c>
      <c r="H268" s="18" t="n">
        <f aca="false">F268-G268</f>
        <v>-1219.73</v>
      </c>
      <c r="I268" s="16" t="n">
        <f aca="false">IF(H268&lt;=0.01,0,MAX(Assumptions!$B$5-E268,0))</f>
        <v>0</v>
      </c>
      <c r="J268" s="16" t="str">
        <f aca="false">IF(H268&lt;=0.01,"Paid",IF(I268&lt;=30,"0-30",IF(I268&lt;=60,"31-60",IF(I268&lt;=90,"61-90","90+"))))</f>
        <v>Paid</v>
      </c>
      <c r="K268" s="16" t="str">
        <f aca="false">IF(H268&lt;=0.01,"Paid",IF(G268&gt;0,"Partially Paid","Unpaid"))</f>
        <v>Paid</v>
      </c>
    </row>
    <row r="269" customFormat="false" ht="15" hidden="false" customHeight="false" outlineLevel="0" collapsed="false">
      <c r="A269" s="16" t="str">
        <f aca="false">Vendor_Invoices_AP!A266</f>
        <v>INV30265</v>
      </c>
      <c r="B269" s="16" t="str">
        <f aca="false">Vendor_Invoices_AP!C266</f>
        <v>V1007</v>
      </c>
      <c r="C269" s="16" t="str">
        <f aca="false">IFERROR(INDEX(Vendor_Master!$B$2:$B$41,MATCH(B269,Vendor_Master!$A$2:$A$41,0)),"Unknown Vendor")</f>
        <v>Ramirez-Lewis</v>
      </c>
      <c r="D269" s="17" t="n">
        <f aca="false">Vendor_Invoices_AP!D266</f>
        <v>46139</v>
      </c>
      <c r="E269" s="17" t="n">
        <f aca="false">Vendor_Invoices_AP!F266</f>
        <v>46154</v>
      </c>
      <c r="F269" s="18" t="n">
        <f aca="false">Vendor_Invoices_AP!E266</f>
        <v>2121.27</v>
      </c>
      <c r="G269" s="18" t="n">
        <f aca="false">SUMIFS(Payment_Log_AP!$E$2:$E$753,Payment_Log_AP!$B$2:$B$753,A269)</f>
        <v>2121.27</v>
      </c>
      <c r="H269" s="18" t="n">
        <f aca="false">F269-G269</f>
        <v>0</v>
      </c>
      <c r="I269" s="16" t="n">
        <f aca="false">IF(H269&lt;=0.01,0,MAX(Assumptions!$B$5-E269,0))</f>
        <v>0</v>
      </c>
      <c r="J269" s="16" t="str">
        <f aca="false">IF(H269&lt;=0.01,"Paid",IF(I269&lt;=30,"0-30",IF(I269&lt;=60,"31-60",IF(I269&lt;=90,"61-90","90+"))))</f>
        <v>Paid</v>
      </c>
      <c r="K269" s="16" t="str">
        <f aca="false">IF(H269&lt;=0.01,"Paid",IF(G269&gt;0,"Partially Paid","Unpaid"))</f>
        <v>Paid</v>
      </c>
    </row>
    <row r="270" customFormat="false" ht="15" hidden="false" customHeight="false" outlineLevel="0" collapsed="false">
      <c r="A270" s="16" t="str">
        <f aca="false">Vendor_Invoices_AP!A267</f>
        <v>INV30266</v>
      </c>
      <c r="B270" s="16" t="str">
        <f aca="false">Vendor_Invoices_AP!C267</f>
        <v>V1008</v>
      </c>
      <c r="C270" s="16" t="str">
        <f aca="false">IFERROR(INDEX(Vendor_Master!$B$2:$B$41,MATCH(B270,Vendor_Master!$A$2:$A$41,0)),"Unknown Vendor")</f>
        <v>Davis Inc</v>
      </c>
      <c r="D270" s="17" t="n">
        <f aca="false">Vendor_Invoices_AP!D267</f>
        <v>46052</v>
      </c>
      <c r="E270" s="17" t="n">
        <f aca="false">Vendor_Invoices_AP!F267</f>
        <v>46112</v>
      </c>
      <c r="F270" s="18" t="n">
        <f aca="false">Vendor_Invoices_AP!E267</f>
        <v>782.81</v>
      </c>
      <c r="G270" s="18" t="n">
        <f aca="false">SUMIFS(Payment_Log_AP!$E$2:$E$753,Payment_Log_AP!$B$2:$B$753,A270)</f>
        <v>782.81</v>
      </c>
      <c r="H270" s="18" t="n">
        <f aca="false">F270-G270</f>
        <v>0</v>
      </c>
      <c r="I270" s="16" t="n">
        <f aca="false">IF(H270&lt;=0.01,0,MAX(Assumptions!$B$5-E270,0))</f>
        <v>0</v>
      </c>
      <c r="J270" s="16" t="str">
        <f aca="false">IF(H270&lt;=0.01,"Paid",IF(I270&lt;=30,"0-30",IF(I270&lt;=60,"31-60",IF(I270&lt;=90,"61-90","90+"))))</f>
        <v>Paid</v>
      </c>
      <c r="K270" s="16" t="str">
        <f aca="false">IF(H270&lt;=0.01,"Paid",IF(G270&gt;0,"Partially Paid","Unpaid"))</f>
        <v>Paid</v>
      </c>
    </row>
    <row r="271" customFormat="false" ht="15" hidden="false" customHeight="false" outlineLevel="0" collapsed="false">
      <c r="A271" s="16" t="str">
        <f aca="false">Vendor_Invoices_AP!A268</f>
        <v>INV30267</v>
      </c>
      <c r="B271" s="16" t="str">
        <f aca="false">Vendor_Invoices_AP!C268</f>
        <v>V1007</v>
      </c>
      <c r="C271" s="16" t="str">
        <f aca="false">IFERROR(INDEX(Vendor_Master!$B$2:$B$41,MATCH(B271,Vendor_Master!$A$2:$A$41,0)),"Unknown Vendor")</f>
        <v>Ramirez-Lewis</v>
      </c>
      <c r="D271" s="17" t="n">
        <f aca="false">Vendor_Invoices_AP!D268</f>
        <v>45818</v>
      </c>
      <c r="E271" s="17" t="n">
        <f aca="false">Vendor_Invoices_AP!F268</f>
        <v>45833</v>
      </c>
      <c r="F271" s="18" t="n">
        <f aca="false">Vendor_Invoices_AP!E268</f>
        <v>231.64</v>
      </c>
      <c r="G271" s="18" t="n">
        <f aca="false">SUMIFS(Payment_Log_AP!$E$2:$E$753,Payment_Log_AP!$B$2:$B$753,A271)</f>
        <v>231.64</v>
      </c>
      <c r="H271" s="18" t="n">
        <f aca="false">F271-G271</f>
        <v>0</v>
      </c>
      <c r="I271" s="16" t="n">
        <f aca="false">IF(H271&lt;=0.01,0,MAX(Assumptions!$B$5-E271,0))</f>
        <v>0</v>
      </c>
      <c r="J271" s="16" t="str">
        <f aca="false">IF(H271&lt;=0.01,"Paid",IF(I271&lt;=30,"0-30",IF(I271&lt;=60,"31-60",IF(I271&lt;=90,"61-90","90+"))))</f>
        <v>Paid</v>
      </c>
      <c r="K271" s="16" t="str">
        <f aca="false">IF(H271&lt;=0.01,"Paid",IF(G271&gt;0,"Partially Paid","Unpaid"))</f>
        <v>Paid</v>
      </c>
    </row>
    <row r="272" customFormat="false" ht="15" hidden="false" customHeight="false" outlineLevel="0" collapsed="false">
      <c r="A272" s="16" t="str">
        <f aca="false">Vendor_Invoices_AP!A269</f>
        <v>INV30268</v>
      </c>
      <c r="B272" s="16" t="str">
        <f aca="false">Vendor_Invoices_AP!C269</f>
        <v>V1021</v>
      </c>
      <c r="C272" s="16" t="str">
        <f aca="false">IFERROR(INDEX(Vendor_Master!$B$2:$B$41,MATCH(B272,Vendor_Master!$A$2:$A$41,0)),"Unknown Vendor")</f>
        <v>Ellis, Baker and Wright</v>
      </c>
      <c r="D272" s="17" t="n">
        <f aca="false">Vendor_Invoices_AP!D269</f>
        <v>45683</v>
      </c>
      <c r="E272" s="17" t="n">
        <f aca="false">Vendor_Invoices_AP!F269</f>
        <v>45713</v>
      </c>
      <c r="F272" s="18" t="n">
        <f aca="false">Vendor_Invoices_AP!E269</f>
        <v>585.14</v>
      </c>
      <c r="G272" s="18" t="n">
        <f aca="false">SUMIFS(Payment_Log_AP!$E$2:$E$753,Payment_Log_AP!$B$2:$B$753,A272)</f>
        <v>585.14</v>
      </c>
      <c r="H272" s="18" t="n">
        <f aca="false">F272-G272</f>
        <v>0</v>
      </c>
      <c r="I272" s="16" t="n">
        <f aca="false">IF(H272&lt;=0.01,0,MAX(Assumptions!$B$5-E272,0))</f>
        <v>0</v>
      </c>
      <c r="J272" s="16" t="str">
        <f aca="false">IF(H272&lt;=0.01,"Paid",IF(I272&lt;=30,"0-30",IF(I272&lt;=60,"31-60",IF(I272&lt;=90,"61-90","90+"))))</f>
        <v>Paid</v>
      </c>
      <c r="K272" s="16" t="str">
        <f aca="false">IF(H272&lt;=0.01,"Paid",IF(G272&gt;0,"Partially Paid","Unpaid"))</f>
        <v>Paid</v>
      </c>
    </row>
    <row r="273" customFormat="false" ht="15" hidden="false" customHeight="false" outlineLevel="0" collapsed="false">
      <c r="A273" s="16" t="str">
        <f aca="false">Vendor_Invoices_AP!A270</f>
        <v>INV30269</v>
      </c>
      <c r="B273" s="16" t="str">
        <f aca="false">Vendor_Invoices_AP!C270</f>
        <v>V1022</v>
      </c>
      <c r="C273" s="16" t="str">
        <f aca="false">IFERROR(INDEX(Vendor_Master!$B$2:$B$41,MATCH(B273,Vendor_Master!$A$2:$A$41,0)),"Unknown Vendor")</f>
        <v>Burgess-Patterson</v>
      </c>
      <c r="D273" s="17" t="n">
        <f aca="false">Vendor_Invoices_AP!D270</f>
        <v>46177</v>
      </c>
      <c r="E273" s="17" t="n">
        <f aca="false">Vendor_Invoices_AP!F270</f>
        <v>46207</v>
      </c>
      <c r="F273" s="18" t="n">
        <f aca="false">Vendor_Invoices_AP!E270</f>
        <v>2715.46</v>
      </c>
      <c r="G273" s="18" t="n">
        <f aca="false">SUMIFS(Payment_Log_AP!$E$2:$E$753,Payment_Log_AP!$B$2:$B$753,A273)</f>
        <v>2715.46</v>
      </c>
      <c r="H273" s="18" t="n">
        <f aca="false">F273-G273</f>
        <v>0</v>
      </c>
      <c r="I273" s="16" t="n">
        <f aca="false">IF(H273&lt;=0.01,0,MAX(Assumptions!$B$5-E273,0))</f>
        <v>0</v>
      </c>
      <c r="J273" s="16" t="str">
        <f aca="false">IF(H273&lt;=0.01,"Paid",IF(I273&lt;=30,"0-30",IF(I273&lt;=60,"31-60",IF(I273&lt;=90,"61-90","90+"))))</f>
        <v>Paid</v>
      </c>
      <c r="K273" s="16" t="str">
        <f aca="false">IF(H273&lt;=0.01,"Paid",IF(G273&gt;0,"Partially Paid","Unpaid"))</f>
        <v>Paid</v>
      </c>
    </row>
    <row r="274" customFormat="false" ht="15" hidden="false" customHeight="false" outlineLevel="0" collapsed="false">
      <c r="A274" s="16" t="str">
        <f aca="false">Vendor_Invoices_AP!A271</f>
        <v>INV30270</v>
      </c>
      <c r="B274" s="16" t="str">
        <f aca="false">Vendor_Invoices_AP!C271</f>
        <v>V1008</v>
      </c>
      <c r="C274" s="16" t="str">
        <f aca="false">IFERROR(INDEX(Vendor_Master!$B$2:$B$41,MATCH(B274,Vendor_Master!$A$2:$A$41,0)),"Unknown Vendor")</f>
        <v>Davis Inc</v>
      </c>
      <c r="D274" s="17" t="n">
        <f aca="false">Vendor_Invoices_AP!D271</f>
        <v>45714</v>
      </c>
      <c r="E274" s="17" t="n">
        <f aca="false">Vendor_Invoices_AP!F271</f>
        <v>45774</v>
      </c>
      <c r="F274" s="18" t="n">
        <f aca="false">Vendor_Invoices_AP!E271</f>
        <v>2645.79</v>
      </c>
      <c r="G274" s="18" t="n">
        <f aca="false">SUMIFS(Payment_Log_AP!$E$2:$E$753,Payment_Log_AP!$B$2:$B$753,A274)</f>
        <v>0</v>
      </c>
      <c r="H274" s="18" t="n">
        <f aca="false">F274-G274</f>
        <v>2645.79</v>
      </c>
      <c r="I274" s="16" t="n">
        <f aca="false">IF(H274&lt;=0.01,0,MAX(Assumptions!$B$5-E274,0))</f>
        <v>460</v>
      </c>
      <c r="J274" s="16" t="str">
        <f aca="false">IF(H274&lt;=0.01,"Paid",IF(I274&lt;=30,"0-30",IF(I274&lt;=60,"31-60",IF(I274&lt;=90,"61-90","90+"))))</f>
        <v>90+</v>
      </c>
      <c r="K274" s="16" t="str">
        <f aca="false">IF(H274&lt;=0.01,"Paid",IF(G274&gt;0,"Partially Paid","Unpaid"))</f>
        <v>Unpaid</v>
      </c>
    </row>
    <row r="275" customFormat="false" ht="15" hidden="false" customHeight="false" outlineLevel="0" collapsed="false">
      <c r="A275" s="16" t="str">
        <f aca="false">Vendor_Invoices_AP!A272</f>
        <v>INV30271</v>
      </c>
      <c r="B275" s="16" t="str">
        <f aca="false">Vendor_Invoices_AP!C272</f>
        <v>V1022</v>
      </c>
      <c r="C275" s="16" t="str">
        <f aca="false">IFERROR(INDEX(Vendor_Master!$B$2:$B$41,MATCH(B275,Vendor_Master!$A$2:$A$41,0)),"Unknown Vendor")</f>
        <v>Burgess-Patterson</v>
      </c>
      <c r="D275" s="17" t="n">
        <f aca="false">Vendor_Invoices_AP!D272</f>
        <v>46059</v>
      </c>
      <c r="E275" s="17" t="n">
        <f aca="false">Vendor_Invoices_AP!F272</f>
        <v>46089</v>
      </c>
      <c r="F275" s="18" t="n">
        <f aca="false">Vendor_Invoices_AP!E272</f>
        <v>5917.43</v>
      </c>
      <c r="G275" s="18" t="n">
        <f aca="false">SUMIFS(Payment_Log_AP!$E$2:$E$753,Payment_Log_AP!$B$2:$B$753,A275)</f>
        <v>5917.43</v>
      </c>
      <c r="H275" s="18" t="n">
        <f aca="false">F275-G275</f>
        <v>0</v>
      </c>
      <c r="I275" s="16" t="n">
        <f aca="false">IF(H275&lt;=0.01,0,MAX(Assumptions!$B$5-E275,0))</f>
        <v>0</v>
      </c>
      <c r="J275" s="16" t="str">
        <f aca="false">IF(H275&lt;=0.01,"Paid",IF(I275&lt;=30,"0-30",IF(I275&lt;=60,"31-60",IF(I275&lt;=90,"61-90","90+"))))</f>
        <v>Paid</v>
      </c>
      <c r="K275" s="16" t="str">
        <f aca="false">IF(H275&lt;=0.01,"Paid",IF(G275&gt;0,"Partially Paid","Unpaid"))</f>
        <v>Paid</v>
      </c>
    </row>
    <row r="276" customFormat="false" ht="15" hidden="false" customHeight="false" outlineLevel="0" collapsed="false">
      <c r="A276" s="16" t="str">
        <f aca="false">Vendor_Invoices_AP!A273</f>
        <v>INV30272</v>
      </c>
      <c r="B276" s="16" t="str">
        <f aca="false">Vendor_Invoices_AP!C273</f>
        <v>V1003</v>
      </c>
      <c r="C276" s="16" t="str">
        <f aca="false">IFERROR(INDEX(Vendor_Master!$B$2:$B$41,MATCH(B276,Vendor_Master!$A$2:$A$41,0)),"Unknown Vendor")</f>
        <v>Johnson and Sons</v>
      </c>
      <c r="D276" s="17" t="n">
        <f aca="false">Vendor_Invoices_AP!D273</f>
        <v>45944</v>
      </c>
      <c r="E276" s="17" t="n">
        <f aca="false">Vendor_Invoices_AP!F273</f>
        <v>45959</v>
      </c>
      <c r="F276" s="18" t="n">
        <f aca="false">Vendor_Invoices_AP!E273</f>
        <v>866.85</v>
      </c>
      <c r="G276" s="18" t="n">
        <f aca="false">SUMIFS(Payment_Log_AP!$E$2:$E$753,Payment_Log_AP!$B$2:$B$753,A276)</f>
        <v>866.85</v>
      </c>
      <c r="H276" s="18" t="n">
        <f aca="false">F276-G276</f>
        <v>0</v>
      </c>
      <c r="I276" s="16" t="n">
        <f aca="false">IF(H276&lt;=0.01,0,MAX(Assumptions!$B$5-E276,0))</f>
        <v>0</v>
      </c>
      <c r="J276" s="16" t="str">
        <f aca="false">IF(H276&lt;=0.01,"Paid",IF(I276&lt;=30,"0-30",IF(I276&lt;=60,"31-60",IF(I276&lt;=90,"61-90","90+"))))</f>
        <v>Paid</v>
      </c>
      <c r="K276" s="16" t="str">
        <f aca="false">IF(H276&lt;=0.01,"Paid",IF(G276&gt;0,"Partially Paid","Unpaid"))</f>
        <v>Paid</v>
      </c>
    </row>
    <row r="277" customFormat="false" ht="15" hidden="false" customHeight="false" outlineLevel="0" collapsed="false">
      <c r="A277" s="16" t="str">
        <f aca="false">Vendor_Invoices_AP!A274</f>
        <v>INV30273</v>
      </c>
      <c r="B277" s="16" t="str">
        <f aca="false">Vendor_Invoices_AP!C274</f>
        <v>V1017</v>
      </c>
      <c r="C277" s="16" t="str">
        <f aca="false">IFERROR(INDEX(Vendor_Master!$B$2:$B$41,MATCH(B277,Vendor_Master!$A$2:$A$41,0)),"Unknown Vendor")</f>
        <v>Hawkins, Cohen and Cameron</v>
      </c>
      <c r="D277" s="17" t="n">
        <f aca="false">Vendor_Invoices_AP!D274</f>
        <v>46096</v>
      </c>
      <c r="E277" s="17" t="n">
        <f aca="false">Vendor_Invoices_AP!F274</f>
        <v>46141</v>
      </c>
      <c r="F277" s="18" t="n">
        <f aca="false">Vendor_Invoices_AP!E274</f>
        <v>5943.52</v>
      </c>
      <c r="G277" s="18" t="n">
        <f aca="false">SUMIFS(Payment_Log_AP!$E$2:$E$753,Payment_Log_AP!$B$2:$B$753,A277)</f>
        <v>5943.52</v>
      </c>
      <c r="H277" s="18" t="n">
        <f aca="false">F277-G277</f>
        <v>0</v>
      </c>
      <c r="I277" s="16" t="n">
        <f aca="false">IF(H277&lt;=0.01,0,MAX(Assumptions!$B$5-E277,0))</f>
        <v>0</v>
      </c>
      <c r="J277" s="16" t="str">
        <f aca="false">IF(H277&lt;=0.01,"Paid",IF(I277&lt;=30,"0-30",IF(I277&lt;=60,"31-60",IF(I277&lt;=90,"61-90","90+"))))</f>
        <v>Paid</v>
      </c>
      <c r="K277" s="16" t="str">
        <f aca="false">IF(H277&lt;=0.01,"Paid",IF(G277&gt;0,"Partially Paid","Unpaid"))</f>
        <v>Paid</v>
      </c>
    </row>
    <row r="278" customFormat="false" ht="15" hidden="false" customHeight="false" outlineLevel="0" collapsed="false">
      <c r="A278" s="16" t="str">
        <f aca="false">Vendor_Invoices_AP!A275</f>
        <v>INV30274</v>
      </c>
      <c r="B278" s="16" t="str">
        <f aca="false">Vendor_Invoices_AP!C275</f>
        <v>V1016</v>
      </c>
      <c r="C278" s="16" t="str">
        <f aca="false">IFERROR(INDEX(Vendor_Master!$B$2:$B$41,MATCH(B278,Vendor_Master!$A$2:$A$41,0)),"Unknown Vendor")</f>
        <v>Sanchez, Ford and Nelson</v>
      </c>
      <c r="D278" s="17" t="n">
        <f aca="false">Vendor_Invoices_AP!D275</f>
        <v>46051</v>
      </c>
      <c r="E278" s="17" t="n">
        <f aca="false">Vendor_Invoices_AP!F275</f>
        <v>46081</v>
      </c>
      <c r="F278" s="18" t="n">
        <f aca="false">Vendor_Invoices_AP!E275</f>
        <v>2495.51</v>
      </c>
      <c r="G278" s="18" t="n">
        <f aca="false">SUMIFS(Payment_Log_AP!$E$2:$E$753,Payment_Log_AP!$B$2:$B$753,A278)</f>
        <v>2495.51</v>
      </c>
      <c r="H278" s="18" t="n">
        <f aca="false">F278-G278</f>
        <v>0</v>
      </c>
      <c r="I278" s="16" t="n">
        <f aca="false">IF(H278&lt;=0.01,0,MAX(Assumptions!$B$5-E278,0))</f>
        <v>0</v>
      </c>
      <c r="J278" s="16" t="str">
        <f aca="false">IF(H278&lt;=0.01,"Paid",IF(I278&lt;=30,"0-30",IF(I278&lt;=60,"31-60",IF(I278&lt;=90,"61-90","90+"))))</f>
        <v>Paid</v>
      </c>
      <c r="K278" s="16" t="str">
        <f aca="false">IF(H278&lt;=0.01,"Paid",IF(G278&gt;0,"Partially Paid","Unpaid"))</f>
        <v>Paid</v>
      </c>
    </row>
    <row r="279" customFormat="false" ht="15" hidden="false" customHeight="false" outlineLevel="0" collapsed="false">
      <c r="A279" s="16" t="str">
        <f aca="false">Vendor_Invoices_AP!A276</f>
        <v>INV30275</v>
      </c>
      <c r="B279" s="16" t="str">
        <f aca="false">Vendor_Invoices_AP!C276</f>
        <v>V1004</v>
      </c>
      <c r="C279" s="16" t="str">
        <f aca="false">IFERROR(INDEX(Vendor_Master!$B$2:$B$41,MATCH(B279,Vendor_Master!$A$2:$A$41,0)),"Unknown Vendor")</f>
        <v>Johnson, Gonzalez and Santos</v>
      </c>
      <c r="D279" s="17" t="n">
        <f aca="false">Vendor_Invoices_AP!D276</f>
        <v>46034</v>
      </c>
      <c r="E279" s="17" t="n">
        <f aca="false">Vendor_Invoices_AP!F276</f>
        <v>46049</v>
      </c>
      <c r="F279" s="18" t="n">
        <f aca="false">Vendor_Invoices_AP!E276</f>
        <v>482.15</v>
      </c>
      <c r="G279" s="18" t="n">
        <f aca="false">SUMIFS(Payment_Log_AP!$E$2:$E$753,Payment_Log_AP!$B$2:$B$753,A279)</f>
        <v>0</v>
      </c>
      <c r="H279" s="18" t="n">
        <f aca="false">F279-G279</f>
        <v>482.15</v>
      </c>
      <c r="I279" s="16" t="n">
        <f aca="false">IF(H279&lt;=0.01,0,MAX(Assumptions!$B$5-E279,0))</f>
        <v>185</v>
      </c>
      <c r="J279" s="16" t="str">
        <f aca="false">IF(H279&lt;=0.01,"Paid",IF(I279&lt;=30,"0-30",IF(I279&lt;=60,"31-60",IF(I279&lt;=90,"61-90","90+"))))</f>
        <v>90+</v>
      </c>
      <c r="K279" s="16" t="str">
        <f aca="false">IF(H279&lt;=0.01,"Paid",IF(G279&gt;0,"Partially Paid","Unpaid"))</f>
        <v>Unpaid</v>
      </c>
    </row>
    <row r="280" customFormat="false" ht="15" hidden="false" customHeight="false" outlineLevel="0" collapsed="false">
      <c r="A280" s="16" t="str">
        <f aca="false">Vendor_Invoices_AP!A277</f>
        <v>INV30276</v>
      </c>
      <c r="B280" s="16" t="str">
        <f aca="false">Vendor_Invoices_AP!C277</f>
        <v>V1035</v>
      </c>
      <c r="C280" s="16" t="str">
        <f aca="false">IFERROR(INDEX(Vendor_Master!$B$2:$B$41,MATCH(B280,Vendor_Master!$A$2:$A$41,0)),"Unknown Vendor")</f>
        <v>Allen PLC</v>
      </c>
      <c r="D280" s="17" t="n">
        <f aca="false">Vendor_Invoices_AP!D277</f>
        <v>45930</v>
      </c>
      <c r="E280" s="17" t="n">
        <f aca="false">Vendor_Invoices_AP!F277</f>
        <v>45945</v>
      </c>
      <c r="F280" s="18" t="n">
        <f aca="false">Vendor_Invoices_AP!E277</f>
        <v>1274.7</v>
      </c>
      <c r="G280" s="18" t="n">
        <f aca="false">SUMIFS(Payment_Log_AP!$E$2:$E$753,Payment_Log_AP!$B$2:$B$753,A280)</f>
        <v>1274.7</v>
      </c>
      <c r="H280" s="18" t="n">
        <f aca="false">F280-G280</f>
        <v>0</v>
      </c>
      <c r="I280" s="16" t="n">
        <f aca="false">IF(H280&lt;=0.01,0,MAX(Assumptions!$B$5-E280,0))</f>
        <v>0</v>
      </c>
      <c r="J280" s="16" t="str">
        <f aca="false">IF(H280&lt;=0.01,"Paid",IF(I280&lt;=30,"0-30",IF(I280&lt;=60,"31-60",IF(I280&lt;=90,"61-90","90+"))))</f>
        <v>Paid</v>
      </c>
      <c r="K280" s="16" t="str">
        <f aca="false">IF(H280&lt;=0.01,"Paid",IF(G280&gt;0,"Partially Paid","Unpaid"))</f>
        <v>Paid</v>
      </c>
    </row>
    <row r="281" customFormat="false" ht="15" hidden="false" customHeight="false" outlineLevel="0" collapsed="false">
      <c r="A281" s="16" t="str">
        <f aca="false">Vendor_Invoices_AP!A278</f>
        <v>INV30277</v>
      </c>
      <c r="B281" s="16" t="str">
        <f aca="false">Vendor_Invoices_AP!C278</f>
        <v>V1003</v>
      </c>
      <c r="C281" s="16" t="str">
        <f aca="false">IFERROR(INDEX(Vendor_Master!$B$2:$B$41,MATCH(B281,Vendor_Master!$A$2:$A$41,0)),"Unknown Vendor")</f>
        <v>Johnson and Sons</v>
      </c>
      <c r="D281" s="17" t="n">
        <f aca="false">Vendor_Invoices_AP!D278</f>
        <v>46115</v>
      </c>
      <c r="E281" s="17" t="n">
        <f aca="false">Vendor_Invoices_AP!F278</f>
        <v>46130</v>
      </c>
      <c r="F281" s="18" t="n">
        <f aca="false">Vendor_Invoices_AP!E278</f>
        <v>2055.42</v>
      </c>
      <c r="G281" s="18" t="n">
        <f aca="false">SUMIFS(Payment_Log_AP!$E$2:$E$753,Payment_Log_AP!$B$2:$B$753,A281)</f>
        <v>2055.42</v>
      </c>
      <c r="H281" s="18" t="n">
        <f aca="false">F281-G281</f>
        <v>0</v>
      </c>
      <c r="I281" s="16" t="n">
        <f aca="false">IF(H281&lt;=0.01,0,MAX(Assumptions!$B$5-E281,0))</f>
        <v>0</v>
      </c>
      <c r="J281" s="16" t="str">
        <f aca="false">IF(H281&lt;=0.01,"Paid",IF(I281&lt;=30,"0-30",IF(I281&lt;=60,"31-60",IF(I281&lt;=90,"61-90","90+"))))</f>
        <v>Paid</v>
      </c>
      <c r="K281" s="16" t="str">
        <f aca="false">IF(H281&lt;=0.01,"Paid",IF(G281&gt;0,"Partially Paid","Unpaid"))</f>
        <v>Paid</v>
      </c>
    </row>
    <row r="282" customFormat="false" ht="15" hidden="false" customHeight="false" outlineLevel="0" collapsed="false">
      <c r="A282" s="16" t="str">
        <f aca="false">Vendor_Invoices_AP!A279</f>
        <v>INV30278</v>
      </c>
      <c r="B282" s="16" t="str">
        <f aca="false">Vendor_Invoices_AP!C279</f>
        <v>V1012</v>
      </c>
      <c r="C282" s="16" t="str">
        <f aca="false">IFERROR(INDEX(Vendor_Master!$B$2:$B$41,MATCH(B282,Vendor_Master!$A$2:$A$41,0)),"Unknown Vendor")</f>
        <v>Stanley LLC</v>
      </c>
      <c r="D282" s="17" t="n">
        <f aca="false">Vendor_Invoices_AP!D279</f>
        <v>45711</v>
      </c>
      <c r="E282" s="17" t="n">
        <f aca="false">Vendor_Invoices_AP!F279</f>
        <v>45771</v>
      </c>
      <c r="F282" s="18" t="n">
        <f aca="false">Vendor_Invoices_AP!E279</f>
        <v>8984.32</v>
      </c>
      <c r="G282" s="18" t="n">
        <f aca="false">SUMIFS(Payment_Log_AP!$E$2:$E$753,Payment_Log_AP!$B$2:$B$753,A282)</f>
        <v>8984.32</v>
      </c>
      <c r="H282" s="18" t="n">
        <f aca="false">F282-G282</f>
        <v>0</v>
      </c>
      <c r="I282" s="16" t="n">
        <f aca="false">IF(H282&lt;=0.01,0,MAX(Assumptions!$B$5-E282,0))</f>
        <v>0</v>
      </c>
      <c r="J282" s="16" t="str">
        <f aca="false">IF(H282&lt;=0.01,"Paid",IF(I282&lt;=30,"0-30",IF(I282&lt;=60,"31-60",IF(I282&lt;=90,"61-90","90+"))))</f>
        <v>Paid</v>
      </c>
      <c r="K282" s="16" t="str">
        <f aca="false">IF(H282&lt;=0.01,"Paid",IF(G282&gt;0,"Partially Paid","Unpaid"))</f>
        <v>Paid</v>
      </c>
    </row>
    <row r="283" customFormat="false" ht="15" hidden="false" customHeight="false" outlineLevel="0" collapsed="false">
      <c r="A283" s="16" t="str">
        <f aca="false">Vendor_Invoices_AP!A280</f>
        <v>INV30279</v>
      </c>
      <c r="B283" s="16" t="str">
        <f aca="false">Vendor_Invoices_AP!C280</f>
        <v>V1022</v>
      </c>
      <c r="C283" s="16" t="str">
        <f aca="false">IFERROR(INDEX(Vendor_Master!$B$2:$B$41,MATCH(B283,Vendor_Master!$A$2:$A$41,0)),"Unknown Vendor")</f>
        <v>Burgess-Patterson</v>
      </c>
      <c r="D283" s="17" t="n">
        <f aca="false">Vendor_Invoices_AP!D280</f>
        <v>45793</v>
      </c>
      <c r="E283" s="17" t="n">
        <f aca="false">Vendor_Invoices_AP!F280</f>
        <v>45823</v>
      </c>
      <c r="F283" s="18" t="n">
        <f aca="false">Vendor_Invoices_AP!E280</f>
        <v>4378.74</v>
      </c>
      <c r="G283" s="18" t="n">
        <f aca="false">SUMIFS(Payment_Log_AP!$E$2:$E$753,Payment_Log_AP!$B$2:$B$753,A283)</f>
        <v>4378.74</v>
      </c>
      <c r="H283" s="18" t="n">
        <f aca="false">F283-G283</f>
        <v>0</v>
      </c>
      <c r="I283" s="16" t="n">
        <f aca="false">IF(H283&lt;=0.01,0,MAX(Assumptions!$B$5-E283,0))</f>
        <v>0</v>
      </c>
      <c r="J283" s="16" t="str">
        <f aca="false">IF(H283&lt;=0.01,"Paid",IF(I283&lt;=30,"0-30",IF(I283&lt;=60,"31-60",IF(I283&lt;=90,"61-90","90+"))))</f>
        <v>Paid</v>
      </c>
      <c r="K283" s="16" t="str">
        <f aca="false">IF(H283&lt;=0.01,"Paid",IF(G283&gt;0,"Partially Paid","Unpaid"))</f>
        <v>Paid</v>
      </c>
    </row>
    <row r="284" customFormat="false" ht="15" hidden="false" customHeight="false" outlineLevel="0" collapsed="false">
      <c r="A284" s="16" t="str">
        <f aca="false">Vendor_Invoices_AP!A281</f>
        <v>INV30280</v>
      </c>
      <c r="B284" s="16" t="str">
        <f aca="false">Vendor_Invoices_AP!C281</f>
        <v>V1030</v>
      </c>
      <c r="C284" s="16" t="str">
        <f aca="false">IFERROR(INDEX(Vendor_Master!$B$2:$B$41,MATCH(B284,Vendor_Master!$A$2:$A$41,0)),"Unknown Vendor")</f>
        <v>Stanton-Gill</v>
      </c>
      <c r="D284" s="17" t="n">
        <f aca="false">Vendor_Invoices_AP!D281</f>
        <v>46044</v>
      </c>
      <c r="E284" s="17" t="n">
        <f aca="false">Vendor_Invoices_AP!F281</f>
        <v>46104</v>
      </c>
      <c r="F284" s="18" t="n">
        <f aca="false">Vendor_Invoices_AP!E281</f>
        <v>519.69</v>
      </c>
      <c r="G284" s="18" t="n">
        <f aca="false">SUMIFS(Payment_Log_AP!$E$2:$E$753,Payment_Log_AP!$B$2:$B$753,A284)</f>
        <v>519.69</v>
      </c>
      <c r="H284" s="18" t="n">
        <f aca="false">F284-G284</f>
        <v>0</v>
      </c>
      <c r="I284" s="16" t="n">
        <f aca="false">IF(H284&lt;=0.01,0,MAX(Assumptions!$B$5-E284,0))</f>
        <v>0</v>
      </c>
      <c r="J284" s="16" t="str">
        <f aca="false">IF(H284&lt;=0.01,"Paid",IF(I284&lt;=30,"0-30",IF(I284&lt;=60,"31-60",IF(I284&lt;=90,"61-90","90+"))))</f>
        <v>Paid</v>
      </c>
      <c r="K284" s="16" t="str">
        <f aca="false">IF(H284&lt;=0.01,"Paid",IF(G284&gt;0,"Partially Paid","Unpaid"))</f>
        <v>Paid</v>
      </c>
    </row>
    <row r="285" customFormat="false" ht="15" hidden="false" customHeight="false" outlineLevel="0" collapsed="false">
      <c r="A285" s="16" t="str">
        <f aca="false">Vendor_Invoices_AP!A282</f>
        <v>INV30281</v>
      </c>
      <c r="B285" s="16" t="str">
        <f aca="false">Vendor_Invoices_AP!C282</f>
        <v>V1017</v>
      </c>
      <c r="C285" s="16" t="str">
        <f aca="false">IFERROR(INDEX(Vendor_Master!$B$2:$B$41,MATCH(B285,Vendor_Master!$A$2:$A$41,0)),"Unknown Vendor")</f>
        <v>Hawkins, Cohen and Cameron</v>
      </c>
      <c r="D285" s="17" t="n">
        <f aca="false">Vendor_Invoices_AP!D282</f>
        <v>45826</v>
      </c>
      <c r="E285" s="17" t="n">
        <f aca="false">Vendor_Invoices_AP!F282</f>
        <v>45871</v>
      </c>
      <c r="F285" s="18" t="n">
        <f aca="false">Vendor_Invoices_AP!E282</f>
        <v>2656.9</v>
      </c>
      <c r="G285" s="18" t="n">
        <f aca="false">SUMIFS(Payment_Log_AP!$E$2:$E$753,Payment_Log_AP!$B$2:$B$753,A285)</f>
        <v>2656.9</v>
      </c>
      <c r="H285" s="18" t="n">
        <f aca="false">F285-G285</f>
        <v>0</v>
      </c>
      <c r="I285" s="16" t="n">
        <f aca="false">IF(H285&lt;=0.01,0,MAX(Assumptions!$B$5-E285,0))</f>
        <v>0</v>
      </c>
      <c r="J285" s="16" t="str">
        <f aca="false">IF(H285&lt;=0.01,"Paid",IF(I285&lt;=30,"0-30",IF(I285&lt;=60,"31-60",IF(I285&lt;=90,"61-90","90+"))))</f>
        <v>Paid</v>
      </c>
      <c r="K285" s="16" t="str">
        <f aca="false">IF(H285&lt;=0.01,"Paid",IF(G285&gt;0,"Partially Paid","Unpaid"))</f>
        <v>Paid</v>
      </c>
    </row>
    <row r="286" customFormat="false" ht="15" hidden="false" customHeight="false" outlineLevel="0" collapsed="false">
      <c r="A286" s="16" t="str">
        <f aca="false">Vendor_Invoices_AP!A283</f>
        <v>INV30282</v>
      </c>
      <c r="B286" s="16" t="str">
        <f aca="false">Vendor_Invoices_AP!C283</f>
        <v>V1016</v>
      </c>
      <c r="C286" s="16" t="str">
        <f aca="false">IFERROR(INDEX(Vendor_Master!$B$2:$B$41,MATCH(B286,Vendor_Master!$A$2:$A$41,0)),"Unknown Vendor")</f>
        <v>Sanchez, Ford and Nelson</v>
      </c>
      <c r="D286" s="17" t="n">
        <f aca="false">Vendor_Invoices_AP!D283</f>
        <v>45977</v>
      </c>
      <c r="E286" s="17" t="n">
        <f aca="false">Vendor_Invoices_AP!F283</f>
        <v>46007</v>
      </c>
      <c r="F286" s="18" t="n">
        <f aca="false">Vendor_Invoices_AP!E283</f>
        <v>611.97</v>
      </c>
      <c r="G286" s="18" t="n">
        <f aca="false">SUMIFS(Payment_Log_AP!$E$2:$E$753,Payment_Log_AP!$B$2:$B$753,A286)</f>
        <v>611.97</v>
      </c>
      <c r="H286" s="18" t="n">
        <f aca="false">F286-G286</f>
        <v>0</v>
      </c>
      <c r="I286" s="16" t="n">
        <f aca="false">IF(H286&lt;=0.01,0,MAX(Assumptions!$B$5-E286,0))</f>
        <v>0</v>
      </c>
      <c r="J286" s="16" t="str">
        <f aca="false">IF(H286&lt;=0.01,"Paid",IF(I286&lt;=30,"0-30",IF(I286&lt;=60,"31-60",IF(I286&lt;=90,"61-90","90+"))))</f>
        <v>Paid</v>
      </c>
      <c r="K286" s="16" t="str">
        <f aca="false">IF(H286&lt;=0.01,"Paid",IF(G286&gt;0,"Partially Paid","Unpaid"))</f>
        <v>Paid</v>
      </c>
    </row>
    <row r="287" customFormat="false" ht="15" hidden="false" customHeight="false" outlineLevel="0" collapsed="false">
      <c r="A287" s="16" t="str">
        <f aca="false">Vendor_Invoices_AP!A284</f>
        <v>INV30283</v>
      </c>
      <c r="B287" s="16" t="str">
        <f aca="false">Vendor_Invoices_AP!C284</f>
        <v>V1015</v>
      </c>
      <c r="C287" s="16" t="str">
        <f aca="false">IFERROR(INDEX(Vendor_Master!$B$2:$B$41,MATCH(B287,Vendor_Master!$A$2:$A$41,0)),"Unknown Vendor")</f>
        <v>Zuniga, Wong and Lynch</v>
      </c>
      <c r="D287" s="17" t="n">
        <f aca="false">Vendor_Invoices_AP!D284</f>
        <v>45934</v>
      </c>
      <c r="E287" s="17" t="n">
        <f aca="false">Vendor_Invoices_AP!F284</f>
        <v>45964</v>
      </c>
      <c r="F287" s="18" t="n">
        <f aca="false">Vendor_Invoices_AP!E284</f>
        <v>3378.98</v>
      </c>
      <c r="G287" s="18" t="n">
        <f aca="false">SUMIFS(Payment_Log_AP!$E$2:$E$753,Payment_Log_AP!$B$2:$B$753,A287)</f>
        <v>3378.98</v>
      </c>
      <c r="H287" s="18" t="n">
        <f aca="false">F287-G287</f>
        <v>0</v>
      </c>
      <c r="I287" s="16" t="n">
        <f aca="false">IF(H287&lt;=0.01,0,MAX(Assumptions!$B$5-E287,0))</f>
        <v>0</v>
      </c>
      <c r="J287" s="16" t="str">
        <f aca="false">IF(H287&lt;=0.01,"Paid",IF(I287&lt;=30,"0-30",IF(I287&lt;=60,"31-60",IF(I287&lt;=90,"61-90","90+"))))</f>
        <v>Paid</v>
      </c>
      <c r="K287" s="16" t="str">
        <f aca="false">IF(H287&lt;=0.01,"Paid",IF(G287&gt;0,"Partially Paid","Unpaid"))</f>
        <v>Paid</v>
      </c>
    </row>
    <row r="288" customFormat="false" ht="15" hidden="false" customHeight="false" outlineLevel="0" collapsed="false">
      <c r="A288" s="16" t="str">
        <f aca="false">Vendor_Invoices_AP!A285</f>
        <v>INV30284</v>
      </c>
      <c r="B288" s="16" t="str">
        <f aca="false">Vendor_Invoices_AP!C285</f>
        <v>V1026</v>
      </c>
      <c r="C288" s="16" t="str">
        <f aca="false">IFERROR(INDEX(Vendor_Master!$B$2:$B$41,MATCH(B288,Vendor_Master!$A$2:$A$41,0)),"Unknown Vendor")</f>
        <v>James-Ferrell</v>
      </c>
      <c r="D288" s="17" t="n">
        <f aca="false">Vendor_Invoices_AP!D285</f>
        <v>45971</v>
      </c>
      <c r="E288" s="17" t="n">
        <f aca="false">Vendor_Invoices_AP!F285</f>
        <v>46031</v>
      </c>
      <c r="F288" s="18" t="n">
        <f aca="false">Vendor_Invoices_AP!E285</f>
        <v>1729.73</v>
      </c>
      <c r="G288" s="18" t="n">
        <f aca="false">SUMIFS(Payment_Log_AP!$E$2:$E$753,Payment_Log_AP!$B$2:$B$753,A288)</f>
        <v>0</v>
      </c>
      <c r="H288" s="18" t="n">
        <f aca="false">F288-G288</f>
        <v>1729.73</v>
      </c>
      <c r="I288" s="16" t="n">
        <f aca="false">IF(H288&lt;=0.01,0,MAX(Assumptions!$B$5-E288,0))</f>
        <v>203</v>
      </c>
      <c r="J288" s="16" t="str">
        <f aca="false">IF(H288&lt;=0.01,"Paid",IF(I288&lt;=30,"0-30",IF(I288&lt;=60,"31-60",IF(I288&lt;=90,"61-90","90+"))))</f>
        <v>90+</v>
      </c>
      <c r="K288" s="16" t="str">
        <f aca="false">IF(H288&lt;=0.01,"Paid",IF(G288&gt;0,"Partially Paid","Unpaid"))</f>
        <v>Unpaid</v>
      </c>
    </row>
    <row r="289" customFormat="false" ht="15" hidden="false" customHeight="false" outlineLevel="0" collapsed="false">
      <c r="A289" s="16" t="str">
        <f aca="false">Vendor_Invoices_AP!A286</f>
        <v>INV30285</v>
      </c>
      <c r="B289" s="16" t="str">
        <f aca="false">Vendor_Invoices_AP!C286</f>
        <v>V1005</v>
      </c>
      <c r="C289" s="16" t="str">
        <f aca="false">IFERROR(INDEX(Vendor_Master!$B$2:$B$41,MATCH(B289,Vendor_Master!$A$2:$A$41,0)),"Unknown Vendor")</f>
        <v>Cole LLC</v>
      </c>
      <c r="D289" s="17" t="n">
        <f aca="false">Vendor_Invoices_AP!D286</f>
        <v>45914</v>
      </c>
      <c r="E289" s="17" t="n">
        <f aca="false">Vendor_Invoices_AP!F286</f>
        <v>45929</v>
      </c>
      <c r="F289" s="18" t="n">
        <f aca="false">Vendor_Invoices_AP!E286</f>
        <v>225.68</v>
      </c>
      <c r="G289" s="18" t="n">
        <f aca="false">SUMIFS(Payment_Log_AP!$E$2:$E$753,Payment_Log_AP!$B$2:$B$753,A289)</f>
        <v>225.68</v>
      </c>
      <c r="H289" s="18" t="n">
        <f aca="false">F289-G289</f>
        <v>0</v>
      </c>
      <c r="I289" s="16" t="n">
        <f aca="false">IF(H289&lt;=0.01,0,MAX(Assumptions!$B$5-E289,0))</f>
        <v>0</v>
      </c>
      <c r="J289" s="16" t="str">
        <f aca="false">IF(H289&lt;=0.01,"Paid",IF(I289&lt;=30,"0-30",IF(I289&lt;=60,"31-60",IF(I289&lt;=90,"61-90","90+"))))</f>
        <v>Paid</v>
      </c>
      <c r="K289" s="16" t="str">
        <f aca="false">IF(H289&lt;=0.01,"Paid",IF(G289&gt;0,"Partially Paid","Unpaid"))</f>
        <v>Paid</v>
      </c>
    </row>
    <row r="290" customFormat="false" ht="15" hidden="false" customHeight="false" outlineLevel="0" collapsed="false">
      <c r="A290" s="16" t="str">
        <f aca="false">Vendor_Invoices_AP!A287</f>
        <v>INV30286</v>
      </c>
      <c r="B290" s="16" t="str">
        <f aca="false">Vendor_Invoices_AP!C287</f>
        <v>V1004</v>
      </c>
      <c r="C290" s="16" t="str">
        <f aca="false">IFERROR(INDEX(Vendor_Master!$B$2:$B$41,MATCH(B290,Vendor_Master!$A$2:$A$41,0)),"Unknown Vendor")</f>
        <v>Johnson, Gonzalez and Santos</v>
      </c>
      <c r="D290" s="17" t="n">
        <f aca="false">Vendor_Invoices_AP!D287</f>
        <v>46085</v>
      </c>
      <c r="E290" s="17" t="n">
        <f aca="false">Vendor_Invoices_AP!F287</f>
        <v>46100</v>
      </c>
      <c r="F290" s="18" t="n">
        <f aca="false">Vendor_Invoices_AP!E287</f>
        <v>1424.85</v>
      </c>
      <c r="G290" s="18" t="n">
        <f aca="false">SUMIFS(Payment_Log_AP!$E$2:$E$753,Payment_Log_AP!$B$2:$B$753,A290)</f>
        <v>1424.85</v>
      </c>
      <c r="H290" s="18" t="n">
        <f aca="false">F290-G290</f>
        <v>0</v>
      </c>
      <c r="I290" s="16" t="n">
        <f aca="false">IF(H290&lt;=0.01,0,MAX(Assumptions!$B$5-E290,0))</f>
        <v>0</v>
      </c>
      <c r="J290" s="16" t="str">
        <f aca="false">IF(H290&lt;=0.01,"Paid",IF(I290&lt;=30,"0-30",IF(I290&lt;=60,"31-60",IF(I290&lt;=90,"61-90","90+"))))</f>
        <v>Paid</v>
      </c>
      <c r="K290" s="16" t="str">
        <f aca="false">IF(H290&lt;=0.01,"Paid",IF(G290&gt;0,"Partially Paid","Unpaid"))</f>
        <v>Paid</v>
      </c>
    </row>
    <row r="291" customFormat="false" ht="15" hidden="false" customHeight="false" outlineLevel="0" collapsed="false">
      <c r="A291" s="16" t="str">
        <f aca="false">Vendor_Invoices_AP!A288</f>
        <v>INV30287</v>
      </c>
      <c r="B291" s="16" t="str">
        <f aca="false">Vendor_Invoices_AP!C288</f>
        <v>V1040</v>
      </c>
      <c r="C291" s="16" t="str">
        <f aca="false">IFERROR(INDEX(Vendor_Master!$B$2:$B$41,MATCH(B291,Vendor_Master!$A$2:$A$41,0)),"Unknown Vendor")</f>
        <v>Santos, Kim and Holmes</v>
      </c>
      <c r="D291" s="17" t="n">
        <f aca="false">Vendor_Invoices_AP!D288</f>
        <v>45853</v>
      </c>
      <c r="E291" s="17" t="n">
        <f aca="false">Vendor_Invoices_AP!F288</f>
        <v>45868</v>
      </c>
      <c r="F291" s="18" t="n">
        <f aca="false">Vendor_Invoices_AP!E288</f>
        <v>643.44</v>
      </c>
      <c r="G291" s="18" t="n">
        <f aca="false">SUMIFS(Payment_Log_AP!$E$2:$E$753,Payment_Log_AP!$B$2:$B$753,A291)</f>
        <v>643.44</v>
      </c>
      <c r="H291" s="18" t="n">
        <f aca="false">F291-G291</f>
        <v>0</v>
      </c>
      <c r="I291" s="16" t="n">
        <f aca="false">IF(H291&lt;=0.01,0,MAX(Assumptions!$B$5-E291,0))</f>
        <v>0</v>
      </c>
      <c r="J291" s="16" t="str">
        <f aca="false">IF(H291&lt;=0.01,"Paid",IF(I291&lt;=30,"0-30",IF(I291&lt;=60,"31-60",IF(I291&lt;=90,"61-90","90+"))))</f>
        <v>Paid</v>
      </c>
      <c r="K291" s="16" t="str">
        <f aca="false">IF(H291&lt;=0.01,"Paid",IF(G291&gt;0,"Partially Paid","Unpaid"))</f>
        <v>Paid</v>
      </c>
    </row>
    <row r="292" customFormat="false" ht="15" hidden="false" customHeight="false" outlineLevel="0" collapsed="false">
      <c r="A292" s="16" t="str">
        <f aca="false">Vendor_Invoices_AP!A289</f>
        <v>INV30288</v>
      </c>
      <c r="B292" s="16" t="str">
        <f aca="false">Vendor_Invoices_AP!C289</f>
        <v>V1018</v>
      </c>
      <c r="C292" s="16" t="str">
        <f aca="false">IFERROR(INDEX(Vendor_Master!$B$2:$B$41,MATCH(B292,Vendor_Master!$A$2:$A$41,0)),"Unknown Vendor")</f>
        <v>Underwood LLC</v>
      </c>
      <c r="D292" s="17" t="n">
        <f aca="false">Vendor_Invoices_AP!D289</f>
        <v>46047</v>
      </c>
      <c r="E292" s="17" t="n">
        <f aca="false">Vendor_Invoices_AP!F289</f>
        <v>46077</v>
      </c>
      <c r="F292" s="18" t="n">
        <f aca="false">Vendor_Invoices_AP!E289</f>
        <v>560.8</v>
      </c>
      <c r="G292" s="18" t="n">
        <f aca="false">SUMIFS(Payment_Log_AP!$E$2:$E$753,Payment_Log_AP!$B$2:$B$753,A292)</f>
        <v>0</v>
      </c>
      <c r="H292" s="18" t="n">
        <f aca="false">F292-G292</f>
        <v>560.8</v>
      </c>
      <c r="I292" s="16" t="n">
        <f aca="false">IF(H292&lt;=0.01,0,MAX(Assumptions!$B$5-E292,0))</f>
        <v>157</v>
      </c>
      <c r="J292" s="16" t="str">
        <f aca="false">IF(H292&lt;=0.01,"Paid",IF(I292&lt;=30,"0-30",IF(I292&lt;=60,"31-60",IF(I292&lt;=90,"61-90","90+"))))</f>
        <v>90+</v>
      </c>
      <c r="K292" s="16" t="str">
        <f aca="false">IF(H292&lt;=0.01,"Paid",IF(G292&gt;0,"Partially Paid","Unpaid"))</f>
        <v>Unpaid</v>
      </c>
    </row>
    <row r="293" customFormat="false" ht="15" hidden="false" customHeight="false" outlineLevel="0" collapsed="false">
      <c r="A293" s="16" t="str">
        <f aca="false">Vendor_Invoices_AP!A290</f>
        <v>INV30289</v>
      </c>
      <c r="B293" s="16" t="str">
        <f aca="false">Vendor_Invoices_AP!C290</f>
        <v>V1038</v>
      </c>
      <c r="C293" s="16" t="str">
        <f aca="false">IFERROR(INDEX(Vendor_Master!$B$2:$B$41,MATCH(B293,Vendor_Master!$A$2:$A$41,0)),"Unknown Vendor")</f>
        <v>Rose-Obrien</v>
      </c>
      <c r="D293" s="17" t="n">
        <f aca="false">Vendor_Invoices_AP!D290</f>
        <v>45830</v>
      </c>
      <c r="E293" s="17" t="n">
        <f aca="false">Vendor_Invoices_AP!F290</f>
        <v>45860</v>
      </c>
      <c r="F293" s="18" t="n">
        <f aca="false">Vendor_Invoices_AP!E290</f>
        <v>289.77</v>
      </c>
      <c r="G293" s="18" t="n">
        <f aca="false">SUMIFS(Payment_Log_AP!$E$2:$E$753,Payment_Log_AP!$B$2:$B$753,A293)</f>
        <v>289.77</v>
      </c>
      <c r="H293" s="18" t="n">
        <f aca="false">F293-G293</f>
        <v>0</v>
      </c>
      <c r="I293" s="16" t="n">
        <f aca="false">IF(H293&lt;=0.01,0,MAX(Assumptions!$B$5-E293,0))</f>
        <v>0</v>
      </c>
      <c r="J293" s="16" t="str">
        <f aca="false">IF(H293&lt;=0.01,"Paid",IF(I293&lt;=30,"0-30",IF(I293&lt;=60,"31-60",IF(I293&lt;=90,"61-90","90+"))))</f>
        <v>Paid</v>
      </c>
      <c r="K293" s="16" t="str">
        <f aca="false">IF(H293&lt;=0.01,"Paid",IF(G293&gt;0,"Partially Paid","Unpaid"))</f>
        <v>Paid</v>
      </c>
    </row>
    <row r="294" customFormat="false" ht="15" hidden="false" customHeight="false" outlineLevel="0" collapsed="false">
      <c r="A294" s="16" t="str">
        <f aca="false">Vendor_Invoices_AP!A291</f>
        <v>INV30290</v>
      </c>
      <c r="B294" s="16" t="str">
        <f aca="false">Vendor_Invoices_AP!C291</f>
        <v>V1011</v>
      </c>
      <c r="C294" s="16" t="str">
        <f aca="false">IFERROR(INDEX(Vendor_Master!$B$2:$B$41,MATCH(B294,Vendor_Master!$A$2:$A$41,0)),"Unknown Vendor")</f>
        <v>Montgomery, Hensley and Ray</v>
      </c>
      <c r="D294" s="17" t="n">
        <f aca="false">Vendor_Invoices_AP!D291</f>
        <v>45813</v>
      </c>
      <c r="E294" s="17" t="n">
        <f aca="false">Vendor_Invoices_AP!F291</f>
        <v>45858</v>
      </c>
      <c r="F294" s="18" t="n">
        <f aca="false">Vendor_Invoices_AP!E291</f>
        <v>325.7</v>
      </c>
      <c r="G294" s="18" t="n">
        <f aca="false">SUMIFS(Payment_Log_AP!$E$2:$E$753,Payment_Log_AP!$B$2:$B$753,A294)</f>
        <v>325.7</v>
      </c>
      <c r="H294" s="18" t="n">
        <f aca="false">F294-G294</f>
        <v>0</v>
      </c>
      <c r="I294" s="16" t="n">
        <f aca="false">IF(H294&lt;=0.01,0,MAX(Assumptions!$B$5-E294,0))</f>
        <v>0</v>
      </c>
      <c r="J294" s="16" t="str">
        <f aca="false">IF(H294&lt;=0.01,"Paid",IF(I294&lt;=30,"0-30",IF(I294&lt;=60,"31-60",IF(I294&lt;=90,"61-90","90+"))))</f>
        <v>Paid</v>
      </c>
      <c r="K294" s="16" t="str">
        <f aca="false">IF(H294&lt;=0.01,"Paid",IF(G294&gt;0,"Partially Paid","Unpaid"))</f>
        <v>Paid</v>
      </c>
    </row>
    <row r="295" customFormat="false" ht="15" hidden="false" customHeight="false" outlineLevel="0" collapsed="false">
      <c r="A295" s="16" t="str">
        <f aca="false">Vendor_Invoices_AP!A292</f>
        <v>INV30291</v>
      </c>
      <c r="B295" s="16" t="str">
        <f aca="false">Vendor_Invoices_AP!C292</f>
        <v>V1031</v>
      </c>
      <c r="C295" s="16" t="str">
        <f aca="false">IFERROR(INDEX(Vendor_Master!$B$2:$B$41,MATCH(B295,Vendor_Master!$A$2:$A$41,0)),"Unknown Vendor")</f>
        <v>Harrell LLC</v>
      </c>
      <c r="D295" s="17" t="n">
        <f aca="false">Vendor_Invoices_AP!D292</f>
        <v>45729</v>
      </c>
      <c r="E295" s="17" t="n">
        <f aca="false">Vendor_Invoices_AP!F292</f>
        <v>45744</v>
      </c>
      <c r="F295" s="18" t="n">
        <f aca="false">Vendor_Invoices_AP!E292</f>
        <v>8611.23</v>
      </c>
      <c r="G295" s="18" t="n">
        <f aca="false">SUMIFS(Payment_Log_AP!$E$2:$E$753,Payment_Log_AP!$B$2:$B$753,A295)</f>
        <v>8611.23</v>
      </c>
      <c r="H295" s="18" t="n">
        <f aca="false">F295-G295</f>
        <v>0</v>
      </c>
      <c r="I295" s="16" t="n">
        <f aca="false">IF(H295&lt;=0.01,0,MAX(Assumptions!$B$5-E295,0))</f>
        <v>0</v>
      </c>
      <c r="J295" s="16" t="str">
        <f aca="false">IF(H295&lt;=0.01,"Paid",IF(I295&lt;=30,"0-30",IF(I295&lt;=60,"31-60",IF(I295&lt;=90,"61-90","90+"))))</f>
        <v>Paid</v>
      </c>
      <c r="K295" s="16" t="str">
        <f aca="false">IF(H295&lt;=0.01,"Paid",IF(G295&gt;0,"Partially Paid","Unpaid"))</f>
        <v>Paid</v>
      </c>
    </row>
    <row r="296" customFormat="false" ht="15" hidden="false" customHeight="false" outlineLevel="0" collapsed="false">
      <c r="A296" s="16" t="str">
        <f aca="false">Vendor_Invoices_AP!A293</f>
        <v>INV30292</v>
      </c>
      <c r="B296" s="16" t="str">
        <f aca="false">Vendor_Invoices_AP!C293</f>
        <v>V1005</v>
      </c>
      <c r="C296" s="16" t="str">
        <f aca="false">IFERROR(INDEX(Vendor_Master!$B$2:$B$41,MATCH(B296,Vendor_Master!$A$2:$A$41,0)),"Unknown Vendor")</f>
        <v>Cole LLC</v>
      </c>
      <c r="D296" s="17" t="n">
        <f aca="false">Vendor_Invoices_AP!D293</f>
        <v>45776</v>
      </c>
      <c r="E296" s="17" t="n">
        <f aca="false">Vendor_Invoices_AP!F293</f>
        <v>45791</v>
      </c>
      <c r="F296" s="18" t="n">
        <f aca="false">Vendor_Invoices_AP!E293</f>
        <v>1496.91</v>
      </c>
      <c r="G296" s="18" t="n">
        <f aca="false">SUMIFS(Payment_Log_AP!$E$2:$E$753,Payment_Log_AP!$B$2:$B$753,A296)</f>
        <v>1496.91</v>
      </c>
      <c r="H296" s="18" t="n">
        <f aca="false">F296-G296</f>
        <v>0</v>
      </c>
      <c r="I296" s="16" t="n">
        <f aca="false">IF(H296&lt;=0.01,0,MAX(Assumptions!$B$5-E296,0))</f>
        <v>0</v>
      </c>
      <c r="J296" s="16" t="str">
        <f aca="false">IF(H296&lt;=0.01,"Paid",IF(I296&lt;=30,"0-30",IF(I296&lt;=60,"31-60",IF(I296&lt;=90,"61-90","90+"))))</f>
        <v>Paid</v>
      </c>
      <c r="K296" s="16" t="str">
        <f aca="false">IF(H296&lt;=0.01,"Paid",IF(G296&gt;0,"Partially Paid","Unpaid"))</f>
        <v>Paid</v>
      </c>
    </row>
    <row r="297" customFormat="false" ht="15" hidden="false" customHeight="false" outlineLevel="0" collapsed="false">
      <c r="A297" s="16" t="str">
        <f aca="false">Vendor_Invoices_AP!A294</f>
        <v>INV30293</v>
      </c>
      <c r="B297" s="16" t="str">
        <f aca="false">Vendor_Invoices_AP!C294</f>
        <v>V1031</v>
      </c>
      <c r="C297" s="16" t="str">
        <f aca="false">IFERROR(INDEX(Vendor_Master!$B$2:$B$41,MATCH(B297,Vendor_Master!$A$2:$A$41,0)),"Unknown Vendor")</f>
        <v>Harrell LLC</v>
      </c>
      <c r="D297" s="17" t="n">
        <f aca="false">Vendor_Invoices_AP!D294</f>
        <v>45744</v>
      </c>
      <c r="E297" s="17" t="n">
        <f aca="false">Vendor_Invoices_AP!F294</f>
        <v>45759</v>
      </c>
      <c r="F297" s="18" t="n">
        <f aca="false">Vendor_Invoices_AP!E294</f>
        <v>6053.15</v>
      </c>
      <c r="G297" s="18" t="n">
        <f aca="false">SUMIFS(Payment_Log_AP!$E$2:$E$753,Payment_Log_AP!$B$2:$B$753,A297)</f>
        <v>6053.15</v>
      </c>
      <c r="H297" s="18" t="n">
        <f aca="false">F297-G297</f>
        <v>0</v>
      </c>
      <c r="I297" s="16" t="n">
        <f aca="false">IF(H297&lt;=0.01,0,MAX(Assumptions!$B$5-E297,0))</f>
        <v>0</v>
      </c>
      <c r="J297" s="16" t="str">
        <f aca="false">IF(H297&lt;=0.01,"Paid",IF(I297&lt;=30,"0-30",IF(I297&lt;=60,"31-60",IF(I297&lt;=90,"61-90","90+"))))</f>
        <v>Paid</v>
      </c>
      <c r="K297" s="16" t="str">
        <f aca="false">IF(H297&lt;=0.01,"Paid",IF(G297&gt;0,"Partially Paid","Unpaid"))</f>
        <v>Paid</v>
      </c>
    </row>
    <row r="298" customFormat="false" ht="15" hidden="false" customHeight="false" outlineLevel="0" collapsed="false">
      <c r="A298" s="16" t="str">
        <f aca="false">Vendor_Invoices_AP!A295</f>
        <v>INV30294</v>
      </c>
      <c r="B298" s="16" t="str">
        <f aca="false">Vendor_Invoices_AP!C295</f>
        <v>V1035</v>
      </c>
      <c r="C298" s="16" t="str">
        <f aca="false">IFERROR(INDEX(Vendor_Master!$B$2:$B$41,MATCH(B298,Vendor_Master!$A$2:$A$41,0)),"Unknown Vendor")</f>
        <v>Allen PLC</v>
      </c>
      <c r="D298" s="17" t="n">
        <f aca="false">Vendor_Invoices_AP!D295</f>
        <v>45959</v>
      </c>
      <c r="E298" s="17" t="n">
        <f aca="false">Vendor_Invoices_AP!F295</f>
        <v>45974</v>
      </c>
      <c r="F298" s="18" t="n">
        <f aca="false">Vendor_Invoices_AP!E295</f>
        <v>3104.44</v>
      </c>
      <c r="G298" s="18" t="n">
        <f aca="false">SUMIFS(Payment_Log_AP!$E$2:$E$753,Payment_Log_AP!$B$2:$B$753,A298)</f>
        <v>3104.44</v>
      </c>
      <c r="H298" s="18" t="n">
        <f aca="false">F298-G298</f>
        <v>0</v>
      </c>
      <c r="I298" s="16" t="n">
        <f aca="false">IF(H298&lt;=0.01,0,MAX(Assumptions!$B$5-E298,0))</f>
        <v>0</v>
      </c>
      <c r="J298" s="16" t="str">
        <f aca="false">IF(H298&lt;=0.01,"Paid",IF(I298&lt;=30,"0-30",IF(I298&lt;=60,"31-60",IF(I298&lt;=90,"61-90","90+"))))</f>
        <v>Paid</v>
      </c>
      <c r="K298" s="16" t="str">
        <f aca="false">IF(H298&lt;=0.01,"Paid",IF(G298&gt;0,"Partially Paid","Unpaid"))</f>
        <v>Paid</v>
      </c>
    </row>
    <row r="299" customFormat="false" ht="15" hidden="false" customHeight="false" outlineLevel="0" collapsed="false">
      <c r="A299" s="16" t="str">
        <f aca="false">Vendor_Invoices_AP!A296</f>
        <v>INV30295</v>
      </c>
      <c r="B299" s="16" t="str">
        <f aca="false">Vendor_Invoices_AP!C296</f>
        <v>V1029</v>
      </c>
      <c r="C299" s="16" t="str">
        <f aca="false">IFERROR(INDEX(Vendor_Master!$B$2:$B$41,MATCH(B299,Vendor_Master!$A$2:$A$41,0)),"Unknown Vendor")</f>
        <v>Chavez Ltd</v>
      </c>
      <c r="D299" s="17" t="n">
        <f aca="false">Vendor_Invoices_AP!D296</f>
        <v>46085</v>
      </c>
      <c r="E299" s="17" t="n">
        <f aca="false">Vendor_Invoices_AP!F296</f>
        <v>46145</v>
      </c>
      <c r="F299" s="18" t="n">
        <f aca="false">Vendor_Invoices_AP!E296</f>
        <v>1405.31</v>
      </c>
      <c r="G299" s="18" t="n">
        <f aca="false">SUMIFS(Payment_Log_AP!$E$2:$E$753,Payment_Log_AP!$B$2:$B$753,A299)</f>
        <v>1405.31</v>
      </c>
      <c r="H299" s="18" t="n">
        <f aca="false">F299-G299</f>
        <v>0</v>
      </c>
      <c r="I299" s="16" t="n">
        <f aca="false">IF(H299&lt;=0.01,0,MAX(Assumptions!$B$5-E299,0))</f>
        <v>0</v>
      </c>
      <c r="J299" s="16" t="str">
        <f aca="false">IF(H299&lt;=0.01,"Paid",IF(I299&lt;=30,"0-30",IF(I299&lt;=60,"31-60",IF(I299&lt;=90,"61-90","90+"))))</f>
        <v>Paid</v>
      </c>
      <c r="K299" s="16" t="str">
        <f aca="false">IF(H299&lt;=0.01,"Paid",IF(G299&gt;0,"Partially Paid","Unpaid"))</f>
        <v>Paid</v>
      </c>
    </row>
    <row r="300" customFormat="false" ht="15" hidden="false" customHeight="false" outlineLevel="0" collapsed="false">
      <c r="A300" s="16" t="str">
        <f aca="false">Vendor_Invoices_AP!A297</f>
        <v>INV30296</v>
      </c>
      <c r="B300" s="16" t="str">
        <f aca="false">Vendor_Invoices_AP!C297</f>
        <v>V1026</v>
      </c>
      <c r="C300" s="16" t="str">
        <f aca="false">IFERROR(INDEX(Vendor_Master!$B$2:$B$41,MATCH(B300,Vendor_Master!$A$2:$A$41,0)),"Unknown Vendor")</f>
        <v>James-Ferrell</v>
      </c>
      <c r="D300" s="17" t="n">
        <f aca="false">Vendor_Invoices_AP!D297</f>
        <v>45763</v>
      </c>
      <c r="E300" s="17" t="n">
        <f aca="false">Vendor_Invoices_AP!F297</f>
        <v>45823</v>
      </c>
      <c r="F300" s="18" t="n">
        <f aca="false">Vendor_Invoices_AP!E297</f>
        <v>3241.37</v>
      </c>
      <c r="G300" s="18" t="n">
        <f aca="false">SUMIFS(Payment_Log_AP!$E$2:$E$753,Payment_Log_AP!$B$2:$B$753,A300)</f>
        <v>3241.37</v>
      </c>
      <c r="H300" s="18" t="n">
        <f aca="false">F300-G300</f>
        <v>0</v>
      </c>
      <c r="I300" s="16" t="n">
        <f aca="false">IF(H300&lt;=0.01,0,MAX(Assumptions!$B$5-E300,0))</f>
        <v>0</v>
      </c>
      <c r="J300" s="16" t="str">
        <f aca="false">IF(H300&lt;=0.01,"Paid",IF(I300&lt;=30,"0-30",IF(I300&lt;=60,"31-60",IF(I300&lt;=90,"61-90","90+"))))</f>
        <v>Paid</v>
      </c>
      <c r="K300" s="16" t="str">
        <f aca="false">IF(H300&lt;=0.01,"Paid",IF(G300&gt;0,"Partially Paid","Unpaid"))</f>
        <v>Paid</v>
      </c>
    </row>
    <row r="301" customFormat="false" ht="15" hidden="false" customHeight="false" outlineLevel="0" collapsed="false">
      <c r="A301" s="16" t="str">
        <f aca="false">Vendor_Invoices_AP!A298</f>
        <v>INV30297</v>
      </c>
      <c r="B301" s="16" t="str">
        <f aca="false">Vendor_Invoices_AP!C298</f>
        <v>V1036</v>
      </c>
      <c r="C301" s="16" t="str">
        <f aca="false">IFERROR(INDEX(Vendor_Master!$B$2:$B$41,MATCH(B301,Vendor_Master!$A$2:$A$41,0)),"Unknown Vendor")</f>
        <v>Dennis Inc</v>
      </c>
      <c r="D301" s="17" t="n">
        <f aca="false">Vendor_Invoices_AP!D298</f>
        <v>45788</v>
      </c>
      <c r="E301" s="17" t="n">
        <f aca="false">Vendor_Invoices_AP!F298</f>
        <v>45833</v>
      </c>
      <c r="F301" s="18" t="n">
        <f aca="false">Vendor_Invoices_AP!E298</f>
        <v>871.5</v>
      </c>
      <c r="G301" s="18" t="n">
        <f aca="false">SUMIFS(Payment_Log_AP!$E$2:$E$753,Payment_Log_AP!$B$2:$B$753,A301)</f>
        <v>871.5</v>
      </c>
      <c r="H301" s="18" t="n">
        <f aca="false">F301-G301</f>
        <v>0</v>
      </c>
      <c r="I301" s="16" t="n">
        <f aca="false">IF(H301&lt;=0.01,0,MAX(Assumptions!$B$5-E301,0))</f>
        <v>0</v>
      </c>
      <c r="J301" s="16" t="str">
        <f aca="false">IF(H301&lt;=0.01,"Paid",IF(I301&lt;=30,"0-30",IF(I301&lt;=60,"31-60",IF(I301&lt;=90,"61-90","90+"))))</f>
        <v>Paid</v>
      </c>
      <c r="K301" s="16" t="str">
        <f aca="false">IF(H301&lt;=0.01,"Paid",IF(G301&gt;0,"Partially Paid","Unpaid"))</f>
        <v>Paid</v>
      </c>
    </row>
    <row r="302" customFormat="false" ht="15" hidden="false" customHeight="false" outlineLevel="0" collapsed="false">
      <c r="A302" s="16" t="str">
        <f aca="false">Vendor_Invoices_AP!A299</f>
        <v>INV30298</v>
      </c>
      <c r="B302" s="16" t="str">
        <f aca="false">Vendor_Invoices_AP!C299</f>
        <v>V1019</v>
      </c>
      <c r="C302" s="16" t="str">
        <f aca="false">IFERROR(INDEX(Vendor_Master!$B$2:$B$41,MATCH(B302,Vendor_Master!$A$2:$A$41,0)),"Unknown Vendor")</f>
        <v>Clark PLC</v>
      </c>
      <c r="D302" s="17" t="n">
        <f aca="false">Vendor_Invoices_AP!D299</f>
        <v>45943</v>
      </c>
      <c r="E302" s="17" t="n">
        <f aca="false">Vendor_Invoices_AP!F299</f>
        <v>45988</v>
      </c>
      <c r="F302" s="18" t="n">
        <f aca="false">Vendor_Invoices_AP!E299</f>
        <v>651.66</v>
      </c>
      <c r="G302" s="18" t="n">
        <f aca="false">SUMIFS(Payment_Log_AP!$E$2:$E$753,Payment_Log_AP!$B$2:$B$753,A302)</f>
        <v>651.66</v>
      </c>
      <c r="H302" s="18" t="n">
        <f aca="false">F302-G302</f>
        <v>0</v>
      </c>
      <c r="I302" s="16" t="n">
        <f aca="false">IF(H302&lt;=0.01,0,MAX(Assumptions!$B$5-E302,0))</f>
        <v>0</v>
      </c>
      <c r="J302" s="16" t="str">
        <f aca="false">IF(H302&lt;=0.01,"Paid",IF(I302&lt;=30,"0-30",IF(I302&lt;=60,"31-60",IF(I302&lt;=90,"61-90","90+"))))</f>
        <v>Paid</v>
      </c>
      <c r="K302" s="16" t="str">
        <f aca="false">IF(H302&lt;=0.01,"Paid",IF(G302&gt;0,"Partially Paid","Unpaid"))</f>
        <v>Paid</v>
      </c>
    </row>
    <row r="303" customFormat="false" ht="15" hidden="false" customHeight="false" outlineLevel="0" collapsed="false">
      <c r="A303" s="16" t="str">
        <f aca="false">Vendor_Invoices_AP!A300</f>
        <v>INV30299</v>
      </c>
      <c r="B303" s="16" t="str">
        <f aca="false">Vendor_Invoices_AP!C300</f>
        <v>V1027</v>
      </c>
      <c r="C303" s="16" t="str">
        <f aca="false">IFERROR(INDEX(Vendor_Master!$B$2:$B$41,MATCH(B303,Vendor_Master!$A$2:$A$41,0)),"Unknown Vendor")</f>
        <v>Valencia, Smith and Le</v>
      </c>
      <c r="D303" s="17" t="n">
        <f aca="false">Vendor_Invoices_AP!D300</f>
        <v>46073</v>
      </c>
      <c r="E303" s="17" t="n">
        <f aca="false">Vendor_Invoices_AP!F300</f>
        <v>46118</v>
      </c>
      <c r="F303" s="18" t="n">
        <f aca="false">Vendor_Invoices_AP!E300</f>
        <v>2962.24</v>
      </c>
      <c r="G303" s="18" t="n">
        <f aca="false">SUMIFS(Payment_Log_AP!$E$2:$E$753,Payment_Log_AP!$B$2:$B$753,A303)</f>
        <v>2962.24</v>
      </c>
      <c r="H303" s="18" t="n">
        <f aca="false">F303-G303</f>
        <v>0</v>
      </c>
      <c r="I303" s="16" t="n">
        <f aca="false">IF(H303&lt;=0.01,0,MAX(Assumptions!$B$5-E303,0))</f>
        <v>0</v>
      </c>
      <c r="J303" s="16" t="str">
        <f aca="false">IF(H303&lt;=0.01,"Paid",IF(I303&lt;=30,"0-30",IF(I303&lt;=60,"31-60",IF(I303&lt;=90,"61-90","90+"))))</f>
        <v>Paid</v>
      </c>
      <c r="K303" s="16" t="str">
        <f aca="false">IF(H303&lt;=0.01,"Paid",IF(G303&gt;0,"Partially Paid","Unpaid"))</f>
        <v>Paid</v>
      </c>
    </row>
    <row r="304" customFormat="false" ht="15" hidden="false" customHeight="false" outlineLevel="0" collapsed="false">
      <c r="A304" s="16" t="str">
        <f aca="false">Vendor_Invoices_AP!A301</f>
        <v>INV30300</v>
      </c>
      <c r="B304" s="16" t="str">
        <f aca="false">Vendor_Invoices_AP!C301</f>
        <v>V1029</v>
      </c>
      <c r="C304" s="16" t="str">
        <f aca="false">IFERROR(INDEX(Vendor_Master!$B$2:$B$41,MATCH(B304,Vendor_Master!$A$2:$A$41,0)),"Unknown Vendor")</f>
        <v>Chavez Ltd</v>
      </c>
      <c r="D304" s="17" t="n">
        <f aca="false">Vendor_Invoices_AP!D301</f>
        <v>46211</v>
      </c>
      <c r="E304" s="17" t="n">
        <f aca="false">Vendor_Invoices_AP!F301</f>
        <v>46271</v>
      </c>
      <c r="F304" s="18" t="n">
        <f aca="false">Vendor_Invoices_AP!E301</f>
        <v>201.83</v>
      </c>
      <c r="G304" s="18" t="n">
        <f aca="false">SUMIFS(Payment_Log_AP!$E$2:$E$753,Payment_Log_AP!$B$2:$B$753,A304)</f>
        <v>0</v>
      </c>
      <c r="H304" s="18" t="n">
        <f aca="false">F304-G304</f>
        <v>201.83</v>
      </c>
      <c r="I304" s="16" t="n">
        <f aca="false">IF(H304&lt;=0.01,0,MAX(Assumptions!$B$5-E304,0))</f>
        <v>0</v>
      </c>
      <c r="J304" s="16" t="str">
        <f aca="false">IF(H304&lt;=0.01,"Paid",IF(I304&lt;=30,"0-30",IF(I304&lt;=60,"31-60",IF(I304&lt;=90,"61-90","90+"))))</f>
        <v>0-30</v>
      </c>
      <c r="K304" s="16" t="str">
        <f aca="false">IF(H304&lt;=0.01,"Paid",IF(G304&gt;0,"Partially Paid","Unpaid"))</f>
        <v>Unpaid</v>
      </c>
    </row>
    <row r="305" customFormat="false" ht="15" hidden="false" customHeight="false" outlineLevel="0" collapsed="false">
      <c r="A305" s="16" t="str">
        <f aca="false">Vendor_Invoices_AP!A302</f>
        <v>INV30301</v>
      </c>
      <c r="B305" s="16" t="str">
        <f aca="false">Vendor_Invoices_AP!C302</f>
        <v>V1022</v>
      </c>
      <c r="C305" s="16" t="str">
        <f aca="false">IFERROR(INDEX(Vendor_Master!$B$2:$B$41,MATCH(B305,Vendor_Master!$A$2:$A$41,0)),"Unknown Vendor")</f>
        <v>Burgess-Patterson</v>
      </c>
      <c r="D305" s="17" t="n">
        <f aca="false">Vendor_Invoices_AP!D302</f>
        <v>45952</v>
      </c>
      <c r="E305" s="17" t="n">
        <f aca="false">Vendor_Invoices_AP!F302</f>
        <v>45982</v>
      </c>
      <c r="F305" s="18" t="n">
        <f aca="false">Vendor_Invoices_AP!E302</f>
        <v>7560.72</v>
      </c>
      <c r="G305" s="18" t="n">
        <f aca="false">SUMIFS(Payment_Log_AP!$E$2:$E$753,Payment_Log_AP!$B$2:$B$753,A305)</f>
        <v>7560.72</v>
      </c>
      <c r="H305" s="18" t="n">
        <f aca="false">F305-G305</f>
        <v>0</v>
      </c>
      <c r="I305" s="16" t="n">
        <f aca="false">IF(H305&lt;=0.01,0,MAX(Assumptions!$B$5-E305,0))</f>
        <v>0</v>
      </c>
      <c r="J305" s="16" t="str">
        <f aca="false">IF(H305&lt;=0.01,"Paid",IF(I305&lt;=30,"0-30",IF(I305&lt;=60,"31-60",IF(I305&lt;=90,"61-90","90+"))))</f>
        <v>Paid</v>
      </c>
      <c r="K305" s="16" t="str">
        <f aca="false">IF(H305&lt;=0.01,"Paid",IF(G305&gt;0,"Partially Paid","Unpaid"))</f>
        <v>Paid</v>
      </c>
    </row>
    <row r="306" customFormat="false" ht="15" hidden="false" customHeight="false" outlineLevel="0" collapsed="false">
      <c r="A306" s="16" t="str">
        <f aca="false">Vendor_Invoices_AP!A303</f>
        <v>INV30302</v>
      </c>
      <c r="B306" s="16" t="str">
        <f aca="false">Vendor_Invoices_AP!C303</f>
        <v>V1032</v>
      </c>
      <c r="C306" s="16" t="str">
        <f aca="false">IFERROR(INDEX(Vendor_Master!$B$2:$B$41,MATCH(B306,Vendor_Master!$A$2:$A$41,0)),"Unknown Vendor")</f>
        <v>Lynch, Hernandez and Farmer</v>
      </c>
      <c r="D306" s="17" t="n">
        <f aca="false">Vendor_Invoices_AP!D303</f>
        <v>45837</v>
      </c>
      <c r="E306" s="17" t="n">
        <f aca="false">Vendor_Invoices_AP!F303</f>
        <v>45897</v>
      </c>
      <c r="F306" s="18" t="n">
        <f aca="false">Vendor_Invoices_AP!E303</f>
        <v>2957.14</v>
      </c>
      <c r="G306" s="18" t="n">
        <f aca="false">SUMIFS(Payment_Log_AP!$E$2:$E$753,Payment_Log_AP!$B$2:$B$753,A306)</f>
        <v>2957.14</v>
      </c>
      <c r="H306" s="18" t="n">
        <f aca="false">F306-G306</f>
        <v>0</v>
      </c>
      <c r="I306" s="16" t="n">
        <f aca="false">IF(H306&lt;=0.01,0,MAX(Assumptions!$B$5-E306,0))</f>
        <v>0</v>
      </c>
      <c r="J306" s="16" t="str">
        <f aca="false">IF(H306&lt;=0.01,"Paid",IF(I306&lt;=30,"0-30",IF(I306&lt;=60,"31-60",IF(I306&lt;=90,"61-90","90+"))))</f>
        <v>Paid</v>
      </c>
      <c r="K306" s="16" t="str">
        <f aca="false">IF(H306&lt;=0.01,"Paid",IF(G306&gt;0,"Partially Paid","Unpaid"))</f>
        <v>Paid</v>
      </c>
    </row>
    <row r="307" customFormat="false" ht="15" hidden="false" customHeight="false" outlineLevel="0" collapsed="false">
      <c r="A307" s="16" t="str">
        <f aca="false">Vendor_Invoices_AP!A304</f>
        <v>INV30303</v>
      </c>
      <c r="B307" s="16" t="str">
        <f aca="false">Vendor_Invoices_AP!C304</f>
        <v>V1023</v>
      </c>
      <c r="C307" s="16" t="str">
        <f aca="false">IFERROR(INDEX(Vendor_Master!$B$2:$B$41,MATCH(B307,Vendor_Master!$A$2:$A$41,0)),"Unknown Vendor")</f>
        <v>Robinson-Bright</v>
      </c>
      <c r="D307" s="17" t="n">
        <f aca="false">Vendor_Invoices_AP!D304</f>
        <v>45715</v>
      </c>
      <c r="E307" s="17" t="n">
        <f aca="false">Vendor_Invoices_AP!F304</f>
        <v>45745</v>
      </c>
      <c r="F307" s="18" t="n">
        <f aca="false">Vendor_Invoices_AP!E304</f>
        <v>1792.24</v>
      </c>
      <c r="G307" s="18" t="n">
        <f aca="false">SUMIFS(Payment_Log_AP!$E$2:$E$753,Payment_Log_AP!$B$2:$B$753,A307)</f>
        <v>1792.24</v>
      </c>
      <c r="H307" s="18" t="n">
        <f aca="false">F307-G307</f>
        <v>0</v>
      </c>
      <c r="I307" s="16" t="n">
        <f aca="false">IF(H307&lt;=0.01,0,MAX(Assumptions!$B$5-E307,0))</f>
        <v>0</v>
      </c>
      <c r="J307" s="16" t="str">
        <f aca="false">IF(H307&lt;=0.01,"Paid",IF(I307&lt;=30,"0-30",IF(I307&lt;=60,"31-60",IF(I307&lt;=90,"61-90","90+"))))</f>
        <v>Paid</v>
      </c>
      <c r="K307" s="16" t="str">
        <f aca="false">IF(H307&lt;=0.01,"Paid",IF(G307&gt;0,"Partially Paid","Unpaid"))</f>
        <v>Paid</v>
      </c>
    </row>
    <row r="308" customFormat="false" ht="15" hidden="false" customHeight="false" outlineLevel="0" collapsed="false">
      <c r="A308" s="16" t="str">
        <f aca="false">Vendor_Invoices_AP!A305</f>
        <v>INV30304</v>
      </c>
      <c r="B308" s="16" t="str">
        <f aca="false">Vendor_Invoices_AP!C305</f>
        <v>V1034</v>
      </c>
      <c r="C308" s="16" t="str">
        <f aca="false">IFERROR(INDEX(Vendor_Master!$B$2:$B$41,MATCH(B308,Vendor_Master!$A$2:$A$41,0)),"Unknown Vendor")</f>
        <v>Koch-Decker</v>
      </c>
      <c r="D308" s="17" t="n">
        <f aca="false">Vendor_Invoices_AP!D305</f>
        <v>45769</v>
      </c>
      <c r="E308" s="17" t="n">
        <f aca="false">Vendor_Invoices_AP!F305</f>
        <v>45814</v>
      </c>
      <c r="F308" s="18" t="n">
        <f aca="false">Vendor_Invoices_AP!E305</f>
        <v>3587.55</v>
      </c>
      <c r="G308" s="18" t="n">
        <f aca="false">SUMIFS(Payment_Log_AP!$E$2:$E$753,Payment_Log_AP!$B$2:$B$753,A308)</f>
        <v>3587.55</v>
      </c>
      <c r="H308" s="18" t="n">
        <f aca="false">F308-G308</f>
        <v>0</v>
      </c>
      <c r="I308" s="16" t="n">
        <f aca="false">IF(H308&lt;=0.01,0,MAX(Assumptions!$B$5-E308,0))</f>
        <v>0</v>
      </c>
      <c r="J308" s="16" t="str">
        <f aca="false">IF(H308&lt;=0.01,"Paid",IF(I308&lt;=30,"0-30",IF(I308&lt;=60,"31-60",IF(I308&lt;=90,"61-90","90+"))))</f>
        <v>Paid</v>
      </c>
      <c r="K308" s="16" t="str">
        <f aca="false">IF(H308&lt;=0.01,"Paid",IF(G308&gt;0,"Partially Paid","Unpaid"))</f>
        <v>Paid</v>
      </c>
    </row>
    <row r="309" customFormat="false" ht="15" hidden="false" customHeight="false" outlineLevel="0" collapsed="false">
      <c r="A309" s="16" t="str">
        <f aca="false">Vendor_Invoices_AP!A306</f>
        <v>INV30305</v>
      </c>
      <c r="B309" s="16" t="str">
        <f aca="false">Vendor_Invoices_AP!C306</f>
        <v>V1027</v>
      </c>
      <c r="C309" s="16" t="str">
        <f aca="false">IFERROR(INDEX(Vendor_Master!$B$2:$B$41,MATCH(B309,Vendor_Master!$A$2:$A$41,0)),"Unknown Vendor")</f>
        <v>Valencia, Smith and Le</v>
      </c>
      <c r="D309" s="17" t="n">
        <f aca="false">Vendor_Invoices_AP!D306</f>
        <v>45783</v>
      </c>
      <c r="E309" s="17" t="n">
        <f aca="false">Vendor_Invoices_AP!F306</f>
        <v>45828</v>
      </c>
      <c r="F309" s="18" t="n">
        <f aca="false">Vendor_Invoices_AP!E306</f>
        <v>13244.8</v>
      </c>
      <c r="G309" s="18" t="n">
        <f aca="false">SUMIFS(Payment_Log_AP!$E$2:$E$753,Payment_Log_AP!$B$2:$B$753,A309)</f>
        <v>13244.8</v>
      </c>
      <c r="H309" s="18" t="n">
        <f aca="false">F309-G309</f>
        <v>0</v>
      </c>
      <c r="I309" s="16" t="n">
        <f aca="false">IF(H309&lt;=0.01,0,MAX(Assumptions!$B$5-E309,0))</f>
        <v>0</v>
      </c>
      <c r="J309" s="16" t="str">
        <f aca="false">IF(H309&lt;=0.01,"Paid",IF(I309&lt;=30,"0-30",IF(I309&lt;=60,"31-60",IF(I309&lt;=90,"61-90","90+"))))</f>
        <v>Paid</v>
      </c>
      <c r="K309" s="16" t="str">
        <f aca="false">IF(H309&lt;=0.01,"Paid",IF(G309&gt;0,"Partially Paid","Unpaid"))</f>
        <v>Paid</v>
      </c>
    </row>
    <row r="310" customFormat="false" ht="15" hidden="false" customHeight="false" outlineLevel="0" collapsed="false">
      <c r="A310" s="16" t="str">
        <f aca="false">Vendor_Invoices_AP!A307</f>
        <v>INV30306</v>
      </c>
      <c r="B310" s="16" t="str">
        <f aca="false">Vendor_Invoices_AP!C307</f>
        <v>V1035</v>
      </c>
      <c r="C310" s="16" t="str">
        <f aca="false">IFERROR(INDEX(Vendor_Master!$B$2:$B$41,MATCH(B310,Vendor_Master!$A$2:$A$41,0)),"Unknown Vendor")</f>
        <v>Allen PLC</v>
      </c>
      <c r="D310" s="17" t="n">
        <f aca="false">Vendor_Invoices_AP!D307</f>
        <v>45766</v>
      </c>
      <c r="E310" s="17" t="n">
        <f aca="false">Vendor_Invoices_AP!F307</f>
        <v>45781</v>
      </c>
      <c r="F310" s="18" t="n">
        <f aca="false">Vendor_Invoices_AP!E307</f>
        <v>810.36</v>
      </c>
      <c r="G310" s="18" t="n">
        <f aca="false">SUMIFS(Payment_Log_AP!$E$2:$E$753,Payment_Log_AP!$B$2:$B$753,A310)</f>
        <v>1620.72</v>
      </c>
      <c r="H310" s="18" t="n">
        <f aca="false">F310-G310</f>
        <v>-810.36</v>
      </c>
      <c r="I310" s="16" t="n">
        <f aca="false">IF(H310&lt;=0.01,0,MAX(Assumptions!$B$5-E310,0))</f>
        <v>0</v>
      </c>
      <c r="J310" s="16" t="str">
        <f aca="false">IF(H310&lt;=0.01,"Paid",IF(I310&lt;=30,"0-30",IF(I310&lt;=60,"31-60",IF(I310&lt;=90,"61-90","90+"))))</f>
        <v>Paid</v>
      </c>
      <c r="K310" s="16" t="str">
        <f aca="false">IF(H310&lt;=0.01,"Paid",IF(G310&gt;0,"Partially Paid","Unpaid"))</f>
        <v>Paid</v>
      </c>
    </row>
    <row r="311" customFormat="false" ht="15" hidden="false" customHeight="false" outlineLevel="0" collapsed="false">
      <c r="A311" s="16" t="str">
        <f aca="false">Vendor_Invoices_AP!A308</f>
        <v>INV30307</v>
      </c>
      <c r="B311" s="16" t="str">
        <f aca="false">Vendor_Invoices_AP!C308</f>
        <v>V1009</v>
      </c>
      <c r="C311" s="16" t="str">
        <f aca="false">IFERROR(INDEX(Vendor_Master!$B$2:$B$41,MATCH(B311,Vendor_Master!$A$2:$A$41,0)),"Unknown Vendor")</f>
        <v>Munoz-Roman</v>
      </c>
      <c r="D311" s="17" t="n">
        <f aca="false">Vendor_Invoices_AP!D308</f>
        <v>45673</v>
      </c>
      <c r="E311" s="17" t="n">
        <f aca="false">Vendor_Invoices_AP!F308</f>
        <v>45703</v>
      </c>
      <c r="F311" s="18" t="n">
        <f aca="false">Vendor_Invoices_AP!E308</f>
        <v>256.08</v>
      </c>
      <c r="G311" s="18" t="n">
        <f aca="false">SUMIFS(Payment_Log_AP!$E$2:$E$753,Payment_Log_AP!$B$2:$B$753,A311)</f>
        <v>0</v>
      </c>
      <c r="H311" s="18" t="n">
        <f aca="false">F311-G311</f>
        <v>256.08</v>
      </c>
      <c r="I311" s="16" t="n">
        <f aca="false">IF(H311&lt;=0.01,0,MAX(Assumptions!$B$5-E311,0))</f>
        <v>531</v>
      </c>
      <c r="J311" s="16" t="str">
        <f aca="false">IF(H311&lt;=0.01,"Paid",IF(I311&lt;=30,"0-30",IF(I311&lt;=60,"31-60",IF(I311&lt;=90,"61-90","90+"))))</f>
        <v>90+</v>
      </c>
      <c r="K311" s="16" t="str">
        <f aca="false">IF(H311&lt;=0.01,"Paid",IF(G311&gt;0,"Partially Paid","Unpaid"))</f>
        <v>Unpaid</v>
      </c>
    </row>
    <row r="312" customFormat="false" ht="15" hidden="false" customHeight="false" outlineLevel="0" collapsed="false">
      <c r="A312" s="16" t="str">
        <f aca="false">Vendor_Invoices_AP!A309</f>
        <v>INV30308</v>
      </c>
      <c r="B312" s="16" t="str">
        <f aca="false">Vendor_Invoices_AP!C309</f>
        <v>V1009</v>
      </c>
      <c r="C312" s="16" t="str">
        <f aca="false">IFERROR(INDEX(Vendor_Master!$B$2:$B$41,MATCH(B312,Vendor_Master!$A$2:$A$41,0)),"Unknown Vendor")</f>
        <v>Munoz-Roman</v>
      </c>
      <c r="D312" s="17" t="n">
        <f aca="false">Vendor_Invoices_AP!D309</f>
        <v>45673</v>
      </c>
      <c r="E312" s="17" t="n">
        <f aca="false">Vendor_Invoices_AP!F309</f>
        <v>45703</v>
      </c>
      <c r="F312" s="18" t="n">
        <f aca="false">Vendor_Invoices_AP!E309</f>
        <v>256.08</v>
      </c>
      <c r="G312" s="18" t="n">
        <f aca="false">SUMIFS(Payment_Log_AP!$E$2:$E$753,Payment_Log_AP!$B$2:$B$753,A312)</f>
        <v>256.08</v>
      </c>
      <c r="H312" s="18" t="n">
        <f aca="false">F312-G312</f>
        <v>0</v>
      </c>
      <c r="I312" s="16" t="n">
        <f aca="false">IF(H312&lt;=0.01,0,MAX(Assumptions!$B$5-E312,0))</f>
        <v>0</v>
      </c>
      <c r="J312" s="16" t="str">
        <f aca="false">IF(H312&lt;=0.01,"Paid",IF(I312&lt;=30,"0-30",IF(I312&lt;=60,"31-60",IF(I312&lt;=90,"61-90","90+"))))</f>
        <v>Paid</v>
      </c>
      <c r="K312" s="16" t="str">
        <f aca="false">IF(H312&lt;=0.01,"Paid",IF(G312&gt;0,"Partially Paid","Unpaid"))</f>
        <v>Paid</v>
      </c>
    </row>
    <row r="313" customFormat="false" ht="15" hidden="false" customHeight="false" outlineLevel="0" collapsed="false">
      <c r="A313" s="16" t="str">
        <f aca="false">Vendor_Invoices_AP!A310</f>
        <v>INV30309</v>
      </c>
      <c r="B313" s="16" t="str">
        <f aca="false">Vendor_Invoices_AP!C310</f>
        <v>V1010</v>
      </c>
      <c r="C313" s="16" t="str">
        <f aca="false">IFERROR(INDEX(Vendor_Master!$B$2:$B$41,MATCH(B313,Vendor_Master!$A$2:$A$41,0)),"Unknown Vendor")</f>
        <v>Martinez, Nielsen and Miller</v>
      </c>
      <c r="D313" s="17" t="n">
        <f aca="false">Vendor_Invoices_AP!D310</f>
        <v>45959</v>
      </c>
      <c r="E313" s="17" t="n">
        <f aca="false">Vendor_Invoices_AP!F310</f>
        <v>45974</v>
      </c>
      <c r="F313" s="18" t="n">
        <f aca="false">Vendor_Invoices_AP!E310</f>
        <v>8486.94</v>
      </c>
      <c r="G313" s="18" t="n">
        <f aca="false">SUMIFS(Payment_Log_AP!$E$2:$E$753,Payment_Log_AP!$B$2:$B$753,A313)</f>
        <v>8486.94</v>
      </c>
      <c r="H313" s="18" t="n">
        <f aca="false">F313-G313</f>
        <v>0</v>
      </c>
      <c r="I313" s="16" t="n">
        <f aca="false">IF(H313&lt;=0.01,0,MAX(Assumptions!$B$5-E313,0))</f>
        <v>0</v>
      </c>
      <c r="J313" s="16" t="str">
        <f aca="false">IF(H313&lt;=0.01,"Paid",IF(I313&lt;=30,"0-30",IF(I313&lt;=60,"31-60",IF(I313&lt;=90,"61-90","90+"))))</f>
        <v>Paid</v>
      </c>
      <c r="K313" s="16" t="str">
        <f aca="false">IF(H313&lt;=0.01,"Paid",IF(G313&gt;0,"Partially Paid","Unpaid"))</f>
        <v>Paid</v>
      </c>
    </row>
    <row r="314" customFormat="false" ht="15" hidden="false" customHeight="false" outlineLevel="0" collapsed="false">
      <c r="A314" s="16" t="str">
        <f aca="false">Vendor_Invoices_AP!A311</f>
        <v>INV30310</v>
      </c>
      <c r="B314" s="16" t="str">
        <f aca="false">Vendor_Invoices_AP!C311</f>
        <v>V1013</v>
      </c>
      <c r="C314" s="16" t="str">
        <f aca="false">IFERROR(INDEX(Vendor_Master!$B$2:$B$41,MATCH(B314,Vendor_Master!$A$2:$A$41,0)),"Unknown Vendor")</f>
        <v>Delacruz Group</v>
      </c>
      <c r="D314" s="17" t="n">
        <f aca="false">Vendor_Invoices_AP!D311</f>
        <v>45813</v>
      </c>
      <c r="E314" s="17" t="n">
        <f aca="false">Vendor_Invoices_AP!F311</f>
        <v>45828</v>
      </c>
      <c r="F314" s="18" t="n">
        <f aca="false">Vendor_Invoices_AP!E311</f>
        <v>3079.87</v>
      </c>
      <c r="G314" s="18" t="n">
        <f aca="false">SUMIFS(Payment_Log_AP!$E$2:$E$753,Payment_Log_AP!$B$2:$B$753,A314)</f>
        <v>3079.87</v>
      </c>
      <c r="H314" s="18" t="n">
        <f aca="false">F314-G314</f>
        <v>0</v>
      </c>
      <c r="I314" s="16" t="n">
        <f aca="false">IF(H314&lt;=0.01,0,MAX(Assumptions!$B$5-E314,0))</f>
        <v>0</v>
      </c>
      <c r="J314" s="16" t="str">
        <f aca="false">IF(H314&lt;=0.01,"Paid",IF(I314&lt;=30,"0-30",IF(I314&lt;=60,"31-60",IF(I314&lt;=90,"61-90","90+"))))</f>
        <v>Paid</v>
      </c>
      <c r="K314" s="16" t="str">
        <f aca="false">IF(H314&lt;=0.01,"Paid",IF(G314&gt;0,"Partially Paid","Unpaid"))</f>
        <v>Paid</v>
      </c>
    </row>
    <row r="315" customFormat="false" ht="15" hidden="false" customHeight="false" outlineLevel="0" collapsed="false">
      <c r="A315" s="16" t="str">
        <f aca="false">Vendor_Invoices_AP!A312</f>
        <v>INV30311</v>
      </c>
      <c r="B315" s="16" t="str">
        <f aca="false">Vendor_Invoices_AP!C312</f>
        <v>V1018</v>
      </c>
      <c r="C315" s="16" t="str">
        <f aca="false">IFERROR(INDEX(Vendor_Master!$B$2:$B$41,MATCH(B315,Vendor_Master!$A$2:$A$41,0)),"Unknown Vendor")</f>
        <v>Underwood LLC</v>
      </c>
      <c r="D315" s="17" t="n">
        <f aca="false">Vendor_Invoices_AP!D312</f>
        <v>46202</v>
      </c>
      <c r="E315" s="17" t="n">
        <f aca="false">Vendor_Invoices_AP!F312</f>
        <v>46232</v>
      </c>
      <c r="F315" s="18" t="n">
        <f aca="false">Vendor_Invoices_AP!E312</f>
        <v>1424.65</v>
      </c>
      <c r="G315" s="18" t="n">
        <f aca="false">SUMIFS(Payment_Log_AP!$E$2:$E$753,Payment_Log_AP!$B$2:$B$753,A315)</f>
        <v>0</v>
      </c>
      <c r="H315" s="18" t="n">
        <f aca="false">F315-G315</f>
        <v>1424.65</v>
      </c>
      <c r="I315" s="16" t="n">
        <f aca="false">IF(H315&lt;=0.01,0,MAX(Assumptions!$B$5-E315,0))</f>
        <v>2</v>
      </c>
      <c r="J315" s="16" t="str">
        <f aca="false">IF(H315&lt;=0.01,"Paid",IF(I315&lt;=30,"0-30",IF(I315&lt;=60,"31-60",IF(I315&lt;=90,"61-90","90+"))))</f>
        <v>0-30</v>
      </c>
      <c r="K315" s="16" t="str">
        <f aca="false">IF(H315&lt;=0.01,"Paid",IF(G315&gt;0,"Partially Paid","Unpaid"))</f>
        <v>Unpaid</v>
      </c>
    </row>
    <row r="316" customFormat="false" ht="15" hidden="false" customHeight="false" outlineLevel="0" collapsed="false">
      <c r="A316" s="16" t="str">
        <f aca="false">Vendor_Invoices_AP!A313</f>
        <v>INV30312</v>
      </c>
      <c r="B316" s="16" t="str">
        <f aca="false">Vendor_Invoices_AP!C313</f>
        <v>V1037</v>
      </c>
      <c r="C316" s="16" t="str">
        <f aca="false">IFERROR(INDEX(Vendor_Master!$B$2:$B$41,MATCH(B316,Vendor_Master!$A$2:$A$41,0)),"Unknown Vendor")</f>
        <v>Cannon, Anderson and Alvarez</v>
      </c>
      <c r="D316" s="17" t="n">
        <f aca="false">Vendor_Invoices_AP!D313</f>
        <v>45962</v>
      </c>
      <c r="E316" s="17" t="n">
        <f aca="false">Vendor_Invoices_AP!F313</f>
        <v>45992</v>
      </c>
      <c r="F316" s="18" t="n">
        <f aca="false">Vendor_Invoices_AP!E313</f>
        <v>4491.48</v>
      </c>
      <c r="G316" s="18" t="n">
        <f aca="false">SUMIFS(Payment_Log_AP!$E$2:$E$753,Payment_Log_AP!$B$2:$B$753,A316)</f>
        <v>4491.48</v>
      </c>
      <c r="H316" s="18" t="n">
        <f aca="false">F316-G316</f>
        <v>0</v>
      </c>
      <c r="I316" s="16" t="n">
        <f aca="false">IF(H316&lt;=0.01,0,MAX(Assumptions!$B$5-E316,0))</f>
        <v>0</v>
      </c>
      <c r="J316" s="16" t="str">
        <f aca="false">IF(H316&lt;=0.01,"Paid",IF(I316&lt;=30,"0-30",IF(I316&lt;=60,"31-60",IF(I316&lt;=90,"61-90","90+"))))</f>
        <v>Paid</v>
      </c>
      <c r="K316" s="16" t="str">
        <f aca="false">IF(H316&lt;=0.01,"Paid",IF(G316&gt;0,"Partially Paid","Unpaid"))</f>
        <v>Paid</v>
      </c>
    </row>
    <row r="317" customFormat="false" ht="15" hidden="false" customHeight="false" outlineLevel="0" collapsed="false">
      <c r="A317" s="16" t="str">
        <f aca="false">Vendor_Invoices_AP!A314</f>
        <v>INV30313</v>
      </c>
      <c r="B317" s="16" t="str">
        <f aca="false">Vendor_Invoices_AP!C314</f>
        <v>V1005</v>
      </c>
      <c r="C317" s="16" t="str">
        <f aca="false">IFERROR(INDEX(Vendor_Master!$B$2:$B$41,MATCH(B317,Vendor_Master!$A$2:$A$41,0)),"Unknown Vendor")</f>
        <v>Cole LLC</v>
      </c>
      <c r="D317" s="17" t="n">
        <f aca="false">Vendor_Invoices_AP!D314</f>
        <v>46046</v>
      </c>
      <c r="E317" s="17" t="n">
        <f aca="false">Vendor_Invoices_AP!F314</f>
        <v>46061</v>
      </c>
      <c r="F317" s="18" t="n">
        <f aca="false">Vendor_Invoices_AP!E314</f>
        <v>1494.98</v>
      </c>
      <c r="G317" s="18" t="n">
        <f aca="false">SUMIFS(Payment_Log_AP!$E$2:$E$753,Payment_Log_AP!$B$2:$B$753,A317)</f>
        <v>1494.98</v>
      </c>
      <c r="H317" s="18" t="n">
        <f aca="false">F317-G317</f>
        <v>0</v>
      </c>
      <c r="I317" s="16" t="n">
        <f aca="false">IF(H317&lt;=0.01,0,MAX(Assumptions!$B$5-E317,0))</f>
        <v>0</v>
      </c>
      <c r="J317" s="16" t="str">
        <f aca="false">IF(H317&lt;=0.01,"Paid",IF(I317&lt;=30,"0-30",IF(I317&lt;=60,"31-60",IF(I317&lt;=90,"61-90","90+"))))</f>
        <v>Paid</v>
      </c>
      <c r="K317" s="16" t="str">
        <f aca="false">IF(H317&lt;=0.01,"Paid",IF(G317&gt;0,"Partially Paid","Unpaid"))</f>
        <v>Paid</v>
      </c>
    </row>
    <row r="318" customFormat="false" ht="15" hidden="false" customHeight="false" outlineLevel="0" collapsed="false">
      <c r="A318" s="16" t="str">
        <f aca="false">Vendor_Invoices_AP!A315</f>
        <v>INV30314</v>
      </c>
      <c r="B318" s="16" t="str">
        <f aca="false">Vendor_Invoices_AP!C315</f>
        <v>V1033</v>
      </c>
      <c r="C318" s="16" t="str">
        <f aca="false">IFERROR(INDEX(Vendor_Master!$B$2:$B$41,MATCH(B318,Vendor_Master!$A$2:$A$41,0)),"Unknown Vendor")</f>
        <v>Sellers, George and Burns</v>
      </c>
      <c r="D318" s="17" t="n">
        <f aca="false">Vendor_Invoices_AP!D315</f>
        <v>45729</v>
      </c>
      <c r="E318" s="17" t="n">
        <f aca="false">Vendor_Invoices_AP!F315</f>
        <v>45789</v>
      </c>
      <c r="F318" s="18" t="n">
        <f aca="false">Vendor_Invoices_AP!E315</f>
        <v>1119.52</v>
      </c>
      <c r="G318" s="18" t="n">
        <f aca="false">SUMIFS(Payment_Log_AP!$E$2:$E$753,Payment_Log_AP!$B$2:$B$753,A318)</f>
        <v>1119.52</v>
      </c>
      <c r="H318" s="18" t="n">
        <f aca="false">F318-G318</f>
        <v>0</v>
      </c>
      <c r="I318" s="16" t="n">
        <f aca="false">IF(H318&lt;=0.01,0,MAX(Assumptions!$B$5-E318,0))</f>
        <v>0</v>
      </c>
      <c r="J318" s="16" t="str">
        <f aca="false">IF(H318&lt;=0.01,"Paid",IF(I318&lt;=30,"0-30",IF(I318&lt;=60,"31-60",IF(I318&lt;=90,"61-90","90+"))))</f>
        <v>Paid</v>
      </c>
      <c r="K318" s="16" t="str">
        <f aca="false">IF(H318&lt;=0.01,"Paid",IF(G318&gt;0,"Partially Paid","Unpaid"))</f>
        <v>Paid</v>
      </c>
    </row>
    <row r="319" customFormat="false" ht="15" hidden="false" customHeight="false" outlineLevel="0" collapsed="false">
      <c r="A319" s="16" t="str">
        <f aca="false">Vendor_Invoices_AP!A316</f>
        <v>INV30315</v>
      </c>
      <c r="B319" s="16" t="str">
        <f aca="false">Vendor_Invoices_AP!C316</f>
        <v>V1006</v>
      </c>
      <c r="C319" s="16" t="str">
        <f aca="false">IFERROR(INDEX(Vendor_Master!$B$2:$B$41,MATCH(B319,Vendor_Master!$A$2:$A$41,0)),"Unknown Vendor")</f>
        <v>Blake and Sons</v>
      </c>
      <c r="D319" s="17" t="n">
        <f aca="false">Vendor_Invoices_AP!D316</f>
        <v>46135</v>
      </c>
      <c r="E319" s="17" t="n">
        <f aca="false">Vendor_Invoices_AP!F316</f>
        <v>46195</v>
      </c>
      <c r="F319" s="18" t="n">
        <f aca="false">Vendor_Invoices_AP!E316</f>
        <v>531.72</v>
      </c>
      <c r="G319" s="18" t="n">
        <f aca="false">SUMIFS(Payment_Log_AP!$E$2:$E$753,Payment_Log_AP!$B$2:$B$753,A319)</f>
        <v>531.72</v>
      </c>
      <c r="H319" s="18" t="n">
        <f aca="false">F319-G319</f>
        <v>0</v>
      </c>
      <c r="I319" s="16" t="n">
        <f aca="false">IF(H319&lt;=0.01,0,MAX(Assumptions!$B$5-E319,0))</f>
        <v>0</v>
      </c>
      <c r="J319" s="16" t="str">
        <f aca="false">IF(H319&lt;=0.01,"Paid",IF(I319&lt;=30,"0-30",IF(I319&lt;=60,"31-60",IF(I319&lt;=90,"61-90","90+"))))</f>
        <v>Paid</v>
      </c>
      <c r="K319" s="16" t="str">
        <f aca="false">IF(H319&lt;=0.01,"Paid",IF(G319&gt;0,"Partially Paid","Unpaid"))</f>
        <v>Paid</v>
      </c>
    </row>
    <row r="320" customFormat="false" ht="15" hidden="false" customHeight="false" outlineLevel="0" collapsed="false">
      <c r="A320" s="16" t="str">
        <f aca="false">Vendor_Invoices_AP!A317</f>
        <v>INV30316</v>
      </c>
      <c r="B320" s="16" t="str">
        <f aca="false">Vendor_Invoices_AP!C317</f>
        <v>V1038</v>
      </c>
      <c r="C320" s="16" t="str">
        <f aca="false">IFERROR(INDEX(Vendor_Master!$B$2:$B$41,MATCH(B320,Vendor_Master!$A$2:$A$41,0)),"Unknown Vendor")</f>
        <v>Rose-Obrien</v>
      </c>
      <c r="D320" s="17" t="n">
        <f aca="false">Vendor_Invoices_AP!D317</f>
        <v>45948</v>
      </c>
      <c r="E320" s="17" t="n">
        <f aca="false">Vendor_Invoices_AP!F317</f>
        <v>45978</v>
      </c>
      <c r="F320" s="18" t="n">
        <f aca="false">Vendor_Invoices_AP!E317</f>
        <v>3672.05</v>
      </c>
      <c r="G320" s="18" t="n">
        <f aca="false">SUMIFS(Payment_Log_AP!$E$2:$E$753,Payment_Log_AP!$B$2:$B$753,A320)</f>
        <v>0</v>
      </c>
      <c r="H320" s="18" t="n">
        <f aca="false">F320-G320</f>
        <v>3672.05</v>
      </c>
      <c r="I320" s="16" t="n">
        <f aca="false">IF(H320&lt;=0.01,0,MAX(Assumptions!$B$5-E320,0))</f>
        <v>256</v>
      </c>
      <c r="J320" s="16" t="str">
        <f aca="false">IF(H320&lt;=0.01,"Paid",IF(I320&lt;=30,"0-30",IF(I320&lt;=60,"31-60",IF(I320&lt;=90,"61-90","90+"))))</f>
        <v>90+</v>
      </c>
      <c r="K320" s="16" t="str">
        <f aca="false">IF(H320&lt;=0.01,"Paid",IF(G320&gt;0,"Partially Paid","Unpaid"))</f>
        <v>Unpaid</v>
      </c>
    </row>
    <row r="321" customFormat="false" ht="15" hidden="false" customHeight="false" outlineLevel="0" collapsed="false">
      <c r="A321" s="16" t="str">
        <f aca="false">Vendor_Invoices_AP!A318</f>
        <v>INV30317</v>
      </c>
      <c r="B321" s="16" t="str">
        <f aca="false">Vendor_Invoices_AP!C318</f>
        <v>V1019</v>
      </c>
      <c r="C321" s="16" t="str">
        <f aca="false">IFERROR(INDEX(Vendor_Master!$B$2:$B$41,MATCH(B321,Vendor_Master!$A$2:$A$41,0)),"Unknown Vendor")</f>
        <v>Clark PLC</v>
      </c>
      <c r="D321" s="17" t="n">
        <f aca="false">Vendor_Invoices_AP!D318</f>
        <v>46144</v>
      </c>
      <c r="E321" s="17" t="n">
        <f aca="false">Vendor_Invoices_AP!F318</f>
        <v>46189</v>
      </c>
      <c r="F321" s="18" t="n">
        <f aca="false">Vendor_Invoices_AP!E318</f>
        <v>6043.12</v>
      </c>
      <c r="G321" s="18" t="n">
        <f aca="false">SUMIFS(Payment_Log_AP!$E$2:$E$753,Payment_Log_AP!$B$2:$B$753,A321)</f>
        <v>6043.12</v>
      </c>
      <c r="H321" s="18" t="n">
        <f aca="false">F321-G321</f>
        <v>0</v>
      </c>
      <c r="I321" s="16" t="n">
        <f aca="false">IF(H321&lt;=0.01,0,MAX(Assumptions!$B$5-E321,0))</f>
        <v>0</v>
      </c>
      <c r="J321" s="16" t="str">
        <f aca="false">IF(H321&lt;=0.01,"Paid",IF(I321&lt;=30,"0-30",IF(I321&lt;=60,"31-60",IF(I321&lt;=90,"61-90","90+"))))</f>
        <v>Paid</v>
      </c>
      <c r="K321" s="16" t="str">
        <f aca="false">IF(H321&lt;=0.01,"Paid",IF(G321&gt;0,"Partially Paid","Unpaid"))</f>
        <v>Paid</v>
      </c>
    </row>
    <row r="322" customFormat="false" ht="15" hidden="false" customHeight="false" outlineLevel="0" collapsed="false">
      <c r="A322" s="16" t="str">
        <f aca="false">Vendor_Invoices_AP!A319</f>
        <v>INV30318</v>
      </c>
      <c r="B322" s="16" t="str">
        <f aca="false">Vendor_Invoices_AP!C319</f>
        <v>V1014</v>
      </c>
      <c r="C322" s="16" t="str">
        <f aca="false">IFERROR(INDEX(Vendor_Master!$B$2:$B$41,MATCH(B322,Vendor_Master!$A$2:$A$41,0)),"Unknown Vendor")</f>
        <v>Flowers, Martin and Kelly</v>
      </c>
      <c r="D322" s="17" t="n">
        <f aca="false">Vendor_Invoices_AP!D319</f>
        <v>45979</v>
      </c>
      <c r="E322" s="17" t="n">
        <f aca="false">Vendor_Invoices_AP!F319</f>
        <v>46009</v>
      </c>
      <c r="F322" s="18" t="n">
        <f aca="false">Vendor_Invoices_AP!E319</f>
        <v>1017.03</v>
      </c>
      <c r="G322" s="18" t="n">
        <f aca="false">SUMIFS(Payment_Log_AP!$E$2:$E$753,Payment_Log_AP!$B$2:$B$753,A322)</f>
        <v>1017.03</v>
      </c>
      <c r="H322" s="18" t="n">
        <f aca="false">F322-G322</f>
        <v>0</v>
      </c>
      <c r="I322" s="16" t="n">
        <f aca="false">IF(H322&lt;=0.01,0,MAX(Assumptions!$B$5-E322,0))</f>
        <v>0</v>
      </c>
      <c r="J322" s="16" t="str">
        <f aca="false">IF(H322&lt;=0.01,"Paid",IF(I322&lt;=30,"0-30",IF(I322&lt;=60,"31-60",IF(I322&lt;=90,"61-90","90+"))))</f>
        <v>Paid</v>
      </c>
      <c r="K322" s="16" t="str">
        <f aca="false">IF(H322&lt;=0.01,"Paid",IF(G322&gt;0,"Partially Paid","Unpaid"))</f>
        <v>Paid</v>
      </c>
    </row>
    <row r="323" customFormat="false" ht="15" hidden="false" customHeight="false" outlineLevel="0" collapsed="false">
      <c r="A323" s="16" t="str">
        <f aca="false">Vendor_Invoices_AP!A320</f>
        <v>INV30319</v>
      </c>
      <c r="B323" s="16" t="str">
        <f aca="false">Vendor_Invoices_AP!C320</f>
        <v>V1017</v>
      </c>
      <c r="C323" s="16" t="str">
        <f aca="false">IFERROR(INDEX(Vendor_Master!$B$2:$B$41,MATCH(B323,Vendor_Master!$A$2:$A$41,0)),"Unknown Vendor")</f>
        <v>Hawkins, Cohen and Cameron</v>
      </c>
      <c r="D323" s="17" t="n">
        <f aca="false">Vendor_Invoices_AP!D320</f>
        <v>45937</v>
      </c>
      <c r="E323" s="17" t="n">
        <f aca="false">Vendor_Invoices_AP!F320</f>
        <v>45982</v>
      </c>
      <c r="F323" s="18" t="n">
        <f aca="false">Vendor_Invoices_AP!E320</f>
        <v>33982.32</v>
      </c>
      <c r="G323" s="18" t="n">
        <f aca="false">SUMIFS(Payment_Log_AP!$E$2:$E$753,Payment_Log_AP!$B$2:$B$753,A323)</f>
        <v>33982.32</v>
      </c>
      <c r="H323" s="18" t="n">
        <f aca="false">F323-G323</f>
        <v>0</v>
      </c>
      <c r="I323" s="16" t="n">
        <f aca="false">IF(H323&lt;=0.01,0,MAX(Assumptions!$B$5-E323,0))</f>
        <v>0</v>
      </c>
      <c r="J323" s="16" t="str">
        <f aca="false">IF(H323&lt;=0.01,"Paid",IF(I323&lt;=30,"0-30",IF(I323&lt;=60,"31-60",IF(I323&lt;=90,"61-90","90+"))))</f>
        <v>Paid</v>
      </c>
      <c r="K323" s="16" t="str">
        <f aca="false">IF(H323&lt;=0.01,"Paid",IF(G323&gt;0,"Partially Paid","Unpaid"))</f>
        <v>Paid</v>
      </c>
    </row>
    <row r="324" customFormat="false" ht="15" hidden="false" customHeight="false" outlineLevel="0" collapsed="false">
      <c r="A324" s="16" t="str">
        <f aca="false">Vendor_Invoices_AP!A321</f>
        <v>INV30320</v>
      </c>
      <c r="B324" s="16" t="str">
        <f aca="false">Vendor_Invoices_AP!C321</f>
        <v>V1026</v>
      </c>
      <c r="C324" s="16" t="str">
        <f aca="false">IFERROR(INDEX(Vendor_Master!$B$2:$B$41,MATCH(B324,Vendor_Master!$A$2:$A$41,0)),"Unknown Vendor")</f>
        <v>James-Ferrell</v>
      </c>
      <c r="D324" s="17" t="n">
        <f aca="false">Vendor_Invoices_AP!D321</f>
        <v>45919</v>
      </c>
      <c r="E324" s="17" t="n">
        <f aca="false">Vendor_Invoices_AP!F321</f>
        <v>45979</v>
      </c>
      <c r="F324" s="18" t="n">
        <f aca="false">Vendor_Invoices_AP!E321</f>
        <v>2011.97</v>
      </c>
      <c r="G324" s="18" t="n">
        <f aca="false">SUMIFS(Payment_Log_AP!$E$2:$E$753,Payment_Log_AP!$B$2:$B$753,A324)</f>
        <v>2011.97</v>
      </c>
      <c r="H324" s="18" t="n">
        <f aca="false">F324-G324</f>
        <v>0</v>
      </c>
      <c r="I324" s="16" t="n">
        <f aca="false">IF(H324&lt;=0.01,0,MAX(Assumptions!$B$5-E324,0))</f>
        <v>0</v>
      </c>
      <c r="J324" s="16" t="str">
        <f aca="false">IF(H324&lt;=0.01,"Paid",IF(I324&lt;=30,"0-30",IF(I324&lt;=60,"31-60",IF(I324&lt;=90,"61-90","90+"))))</f>
        <v>Paid</v>
      </c>
      <c r="K324" s="16" t="str">
        <f aca="false">IF(H324&lt;=0.01,"Paid",IF(G324&gt;0,"Partially Paid","Unpaid"))</f>
        <v>Paid</v>
      </c>
    </row>
    <row r="325" customFormat="false" ht="15" hidden="false" customHeight="false" outlineLevel="0" collapsed="false">
      <c r="A325" s="16" t="str">
        <f aca="false">Vendor_Invoices_AP!A322</f>
        <v>INV30321</v>
      </c>
      <c r="B325" s="16" t="str">
        <f aca="false">Vendor_Invoices_AP!C322</f>
        <v>V1016</v>
      </c>
      <c r="C325" s="16" t="str">
        <f aca="false">IFERROR(INDEX(Vendor_Master!$B$2:$B$41,MATCH(B325,Vendor_Master!$A$2:$A$41,0)),"Unknown Vendor")</f>
        <v>Sanchez, Ford and Nelson</v>
      </c>
      <c r="D325" s="17" t="n">
        <f aca="false">Vendor_Invoices_AP!D322</f>
        <v>45776</v>
      </c>
      <c r="E325" s="17" t="n">
        <f aca="false">Vendor_Invoices_AP!F322</f>
        <v>45806</v>
      </c>
      <c r="F325" s="18" t="n">
        <f aca="false">Vendor_Invoices_AP!E322</f>
        <v>1329.7</v>
      </c>
      <c r="G325" s="18" t="n">
        <f aca="false">SUMIFS(Payment_Log_AP!$E$2:$E$753,Payment_Log_AP!$B$2:$B$753,A325)</f>
        <v>0</v>
      </c>
      <c r="H325" s="18" t="n">
        <f aca="false">F325-G325</f>
        <v>1329.7</v>
      </c>
      <c r="I325" s="16" t="n">
        <f aca="false">IF(H325&lt;=0.01,0,MAX(Assumptions!$B$5-E325,0))</f>
        <v>428</v>
      </c>
      <c r="J325" s="16" t="str">
        <f aca="false">IF(H325&lt;=0.01,"Paid",IF(I325&lt;=30,"0-30",IF(I325&lt;=60,"31-60",IF(I325&lt;=90,"61-90","90+"))))</f>
        <v>90+</v>
      </c>
      <c r="K325" s="16" t="str">
        <f aca="false">IF(H325&lt;=0.01,"Paid",IF(G325&gt;0,"Partially Paid","Unpaid"))</f>
        <v>Unpaid</v>
      </c>
    </row>
    <row r="326" customFormat="false" ht="15" hidden="false" customHeight="false" outlineLevel="0" collapsed="false">
      <c r="A326" s="16" t="str">
        <f aca="false">Vendor_Invoices_AP!A323</f>
        <v>INV30322</v>
      </c>
      <c r="B326" s="16" t="str">
        <f aca="false">Vendor_Invoices_AP!C323</f>
        <v>V1026</v>
      </c>
      <c r="C326" s="16" t="str">
        <f aca="false">IFERROR(INDEX(Vendor_Master!$B$2:$B$41,MATCH(B326,Vendor_Master!$A$2:$A$41,0)),"Unknown Vendor")</f>
        <v>James-Ferrell</v>
      </c>
      <c r="D326" s="17" t="n">
        <f aca="false">Vendor_Invoices_AP!D323</f>
        <v>45710</v>
      </c>
      <c r="E326" s="17" t="n">
        <f aca="false">Vendor_Invoices_AP!F323</f>
        <v>45770</v>
      </c>
      <c r="F326" s="18" t="n">
        <f aca="false">Vendor_Invoices_AP!E323</f>
        <v>1953.14</v>
      </c>
      <c r="G326" s="18" t="n">
        <f aca="false">SUMIFS(Payment_Log_AP!$E$2:$E$753,Payment_Log_AP!$B$2:$B$753,A326)</f>
        <v>1953.14</v>
      </c>
      <c r="H326" s="18" t="n">
        <f aca="false">F326-G326</f>
        <v>0</v>
      </c>
      <c r="I326" s="16" t="n">
        <f aca="false">IF(H326&lt;=0.01,0,MAX(Assumptions!$B$5-E326,0))</f>
        <v>0</v>
      </c>
      <c r="J326" s="16" t="str">
        <f aca="false">IF(H326&lt;=0.01,"Paid",IF(I326&lt;=30,"0-30",IF(I326&lt;=60,"31-60",IF(I326&lt;=90,"61-90","90+"))))</f>
        <v>Paid</v>
      </c>
      <c r="K326" s="16" t="str">
        <f aca="false">IF(H326&lt;=0.01,"Paid",IF(G326&gt;0,"Partially Paid","Unpaid"))</f>
        <v>Paid</v>
      </c>
    </row>
    <row r="327" customFormat="false" ht="15" hidden="false" customHeight="false" outlineLevel="0" collapsed="false">
      <c r="A327" s="16" t="str">
        <f aca="false">Vendor_Invoices_AP!A324</f>
        <v>INV30323</v>
      </c>
      <c r="B327" s="16" t="str">
        <f aca="false">Vendor_Invoices_AP!C324</f>
        <v>V1031</v>
      </c>
      <c r="C327" s="16" t="str">
        <f aca="false">IFERROR(INDEX(Vendor_Master!$B$2:$B$41,MATCH(B327,Vendor_Master!$A$2:$A$41,0)),"Unknown Vendor")</f>
        <v>Harrell LLC</v>
      </c>
      <c r="D327" s="17" t="n">
        <f aca="false">Vendor_Invoices_AP!D324</f>
        <v>46182</v>
      </c>
      <c r="E327" s="17" t="n">
        <f aca="false">Vendor_Invoices_AP!F324</f>
        <v>46197</v>
      </c>
      <c r="F327" s="18" t="n">
        <f aca="false">Vendor_Invoices_AP!E324</f>
        <v>275.18</v>
      </c>
      <c r="G327" s="18" t="n">
        <f aca="false">SUMIFS(Payment_Log_AP!$E$2:$E$753,Payment_Log_AP!$B$2:$B$753,A327)</f>
        <v>275.18</v>
      </c>
      <c r="H327" s="18" t="n">
        <f aca="false">F327-G327</f>
        <v>0</v>
      </c>
      <c r="I327" s="16" t="n">
        <f aca="false">IF(H327&lt;=0.01,0,MAX(Assumptions!$B$5-E327,0))</f>
        <v>0</v>
      </c>
      <c r="J327" s="16" t="str">
        <f aca="false">IF(H327&lt;=0.01,"Paid",IF(I327&lt;=30,"0-30",IF(I327&lt;=60,"31-60",IF(I327&lt;=90,"61-90","90+"))))</f>
        <v>Paid</v>
      </c>
      <c r="K327" s="16" t="str">
        <f aca="false">IF(H327&lt;=0.01,"Paid",IF(G327&gt;0,"Partially Paid","Unpaid"))</f>
        <v>Paid</v>
      </c>
    </row>
    <row r="328" customFormat="false" ht="15" hidden="false" customHeight="false" outlineLevel="0" collapsed="false">
      <c r="A328" s="16" t="str">
        <f aca="false">Vendor_Invoices_AP!A325</f>
        <v>INV30324</v>
      </c>
      <c r="B328" s="16" t="str">
        <f aca="false">Vendor_Invoices_AP!C325</f>
        <v>V1002</v>
      </c>
      <c r="C328" s="16" t="str">
        <f aca="false">IFERROR(INDEX(Vendor_Master!$B$2:$B$41,MATCH(B328,Vendor_Master!$A$2:$A$41,0)),"Unknown Vendor")</f>
        <v>Garcia, Yang and Gardner</v>
      </c>
      <c r="D328" s="17" t="n">
        <f aca="false">Vendor_Invoices_AP!D325</f>
        <v>45920</v>
      </c>
      <c r="E328" s="17" t="n">
        <f aca="false">Vendor_Invoices_AP!F325</f>
        <v>45935</v>
      </c>
      <c r="F328" s="18" t="n">
        <f aca="false">Vendor_Invoices_AP!E325</f>
        <v>2929.12</v>
      </c>
      <c r="G328" s="18" t="n">
        <f aca="false">SUMIFS(Payment_Log_AP!$E$2:$E$753,Payment_Log_AP!$B$2:$B$753,A328)</f>
        <v>5858.24</v>
      </c>
      <c r="H328" s="18" t="n">
        <f aca="false">F328-G328</f>
        <v>-2929.12</v>
      </c>
      <c r="I328" s="16" t="n">
        <f aca="false">IF(H328&lt;=0.01,0,MAX(Assumptions!$B$5-E328,0))</f>
        <v>0</v>
      </c>
      <c r="J328" s="16" t="str">
        <f aca="false">IF(H328&lt;=0.01,"Paid",IF(I328&lt;=30,"0-30",IF(I328&lt;=60,"31-60",IF(I328&lt;=90,"61-90","90+"))))</f>
        <v>Paid</v>
      </c>
      <c r="K328" s="16" t="str">
        <f aca="false">IF(H328&lt;=0.01,"Paid",IF(G328&gt;0,"Partially Paid","Unpaid"))</f>
        <v>Paid</v>
      </c>
    </row>
    <row r="329" customFormat="false" ht="15" hidden="false" customHeight="false" outlineLevel="0" collapsed="false">
      <c r="A329" s="16" t="str">
        <f aca="false">Vendor_Invoices_AP!A326</f>
        <v>INV30325</v>
      </c>
      <c r="B329" s="16" t="str">
        <f aca="false">Vendor_Invoices_AP!C326</f>
        <v>V1015</v>
      </c>
      <c r="C329" s="16" t="str">
        <f aca="false">IFERROR(INDEX(Vendor_Master!$B$2:$B$41,MATCH(B329,Vendor_Master!$A$2:$A$41,0)),"Unknown Vendor")</f>
        <v>Zuniga, Wong and Lynch</v>
      </c>
      <c r="D329" s="17" t="n">
        <f aca="false">Vendor_Invoices_AP!D326</f>
        <v>46128</v>
      </c>
      <c r="E329" s="17" t="n">
        <f aca="false">Vendor_Invoices_AP!F326</f>
        <v>46158</v>
      </c>
      <c r="F329" s="18" t="n">
        <f aca="false">Vendor_Invoices_AP!E326</f>
        <v>2560.65</v>
      </c>
      <c r="G329" s="18" t="n">
        <f aca="false">SUMIFS(Payment_Log_AP!$E$2:$E$753,Payment_Log_AP!$B$2:$B$753,A329)</f>
        <v>2560.65</v>
      </c>
      <c r="H329" s="18" t="n">
        <f aca="false">F329-G329</f>
        <v>0</v>
      </c>
      <c r="I329" s="16" t="n">
        <f aca="false">IF(H329&lt;=0.01,0,MAX(Assumptions!$B$5-E329,0))</f>
        <v>0</v>
      </c>
      <c r="J329" s="16" t="str">
        <f aca="false">IF(H329&lt;=0.01,"Paid",IF(I329&lt;=30,"0-30",IF(I329&lt;=60,"31-60",IF(I329&lt;=90,"61-90","90+"))))</f>
        <v>Paid</v>
      </c>
      <c r="K329" s="16" t="str">
        <f aca="false">IF(H329&lt;=0.01,"Paid",IF(G329&gt;0,"Partially Paid","Unpaid"))</f>
        <v>Paid</v>
      </c>
    </row>
    <row r="330" customFormat="false" ht="15" hidden="false" customHeight="false" outlineLevel="0" collapsed="false">
      <c r="A330" s="16" t="str">
        <f aca="false">Vendor_Invoices_AP!A327</f>
        <v>INV30326</v>
      </c>
      <c r="B330" s="16" t="str">
        <f aca="false">Vendor_Invoices_AP!C327</f>
        <v>V1016</v>
      </c>
      <c r="C330" s="16" t="str">
        <f aca="false">IFERROR(INDEX(Vendor_Master!$B$2:$B$41,MATCH(B330,Vendor_Master!$A$2:$A$41,0)),"Unknown Vendor")</f>
        <v>Sanchez, Ford and Nelson</v>
      </c>
      <c r="D330" s="17" t="n">
        <f aca="false">Vendor_Invoices_AP!D327</f>
        <v>45894</v>
      </c>
      <c r="E330" s="17" t="n">
        <f aca="false">Vendor_Invoices_AP!F327</f>
        <v>45924</v>
      </c>
      <c r="F330" s="18" t="n">
        <f aca="false">Vendor_Invoices_AP!E327</f>
        <v>1086.25</v>
      </c>
      <c r="G330" s="18" t="n">
        <f aca="false">SUMIFS(Payment_Log_AP!$E$2:$E$753,Payment_Log_AP!$B$2:$B$753,A330)</f>
        <v>1086.25</v>
      </c>
      <c r="H330" s="18" t="n">
        <f aca="false">F330-G330</f>
        <v>0</v>
      </c>
      <c r="I330" s="16" t="n">
        <f aca="false">IF(H330&lt;=0.01,0,MAX(Assumptions!$B$5-E330,0))</f>
        <v>0</v>
      </c>
      <c r="J330" s="16" t="str">
        <f aca="false">IF(H330&lt;=0.01,"Paid",IF(I330&lt;=30,"0-30",IF(I330&lt;=60,"31-60",IF(I330&lt;=90,"61-90","90+"))))</f>
        <v>Paid</v>
      </c>
      <c r="K330" s="16" t="str">
        <f aca="false">IF(H330&lt;=0.01,"Paid",IF(G330&gt;0,"Partially Paid","Unpaid"))</f>
        <v>Paid</v>
      </c>
    </row>
    <row r="331" customFormat="false" ht="15" hidden="false" customHeight="false" outlineLevel="0" collapsed="false">
      <c r="A331" s="16" t="str">
        <f aca="false">Vendor_Invoices_AP!A328</f>
        <v>INV30327</v>
      </c>
      <c r="B331" s="16" t="str">
        <f aca="false">Vendor_Invoices_AP!C328</f>
        <v>V1039</v>
      </c>
      <c r="C331" s="16" t="str">
        <f aca="false">IFERROR(INDEX(Vendor_Master!$B$2:$B$41,MATCH(B331,Vendor_Master!$A$2:$A$41,0)),"Unknown Vendor")</f>
        <v>Campos, Vaughn and Marquez</v>
      </c>
      <c r="D331" s="17" t="n">
        <f aca="false">Vendor_Invoices_AP!D328</f>
        <v>45708</v>
      </c>
      <c r="E331" s="17" t="n">
        <f aca="false">Vendor_Invoices_AP!F328</f>
        <v>45738</v>
      </c>
      <c r="F331" s="18" t="n">
        <f aca="false">Vendor_Invoices_AP!E328</f>
        <v>3484.24</v>
      </c>
      <c r="G331" s="18" t="n">
        <f aca="false">SUMIFS(Payment_Log_AP!$E$2:$E$753,Payment_Log_AP!$B$2:$B$753,A331)</f>
        <v>3484.24</v>
      </c>
      <c r="H331" s="18" t="n">
        <f aca="false">F331-G331</f>
        <v>0</v>
      </c>
      <c r="I331" s="16" t="n">
        <f aca="false">IF(H331&lt;=0.01,0,MAX(Assumptions!$B$5-E331,0))</f>
        <v>0</v>
      </c>
      <c r="J331" s="16" t="str">
        <f aca="false">IF(H331&lt;=0.01,"Paid",IF(I331&lt;=30,"0-30",IF(I331&lt;=60,"31-60",IF(I331&lt;=90,"61-90","90+"))))</f>
        <v>Paid</v>
      </c>
      <c r="K331" s="16" t="str">
        <f aca="false">IF(H331&lt;=0.01,"Paid",IF(G331&gt;0,"Partially Paid","Unpaid"))</f>
        <v>Paid</v>
      </c>
    </row>
    <row r="332" customFormat="false" ht="15" hidden="false" customHeight="false" outlineLevel="0" collapsed="false">
      <c r="A332" s="16" t="str">
        <f aca="false">Vendor_Invoices_AP!A329</f>
        <v>INV30328</v>
      </c>
      <c r="B332" s="16" t="str">
        <f aca="false">Vendor_Invoices_AP!C329</f>
        <v>V1025</v>
      </c>
      <c r="C332" s="16" t="str">
        <f aca="false">IFERROR(INDEX(Vendor_Master!$B$2:$B$41,MATCH(B332,Vendor_Master!$A$2:$A$41,0)),"Unknown Vendor")</f>
        <v>Conner Group</v>
      </c>
      <c r="D332" s="17" t="n">
        <f aca="false">Vendor_Invoices_AP!D329</f>
        <v>46003</v>
      </c>
      <c r="E332" s="17" t="n">
        <f aca="false">Vendor_Invoices_AP!F329</f>
        <v>46048</v>
      </c>
      <c r="F332" s="18" t="n">
        <f aca="false">Vendor_Invoices_AP!E329</f>
        <v>4212.6</v>
      </c>
      <c r="G332" s="18" t="n">
        <f aca="false">SUMIFS(Payment_Log_AP!$E$2:$E$753,Payment_Log_AP!$B$2:$B$753,A332)</f>
        <v>4212.6</v>
      </c>
      <c r="H332" s="18" t="n">
        <f aca="false">F332-G332</f>
        <v>0</v>
      </c>
      <c r="I332" s="16" t="n">
        <f aca="false">IF(H332&lt;=0.01,0,MAX(Assumptions!$B$5-E332,0))</f>
        <v>0</v>
      </c>
      <c r="J332" s="16" t="str">
        <f aca="false">IF(H332&lt;=0.01,"Paid",IF(I332&lt;=30,"0-30",IF(I332&lt;=60,"31-60",IF(I332&lt;=90,"61-90","90+"))))</f>
        <v>Paid</v>
      </c>
      <c r="K332" s="16" t="str">
        <f aca="false">IF(H332&lt;=0.01,"Paid",IF(G332&gt;0,"Partially Paid","Unpaid"))</f>
        <v>Paid</v>
      </c>
    </row>
    <row r="333" customFormat="false" ht="15" hidden="false" customHeight="false" outlineLevel="0" collapsed="false">
      <c r="A333" s="16" t="str">
        <f aca="false">Vendor_Invoices_AP!A330</f>
        <v>INV30329</v>
      </c>
      <c r="B333" s="16" t="str">
        <f aca="false">Vendor_Invoices_AP!C330</f>
        <v>V1032</v>
      </c>
      <c r="C333" s="16" t="str">
        <f aca="false">IFERROR(INDEX(Vendor_Master!$B$2:$B$41,MATCH(B333,Vendor_Master!$A$2:$A$41,0)),"Unknown Vendor")</f>
        <v>Lynch, Hernandez and Farmer</v>
      </c>
      <c r="D333" s="17" t="n">
        <f aca="false">Vendor_Invoices_AP!D330</f>
        <v>45696</v>
      </c>
      <c r="E333" s="17" t="n">
        <f aca="false">Vendor_Invoices_AP!F330</f>
        <v>45756</v>
      </c>
      <c r="F333" s="18" t="n">
        <f aca="false">Vendor_Invoices_AP!E330</f>
        <v>2560.27</v>
      </c>
      <c r="G333" s="18" t="n">
        <f aca="false">SUMIFS(Payment_Log_AP!$E$2:$E$753,Payment_Log_AP!$B$2:$B$753,A333)</f>
        <v>2560.27</v>
      </c>
      <c r="H333" s="18" t="n">
        <f aca="false">F333-G333</f>
        <v>0</v>
      </c>
      <c r="I333" s="16" t="n">
        <f aca="false">IF(H333&lt;=0.01,0,MAX(Assumptions!$B$5-E333,0))</f>
        <v>0</v>
      </c>
      <c r="J333" s="16" t="str">
        <f aca="false">IF(H333&lt;=0.01,"Paid",IF(I333&lt;=30,"0-30",IF(I333&lt;=60,"31-60",IF(I333&lt;=90,"61-90","90+"))))</f>
        <v>Paid</v>
      </c>
      <c r="K333" s="16" t="str">
        <f aca="false">IF(H333&lt;=0.01,"Paid",IF(G333&gt;0,"Partially Paid","Unpaid"))</f>
        <v>Paid</v>
      </c>
    </row>
    <row r="334" customFormat="false" ht="15" hidden="false" customHeight="false" outlineLevel="0" collapsed="false">
      <c r="A334" s="16" t="str">
        <f aca="false">Vendor_Invoices_AP!A331</f>
        <v>INV30330</v>
      </c>
      <c r="B334" s="16" t="str">
        <f aca="false">Vendor_Invoices_AP!C331</f>
        <v>V1025</v>
      </c>
      <c r="C334" s="16" t="str">
        <f aca="false">IFERROR(INDEX(Vendor_Master!$B$2:$B$41,MATCH(B334,Vendor_Master!$A$2:$A$41,0)),"Unknown Vendor")</f>
        <v>Conner Group</v>
      </c>
      <c r="D334" s="17" t="n">
        <f aca="false">Vendor_Invoices_AP!D331</f>
        <v>45762</v>
      </c>
      <c r="E334" s="17" t="n">
        <f aca="false">Vendor_Invoices_AP!F331</f>
        <v>45807</v>
      </c>
      <c r="F334" s="18" t="n">
        <f aca="false">Vendor_Invoices_AP!E331</f>
        <v>3373.65</v>
      </c>
      <c r="G334" s="18" t="n">
        <f aca="false">SUMIFS(Payment_Log_AP!$E$2:$E$753,Payment_Log_AP!$B$2:$B$753,A334)</f>
        <v>3373.65</v>
      </c>
      <c r="H334" s="18" t="n">
        <f aca="false">F334-G334</f>
        <v>0</v>
      </c>
      <c r="I334" s="16" t="n">
        <f aca="false">IF(H334&lt;=0.01,0,MAX(Assumptions!$B$5-E334,0))</f>
        <v>0</v>
      </c>
      <c r="J334" s="16" t="str">
        <f aca="false">IF(H334&lt;=0.01,"Paid",IF(I334&lt;=30,"0-30",IF(I334&lt;=60,"31-60",IF(I334&lt;=90,"61-90","90+"))))</f>
        <v>Paid</v>
      </c>
      <c r="K334" s="16" t="str">
        <f aca="false">IF(H334&lt;=0.01,"Paid",IF(G334&gt;0,"Partially Paid","Unpaid"))</f>
        <v>Paid</v>
      </c>
    </row>
    <row r="335" customFormat="false" ht="15" hidden="false" customHeight="false" outlineLevel="0" collapsed="false">
      <c r="A335" s="16" t="str">
        <f aca="false">Vendor_Invoices_AP!A332</f>
        <v>INV30331</v>
      </c>
      <c r="B335" s="16" t="str">
        <f aca="false">Vendor_Invoices_AP!C332</f>
        <v>V1031</v>
      </c>
      <c r="C335" s="16" t="str">
        <f aca="false">IFERROR(INDEX(Vendor_Master!$B$2:$B$41,MATCH(B335,Vendor_Master!$A$2:$A$41,0)),"Unknown Vendor")</f>
        <v>Harrell LLC</v>
      </c>
      <c r="D335" s="17" t="n">
        <f aca="false">Vendor_Invoices_AP!D332</f>
        <v>45982</v>
      </c>
      <c r="E335" s="17" t="n">
        <f aca="false">Vendor_Invoices_AP!F332</f>
        <v>45997</v>
      </c>
      <c r="F335" s="18" t="n">
        <f aca="false">Vendor_Invoices_AP!E332</f>
        <v>1093.64</v>
      </c>
      <c r="G335" s="18" t="n">
        <f aca="false">SUMIFS(Payment_Log_AP!$E$2:$E$753,Payment_Log_AP!$B$2:$B$753,A335)</f>
        <v>1093.64</v>
      </c>
      <c r="H335" s="18" t="n">
        <f aca="false">F335-G335</f>
        <v>0</v>
      </c>
      <c r="I335" s="16" t="n">
        <f aca="false">IF(H335&lt;=0.01,0,MAX(Assumptions!$B$5-E335,0))</f>
        <v>0</v>
      </c>
      <c r="J335" s="16" t="str">
        <f aca="false">IF(H335&lt;=0.01,"Paid",IF(I335&lt;=30,"0-30",IF(I335&lt;=60,"31-60",IF(I335&lt;=90,"61-90","90+"))))</f>
        <v>Paid</v>
      </c>
      <c r="K335" s="16" t="str">
        <f aca="false">IF(H335&lt;=0.01,"Paid",IF(G335&gt;0,"Partially Paid","Unpaid"))</f>
        <v>Paid</v>
      </c>
    </row>
    <row r="336" customFormat="false" ht="15" hidden="false" customHeight="false" outlineLevel="0" collapsed="false">
      <c r="A336" s="16" t="str">
        <f aca="false">Vendor_Invoices_AP!A333</f>
        <v>INV30332</v>
      </c>
      <c r="B336" s="16" t="str">
        <f aca="false">Vendor_Invoices_AP!C333</f>
        <v>V1038</v>
      </c>
      <c r="C336" s="16" t="str">
        <f aca="false">IFERROR(INDEX(Vendor_Master!$B$2:$B$41,MATCH(B336,Vendor_Master!$A$2:$A$41,0)),"Unknown Vendor")</f>
        <v>Rose-Obrien</v>
      </c>
      <c r="D336" s="17" t="n">
        <f aca="false">Vendor_Invoices_AP!D333</f>
        <v>45845</v>
      </c>
      <c r="E336" s="17" t="n">
        <f aca="false">Vendor_Invoices_AP!F333</f>
        <v>45875</v>
      </c>
      <c r="F336" s="18" t="n">
        <f aca="false">Vendor_Invoices_AP!E333</f>
        <v>1134.36</v>
      </c>
      <c r="G336" s="18" t="n">
        <f aca="false">SUMIFS(Payment_Log_AP!$E$2:$E$753,Payment_Log_AP!$B$2:$B$753,A336)</f>
        <v>1134.36</v>
      </c>
      <c r="H336" s="18" t="n">
        <f aca="false">F336-G336</f>
        <v>0</v>
      </c>
      <c r="I336" s="16" t="n">
        <f aca="false">IF(H336&lt;=0.01,0,MAX(Assumptions!$B$5-E336,0))</f>
        <v>0</v>
      </c>
      <c r="J336" s="16" t="str">
        <f aca="false">IF(H336&lt;=0.01,"Paid",IF(I336&lt;=30,"0-30",IF(I336&lt;=60,"31-60",IF(I336&lt;=90,"61-90","90+"))))</f>
        <v>Paid</v>
      </c>
      <c r="K336" s="16" t="str">
        <f aca="false">IF(H336&lt;=0.01,"Paid",IF(G336&gt;0,"Partially Paid","Unpaid"))</f>
        <v>Paid</v>
      </c>
    </row>
    <row r="337" customFormat="false" ht="15" hidden="false" customHeight="false" outlineLevel="0" collapsed="false">
      <c r="A337" s="16" t="str">
        <f aca="false">Vendor_Invoices_AP!A334</f>
        <v>INV30333</v>
      </c>
      <c r="B337" s="16" t="str">
        <f aca="false">Vendor_Invoices_AP!C334</f>
        <v>V1034</v>
      </c>
      <c r="C337" s="16" t="str">
        <f aca="false">IFERROR(INDEX(Vendor_Master!$B$2:$B$41,MATCH(B337,Vendor_Master!$A$2:$A$41,0)),"Unknown Vendor")</f>
        <v>Koch-Decker</v>
      </c>
      <c r="D337" s="17" t="n">
        <f aca="false">Vendor_Invoices_AP!D334</f>
        <v>46219</v>
      </c>
      <c r="E337" s="17" t="n">
        <f aca="false">Vendor_Invoices_AP!F334</f>
        <v>46264</v>
      </c>
      <c r="F337" s="18" t="n">
        <f aca="false">Vendor_Invoices_AP!E334</f>
        <v>15734.46</v>
      </c>
      <c r="G337" s="18" t="n">
        <f aca="false">SUMIFS(Payment_Log_AP!$E$2:$E$753,Payment_Log_AP!$B$2:$B$753,A337)</f>
        <v>0</v>
      </c>
      <c r="H337" s="18" t="n">
        <f aca="false">F337-G337</f>
        <v>15734.46</v>
      </c>
      <c r="I337" s="16" t="n">
        <f aca="false">IF(H337&lt;=0.01,0,MAX(Assumptions!$B$5-E337,0))</f>
        <v>0</v>
      </c>
      <c r="J337" s="16" t="str">
        <f aca="false">IF(H337&lt;=0.01,"Paid",IF(I337&lt;=30,"0-30",IF(I337&lt;=60,"31-60",IF(I337&lt;=90,"61-90","90+"))))</f>
        <v>0-30</v>
      </c>
      <c r="K337" s="16" t="str">
        <f aca="false">IF(H337&lt;=0.01,"Paid",IF(G337&gt;0,"Partially Paid","Unpaid"))</f>
        <v>Unpaid</v>
      </c>
    </row>
    <row r="338" customFormat="false" ht="15" hidden="false" customHeight="false" outlineLevel="0" collapsed="false">
      <c r="A338" s="16" t="str">
        <f aca="false">Vendor_Invoices_AP!A335</f>
        <v>INV30334</v>
      </c>
      <c r="B338" s="16" t="str">
        <f aca="false">Vendor_Invoices_AP!C335</f>
        <v>V1016</v>
      </c>
      <c r="C338" s="16" t="str">
        <f aca="false">IFERROR(INDEX(Vendor_Master!$B$2:$B$41,MATCH(B338,Vendor_Master!$A$2:$A$41,0)),"Unknown Vendor")</f>
        <v>Sanchez, Ford and Nelson</v>
      </c>
      <c r="D338" s="17" t="n">
        <f aca="false">Vendor_Invoices_AP!D335</f>
        <v>45743</v>
      </c>
      <c r="E338" s="17" t="n">
        <f aca="false">Vendor_Invoices_AP!F335</f>
        <v>45773</v>
      </c>
      <c r="F338" s="18" t="n">
        <f aca="false">Vendor_Invoices_AP!E335</f>
        <v>1731.84</v>
      </c>
      <c r="G338" s="18" t="n">
        <f aca="false">SUMIFS(Payment_Log_AP!$E$2:$E$753,Payment_Log_AP!$B$2:$B$753,A338)</f>
        <v>0</v>
      </c>
      <c r="H338" s="18" t="n">
        <f aca="false">F338-G338</f>
        <v>1731.84</v>
      </c>
      <c r="I338" s="16" t="n">
        <f aca="false">IF(H338&lt;=0.01,0,MAX(Assumptions!$B$5-E338,0))</f>
        <v>461</v>
      </c>
      <c r="J338" s="16" t="str">
        <f aca="false">IF(H338&lt;=0.01,"Paid",IF(I338&lt;=30,"0-30",IF(I338&lt;=60,"31-60",IF(I338&lt;=90,"61-90","90+"))))</f>
        <v>90+</v>
      </c>
      <c r="K338" s="16" t="str">
        <f aca="false">IF(H338&lt;=0.01,"Paid",IF(G338&gt;0,"Partially Paid","Unpaid"))</f>
        <v>Unpaid</v>
      </c>
    </row>
    <row r="339" customFormat="false" ht="15" hidden="false" customHeight="false" outlineLevel="0" collapsed="false">
      <c r="A339" s="16" t="str">
        <f aca="false">Vendor_Invoices_AP!A336</f>
        <v>INV30335</v>
      </c>
      <c r="B339" s="16" t="str">
        <f aca="false">Vendor_Invoices_AP!C336</f>
        <v>V1022</v>
      </c>
      <c r="C339" s="16" t="str">
        <f aca="false">IFERROR(INDEX(Vendor_Master!$B$2:$B$41,MATCH(B339,Vendor_Master!$A$2:$A$41,0)),"Unknown Vendor")</f>
        <v>Burgess-Patterson</v>
      </c>
      <c r="D339" s="17" t="n">
        <f aca="false">Vendor_Invoices_AP!D336</f>
        <v>46082</v>
      </c>
      <c r="E339" s="17" t="n">
        <f aca="false">Vendor_Invoices_AP!F336</f>
        <v>46112</v>
      </c>
      <c r="F339" s="18" t="n">
        <f aca="false">Vendor_Invoices_AP!E336</f>
        <v>861.14</v>
      </c>
      <c r="G339" s="18" t="n">
        <f aca="false">SUMIFS(Payment_Log_AP!$E$2:$E$753,Payment_Log_AP!$B$2:$B$753,A339)</f>
        <v>0</v>
      </c>
      <c r="H339" s="18" t="n">
        <f aca="false">F339-G339</f>
        <v>861.14</v>
      </c>
      <c r="I339" s="16" t="n">
        <f aca="false">IF(H339&lt;=0.01,0,MAX(Assumptions!$B$5-E339,0))</f>
        <v>122</v>
      </c>
      <c r="J339" s="16" t="str">
        <f aca="false">IF(H339&lt;=0.01,"Paid",IF(I339&lt;=30,"0-30",IF(I339&lt;=60,"31-60",IF(I339&lt;=90,"61-90","90+"))))</f>
        <v>90+</v>
      </c>
      <c r="K339" s="16" t="str">
        <f aca="false">IF(H339&lt;=0.01,"Paid",IF(G339&gt;0,"Partially Paid","Unpaid"))</f>
        <v>Unpaid</v>
      </c>
    </row>
    <row r="340" customFormat="false" ht="15" hidden="false" customHeight="false" outlineLevel="0" collapsed="false">
      <c r="A340" s="16" t="str">
        <f aca="false">Vendor_Invoices_AP!A337</f>
        <v>INV30336</v>
      </c>
      <c r="B340" s="16" t="str">
        <f aca="false">Vendor_Invoices_AP!C337</f>
        <v>V1009</v>
      </c>
      <c r="C340" s="16" t="str">
        <f aca="false">IFERROR(INDEX(Vendor_Master!$B$2:$B$41,MATCH(B340,Vendor_Master!$A$2:$A$41,0)),"Unknown Vendor")</f>
        <v>Munoz-Roman</v>
      </c>
      <c r="D340" s="17" t="n">
        <f aca="false">Vendor_Invoices_AP!D337</f>
        <v>46011</v>
      </c>
      <c r="E340" s="17" t="n">
        <f aca="false">Vendor_Invoices_AP!F337</f>
        <v>46041</v>
      </c>
      <c r="F340" s="18" t="n">
        <f aca="false">Vendor_Invoices_AP!E337</f>
        <v>4424.59</v>
      </c>
      <c r="G340" s="18" t="n">
        <f aca="false">SUMIFS(Payment_Log_AP!$E$2:$E$753,Payment_Log_AP!$B$2:$B$753,A340)</f>
        <v>4424.59</v>
      </c>
      <c r="H340" s="18" t="n">
        <f aca="false">F340-G340</f>
        <v>0</v>
      </c>
      <c r="I340" s="16" t="n">
        <f aca="false">IF(H340&lt;=0.01,0,MAX(Assumptions!$B$5-E340,0))</f>
        <v>0</v>
      </c>
      <c r="J340" s="16" t="str">
        <f aca="false">IF(H340&lt;=0.01,"Paid",IF(I340&lt;=30,"0-30",IF(I340&lt;=60,"31-60",IF(I340&lt;=90,"61-90","90+"))))</f>
        <v>Paid</v>
      </c>
      <c r="K340" s="16" t="str">
        <f aca="false">IF(H340&lt;=0.01,"Paid",IF(G340&gt;0,"Partially Paid","Unpaid"))</f>
        <v>Paid</v>
      </c>
    </row>
    <row r="341" customFormat="false" ht="15" hidden="false" customHeight="false" outlineLevel="0" collapsed="false">
      <c r="A341" s="16" t="str">
        <f aca="false">Vendor_Invoices_AP!A338</f>
        <v>INV30337</v>
      </c>
      <c r="B341" s="16" t="str">
        <f aca="false">Vendor_Invoices_AP!C338</f>
        <v>V1014</v>
      </c>
      <c r="C341" s="16" t="str">
        <f aca="false">IFERROR(INDEX(Vendor_Master!$B$2:$B$41,MATCH(B341,Vendor_Master!$A$2:$A$41,0)),"Unknown Vendor")</f>
        <v>Flowers, Martin and Kelly</v>
      </c>
      <c r="D341" s="17" t="n">
        <f aca="false">Vendor_Invoices_AP!D338</f>
        <v>46099</v>
      </c>
      <c r="E341" s="17" t="n">
        <f aca="false">Vendor_Invoices_AP!F338</f>
        <v>46129</v>
      </c>
      <c r="F341" s="18" t="n">
        <f aca="false">Vendor_Invoices_AP!E338</f>
        <v>2063.03</v>
      </c>
      <c r="G341" s="18" t="n">
        <f aca="false">SUMIFS(Payment_Log_AP!$E$2:$E$753,Payment_Log_AP!$B$2:$B$753,A341)</f>
        <v>0</v>
      </c>
      <c r="H341" s="18" t="n">
        <f aca="false">F341-G341</f>
        <v>2063.03</v>
      </c>
      <c r="I341" s="16" t="n">
        <f aca="false">IF(H341&lt;=0.01,0,MAX(Assumptions!$B$5-E341,0))</f>
        <v>105</v>
      </c>
      <c r="J341" s="16" t="str">
        <f aca="false">IF(H341&lt;=0.01,"Paid",IF(I341&lt;=30,"0-30",IF(I341&lt;=60,"31-60",IF(I341&lt;=90,"61-90","90+"))))</f>
        <v>90+</v>
      </c>
      <c r="K341" s="16" t="str">
        <f aca="false">IF(H341&lt;=0.01,"Paid",IF(G341&gt;0,"Partially Paid","Unpaid"))</f>
        <v>Unpaid</v>
      </c>
    </row>
    <row r="342" customFormat="false" ht="15" hidden="false" customHeight="false" outlineLevel="0" collapsed="false">
      <c r="A342" s="16" t="str">
        <f aca="false">Vendor_Invoices_AP!A339</f>
        <v>INV30338</v>
      </c>
      <c r="B342" s="16" t="str">
        <f aca="false">Vendor_Invoices_AP!C339</f>
        <v>V1006</v>
      </c>
      <c r="C342" s="16" t="str">
        <f aca="false">IFERROR(INDEX(Vendor_Master!$B$2:$B$41,MATCH(B342,Vendor_Master!$A$2:$A$41,0)),"Unknown Vendor")</f>
        <v>Blake and Sons</v>
      </c>
      <c r="D342" s="17" t="n">
        <f aca="false">Vendor_Invoices_AP!D339</f>
        <v>45786</v>
      </c>
      <c r="E342" s="17" t="n">
        <f aca="false">Vendor_Invoices_AP!F339</f>
        <v>45846</v>
      </c>
      <c r="F342" s="18" t="n">
        <f aca="false">Vendor_Invoices_AP!E339</f>
        <v>606.42</v>
      </c>
      <c r="G342" s="18" t="n">
        <f aca="false">SUMIFS(Payment_Log_AP!$E$2:$E$753,Payment_Log_AP!$B$2:$B$753,A342)</f>
        <v>606.42</v>
      </c>
      <c r="H342" s="18" t="n">
        <f aca="false">F342-G342</f>
        <v>0</v>
      </c>
      <c r="I342" s="16" t="n">
        <f aca="false">IF(H342&lt;=0.01,0,MAX(Assumptions!$B$5-E342,0))</f>
        <v>0</v>
      </c>
      <c r="J342" s="16" t="str">
        <f aca="false">IF(H342&lt;=0.01,"Paid",IF(I342&lt;=30,"0-30",IF(I342&lt;=60,"31-60",IF(I342&lt;=90,"61-90","90+"))))</f>
        <v>Paid</v>
      </c>
      <c r="K342" s="16" t="str">
        <f aca="false">IF(H342&lt;=0.01,"Paid",IF(G342&gt;0,"Partially Paid","Unpaid"))</f>
        <v>Paid</v>
      </c>
    </row>
    <row r="343" customFormat="false" ht="15" hidden="false" customHeight="false" outlineLevel="0" collapsed="false">
      <c r="A343" s="16" t="str">
        <f aca="false">Vendor_Invoices_AP!A340</f>
        <v>INV30339</v>
      </c>
      <c r="B343" s="16" t="str">
        <f aca="false">Vendor_Invoices_AP!C340</f>
        <v>V1002</v>
      </c>
      <c r="C343" s="16" t="str">
        <f aca="false">IFERROR(INDEX(Vendor_Master!$B$2:$B$41,MATCH(B343,Vendor_Master!$A$2:$A$41,0)),"Unknown Vendor")</f>
        <v>Garcia, Yang and Gardner</v>
      </c>
      <c r="D343" s="17" t="n">
        <f aca="false">Vendor_Invoices_AP!D340</f>
        <v>45948</v>
      </c>
      <c r="E343" s="17" t="n">
        <f aca="false">Vendor_Invoices_AP!F340</f>
        <v>45963</v>
      </c>
      <c r="F343" s="18" t="n">
        <f aca="false">Vendor_Invoices_AP!E340</f>
        <v>1652.62</v>
      </c>
      <c r="G343" s="18" t="n">
        <f aca="false">SUMIFS(Payment_Log_AP!$E$2:$E$753,Payment_Log_AP!$B$2:$B$753,A343)</f>
        <v>1652.62</v>
      </c>
      <c r="H343" s="18" t="n">
        <f aca="false">F343-G343</f>
        <v>0</v>
      </c>
      <c r="I343" s="16" t="n">
        <f aca="false">IF(H343&lt;=0.01,0,MAX(Assumptions!$B$5-E343,0))</f>
        <v>0</v>
      </c>
      <c r="J343" s="16" t="str">
        <f aca="false">IF(H343&lt;=0.01,"Paid",IF(I343&lt;=30,"0-30",IF(I343&lt;=60,"31-60",IF(I343&lt;=90,"61-90","90+"))))</f>
        <v>Paid</v>
      </c>
      <c r="K343" s="16" t="str">
        <f aca="false">IF(H343&lt;=0.01,"Paid",IF(G343&gt;0,"Partially Paid","Unpaid"))</f>
        <v>Paid</v>
      </c>
    </row>
    <row r="344" customFormat="false" ht="15" hidden="false" customHeight="false" outlineLevel="0" collapsed="false">
      <c r="A344" s="16" t="str">
        <f aca="false">Vendor_Invoices_AP!A341</f>
        <v>INV30340</v>
      </c>
      <c r="B344" s="16" t="str">
        <f aca="false">Vendor_Invoices_AP!C341</f>
        <v>V1012</v>
      </c>
      <c r="C344" s="16" t="str">
        <f aca="false">IFERROR(INDEX(Vendor_Master!$B$2:$B$41,MATCH(B344,Vendor_Master!$A$2:$A$41,0)),"Unknown Vendor")</f>
        <v>Stanley LLC</v>
      </c>
      <c r="D344" s="17" t="n">
        <f aca="false">Vendor_Invoices_AP!D341</f>
        <v>45910</v>
      </c>
      <c r="E344" s="17" t="n">
        <f aca="false">Vendor_Invoices_AP!F341</f>
        <v>45970</v>
      </c>
      <c r="F344" s="18" t="n">
        <f aca="false">Vendor_Invoices_AP!E341</f>
        <v>609.35</v>
      </c>
      <c r="G344" s="18" t="n">
        <f aca="false">SUMIFS(Payment_Log_AP!$E$2:$E$753,Payment_Log_AP!$B$2:$B$753,A344)</f>
        <v>609.35</v>
      </c>
      <c r="H344" s="18" t="n">
        <f aca="false">F344-G344</f>
        <v>0</v>
      </c>
      <c r="I344" s="16" t="n">
        <f aca="false">IF(H344&lt;=0.01,0,MAX(Assumptions!$B$5-E344,0))</f>
        <v>0</v>
      </c>
      <c r="J344" s="16" t="str">
        <f aca="false">IF(H344&lt;=0.01,"Paid",IF(I344&lt;=30,"0-30",IF(I344&lt;=60,"31-60",IF(I344&lt;=90,"61-90","90+"))))</f>
        <v>Paid</v>
      </c>
      <c r="K344" s="16" t="str">
        <f aca="false">IF(H344&lt;=0.01,"Paid",IF(G344&gt;0,"Partially Paid","Unpaid"))</f>
        <v>Paid</v>
      </c>
    </row>
    <row r="345" customFormat="false" ht="15" hidden="false" customHeight="false" outlineLevel="0" collapsed="false">
      <c r="A345" s="16" t="str">
        <f aca="false">Vendor_Invoices_AP!A342</f>
        <v>INV30341</v>
      </c>
      <c r="B345" s="16" t="str">
        <f aca="false">Vendor_Invoices_AP!C342</f>
        <v>V1011</v>
      </c>
      <c r="C345" s="16" t="str">
        <f aca="false">IFERROR(INDEX(Vendor_Master!$B$2:$B$41,MATCH(B345,Vendor_Master!$A$2:$A$41,0)),"Unknown Vendor")</f>
        <v>Montgomery, Hensley and Ray</v>
      </c>
      <c r="D345" s="17" t="n">
        <f aca="false">Vendor_Invoices_AP!D342</f>
        <v>45924</v>
      </c>
      <c r="E345" s="17" t="n">
        <f aca="false">Vendor_Invoices_AP!F342</f>
        <v>45969</v>
      </c>
      <c r="F345" s="18" t="n">
        <f aca="false">Vendor_Invoices_AP!E342</f>
        <v>1216.45</v>
      </c>
      <c r="G345" s="18" t="n">
        <f aca="false">SUMIFS(Payment_Log_AP!$E$2:$E$753,Payment_Log_AP!$B$2:$B$753,A345)</f>
        <v>1216.45</v>
      </c>
      <c r="H345" s="18" t="n">
        <f aca="false">F345-G345</f>
        <v>0</v>
      </c>
      <c r="I345" s="16" t="n">
        <f aca="false">IF(H345&lt;=0.01,0,MAX(Assumptions!$B$5-E345,0))</f>
        <v>0</v>
      </c>
      <c r="J345" s="16" t="str">
        <f aca="false">IF(H345&lt;=0.01,"Paid",IF(I345&lt;=30,"0-30",IF(I345&lt;=60,"31-60",IF(I345&lt;=90,"61-90","90+"))))</f>
        <v>Paid</v>
      </c>
      <c r="K345" s="16" t="str">
        <f aca="false">IF(H345&lt;=0.01,"Paid",IF(G345&gt;0,"Partially Paid","Unpaid"))</f>
        <v>Paid</v>
      </c>
    </row>
    <row r="346" customFormat="false" ht="15" hidden="false" customHeight="false" outlineLevel="0" collapsed="false">
      <c r="A346" s="16" t="str">
        <f aca="false">Vendor_Invoices_AP!A343</f>
        <v>INV30342</v>
      </c>
      <c r="B346" s="16" t="str">
        <f aca="false">Vendor_Invoices_AP!C343</f>
        <v>V1037</v>
      </c>
      <c r="C346" s="16" t="str">
        <f aca="false">IFERROR(INDEX(Vendor_Master!$B$2:$B$41,MATCH(B346,Vendor_Master!$A$2:$A$41,0)),"Unknown Vendor")</f>
        <v>Cannon, Anderson and Alvarez</v>
      </c>
      <c r="D346" s="17" t="n">
        <f aca="false">Vendor_Invoices_AP!D343</f>
        <v>46132</v>
      </c>
      <c r="E346" s="17" t="n">
        <f aca="false">Vendor_Invoices_AP!F343</f>
        <v>46162</v>
      </c>
      <c r="F346" s="18" t="n">
        <f aca="false">Vendor_Invoices_AP!E343</f>
        <v>3585.97</v>
      </c>
      <c r="G346" s="18" t="n">
        <f aca="false">SUMIFS(Payment_Log_AP!$E$2:$E$753,Payment_Log_AP!$B$2:$B$753,A346)</f>
        <v>3585.97</v>
      </c>
      <c r="H346" s="18" t="n">
        <f aca="false">F346-G346</f>
        <v>0</v>
      </c>
      <c r="I346" s="16" t="n">
        <f aca="false">IF(H346&lt;=0.01,0,MAX(Assumptions!$B$5-E346,0))</f>
        <v>0</v>
      </c>
      <c r="J346" s="16" t="str">
        <f aca="false">IF(H346&lt;=0.01,"Paid",IF(I346&lt;=30,"0-30",IF(I346&lt;=60,"31-60",IF(I346&lt;=90,"61-90","90+"))))</f>
        <v>Paid</v>
      </c>
      <c r="K346" s="16" t="str">
        <f aca="false">IF(H346&lt;=0.01,"Paid",IF(G346&gt;0,"Partially Paid","Unpaid"))</f>
        <v>Paid</v>
      </c>
    </row>
    <row r="347" customFormat="false" ht="15" hidden="false" customHeight="false" outlineLevel="0" collapsed="false">
      <c r="A347" s="16" t="str">
        <f aca="false">Vendor_Invoices_AP!A344</f>
        <v>INV30343</v>
      </c>
      <c r="B347" s="16" t="str">
        <f aca="false">Vendor_Invoices_AP!C344</f>
        <v>V1037</v>
      </c>
      <c r="C347" s="16" t="str">
        <f aca="false">IFERROR(INDEX(Vendor_Master!$B$2:$B$41,MATCH(B347,Vendor_Master!$A$2:$A$41,0)),"Unknown Vendor")</f>
        <v>Cannon, Anderson and Alvarez</v>
      </c>
      <c r="D347" s="17" t="n">
        <f aca="false">Vendor_Invoices_AP!D344</f>
        <v>46212</v>
      </c>
      <c r="E347" s="17" t="n">
        <f aca="false">Vendor_Invoices_AP!F344</f>
        <v>46242</v>
      </c>
      <c r="F347" s="18" t="n">
        <f aca="false">Vendor_Invoices_AP!E344</f>
        <v>10917.62</v>
      </c>
      <c r="G347" s="18" t="n">
        <f aca="false">SUMIFS(Payment_Log_AP!$E$2:$E$753,Payment_Log_AP!$B$2:$B$753,A347)</f>
        <v>0</v>
      </c>
      <c r="H347" s="18" t="n">
        <f aca="false">F347-G347</f>
        <v>10917.62</v>
      </c>
      <c r="I347" s="16" t="n">
        <f aca="false">IF(H347&lt;=0.01,0,MAX(Assumptions!$B$5-E347,0))</f>
        <v>0</v>
      </c>
      <c r="J347" s="16" t="str">
        <f aca="false">IF(H347&lt;=0.01,"Paid",IF(I347&lt;=30,"0-30",IF(I347&lt;=60,"31-60",IF(I347&lt;=90,"61-90","90+"))))</f>
        <v>0-30</v>
      </c>
      <c r="K347" s="16" t="str">
        <f aca="false">IF(H347&lt;=0.01,"Paid",IF(G347&gt;0,"Partially Paid","Unpaid"))</f>
        <v>Unpaid</v>
      </c>
    </row>
    <row r="348" customFormat="false" ht="15" hidden="false" customHeight="false" outlineLevel="0" collapsed="false">
      <c r="A348" s="16" t="str">
        <f aca="false">Vendor_Invoices_AP!A345</f>
        <v>INV30344</v>
      </c>
      <c r="B348" s="16" t="str">
        <f aca="false">Vendor_Invoices_AP!C345</f>
        <v>V1006</v>
      </c>
      <c r="C348" s="16" t="str">
        <f aca="false">IFERROR(INDEX(Vendor_Master!$B$2:$B$41,MATCH(B348,Vendor_Master!$A$2:$A$41,0)),"Unknown Vendor")</f>
        <v>Blake and Sons</v>
      </c>
      <c r="D348" s="17" t="n">
        <f aca="false">Vendor_Invoices_AP!D345</f>
        <v>45849</v>
      </c>
      <c r="E348" s="17" t="n">
        <f aca="false">Vendor_Invoices_AP!F345</f>
        <v>45909</v>
      </c>
      <c r="F348" s="18" t="n">
        <f aca="false">Vendor_Invoices_AP!E345</f>
        <v>5413.88</v>
      </c>
      <c r="G348" s="18" t="n">
        <f aca="false">SUMIFS(Payment_Log_AP!$E$2:$E$753,Payment_Log_AP!$B$2:$B$753,A348)</f>
        <v>5413.88</v>
      </c>
      <c r="H348" s="18" t="n">
        <f aca="false">F348-G348</f>
        <v>0</v>
      </c>
      <c r="I348" s="16" t="n">
        <f aca="false">IF(H348&lt;=0.01,0,MAX(Assumptions!$B$5-E348,0))</f>
        <v>0</v>
      </c>
      <c r="J348" s="16" t="str">
        <f aca="false">IF(H348&lt;=0.01,"Paid",IF(I348&lt;=30,"0-30",IF(I348&lt;=60,"31-60",IF(I348&lt;=90,"61-90","90+"))))</f>
        <v>Paid</v>
      </c>
      <c r="K348" s="16" t="str">
        <f aca="false">IF(H348&lt;=0.01,"Paid",IF(G348&gt;0,"Partially Paid","Unpaid"))</f>
        <v>Paid</v>
      </c>
    </row>
    <row r="349" customFormat="false" ht="15" hidden="false" customHeight="false" outlineLevel="0" collapsed="false">
      <c r="A349" s="16" t="str">
        <f aca="false">Vendor_Invoices_AP!A346</f>
        <v>INV30345</v>
      </c>
      <c r="B349" s="16" t="str">
        <f aca="false">Vendor_Invoices_AP!C346</f>
        <v>V1029</v>
      </c>
      <c r="C349" s="16" t="str">
        <f aca="false">IFERROR(INDEX(Vendor_Master!$B$2:$B$41,MATCH(B349,Vendor_Master!$A$2:$A$41,0)),"Unknown Vendor")</f>
        <v>Chavez Ltd</v>
      </c>
      <c r="D349" s="17" t="n">
        <f aca="false">Vendor_Invoices_AP!D346</f>
        <v>46021</v>
      </c>
      <c r="E349" s="17" t="n">
        <f aca="false">Vendor_Invoices_AP!F346</f>
        <v>46081</v>
      </c>
      <c r="F349" s="18" t="n">
        <f aca="false">Vendor_Invoices_AP!E346</f>
        <v>4075.62</v>
      </c>
      <c r="G349" s="18" t="n">
        <f aca="false">SUMIFS(Payment_Log_AP!$E$2:$E$753,Payment_Log_AP!$B$2:$B$753,A349)</f>
        <v>4075.62</v>
      </c>
      <c r="H349" s="18" t="n">
        <f aca="false">F349-G349</f>
        <v>0</v>
      </c>
      <c r="I349" s="16" t="n">
        <f aca="false">IF(H349&lt;=0.01,0,MAX(Assumptions!$B$5-E349,0))</f>
        <v>0</v>
      </c>
      <c r="J349" s="16" t="str">
        <f aca="false">IF(H349&lt;=0.01,"Paid",IF(I349&lt;=30,"0-30",IF(I349&lt;=60,"31-60",IF(I349&lt;=90,"61-90","90+"))))</f>
        <v>Paid</v>
      </c>
      <c r="K349" s="16" t="str">
        <f aca="false">IF(H349&lt;=0.01,"Paid",IF(G349&gt;0,"Partially Paid","Unpaid"))</f>
        <v>Paid</v>
      </c>
    </row>
    <row r="350" customFormat="false" ht="15" hidden="false" customHeight="false" outlineLevel="0" collapsed="false">
      <c r="A350" s="16" t="str">
        <f aca="false">Vendor_Invoices_AP!A347</f>
        <v>INV30346</v>
      </c>
      <c r="B350" s="16" t="str">
        <f aca="false">Vendor_Invoices_AP!C347</f>
        <v>V1037</v>
      </c>
      <c r="C350" s="16" t="str">
        <f aca="false">IFERROR(INDEX(Vendor_Master!$B$2:$B$41,MATCH(B350,Vendor_Master!$A$2:$A$41,0)),"Unknown Vendor")</f>
        <v>Cannon, Anderson and Alvarez</v>
      </c>
      <c r="D350" s="17" t="n">
        <f aca="false">Vendor_Invoices_AP!D347</f>
        <v>45995</v>
      </c>
      <c r="E350" s="17" t="n">
        <f aca="false">Vendor_Invoices_AP!F347</f>
        <v>46025</v>
      </c>
      <c r="F350" s="18" t="n">
        <f aca="false">Vendor_Invoices_AP!E347</f>
        <v>674.21</v>
      </c>
      <c r="G350" s="18" t="n">
        <f aca="false">SUMIFS(Payment_Log_AP!$E$2:$E$753,Payment_Log_AP!$B$2:$B$753,A350)</f>
        <v>674.21</v>
      </c>
      <c r="H350" s="18" t="n">
        <f aca="false">F350-G350</f>
        <v>0</v>
      </c>
      <c r="I350" s="16" t="n">
        <f aca="false">IF(H350&lt;=0.01,0,MAX(Assumptions!$B$5-E350,0))</f>
        <v>0</v>
      </c>
      <c r="J350" s="16" t="str">
        <f aca="false">IF(H350&lt;=0.01,"Paid",IF(I350&lt;=30,"0-30",IF(I350&lt;=60,"31-60",IF(I350&lt;=90,"61-90","90+"))))</f>
        <v>Paid</v>
      </c>
      <c r="K350" s="16" t="str">
        <f aca="false">IF(H350&lt;=0.01,"Paid",IF(G350&gt;0,"Partially Paid","Unpaid"))</f>
        <v>Paid</v>
      </c>
    </row>
    <row r="351" customFormat="false" ht="15" hidden="false" customHeight="false" outlineLevel="0" collapsed="false">
      <c r="A351" s="16" t="str">
        <f aca="false">Vendor_Invoices_AP!A348</f>
        <v>INV30347</v>
      </c>
      <c r="B351" s="16" t="str">
        <f aca="false">Vendor_Invoices_AP!C348</f>
        <v>V1007</v>
      </c>
      <c r="C351" s="16" t="str">
        <f aca="false">IFERROR(INDEX(Vendor_Master!$B$2:$B$41,MATCH(B351,Vendor_Master!$A$2:$A$41,0)),"Unknown Vendor")</f>
        <v>Ramirez-Lewis</v>
      </c>
      <c r="D351" s="17" t="n">
        <f aca="false">Vendor_Invoices_AP!D348</f>
        <v>46082</v>
      </c>
      <c r="E351" s="17" t="n">
        <f aca="false">Vendor_Invoices_AP!F348</f>
        <v>46097</v>
      </c>
      <c r="F351" s="18" t="n">
        <f aca="false">Vendor_Invoices_AP!E348</f>
        <v>1314.98</v>
      </c>
      <c r="G351" s="18" t="n">
        <f aca="false">SUMIFS(Payment_Log_AP!$E$2:$E$753,Payment_Log_AP!$B$2:$B$753,A351)</f>
        <v>1314.98</v>
      </c>
      <c r="H351" s="18" t="n">
        <f aca="false">F351-G351</f>
        <v>0</v>
      </c>
      <c r="I351" s="16" t="n">
        <f aca="false">IF(H351&lt;=0.01,0,MAX(Assumptions!$B$5-E351,0))</f>
        <v>0</v>
      </c>
      <c r="J351" s="16" t="str">
        <f aca="false">IF(H351&lt;=0.01,"Paid",IF(I351&lt;=30,"0-30",IF(I351&lt;=60,"31-60",IF(I351&lt;=90,"61-90","90+"))))</f>
        <v>Paid</v>
      </c>
      <c r="K351" s="16" t="str">
        <f aca="false">IF(H351&lt;=0.01,"Paid",IF(G351&gt;0,"Partially Paid","Unpaid"))</f>
        <v>Paid</v>
      </c>
    </row>
    <row r="352" customFormat="false" ht="15" hidden="false" customHeight="false" outlineLevel="0" collapsed="false">
      <c r="A352" s="16" t="str">
        <f aca="false">Vendor_Invoices_AP!A349</f>
        <v>INV30348</v>
      </c>
      <c r="B352" s="16" t="str">
        <f aca="false">Vendor_Invoices_AP!C349</f>
        <v>V1007</v>
      </c>
      <c r="C352" s="16" t="str">
        <f aca="false">IFERROR(INDEX(Vendor_Master!$B$2:$B$41,MATCH(B352,Vendor_Master!$A$2:$A$41,0)),"Unknown Vendor")</f>
        <v>Ramirez-Lewis</v>
      </c>
      <c r="D352" s="17" t="n">
        <f aca="false">Vendor_Invoices_AP!D349</f>
        <v>46082</v>
      </c>
      <c r="E352" s="17" t="n">
        <f aca="false">Vendor_Invoices_AP!F349</f>
        <v>46097</v>
      </c>
      <c r="F352" s="18" t="n">
        <f aca="false">Vendor_Invoices_AP!E349</f>
        <v>1314.98</v>
      </c>
      <c r="G352" s="18" t="n">
        <f aca="false">SUMIFS(Payment_Log_AP!$E$2:$E$753,Payment_Log_AP!$B$2:$B$753,A352)</f>
        <v>1314.98</v>
      </c>
      <c r="H352" s="18" t="n">
        <f aca="false">F352-G352</f>
        <v>0</v>
      </c>
      <c r="I352" s="16" t="n">
        <f aca="false">IF(H352&lt;=0.01,0,MAX(Assumptions!$B$5-E352,0))</f>
        <v>0</v>
      </c>
      <c r="J352" s="16" t="str">
        <f aca="false">IF(H352&lt;=0.01,"Paid",IF(I352&lt;=30,"0-30",IF(I352&lt;=60,"31-60",IF(I352&lt;=90,"61-90","90+"))))</f>
        <v>Paid</v>
      </c>
      <c r="K352" s="16" t="str">
        <f aca="false">IF(H352&lt;=0.01,"Paid",IF(G352&gt;0,"Partially Paid","Unpaid"))</f>
        <v>Paid</v>
      </c>
    </row>
    <row r="353" customFormat="false" ht="15" hidden="false" customHeight="false" outlineLevel="0" collapsed="false">
      <c r="A353" s="16" t="str">
        <f aca="false">Vendor_Invoices_AP!A350</f>
        <v>INV30349</v>
      </c>
      <c r="B353" s="16" t="str">
        <f aca="false">Vendor_Invoices_AP!C350</f>
        <v>V1040</v>
      </c>
      <c r="C353" s="16" t="str">
        <f aca="false">IFERROR(INDEX(Vendor_Master!$B$2:$B$41,MATCH(B353,Vendor_Master!$A$2:$A$41,0)),"Unknown Vendor")</f>
        <v>Santos, Kim and Holmes</v>
      </c>
      <c r="D353" s="17" t="n">
        <f aca="false">Vendor_Invoices_AP!D350</f>
        <v>46183</v>
      </c>
      <c r="E353" s="17" t="n">
        <f aca="false">Vendor_Invoices_AP!F350</f>
        <v>46198</v>
      </c>
      <c r="F353" s="18" t="n">
        <f aca="false">Vendor_Invoices_AP!E350</f>
        <v>499.83</v>
      </c>
      <c r="G353" s="18" t="n">
        <f aca="false">SUMIFS(Payment_Log_AP!$E$2:$E$753,Payment_Log_AP!$B$2:$B$753,A353)</f>
        <v>0</v>
      </c>
      <c r="H353" s="18" t="n">
        <f aca="false">F353-G353</f>
        <v>499.83</v>
      </c>
      <c r="I353" s="16" t="n">
        <f aca="false">IF(H353&lt;=0.01,0,MAX(Assumptions!$B$5-E353,0))</f>
        <v>36</v>
      </c>
      <c r="J353" s="16" t="str">
        <f aca="false">IF(H353&lt;=0.01,"Paid",IF(I353&lt;=30,"0-30",IF(I353&lt;=60,"31-60",IF(I353&lt;=90,"61-90","90+"))))</f>
        <v>31-60</v>
      </c>
      <c r="K353" s="16" t="str">
        <f aca="false">IF(H353&lt;=0.01,"Paid",IF(G353&gt;0,"Partially Paid","Unpaid"))</f>
        <v>Unpaid</v>
      </c>
    </row>
    <row r="354" customFormat="false" ht="15" hidden="false" customHeight="false" outlineLevel="0" collapsed="false">
      <c r="A354" s="16" t="str">
        <f aca="false">Vendor_Invoices_AP!A351</f>
        <v>INV30350</v>
      </c>
      <c r="B354" s="16" t="str">
        <f aca="false">Vendor_Invoices_AP!C351</f>
        <v>V1040</v>
      </c>
      <c r="C354" s="16" t="str">
        <f aca="false">IFERROR(INDEX(Vendor_Master!$B$2:$B$41,MATCH(B354,Vendor_Master!$A$2:$A$41,0)),"Unknown Vendor")</f>
        <v>Santos, Kim and Holmes</v>
      </c>
      <c r="D354" s="17" t="n">
        <f aca="false">Vendor_Invoices_AP!D351</f>
        <v>45775</v>
      </c>
      <c r="E354" s="17" t="n">
        <f aca="false">Vendor_Invoices_AP!F351</f>
        <v>45790</v>
      </c>
      <c r="F354" s="18" t="n">
        <f aca="false">Vendor_Invoices_AP!E351</f>
        <v>427.04</v>
      </c>
      <c r="G354" s="18" t="n">
        <f aca="false">SUMIFS(Payment_Log_AP!$E$2:$E$753,Payment_Log_AP!$B$2:$B$753,A354)</f>
        <v>427.04</v>
      </c>
      <c r="H354" s="18" t="n">
        <f aca="false">F354-G354</f>
        <v>0</v>
      </c>
      <c r="I354" s="16" t="n">
        <f aca="false">IF(H354&lt;=0.01,0,MAX(Assumptions!$B$5-E354,0))</f>
        <v>0</v>
      </c>
      <c r="J354" s="16" t="str">
        <f aca="false">IF(H354&lt;=0.01,"Paid",IF(I354&lt;=30,"0-30",IF(I354&lt;=60,"31-60",IF(I354&lt;=90,"61-90","90+"))))</f>
        <v>Paid</v>
      </c>
      <c r="K354" s="16" t="str">
        <f aca="false">IF(H354&lt;=0.01,"Paid",IF(G354&gt;0,"Partially Paid","Unpaid"))</f>
        <v>Paid</v>
      </c>
    </row>
    <row r="355" customFormat="false" ht="15" hidden="false" customHeight="false" outlineLevel="0" collapsed="false">
      <c r="A355" s="16" t="str">
        <f aca="false">Vendor_Invoices_AP!A352</f>
        <v>INV30351</v>
      </c>
      <c r="B355" s="16" t="str">
        <f aca="false">Vendor_Invoices_AP!C352</f>
        <v>V1040</v>
      </c>
      <c r="C355" s="16" t="str">
        <f aca="false">IFERROR(INDEX(Vendor_Master!$B$2:$B$41,MATCH(B355,Vendor_Master!$A$2:$A$41,0)),"Unknown Vendor")</f>
        <v>Santos, Kim and Holmes</v>
      </c>
      <c r="D355" s="17" t="n">
        <f aca="false">Vendor_Invoices_AP!D352</f>
        <v>45788</v>
      </c>
      <c r="E355" s="17" t="n">
        <f aca="false">Vendor_Invoices_AP!F352</f>
        <v>45803</v>
      </c>
      <c r="F355" s="18" t="n">
        <f aca="false">Vendor_Invoices_AP!E352</f>
        <v>427.04</v>
      </c>
      <c r="G355" s="18" t="n">
        <f aca="false">SUMIFS(Payment_Log_AP!$E$2:$E$753,Payment_Log_AP!$B$2:$B$753,A355)</f>
        <v>427.04</v>
      </c>
      <c r="H355" s="18" t="n">
        <f aca="false">F355-G355</f>
        <v>0</v>
      </c>
      <c r="I355" s="16" t="n">
        <f aca="false">IF(H355&lt;=0.01,0,MAX(Assumptions!$B$5-E355,0))</f>
        <v>0</v>
      </c>
      <c r="J355" s="16" t="str">
        <f aca="false">IF(H355&lt;=0.01,"Paid",IF(I355&lt;=30,"0-30",IF(I355&lt;=60,"31-60",IF(I355&lt;=90,"61-90","90+"))))</f>
        <v>Paid</v>
      </c>
      <c r="K355" s="16" t="str">
        <f aca="false">IF(H355&lt;=0.01,"Paid",IF(G355&gt;0,"Partially Paid","Unpaid"))</f>
        <v>Paid</v>
      </c>
    </row>
    <row r="356" customFormat="false" ht="15" hidden="false" customHeight="false" outlineLevel="0" collapsed="false">
      <c r="A356" s="16" t="str">
        <f aca="false">Vendor_Invoices_AP!A353</f>
        <v>INV30352</v>
      </c>
      <c r="B356" s="16" t="str">
        <f aca="false">Vendor_Invoices_AP!C353</f>
        <v>V1003</v>
      </c>
      <c r="C356" s="16" t="str">
        <f aca="false">IFERROR(INDEX(Vendor_Master!$B$2:$B$41,MATCH(B356,Vendor_Master!$A$2:$A$41,0)),"Unknown Vendor")</f>
        <v>Johnson and Sons</v>
      </c>
      <c r="D356" s="17" t="n">
        <f aca="false">Vendor_Invoices_AP!D353</f>
        <v>45790</v>
      </c>
      <c r="E356" s="17" t="n">
        <f aca="false">Vendor_Invoices_AP!F353</f>
        <v>45805</v>
      </c>
      <c r="F356" s="18" t="n">
        <f aca="false">Vendor_Invoices_AP!E353</f>
        <v>1109.9</v>
      </c>
      <c r="G356" s="18" t="n">
        <f aca="false">SUMIFS(Payment_Log_AP!$E$2:$E$753,Payment_Log_AP!$B$2:$B$753,A356)</f>
        <v>1109.9</v>
      </c>
      <c r="H356" s="18" t="n">
        <f aca="false">F356-G356</f>
        <v>0</v>
      </c>
      <c r="I356" s="16" t="n">
        <f aca="false">IF(H356&lt;=0.01,0,MAX(Assumptions!$B$5-E356,0))</f>
        <v>0</v>
      </c>
      <c r="J356" s="16" t="str">
        <f aca="false">IF(H356&lt;=0.01,"Paid",IF(I356&lt;=30,"0-30",IF(I356&lt;=60,"31-60",IF(I356&lt;=90,"61-90","90+"))))</f>
        <v>Paid</v>
      </c>
      <c r="K356" s="16" t="str">
        <f aca="false">IF(H356&lt;=0.01,"Paid",IF(G356&gt;0,"Partially Paid","Unpaid"))</f>
        <v>Paid</v>
      </c>
    </row>
    <row r="357" customFormat="false" ht="15" hidden="false" customHeight="false" outlineLevel="0" collapsed="false">
      <c r="A357" s="16" t="str">
        <f aca="false">Vendor_Invoices_AP!A354</f>
        <v>INV30353</v>
      </c>
      <c r="B357" s="16" t="str">
        <f aca="false">Vendor_Invoices_AP!C354</f>
        <v>V1001</v>
      </c>
      <c r="C357" s="16" t="str">
        <f aca="false">IFERROR(INDEX(Vendor_Master!$B$2:$B$41,MATCH(B357,Vendor_Master!$A$2:$A$41,0)),"Unknown Vendor")</f>
        <v>Figueroa and Sons</v>
      </c>
      <c r="D357" s="17" t="n">
        <f aca="false">Vendor_Invoices_AP!D354</f>
        <v>46031</v>
      </c>
      <c r="E357" s="17" t="n">
        <f aca="false">Vendor_Invoices_AP!F354</f>
        <v>46076</v>
      </c>
      <c r="F357" s="18" t="n">
        <f aca="false">Vendor_Invoices_AP!E354</f>
        <v>3284.61</v>
      </c>
      <c r="G357" s="18" t="n">
        <f aca="false">SUMIFS(Payment_Log_AP!$E$2:$E$753,Payment_Log_AP!$B$2:$B$753,A357)</f>
        <v>3284.61</v>
      </c>
      <c r="H357" s="18" t="n">
        <f aca="false">F357-G357</f>
        <v>0</v>
      </c>
      <c r="I357" s="16" t="n">
        <f aca="false">IF(H357&lt;=0.01,0,MAX(Assumptions!$B$5-E357,0))</f>
        <v>0</v>
      </c>
      <c r="J357" s="16" t="str">
        <f aca="false">IF(H357&lt;=0.01,"Paid",IF(I357&lt;=30,"0-30",IF(I357&lt;=60,"31-60",IF(I357&lt;=90,"61-90","90+"))))</f>
        <v>Paid</v>
      </c>
      <c r="K357" s="16" t="str">
        <f aca="false">IF(H357&lt;=0.01,"Paid",IF(G357&gt;0,"Partially Paid","Unpaid"))</f>
        <v>Paid</v>
      </c>
    </row>
    <row r="358" customFormat="false" ht="15" hidden="false" customHeight="false" outlineLevel="0" collapsed="false">
      <c r="A358" s="16" t="str">
        <f aca="false">Vendor_Invoices_AP!A355</f>
        <v>INV30354</v>
      </c>
      <c r="B358" s="16" t="str">
        <f aca="false">Vendor_Invoices_AP!C355</f>
        <v>V1028</v>
      </c>
      <c r="C358" s="16" t="str">
        <f aca="false">IFERROR(INDEX(Vendor_Master!$B$2:$B$41,MATCH(B358,Vendor_Master!$A$2:$A$41,0)),"Unknown Vendor")</f>
        <v>Potter, Mack and Peterson</v>
      </c>
      <c r="D358" s="17" t="n">
        <f aca="false">Vendor_Invoices_AP!D355</f>
        <v>45751</v>
      </c>
      <c r="E358" s="17" t="n">
        <f aca="false">Vendor_Invoices_AP!F355</f>
        <v>45796</v>
      </c>
      <c r="F358" s="18" t="n">
        <f aca="false">Vendor_Invoices_AP!E355</f>
        <v>2187.07</v>
      </c>
      <c r="G358" s="18" t="n">
        <f aca="false">SUMIFS(Payment_Log_AP!$E$2:$E$753,Payment_Log_AP!$B$2:$B$753,A358)</f>
        <v>2187.07</v>
      </c>
      <c r="H358" s="18" t="n">
        <f aca="false">F358-G358</f>
        <v>0</v>
      </c>
      <c r="I358" s="16" t="n">
        <f aca="false">IF(H358&lt;=0.01,0,MAX(Assumptions!$B$5-E358,0))</f>
        <v>0</v>
      </c>
      <c r="J358" s="16" t="str">
        <f aca="false">IF(H358&lt;=0.01,"Paid",IF(I358&lt;=30,"0-30",IF(I358&lt;=60,"31-60",IF(I358&lt;=90,"61-90","90+"))))</f>
        <v>Paid</v>
      </c>
      <c r="K358" s="16" t="str">
        <f aca="false">IF(H358&lt;=0.01,"Paid",IF(G358&gt;0,"Partially Paid","Unpaid"))</f>
        <v>Paid</v>
      </c>
    </row>
    <row r="359" customFormat="false" ht="15" hidden="false" customHeight="false" outlineLevel="0" collapsed="false">
      <c r="A359" s="16" t="str">
        <f aca="false">Vendor_Invoices_AP!A356</f>
        <v>INV30355</v>
      </c>
      <c r="B359" s="16" t="str">
        <f aca="false">Vendor_Invoices_AP!C356</f>
        <v>V1026</v>
      </c>
      <c r="C359" s="16" t="str">
        <f aca="false">IFERROR(INDEX(Vendor_Master!$B$2:$B$41,MATCH(B359,Vendor_Master!$A$2:$A$41,0)),"Unknown Vendor")</f>
        <v>James-Ferrell</v>
      </c>
      <c r="D359" s="17" t="n">
        <f aca="false">Vendor_Invoices_AP!D356</f>
        <v>45754</v>
      </c>
      <c r="E359" s="17" t="n">
        <f aca="false">Vendor_Invoices_AP!F356</f>
        <v>45814</v>
      </c>
      <c r="F359" s="18" t="n">
        <f aca="false">Vendor_Invoices_AP!E356</f>
        <v>4407.35</v>
      </c>
      <c r="G359" s="18" t="n">
        <f aca="false">SUMIFS(Payment_Log_AP!$E$2:$E$753,Payment_Log_AP!$B$2:$B$753,A359)</f>
        <v>4407.35</v>
      </c>
      <c r="H359" s="18" t="n">
        <f aca="false">F359-G359</f>
        <v>0</v>
      </c>
      <c r="I359" s="16" t="n">
        <f aca="false">IF(H359&lt;=0.01,0,MAX(Assumptions!$B$5-E359,0))</f>
        <v>0</v>
      </c>
      <c r="J359" s="16" t="str">
        <f aca="false">IF(H359&lt;=0.01,"Paid",IF(I359&lt;=30,"0-30",IF(I359&lt;=60,"31-60",IF(I359&lt;=90,"61-90","90+"))))</f>
        <v>Paid</v>
      </c>
      <c r="K359" s="16" t="str">
        <f aca="false">IF(H359&lt;=0.01,"Paid",IF(G359&gt;0,"Partially Paid","Unpaid"))</f>
        <v>Paid</v>
      </c>
    </row>
    <row r="360" customFormat="false" ht="15" hidden="false" customHeight="false" outlineLevel="0" collapsed="false">
      <c r="A360" s="16" t="str">
        <f aca="false">Vendor_Invoices_AP!A357</f>
        <v>INV30356</v>
      </c>
      <c r="B360" s="16" t="str">
        <f aca="false">Vendor_Invoices_AP!C357</f>
        <v>V1024</v>
      </c>
      <c r="C360" s="16" t="str">
        <f aca="false">IFERROR(INDEX(Vendor_Master!$B$2:$B$41,MATCH(B360,Vendor_Master!$A$2:$A$41,0)),"Unknown Vendor")</f>
        <v>Campos Inc</v>
      </c>
      <c r="D360" s="17" t="n">
        <f aca="false">Vendor_Invoices_AP!D357</f>
        <v>45707</v>
      </c>
      <c r="E360" s="17" t="n">
        <f aca="false">Vendor_Invoices_AP!F357</f>
        <v>45767</v>
      </c>
      <c r="F360" s="18" t="n">
        <f aca="false">Vendor_Invoices_AP!E357</f>
        <v>814.56</v>
      </c>
      <c r="G360" s="18" t="n">
        <f aca="false">SUMIFS(Payment_Log_AP!$E$2:$E$753,Payment_Log_AP!$B$2:$B$753,A360)</f>
        <v>814.56</v>
      </c>
      <c r="H360" s="18" t="n">
        <f aca="false">F360-G360</f>
        <v>0</v>
      </c>
      <c r="I360" s="16" t="n">
        <f aca="false">IF(H360&lt;=0.01,0,MAX(Assumptions!$B$5-E360,0))</f>
        <v>0</v>
      </c>
      <c r="J360" s="16" t="str">
        <f aca="false">IF(H360&lt;=0.01,"Paid",IF(I360&lt;=30,"0-30",IF(I360&lt;=60,"31-60",IF(I360&lt;=90,"61-90","90+"))))</f>
        <v>Paid</v>
      </c>
      <c r="K360" s="16" t="str">
        <f aca="false">IF(H360&lt;=0.01,"Paid",IF(G360&gt;0,"Partially Paid","Unpaid"))</f>
        <v>Paid</v>
      </c>
    </row>
    <row r="361" customFormat="false" ht="15" hidden="false" customHeight="false" outlineLevel="0" collapsed="false">
      <c r="A361" s="16" t="str">
        <f aca="false">Vendor_Invoices_AP!A358</f>
        <v>INV30357</v>
      </c>
      <c r="B361" s="16" t="str">
        <f aca="false">Vendor_Invoices_AP!C358</f>
        <v>V1003</v>
      </c>
      <c r="C361" s="16" t="str">
        <f aca="false">IFERROR(INDEX(Vendor_Master!$B$2:$B$41,MATCH(B361,Vendor_Master!$A$2:$A$41,0)),"Unknown Vendor")</f>
        <v>Johnson and Sons</v>
      </c>
      <c r="D361" s="17" t="n">
        <f aca="false">Vendor_Invoices_AP!D358</f>
        <v>45667</v>
      </c>
      <c r="E361" s="17" t="n">
        <f aca="false">Vendor_Invoices_AP!F358</f>
        <v>45682</v>
      </c>
      <c r="F361" s="18" t="n">
        <f aca="false">Vendor_Invoices_AP!E358</f>
        <v>988.16</v>
      </c>
      <c r="G361" s="18" t="n">
        <f aca="false">SUMIFS(Payment_Log_AP!$E$2:$E$753,Payment_Log_AP!$B$2:$B$753,A361)</f>
        <v>988.16</v>
      </c>
      <c r="H361" s="18" t="n">
        <f aca="false">F361-G361</f>
        <v>0</v>
      </c>
      <c r="I361" s="16" t="n">
        <f aca="false">IF(H361&lt;=0.01,0,MAX(Assumptions!$B$5-E361,0))</f>
        <v>0</v>
      </c>
      <c r="J361" s="16" t="str">
        <f aca="false">IF(H361&lt;=0.01,"Paid",IF(I361&lt;=30,"0-30",IF(I361&lt;=60,"31-60",IF(I361&lt;=90,"61-90","90+"))))</f>
        <v>Paid</v>
      </c>
      <c r="K361" s="16" t="str">
        <f aca="false">IF(H361&lt;=0.01,"Paid",IF(G361&gt;0,"Partially Paid","Unpaid"))</f>
        <v>Paid</v>
      </c>
    </row>
    <row r="362" customFormat="false" ht="15" hidden="false" customHeight="false" outlineLevel="0" collapsed="false">
      <c r="A362" s="16" t="str">
        <f aca="false">Vendor_Invoices_AP!A359</f>
        <v>INV30358</v>
      </c>
      <c r="B362" s="16" t="str">
        <f aca="false">Vendor_Invoices_AP!C359</f>
        <v>V1003</v>
      </c>
      <c r="C362" s="16" t="str">
        <f aca="false">IFERROR(INDEX(Vendor_Master!$B$2:$B$41,MATCH(B362,Vendor_Master!$A$2:$A$41,0)),"Unknown Vendor")</f>
        <v>Johnson and Sons</v>
      </c>
      <c r="D362" s="17" t="n">
        <f aca="false">Vendor_Invoices_AP!D359</f>
        <v>45919</v>
      </c>
      <c r="E362" s="17" t="n">
        <f aca="false">Vendor_Invoices_AP!F359</f>
        <v>45934</v>
      </c>
      <c r="F362" s="18" t="n">
        <f aca="false">Vendor_Invoices_AP!E359</f>
        <v>721.3</v>
      </c>
      <c r="G362" s="18" t="n">
        <f aca="false">SUMIFS(Payment_Log_AP!$E$2:$E$753,Payment_Log_AP!$B$2:$B$753,A362)</f>
        <v>721.3</v>
      </c>
      <c r="H362" s="18" t="n">
        <f aca="false">F362-G362</f>
        <v>0</v>
      </c>
      <c r="I362" s="16" t="n">
        <f aca="false">IF(H362&lt;=0.01,0,MAX(Assumptions!$B$5-E362,0))</f>
        <v>0</v>
      </c>
      <c r="J362" s="16" t="str">
        <f aca="false">IF(H362&lt;=0.01,"Paid",IF(I362&lt;=30,"0-30",IF(I362&lt;=60,"31-60",IF(I362&lt;=90,"61-90","90+"))))</f>
        <v>Paid</v>
      </c>
      <c r="K362" s="16" t="str">
        <f aca="false">IF(H362&lt;=0.01,"Paid",IF(G362&gt;0,"Partially Paid","Unpaid"))</f>
        <v>Paid</v>
      </c>
    </row>
    <row r="363" customFormat="false" ht="15" hidden="false" customHeight="false" outlineLevel="0" collapsed="false">
      <c r="A363" s="16" t="str">
        <f aca="false">Vendor_Invoices_AP!A360</f>
        <v>INV30359</v>
      </c>
      <c r="B363" s="16" t="str">
        <f aca="false">Vendor_Invoices_AP!C360</f>
        <v>V1004</v>
      </c>
      <c r="C363" s="16" t="str">
        <f aca="false">IFERROR(INDEX(Vendor_Master!$B$2:$B$41,MATCH(B363,Vendor_Master!$A$2:$A$41,0)),"Unknown Vendor")</f>
        <v>Johnson, Gonzalez and Santos</v>
      </c>
      <c r="D363" s="17" t="n">
        <f aca="false">Vendor_Invoices_AP!D360</f>
        <v>45993</v>
      </c>
      <c r="E363" s="17" t="n">
        <f aca="false">Vendor_Invoices_AP!F360</f>
        <v>46008</v>
      </c>
      <c r="F363" s="18" t="n">
        <f aca="false">Vendor_Invoices_AP!E360</f>
        <v>5762.48</v>
      </c>
      <c r="G363" s="18" t="n">
        <f aca="false">SUMIFS(Payment_Log_AP!$E$2:$E$753,Payment_Log_AP!$B$2:$B$753,A363)</f>
        <v>5762.48</v>
      </c>
      <c r="H363" s="18" t="n">
        <f aca="false">F363-G363</f>
        <v>0</v>
      </c>
      <c r="I363" s="16" t="n">
        <f aca="false">IF(H363&lt;=0.01,0,MAX(Assumptions!$B$5-E363,0))</f>
        <v>0</v>
      </c>
      <c r="J363" s="16" t="str">
        <f aca="false">IF(H363&lt;=0.01,"Paid",IF(I363&lt;=30,"0-30",IF(I363&lt;=60,"31-60",IF(I363&lt;=90,"61-90","90+"))))</f>
        <v>Paid</v>
      </c>
      <c r="K363" s="16" t="str">
        <f aca="false">IF(H363&lt;=0.01,"Paid",IF(G363&gt;0,"Partially Paid","Unpaid"))</f>
        <v>Paid</v>
      </c>
    </row>
    <row r="364" customFormat="false" ht="15" hidden="false" customHeight="false" outlineLevel="0" collapsed="false">
      <c r="A364" s="16" t="str">
        <f aca="false">Vendor_Invoices_AP!A361</f>
        <v>INV30360</v>
      </c>
      <c r="B364" s="16" t="str">
        <f aca="false">Vendor_Invoices_AP!C361</f>
        <v>V1005</v>
      </c>
      <c r="C364" s="16" t="str">
        <f aca="false">IFERROR(INDEX(Vendor_Master!$B$2:$B$41,MATCH(B364,Vendor_Master!$A$2:$A$41,0)),"Unknown Vendor")</f>
        <v>Cole LLC</v>
      </c>
      <c r="D364" s="17" t="n">
        <f aca="false">Vendor_Invoices_AP!D361</f>
        <v>45831</v>
      </c>
      <c r="E364" s="17" t="n">
        <f aca="false">Vendor_Invoices_AP!F361</f>
        <v>45846</v>
      </c>
      <c r="F364" s="18" t="n">
        <f aca="false">Vendor_Invoices_AP!E361</f>
        <v>3958.91</v>
      </c>
      <c r="G364" s="18" t="n">
        <f aca="false">SUMIFS(Payment_Log_AP!$E$2:$E$753,Payment_Log_AP!$B$2:$B$753,A364)</f>
        <v>3958.91</v>
      </c>
      <c r="H364" s="18" t="n">
        <f aca="false">F364-G364</f>
        <v>0</v>
      </c>
      <c r="I364" s="16" t="n">
        <f aca="false">IF(H364&lt;=0.01,0,MAX(Assumptions!$B$5-E364,0))</f>
        <v>0</v>
      </c>
      <c r="J364" s="16" t="str">
        <f aca="false">IF(H364&lt;=0.01,"Paid",IF(I364&lt;=30,"0-30",IF(I364&lt;=60,"31-60",IF(I364&lt;=90,"61-90","90+"))))</f>
        <v>Paid</v>
      </c>
      <c r="K364" s="16" t="str">
        <f aca="false">IF(H364&lt;=0.01,"Paid",IF(G364&gt;0,"Partially Paid","Unpaid"))</f>
        <v>Paid</v>
      </c>
    </row>
    <row r="365" customFormat="false" ht="15" hidden="false" customHeight="false" outlineLevel="0" collapsed="false">
      <c r="A365" s="16" t="str">
        <f aca="false">Vendor_Invoices_AP!A362</f>
        <v>INV30361</v>
      </c>
      <c r="B365" s="16" t="str">
        <f aca="false">Vendor_Invoices_AP!C362</f>
        <v>V1001</v>
      </c>
      <c r="C365" s="16" t="str">
        <f aca="false">IFERROR(INDEX(Vendor_Master!$B$2:$B$41,MATCH(B365,Vendor_Master!$A$2:$A$41,0)),"Unknown Vendor")</f>
        <v>Figueroa and Sons</v>
      </c>
      <c r="D365" s="17" t="n">
        <f aca="false">Vendor_Invoices_AP!D362</f>
        <v>45809</v>
      </c>
      <c r="E365" s="17" t="n">
        <f aca="false">Vendor_Invoices_AP!F362</f>
        <v>45854</v>
      </c>
      <c r="F365" s="18" t="n">
        <f aca="false">Vendor_Invoices_AP!E362</f>
        <v>3469.23</v>
      </c>
      <c r="G365" s="18" t="n">
        <f aca="false">SUMIFS(Payment_Log_AP!$E$2:$E$753,Payment_Log_AP!$B$2:$B$753,A365)</f>
        <v>0</v>
      </c>
      <c r="H365" s="18" t="n">
        <f aca="false">F365-G365</f>
        <v>3469.23</v>
      </c>
      <c r="I365" s="16" t="n">
        <f aca="false">IF(H365&lt;=0.01,0,MAX(Assumptions!$B$5-E365,0))</f>
        <v>380</v>
      </c>
      <c r="J365" s="16" t="str">
        <f aca="false">IF(H365&lt;=0.01,"Paid",IF(I365&lt;=30,"0-30",IF(I365&lt;=60,"31-60",IF(I365&lt;=90,"61-90","90+"))))</f>
        <v>90+</v>
      </c>
      <c r="K365" s="16" t="str">
        <f aca="false">IF(H365&lt;=0.01,"Paid",IF(G365&gt;0,"Partially Paid","Unpaid"))</f>
        <v>Unpaid</v>
      </c>
    </row>
    <row r="366" customFormat="false" ht="15" hidden="false" customHeight="false" outlineLevel="0" collapsed="false">
      <c r="A366" s="16" t="str">
        <f aca="false">Vendor_Invoices_AP!A363</f>
        <v>INV30362</v>
      </c>
      <c r="B366" s="16" t="str">
        <f aca="false">Vendor_Invoices_AP!C363</f>
        <v>V1027</v>
      </c>
      <c r="C366" s="16" t="str">
        <f aca="false">IFERROR(INDEX(Vendor_Master!$B$2:$B$41,MATCH(B366,Vendor_Master!$A$2:$A$41,0)),"Unknown Vendor")</f>
        <v>Valencia, Smith and Le</v>
      </c>
      <c r="D366" s="17" t="n">
        <f aca="false">Vendor_Invoices_AP!D363</f>
        <v>46057</v>
      </c>
      <c r="E366" s="17" t="n">
        <f aca="false">Vendor_Invoices_AP!F363</f>
        <v>46102</v>
      </c>
      <c r="F366" s="18" t="n">
        <f aca="false">Vendor_Invoices_AP!E363</f>
        <v>1655.98</v>
      </c>
      <c r="G366" s="18" t="n">
        <f aca="false">SUMIFS(Payment_Log_AP!$E$2:$E$753,Payment_Log_AP!$B$2:$B$753,A366)</f>
        <v>0</v>
      </c>
      <c r="H366" s="18" t="n">
        <f aca="false">F366-G366</f>
        <v>1655.98</v>
      </c>
      <c r="I366" s="16" t="n">
        <f aca="false">IF(H366&lt;=0.01,0,MAX(Assumptions!$B$5-E366,0))</f>
        <v>132</v>
      </c>
      <c r="J366" s="16" t="str">
        <f aca="false">IF(H366&lt;=0.01,"Paid",IF(I366&lt;=30,"0-30",IF(I366&lt;=60,"31-60",IF(I366&lt;=90,"61-90","90+"))))</f>
        <v>90+</v>
      </c>
      <c r="K366" s="16" t="str">
        <f aca="false">IF(H366&lt;=0.01,"Paid",IF(G366&gt;0,"Partially Paid","Unpaid"))</f>
        <v>Unpaid</v>
      </c>
    </row>
    <row r="367" customFormat="false" ht="15" hidden="false" customHeight="false" outlineLevel="0" collapsed="false">
      <c r="A367" s="16" t="str">
        <f aca="false">Vendor_Invoices_AP!A364</f>
        <v>INV30363</v>
      </c>
      <c r="B367" s="16" t="str">
        <f aca="false">Vendor_Invoices_AP!C364</f>
        <v>V1025</v>
      </c>
      <c r="C367" s="16" t="str">
        <f aca="false">IFERROR(INDEX(Vendor_Master!$B$2:$B$41,MATCH(B367,Vendor_Master!$A$2:$A$41,0)),"Unknown Vendor")</f>
        <v>Conner Group</v>
      </c>
      <c r="D367" s="17" t="n">
        <f aca="false">Vendor_Invoices_AP!D364</f>
        <v>46062</v>
      </c>
      <c r="E367" s="17" t="n">
        <f aca="false">Vendor_Invoices_AP!F364</f>
        <v>46107</v>
      </c>
      <c r="F367" s="18" t="n">
        <f aca="false">Vendor_Invoices_AP!E364</f>
        <v>1396.44</v>
      </c>
      <c r="G367" s="18" t="n">
        <f aca="false">SUMIFS(Payment_Log_AP!$E$2:$E$753,Payment_Log_AP!$B$2:$B$753,A367)</f>
        <v>2792.88</v>
      </c>
      <c r="H367" s="18" t="n">
        <f aca="false">F367-G367</f>
        <v>-1396.44</v>
      </c>
      <c r="I367" s="16" t="n">
        <f aca="false">IF(H367&lt;=0.01,0,MAX(Assumptions!$B$5-E367,0))</f>
        <v>0</v>
      </c>
      <c r="J367" s="16" t="str">
        <f aca="false">IF(H367&lt;=0.01,"Paid",IF(I367&lt;=30,"0-30",IF(I367&lt;=60,"31-60",IF(I367&lt;=90,"61-90","90+"))))</f>
        <v>Paid</v>
      </c>
      <c r="K367" s="16" t="str">
        <f aca="false">IF(H367&lt;=0.01,"Paid",IF(G367&gt;0,"Partially Paid","Unpaid"))</f>
        <v>Paid</v>
      </c>
    </row>
    <row r="368" customFormat="false" ht="15" hidden="false" customHeight="false" outlineLevel="0" collapsed="false">
      <c r="A368" s="16" t="str">
        <f aca="false">Vendor_Invoices_AP!A365</f>
        <v>INV30364</v>
      </c>
      <c r="B368" s="16" t="str">
        <f aca="false">Vendor_Invoices_AP!C365</f>
        <v>V1001</v>
      </c>
      <c r="C368" s="16" t="str">
        <f aca="false">IFERROR(INDEX(Vendor_Master!$B$2:$B$41,MATCH(B368,Vendor_Master!$A$2:$A$41,0)),"Unknown Vendor")</f>
        <v>Figueroa and Sons</v>
      </c>
      <c r="D368" s="17" t="n">
        <f aca="false">Vendor_Invoices_AP!D365</f>
        <v>45929</v>
      </c>
      <c r="E368" s="17" t="n">
        <f aca="false">Vendor_Invoices_AP!F365</f>
        <v>45974</v>
      </c>
      <c r="F368" s="18" t="n">
        <f aca="false">Vendor_Invoices_AP!E365</f>
        <v>1682.49</v>
      </c>
      <c r="G368" s="18" t="n">
        <f aca="false">SUMIFS(Payment_Log_AP!$E$2:$E$753,Payment_Log_AP!$B$2:$B$753,A368)</f>
        <v>1682.49</v>
      </c>
      <c r="H368" s="18" t="n">
        <f aca="false">F368-G368</f>
        <v>0</v>
      </c>
      <c r="I368" s="16" t="n">
        <f aca="false">IF(H368&lt;=0.01,0,MAX(Assumptions!$B$5-E368,0))</f>
        <v>0</v>
      </c>
      <c r="J368" s="16" t="str">
        <f aca="false">IF(H368&lt;=0.01,"Paid",IF(I368&lt;=30,"0-30",IF(I368&lt;=60,"31-60",IF(I368&lt;=90,"61-90","90+"))))</f>
        <v>Paid</v>
      </c>
      <c r="K368" s="16" t="str">
        <f aca="false">IF(H368&lt;=0.01,"Paid",IF(G368&gt;0,"Partially Paid","Unpaid"))</f>
        <v>Paid</v>
      </c>
    </row>
    <row r="369" customFormat="false" ht="15" hidden="false" customHeight="false" outlineLevel="0" collapsed="false">
      <c r="A369" s="16" t="str">
        <f aca="false">Vendor_Invoices_AP!A366</f>
        <v>INV30365</v>
      </c>
      <c r="B369" s="16" t="str">
        <f aca="false">Vendor_Invoices_AP!C366</f>
        <v>V1037</v>
      </c>
      <c r="C369" s="16" t="str">
        <f aca="false">IFERROR(INDEX(Vendor_Master!$B$2:$B$41,MATCH(B369,Vendor_Master!$A$2:$A$41,0)),"Unknown Vendor")</f>
        <v>Cannon, Anderson and Alvarez</v>
      </c>
      <c r="D369" s="17" t="n">
        <f aca="false">Vendor_Invoices_AP!D366</f>
        <v>46048</v>
      </c>
      <c r="E369" s="17" t="n">
        <f aca="false">Vendor_Invoices_AP!F366</f>
        <v>46078</v>
      </c>
      <c r="F369" s="18" t="n">
        <f aca="false">Vendor_Invoices_AP!E366</f>
        <v>1974.18</v>
      </c>
      <c r="G369" s="18" t="n">
        <f aca="false">SUMIFS(Payment_Log_AP!$E$2:$E$753,Payment_Log_AP!$B$2:$B$753,A369)</f>
        <v>1974.18</v>
      </c>
      <c r="H369" s="18" t="n">
        <f aca="false">F369-G369</f>
        <v>0</v>
      </c>
      <c r="I369" s="16" t="n">
        <f aca="false">IF(H369&lt;=0.01,0,MAX(Assumptions!$B$5-E369,0))</f>
        <v>0</v>
      </c>
      <c r="J369" s="16" t="str">
        <f aca="false">IF(H369&lt;=0.01,"Paid",IF(I369&lt;=30,"0-30",IF(I369&lt;=60,"31-60",IF(I369&lt;=90,"61-90","90+"))))</f>
        <v>Paid</v>
      </c>
      <c r="K369" s="16" t="str">
        <f aca="false">IF(H369&lt;=0.01,"Paid",IF(G369&gt;0,"Partially Paid","Unpaid"))</f>
        <v>Paid</v>
      </c>
    </row>
    <row r="370" customFormat="false" ht="15" hidden="false" customHeight="false" outlineLevel="0" collapsed="false">
      <c r="A370" s="16" t="str">
        <f aca="false">Vendor_Invoices_AP!A367</f>
        <v>INV30366</v>
      </c>
      <c r="B370" s="16" t="str">
        <f aca="false">Vendor_Invoices_AP!C367</f>
        <v>V1005</v>
      </c>
      <c r="C370" s="16" t="str">
        <f aca="false">IFERROR(INDEX(Vendor_Master!$B$2:$B$41,MATCH(B370,Vendor_Master!$A$2:$A$41,0)),"Unknown Vendor")</f>
        <v>Cole LLC</v>
      </c>
      <c r="D370" s="17" t="n">
        <f aca="false">Vendor_Invoices_AP!D367</f>
        <v>46170</v>
      </c>
      <c r="E370" s="17" t="n">
        <f aca="false">Vendor_Invoices_AP!F367</f>
        <v>46185</v>
      </c>
      <c r="F370" s="18" t="n">
        <f aca="false">Vendor_Invoices_AP!E367</f>
        <v>2573.5</v>
      </c>
      <c r="G370" s="18" t="n">
        <f aca="false">SUMIFS(Payment_Log_AP!$E$2:$E$753,Payment_Log_AP!$B$2:$B$753,A370)</f>
        <v>0</v>
      </c>
      <c r="H370" s="18" t="n">
        <f aca="false">F370-G370</f>
        <v>2573.5</v>
      </c>
      <c r="I370" s="16" t="n">
        <f aca="false">IF(H370&lt;=0.01,0,MAX(Assumptions!$B$5-E370,0))</f>
        <v>49</v>
      </c>
      <c r="J370" s="16" t="str">
        <f aca="false">IF(H370&lt;=0.01,"Paid",IF(I370&lt;=30,"0-30",IF(I370&lt;=60,"31-60",IF(I370&lt;=90,"61-90","90+"))))</f>
        <v>31-60</v>
      </c>
      <c r="K370" s="16" t="str">
        <f aca="false">IF(H370&lt;=0.01,"Paid",IF(G370&gt;0,"Partially Paid","Unpaid"))</f>
        <v>Unpaid</v>
      </c>
    </row>
    <row r="371" customFormat="false" ht="15" hidden="false" customHeight="false" outlineLevel="0" collapsed="false">
      <c r="A371" s="16" t="str">
        <f aca="false">Vendor_Invoices_AP!A368</f>
        <v>INV30367</v>
      </c>
      <c r="B371" s="16" t="str">
        <f aca="false">Vendor_Invoices_AP!C368</f>
        <v>V1033</v>
      </c>
      <c r="C371" s="16" t="str">
        <f aca="false">IFERROR(INDEX(Vendor_Master!$B$2:$B$41,MATCH(B371,Vendor_Master!$A$2:$A$41,0)),"Unknown Vendor")</f>
        <v>Sellers, George and Burns</v>
      </c>
      <c r="D371" s="17" t="n">
        <f aca="false">Vendor_Invoices_AP!D368</f>
        <v>46112</v>
      </c>
      <c r="E371" s="17" t="n">
        <f aca="false">Vendor_Invoices_AP!F368</f>
        <v>46172</v>
      </c>
      <c r="F371" s="18" t="n">
        <f aca="false">Vendor_Invoices_AP!E368</f>
        <v>3355.88</v>
      </c>
      <c r="G371" s="18" t="n">
        <f aca="false">SUMIFS(Payment_Log_AP!$E$2:$E$753,Payment_Log_AP!$B$2:$B$753,A371)</f>
        <v>0</v>
      </c>
      <c r="H371" s="18" t="n">
        <f aca="false">F371-G371</f>
        <v>3355.88</v>
      </c>
      <c r="I371" s="16" t="n">
        <f aca="false">IF(H371&lt;=0.01,0,MAX(Assumptions!$B$5-E371,0))</f>
        <v>62</v>
      </c>
      <c r="J371" s="16" t="str">
        <f aca="false">IF(H371&lt;=0.01,"Paid",IF(I371&lt;=30,"0-30",IF(I371&lt;=60,"31-60",IF(I371&lt;=90,"61-90","90+"))))</f>
        <v>61-90</v>
      </c>
      <c r="K371" s="16" t="str">
        <f aca="false">IF(H371&lt;=0.01,"Paid",IF(G371&gt;0,"Partially Paid","Unpaid"))</f>
        <v>Unpaid</v>
      </c>
    </row>
    <row r="372" customFormat="false" ht="15" hidden="false" customHeight="false" outlineLevel="0" collapsed="false">
      <c r="A372" s="16" t="str">
        <f aca="false">Vendor_Invoices_AP!A369</f>
        <v>INV30368</v>
      </c>
      <c r="B372" s="16" t="str">
        <f aca="false">Vendor_Invoices_AP!C369</f>
        <v>V1020</v>
      </c>
      <c r="C372" s="16" t="str">
        <f aca="false">IFERROR(INDEX(Vendor_Master!$B$2:$B$41,MATCH(B372,Vendor_Master!$A$2:$A$41,0)),"Unknown Vendor")</f>
        <v>Lewis-Porter</v>
      </c>
      <c r="D372" s="17" t="n">
        <f aca="false">Vendor_Invoices_AP!D369</f>
        <v>46001</v>
      </c>
      <c r="E372" s="17" t="n">
        <f aca="false">Vendor_Invoices_AP!F369</f>
        <v>46031</v>
      </c>
      <c r="F372" s="18" t="n">
        <f aca="false">Vendor_Invoices_AP!E369</f>
        <v>2928.06</v>
      </c>
      <c r="G372" s="18" t="n">
        <f aca="false">SUMIFS(Payment_Log_AP!$E$2:$E$753,Payment_Log_AP!$B$2:$B$753,A372)</f>
        <v>2928.06</v>
      </c>
      <c r="H372" s="18" t="n">
        <f aca="false">F372-G372</f>
        <v>0</v>
      </c>
      <c r="I372" s="16" t="n">
        <f aca="false">IF(H372&lt;=0.01,0,MAX(Assumptions!$B$5-E372,0))</f>
        <v>0</v>
      </c>
      <c r="J372" s="16" t="str">
        <f aca="false">IF(H372&lt;=0.01,"Paid",IF(I372&lt;=30,"0-30",IF(I372&lt;=60,"31-60",IF(I372&lt;=90,"61-90","90+"))))</f>
        <v>Paid</v>
      </c>
      <c r="K372" s="16" t="str">
        <f aca="false">IF(H372&lt;=0.01,"Paid",IF(G372&gt;0,"Partially Paid","Unpaid"))</f>
        <v>Paid</v>
      </c>
    </row>
    <row r="373" customFormat="false" ht="15" hidden="false" customHeight="false" outlineLevel="0" collapsed="false">
      <c r="A373" s="16" t="str">
        <f aca="false">Vendor_Invoices_AP!A370</f>
        <v>INV30369</v>
      </c>
      <c r="B373" s="16" t="str">
        <f aca="false">Vendor_Invoices_AP!C370</f>
        <v>V1040</v>
      </c>
      <c r="C373" s="16" t="str">
        <f aca="false">IFERROR(INDEX(Vendor_Master!$B$2:$B$41,MATCH(B373,Vendor_Master!$A$2:$A$41,0)),"Unknown Vendor")</f>
        <v>Santos, Kim and Holmes</v>
      </c>
      <c r="D373" s="17" t="n">
        <f aca="false">Vendor_Invoices_AP!D370</f>
        <v>46029</v>
      </c>
      <c r="E373" s="17" t="n">
        <f aca="false">Vendor_Invoices_AP!F370</f>
        <v>46044</v>
      </c>
      <c r="F373" s="18" t="n">
        <f aca="false">Vendor_Invoices_AP!E370</f>
        <v>3306.72</v>
      </c>
      <c r="G373" s="18" t="n">
        <f aca="false">SUMIFS(Payment_Log_AP!$E$2:$E$753,Payment_Log_AP!$B$2:$B$753,A373)</f>
        <v>3306.72</v>
      </c>
      <c r="H373" s="18" t="n">
        <f aca="false">F373-G373</f>
        <v>0</v>
      </c>
      <c r="I373" s="16" t="n">
        <f aca="false">IF(H373&lt;=0.01,0,MAX(Assumptions!$B$5-E373,0))</f>
        <v>0</v>
      </c>
      <c r="J373" s="16" t="str">
        <f aca="false">IF(H373&lt;=0.01,"Paid",IF(I373&lt;=30,"0-30",IF(I373&lt;=60,"31-60",IF(I373&lt;=90,"61-90","90+"))))</f>
        <v>Paid</v>
      </c>
      <c r="K373" s="16" t="str">
        <f aca="false">IF(H373&lt;=0.01,"Paid",IF(G373&gt;0,"Partially Paid","Unpaid"))</f>
        <v>Paid</v>
      </c>
    </row>
    <row r="374" customFormat="false" ht="15" hidden="false" customHeight="false" outlineLevel="0" collapsed="false">
      <c r="A374" s="16" t="str">
        <f aca="false">Vendor_Invoices_AP!A371</f>
        <v>INV30370</v>
      </c>
      <c r="B374" s="16" t="str">
        <f aca="false">Vendor_Invoices_AP!C371</f>
        <v>V1019</v>
      </c>
      <c r="C374" s="16" t="str">
        <f aca="false">IFERROR(INDEX(Vendor_Master!$B$2:$B$41,MATCH(B374,Vendor_Master!$A$2:$A$41,0)),"Unknown Vendor")</f>
        <v>Clark PLC</v>
      </c>
      <c r="D374" s="17" t="n">
        <f aca="false">Vendor_Invoices_AP!D371</f>
        <v>46173</v>
      </c>
      <c r="E374" s="17" t="n">
        <f aca="false">Vendor_Invoices_AP!F371</f>
        <v>46218</v>
      </c>
      <c r="F374" s="18" t="n">
        <f aca="false">Vendor_Invoices_AP!E371</f>
        <v>7330.11</v>
      </c>
      <c r="G374" s="18" t="n">
        <f aca="false">SUMIFS(Payment_Log_AP!$E$2:$E$753,Payment_Log_AP!$B$2:$B$753,A374)</f>
        <v>7330.11</v>
      </c>
      <c r="H374" s="18" t="n">
        <f aca="false">F374-G374</f>
        <v>0</v>
      </c>
      <c r="I374" s="16" t="n">
        <f aca="false">IF(H374&lt;=0.01,0,MAX(Assumptions!$B$5-E374,0))</f>
        <v>0</v>
      </c>
      <c r="J374" s="16" t="str">
        <f aca="false">IF(H374&lt;=0.01,"Paid",IF(I374&lt;=30,"0-30",IF(I374&lt;=60,"31-60",IF(I374&lt;=90,"61-90","90+"))))</f>
        <v>Paid</v>
      </c>
      <c r="K374" s="16" t="str">
        <f aca="false">IF(H374&lt;=0.01,"Paid",IF(G374&gt;0,"Partially Paid","Unpaid"))</f>
        <v>Paid</v>
      </c>
    </row>
    <row r="375" customFormat="false" ht="15" hidden="false" customHeight="false" outlineLevel="0" collapsed="false">
      <c r="A375" s="16" t="str">
        <f aca="false">Vendor_Invoices_AP!A372</f>
        <v>INV30371</v>
      </c>
      <c r="B375" s="16" t="str">
        <f aca="false">Vendor_Invoices_AP!C372</f>
        <v>V1040</v>
      </c>
      <c r="C375" s="16" t="str">
        <f aca="false">IFERROR(INDEX(Vendor_Master!$B$2:$B$41,MATCH(B375,Vendor_Master!$A$2:$A$41,0)),"Unknown Vendor")</f>
        <v>Santos, Kim and Holmes</v>
      </c>
      <c r="D375" s="17" t="n">
        <f aca="false">Vendor_Invoices_AP!D372</f>
        <v>45892</v>
      </c>
      <c r="E375" s="17" t="n">
        <f aca="false">Vendor_Invoices_AP!F372</f>
        <v>45907</v>
      </c>
      <c r="F375" s="18" t="n">
        <f aca="false">Vendor_Invoices_AP!E372</f>
        <v>305.65</v>
      </c>
      <c r="G375" s="18" t="n">
        <f aca="false">SUMIFS(Payment_Log_AP!$E$2:$E$753,Payment_Log_AP!$B$2:$B$753,A375)</f>
        <v>305.65</v>
      </c>
      <c r="H375" s="18" t="n">
        <f aca="false">F375-G375</f>
        <v>0</v>
      </c>
      <c r="I375" s="16" t="n">
        <f aca="false">IF(H375&lt;=0.01,0,MAX(Assumptions!$B$5-E375,0))</f>
        <v>0</v>
      </c>
      <c r="J375" s="16" t="str">
        <f aca="false">IF(H375&lt;=0.01,"Paid",IF(I375&lt;=30,"0-30",IF(I375&lt;=60,"31-60",IF(I375&lt;=90,"61-90","90+"))))</f>
        <v>Paid</v>
      </c>
      <c r="K375" s="16" t="str">
        <f aca="false">IF(H375&lt;=0.01,"Paid",IF(G375&gt;0,"Partially Paid","Unpaid"))</f>
        <v>Paid</v>
      </c>
    </row>
    <row r="376" customFormat="false" ht="15" hidden="false" customHeight="false" outlineLevel="0" collapsed="false">
      <c r="A376" s="16" t="str">
        <f aca="false">Vendor_Invoices_AP!A373</f>
        <v>INV30372</v>
      </c>
      <c r="B376" s="16" t="str">
        <f aca="false">Vendor_Invoices_AP!C373</f>
        <v>V1012</v>
      </c>
      <c r="C376" s="16" t="str">
        <f aca="false">IFERROR(INDEX(Vendor_Master!$B$2:$B$41,MATCH(B376,Vendor_Master!$A$2:$A$41,0)),"Unknown Vendor")</f>
        <v>Stanley LLC</v>
      </c>
      <c r="D376" s="17" t="n">
        <f aca="false">Vendor_Invoices_AP!D373</f>
        <v>45970</v>
      </c>
      <c r="E376" s="17" t="n">
        <f aca="false">Vendor_Invoices_AP!F373</f>
        <v>46030</v>
      </c>
      <c r="F376" s="18" t="n">
        <f aca="false">Vendor_Invoices_AP!E373</f>
        <v>695.44</v>
      </c>
      <c r="G376" s="18" t="n">
        <f aca="false">SUMIFS(Payment_Log_AP!$E$2:$E$753,Payment_Log_AP!$B$2:$B$753,A376)</f>
        <v>695.44</v>
      </c>
      <c r="H376" s="18" t="n">
        <f aca="false">F376-G376</f>
        <v>0</v>
      </c>
      <c r="I376" s="16" t="n">
        <f aca="false">IF(H376&lt;=0.01,0,MAX(Assumptions!$B$5-E376,0))</f>
        <v>0</v>
      </c>
      <c r="J376" s="16" t="str">
        <f aca="false">IF(H376&lt;=0.01,"Paid",IF(I376&lt;=30,"0-30",IF(I376&lt;=60,"31-60",IF(I376&lt;=90,"61-90","90+"))))</f>
        <v>Paid</v>
      </c>
      <c r="K376" s="16" t="str">
        <f aca="false">IF(H376&lt;=0.01,"Paid",IF(G376&gt;0,"Partially Paid","Unpaid"))</f>
        <v>Paid</v>
      </c>
    </row>
    <row r="377" customFormat="false" ht="15" hidden="false" customHeight="false" outlineLevel="0" collapsed="false">
      <c r="A377" s="16" t="str">
        <f aca="false">Vendor_Invoices_AP!A374</f>
        <v>INV30373</v>
      </c>
      <c r="B377" s="16" t="str">
        <f aca="false">Vendor_Invoices_AP!C374</f>
        <v>V1004</v>
      </c>
      <c r="C377" s="16" t="str">
        <f aca="false">IFERROR(INDEX(Vendor_Master!$B$2:$B$41,MATCH(B377,Vendor_Master!$A$2:$A$41,0)),"Unknown Vendor")</f>
        <v>Johnson, Gonzalez and Santos</v>
      </c>
      <c r="D377" s="17" t="n">
        <f aca="false">Vendor_Invoices_AP!D374</f>
        <v>46035</v>
      </c>
      <c r="E377" s="17" t="n">
        <f aca="false">Vendor_Invoices_AP!F374</f>
        <v>46050</v>
      </c>
      <c r="F377" s="18" t="n">
        <f aca="false">Vendor_Invoices_AP!E374</f>
        <v>8378.51</v>
      </c>
      <c r="G377" s="18" t="n">
        <f aca="false">SUMIFS(Payment_Log_AP!$E$2:$E$753,Payment_Log_AP!$B$2:$B$753,A377)</f>
        <v>8378.51</v>
      </c>
      <c r="H377" s="18" t="n">
        <f aca="false">F377-G377</f>
        <v>0</v>
      </c>
      <c r="I377" s="16" t="n">
        <f aca="false">IF(H377&lt;=0.01,0,MAX(Assumptions!$B$5-E377,0))</f>
        <v>0</v>
      </c>
      <c r="J377" s="16" t="str">
        <f aca="false">IF(H377&lt;=0.01,"Paid",IF(I377&lt;=30,"0-30",IF(I377&lt;=60,"31-60",IF(I377&lt;=90,"61-90","90+"))))</f>
        <v>Paid</v>
      </c>
      <c r="K377" s="16" t="str">
        <f aca="false">IF(H377&lt;=0.01,"Paid",IF(G377&gt;0,"Partially Paid","Unpaid"))</f>
        <v>Paid</v>
      </c>
    </row>
    <row r="378" customFormat="false" ht="15" hidden="false" customHeight="false" outlineLevel="0" collapsed="false">
      <c r="A378" s="16" t="str">
        <f aca="false">Vendor_Invoices_AP!A375</f>
        <v>INV30374</v>
      </c>
      <c r="B378" s="16" t="str">
        <f aca="false">Vendor_Invoices_AP!C375</f>
        <v>V1005</v>
      </c>
      <c r="C378" s="16" t="str">
        <f aca="false">IFERROR(INDEX(Vendor_Master!$B$2:$B$41,MATCH(B378,Vendor_Master!$A$2:$A$41,0)),"Unknown Vendor")</f>
        <v>Cole LLC</v>
      </c>
      <c r="D378" s="17" t="n">
        <f aca="false">Vendor_Invoices_AP!D375</f>
        <v>46173</v>
      </c>
      <c r="E378" s="17" t="n">
        <f aca="false">Vendor_Invoices_AP!F375</f>
        <v>46188</v>
      </c>
      <c r="F378" s="18" t="n">
        <f aca="false">Vendor_Invoices_AP!E375</f>
        <v>1194.11</v>
      </c>
      <c r="G378" s="18" t="n">
        <f aca="false">SUMIFS(Payment_Log_AP!$E$2:$E$753,Payment_Log_AP!$B$2:$B$753,A378)</f>
        <v>1194.11</v>
      </c>
      <c r="H378" s="18" t="n">
        <f aca="false">F378-G378</f>
        <v>0</v>
      </c>
      <c r="I378" s="16" t="n">
        <f aca="false">IF(H378&lt;=0.01,0,MAX(Assumptions!$B$5-E378,0))</f>
        <v>0</v>
      </c>
      <c r="J378" s="16" t="str">
        <f aca="false">IF(H378&lt;=0.01,"Paid",IF(I378&lt;=30,"0-30",IF(I378&lt;=60,"31-60",IF(I378&lt;=90,"61-90","90+"))))</f>
        <v>Paid</v>
      </c>
      <c r="K378" s="16" t="str">
        <f aca="false">IF(H378&lt;=0.01,"Paid",IF(G378&gt;0,"Partially Paid","Unpaid"))</f>
        <v>Paid</v>
      </c>
    </row>
    <row r="379" customFormat="false" ht="15" hidden="false" customHeight="false" outlineLevel="0" collapsed="false">
      <c r="A379" s="16" t="str">
        <f aca="false">Vendor_Invoices_AP!A376</f>
        <v>INV30375</v>
      </c>
      <c r="B379" s="16" t="str">
        <f aca="false">Vendor_Invoices_AP!C376</f>
        <v>V1013</v>
      </c>
      <c r="C379" s="16" t="str">
        <f aca="false">IFERROR(INDEX(Vendor_Master!$B$2:$B$41,MATCH(B379,Vendor_Master!$A$2:$A$41,0)),"Unknown Vendor")</f>
        <v>Delacruz Group</v>
      </c>
      <c r="D379" s="17" t="n">
        <f aca="false">Vendor_Invoices_AP!D376</f>
        <v>46114</v>
      </c>
      <c r="E379" s="17" t="n">
        <f aca="false">Vendor_Invoices_AP!F376</f>
        <v>46129</v>
      </c>
      <c r="F379" s="18" t="n">
        <f aca="false">Vendor_Invoices_AP!E376</f>
        <v>755.76</v>
      </c>
      <c r="G379" s="18" t="n">
        <f aca="false">SUMIFS(Payment_Log_AP!$E$2:$E$753,Payment_Log_AP!$B$2:$B$753,A379)</f>
        <v>755.76</v>
      </c>
      <c r="H379" s="18" t="n">
        <f aca="false">F379-G379</f>
        <v>0</v>
      </c>
      <c r="I379" s="16" t="n">
        <f aca="false">IF(H379&lt;=0.01,0,MAX(Assumptions!$B$5-E379,0))</f>
        <v>0</v>
      </c>
      <c r="J379" s="16" t="str">
        <f aca="false">IF(H379&lt;=0.01,"Paid",IF(I379&lt;=30,"0-30",IF(I379&lt;=60,"31-60",IF(I379&lt;=90,"61-90","90+"))))</f>
        <v>Paid</v>
      </c>
      <c r="K379" s="16" t="str">
        <f aca="false">IF(H379&lt;=0.01,"Paid",IF(G379&gt;0,"Partially Paid","Unpaid"))</f>
        <v>Paid</v>
      </c>
    </row>
    <row r="380" customFormat="false" ht="15" hidden="false" customHeight="false" outlineLevel="0" collapsed="false">
      <c r="A380" s="16" t="str">
        <f aca="false">Vendor_Invoices_AP!A377</f>
        <v>INV30376</v>
      </c>
      <c r="B380" s="16" t="str">
        <f aca="false">Vendor_Invoices_AP!C377</f>
        <v>V1033</v>
      </c>
      <c r="C380" s="16" t="str">
        <f aca="false">IFERROR(INDEX(Vendor_Master!$B$2:$B$41,MATCH(B380,Vendor_Master!$A$2:$A$41,0)),"Unknown Vendor")</f>
        <v>Sellers, George and Burns</v>
      </c>
      <c r="D380" s="17" t="n">
        <f aca="false">Vendor_Invoices_AP!D377</f>
        <v>45698</v>
      </c>
      <c r="E380" s="17" t="n">
        <f aca="false">Vendor_Invoices_AP!F377</f>
        <v>45758</v>
      </c>
      <c r="F380" s="18" t="n">
        <f aca="false">Vendor_Invoices_AP!E377</f>
        <v>14821.15</v>
      </c>
      <c r="G380" s="18" t="n">
        <f aca="false">SUMIFS(Payment_Log_AP!$E$2:$E$753,Payment_Log_AP!$B$2:$B$753,A380)</f>
        <v>14821.15</v>
      </c>
      <c r="H380" s="18" t="n">
        <f aca="false">F380-G380</f>
        <v>0</v>
      </c>
      <c r="I380" s="16" t="n">
        <f aca="false">IF(H380&lt;=0.01,0,MAX(Assumptions!$B$5-E380,0))</f>
        <v>0</v>
      </c>
      <c r="J380" s="16" t="str">
        <f aca="false">IF(H380&lt;=0.01,"Paid",IF(I380&lt;=30,"0-30",IF(I380&lt;=60,"31-60",IF(I380&lt;=90,"61-90","90+"))))</f>
        <v>Paid</v>
      </c>
      <c r="K380" s="16" t="str">
        <f aca="false">IF(H380&lt;=0.01,"Paid",IF(G380&gt;0,"Partially Paid","Unpaid"))</f>
        <v>Paid</v>
      </c>
    </row>
    <row r="381" customFormat="false" ht="15" hidden="false" customHeight="false" outlineLevel="0" collapsed="false">
      <c r="A381" s="16" t="str">
        <f aca="false">Vendor_Invoices_AP!A378</f>
        <v>INV30377</v>
      </c>
      <c r="B381" s="16" t="str">
        <f aca="false">Vendor_Invoices_AP!C378</f>
        <v>V1014</v>
      </c>
      <c r="C381" s="16" t="str">
        <f aca="false">IFERROR(INDEX(Vendor_Master!$B$2:$B$41,MATCH(B381,Vendor_Master!$A$2:$A$41,0)),"Unknown Vendor")</f>
        <v>Flowers, Martin and Kelly</v>
      </c>
      <c r="D381" s="17" t="n">
        <f aca="false">Vendor_Invoices_AP!D378</f>
        <v>45772</v>
      </c>
      <c r="E381" s="17" t="n">
        <f aca="false">Vendor_Invoices_AP!F378</f>
        <v>45802</v>
      </c>
      <c r="F381" s="18" t="n">
        <f aca="false">Vendor_Invoices_AP!E378</f>
        <v>5777.41</v>
      </c>
      <c r="G381" s="18" t="n">
        <f aca="false">SUMIFS(Payment_Log_AP!$E$2:$E$753,Payment_Log_AP!$B$2:$B$753,A381)</f>
        <v>0</v>
      </c>
      <c r="H381" s="18" t="n">
        <f aca="false">F381-G381</f>
        <v>5777.41</v>
      </c>
      <c r="I381" s="16" t="n">
        <f aca="false">IF(H381&lt;=0.01,0,MAX(Assumptions!$B$5-E381,0))</f>
        <v>432</v>
      </c>
      <c r="J381" s="16" t="str">
        <f aca="false">IF(H381&lt;=0.01,"Paid",IF(I381&lt;=30,"0-30",IF(I381&lt;=60,"31-60",IF(I381&lt;=90,"61-90","90+"))))</f>
        <v>90+</v>
      </c>
      <c r="K381" s="16" t="str">
        <f aca="false">IF(H381&lt;=0.01,"Paid",IF(G381&gt;0,"Partially Paid","Unpaid"))</f>
        <v>Unpaid</v>
      </c>
    </row>
    <row r="382" customFormat="false" ht="15" hidden="false" customHeight="false" outlineLevel="0" collapsed="false">
      <c r="A382" s="16" t="str">
        <f aca="false">Vendor_Invoices_AP!A379</f>
        <v>INV30378</v>
      </c>
      <c r="B382" s="16" t="str">
        <f aca="false">Vendor_Invoices_AP!C379</f>
        <v>V1037</v>
      </c>
      <c r="C382" s="16" t="str">
        <f aca="false">IFERROR(INDEX(Vendor_Master!$B$2:$B$41,MATCH(B382,Vendor_Master!$A$2:$A$41,0)),"Unknown Vendor")</f>
        <v>Cannon, Anderson and Alvarez</v>
      </c>
      <c r="D382" s="17" t="n">
        <f aca="false">Vendor_Invoices_AP!D379</f>
        <v>45829</v>
      </c>
      <c r="E382" s="17" t="n">
        <f aca="false">Vendor_Invoices_AP!F379</f>
        <v>45859</v>
      </c>
      <c r="F382" s="18" t="n">
        <f aca="false">Vendor_Invoices_AP!E379</f>
        <v>4303.23</v>
      </c>
      <c r="G382" s="18" t="n">
        <f aca="false">SUMIFS(Payment_Log_AP!$E$2:$E$753,Payment_Log_AP!$B$2:$B$753,A382)</f>
        <v>4303.23</v>
      </c>
      <c r="H382" s="18" t="n">
        <f aca="false">F382-G382</f>
        <v>0</v>
      </c>
      <c r="I382" s="16" t="n">
        <f aca="false">IF(H382&lt;=0.01,0,MAX(Assumptions!$B$5-E382,0))</f>
        <v>0</v>
      </c>
      <c r="J382" s="16" t="str">
        <f aca="false">IF(H382&lt;=0.01,"Paid",IF(I382&lt;=30,"0-30",IF(I382&lt;=60,"31-60",IF(I382&lt;=90,"61-90","90+"))))</f>
        <v>Paid</v>
      </c>
      <c r="K382" s="16" t="str">
        <f aca="false">IF(H382&lt;=0.01,"Paid",IF(G382&gt;0,"Partially Paid","Unpaid"))</f>
        <v>Paid</v>
      </c>
    </row>
    <row r="383" customFormat="false" ht="15" hidden="false" customHeight="false" outlineLevel="0" collapsed="false">
      <c r="A383" s="16" t="str">
        <f aca="false">Vendor_Invoices_AP!A380</f>
        <v>INV30379</v>
      </c>
      <c r="B383" s="16" t="str">
        <f aca="false">Vendor_Invoices_AP!C380</f>
        <v>V1035</v>
      </c>
      <c r="C383" s="16" t="str">
        <f aca="false">IFERROR(INDEX(Vendor_Master!$B$2:$B$41,MATCH(B383,Vendor_Master!$A$2:$A$41,0)),"Unknown Vendor")</f>
        <v>Allen PLC</v>
      </c>
      <c r="D383" s="17" t="n">
        <f aca="false">Vendor_Invoices_AP!D380</f>
        <v>46090</v>
      </c>
      <c r="E383" s="17" t="n">
        <f aca="false">Vendor_Invoices_AP!F380</f>
        <v>46105</v>
      </c>
      <c r="F383" s="18" t="n">
        <f aca="false">Vendor_Invoices_AP!E380</f>
        <v>525.18</v>
      </c>
      <c r="G383" s="18" t="n">
        <f aca="false">SUMIFS(Payment_Log_AP!$E$2:$E$753,Payment_Log_AP!$B$2:$B$753,A383)</f>
        <v>525.18</v>
      </c>
      <c r="H383" s="18" t="n">
        <f aca="false">F383-G383</f>
        <v>0</v>
      </c>
      <c r="I383" s="16" t="n">
        <f aca="false">IF(H383&lt;=0.01,0,MAX(Assumptions!$B$5-E383,0))</f>
        <v>0</v>
      </c>
      <c r="J383" s="16" t="str">
        <f aca="false">IF(H383&lt;=0.01,"Paid",IF(I383&lt;=30,"0-30",IF(I383&lt;=60,"31-60",IF(I383&lt;=90,"61-90","90+"))))</f>
        <v>Paid</v>
      </c>
      <c r="K383" s="16" t="str">
        <f aca="false">IF(H383&lt;=0.01,"Paid",IF(G383&gt;0,"Partially Paid","Unpaid"))</f>
        <v>Paid</v>
      </c>
    </row>
    <row r="384" customFormat="false" ht="15" hidden="false" customHeight="false" outlineLevel="0" collapsed="false">
      <c r="A384" s="16" t="str">
        <f aca="false">Vendor_Invoices_AP!A381</f>
        <v>INV30380</v>
      </c>
      <c r="B384" s="16" t="str">
        <f aca="false">Vendor_Invoices_AP!C381</f>
        <v>V1020</v>
      </c>
      <c r="C384" s="16" t="str">
        <f aca="false">IFERROR(INDEX(Vendor_Master!$B$2:$B$41,MATCH(B384,Vendor_Master!$A$2:$A$41,0)),"Unknown Vendor")</f>
        <v>Lewis-Porter</v>
      </c>
      <c r="D384" s="17" t="n">
        <f aca="false">Vendor_Invoices_AP!D381</f>
        <v>45973</v>
      </c>
      <c r="E384" s="17" t="n">
        <f aca="false">Vendor_Invoices_AP!F381</f>
        <v>46003</v>
      </c>
      <c r="F384" s="18" t="n">
        <f aca="false">Vendor_Invoices_AP!E381</f>
        <v>2740.38</v>
      </c>
      <c r="G384" s="18" t="n">
        <f aca="false">SUMIFS(Payment_Log_AP!$E$2:$E$753,Payment_Log_AP!$B$2:$B$753,A384)</f>
        <v>2740.38</v>
      </c>
      <c r="H384" s="18" t="n">
        <f aca="false">F384-G384</f>
        <v>0</v>
      </c>
      <c r="I384" s="16" t="n">
        <f aca="false">IF(H384&lt;=0.01,0,MAX(Assumptions!$B$5-E384,0))</f>
        <v>0</v>
      </c>
      <c r="J384" s="16" t="str">
        <f aca="false">IF(H384&lt;=0.01,"Paid",IF(I384&lt;=30,"0-30",IF(I384&lt;=60,"31-60",IF(I384&lt;=90,"61-90","90+"))))</f>
        <v>Paid</v>
      </c>
      <c r="K384" s="16" t="str">
        <f aca="false">IF(H384&lt;=0.01,"Paid",IF(G384&gt;0,"Partially Paid","Unpaid"))</f>
        <v>Paid</v>
      </c>
    </row>
    <row r="385" customFormat="false" ht="15" hidden="false" customHeight="false" outlineLevel="0" collapsed="false">
      <c r="A385" s="16" t="str">
        <f aca="false">Vendor_Invoices_AP!A382</f>
        <v>INV30381</v>
      </c>
      <c r="B385" s="16" t="str">
        <f aca="false">Vendor_Invoices_AP!C382</f>
        <v>V1008</v>
      </c>
      <c r="C385" s="16" t="str">
        <f aca="false">IFERROR(INDEX(Vendor_Master!$B$2:$B$41,MATCH(B385,Vendor_Master!$A$2:$A$41,0)),"Unknown Vendor")</f>
        <v>Davis Inc</v>
      </c>
      <c r="D385" s="17" t="n">
        <f aca="false">Vendor_Invoices_AP!D382</f>
        <v>45837</v>
      </c>
      <c r="E385" s="17" t="n">
        <f aca="false">Vendor_Invoices_AP!F382</f>
        <v>45897</v>
      </c>
      <c r="F385" s="18" t="n">
        <f aca="false">Vendor_Invoices_AP!E382</f>
        <v>9606.11</v>
      </c>
      <c r="G385" s="18" t="n">
        <f aca="false">SUMIFS(Payment_Log_AP!$E$2:$E$753,Payment_Log_AP!$B$2:$B$753,A385)</f>
        <v>9606.11</v>
      </c>
      <c r="H385" s="18" t="n">
        <f aca="false">F385-G385</f>
        <v>0</v>
      </c>
      <c r="I385" s="16" t="n">
        <f aca="false">IF(H385&lt;=0.01,0,MAX(Assumptions!$B$5-E385,0))</f>
        <v>0</v>
      </c>
      <c r="J385" s="16" t="str">
        <f aca="false">IF(H385&lt;=0.01,"Paid",IF(I385&lt;=30,"0-30",IF(I385&lt;=60,"31-60",IF(I385&lt;=90,"61-90","90+"))))</f>
        <v>Paid</v>
      </c>
      <c r="K385" s="16" t="str">
        <f aca="false">IF(H385&lt;=0.01,"Paid",IF(G385&gt;0,"Partially Paid","Unpaid"))</f>
        <v>Paid</v>
      </c>
    </row>
    <row r="386" customFormat="false" ht="15" hidden="false" customHeight="false" outlineLevel="0" collapsed="false">
      <c r="A386" s="16" t="str">
        <f aca="false">Vendor_Invoices_AP!A383</f>
        <v>INV30382</v>
      </c>
      <c r="B386" s="16" t="str">
        <f aca="false">Vendor_Invoices_AP!C383</f>
        <v>V1021</v>
      </c>
      <c r="C386" s="16" t="str">
        <f aca="false">IFERROR(INDEX(Vendor_Master!$B$2:$B$41,MATCH(B386,Vendor_Master!$A$2:$A$41,0)),"Unknown Vendor")</f>
        <v>Ellis, Baker and Wright</v>
      </c>
      <c r="D386" s="17" t="n">
        <f aca="false">Vendor_Invoices_AP!D383</f>
        <v>45739</v>
      </c>
      <c r="E386" s="17" t="n">
        <f aca="false">Vendor_Invoices_AP!F383</f>
        <v>45769</v>
      </c>
      <c r="F386" s="18" t="n">
        <f aca="false">Vendor_Invoices_AP!E383</f>
        <v>3156.13</v>
      </c>
      <c r="G386" s="18" t="n">
        <f aca="false">SUMIFS(Payment_Log_AP!$E$2:$E$753,Payment_Log_AP!$B$2:$B$753,A386)</f>
        <v>3156.13</v>
      </c>
      <c r="H386" s="18" t="n">
        <f aca="false">F386-G386</f>
        <v>0</v>
      </c>
      <c r="I386" s="16" t="n">
        <f aca="false">IF(H386&lt;=0.01,0,MAX(Assumptions!$B$5-E386,0))</f>
        <v>0</v>
      </c>
      <c r="J386" s="16" t="str">
        <f aca="false">IF(H386&lt;=0.01,"Paid",IF(I386&lt;=30,"0-30",IF(I386&lt;=60,"31-60",IF(I386&lt;=90,"61-90","90+"))))</f>
        <v>Paid</v>
      </c>
      <c r="K386" s="16" t="str">
        <f aca="false">IF(H386&lt;=0.01,"Paid",IF(G386&gt;0,"Partially Paid","Unpaid"))</f>
        <v>Paid</v>
      </c>
    </row>
    <row r="387" customFormat="false" ht="15" hidden="false" customHeight="false" outlineLevel="0" collapsed="false">
      <c r="A387" s="16" t="str">
        <f aca="false">Vendor_Invoices_AP!A384</f>
        <v>INV30383</v>
      </c>
      <c r="B387" s="16" t="str">
        <f aca="false">Vendor_Invoices_AP!C384</f>
        <v>V1012</v>
      </c>
      <c r="C387" s="16" t="str">
        <f aca="false">IFERROR(INDEX(Vendor_Master!$B$2:$B$41,MATCH(B387,Vendor_Master!$A$2:$A$41,0)),"Unknown Vendor")</f>
        <v>Stanley LLC</v>
      </c>
      <c r="D387" s="17" t="n">
        <f aca="false">Vendor_Invoices_AP!D384</f>
        <v>46054</v>
      </c>
      <c r="E387" s="17" t="n">
        <f aca="false">Vendor_Invoices_AP!F384</f>
        <v>46114</v>
      </c>
      <c r="F387" s="18" t="n">
        <f aca="false">Vendor_Invoices_AP!E384</f>
        <v>1799.63</v>
      </c>
      <c r="G387" s="18" t="n">
        <f aca="false">SUMIFS(Payment_Log_AP!$E$2:$E$753,Payment_Log_AP!$B$2:$B$753,A387)</f>
        <v>0</v>
      </c>
      <c r="H387" s="18" t="n">
        <f aca="false">F387-G387</f>
        <v>1799.63</v>
      </c>
      <c r="I387" s="16" t="n">
        <f aca="false">IF(H387&lt;=0.01,0,MAX(Assumptions!$B$5-E387,0))</f>
        <v>120</v>
      </c>
      <c r="J387" s="16" t="str">
        <f aca="false">IF(H387&lt;=0.01,"Paid",IF(I387&lt;=30,"0-30",IF(I387&lt;=60,"31-60",IF(I387&lt;=90,"61-90","90+"))))</f>
        <v>90+</v>
      </c>
      <c r="K387" s="16" t="str">
        <f aca="false">IF(H387&lt;=0.01,"Paid",IF(G387&gt;0,"Partially Paid","Unpaid"))</f>
        <v>Unpaid</v>
      </c>
    </row>
    <row r="388" customFormat="false" ht="15" hidden="false" customHeight="false" outlineLevel="0" collapsed="false">
      <c r="A388" s="16" t="str">
        <f aca="false">Vendor_Invoices_AP!A385</f>
        <v>INV30384</v>
      </c>
      <c r="B388" s="16" t="str">
        <f aca="false">Vendor_Invoices_AP!C385</f>
        <v>V1037</v>
      </c>
      <c r="C388" s="16" t="str">
        <f aca="false">IFERROR(INDEX(Vendor_Master!$B$2:$B$41,MATCH(B388,Vendor_Master!$A$2:$A$41,0)),"Unknown Vendor")</f>
        <v>Cannon, Anderson and Alvarez</v>
      </c>
      <c r="D388" s="17" t="n">
        <f aca="false">Vendor_Invoices_AP!D385</f>
        <v>46053</v>
      </c>
      <c r="E388" s="17" t="n">
        <f aca="false">Vendor_Invoices_AP!F385</f>
        <v>46083</v>
      </c>
      <c r="F388" s="18" t="n">
        <f aca="false">Vendor_Invoices_AP!E385</f>
        <v>4442.2</v>
      </c>
      <c r="G388" s="18" t="n">
        <f aca="false">SUMIFS(Payment_Log_AP!$E$2:$E$753,Payment_Log_AP!$B$2:$B$753,A388)</f>
        <v>4442.2</v>
      </c>
      <c r="H388" s="18" t="n">
        <f aca="false">F388-G388</f>
        <v>0</v>
      </c>
      <c r="I388" s="16" t="n">
        <f aca="false">IF(H388&lt;=0.01,0,MAX(Assumptions!$B$5-E388,0))</f>
        <v>0</v>
      </c>
      <c r="J388" s="16" t="str">
        <f aca="false">IF(H388&lt;=0.01,"Paid",IF(I388&lt;=30,"0-30",IF(I388&lt;=60,"31-60",IF(I388&lt;=90,"61-90","90+"))))</f>
        <v>Paid</v>
      </c>
      <c r="K388" s="16" t="str">
        <f aca="false">IF(H388&lt;=0.01,"Paid",IF(G388&gt;0,"Partially Paid","Unpaid"))</f>
        <v>Paid</v>
      </c>
    </row>
    <row r="389" customFormat="false" ht="15" hidden="false" customHeight="false" outlineLevel="0" collapsed="false">
      <c r="A389" s="16" t="str">
        <f aca="false">Vendor_Invoices_AP!A386</f>
        <v>INV30385</v>
      </c>
      <c r="B389" s="16" t="str">
        <f aca="false">Vendor_Invoices_AP!C386</f>
        <v>V1004</v>
      </c>
      <c r="C389" s="16" t="str">
        <f aca="false">IFERROR(INDEX(Vendor_Master!$B$2:$B$41,MATCH(B389,Vendor_Master!$A$2:$A$41,0)),"Unknown Vendor")</f>
        <v>Johnson, Gonzalez and Santos</v>
      </c>
      <c r="D389" s="17" t="n">
        <f aca="false">Vendor_Invoices_AP!D386</f>
        <v>46194</v>
      </c>
      <c r="E389" s="17" t="n">
        <f aca="false">Vendor_Invoices_AP!F386</f>
        <v>46209</v>
      </c>
      <c r="F389" s="18" t="n">
        <f aca="false">Vendor_Invoices_AP!E386</f>
        <v>1683.7</v>
      </c>
      <c r="G389" s="18" t="n">
        <f aca="false">SUMIFS(Payment_Log_AP!$E$2:$E$753,Payment_Log_AP!$B$2:$B$753,A389)</f>
        <v>0</v>
      </c>
      <c r="H389" s="18" t="n">
        <f aca="false">F389-G389</f>
        <v>1683.7</v>
      </c>
      <c r="I389" s="16" t="n">
        <f aca="false">IF(H389&lt;=0.01,0,MAX(Assumptions!$B$5-E389,0))</f>
        <v>25</v>
      </c>
      <c r="J389" s="16" t="str">
        <f aca="false">IF(H389&lt;=0.01,"Paid",IF(I389&lt;=30,"0-30",IF(I389&lt;=60,"31-60",IF(I389&lt;=90,"61-90","90+"))))</f>
        <v>0-30</v>
      </c>
      <c r="K389" s="16" t="str">
        <f aca="false">IF(H389&lt;=0.01,"Paid",IF(G389&gt;0,"Partially Paid","Unpaid"))</f>
        <v>Unpaid</v>
      </c>
    </row>
    <row r="390" customFormat="false" ht="15" hidden="false" customHeight="false" outlineLevel="0" collapsed="false">
      <c r="A390" s="16" t="str">
        <f aca="false">Vendor_Invoices_AP!A387</f>
        <v>INV30386</v>
      </c>
      <c r="B390" s="16" t="str">
        <f aca="false">Vendor_Invoices_AP!C387</f>
        <v>V1004</v>
      </c>
      <c r="C390" s="16" t="str">
        <f aca="false">IFERROR(INDEX(Vendor_Master!$B$2:$B$41,MATCH(B390,Vendor_Master!$A$2:$A$41,0)),"Unknown Vendor")</f>
        <v>Johnson, Gonzalez and Santos</v>
      </c>
      <c r="D390" s="17" t="n">
        <f aca="false">Vendor_Invoices_AP!D387</f>
        <v>45936</v>
      </c>
      <c r="E390" s="17" t="n">
        <f aca="false">Vendor_Invoices_AP!F387</f>
        <v>45951</v>
      </c>
      <c r="F390" s="18" t="n">
        <f aca="false">Vendor_Invoices_AP!E387</f>
        <v>2002.66</v>
      </c>
      <c r="G390" s="18" t="n">
        <f aca="false">SUMIFS(Payment_Log_AP!$E$2:$E$753,Payment_Log_AP!$B$2:$B$753,A390)</f>
        <v>2002.66</v>
      </c>
      <c r="H390" s="18" t="n">
        <f aca="false">F390-G390</f>
        <v>0</v>
      </c>
      <c r="I390" s="16" t="n">
        <f aca="false">IF(H390&lt;=0.01,0,MAX(Assumptions!$B$5-E390,0))</f>
        <v>0</v>
      </c>
      <c r="J390" s="16" t="str">
        <f aca="false">IF(H390&lt;=0.01,"Paid",IF(I390&lt;=30,"0-30",IF(I390&lt;=60,"31-60",IF(I390&lt;=90,"61-90","90+"))))</f>
        <v>Paid</v>
      </c>
      <c r="K390" s="16" t="str">
        <f aca="false">IF(H390&lt;=0.01,"Paid",IF(G390&gt;0,"Partially Paid","Unpaid"))</f>
        <v>Paid</v>
      </c>
    </row>
    <row r="391" customFormat="false" ht="15" hidden="false" customHeight="false" outlineLevel="0" collapsed="false">
      <c r="A391" s="16" t="str">
        <f aca="false">Vendor_Invoices_AP!A388</f>
        <v>INV30387</v>
      </c>
      <c r="B391" s="16" t="str">
        <f aca="false">Vendor_Invoices_AP!C388</f>
        <v>V1024</v>
      </c>
      <c r="C391" s="16" t="str">
        <f aca="false">IFERROR(INDEX(Vendor_Master!$B$2:$B$41,MATCH(B391,Vendor_Master!$A$2:$A$41,0)),"Unknown Vendor")</f>
        <v>Campos Inc</v>
      </c>
      <c r="D391" s="17" t="n">
        <f aca="false">Vendor_Invoices_AP!D388</f>
        <v>45942</v>
      </c>
      <c r="E391" s="17" t="n">
        <f aca="false">Vendor_Invoices_AP!F388</f>
        <v>46002</v>
      </c>
      <c r="F391" s="18" t="n">
        <f aca="false">Vendor_Invoices_AP!E388</f>
        <v>1387.72</v>
      </c>
      <c r="G391" s="18" t="n">
        <f aca="false">SUMIFS(Payment_Log_AP!$E$2:$E$753,Payment_Log_AP!$B$2:$B$753,A391)</f>
        <v>1387.72</v>
      </c>
      <c r="H391" s="18" t="n">
        <f aca="false">F391-G391</f>
        <v>0</v>
      </c>
      <c r="I391" s="16" t="n">
        <f aca="false">IF(H391&lt;=0.01,0,MAX(Assumptions!$B$5-E391,0))</f>
        <v>0</v>
      </c>
      <c r="J391" s="16" t="str">
        <f aca="false">IF(H391&lt;=0.01,"Paid",IF(I391&lt;=30,"0-30",IF(I391&lt;=60,"31-60",IF(I391&lt;=90,"61-90","90+"))))</f>
        <v>Paid</v>
      </c>
      <c r="K391" s="16" t="str">
        <f aca="false">IF(H391&lt;=0.01,"Paid",IF(G391&gt;0,"Partially Paid","Unpaid"))</f>
        <v>Paid</v>
      </c>
    </row>
    <row r="392" customFormat="false" ht="15" hidden="false" customHeight="false" outlineLevel="0" collapsed="false">
      <c r="A392" s="16" t="str">
        <f aca="false">Vendor_Invoices_AP!A389</f>
        <v>INV30388</v>
      </c>
      <c r="B392" s="16" t="str">
        <f aca="false">Vendor_Invoices_AP!C389</f>
        <v>V1034</v>
      </c>
      <c r="C392" s="16" t="str">
        <f aca="false">IFERROR(INDEX(Vendor_Master!$B$2:$B$41,MATCH(B392,Vendor_Master!$A$2:$A$41,0)),"Unknown Vendor")</f>
        <v>Koch-Decker</v>
      </c>
      <c r="D392" s="17" t="n">
        <f aca="false">Vendor_Invoices_AP!D389</f>
        <v>45717</v>
      </c>
      <c r="E392" s="17" t="n">
        <f aca="false">Vendor_Invoices_AP!F389</f>
        <v>45762</v>
      </c>
      <c r="F392" s="18" t="n">
        <f aca="false">Vendor_Invoices_AP!E389</f>
        <v>2387.19</v>
      </c>
      <c r="G392" s="18" t="n">
        <f aca="false">SUMIFS(Payment_Log_AP!$E$2:$E$753,Payment_Log_AP!$B$2:$B$753,A392)</f>
        <v>2387.19</v>
      </c>
      <c r="H392" s="18" t="n">
        <f aca="false">F392-G392</f>
        <v>0</v>
      </c>
      <c r="I392" s="16" t="n">
        <f aca="false">IF(H392&lt;=0.01,0,MAX(Assumptions!$B$5-E392,0))</f>
        <v>0</v>
      </c>
      <c r="J392" s="16" t="str">
        <f aca="false">IF(H392&lt;=0.01,"Paid",IF(I392&lt;=30,"0-30",IF(I392&lt;=60,"31-60",IF(I392&lt;=90,"61-90","90+"))))</f>
        <v>Paid</v>
      </c>
      <c r="K392" s="16" t="str">
        <f aca="false">IF(H392&lt;=0.01,"Paid",IF(G392&gt;0,"Partially Paid","Unpaid"))</f>
        <v>Paid</v>
      </c>
    </row>
    <row r="393" customFormat="false" ht="15" hidden="false" customHeight="false" outlineLevel="0" collapsed="false">
      <c r="A393" s="16" t="str">
        <f aca="false">Vendor_Invoices_AP!A390</f>
        <v>INV30389</v>
      </c>
      <c r="B393" s="16" t="str">
        <f aca="false">Vendor_Invoices_AP!C390</f>
        <v>V1015</v>
      </c>
      <c r="C393" s="16" t="str">
        <f aca="false">IFERROR(INDEX(Vendor_Master!$B$2:$B$41,MATCH(B393,Vendor_Master!$A$2:$A$41,0)),"Unknown Vendor")</f>
        <v>Zuniga, Wong and Lynch</v>
      </c>
      <c r="D393" s="17" t="n">
        <f aca="false">Vendor_Invoices_AP!D390</f>
        <v>45685</v>
      </c>
      <c r="E393" s="17" t="n">
        <f aca="false">Vendor_Invoices_AP!F390</f>
        <v>45715</v>
      </c>
      <c r="F393" s="18" t="n">
        <f aca="false">Vendor_Invoices_AP!E390</f>
        <v>4785.43</v>
      </c>
      <c r="G393" s="18" t="n">
        <f aca="false">SUMIFS(Payment_Log_AP!$E$2:$E$753,Payment_Log_AP!$B$2:$B$753,A393)</f>
        <v>4785.43</v>
      </c>
      <c r="H393" s="18" t="n">
        <f aca="false">F393-G393</f>
        <v>0</v>
      </c>
      <c r="I393" s="16" t="n">
        <f aca="false">IF(H393&lt;=0.01,0,MAX(Assumptions!$B$5-E393,0))</f>
        <v>0</v>
      </c>
      <c r="J393" s="16" t="str">
        <f aca="false">IF(H393&lt;=0.01,"Paid",IF(I393&lt;=30,"0-30",IF(I393&lt;=60,"31-60",IF(I393&lt;=90,"61-90","90+"))))</f>
        <v>Paid</v>
      </c>
      <c r="K393" s="16" t="str">
        <f aca="false">IF(H393&lt;=0.01,"Paid",IF(G393&gt;0,"Partially Paid","Unpaid"))</f>
        <v>Paid</v>
      </c>
    </row>
    <row r="394" customFormat="false" ht="15" hidden="false" customHeight="false" outlineLevel="0" collapsed="false">
      <c r="A394" s="16" t="str">
        <f aca="false">Vendor_Invoices_AP!A391</f>
        <v>INV30390</v>
      </c>
      <c r="B394" s="16" t="str">
        <f aca="false">Vendor_Invoices_AP!C391</f>
        <v>V1004</v>
      </c>
      <c r="C394" s="16" t="str">
        <f aca="false">IFERROR(INDEX(Vendor_Master!$B$2:$B$41,MATCH(B394,Vendor_Master!$A$2:$A$41,0)),"Unknown Vendor")</f>
        <v>Johnson, Gonzalez and Santos</v>
      </c>
      <c r="D394" s="17" t="n">
        <f aca="false">Vendor_Invoices_AP!D391</f>
        <v>45903</v>
      </c>
      <c r="E394" s="17" t="n">
        <f aca="false">Vendor_Invoices_AP!F391</f>
        <v>45918</v>
      </c>
      <c r="F394" s="18" t="n">
        <f aca="false">Vendor_Invoices_AP!E391</f>
        <v>543.23</v>
      </c>
      <c r="G394" s="18" t="n">
        <f aca="false">SUMIFS(Payment_Log_AP!$E$2:$E$753,Payment_Log_AP!$B$2:$B$753,A394)</f>
        <v>543.23</v>
      </c>
      <c r="H394" s="18" t="n">
        <f aca="false">F394-G394</f>
        <v>0</v>
      </c>
      <c r="I394" s="16" t="n">
        <f aca="false">IF(H394&lt;=0.01,0,MAX(Assumptions!$B$5-E394,0))</f>
        <v>0</v>
      </c>
      <c r="J394" s="16" t="str">
        <f aca="false">IF(H394&lt;=0.01,"Paid",IF(I394&lt;=30,"0-30",IF(I394&lt;=60,"31-60",IF(I394&lt;=90,"61-90","90+"))))</f>
        <v>Paid</v>
      </c>
      <c r="K394" s="16" t="str">
        <f aca="false">IF(H394&lt;=0.01,"Paid",IF(G394&gt;0,"Partially Paid","Unpaid"))</f>
        <v>Paid</v>
      </c>
    </row>
    <row r="395" customFormat="false" ht="15" hidden="false" customHeight="false" outlineLevel="0" collapsed="false">
      <c r="A395" s="16" t="str">
        <f aca="false">Vendor_Invoices_AP!A392</f>
        <v>INV30391</v>
      </c>
      <c r="B395" s="16" t="str">
        <f aca="false">Vendor_Invoices_AP!C392</f>
        <v>V1004</v>
      </c>
      <c r="C395" s="16" t="str">
        <f aca="false">IFERROR(INDEX(Vendor_Master!$B$2:$B$41,MATCH(B395,Vendor_Master!$A$2:$A$41,0)),"Unknown Vendor")</f>
        <v>Johnson, Gonzalez and Santos</v>
      </c>
      <c r="D395" s="17" t="n">
        <f aca="false">Vendor_Invoices_AP!D392</f>
        <v>45910</v>
      </c>
      <c r="E395" s="17" t="n">
        <f aca="false">Vendor_Invoices_AP!F392</f>
        <v>45925</v>
      </c>
      <c r="F395" s="18" t="n">
        <f aca="false">Vendor_Invoices_AP!E392</f>
        <v>476.74</v>
      </c>
      <c r="G395" s="18" t="n">
        <f aca="false">SUMIFS(Payment_Log_AP!$E$2:$E$753,Payment_Log_AP!$B$2:$B$753,A395)</f>
        <v>0</v>
      </c>
      <c r="H395" s="18" t="n">
        <f aca="false">F395-G395</f>
        <v>476.74</v>
      </c>
      <c r="I395" s="16" t="n">
        <f aca="false">IF(H395&lt;=0.01,0,MAX(Assumptions!$B$5-E395,0))</f>
        <v>309</v>
      </c>
      <c r="J395" s="16" t="str">
        <f aca="false">IF(H395&lt;=0.01,"Paid",IF(I395&lt;=30,"0-30",IF(I395&lt;=60,"31-60",IF(I395&lt;=90,"61-90","90+"))))</f>
        <v>90+</v>
      </c>
      <c r="K395" s="16" t="str">
        <f aca="false">IF(H395&lt;=0.01,"Paid",IF(G395&gt;0,"Partially Paid","Unpaid"))</f>
        <v>Unpaid</v>
      </c>
    </row>
    <row r="396" customFormat="false" ht="15" hidden="false" customHeight="false" outlineLevel="0" collapsed="false">
      <c r="A396" s="16" t="str">
        <f aca="false">Vendor_Invoices_AP!A393</f>
        <v>INV30392</v>
      </c>
      <c r="B396" s="16" t="str">
        <f aca="false">Vendor_Invoices_AP!C393</f>
        <v>V1027</v>
      </c>
      <c r="C396" s="16" t="str">
        <f aca="false">IFERROR(INDEX(Vendor_Master!$B$2:$B$41,MATCH(B396,Vendor_Master!$A$2:$A$41,0)),"Unknown Vendor")</f>
        <v>Valencia, Smith and Le</v>
      </c>
      <c r="D396" s="17" t="n">
        <f aca="false">Vendor_Invoices_AP!D393</f>
        <v>45850</v>
      </c>
      <c r="E396" s="17" t="n">
        <f aca="false">Vendor_Invoices_AP!F393</f>
        <v>45895</v>
      </c>
      <c r="F396" s="18" t="n">
        <f aca="false">Vendor_Invoices_AP!E393</f>
        <v>327.34</v>
      </c>
      <c r="G396" s="18" t="n">
        <f aca="false">SUMIFS(Payment_Log_AP!$E$2:$E$753,Payment_Log_AP!$B$2:$B$753,A396)</f>
        <v>327.34</v>
      </c>
      <c r="H396" s="18" t="n">
        <f aca="false">F396-G396</f>
        <v>0</v>
      </c>
      <c r="I396" s="16" t="n">
        <f aca="false">IF(H396&lt;=0.01,0,MAX(Assumptions!$B$5-E396,0))</f>
        <v>0</v>
      </c>
      <c r="J396" s="16" t="str">
        <f aca="false">IF(H396&lt;=0.01,"Paid",IF(I396&lt;=30,"0-30",IF(I396&lt;=60,"31-60",IF(I396&lt;=90,"61-90","90+"))))</f>
        <v>Paid</v>
      </c>
      <c r="K396" s="16" t="str">
        <f aca="false">IF(H396&lt;=0.01,"Paid",IF(G396&gt;0,"Partially Paid","Unpaid"))</f>
        <v>Paid</v>
      </c>
    </row>
    <row r="397" customFormat="false" ht="15" hidden="false" customHeight="false" outlineLevel="0" collapsed="false">
      <c r="A397" s="16" t="str">
        <f aca="false">Vendor_Invoices_AP!A394</f>
        <v>INV30393</v>
      </c>
      <c r="B397" s="16" t="str">
        <f aca="false">Vendor_Invoices_AP!C394</f>
        <v>V1027</v>
      </c>
      <c r="C397" s="16" t="str">
        <f aca="false">IFERROR(INDEX(Vendor_Master!$B$2:$B$41,MATCH(B397,Vendor_Master!$A$2:$A$41,0)),"Unknown Vendor")</f>
        <v>Valencia, Smith and Le</v>
      </c>
      <c r="D397" s="17" t="n">
        <f aca="false">Vendor_Invoices_AP!D394</f>
        <v>45853</v>
      </c>
      <c r="E397" s="17" t="n">
        <f aca="false">Vendor_Invoices_AP!F394</f>
        <v>45898</v>
      </c>
      <c r="F397" s="18" t="n">
        <f aca="false">Vendor_Invoices_AP!E394</f>
        <v>327.34</v>
      </c>
      <c r="G397" s="18" t="n">
        <f aca="false">SUMIFS(Payment_Log_AP!$E$2:$E$753,Payment_Log_AP!$B$2:$B$753,A397)</f>
        <v>327.34</v>
      </c>
      <c r="H397" s="18" t="n">
        <f aca="false">F397-G397</f>
        <v>0</v>
      </c>
      <c r="I397" s="16" t="n">
        <f aca="false">IF(H397&lt;=0.01,0,MAX(Assumptions!$B$5-E397,0))</f>
        <v>0</v>
      </c>
      <c r="J397" s="16" t="str">
        <f aca="false">IF(H397&lt;=0.01,"Paid",IF(I397&lt;=30,"0-30",IF(I397&lt;=60,"31-60",IF(I397&lt;=90,"61-90","90+"))))</f>
        <v>Paid</v>
      </c>
      <c r="K397" s="16" t="str">
        <f aca="false">IF(H397&lt;=0.01,"Paid",IF(G397&gt;0,"Partially Paid","Unpaid"))</f>
        <v>Paid</v>
      </c>
    </row>
    <row r="398" customFormat="false" ht="15" hidden="false" customHeight="false" outlineLevel="0" collapsed="false">
      <c r="A398" s="16" t="str">
        <f aca="false">Vendor_Invoices_AP!A395</f>
        <v>INV30394</v>
      </c>
      <c r="B398" s="16" t="str">
        <f aca="false">Vendor_Invoices_AP!C395</f>
        <v>V1004</v>
      </c>
      <c r="C398" s="16" t="str">
        <f aca="false">IFERROR(INDEX(Vendor_Master!$B$2:$B$41,MATCH(B398,Vendor_Master!$A$2:$A$41,0)),"Unknown Vendor")</f>
        <v>Johnson, Gonzalez and Santos</v>
      </c>
      <c r="D398" s="17" t="n">
        <f aca="false">Vendor_Invoices_AP!D395</f>
        <v>45810</v>
      </c>
      <c r="E398" s="17" t="n">
        <f aca="false">Vendor_Invoices_AP!F395</f>
        <v>45825</v>
      </c>
      <c r="F398" s="18" t="n">
        <f aca="false">Vendor_Invoices_AP!E395</f>
        <v>2106.84</v>
      </c>
      <c r="G398" s="18" t="n">
        <f aca="false">SUMIFS(Payment_Log_AP!$E$2:$E$753,Payment_Log_AP!$B$2:$B$753,A398)</f>
        <v>2106.84</v>
      </c>
      <c r="H398" s="18" t="n">
        <f aca="false">F398-G398</f>
        <v>0</v>
      </c>
      <c r="I398" s="16" t="n">
        <f aca="false">IF(H398&lt;=0.01,0,MAX(Assumptions!$B$5-E398,0))</f>
        <v>0</v>
      </c>
      <c r="J398" s="16" t="str">
        <f aca="false">IF(H398&lt;=0.01,"Paid",IF(I398&lt;=30,"0-30",IF(I398&lt;=60,"31-60",IF(I398&lt;=90,"61-90","90+"))))</f>
        <v>Paid</v>
      </c>
      <c r="K398" s="16" t="str">
        <f aca="false">IF(H398&lt;=0.01,"Paid",IF(G398&gt;0,"Partially Paid","Unpaid"))</f>
        <v>Paid</v>
      </c>
    </row>
    <row r="399" customFormat="false" ht="15" hidden="false" customHeight="false" outlineLevel="0" collapsed="false">
      <c r="A399" s="16" t="str">
        <f aca="false">Vendor_Invoices_AP!A396</f>
        <v>INV30395</v>
      </c>
      <c r="B399" s="16" t="str">
        <f aca="false">Vendor_Invoices_AP!C396</f>
        <v>V1020</v>
      </c>
      <c r="C399" s="16" t="str">
        <f aca="false">IFERROR(INDEX(Vendor_Master!$B$2:$B$41,MATCH(B399,Vendor_Master!$A$2:$A$41,0)),"Unknown Vendor")</f>
        <v>Lewis-Porter</v>
      </c>
      <c r="D399" s="17" t="n">
        <f aca="false">Vendor_Invoices_AP!D396</f>
        <v>45716</v>
      </c>
      <c r="E399" s="17" t="n">
        <f aca="false">Vendor_Invoices_AP!F396</f>
        <v>45746</v>
      </c>
      <c r="F399" s="18" t="n">
        <f aca="false">Vendor_Invoices_AP!E396</f>
        <v>175.5</v>
      </c>
      <c r="G399" s="18" t="n">
        <f aca="false">SUMIFS(Payment_Log_AP!$E$2:$E$753,Payment_Log_AP!$B$2:$B$753,A399)</f>
        <v>175.5</v>
      </c>
      <c r="H399" s="18" t="n">
        <f aca="false">F399-G399</f>
        <v>0</v>
      </c>
      <c r="I399" s="16" t="n">
        <f aca="false">IF(H399&lt;=0.01,0,MAX(Assumptions!$B$5-E399,0))</f>
        <v>0</v>
      </c>
      <c r="J399" s="16" t="str">
        <f aca="false">IF(H399&lt;=0.01,"Paid",IF(I399&lt;=30,"0-30",IF(I399&lt;=60,"31-60",IF(I399&lt;=90,"61-90","90+"))))</f>
        <v>Paid</v>
      </c>
      <c r="K399" s="16" t="str">
        <f aca="false">IF(H399&lt;=0.01,"Paid",IF(G399&gt;0,"Partially Paid","Unpaid"))</f>
        <v>Paid</v>
      </c>
    </row>
    <row r="400" customFormat="false" ht="15" hidden="false" customHeight="false" outlineLevel="0" collapsed="false">
      <c r="A400" s="16" t="str">
        <f aca="false">Vendor_Invoices_AP!A397</f>
        <v>INV30396</v>
      </c>
      <c r="B400" s="16" t="str">
        <f aca="false">Vendor_Invoices_AP!C397</f>
        <v>V1011</v>
      </c>
      <c r="C400" s="16" t="str">
        <f aca="false">IFERROR(INDEX(Vendor_Master!$B$2:$B$41,MATCH(B400,Vendor_Master!$A$2:$A$41,0)),"Unknown Vendor")</f>
        <v>Montgomery, Hensley and Ray</v>
      </c>
      <c r="D400" s="17" t="n">
        <f aca="false">Vendor_Invoices_AP!D397</f>
        <v>46204</v>
      </c>
      <c r="E400" s="17" t="n">
        <f aca="false">Vendor_Invoices_AP!F397</f>
        <v>46249</v>
      </c>
      <c r="F400" s="18" t="n">
        <f aca="false">Vendor_Invoices_AP!E397</f>
        <v>7138.19</v>
      </c>
      <c r="G400" s="18" t="n">
        <f aca="false">SUMIFS(Payment_Log_AP!$E$2:$E$753,Payment_Log_AP!$B$2:$B$753,A400)</f>
        <v>0</v>
      </c>
      <c r="H400" s="18" t="n">
        <f aca="false">F400-G400</f>
        <v>7138.19</v>
      </c>
      <c r="I400" s="16" t="n">
        <f aca="false">IF(H400&lt;=0.01,0,MAX(Assumptions!$B$5-E400,0))</f>
        <v>0</v>
      </c>
      <c r="J400" s="16" t="str">
        <f aca="false">IF(H400&lt;=0.01,"Paid",IF(I400&lt;=30,"0-30",IF(I400&lt;=60,"31-60",IF(I400&lt;=90,"61-90","90+"))))</f>
        <v>0-30</v>
      </c>
      <c r="K400" s="16" t="str">
        <f aca="false">IF(H400&lt;=0.01,"Paid",IF(G400&gt;0,"Partially Paid","Unpaid"))</f>
        <v>Unpaid</v>
      </c>
    </row>
    <row r="401" customFormat="false" ht="15" hidden="false" customHeight="false" outlineLevel="0" collapsed="false">
      <c r="A401" s="16" t="str">
        <f aca="false">Vendor_Invoices_AP!A398</f>
        <v>INV30397</v>
      </c>
      <c r="B401" s="16" t="str">
        <f aca="false">Vendor_Invoices_AP!C398</f>
        <v>V1024</v>
      </c>
      <c r="C401" s="16" t="str">
        <f aca="false">IFERROR(INDEX(Vendor_Master!$B$2:$B$41,MATCH(B401,Vendor_Master!$A$2:$A$41,0)),"Unknown Vendor")</f>
        <v>Campos Inc</v>
      </c>
      <c r="D401" s="17" t="n">
        <f aca="false">Vendor_Invoices_AP!D398</f>
        <v>46116</v>
      </c>
      <c r="E401" s="17" t="n">
        <f aca="false">Vendor_Invoices_AP!F398</f>
        <v>46176</v>
      </c>
      <c r="F401" s="18" t="n">
        <f aca="false">Vendor_Invoices_AP!E398</f>
        <v>3683.41</v>
      </c>
      <c r="G401" s="18" t="n">
        <f aca="false">SUMIFS(Payment_Log_AP!$E$2:$E$753,Payment_Log_AP!$B$2:$B$753,A401)</f>
        <v>3683.41</v>
      </c>
      <c r="H401" s="18" t="n">
        <f aca="false">F401-G401</f>
        <v>0</v>
      </c>
      <c r="I401" s="16" t="n">
        <f aca="false">IF(H401&lt;=0.01,0,MAX(Assumptions!$B$5-E401,0))</f>
        <v>0</v>
      </c>
      <c r="J401" s="16" t="str">
        <f aca="false">IF(H401&lt;=0.01,"Paid",IF(I401&lt;=30,"0-30",IF(I401&lt;=60,"31-60",IF(I401&lt;=90,"61-90","90+"))))</f>
        <v>Paid</v>
      </c>
      <c r="K401" s="16" t="str">
        <f aca="false">IF(H401&lt;=0.01,"Paid",IF(G401&gt;0,"Partially Paid","Unpaid"))</f>
        <v>Paid</v>
      </c>
    </row>
    <row r="402" customFormat="false" ht="15" hidden="false" customHeight="false" outlineLevel="0" collapsed="false">
      <c r="A402" s="16" t="str">
        <f aca="false">Vendor_Invoices_AP!A399</f>
        <v>INV30398</v>
      </c>
      <c r="B402" s="16" t="str">
        <f aca="false">Vendor_Invoices_AP!C399</f>
        <v>V1038</v>
      </c>
      <c r="C402" s="16" t="str">
        <f aca="false">IFERROR(INDEX(Vendor_Master!$B$2:$B$41,MATCH(B402,Vendor_Master!$A$2:$A$41,0)),"Unknown Vendor")</f>
        <v>Rose-Obrien</v>
      </c>
      <c r="D402" s="17" t="n">
        <f aca="false">Vendor_Invoices_AP!D399</f>
        <v>45984</v>
      </c>
      <c r="E402" s="17" t="n">
        <f aca="false">Vendor_Invoices_AP!F399</f>
        <v>46014</v>
      </c>
      <c r="F402" s="18" t="n">
        <f aca="false">Vendor_Invoices_AP!E399</f>
        <v>1037.11</v>
      </c>
      <c r="G402" s="18" t="n">
        <f aca="false">SUMIFS(Payment_Log_AP!$E$2:$E$753,Payment_Log_AP!$B$2:$B$753,A402)</f>
        <v>1037.11</v>
      </c>
      <c r="H402" s="18" t="n">
        <f aca="false">F402-G402</f>
        <v>0</v>
      </c>
      <c r="I402" s="16" t="n">
        <f aca="false">IF(H402&lt;=0.01,0,MAX(Assumptions!$B$5-E402,0))</f>
        <v>0</v>
      </c>
      <c r="J402" s="16" t="str">
        <f aca="false">IF(H402&lt;=0.01,"Paid",IF(I402&lt;=30,"0-30",IF(I402&lt;=60,"31-60",IF(I402&lt;=90,"61-90","90+"))))</f>
        <v>Paid</v>
      </c>
      <c r="K402" s="16" t="str">
        <f aca="false">IF(H402&lt;=0.01,"Paid",IF(G402&gt;0,"Partially Paid","Unpaid"))</f>
        <v>Paid</v>
      </c>
    </row>
    <row r="403" customFormat="false" ht="15" hidden="false" customHeight="false" outlineLevel="0" collapsed="false">
      <c r="A403" s="16" t="str">
        <f aca="false">Vendor_Invoices_AP!A400</f>
        <v>INV30399</v>
      </c>
      <c r="B403" s="16" t="str">
        <f aca="false">Vendor_Invoices_AP!C400</f>
        <v>V1001</v>
      </c>
      <c r="C403" s="16" t="str">
        <f aca="false">IFERROR(INDEX(Vendor_Master!$B$2:$B$41,MATCH(B403,Vendor_Master!$A$2:$A$41,0)),"Unknown Vendor")</f>
        <v>Figueroa and Sons</v>
      </c>
      <c r="D403" s="17" t="n">
        <f aca="false">Vendor_Invoices_AP!D400</f>
        <v>46197</v>
      </c>
      <c r="E403" s="17" t="n">
        <f aca="false">Vendor_Invoices_AP!F400</f>
        <v>46242</v>
      </c>
      <c r="F403" s="18" t="n">
        <f aca="false">Vendor_Invoices_AP!E400</f>
        <v>321.55</v>
      </c>
      <c r="G403" s="18" t="n">
        <f aca="false">SUMIFS(Payment_Log_AP!$E$2:$E$753,Payment_Log_AP!$B$2:$B$753,A403)</f>
        <v>0</v>
      </c>
      <c r="H403" s="18" t="n">
        <f aca="false">F403-G403</f>
        <v>321.55</v>
      </c>
      <c r="I403" s="16" t="n">
        <f aca="false">IF(H403&lt;=0.01,0,MAX(Assumptions!$B$5-E403,0))</f>
        <v>0</v>
      </c>
      <c r="J403" s="16" t="str">
        <f aca="false">IF(H403&lt;=0.01,"Paid",IF(I403&lt;=30,"0-30",IF(I403&lt;=60,"31-60",IF(I403&lt;=90,"61-90","90+"))))</f>
        <v>0-30</v>
      </c>
      <c r="K403" s="16" t="str">
        <f aca="false">IF(H403&lt;=0.01,"Paid",IF(G403&gt;0,"Partially Paid","Unpaid"))</f>
        <v>Unpaid</v>
      </c>
    </row>
    <row r="404" customFormat="false" ht="15" hidden="false" customHeight="false" outlineLevel="0" collapsed="false">
      <c r="A404" s="16" t="str">
        <f aca="false">Vendor_Invoices_AP!A401</f>
        <v>INV30400</v>
      </c>
      <c r="B404" s="16" t="str">
        <f aca="false">Vendor_Invoices_AP!C401</f>
        <v>V1016</v>
      </c>
      <c r="C404" s="16" t="str">
        <f aca="false">IFERROR(INDEX(Vendor_Master!$B$2:$B$41,MATCH(B404,Vendor_Master!$A$2:$A$41,0)),"Unknown Vendor")</f>
        <v>Sanchez, Ford and Nelson</v>
      </c>
      <c r="D404" s="17" t="n">
        <f aca="false">Vendor_Invoices_AP!D401</f>
        <v>46205</v>
      </c>
      <c r="E404" s="17" t="n">
        <f aca="false">Vendor_Invoices_AP!F401</f>
        <v>46235</v>
      </c>
      <c r="F404" s="18" t="n">
        <f aca="false">Vendor_Invoices_AP!E401</f>
        <v>2982.17</v>
      </c>
      <c r="G404" s="18" t="n">
        <f aca="false">SUMIFS(Payment_Log_AP!$E$2:$E$753,Payment_Log_AP!$B$2:$B$753,A404)</f>
        <v>0</v>
      </c>
      <c r="H404" s="18" t="n">
        <f aca="false">F404-G404</f>
        <v>2982.17</v>
      </c>
      <c r="I404" s="16" t="n">
        <f aca="false">IF(H404&lt;=0.01,0,MAX(Assumptions!$B$5-E404,0))</f>
        <v>0</v>
      </c>
      <c r="J404" s="16" t="str">
        <f aca="false">IF(H404&lt;=0.01,"Paid",IF(I404&lt;=30,"0-30",IF(I404&lt;=60,"31-60",IF(I404&lt;=90,"61-90","90+"))))</f>
        <v>0-30</v>
      </c>
      <c r="K404" s="16" t="str">
        <f aca="false">IF(H404&lt;=0.01,"Paid",IF(G404&gt;0,"Partially Paid","Unpaid"))</f>
        <v>Unpaid</v>
      </c>
    </row>
    <row r="405" customFormat="false" ht="15" hidden="false" customHeight="false" outlineLevel="0" collapsed="false">
      <c r="A405" s="16" t="str">
        <f aca="false">Vendor_Invoices_AP!A402</f>
        <v>INV30401</v>
      </c>
      <c r="B405" s="16" t="str">
        <f aca="false">Vendor_Invoices_AP!C402</f>
        <v>V1008</v>
      </c>
      <c r="C405" s="16" t="str">
        <f aca="false">IFERROR(INDEX(Vendor_Master!$B$2:$B$41,MATCH(B405,Vendor_Master!$A$2:$A$41,0)),"Unknown Vendor")</f>
        <v>Davis Inc</v>
      </c>
      <c r="D405" s="17" t="n">
        <f aca="false">Vendor_Invoices_AP!D402</f>
        <v>46031</v>
      </c>
      <c r="E405" s="17" t="n">
        <f aca="false">Vendor_Invoices_AP!F402</f>
        <v>46091</v>
      </c>
      <c r="F405" s="18" t="n">
        <f aca="false">Vendor_Invoices_AP!E402</f>
        <v>688.7</v>
      </c>
      <c r="G405" s="18" t="n">
        <f aca="false">SUMIFS(Payment_Log_AP!$E$2:$E$753,Payment_Log_AP!$B$2:$B$753,A405)</f>
        <v>688.7</v>
      </c>
      <c r="H405" s="18" t="n">
        <f aca="false">F405-G405</f>
        <v>0</v>
      </c>
      <c r="I405" s="16" t="n">
        <f aca="false">IF(H405&lt;=0.01,0,MAX(Assumptions!$B$5-E405,0))</f>
        <v>0</v>
      </c>
      <c r="J405" s="16" t="str">
        <f aca="false">IF(H405&lt;=0.01,"Paid",IF(I405&lt;=30,"0-30",IF(I405&lt;=60,"31-60",IF(I405&lt;=90,"61-90","90+"))))</f>
        <v>Paid</v>
      </c>
      <c r="K405" s="16" t="str">
        <f aca="false">IF(H405&lt;=0.01,"Paid",IF(G405&gt;0,"Partially Paid","Unpaid"))</f>
        <v>Paid</v>
      </c>
    </row>
    <row r="406" customFormat="false" ht="15" hidden="false" customHeight="false" outlineLevel="0" collapsed="false">
      <c r="A406" s="16" t="str">
        <f aca="false">Vendor_Invoices_AP!A403</f>
        <v>INV30402</v>
      </c>
      <c r="B406" s="16" t="str">
        <f aca="false">Vendor_Invoices_AP!C403</f>
        <v>V1025</v>
      </c>
      <c r="C406" s="16" t="str">
        <f aca="false">IFERROR(INDEX(Vendor_Master!$B$2:$B$41,MATCH(B406,Vendor_Master!$A$2:$A$41,0)),"Unknown Vendor")</f>
        <v>Conner Group</v>
      </c>
      <c r="D406" s="17" t="n">
        <f aca="false">Vendor_Invoices_AP!D403</f>
        <v>45828</v>
      </c>
      <c r="E406" s="17" t="n">
        <f aca="false">Vendor_Invoices_AP!F403</f>
        <v>45873</v>
      </c>
      <c r="F406" s="18" t="n">
        <f aca="false">Vendor_Invoices_AP!E403</f>
        <v>8582.35</v>
      </c>
      <c r="G406" s="18" t="n">
        <f aca="false">SUMIFS(Payment_Log_AP!$E$2:$E$753,Payment_Log_AP!$B$2:$B$753,A406)</f>
        <v>8582.35</v>
      </c>
      <c r="H406" s="18" t="n">
        <f aca="false">F406-G406</f>
        <v>0</v>
      </c>
      <c r="I406" s="16" t="n">
        <f aca="false">IF(H406&lt;=0.01,0,MAX(Assumptions!$B$5-E406,0))</f>
        <v>0</v>
      </c>
      <c r="J406" s="16" t="str">
        <f aca="false">IF(H406&lt;=0.01,"Paid",IF(I406&lt;=30,"0-30",IF(I406&lt;=60,"31-60",IF(I406&lt;=90,"61-90","90+"))))</f>
        <v>Paid</v>
      </c>
      <c r="K406" s="16" t="str">
        <f aca="false">IF(H406&lt;=0.01,"Paid",IF(G406&gt;0,"Partially Paid","Unpaid"))</f>
        <v>Paid</v>
      </c>
    </row>
    <row r="407" customFormat="false" ht="15" hidden="false" customHeight="false" outlineLevel="0" collapsed="false">
      <c r="A407" s="16" t="str">
        <f aca="false">Vendor_Invoices_AP!A404</f>
        <v>INV30403</v>
      </c>
      <c r="B407" s="16" t="str">
        <f aca="false">Vendor_Invoices_AP!C404</f>
        <v>V1011</v>
      </c>
      <c r="C407" s="16" t="str">
        <f aca="false">IFERROR(INDEX(Vendor_Master!$B$2:$B$41,MATCH(B407,Vendor_Master!$A$2:$A$41,0)),"Unknown Vendor")</f>
        <v>Montgomery, Hensley and Ray</v>
      </c>
      <c r="D407" s="17" t="n">
        <f aca="false">Vendor_Invoices_AP!D404</f>
        <v>45698</v>
      </c>
      <c r="E407" s="17" t="n">
        <f aca="false">Vendor_Invoices_AP!F404</f>
        <v>45743</v>
      </c>
      <c r="F407" s="18" t="n">
        <f aca="false">Vendor_Invoices_AP!E404</f>
        <v>4765.55</v>
      </c>
      <c r="G407" s="18" t="n">
        <f aca="false">SUMIFS(Payment_Log_AP!$E$2:$E$753,Payment_Log_AP!$B$2:$B$753,A407)</f>
        <v>4765.55</v>
      </c>
      <c r="H407" s="18" t="n">
        <f aca="false">F407-G407</f>
        <v>0</v>
      </c>
      <c r="I407" s="16" t="n">
        <f aca="false">IF(H407&lt;=0.01,0,MAX(Assumptions!$B$5-E407,0))</f>
        <v>0</v>
      </c>
      <c r="J407" s="16" t="str">
        <f aca="false">IF(H407&lt;=0.01,"Paid",IF(I407&lt;=30,"0-30",IF(I407&lt;=60,"31-60",IF(I407&lt;=90,"61-90","90+"))))</f>
        <v>Paid</v>
      </c>
      <c r="K407" s="16" t="str">
        <f aca="false">IF(H407&lt;=0.01,"Paid",IF(G407&gt;0,"Partially Paid","Unpaid"))</f>
        <v>Paid</v>
      </c>
    </row>
    <row r="408" customFormat="false" ht="15" hidden="false" customHeight="false" outlineLevel="0" collapsed="false">
      <c r="A408" s="16" t="str">
        <f aca="false">Vendor_Invoices_AP!A405</f>
        <v>INV30404</v>
      </c>
      <c r="B408" s="16" t="str">
        <f aca="false">Vendor_Invoices_AP!C405</f>
        <v>V1002</v>
      </c>
      <c r="C408" s="16" t="str">
        <f aca="false">IFERROR(INDEX(Vendor_Master!$B$2:$B$41,MATCH(B408,Vendor_Master!$A$2:$A$41,0)),"Unknown Vendor")</f>
        <v>Garcia, Yang and Gardner</v>
      </c>
      <c r="D408" s="17" t="n">
        <f aca="false">Vendor_Invoices_AP!D405</f>
        <v>46090</v>
      </c>
      <c r="E408" s="17" t="n">
        <f aca="false">Vendor_Invoices_AP!F405</f>
        <v>46105</v>
      </c>
      <c r="F408" s="18" t="n">
        <f aca="false">Vendor_Invoices_AP!E405</f>
        <v>3276.88</v>
      </c>
      <c r="G408" s="18" t="n">
        <f aca="false">SUMIFS(Payment_Log_AP!$E$2:$E$753,Payment_Log_AP!$B$2:$B$753,A408)</f>
        <v>3276.88</v>
      </c>
      <c r="H408" s="18" t="n">
        <f aca="false">F408-G408</f>
        <v>0</v>
      </c>
      <c r="I408" s="16" t="n">
        <f aca="false">IF(H408&lt;=0.01,0,MAX(Assumptions!$B$5-E408,0))</f>
        <v>0</v>
      </c>
      <c r="J408" s="16" t="str">
        <f aca="false">IF(H408&lt;=0.01,"Paid",IF(I408&lt;=30,"0-30",IF(I408&lt;=60,"31-60",IF(I408&lt;=90,"61-90","90+"))))</f>
        <v>Paid</v>
      </c>
      <c r="K408" s="16" t="str">
        <f aca="false">IF(H408&lt;=0.01,"Paid",IF(G408&gt;0,"Partially Paid","Unpaid"))</f>
        <v>Paid</v>
      </c>
    </row>
    <row r="409" customFormat="false" ht="15" hidden="false" customHeight="false" outlineLevel="0" collapsed="false">
      <c r="A409" s="16" t="str">
        <f aca="false">Vendor_Invoices_AP!A406</f>
        <v>INV30405</v>
      </c>
      <c r="B409" s="16" t="str">
        <f aca="false">Vendor_Invoices_AP!C406</f>
        <v>V1033</v>
      </c>
      <c r="C409" s="16" t="str">
        <f aca="false">IFERROR(INDEX(Vendor_Master!$B$2:$B$41,MATCH(B409,Vendor_Master!$A$2:$A$41,0)),"Unknown Vendor")</f>
        <v>Sellers, George and Burns</v>
      </c>
      <c r="D409" s="17" t="n">
        <f aca="false">Vendor_Invoices_AP!D406</f>
        <v>45925</v>
      </c>
      <c r="E409" s="17" t="n">
        <f aca="false">Vendor_Invoices_AP!F406</f>
        <v>45985</v>
      </c>
      <c r="F409" s="18" t="n">
        <f aca="false">Vendor_Invoices_AP!E406</f>
        <v>1027.11</v>
      </c>
      <c r="G409" s="18" t="n">
        <f aca="false">SUMIFS(Payment_Log_AP!$E$2:$E$753,Payment_Log_AP!$B$2:$B$753,A409)</f>
        <v>1027.11</v>
      </c>
      <c r="H409" s="18" t="n">
        <f aca="false">F409-G409</f>
        <v>0</v>
      </c>
      <c r="I409" s="16" t="n">
        <f aca="false">IF(H409&lt;=0.01,0,MAX(Assumptions!$B$5-E409,0))</f>
        <v>0</v>
      </c>
      <c r="J409" s="16" t="str">
        <f aca="false">IF(H409&lt;=0.01,"Paid",IF(I409&lt;=30,"0-30",IF(I409&lt;=60,"31-60",IF(I409&lt;=90,"61-90","90+"))))</f>
        <v>Paid</v>
      </c>
      <c r="K409" s="16" t="str">
        <f aca="false">IF(H409&lt;=0.01,"Paid",IF(G409&gt;0,"Partially Paid","Unpaid"))</f>
        <v>Paid</v>
      </c>
    </row>
    <row r="410" customFormat="false" ht="15" hidden="false" customHeight="false" outlineLevel="0" collapsed="false">
      <c r="A410" s="16" t="str">
        <f aca="false">Vendor_Invoices_AP!A407</f>
        <v>INV30406</v>
      </c>
      <c r="B410" s="16" t="str">
        <f aca="false">Vendor_Invoices_AP!C407</f>
        <v>V1033</v>
      </c>
      <c r="C410" s="16" t="str">
        <f aca="false">IFERROR(INDEX(Vendor_Master!$B$2:$B$41,MATCH(B410,Vendor_Master!$A$2:$A$41,0)),"Unknown Vendor")</f>
        <v>Sellers, George and Burns</v>
      </c>
      <c r="D410" s="17" t="n">
        <f aca="false">Vendor_Invoices_AP!D407</f>
        <v>45928</v>
      </c>
      <c r="E410" s="17" t="n">
        <f aca="false">Vendor_Invoices_AP!F407</f>
        <v>45988</v>
      </c>
      <c r="F410" s="18" t="n">
        <f aca="false">Vendor_Invoices_AP!E407</f>
        <v>1027.11</v>
      </c>
      <c r="G410" s="18" t="n">
        <f aca="false">SUMIFS(Payment_Log_AP!$E$2:$E$753,Payment_Log_AP!$B$2:$B$753,A410)</f>
        <v>1027.11</v>
      </c>
      <c r="H410" s="18" t="n">
        <f aca="false">F410-G410</f>
        <v>0</v>
      </c>
      <c r="I410" s="16" t="n">
        <f aca="false">IF(H410&lt;=0.01,0,MAX(Assumptions!$B$5-E410,0))</f>
        <v>0</v>
      </c>
      <c r="J410" s="16" t="str">
        <f aca="false">IF(H410&lt;=0.01,"Paid",IF(I410&lt;=30,"0-30",IF(I410&lt;=60,"31-60",IF(I410&lt;=90,"61-90","90+"))))</f>
        <v>Paid</v>
      </c>
      <c r="K410" s="16" t="str">
        <f aca="false">IF(H410&lt;=0.01,"Paid",IF(G410&gt;0,"Partially Paid","Unpaid"))</f>
        <v>Paid</v>
      </c>
    </row>
    <row r="411" customFormat="false" ht="15" hidden="false" customHeight="false" outlineLevel="0" collapsed="false">
      <c r="A411" s="16" t="str">
        <f aca="false">Vendor_Invoices_AP!A408</f>
        <v>INV30407</v>
      </c>
      <c r="B411" s="16" t="str">
        <f aca="false">Vendor_Invoices_AP!C408</f>
        <v>V1030</v>
      </c>
      <c r="C411" s="16" t="str">
        <f aca="false">IFERROR(INDEX(Vendor_Master!$B$2:$B$41,MATCH(B411,Vendor_Master!$A$2:$A$41,0)),"Unknown Vendor")</f>
        <v>Stanton-Gill</v>
      </c>
      <c r="D411" s="17" t="n">
        <f aca="false">Vendor_Invoices_AP!D408</f>
        <v>46032</v>
      </c>
      <c r="E411" s="17" t="n">
        <f aca="false">Vendor_Invoices_AP!F408</f>
        <v>46092</v>
      </c>
      <c r="F411" s="18" t="n">
        <f aca="false">Vendor_Invoices_AP!E408</f>
        <v>4853.33</v>
      </c>
      <c r="G411" s="18" t="n">
        <f aca="false">SUMIFS(Payment_Log_AP!$E$2:$E$753,Payment_Log_AP!$B$2:$B$753,A411)</f>
        <v>4853.33</v>
      </c>
      <c r="H411" s="18" t="n">
        <f aca="false">F411-G411</f>
        <v>0</v>
      </c>
      <c r="I411" s="16" t="n">
        <f aca="false">IF(H411&lt;=0.01,0,MAX(Assumptions!$B$5-E411,0))</f>
        <v>0</v>
      </c>
      <c r="J411" s="16" t="str">
        <f aca="false">IF(H411&lt;=0.01,"Paid",IF(I411&lt;=30,"0-30",IF(I411&lt;=60,"31-60",IF(I411&lt;=90,"61-90","90+"))))</f>
        <v>Paid</v>
      </c>
      <c r="K411" s="16" t="str">
        <f aca="false">IF(H411&lt;=0.01,"Paid",IF(G411&gt;0,"Partially Paid","Unpaid"))</f>
        <v>Paid</v>
      </c>
    </row>
    <row r="412" customFormat="false" ht="15" hidden="false" customHeight="false" outlineLevel="0" collapsed="false">
      <c r="A412" s="16" t="str">
        <f aca="false">Vendor_Invoices_AP!A409</f>
        <v>INV30408</v>
      </c>
      <c r="B412" s="16" t="str">
        <f aca="false">Vendor_Invoices_AP!C409</f>
        <v>V1017</v>
      </c>
      <c r="C412" s="16" t="str">
        <f aca="false">IFERROR(INDEX(Vendor_Master!$B$2:$B$41,MATCH(B412,Vendor_Master!$A$2:$A$41,0)),"Unknown Vendor")</f>
        <v>Hawkins, Cohen and Cameron</v>
      </c>
      <c r="D412" s="17" t="n">
        <f aca="false">Vendor_Invoices_AP!D409</f>
        <v>46162</v>
      </c>
      <c r="E412" s="17" t="n">
        <f aca="false">Vendor_Invoices_AP!F409</f>
        <v>46207</v>
      </c>
      <c r="F412" s="18" t="n">
        <f aca="false">Vendor_Invoices_AP!E409</f>
        <v>4213.88</v>
      </c>
      <c r="G412" s="18" t="n">
        <f aca="false">SUMIFS(Payment_Log_AP!$E$2:$E$753,Payment_Log_AP!$B$2:$B$753,A412)</f>
        <v>4213.88</v>
      </c>
      <c r="H412" s="18" t="n">
        <f aca="false">F412-G412</f>
        <v>0</v>
      </c>
      <c r="I412" s="16" t="n">
        <f aca="false">IF(H412&lt;=0.01,0,MAX(Assumptions!$B$5-E412,0))</f>
        <v>0</v>
      </c>
      <c r="J412" s="16" t="str">
        <f aca="false">IF(H412&lt;=0.01,"Paid",IF(I412&lt;=30,"0-30",IF(I412&lt;=60,"31-60",IF(I412&lt;=90,"61-90","90+"))))</f>
        <v>Paid</v>
      </c>
      <c r="K412" s="16" t="str">
        <f aca="false">IF(H412&lt;=0.01,"Paid",IF(G412&gt;0,"Partially Paid","Unpaid"))</f>
        <v>Paid</v>
      </c>
    </row>
    <row r="413" customFormat="false" ht="15" hidden="false" customHeight="false" outlineLevel="0" collapsed="false">
      <c r="A413" s="16" t="str">
        <f aca="false">Vendor_Invoices_AP!A410</f>
        <v>INV30409</v>
      </c>
      <c r="B413" s="16" t="str">
        <f aca="false">Vendor_Invoices_AP!C410</f>
        <v>V1018</v>
      </c>
      <c r="C413" s="16" t="str">
        <f aca="false">IFERROR(INDEX(Vendor_Master!$B$2:$B$41,MATCH(B413,Vendor_Master!$A$2:$A$41,0)),"Unknown Vendor")</f>
        <v>Underwood LLC</v>
      </c>
      <c r="D413" s="17" t="n">
        <f aca="false">Vendor_Invoices_AP!D410</f>
        <v>45774</v>
      </c>
      <c r="E413" s="17" t="n">
        <f aca="false">Vendor_Invoices_AP!F410</f>
        <v>45804</v>
      </c>
      <c r="F413" s="18" t="n">
        <f aca="false">Vendor_Invoices_AP!E410</f>
        <v>1024.13</v>
      </c>
      <c r="G413" s="18" t="n">
        <f aca="false">SUMIFS(Payment_Log_AP!$E$2:$E$753,Payment_Log_AP!$B$2:$B$753,A413)</f>
        <v>1024.13</v>
      </c>
      <c r="H413" s="18" t="n">
        <f aca="false">F413-G413</f>
        <v>0</v>
      </c>
      <c r="I413" s="16" t="n">
        <f aca="false">IF(H413&lt;=0.01,0,MAX(Assumptions!$B$5-E413,0))</f>
        <v>0</v>
      </c>
      <c r="J413" s="16" t="str">
        <f aca="false">IF(H413&lt;=0.01,"Paid",IF(I413&lt;=30,"0-30",IF(I413&lt;=60,"31-60",IF(I413&lt;=90,"61-90","90+"))))</f>
        <v>Paid</v>
      </c>
      <c r="K413" s="16" t="str">
        <f aca="false">IF(H413&lt;=0.01,"Paid",IF(G413&gt;0,"Partially Paid","Unpaid"))</f>
        <v>Paid</v>
      </c>
    </row>
    <row r="414" customFormat="false" ht="15" hidden="false" customHeight="false" outlineLevel="0" collapsed="false">
      <c r="A414" s="16" t="str">
        <f aca="false">Vendor_Invoices_AP!A411</f>
        <v>INV30410</v>
      </c>
      <c r="B414" s="16" t="str">
        <f aca="false">Vendor_Invoices_AP!C411</f>
        <v>V1002</v>
      </c>
      <c r="C414" s="16" t="str">
        <f aca="false">IFERROR(INDEX(Vendor_Master!$B$2:$B$41,MATCH(B414,Vendor_Master!$A$2:$A$41,0)),"Unknown Vendor")</f>
        <v>Garcia, Yang and Gardner</v>
      </c>
      <c r="D414" s="17" t="n">
        <f aca="false">Vendor_Invoices_AP!D411</f>
        <v>45985</v>
      </c>
      <c r="E414" s="17" t="n">
        <f aca="false">Vendor_Invoices_AP!F411</f>
        <v>46000</v>
      </c>
      <c r="F414" s="18" t="n">
        <f aca="false">Vendor_Invoices_AP!E411</f>
        <v>6836.7</v>
      </c>
      <c r="G414" s="18" t="n">
        <f aca="false">SUMIFS(Payment_Log_AP!$E$2:$E$753,Payment_Log_AP!$B$2:$B$753,A414)</f>
        <v>6836.7</v>
      </c>
      <c r="H414" s="18" t="n">
        <f aca="false">F414-G414</f>
        <v>0</v>
      </c>
      <c r="I414" s="16" t="n">
        <f aca="false">IF(H414&lt;=0.01,0,MAX(Assumptions!$B$5-E414,0))</f>
        <v>0</v>
      </c>
      <c r="J414" s="16" t="str">
        <f aca="false">IF(H414&lt;=0.01,"Paid",IF(I414&lt;=30,"0-30",IF(I414&lt;=60,"31-60",IF(I414&lt;=90,"61-90","90+"))))</f>
        <v>Paid</v>
      </c>
      <c r="K414" s="16" t="str">
        <f aca="false">IF(H414&lt;=0.01,"Paid",IF(G414&gt;0,"Partially Paid","Unpaid"))</f>
        <v>Paid</v>
      </c>
    </row>
    <row r="415" customFormat="false" ht="15" hidden="false" customHeight="false" outlineLevel="0" collapsed="false">
      <c r="A415" s="16" t="str">
        <f aca="false">Vendor_Invoices_AP!A412</f>
        <v>INV30411</v>
      </c>
      <c r="B415" s="16" t="str">
        <f aca="false">Vendor_Invoices_AP!C412</f>
        <v>V1029</v>
      </c>
      <c r="C415" s="16" t="str">
        <f aca="false">IFERROR(INDEX(Vendor_Master!$B$2:$B$41,MATCH(B415,Vendor_Master!$A$2:$A$41,0)),"Unknown Vendor")</f>
        <v>Chavez Ltd</v>
      </c>
      <c r="D415" s="17" t="n">
        <f aca="false">Vendor_Invoices_AP!D412</f>
        <v>46028</v>
      </c>
      <c r="E415" s="17" t="n">
        <f aca="false">Vendor_Invoices_AP!F412</f>
        <v>46088</v>
      </c>
      <c r="F415" s="18" t="n">
        <f aca="false">Vendor_Invoices_AP!E412</f>
        <v>2800.96</v>
      </c>
      <c r="G415" s="18" t="n">
        <f aca="false">SUMIFS(Payment_Log_AP!$E$2:$E$753,Payment_Log_AP!$B$2:$B$753,A415)</f>
        <v>2800.96</v>
      </c>
      <c r="H415" s="18" t="n">
        <f aca="false">F415-G415</f>
        <v>0</v>
      </c>
      <c r="I415" s="16" t="n">
        <f aca="false">IF(H415&lt;=0.01,0,MAX(Assumptions!$B$5-E415,0))</f>
        <v>0</v>
      </c>
      <c r="J415" s="16" t="str">
        <f aca="false">IF(H415&lt;=0.01,"Paid",IF(I415&lt;=30,"0-30",IF(I415&lt;=60,"31-60",IF(I415&lt;=90,"61-90","90+"))))</f>
        <v>Paid</v>
      </c>
      <c r="K415" s="16" t="str">
        <f aca="false">IF(H415&lt;=0.01,"Paid",IF(G415&gt;0,"Partially Paid","Unpaid"))</f>
        <v>Paid</v>
      </c>
    </row>
    <row r="416" customFormat="false" ht="15" hidden="false" customHeight="false" outlineLevel="0" collapsed="false">
      <c r="A416" s="16" t="str">
        <f aca="false">Vendor_Invoices_AP!A413</f>
        <v>INV30412</v>
      </c>
      <c r="B416" s="16" t="str">
        <f aca="false">Vendor_Invoices_AP!C413</f>
        <v>V1004</v>
      </c>
      <c r="C416" s="16" t="str">
        <f aca="false">IFERROR(INDEX(Vendor_Master!$B$2:$B$41,MATCH(B416,Vendor_Master!$A$2:$A$41,0)),"Unknown Vendor")</f>
        <v>Johnson, Gonzalez and Santos</v>
      </c>
      <c r="D416" s="17" t="n">
        <f aca="false">Vendor_Invoices_AP!D413</f>
        <v>45929</v>
      </c>
      <c r="E416" s="17" t="n">
        <f aca="false">Vendor_Invoices_AP!F413</f>
        <v>45944</v>
      </c>
      <c r="F416" s="18" t="n">
        <f aca="false">Vendor_Invoices_AP!E413</f>
        <v>2607.21</v>
      </c>
      <c r="G416" s="18" t="n">
        <f aca="false">SUMIFS(Payment_Log_AP!$E$2:$E$753,Payment_Log_AP!$B$2:$B$753,A416)</f>
        <v>2607.21</v>
      </c>
      <c r="H416" s="18" t="n">
        <f aca="false">F416-G416</f>
        <v>0</v>
      </c>
      <c r="I416" s="16" t="n">
        <f aca="false">IF(H416&lt;=0.01,0,MAX(Assumptions!$B$5-E416,0))</f>
        <v>0</v>
      </c>
      <c r="J416" s="16" t="str">
        <f aca="false">IF(H416&lt;=0.01,"Paid",IF(I416&lt;=30,"0-30",IF(I416&lt;=60,"31-60",IF(I416&lt;=90,"61-90","90+"))))</f>
        <v>Paid</v>
      </c>
      <c r="K416" s="16" t="str">
        <f aca="false">IF(H416&lt;=0.01,"Paid",IF(G416&gt;0,"Partially Paid","Unpaid"))</f>
        <v>Paid</v>
      </c>
    </row>
    <row r="417" customFormat="false" ht="15" hidden="false" customHeight="false" outlineLevel="0" collapsed="false">
      <c r="A417" s="16" t="str">
        <f aca="false">Vendor_Invoices_AP!A414</f>
        <v>INV30413</v>
      </c>
      <c r="B417" s="16" t="str">
        <f aca="false">Vendor_Invoices_AP!C414</f>
        <v>V1014</v>
      </c>
      <c r="C417" s="16" t="str">
        <f aca="false">IFERROR(INDEX(Vendor_Master!$B$2:$B$41,MATCH(B417,Vendor_Master!$A$2:$A$41,0)),"Unknown Vendor")</f>
        <v>Flowers, Martin and Kelly</v>
      </c>
      <c r="D417" s="17" t="n">
        <f aca="false">Vendor_Invoices_AP!D414</f>
        <v>45731</v>
      </c>
      <c r="E417" s="17" t="n">
        <f aca="false">Vendor_Invoices_AP!F414</f>
        <v>45761</v>
      </c>
      <c r="F417" s="18" t="n">
        <f aca="false">Vendor_Invoices_AP!E414</f>
        <v>3346.97</v>
      </c>
      <c r="G417" s="18" t="n">
        <f aca="false">SUMIFS(Payment_Log_AP!$E$2:$E$753,Payment_Log_AP!$B$2:$B$753,A417)</f>
        <v>3346.97</v>
      </c>
      <c r="H417" s="18" t="n">
        <f aca="false">F417-G417</f>
        <v>0</v>
      </c>
      <c r="I417" s="16" t="n">
        <f aca="false">IF(H417&lt;=0.01,0,MAX(Assumptions!$B$5-E417,0))</f>
        <v>0</v>
      </c>
      <c r="J417" s="16" t="str">
        <f aca="false">IF(H417&lt;=0.01,"Paid",IF(I417&lt;=30,"0-30",IF(I417&lt;=60,"31-60",IF(I417&lt;=90,"61-90","90+"))))</f>
        <v>Paid</v>
      </c>
      <c r="K417" s="16" t="str">
        <f aca="false">IF(H417&lt;=0.01,"Paid",IF(G417&gt;0,"Partially Paid","Unpaid"))</f>
        <v>Paid</v>
      </c>
    </row>
    <row r="418" customFormat="false" ht="15" hidden="false" customHeight="false" outlineLevel="0" collapsed="false">
      <c r="A418" s="16" t="str">
        <f aca="false">Vendor_Invoices_AP!A415</f>
        <v>INV30414</v>
      </c>
      <c r="B418" s="16" t="str">
        <f aca="false">Vendor_Invoices_AP!C415</f>
        <v>V1028</v>
      </c>
      <c r="C418" s="16" t="str">
        <f aca="false">IFERROR(INDEX(Vendor_Master!$B$2:$B$41,MATCH(B418,Vendor_Master!$A$2:$A$41,0)),"Unknown Vendor")</f>
        <v>Potter, Mack and Peterson</v>
      </c>
      <c r="D418" s="17" t="n">
        <f aca="false">Vendor_Invoices_AP!D415</f>
        <v>45859</v>
      </c>
      <c r="E418" s="17" t="n">
        <f aca="false">Vendor_Invoices_AP!F415</f>
        <v>45904</v>
      </c>
      <c r="F418" s="18" t="n">
        <f aca="false">Vendor_Invoices_AP!E415</f>
        <v>927.7</v>
      </c>
      <c r="G418" s="18" t="n">
        <f aca="false">SUMIFS(Payment_Log_AP!$E$2:$E$753,Payment_Log_AP!$B$2:$B$753,A418)</f>
        <v>927.7</v>
      </c>
      <c r="H418" s="18" t="n">
        <f aca="false">F418-G418</f>
        <v>0</v>
      </c>
      <c r="I418" s="16" t="n">
        <f aca="false">IF(H418&lt;=0.01,0,MAX(Assumptions!$B$5-E418,0))</f>
        <v>0</v>
      </c>
      <c r="J418" s="16" t="str">
        <f aca="false">IF(H418&lt;=0.01,"Paid",IF(I418&lt;=30,"0-30",IF(I418&lt;=60,"31-60",IF(I418&lt;=90,"61-90","90+"))))</f>
        <v>Paid</v>
      </c>
      <c r="K418" s="16" t="str">
        <f aca="false">IF(H418&lt;=0.01,"Paid",IF(G418&gt;0,"Partially Paid","Unpaid"))</f>
        <v>Paid</v>
      </c>
    </row>
    <row r="419" customFormat="false" ht="15" hidden="false" customHeight="false" outlineLevel="0" collapsed="false">
      <c r="A419" s="16" t="str">
        <f aca="false">Vendor_Invoices_AP!A416</f>
        <v>INV30415</v>
      </c>
      <c r="B419" s="16" t="str">
        <f aca="false">Vendor_Invoices_AP!C416</f>
        <v>V1018</v>
      </c>
      <c r="C419" s="16" t="str">
        <f aca="false">IFERROR(INDEX(Vendor_Master!$B$2:$B$41,MATCH(B419,Vendor_Master!$A$2:$A$41,0)),"Unknown Vendor")</f>
        <v>Underwood LLC</v>
      </c>
      <c r="D419" s="17" t="n">
        <f aca="false">Vendor_Invoices_AP!D416</f>
        <v>45860</v>
      </c>
      <c r="E419" s="17" t="n">
        <f aca="false">Vendor_Invoices_AP!F416</f>
        <v>45890</v>
      </c>
      <c r="F419" s="18" t="n">
        <f aca="false">Vendor_Invoices_AP!E416</f>
        <v>1759.54</v>
      </c>
      <c r="G419" s="18" t="n">
        <f aca="false">SUMIFS(Payment_Log_AP!$E$2:$E$753,Payment_Log_AP!$B$2:$B$753,A419)</f>
        <v>1759.54</v>
      </c>
      <c r="H419" s="18" t="n">
        <f aca="false">F419-G419</f>
        <v>0</v>
      </c>
      <c r="I419" s="16" t="n">
        <f aca="false">IF(H419&lt;=0.01,0,MAX(Assumptions!$B$5-E419,0))</f>
        <v>0</v>
      </c>
      <c r="J419" s="16" t="str">
        <f aca="false">IF(H419&lt;=0.01,"Paid",IF(I419&lt;=30,"0-30",IF(I419&lt;=60,"31-60",IF(I419&lt;=90,"61-90","90+"))))</f>
        <v>Paid</v>
      </c>
      <c r="K419" s="16" t="str">
        <f aca="false">IF(H419&lt;=0.01,"Paid",IF(G419&gt;0,"Partially Paid","Unpaid"))</f>
        <v>Paid</v>
      </c>
    </row>
    <row r="420" customFormat="false" ht="15" hidden="false" customHeight="false" outlineLevel="0" collapsed="false">
      <c r="A420" s="16" t="str">
        <f aca="false">Vendor_Invoices_AP!A417</f>
        <v>INV30416</v>
      </c>
      <c r="B420" s="16" t="str">
        <f aca="false">Vendor_Invoices_AP!C417</f>
        <v>V1029</v>
      </c>
      <c r="C420" s="16" t="str">
        <f aca="false">IFERROR(INDEX(Vendor_Master!$B$2:$B$41,MATCH(B420,Vendor_Master!$A$2:$A$41,0)),"Unknown Vendor")</f>
        <v>Chavez Ltd</v>
      </c>
      <c r="D420" s="17" t="n">
        <f aca="false">Vendor_Invoices_AP!D417</f>
        <v>46043</v>
      </c>
      <c r="E420" s="17" t="n">
        <f aca="false">Vendor_Invoices_AP!F417</f>
        <v>46103</v>
      </c>
      <c r="F420" s="18" t="n">
        <f aca="false">Vendor_Invoices_AP!E417</f>
        <v>1478.45</v>
      </c>
      <c r="G420" s="18" t="n">
        <f aca="false">SUMIFS(Payment_Log_AP!$E$2:$E$753,Payment_Log_AP!$B$2:$B$753,A420)</f>
        <v>1478.45</v>
      </c>
      <c r="H420" s="18" t="n">
        <f aca="false">F420-G420</f>
        <v>0</v>
      </c>
      <c r="I420" s="16" t="n">
        <f aca="false">IF(H420&lt;=0.01,0,MAX(Assumptions!$B$5-E420,0))</f>
        <v>0</v>
      </c>
      <c r="J420" s="16" t="str">
        <f aca="false">IF(H420&lt;=0.01,"Paid",IF(I420&lt;=30,"0-30",IF(I420&lt;=60,"31-60",IF(I420&lt;=90,"61-90","90+"))))</f>
        <v>Paid</v>
      </c>
      <c r="K420" s="16" t="str">
        <f aca="false">IF(H420&lt;=0.01,"Paid",IF(G420&gt;0,"Partially Paid","Unpaid"))</f>
        <v>Paid</v>
      </c>
    </row>
    <row r="421" customFormat="false" ht="15" hidden="false" customHeight="false" outlineLevel="0" collapsed="false">
      <c r="A421" s="16" t="str">
        <f aca="false">Vendor_Invoices_AP!A418</f>
        <v>INV30417</v>
      </c>
      <c r="B421" s="16" t="str">
        <f aca="false">Vendor_Invoices_AP!C418</f>
        <v>V1026</v>
      </c>
      <c r="C421" s="16" t="str">
        <f aca="false">IFERROR(INDEX(Vendor_Master!$B$2:$B$41,MATCH(B421,Vendor_Master!$A$2:$A$41,0)),"Unknown Vendor")</f>
        <v>James-Ferrell</v>
      </c>
      <c r="D421" s="17" t="n">
        <f aca="false">Vendor_Invoices_AP!D418</f>
        <v>46142</v>
      </c>
      <c r="E421" s="17" t="n">
        <f aca="false">Vendor_Invoices_AP!F418</f>
        <v>46202</v>
      </c>
      <c r="F421" s="18" t="n">
        <f aca="false">Vendor_Invoices_AP!E418</f>
        <v>5195.5</v>
      </c>
      <c r="G421" s="18" t="n">
        <f aca="false">SUMIFS(Payment_Log_AP!$E$2:$E$753,Payment_Log_AP!$B$2:$B$753,A421)</f>
        <v>5195.5</v>
      </c>
      <c r="H421" s="18" t="n">
        <f aca="false">F421-G421</f>
        <v>0</v>
      </c>
      <c r="I421" s="16" t="n">
        <f aca="false">IF(H421&lt;=0.01,0,MAX(Assumptions!$B$5-E421,0))</f>
        <v>0</v>
      </c>
      <c r="J421" s="16" t="str">
        <f aca="false">IF(H421&lt;=0.01,"Paid",IF(I421&lt;=30,"0-30",IF(I421&lt;=60,"31-60",IF(I421&lt;=90,"61-90","90+"))))</f>
        <v>Paid</v>
      </c>
      <c r="K421" s="16" t="str">
        <f aca="false">IF(H421&lt;=0.01,"Paid",IF(G421&gt;0,"Partially Paid","Unpaid"))</f>
        <v>Paid</v>
      </c>
    </row>
    <row r="422" customFormat="false" ht="15" hidden="false" customHeight="false" outlineLevel="0" collapsed="false">
      <c r="A422" s="16" t="str">
        <f aca="false">Vendor_Invoices_AP!A419</f>
        <v>INV30418</v>
      </c>
      <c r="B422" s="16" t="str">
        <f aca="false">Vendor_Invoices_AP!C419</f>
        <v>V1025</v>
      </c>
      <c r="C422" s="16" t="str">
        <f aca="false">IFERROR(INDEX(Vendor_Master!$B$2:$B$41,MATCH(B422,Vendor_Master!$A$2:$A$41,0)),"Unknown Vendor")</f>
        <v>Conner Group</v>
      </c>
      <c r="D422" s="17" t="n">
        <f aca="false">Vendor_Invoices_AP!D419</f>
        <v>45858</v>
      </c>
      <c r="E422" s="17" t="n">
        <f aca="false">Vendor_Invoices_AP!F419</f>
        <v>45903</v>
      </c>
      <c r="F422" s="18" t="n">
        <f aca="false">Vendor_Invoices_AP!E419</f>
        <v>3949.44</v>
      </c>
      <c r="G422" s="18" t="n">
        <f aca="false">SUMIFS(Payment_Log_AP!$E$2:$E$753,Payment_Log_AP!$B$2:$B$753,A422)</f>
        <v>3949.44</v>
      </c>
      <c r="H422" s="18" t="n">
        <f aca="false">F422-G422</f>
        <v>0</v>
      </c>
      <c r="I422" s="16" t="n">
        <f aca="false">IF(H422&lt;=0.01,0,MAX(Assumptions!$B$5-E422,0))</f>
        <v>0</v>
      </c>
      <c r="J422" s="16" t="str">
        <f aca="false">IF(H422&lt;=0.01,"Paid",IF(I422&lt;=30,"0-30",IF(I422&lt;=60,"31-60",IF(I422&lt;=90,"61-90","90+"))))</f>
        <v>Paid</v>
      </c>
      <c r="K422" s="16" t="str">
        <f aca="false">IF(H422&lt;=0.01,"Paid",IF(G422&gt;0,"Partially Paid","Unpaid"))</f>
        <v>Paid</v>
      </c>
    </row>
    <row r="423" customFormat="false" ht="15" hidden="false" customHeight="false" outlineLevel="0" collapsed="false">
      <c r="A423" s="16" t="str">
        <f aca="false">Vendor_Invoices_AP!A420</f>
        <v>INV30419</v>
      </c>
      <c r="B423" s="16" t="str">
        <f aca="false">Vendor_Invoices_AP!C420</f>
        <v>V1031</v>
      </c>
      <c r="C423" s="16" t="str">
        <f aca="false">IFERROR(INDEX(Vendor_Master!$B$2:$B$41,MATCH(B423,Vendor_Master!$A$2:$A$41,0)),"Unknown Vendor")</f>
        <v>Harrell LLC</v>
      </c>
      <c r="D423" s="17" t="n">
        <f aca="false">Vendor_Invoices_AP!D420</f>
        <v>46044</v>
      </c>
      <c r="E423" s="17" t="n">
        <f aca="false">Vendor_Invoices_AP!F420</f>
        <v>46059</v>
      </c>
      <c r="F423" s="18" t="n">
        <f aca="false">Vendor_Invoices_AP!E420</f>
        <v>1814.72</v>
      </c>
      <c r="G423" s="18" t="n">
        <f aca="false">SUMIFS(Payment_Log_AP!$E$2:$E$753,Payment_Log_AP!$B$2:$B$753,A423)</f>
        <v>1814.72</v>
      </c>
      <c r="H423" s="18" t="n">
        <f aca="false">F423-G423</f>
        <v>0</v>
      </c>
      <c r="I423" s="16" t="n">
        <f aca="false">IF(H423&lt;=0.01,0,MAX(Assumptions!$B$5-E423,0))</f>
        <v>0</v>
      </c>
      <c r="J423" s="16" t="str">
        <f aca="false">IF(H423&lt;=0.01,"Paid",IF(I423&lt;=30,"0-30",IF(I423&lt;=60,"31-60",IF(I423&lt;=90,"61-90","90+"))))</f>
        <v>Paid</v>
      </c>
      <c r="K423" s="16" t="str">
        <f aca="false">IF(H423&lt;=0.01,"Paid",IF(G423&gt;0,"Partially Paid","Unpaid"))</f>
        <v>Paid</v>
      </c>
    </row>
    <row r="424" customFormat="false" ht="15" hidden="false" customHeight="false" outlineLevel="0" collapsed="false">
      <c r="A424" s="16" t="str">
        <f aca="false">Vendor_Invoices_AP!A421</f>
        <v>INV30420</v>
      </c>
      <c r="B424" s="16" t="str">
        <f aca="false">Vendor_Invoices_AP!C421</f>
        <v>V1003</v>
      </c>
      <c r="C424" s="16" t="str">
        <f aca="false">IFERROR(INDEX(Vendor_Master!$B$2:$B$41,MATCH(B424,Vendor_Master!$A$2:$A$41,0)),"Unknown Vendor")</f>
        <v>Johnson and Sons</v>
      </c>
      <c r="D424" s="17" t="n">
        <f aca="false">Vendor_Invoices_AP!D421</f>
        <v>45820</v>
      </c>
      <c r="E424" s="17" t="n">
        <f aca="false">Vendor_Invoices_AP!F421</f>
        <v>45835</v>
      </c>
      <c r="F424" s="18" t="n">
        <f aca="false">Vendor_Invoices_AP!E421</f>
        <v>3826.85</v>
      </c>
      <c r="G424" s="18" t="n">
        <f aca="false">SUMIFS(Payment_Log_AP!$E$2:$E$753,Payment_Log_AP!$B$2:$B$753,A424)</f>
        <v>3826.85</v>
      </c>
      <c r="H424" s="18" t="n">
        <f aca="false">F424-G424</f>
        <v>0</v>
      </c>
      <c r="I424" s="16" t="n">
        <f aca="false">IF(H424&lt;=0.01,0,MAX(Assumptions!$B$5-E424,0))</f>
        <v>0</v>
      </c>
      <c r="J424" s="16" t="str">
        <f aca="false">IF(H424&lt;=0.01,"Paid",IF(I424&lt;=30,"0-30",IF(I424&lt;=60,"31-60",IF(I424&lt;=90,"61-90","90+"))))</f>
        <v>Paid</v>
      </c>
      <c r="K424" s="16" t="str">
        <f aca="false">IF(H424&lt;=0.01,"Paid",IF(G424&gt;0,"Partially Paid","Unpaid"))</f>
        <v>Paid</v>
      </c>
    </row>
    <row r="425" customFormat="false" ht="15" hidden="false" customHeight="false" outlineLevel="0" collapsed="false">
      <c r="A425" s="16" t="str">
        <f aca="false">Vendor_Invoices_AP!A422</f>
        <v>INV30421</v>
      </c>
      <c r="B425" s="16" t="str">
        <f aca="false">Vendor_Invoices_AP!C422</f>
        <v>V1013</v>
      </c>
      <c r="C425" s="16" t="str">
        <f aca="false">IFERROR(INDEX(Vendor_Master!$B$2:$B$41,MATCH(B425,Vendor_Master!$A$2:$A$41,0)),"Unknown Vendor")</f>
        <v>Delacruz Group</v>
      </c>
      <c r="D425" s="17" t="n">
        <f aca="false">Vendor_Invoices_AP!D422</f>
        <v>46194</v>
      </c>
      <c r="E425" s="17" t="n">
        <f aca="false">Vendor_Invoices_AP!F422</f>
        <v>46209</v>
      </c>
      <c r="F425" s="18" t="n">
        <f aca="false">Vendor_Invoices_AP!E422</f>
        <v>1836.32</v>
      </c>
      <c r="G425" s="18" t="n">
        <f aca="false">SUMIFS(Payment_Log_AP!$E$2:$E$753,Payment_Log_AP!$B$2:$B$753,A425)</f>
        <v>1836.32</v>
      </c>
      <c r="H425" s="18" t="n">
        <f aca="false">F425-G425</f>
        <v>0</v>
      </c>
      <c r="I425" s="16" t="n">
        <f aca="false">IF(H425&lt;=0.01,0,MAX(Assumptions!$B$5-E425,0))</f>
        <v>0</v>
      </c>
      <c r="J425" s="16" t="str">
        <f aca="false">IF(H425&lt;=0.01,"Paid",IF(I425&lt;=30,"0-30",IF(I425&lt;=60,"31-60",IF(I425&lt;=90,"61-90","90+"))))</f>
        <v>Paid</v>
      </c>
      <c r="K425" s="16" t="str">
        <f aca="false">IF(H425&lt;=0.01,"Paid",IF(G425&gt;0,"Partially Paid","Unpaid"))</f>
        <v>Paid</v>
      </c>
    </row>
    <row r="426" customFormat="false" ht="15" hidden="false" customHeight="false" outlineLevel="0" collapsed="false">
      <c r="A426" s="16" t="str">
        <f aca="false">Vendor_Invoices_AP!A423</f>
        <v>INV30422</v>
      </c>
      <c r="B426" s="16" t="str">
        <f aca="false">Vendor_Invoices_AP!C423</f>
        <v>V1019</v>
      </c>
      <c r="C426" s="16" t="str">
        <f aca="false">IFERROR(INDEX(Vendor_Master!$B$2:$B$41,MATCH(B426,Vendor_Master!$A$2:$A$41,0)),"Unknown Vendor")</f>
        <v>Clark PLC</v>
      </c>
      <c r="D426" s="17" t="n">
        <f aca="false">Vendor_Invoices_AP!D423</f>
        <v>46113</v>
      </c>
      <c r="E426" s="17" t="n">
        <f aca="false">Vendor_Invoices_AP!F423</f>
        <v>46158</v>
      </c>
      <c r="F426" s="18" t="n">
        <f aca="false">Vendor_Invoices_AP!E423</f>
        <v>933.1</v>
      </c>
      <c r="G426" s="18" t="n">
        <f aca="false">SUMIFS(Payment_Log_AP!$E$2:$E$753,Payment_Log_AP!$B$2:$B$753,A426)</f>
        <v>0</v>
      </c>
      <c r="H426" s="18" t="n">
        <f aca="false">F426-G426</f>
        <v>933.1</v>
      </c>
      <c r="I426" s="16" t="n">
        <f aca="false">IF(H426&lt;=0.01,0,MAX(Assumptions!$B$5-E426,0))</f>
        <v>76</v>
      </c>
      <c r="J426" s="16" t="str">
        <f aca="false">IF(H426&lt;=0.01,"Paid",IF(I426&lt;=30,"0-30",IF(I426&lt;=60,"31-60",IF(I426&lt;=90,"61-90","90+"))))</f>
        <v>61-90</v>
      </c>
      <c r="K426" s="16" t="str">
        <f aca="false">IF(H426&lt;=0.01,"Paid",IF(G426&gt;0,"Partially Paid","Unpaid"))</f>
        <v>Unpaid</v>
      </c>
    </row>
    <row r="427" customFormat="false" ht="15" hidden="false" customHeight="false" outlineLevel="0" collapsed="false">
      <c r="A427" s="16" t="str">
        <f aca="false">Vendor_Invoices_AP!A424</f>
        <v>INV30423</v>
      </c>
      <c r="B427" s="16" t="str">
        <f aca="false">Vendor_Invoices_AP!C424</f>
        <v>V1012</v>
      </c>
      <c r="C427" s="16" t="str">
        <f aca="false">IFERROR(INDEX(Vendor_Master!$B$2:$B$41,MATCH(B427,Vendor_Master!$A$2:$A$41,0)),"Unknown Vendor")</f>
        <v>Stanley LLC</v>
      </c>
      <c r="D427" s="17" t="n">
        <f aca="false">Vendor_Invoices_AP!D424</f>
        <v>45965</v>
      </c>
      <c r="E427" s="17" t="n">
        <f aca="false">Vendor_Invoices_AP!F424</f>
        <v>46025</v>
      </c>
      <c r="F427" s="18" t="n">
        <f aca="false">Vendor_Invoices_AP!E424</f>
        <v>7023.92</v>
      </c>
      <c r="G427" s="18" t="n">
        <f aca="false">SUMIFS(Payment_Log_AP!$E$2:$E$753,Payment_Log_AP!$B$2:$B$753,A427)</f>
        <v>7023.92</v>
      </c>
      <c r="H427" s="18" t="n">
        <f aca="false">F427-G427</f>
        <v>0</v>
      </c>
      <c r="I427" s="16" t="n">
        <f aca="false">IF(H427&lt;=0.01,0,MAX(Assumptions!$B$5-E427,0))</f>
        <v>0</v>
      </c>
      <c r="J427" s="16" t="str">
        <f aca="false">IF(H427&lt;=0.01,"Paid",IF(I427&lt;=30,"0-30",IF(I427&lt;=60,"31-60",IF(I427&lt;=90,"61-90","90+"))))</f>
        <v>Paid</v>
      </c>
      <c r="K427" s="16" t="str">
        <f aca="false">IF(H427&lt;=0.01,"Paid",IF(G427&gt;0,"Partially Paid","Unpaid"))</f>
        <v>Paid</v>
      </c>
    </row>
    <row r="428" customFormat="false" ht="15" hidden="false" customHeight="false" outlineLevel="0" collapsed="false">
      <c r="A428" s="16" t="str">
        <f aca="false">Vendor_Invoices_AP!A425</f>
        <v>INV30424</v>
      </c>
      <c r="B428" s="16" t="str">
        <f aca="false">Vendor_Invoices_AP!C425</f>
        <v>V1022</v>
      </c>
      <c r="C428" s="16" t="str">
        <f aca="false">IFERROR(INDEX(Vendor_Master!$B$2:$B$41,MATCH(B428,Vendor_Master!$A$2:$A$41,0)),"Unknown Vendor")</f>
        <v>Burgess-Patterson</v>
      </c>
      <c r="D428" s="17" t="n">
        <f aca="false">Vendor_Invoices_AP!D425</f>
        <v>45909</v>
      </c>
      <c r="E428" s="17" t="n">
        <f aca="false">Vendor_Invoices_AP!F425</f>
        <v>45939</v>
      </c>
      <c r="F428" s="18" t="n">
        <f aca="false">Vendor_Invoices_AP!E425</f>
        <v>3586.35</v>
      </c>
      <c r="G428" s="18" t="n">
        <f aca="false">SUMIFS(Payment_Log_AP!$E$2:$E$753,Payment_Log_AP!$B$2:$B$753,A428)</f>
        <v>3586.35</v>
      </c>
      <c r="H428" s="18" t="n">
        <f aca="false">F428-G428</f>
        <v>0</v>
      </c>
      <c r="I428" s="16" t="n">
        <f aca="false">IF(H428&lt;=0.01,0,MAX(Assumptions!$B$5-E428,0))</f>
        <v>0</v>
      </c>
      <c r="J428" s="16" t="str">
        <f aca="false">IF(H428&lt;=0.01,"Paid",IF(I428&lt;=30,"0-30",IF(I428&lt;=60,"31-60",IF(I428&lt;=90,"61-90","90+"))))</f>
        <v>Paid</v>
      </c>
      <c r="K428" s="16" t="str">
        <f aca="false">IF(H428&lt;=0.01,"Paid",IF(G428&gt;0,"Partially Paid","Unpaid"))</f>
        <v>Paid</v>
      </c>
    </row>
    <row r="429" customFormat="false" ht="15" hidden="false" customHeight="false" outlineLevel="0" collapsed="false">
      <c r="A429" s="16" t="str">
        <f aca="false">Vendor_Invoices_AP!A426</f>
        <v>INV30425</v>
      </c>
      <c r="B429" s="16" t="str">
        <f aca="false">Vendor_Invoices_AP!C426</f>
        <v>V1029</v>
      </c>
      <c r="C429" s="16" t="str">
        <f aca="false">IFERROR(INDEX(Vendor_Master!$B$2:$B$41,MATCH(B429,Vendor_Master!$A$2:$A$41,0)),"Unknown Vendor")</f>
        <v>Chavez Ltd</v>
      </c>
      <c r="D429" s="17" t="n">
        <f aca="false">Vendor_Invoices_AP!D426</f>
        <v>45841</v>
      </c>
      <c r="E429" s="17" t="n">
        <f aca="false">Vendor_Invoices_AP!F426</f>
        <v>45901</v>
      </c>
      <c r="F429" s="18" t="n">
        <f aca="false">Vendor_Invoices_AP!E426</f>
        <v>3705.05</v>
      </c>
      <c r="G429" s="18" t="n">
        <f aca="false">SUMIFS(Payment_Log_AP!$E$2:$E$753,Payment_Log_AP!$B$2:$B$753,A429)</f>
        <v>3705.05</v>
      </c>
      <c r="H429" s="18" t="n">
        <f aca="false">F429-G429</f>
        <v>0</v>
      </c>
      <c r="I429" s="16" t="n">
        <f aca="false">IF(H429&lt;=0.01,0,MAX(Assumptions!$B$5-E429,0))</f>
        <v>0</v>
      </c>
      <c r="J429" s="16" t="str">
        <f aca="false">IF(H429&lt;=0.01,"Paid",IF(I429&lt;=30,"0-30",IF(I429&lt;=60,"31-60",IF(I429&lt;=90,"61-90","90+"))))</f>
        <v>Paid</v>
      </c>
      <c r="K429" s="16" t="str">
        <f aca="false">IF(H429&lt;=0.01,"Paid",IF(G429&gt;0,"Partially Paid","Unpaid"))</f>
        <v>Paid</v>
      </c>
    </row>
    <row r="430" customFormat="false" ht="15" hidden="false" customHeight="false" outlineLevel="0" collapsed="false">
      <c r="A430" s="16" t="str">
        <f aca="false">Vendor_Invoices_AP!A427</f>
        <v>INV30426</v>
      </c>
      <c r="B430" s="16" t="str">
        <f aca="false">Vendor_Invoices_AP!C427</f>
        <v>V1005</v>
      </c>
      <c r="C430" s="16" t="str">
        <f aca="false">IFERROR(INDEX(Vendor_Master!$B$2:$B$41,MATCH(B430,Vendor_Master!$A$2:$A$41,0)),"Unknown Vendor")</f>
        <v>Cole LLC</v>
      </c>
      <c r="D430" s="17" t="n">
        <f aca="false">Vendor_Invoices_AP!D427</f>
        <v>45846</v>
      </c>
      <c r="E430" s="17" t="n">
        <f aca="false">Vendor_Invoices_AP!F427</f>
        <v>45861</v>
      </c>
      <c r="F430" s="18" t="n">
        <f aca="false">Vendor_Invoices_AP!E427</f>
        <v>4579.99</v>
      </c>
      <c r="G430" s="18" t="n">
        <f aca="false">SUMIFS(Payment_Log_AP!$E$2:$E$753,Payment_Log_AP!$B$2:$B$753,A430)</f>
        <v>4579.99</v>
      </c>
      <c r="H430" s="18" t="n">
        <f aca="false">F430-G430</f>
        <v>0</v>
      </c>
      <c r="I430" s="16" t="n">
        <f aca="false">IF(H430&lt;=0.01,0,MAX(Assumptions!$B$5-E430,0))</f>
        <v>0</v>
      </c>
      <c r="J430" s="16" t="str">
        <f aca="false">IF(H430&lt;=0.01,"Paid",IF(I430&lt;=30,"0-30",IF(I430&lt;=60,"31-60",IF(I430&lt;=90,"61-90","90+"))))</f>
        <v>Paid</v>
      </c>
      <c r="K430" s="16" t="str">
        <f aca="false">IF(H430&lt;=0.01,"Paid",IF(G430&gt;0,"Partially Paid","Unpaid"))</f>
        <v>Paid</v>
      </c>
    </row>
    <row r="431" customFormat="false" ht="15" hidden="false" customHeight="false" outlineLevel="0" collapsed="false">
      <c r="A431" s="16" t="str">
        <f aca="false">Vendor_Invoices_AP!A428</f>
        <v>INV30427</v>
      </c>
      <c r="B431" s="16" t="str">
        <f aca="false">Vendor_Invoices_AP!C428</f>
        <v>V1015</v>
      </c>
      <c r="C431" s="16" t="str">
        <f aca="false">IFERROR(INDEX(Vendor_Master!$B$2:$B$41,MATCH(B431,Vendor_Master!$A$2:$A$41,0)),"Unknown Vendor")</f>
        <v>Zuniga, Wong and Lynch</v>
      </c>
      <c r="D431" s="17" t="n">
        <f aca="false">Vendor_Invoices_AP!D428</f>
        <v>46207</v>
      </c>
      <c r="E431" s="17" t="n">
        <f aca="false">Vendor_Invoices_AP!F428</f>
        <v>46237</v>
      </c>
      <c r="F431" s="18" t="n">
        <f aca="false">Vendor_Invoices_AP!E428</f>
        <v>439.82</v>
      </c>
      <c r="G431" s="18" t="n">
        <f aca="false">SUMIFS(Payment_Log_AP!$E$2:$E$753,Payment_Log_AP!$B$2:$B$753,A431)</f>
        <v>0</v>
      </c>
      <c r="H431" s="18" t="n">
        <f aca="false">F431-G431</f>
        <v>439.82</v>
      </c>
      <c r="I431" s="16" t="n">
        <f aca="false">IF(H431&lt;=0.01,0,MAX(Assumptions!$B$5-E431,0))</f>
        <v>0</v>
      </c>
      <c r="J431" s="16" t="str">
        <f aca="false">IF(H431&lt;=0.01,"Paid",IF(I431&lt;=30,"0-30",IF(I431&lt;=60,"31-60",IF(I431&lt;=90,"61-90","90+"))))</f>
        <v>0-30</v>
      </c>
      <c r="K431" s="16" t="str">
        <f aca="false">IF(H431&lt;=0.01,"Paid",IF(G431&gt;0,"Partially Paid","Unpaid"))</f>
        <v>Unpaid</v>
      </c>
    </row>
    <row r="432" customFormat="false" ht="15" hidden="false" customHeight="false" outlineLevel="0" collapsed="false">
      <c r="A432" s="16" t="str">
        <f aca="false">Vendor_Invoices_AP!A429</f>
        <v>INV30428</v>
      </c>
      <c r="B432" s="16" t="str">
        <f aca="false">Vendor_Invoices_AP!C429</f>
        <v>V1010</v>
      </c>
      <c r="C432" s="16" t="str">
        <f aca="false">IFERROR(INDEX(Vendor_Master!$B$2:$B$41,MATCH(B432,Vendor_Master!$A$2:$A$41,0)),"Unknown Vendor")</f>
        <v>Martinez, Nielsen and Miller</v>
      </c>
      <c r="D432" s="17" t="n">
        <f aca="false">Vendor_Invoices_AP!D429</f>
        <v>45886</v>
      </c>
      <c r="E432" s="17" t="n">
        <f aca="false">Vendor_Invoices_AP!F429</f>
        <v>45901</v>
      </c>
      <c r="F432" s="18" t="n">
        <f aca="false">Vendor_Invoices_AP!E429</f>
        <v>1348.19</v>
      </c>
      <c r="G432" s="18" t="n">
        <f aca="false">SUMIFS(Payment_Log_AP!$E$2:$E$753,Payment_Log_AP!$B$2:$B$753,A432)</f>
        <v>2696.38</v>
      </c>
      <c r="H432" s="18" t="n">
        <f aca="false">F432-G432</f>
        <v>-1348.19</v>
      </c>
      <c r="I432" s="16" t="n">
        <f aca="false">IF(H432&lt;=0.01,0,MAX(Assumptions!$B$5-E432,0))</f>
        <v>0</v>
      </c>
      <c r="J432" s="16" t="str">
        <f aca="false">IF(H432&lt;=0.01,"Paid",IF(I432&lt;=30,"0-30",IF(I432&lt;=60,"31-60",IF(I432&lt;=90,"61-90","90+"))))</f>
        <v>Paid</v>
      </c>
      <c r="K432" s="16" t="str">
        <f aca="false">IF(H432&lt;=0.01,"Paid",IF(G432&gt;0,"Partially Paid","Unpaid"))</f>
        <v>Paid</v>
      </c>
    </row>
    <row r="433" customFormat="false" ht="15" hidden="false" customHeight="false" outlineLevel="0" collapsed="false">
      <c r="A433" s="16" t="str">
        <f aca="false">Vendor_Invoices_AP!A430</f>
        <v>INV30429</v>
      </c>
      <c r="B433" s="16" t="str">
        <f aca="false">Vendor_Invoices_AP!C430</f>
        <v>V1018</v>
      </c>
      <c r="C433" s="16" t="str">
        <f aca="false">IFERROR(INDEX(Vendor_Master!$B$2:$B$41,MATCH(B433,Vendor_Master!$A$2:$A$41,0)),"Unknown Vendor")</f>
        <v>Underwood LLC</v>
      </c>
      <c r="D433" s="17" t="n">
        <f aca="false">Vendor_Invoices_AP!D430</f>
        <v>45961</v>
      </c>
      <c r="E433" s="17" t="n">
        <f aca="false">Vendor_Invoices_AP!F430</f>
        <v>45991</v>
      </c>
      <c r="F433" s="18" t="n">
        <f aca="false">Vendor_Invoices_AP!E430</f>
        <v>2579.5</v>
      </c>
      <c r="G433" s="18" t="n">
        <f aca="false">SUMIFS(Payment_Log_AP!$E$2:$E$753,Payment_Log_AP!$B$2:$B$753,A433)</f>
        <v>2579.5</v>
      </c>
      <c r="H433" s="18" t="n">
        <f aca="false">F433-G433</f>
        <v>0</v>
      </c>
      <c r="I433" s="16" t="n">
        <f aca="false">IF(H433&lt;=0.01,0,MAX(Assumptions!$B$5-E433,0))</f>
        <v>0</v>
      </c>
      <c r="J433" s="16" t="str">
        <f aca="false">IF(H433&lt;=0.01,"Paid",IF(I433&lt;=30,"0-30",IF(I433&lt;=60,"31-60",IF(I433&lt;=90,"61-90","90+"))))</f>
        <v>Paid</v>
      </c>
      <c r="K433" s="16" t="str">
        <f aca="false">IF(H433&lt;=0.01,"Paid",IF(G433&gt;0,"Partially Paid","Unpaid"))</f>
        <v>Paid</v>
      </c>
    </row>
    <row r="434" customFormat="false" ht="15" hidden="false" customHeight="false" outlineLevel="0" collapsed="false">
      <c r="A434" s="16" t="str">
        <f aca="false">Vendor_Invoices_AP!A431</f>
        <v>INV30430</v>
      </c>
      <c r="B434" s="16" t="str">
        <f aca="false">Vendor_Invoices_AP!C431</f>
        <v>V1001</v>
      </c>
      <c r="C434" s="16" t="str">
        <f aca="false">IFERROR(INDEX(Vendor_Master!$B$2:$B$41,MATCH(B434,Vendor_Master!$A$2:$A$41,0)),"Unknown Vendor")</f>
        <v>Figueroa and Sons</v>
      </c>
      <c r="D434" s="17" t="n">
        <f aca="false">Vendor_Invoices_AP!D431</f>
        <v>46199</v>
      </c>
      <c r="E434" s="17" t="n">
        <f aca="false">Vendor_Invoices_AP!F431</f>
        <v>46244</v>
      </c>
      <c r="F434" s="18" t="n">
        <f aca="false">Vendor_Invoices_AP!E431</f>
        <v>1874.41</v>
      </c>
      <c r="G434" s="18" t="n">
        <f aca="false">SUMIFS(Payment_Log_AP!$E$2:$E$753,Payment_Log_AP!$B$2:$B$753,A434)</f>
        <v>0</v>
      </c>
      <c r="H434" s="18" t="n">
        <f aca="false">F434-G434</f>
        <v>1874.41</v>
      </c>
      <c r="I434" s="16" t="n">
        <f aca="false">IF(H434&lt;=0.01,0,MAX(Assumptions!$B$5-E434,0))</f>
        <v>0</v>
      </c>
      <c r="J434" s="16" t="str">
        <f aca="false">IF(H434&lt;=0.01,"Paid",IF(I434&lt;=30,"0-30",IF(I434&lt;=60,"31-60",IF(I434&lt;=90,"61-90","90+"))))</f>
        <v>0-30</v>
      </c>
      <c r="K434" s="16" t="str">
        <f aca="false">IF(H434&lt;=0.01,"Paid",IF(G434&gt;0,"Partially Paid","Unpaid"))</f>
        <v>Unpaid</v>
      </c>
    </row>
    <row r="435" customFormat="false" ht="15" hidden="false" customHeight="false" outlineLevel="0" collapsed="false">
      <c r="A435" s="16" t="str">
        <f aca="false">Vendor_Invoices_AP!A432</f>
        <v>INV30431</v>
      </c>
      <c r="B435" s="16" t="str">
        <f aca="false">Vendor_Invoices_AP!C432</f>
        <v>V1034</v>
      </c>
      <c r="C435" s="16" t="str">
        <f aca="false">IFERROR(INDEX(Vendor_Master!$B$2:$B$41,MATCH(B435,Vendor_Master!$A$2:$A$41,0)),"Unknown Vendor")</f>
        <v>Koch-Decker</v>
      </c>
      <c r="D435" s="17" t="n">
        <f aca="false">Vendor_Invoices_AP!D432</f>
        <v>46038</v>
      </c>
      <c r="E435" s="17" t="n">
        <f aca="false">Vendor_Invoices_AP!F432</f>
        <v>46083</v>
      </c>
      <c r="F435" s="18" t="n">
        <f aca="false">Vendor_Invoices_AP!E432</f>
        <v>1850.75</v>
      </c>
      <c r="G435" s="18" t="n">
        <f aca="false">SUMIFS(Payment_Log_AP!$E$2:$E$753,Payment_Log_AP!$B$2:$B$753,A435)</f>
        <v>1850.75</v>
      </c>
      <c r="H435" s="18" t="n">
        <f aca="false">F435-G435</f>
        <v>0</v>
      </c>
      <c r="I435" s="16" t="n">
        <f aca="false">IF(H435&lt;=0.01,0,MAX(Assumptions!$B$5-E435,0))</f>
        <v>0</v>
      </c>
      <c r="J435" s="16" t="str">
        <f aca="false">IF(H435&lt;=0.01,"Paid",IF(I435&lt;=30,"0-30",IF(I435&lt;=60,"31-60",IF(I435&lt;=90,"61-90","90+"))))</f>
        <v>Paid</v>
      </c>
      <c r="K435" s="16" t="str">
        <f aca="false">IF(H435&lt;=0.01,"Paid",IF(G435&gt;0,"Partially Paid","Unpaid"))</f>
        <v>Paid</v>
      </c>
    </row>
    <row r="436" customFormat="false" ht="15" hidden="false" customHeight="false" outlineLevel="0" collapsed="false">
      <c r="A436" s="16" t="str">
        <f aca="false">Vendor_Invoices_AP!A433</f>
        <v>INV30432</v>
      </c>
      <c r="B436" s="16" t="str">
        <f aca="false">Vendor_Invoices_AP!C433</f>
        <v>V1006</v>
      </c>
      <c r="C436" s="16" t="str">
        <f aca="false">IFERROR(INDEX(Vendor_Master!$B$2:$B$41,MATCH(B436,Vendor_Master!$A$2:$A$41,0)),"Unknown Vendor")</f>
        <v>Blake and Sons</v>
      </c>
      <c r="D436" s="17" t="n">
        <f aca="false">Vendor_Invoices_AP!D433</f>
        <v>45965</v>
      </c>
      <c r="E436" s="17" t="n">
        <f aca="false">Vendor_Invoices_AP!F433</f>
        <v>46025</v>
      </c>
      <c r="F436" s="18" t="n">
        <f aca="false">Vendor_Invoices_AP!E433</f>
        <v>1673.73</v>
      </c>
      <c r="G436" s="18" t="n">
        <f aca="false">SUMIFS(Payment_Log_AP!$E$2:$E$753,Payment_Log_AP!$B$2:$B$753,A436)</f>
        <v>1673.73</v>
      </c>
      <c r="H436" s="18" t="n">
        <f aca="false">F436-G436</f>
        <v>0</v>
      </c>
      <c r="I436" s="16" t="n">
        <f aca="false">IF(H436&lt;=0.01,0,MAX(Assumptions!$B$5-E436,0))</f>
        <v>0</v>
      </c>
      <c r="J436" s="16" t="str">
        <f aca="false">IF(H436&lt;=0.01,"Paid",IF(I436&lt;=30,"0-30",IF(I436&lt;=60,"31-60",IF(I436&lt;=90,"61-90","90+"))))</f>
        <v>Paid</v>
      </c>
      <c r="K436" s="16" t="str">
        <f aca="false">IF(H436&lt;=0.01,"Paid",IF(G436&gt;0,"Partially Paid","Unpaid"))</f>
        <v>Paid</v>
      </c>
    </row>
    <row r="437" customFormat="false" ht="15" hidden="false" customHeight="false" outlineLevel="0" collapsed="false">
      <c r="A437" s="16" t="str">
        <f aca="false">Vendor_Invoices_AP!A434</f>
        <v>INV30433</v>
      </c>
      <c r="B437" s="16" t="str">
        <f aca="false">Vendor_Invoices_AP!C434</f>
        <v>V1002</v>
      </c>
      <c r="C437" s="16" t="str">
        <f aca="false">IFERROR(INDEX(Vendor_Master!$B$2:$B$41,MATCH(B437,Vendor_Master!$A$2:$A$41,0)),"Unknown Vendor")</f>
        <v>Garcia, Yang and Gardner</v>
      </c>
      <c r="D437" s="17" t="n">
        <f aca="false">Vendor_Invoices_AP!D434</f>
        <v>45908</v>
      </c>
      <c r="E437" s="17" t="n">
        <f aca="false">Vendor_Invoices_AP!F434</f>
        <v>45923</v>
      </c>
      <c r="F437" s="18" t="n">
        <f aca="false">Vendor_Invoices_AP!E434</f>
        <v>3809.51</v>
      </c>
      <c r="G437" s="18" t="n">
        <f aca="false">SUMIFS(Payment_Log_AP!$E$2:$E$753,Payment_Log_AP!$B$2:$B$753,A437)</f>
        <v>3809.51</v>
      </c>
      <c r="H437" s="18" t="n">
        <f aca="false">F437-G437</f>
        <v>0</v>
      </c>
      <c r="I437" s="16" t="n">
        <f aca="false">IF(H437&lt;=0.01,0,MAX(Assumptions!$B$5-E437,0))</f>
        <v>0</v>
      </c>
      <c r="J437" s="16" t="str">
        <f aca="false">IF(H437&lt;=0.01,"Paid",IF(I437&lt;=30,"0-30",IF(I437&lt;=60,"31-60",IF(I437&lt;=90,"61-90","90+"))))</f>
        <v>Paid</v>
      </c>
      <c r="K437" s="16" t="str">
        <f aca="false">IF(H437&lt;=0.01,"Paid",IF(G437&gt;0,"Partially Paid","Unpaid"))</f>
        <v>Paid</v>
      </c>
    </row>
    <row r="438" customFormat="false" ht="15" hidden="false" customHeight="false" outlineLevel="0" collapsed="false">
      <c r="A438" s="16" t="str">
        <f aca="false">Vendor_Invoices_AP!A435</f>
        <v>INV30434</v>
      </c>
      <c r="B438" s="16" t="str">
        <f aca="false">Vendor_Invoices_AP!C435</f>
        <v>V1022</v>
      </c>
      <c r="C438" s="16" t="str">
        <f aca="false">IFERROR(INDEX(Vendor_Master!$B$2:$B$41,MATCH(B438,Vendor_Master!$A$2:$A$41,0)),"Unknown Vendor")</f>
        <v>Burgess-Patterson</v>
      </c>
      <c r="D438" s="17" t="n">
        <f aca="false">Vendor_Invoices_AP!D435</f>
        <v>45783</v>
      </c>
      <c r="E438" s="17" t="n">
        <f aca="false">Vendor_Invoices_AP!F435</f>
        <v>45813</v>
      </c>
      <c r="F438" s="18" t="n">
        <f aca="false">Vendor_Invoices_AP!E435</f>
        <v>537.31</v>
      </c>
      <c r="G438" s="18" t="n">
        <f aca="false">SUMIFS(Payment_Log_AP!$E$2:$E$753,Payment_Log_AP!$B$2:$B$753,A438)</f>
        <v>0</v>
      </c>
      <c r="H438" s="18" t="n">
        <f aca="false">F438-G438</f>
        <v>537.31</v>
      </c>
      <c r="I438" s="16" t="n">
        <f aca="false">IF(H438&lt;=0.01,0,MAX(Assumptions!$B$5-E438,0))</f>
        <v>421</v>
      </c>
      <c r="J438" s="16" t="str">
        <f aca="false">IF(H438&lt;=0.01,"Paid",IF(I438&lt;=30,"0-30",IF(I438&lt;=60,"31-60",IF(I438&lt;=90,"61-90","90+"))))</f>
        <v>90+</v>
      </c>
      <c r="K438" s="16" t="str">
        <f aca="false">IF(H438&lt;=0.01,"Paid",IF(G438&gt;0,"Partially Paid","Unpaid"))</f>
        <v>Unpaid</v>
      </c>
    </row>
    <row r="439" customFormat="false" ht="15" hidden="false" customHeight="false" outlineLevel="0" collapsed="false">
      <c r="A439" s="16" t="str">
        <f aca="false">Vendor_Invoices_AP!A436</f>
        <v>INV30435</v>
      </c>
      <c r="B439" s="16" t="str">
        <f aca="false">Vendor_Invoices_AP!C436</f>
        <v>V1007</v>
      </c>
      <c r="C439" s="16" t="str">
        <f aca="false">IFERROR(INDEX(Vendor_Master!$B$2:$B$41,MATCH(B439,Vendor_Master!$A$2:$A$41,0)),"Unknown Vendor")</f>
        <v>Ramirez-Lewis</v>
      </c>
      <c r="D439" s="17" t="n">
        <f aca="false">Vendor_Invoices_AP!D436</f>
        <v>45863</v>
      </c>
      <c r="E439" s="17" t="n">
        <f aca="false">Vendor_Invoices_AP!F436</f>
        <v>45878</v>
      </c>
      <c r="F439" s="18" t="n">
        <f aca="false">Vendor_Invoices_AP!E436</f>
        <v>1115.7</v>
      </c>
      <c r="G439" s="18" t="n">
        <f aca="false">SUMIFS(Payment_Log_AP!$E$2:$E$753,Payment_Log_AP!$B$2:$B$753,A439)</f>
        <v>1115.7</v>
      </c>
      <c r="H439" s="18" t="n">
        <f aca="false">F439-G439</f>
        <v>0</v>
      </c>
      <c r="I439" s="16" t="n">
        <f aca="false">IF(H439&lt;=0.01,0,MAX(Assumptions!$B$5-E439,0))</f>
        <v>0</v>
      </c>
      <c r="J439" s="16" t="str">
        <f aca="false">IF(H439&lt;=0.01,"Paid",IF(I439&lt;=30,"0-30",IF(I439&lt;=60,"31-60",IF(I439&lt;=90,"61-90","90+"))))</f>
        <v>Paid</v>
      </c>
      <c r="K439" s="16" t="str">
        <f aca="false">IF(H439&lt;=0.01,"Paid",IF(G439&gt;0,"Partially Paid","Unpaid"))</f>
        <v>Paid</v>
      </c>
    </row>
    <row r="440" customFormat="false" ht="15" hidden="false" customHeight="false" outlineLevel="0" collapsed="false">
      <c r="A440" s="16" t="str">
        <f aca="false">Vendor_Invoices_AP!A437</f>
        <v>INV30436</v>
      </c>
      <c r="B440" s="16" t="str">
        <f aca="false">Vendor_Invoices_AP!C437</f>
        <v>V1019</v>
      </c>
      <c r="C440" s="16" t="str">
        <f aca="false">IFERROR(INDEX(Vendor_Master!$B$2:$B$41,MATCH(B440,Vendor_Master!$A$2:$A$41,0)),"Unknown Vendor")</f>
        <v>Clark PLC</v>
      </c>
      <c r="D440" s="17" t="n">
        <f aca="false">Vendor_Invoices_AP!D437</f>
        <v>46083</v>
      </c>
      <c r="E440" s="17" t="n">
        <f aca="false">Vendor_Invoices_AP!F437</f>
        <v>46128</v>
      </c>
      <c r="F440" s="18" t="n">
        <f aca="false">Vendor_Invoices_AP!E437</f>
        <v>1572.78</v>
      </c>
      <c r="G440" s="18" t="n">
        <f aca="false">SUMIFS(Payment_Log_AP!$E$2:$E$753,Payment_Log_AP!$B$2:$B$753,A440)</f>
        <v>1572.78</v>
      </c>
      <c r="H440" s="18" t="n">
        <f aca="false">F440-G440</f>
        <v>0</v>
      </c>
      <c r="I440" s="16" t="n">
        <f aca="false">IF(H440&lt;=0.01,0,MAX(Assumptions!$B$5-E440,0))</f>
        <v>0</v>
      </c>
      <c r="J440" s="16" t="str">
        <f aca="false">IF(H440&lt;=0.01,"Paid",IF(I440&lt;=30,"0-30",IF(I440&lt;=60,"31-60",IF(I440&lt;=90,"61-90","90+"))))</f>
        <v>Paid</v>
      </c>
      <c r="K440" s="16" t="str">
        <f aca="false">IF(H440&lt;=0.01,"Paid",IF(G440&gt;0,"Partially Paid","Unpaid"))</f>
        <v>Paid</v>
      </c>
    </row>
    <row r="441" customFormat="false" ht="15" hidden="false" customHeight="false" outlineLevel="0" collapsed="false">
      <c r="A441" s="16" t="str">
        <f aca="false">Vendor_Invoices_AP!A438</f>
        <v>INV30437</v>
      </c>
      <c r="B441" s="16" t="str">
        <f aca="false">Vendor_Invoices_AP!C438</f>
        <v>V1025</v>
      </c>
      <c r="C441" s="16" t="str">
        <f aca="false">IFERROR(INDEX(Vendor_Master!$B$2:$B$41,MATCH(B441,Vendor_Master!$A$2:$A$41,0)),"Unknown Vendor")</f>
        <v>Conner Group</v>
      </c>
      <c r="D441" s="17" t="n">
        <f aca="false">Vendor_Invoices_AP!D438</f>
        <v>46000</v>
      </c>
      <c r="E441" s="17" t="n">
        <f aca="false">Vendor_Invoices_AP!F438</f>
        <v>46045</v>
      </c>
      <c r="F441" s="18" t="n">
        <f aca="false">Vendor_Invoices_AP!E438</f>
        <v>1440.58</v>
      </c>
      <c r="G441" s="18" t="n">
        <f aca="false">SUMIFS(Payment_Log_AP!$E$2:$E$753,Payment_Log_AP!$B$2:$B$753,A441)</f>
        <v>1440.58</v>
      </c>
      <c r="H441" s="18" t="n">
        <f aca="false">F441-G441</f>
        <v>0</v>
      </c>
      <c r="I441" s="16" t="n">
        <f aca="false">IF(H441&lt;=0.01,0,MAX(Assumptions!$B$5-E441,0))</f>
        <v>0</v>
      </c>
      <c r="J441" s="16" t="str">
        <f aca="false">IF(H441&lt;=0.01,"Paid",IF(I441&lt;=30,"0-30",IF(I441&lt;=60,"31-60",IF(I441&lt;=90,"61-90","90+"))))</f>
        <v>Paid</v>
      </c>
      <c r="K441" s="16" t="str">
        <f aca="false">IF(H441&lt;=0.01,"Paid",IF(G441&gt;0,"Partially Paid","Unpaid"))</f>
        <v>Paid</v>
      </c>
    </row>
    <row r="442" customFormat="false" ht="15" hidden="false" customHeight="false" outlineLevel="0" collapsed="false">
      <c r="A442" s="16" t="str">
        <f aca="false">Vendor_Invoices_AP!A439</f>
        <v>INV30438</v>
      </c>
      <c r="B442" s="16" t="str">
        <f aca="false">Vendor_Invoices_AP!C439</f>
        <v>V1020</v>
      </c>
      <c r="C442" s="16" t="str">
        <f aca="false">IFERROR(INDEX(Vendor_Master!$B$2:$B$41,MATCH(B442,Vendor_Master!$A$2:$A$41,0)),"Unknown Vendor")</f>
        <v>Lewis-Porter</v>
      </c>
      <c r="D442" s="17" t="n">
        <f aca="false">Vendor_Invoices_AP!D439</f>
        <v>46091</v>
      </c>
      <c r="E442" s="17" t="n">
        <f aca="false">Vendor_Invoices_AP!F439</f>
        <v>46121</v>
      </c>
      <c r="F442" s="18" t="n">
        <f aca="false">Vendor_Invoices_AP!E439</f>
        <v>308.34</v>
      </c>
      <c r="G442" s="18" t="n">
        <f aca="false">SUMIFS(Payment_Log_AP!$E$2:$E$753,Payment_Log_AP!$B$2:$B$753,A442)</f>
        <v>308.34</v>
      </c>
      <c r="H442" s="18" t="n">
        <f aca="false">F442-G442</f>
        <v>0</v>
      </c>
      <c r="I442" s="16" t="n">
        <f aca="false">IF(H442&lt;=0.01,0,MAX(Assumptions!$B$5-E442,0))</f>
        <v>0</v>
      </c>
      <c r="J442" s="16" t="str">
        <f aca="false">IF(H442&lt;=0.01,"Paid",IF(I442&lt;=30,"0-30",IF(I442&lt;=60,"31-60",IF(I442&lt;=90,"61-90","90+"))))</f>
        <v>Paid</v>
      </c>
      <c r="K442" s="16" t="str">
        <f aca="false">IF(H442&lt;=0.01,"Paid",IF(G442&gt;0,"Partially Paid","Unpaid"))</f>
        <v>Paid</v>
      </c>
    </row>
    <row r="443" customFormat="false" ht="15" hidden="false" customHeight="false" outlineLevel="0" collapsed="false">
      <c r="A443" s="16" t="str">
        <f aca="false">Vendor_Invoices_AP!A440</f>
        <v>INV30439</v>
      </c>
      <c r="B443" s="16" t="str">
        <f aca="false">Vendor_Invoices_AP!C440</f>
        <v>V1034</v>
      </c>
      <c r="C443" s="16" t="str">
        <f aca="false">IFERROR(INDEX(Vendor_Master!$B$2:$B$41,MATCH(B443,Vendor_Master!$A$2:$A$41,0)),"Unknown Vendor")</f>
        <v>Koch-Decker</v>
      </c>
      <c r="D443" s="17" t="n">
        <f aca="false">Vendor_Invoices_AP!D440</f>
        <v>45782</v>
      </c>
      <c r="E443" s="17" t="n">
        <f aca="false">Vendor_Invoices_AP!F440</f>
        <v>45827</v>
      </c>
      <c r="F443" s="18" t="n">
        <f aca="false">Vendor_Invoices_AP!E440</f>
        <v>303.89</v>
      </c>
      <c r="G443" s="18" t="n">
        <f aca="false">SUMIFS(Payment_Log_AP!$E$2:$E$753,Payment_Log_AP!$B$2:$B$753,A443)</f>
        <v>303.89</v>
      </c>
      <c r="H443" s="18" t="n">
        <f aca="false">F443-G443</f>
        <v>0</v>
      </c>
      <c r="I443" s="16" t="n">
        <f aca="false">IF(H443&lt;=0.01,0,MAX(Assumptions!$B$5-E443,0))</f>
        <v>0</v>
      </c>
      <c r="J443" s="16" t="str">
        <f aca="false">IF(H443&lt;=0.01,"Paid",IF(I443&lt;=30,"0-30",IF(I443&lt;=60,"31-60",IF(I443&lt;=90,"61-90","90+"))))</f>
        <v>Paid</v>
      </c>
      <c r="K443" s="16" t="str">
        <f aca="false">IF(H443&lt;=0.01,"Paid",IF(G443&gt;0,"Partially Paid","Unpaid"))</f>
        <v>Paid</v>
      </c>
    </row>
    <row r="444" customFormat="false" ht="15" hidden="false" customHeight="false" outlineLevel="0" collapsed="false">
      <c r="A444" s="16" t="str">
        <f aca="false">Vendor_Invoices_AP!A441</f>
        <v>INV30440</v>
      </c>
      <c r="B444" s="16" t="str">
        <f aca="false">Vendor_Invoices_AP!C441</f>
        <v>V1023</v>
      </c>
      <c r="C444" s="16" t="str">
        <f aca="false">IFERROR(INDEX(Vendor_Master!$B$2:$B$41,MATCH(B444,Vendor_Master!$A$2:$A$41,0)),"Unknown Vendor")</f>
        <v>Robinson-Bright</v>
      </c>
      <c r="D444" s="17" t="n">
        <f aca="false">Vendor_Invoices_AP!D441</f>
        <v>45968</v>
      </c>
      <c r="E444" s="17" t="n">
        <f aca="false">Vendor_Invoices_AP!F441</f>
        <v>45998</v>
      </c>
      <c r="F444" s="18" t="n">
        <f aca="false">Vendor_Invoices_AP!E441</f>
        <v>4223.32</v>
      </c>
      <c r="G444" s="18" t="n">
        <f aca="false">SUMIFS(Payment_Log_AP!$E$2:$E$753,Payment_Log_AP!$B$2:$B$753,A444)</f>
        <v>4223.32</v>
      </c>
      <c r="H444" s="18" t="n">
        <f aca="false">F444-G444</f>
        <v>0</v>
      </c>
      <c r="I444" s="16" t="n">
        <f aca="false">IF(H444&lt;=0.01,0,MAX(Assumptions!$B$5-E444,0))</f>
        <v>0</v>
      </c>
      <c r="J444" s="16" t="str">
        <f aca="false">IF(H444&lt;=0.01,"Paid",IF(I444&lt;=30,"0-30",IF(I444&lt;=60,"31-60",IF(I444&lt;=90,"61-90","90+"))))</f>
        <v>Paid</v>
      </c>
      <c r="K444" s="16" t="str">
        <f aca="false">IF(H444&lt;=0.01,"Paid",IF(G444&gt;0,"Partially Paid","Unpaid"))</f>
        <v>Paid</v>
      </c>
    </row>
    <row r="445" customFormat="false" ht="15" hidden="false" customHeight="false" outlineLevel="0" collapsed="false">
      <c r="A445" s="16" t="str">
        <f aca="false">Vendor_Invoices_AP!A442</f>
        <v>INV30441</v>
      </c>
      <c r="B445" s="16" t="str">
        <f aca="false">Vendor_Invoices_AP!C442</f>
        <v>V1015</v>
      </c>
      <c r="C445" s="16" t="str">
        <f aca="false">IFERROR(INDEX(Vendor_Master!$B$2:$B$41,MATCH(B445,Vendor_Master!$A$2:$A$41,0)),"Unknown Vendor")</f>
        <v>Zuniga, Wong and Lynch</v>
      </c>
      <c r="D445" s="17" t="n">
        <f aca="false">Vendor_Invoices_AP!D442</f>
        <v>46166</v>
      </c>
      <c r="E445" s="17" t="n">
        <f aca="false">Vendor_Invoices_AP!F442</f>
        <v>46196</v>
      </c>
      <c r="F445" s="18" t="n">
        <f aca="false">Vendor_Invoices_AP!E442</f>
        <v>1084.38</v>
      </c>
      <c r="G445" s="18" t="n">
        <f aca="false">SUMIFS(Payment_Log_AP!$E$2:$E$753,Payment_Log_AP!$B$2:$B$753,A445)</f>
        <v>1084.38</v>
      </c>
      <c r="H445" s="18" t="n">
        <f aca="false">F445-G445</f>
        <v>0</v>
      </c>
      <c r="I445" s="16" t="n">
        <f aca="false">IF(H445&lt;=0.01,0,MAX(Assumptions!$B$5-E445,0))</f>
        <v>0</v>
      </c>
      <c r="J445" s="16" t="str">
        <f aca="false">IF(H445&lt;=0.01,"Paid",IF(I445&lt;=30,"0-30",IF(I445&lt;=60,"31-60",IF(I445&lt;=90,"61-90","90+"))))</f>
        <v>Paid</v>
      </c>
      <c r="K445" s="16" t="str">
        <f aca="false">IF(H445&lt;=0.01,"Paid",IF(G445&gt;0,"Partially Paid","Unpaid"))</f>
        <v>Paid</v>
      </c>
    </row>
    <row r="446" customFormat="false" ht="15" hidden="false" customHeight="false" outlineLevel="0" collapsed="false">
      <c r="A446" s="16" t="str">
        <f aca="false">Vendor_Invoices_AP!A443</f>
        <v>INV30442</v>
      </c>
      <c r="B446" s="16" t="str">
        <f aca="false">Vendor_Invoices_AP!C443</f>
        <v>V1037</v>
      </c>
      <c r="C446" s="16" t="str">
        <f aca="false">IFERROR(INDEX(Vendor_Master!$B$2:$B$41,MATCH(B446,Vendor_Master!$A$2:$A$41,0)),"Unknown Vendor")</f>
        <v>Cannon, Anderson and Alvarez</v>
      </c>
      <c r="D446" s="17" t="n">
        <f aca="false">Vendor_Invoices_AP!D443</f>
        <v>45905</v>
      </c>
      <c r="E446" s="17" t="n">
        <f aca="false">Vendor_Invoices_AP!F443</f>
        <v>45935</v>
      </c>
      <c r="F446" s="18" t="n">
        <f aca="false">Vendor_Invoices_AP!E443</f>
        <v>3288.85</v>
      </c>
      <c r="G446" s="18" t="n">
        <f aca="false">SUMIFS(Payment_Log_AP!$E$2:$E$753,Payment_Log_AP!$B$2:$B$753,A446)</f>
        <v>3288.85</v>
      </c>
      <c r="H446" s="18" t="n">
        <f aca="false">F446-G446</f>
        <v>0</v>
      </c>
      <c r="I446" s="16" t="n">
        <f aca="false">IF(H446&lt;=0.01,0,MAX(Assumptions!$B$5-E446,0))</f>
        <v>0</v>
      </c>
      <c r="J446" s="16" t="str">
        <f aca="false">IF(H446&lt;=0.01,"Paid",IF(I446&lt;=30,"0-30",IF(I446&lt;=60,"31-60",IF(I446&lt;=90,"61-90","90+"))))</f>
        <v>Paid</v>
      </c>
      <c r="K446" s="16" t="str">
        <f aca="false">IF(H446&lt;=0.01,"Paid",IF(G446&gt;0,"Partially Paid","Unpaid"))</f>
        <v>Paid</v>
      </c>
    </row>
    <row r="447" customFormat="false" ht="15" hidden="false" customHeight="false" outlineLevel="0" collapsed="false">
      <c r="A447" s="16" t="str">
        <f aca="false">Vendor_Invoices_AP!A444</f>
        <v>INV30443</v>
      </c>
      <c r="B447" s="16" t="str">
        <f aca="false">Vendor_Invoices_AP!C444</f>
        <v>V1002</v>
      </c>
      <c r="C447" s="16" t="str">
        <f aca="false">IFERROR(INDEX(Vendor_Master!$B$2:$B$41,MATCH(B447,Vendor_Master!$A$2:$A$41,0)),"Unknown Vendor")</f>
        <v>Garcia, Yang and Gardner</v>
      </c>
      <c r="D447" s="17" t="n">
        <f aca="false">Vendor_Invoices_AP!D444</f>
        <v>46049</v>
      </c>
      <c r="E447" s="17" t="n">
        <f aca="false">Vendor_Invoices_AP!F444</f>
        <v>46064</v>
      </c>
      <c r="F447" s="18" t="n">
        <f aca="false">Vendor_Invoices_AP!E444</f>
        <v>2979.58</v>
      </c>
      <c r="G447" s="18" t="n">
        <f aca="false">SUMIFS(Payment_Log_AP!$E$2:$E$753,Payment_Log_AP!$B$2:$B$753,A447)</f>
        <v>2979.58</v>
      </c>
      <c r="H447" s="18" t="n">
        <f aca="false">F447-G447</f>
        <v>0</v>
      </c>
      <c r="I447" s="16" t="n">
        <f aca="false">IF(H447&lt;=0.01,0,MAX(Assumptions!$B$5-E447,0))</f>
        <v>0</v>
      </c>
      <c r="J447" s="16" t="str">
        <f aca="false">IF(H447&lt;=0.01,"Paid",IF(I447&lt;=30,"0-30",IF(I447&lt;=60,"31-60",IF(I447&lt;=90,"61-90","90+"))))</f>
        <v>Paid</v>
      </c>
      <c r="K447" s="16" t="str">
        <f aca="false">IF(H447&lt;=0.01,"Paid",IF(G447&gt;0,"Partially Paid","Unpaid"))</f>
        <v>Paid</v>
      </c>
    </row>
    <row r="448" customFormat="false" ht="15" hidden="false" customHeight="false" outlineLevel="0" collapsed="false">
      <c r="A448" s="16" t="str">
        <f aca="false">Vendor_Invoices_AP!A445</f>
        <v>INV30444</v>
      </c>
      <c r="B448" s="16" t="str">
        <f aca="false">Vendor_Invoices_AP!C445</f>
        <v>V1018</v>
      </c>
      <c r="C448" s="16" t="str">
        <f aca="false">IFERROR(INDEX(Vendor_Master!$B$2:$B$41,MATCH(B448,Vendor_Master!$A$2:$A$41,0)),"Unknown Vendor")</f>
        <v>Underwood LLC</v>
      </c>
      <c r="D448" s="17" t="n">
        <f aca="false">Vendor_Invoices_AP!D445</f>
        <v>45729</v>
      </c>
      <c r="E448" s="17" t="n">
        <f aca="false">Vendor_Invoices_AP!F445</f>
        <v>45759</v>
      </c>
      <c r="F448" s="18" t="n">
        <f aca="false">Vendor_Invoices_AP!E445</f>
        <v>209.66</v>
      </c>
      <c r="G448" s="18" t="n">
        <f aca="false">SUMIFS(Payment_Log_AP!$E$2:$E$753,Payment_Log_AP!$B$2:$B$753,A448)</f>
        <v>209.66</v>
      </c>
      <c r="H448" s="18" t="n">
        <f aca="false">F448-G448</f>
        <v>0</v>
      </c>
      <c r="I448" s="16" t="n">
        <f aca="false">IF(H448&lt;=0.01,0,MAX(Assumptions!$B$5-E448,0))</f>
        <v>0</v>
      </c>
      <c r="J448" s="16" t="str">
        <f aca="false">IF(H448&lt;=0.01,"Paid",IF(I448&lt;=30,"0-30",IF(I448&lt;=60,"31-60",IF(I448&lt;=90,"61-90","90+"))))</f>
        <v>Paid</v>
      </c>
      <c r="K448" s="16" t="str">
        <f aca="false">IF(H448&lt;=0.01,"Paid",IF(G448&gt;0,"Partially Paid","Unpaid"))</f>
        <v>Paid</v>
      </c>
    </row>
    <row r="449" customFormat="false" ht="15" hidden="false" customHeight="false" outlineLevel="0" collapsed="false">
      <c r="A449" s="16" t="str">
        <f aca="false">Vendor_Invoices_AP!A446</f>
        <v>INV30445</v>
      </c>
      <c r="B449" s="16" t="str">
        <f aca="false">Vendor_Invoices_AP!C446</f>
        <v>V1037</v>
      </c>
      <c r="C449" s="16" t="str">
        <f aca="false">IFERROR(INDEX(Vendor_Master!$B$2:$B$41,MATCH(B449,Vendor_Master!$A$2:$A$41,0)),"Unknown Vendor")</f>
        <v>Cannon, Anderson and Alvarez</v>
      </c>
      <c r="D449" s="17" t="n">
        <f aca="false">Vendor_Invoices_AP!D446</f>
        <v>46196</v>
      </c>
      <c r="E449" s="17" t="n">
        <f aca="false">Vendor_Invoices_AP!F446</f>
        <v>46226</v>
      </c>
      <c r="F449" s="18" t="n">
        <f aca="false">Vendor_Invoices_AP!E446</f>
        <v>3415.67</v>
      </c>
      <c r="G449" s="18" t="n">
        <f aca="false">SUMIFS(Payment_Log_AP!$E$2:$E$753,Payment_Log_AP!$B$2:$B$753,A449)</f>
        <v>3415.67</v>
      </c>
      <c r="H449" s="18" t="n">
        <f aca="false">F449-G449</f>
        <v>0</v>
      </c>
      <c r="I449" s="16" t="n">
        <f aca="false">IF(H449&lt;=0.01,0,MAX(Assumptions!$B$5-E449,0))</f>
        <v>0</v>
      </c>
      <c r="J449" s="16" t="str">
        <f aca="false">IF(H449&lt;=0.01,"Paid",IF(I449&lt;=30,"0-30",IF(I449&lt;=60,"31-60",IF(I449&lt;=90,"61-90","90+"))))</f>
        <v>Paid</v>
      </c>
      <c r="K449" s="16" t="str">
        <f aca="false">IF(H449&lt;=0.01,"Paid",IF(G449&gt;0,"Partially Paid","Unpaid"))</f>
        <v>Paid</v>
      </c>
    </row>
    <row r="450" customFormat="false" ht="15" hidden="false" customHeight="false" outlineLevel="0" collapsed="false">
      <c r="A450" s="16" t="str">
        <f aca="false">Vendor_Invoices_AP!A447</f>
        <v>INV30446</v>
      </c>
      <c r="B450" s="16" t="str">
        <f aca="false">Vendor_Invoices_AP!C447</f>
        <v>V1037</v>
      </c>
      <c r="C450" s="16" t="str">
        <f aca="false">IFERROR(INDEX(Vendor_Master!$B$2:$B$41,MATCH(B450,Vendor_Master!$A$2:$A$41,0)),"Unknown Vendor")</f>
        <v>Cannon, Anderson and Alvarez</v>
      </c>
      <c r="D450" s="17" t="n">
        <f aca="false">Vendor_Invoices_AP!D447</f>
        <v>46204</v>
      </c>
      <c r="E450" s="17" t="n">
        <f aca="false">Vendor_Invoices_AP!F447</f>
        <v>46234</v>
      </c>
      <c r="F450" s="18" t="n">
        <f aca="false">Vendor_Invoices_AP!E447</f>
        <v>3415.67</v>
      </c>
      <c r="G450" s="18" t="n">
        <f aca="false">SUMIFS(Payment_Log_AP!$E$2:$E$753,Payment_Log_AP!$B$2:$B$753,A450)</f>
        <v>0</v>
      </c>
      <c r="H450" s="18" t="n">
        <f aca="false">F450-G450</f>
        <v>3415.67</v>
      </c>
      <c r="I450" s="16" t="n">
        <f aca="false">IF(H450&lt;=0.01,0,MAX(Assumptions!$B$5-E450,0))</f>
        <v>0</v>
      </c>
      <c r="J450" s="16" t="str">
        <f aca="false">IF(H450&lt;=0.01,"Paid",IF(I450&lt;=30,"0-30",IF(I450&lt;=60,"31-60",IF(I450&lt;=90,"61-90","90+"))))</f>
        <v>0-30</v>
      </c>
      <c r="K450" s="16" t="str">
        <f aca="false">IF(H450&lt;=0.01,"Paid",IF(G450&gt;0,"Partially Paid","Unpaid"))</f>
        <v>Unpaid</v>
      </c>
    </row>
    <row r="451" customFormat="false" ht="15" hidden="false" customHeight="false" outlineLevel="0" collapsed="false">
      <c r="A451" s="16" t="str">
        <f aca="false">Vendor_Invoices_AP!A448</f>
        <v>INV30447</v>
      </c>
      <c r="B451" s="16" t="str">
        <f aca="false">Vendor_Invoices_AP!C448</f>
        <v>V1026</v>
      </c>
      <c r="C451" s="16" t="str">
        <f aca="false">IFERROR(INDEX(Vendor_Master!$B$2:$B$41,MATCH(B451,Vendor_Master!$A$2:$A$41,0)),"Unknown Vendor")</f>
        <v>James-Ferrell</v>
      </c>
      <c r="D451" s="17" t="n">
        <f aca="false">Vendor_Invoices_AP!D448</f>
        <v>46007</v>
      </c>
      <c r="E451" s="17" t="n">
        <f aca="false">Vendor_Invoices_AP!F448</f>
        <v>46067</v>
      </c>
      <c r="F451" s="18" t="n">
        <f aca="false">Vendor_Invoices_AP!E448</f>
        <v>1992.56</v>
      </c>
      <c r="G451" s="18" t="n">
        <f aca="false">SUMIFS(Payment_Log_AP!$E$2:$E$753,Payment_Log_AP!$B$2:$B$753,A451)</f>
        <v>1992.56</v>
      </c>
      <c r="H451" s="18" t="n">
        <f aca="false">F451-G451</f>
        <v>0</v>
      </c>
      <c r="I451" s="16" t="n">
        <f aca="false">IF(H451&lt;=0.01,0,MAX(Assumptions!$B$5-E451,0))</f>
        <v>0</v>
      </c>
      <c r="J451" s="16" t="str">
        <f aca="false">IF(H451&lt;=0.01,"Paid",IF(I451&lt;=30,"0-30",IF(I451&lt;=60,"31-60",IF(I451&lt;=90,"61-90","90+"))))</f>
        <v>Paid</v>
      </c>
      <c r="K451" s="16" t="str">
        <f aca="false">IF(H451&lt;=0.01,"Paid",IF(G451&gt;0,"Partially Paid","Unpaid"))</f>
        <v>Paid</v>
      </c>
    </row>
    <row r="452" customFormat="false" ht="15" hidden="false" customHeight="false" outlineLevel="0" collapsed="false">
      <c r="A452" s="16" t="str">
        <f aca="false">Vendor_Invoices_AP!A449</f>
        <v>INV30448</v>
      </c>
      <c r="B452" s="16" t="str">
        <f aca="false">Vendor_Invoices_AP!C449</f>
        <v>V1001</v>
      </c>
      <c r="C452" s="16" t="str">
        <f aca="false">IFERROR(INDEX(Vendor_Master!$B$2:$B$41,MATCH(B452,Vendor_Master!$A$2:$A$41,0)),"Unknown Vendor")</f>
        <v>Figueroa and Sons</v>
      </c>
      <c r="D452" s="17" t="n">
        <f aca="false">Vendor_Invoices_AP!D449</f>
        <v>45805</v>
      </c>
      <c r="E452" s="17" t="n">
        <f aca="false">Vendor_Invoices_AP!F449</f>
        <v>45850</v>
      </c>
      <c r="F452" s="18" t="n">
        <f aca="false">Vendor_Invoices_AP!E449</f>
        <v>2035.46</v>
      </c>
      <c r="G452" s="18" t="n">
        <f aca="false">SUMIFS(Payment_Log_AP!$E$2:$E$753,Payment_Log_AP!$B$2:$B$753,A452)</f>
        <v>2035.46</v>
      </c>
      <c r="H452" s="18" t="n">
        <f aca="false">F452-G452</f>
        <v>0</v>
      </c>
      <c r="I452" s="16" t="n">
        <f aca="false">IF(H452&lt;=0.01,0,MAX(Assumptions!$B$5-E452,0))</f>
        <v>0</v>
      </c>
      <c r="J452" s="16" t="str">
        <f aca="false">IF(H452&lt;=0.01,"Paid",IF(I452&lt;=30,"0-30",IF(I452&lt;=60,"31-60",IF(I452&lt;=90,"61-90","90+"))))</f>
        <v>Paid</v>
      </c>
      <c r="K452" s="16" t="str">
        <f aca="false">IF(H452&lt;=0.01,"Paid",IF(G452&gt;0,"Partially Paid","Unpaid"))</f>
        <v>Paid</v>
      </c>
    </row>
    <row r="453" customFormat="false" ht="15" hidden="false" customHeight="false" outlineLevel="0" collapsed="false">
      <c r="A453" s="16" t="str">
        <f aca="false">Vendor_Invoices_AP!A450</f>
        <v>INV30449</v>
      </c>
      <c r="B453" s="16" t="str">
        <f aca="false">Vendor_Invoices_AP!C450</f>
        <v>V1006</v>
      </c>
      <c r="C453" s="16" t="str">
        <f aca="false">IFERROR(INDEX(Vendor_Master!$B$2:$B$41,MATCH(B453,Vendor_Master!$A$2:$A$41,0)),"Unknown Vendor")</f>
        <v>Blake and Sons</v>
      </c>
      <c r="D453" s="17" t="n">
        <f aca="false">Vendor_Invoices_AP!D450</f>
        <v>45756</v>
      </c>
      <c r="E453" s="17" t="n">
        <f aca="false">Vendor_Invoices_AP!F450</f>
        <v>45816</v>
      </c>
      <c r="F453" s="18" t="n">
        <f aca="false">Vendor_Invoices_AP!E450</f>
        <v>9019.36</v>
      </c>
      <c r="G453" s="18" t="n">
        <f aca="false">SUMIFS(Payment_Log_AP!$E$2:$E$753,Payment_Log_AP!$B$2:$B$753,A453)</f>
        <v>9019.36</v>
      </c>
      <c r="H453" s="18" t="n">
        <f aca="false">F453-G453</f>
        <v>0</v>
      </c>
      <c r="I453" s="16" t="n">
        <f aca="false">IF(H453&lt;=0.01,0,MAX(Assumptions!$B$5-E453,0))</f>
        <v>0</v>
      </c>
      <c r="J453" s="16" t="str">
        <f aca="false">IF(H453&lt;=0.01,"Paid",IF(I453&lt;=30,"0-30",IF(I453&lt;=60,"31-60",IF(I453&lt;=90,"61-90","90+"))))</f>
        <v>Paid</v>
      </c>
      <c r="K453" s="16" t="str">
        <f aca="false">IF(H453&lt;=0.01,"Paid",IF(G453&gt;0,"Partially Paid","Unpaid"))</f>
        <v>Paid</v>
      </c>
    </row>
    <row r="454" customFormat="false" ht="15" hidden="false" customHeight="false" outlineLevel="0" collapsed="false">
      <c r="A454" s="16" t="str">
        <f aca="false">Vendor_Invoices_AP!A451</f>
        <v>INV30450</v>
      </c>
      <c r="B454" s="16" t="str">
        <f aca="false">Vendor_Invoices_AP!C451</f>
        <v>V1016</v>
      </c>
      <c r="C454" s="16" t="str">
        <f aca="false">IFERROR(INDEX(Vendor_Master!$B$2:$B$41,MATCH(B454,Vendor_Master!$A$2:$A$41,0)),"Unknown Vendor")</f>
        <v>Sanchez, Ford and Nelson</v>
      </c>
      <c r="D454" s="17" t="n">
        <f aca="false">Vendor_Invoices_AP!D451</f>
        <v>45976</v>
      </c>
      <c r="E454" s="17" t="n">
        <f aca="false">Vendor_Invoices_AP!F451</f>
        <v>46006</v>
      </c>
      <c r="F454" s="18" t="n">
        <f aca="false">Vendor_Invoices_AP!E451</f>
        <v>1812.95</v>
      </c>
      <c r="G454" s="18" t="n">
        <f aca="false">SUMIFS(Payment_Log_AP!$E$2:$E$753,Payment_Log_AP!$B$2:$B$753,A454)</f>
        <v>1812.95</v>
      </c>
      <c r="H454" s="18" t="n">
        <f aca="false">F454-G454</f>
        <v>0</v>
      </c>
      <c r="I454" s="16" t="n">
        <f aca="false">IF(H454&lt;=0.01,0,MAX(Assumptions!$B$5-E454,0))</f>
        <v>0</v>
      </c>
      <c r="J454" s="16" t="str">
        <f aca="false">IF(H454&lt;=0.01,"Paid",IF(I454&lt;=30,"0-30",IF(I454&lt;=60,"31-60",IF(I454&lt;=90,"61-90","90+"))))</f>
        <v>Paid</v>
      </c>
      <c r="K454" s="16" t="str">
        <f aca="false">IF(H454&lt;=0.01,"Paid",IF(G454&gt;0,"Partially Paid","Unpaid"))</f>
        <v>Paid</v>
      </c>
    </row>
    <row r="455" customFormat="false" ht="15" hidden="false" customHeight="false" outlineLevel="0" collapsed="false">
      <c r="A455" s="16" t="str">
        <f aca="false">Vendor_Invoices_AP!A452</f>
        <v>INV30451</v>
      </c>
      <c r="B455" s="16" t="str">
        <f aca="false">Vendor_Invoices_AP!C452</f>
        <v>V1023</v>
      </c>
      <c r="C455" s="16" t="str">
        <f aca="false">IFERROR(INDEX(Vendor_Master!$B$2:$B$41,MATCH(B455,Vendor_Master!$A$2:$A$41,0)),"Unknown Vendor")</f>
        <v>Robinson-Bright</v>
      </c>
      <c r="D455" s="17" t="n">
        <f aca="false">Vendor_Invoices_AP!D452</f>
        <v>45983</v>
      </c>
      <c r="E455" s="17" t="n">
        <f aca="false">Vendor_Invoices_AP!F452</f>
        <v>46013</v>
      </c>
      <c r="F455" s="18" t="n">
        <f aca="false">Vendor_Invoices_AP!E452</f>
        <v>1047.46</v>
      </c>
      <c r="G455" s="18" t="n">
        <f aca="false">SUMIFS(Payment_Log_AP!$E$2:$E$753,Payment_Log_AP!$B$2:$B$753,A455)</f>
        <v>1047.46</v>
      </c>
      <c r="H455" s="18" t="n">
        <f aca="false">F455-G455</f>
        <v>0</v>
      </c>
      <c r="I455" s="16" t="n">
        <f aca="false">IF(H455&lt;=0.01,0,MAX(Assumptions!$B$5-E455,0))</f>
        <v>0</v>
      </c>
      <c r="J455" s="16" t="str">
        <f aca="false">IF(H455&lt;=0.01,"Paid",IF(I455&lt;=30,"0-30",IF(I455&lt;=60,"31-60",IF(I455&lt;=90,"61-90","90+"))))</f>
        <v>Paid</v>
      </c>
      <c r="K455" s="16" t="str">
        <f aca="false">IF(H455&lt;=0.01,"Paid",IF(G455&gt;0,"Partially Paid","Unpaid"))</f>
        <v>Paid</v>
      </c>
    </row>
    <row r="456" customFormat="false" ht="15" hidden="false" customHeight="false" outlineLevel="0" collapsed="false">
      <c r="A456" s="16" t="str">
        <f aca="false">Vendor_Invoices_AP!A453</f>
        <v>INV30452</v>
      </c>
      <c r="B456" s="16" t="str">
        <f aca="false">Vendor_Invoices_AP!C453</f>
        <v>V1009</v>
      </c>
      <c r="C456" s="16" t="str">
        <f aca="false">IFERROR(INDEX(Vendor_Master!$B$2:$B$41,MATCH(B456,Vendor_Master!$A$2:$A$41,0)),"Unknown Vendor")</f>
        <v>Munoz-Roman</v>
      </c>
      <c r="D456" s="17" t="n">
        <f aca="false">Vendor_Invoices_AP!D453</f>
        <v>45713</v>
      </c>
      <c r="E456" s="17" t="n">
        <f aca="false">Vendor_Invoices_AP!F453</f>
        <v>45743</v>
      </c>
      <c r="F456" s="18" t="n">
        <f aca="false">Vendor_Invoices_AP!E453</f>
        <v>3396.34</v>
      </c>
      <c r="G456" s="18" t="n">
        <f aca="false">SUMIFS(Payment_Log_AP!$E$2:$E$753,Payment_Log_AP!$B$2:$B$753,A456)</f>
        <v>3396.34</v>
      </c>
      <c r="H456" s="18" t="n">
        <f aca="false">F456-G456</f>
        <v>0</v>
      </c>
      <c r="I456" s="16" t="n">
        <f aca="false">IF(H456&lt;=0.01,0,MAX(Assumptions!$B$5-E456,0))</f>
        <v>0</v>
      </c>
      <c r="J456" s="16" t="str">
        <f aca="false">IF(H456&lt;=0.01,"Paid",IF(I456&lt;=30,"0-30",IF(I456&lt;=60,"31-60",IF(I456&lt;=90,"61-90","90+"))))</f>
        <v>Paid</v>
      </c>
      <c r="K456" s="16" t="str">
        <f aca="false">IF(H456&lt;=0.01,"Paid",IF(G456&gt;0,"Partially Paid","Unpaid"))</f>
        <v>Paid</v>
      </c>
    </row>
    <row r="457" customFormat="false" ht="15" hidden="false" customHeight="false" outlineLevel="0" collapsed="false">
      <c r="A457" s="16" t="str">
        <f aca="false">Vendor_Invoices_AP!A454</f>
        <v>INV30453</v>
      </c>
      <c r="B457" s="16" t="str">
        <f aca="false">Vendor_Invoices_AP!C454</f>
        <v>V1017</v>
      </c>
      <c r="C457" s="16" t="str">
        <f aca="false">IFERROR(INDEX(Vendor_Master!$B$2:$B$41,MATCH(B457,Vendor_Master!$A$2:$A$41,0)),"Unknown Vendor")</f>
        <v>Hawkins, Cohen and Cameron</v>
      </c>
      <c r="D457" s="17" t="n">
        <f aca="false">Vendor_Invoices_AP!D454</f>
        <v>46219</v>
      </c>
      <c r="E457" s="17" t="n">
        <f aca="false">Vendor_Invoices_AP!F454</f>
        <v>46264</v>
      </c>
      <c r="F457" s="18" t="n">
        <f aca="false">Vendor_Invoices_AP!E454</f>
        <v>4037.07</v>
      </c>
      <c r="G457" s="18" t="n">
        <f aca="false">SUMIFS(Payment_Log_AP!$E$2:$E$753,Payment_Log_AP!$B$2:$B$753,A457)</f>
        <v>0</v>
      </c>
      <c r="H457" s="18" t="n">
        <f aca="false">F457-G457</f>
        <v>4037.07</v>
      </c>
      <c r="I457" s="16" t="n">
        <f aca="false">IF(H457&lt;=0.01,0,MAX(Assumptions!$B$5-E457,0))</f>
        <v>0</v>
      </c>
      <c r="J457" s="16" t="str">
        <f aca="false">IF(H457&lt;=0.01,"Paid",IF(I457&lt;=30,"0-30",IF(I457&lt;=60,"31-60",IF(I457&lt;=90,"61-90","90+"))))</f>
        <v>0-30</v>
      </c>
      <c r="K457" s="16" t="str">
        <f aca="false">IF(H457&lt;=0.01,"Paid",IF(G457&gt;0,"Partially Paid","Unpaid"))</f>
        <v>Unpaid</v>
      </c>
    </row>
    <row r="458" customFormat="false" ht="15" hidden="false" customHeight="false" outlineLevel="0" collapsed="false">
      <c r="A458" s="16" t="str">
        <f aca="false">Vendor_Invoices_AP!A455</f>
        <v>INV30454</v>
      </c>
      <c r="B458" s="16" t="str">
        <f aca="false">Vendor_Invoices_AP!C455</f>
        <v>V1013</v>
      </c>
      <c r="C458" s="16" t="str">
        <f aca="false">IFERROR(INDEX(Vendor_Master!$B$2:$B$41,MATCH(B458,Vendor_Master!$A$2:$A$41,0)),"Unknown Vendor")</f>
        <v>Delacruz Group</v>
      </c>
      <c r="D458" s="17" t="n">
        <f aca="false">Vendor_Invoices_AP!D455</f>
        <v>46158</v>
      </c>
      <c r="E458" s="17" t="n">
        <f aca="false">Vendor_Invoices_AP!F455</f>
        <v>46173</v>
      </c>
      <c r="F458" s="18" t="n">
        <f aca="false">Vendor_Invoices_AP!E455</f>
        <v>1201.82</v>
      </c>
      <c r="G458" s="18" t="n">
        <f aca="false">SUMIFS(Payment_Log_AP!$E$2:$E$753,Payment_Log_AP!$B$2:$B$753,A458)</f>
        <v>1201.82</v>
      </c>
      <c r="H458" s="18" t="n">
        <f aca="false">F458-G458</f>
        <v>0</v>
      </c>
      <c r="I458" s="16" t="n">
        <f aca="false">IF(H458&lt;=0.01,0,MAX(Assumptions!$B$5-E458,0))</f>
        <v>0</v>
      </c>
      <c r="J458" s="16" t="str">
        <f aca="false">IF(H458&lt;=0.01,"Paid",IF(I458&lt;=30,"0-30",IF(I458&lt;=60,"31-60",IF(I458&lt;=90,"61-90","90+"))))</f>
        <v>Paid</v>
      </c>
      <c r="K458" s="16" t="str">
        <f aca="false">IF(H458&lt;=0.01,"Paid",IF(G458&gt;0,"Partially Paid","Unpaid"))</f>
        <v>Paid</v>
      </c>
    </row>
    <row r="459" customFormat="false" ht="15" hidden="false" customHeight="false" outlineLevel="0" collapsed="false">
      <c r="A459" s="16" t="str">
        <f aca="false">Vendor_Invoices_AP!A456</f>
        <v>INV30455</v>
      </c>
      <c r="B459" s="16" t="str">
        <f aca="false">Vendor_Invoices_AP!C456</f>
        <v>V1010</v>
      </c>
      <c r="C459" s="16" t="str">
        <f aca="false">IFERROR(INDEX(Vendor_Master!$B$2:$B$41,MATCH(B459,Vendor_Master!$A$2:$A$41,0)),"Unknown Vendor")</f>
        <v>Martinez, Nielsen and Miller</v>
      </c>
      <c r="D459" s="17" t="n">
        <f aca="false">Vendor_Invoices_AP!D456</f>
        <v>45934</v>
      </c>
      <c r="E459" s="17" t="n">
        <f aca="false">Vendor_Invoices_AP!F456</f>
        <v>45949</v>
      </c>
      <c r="F459" s="18" t="n">
        <f aca="false">Vendor_Invoices_AP!E456</f>
        <v>1494.41</v>
      </c>
      <c r="G459" s="18" t="n">
        <f aca="false">SUMIFS(Payment_Log_AP!$E$2:$E$753,Payment_Log_AP!$B$2:$B$753,A459)</f>
        <v>1494.41</v>
      </c>
      <c r="H459" s="18" t="n">
        <f aca="false">F459-G459</f>
        <v>0</v>
      </c>
      <c r="I459" s="16" t="n">
        <f aca="false">IF(H459&lt;=0.01,0,MAX(Assumptions!$B$5-E459,0))</f>
        <v>0</v>
      </c>
      <c r="J459" s="16" t="str">
        <f aca="false">IF(H459&lt;=0.01,"Paid",IF(I459&lt;=30,"0-30",IF(I459&lt;=60,"31-60",IF(I459&lt;=90,"61-90","90+"))))</f>
        <v>Paid</v>
      </c>
      <c r="K459" s="16" t="str">
        <f aca="false">IF(H459&lt;=0.01,"Paid",IF(G459&gt;0,"Partially Paid","Unpaid"))</f>
        <v>Paid</v>
      </c>
    </row>
    <row r="460" customFormat="false" ht="15" hidden="false" customHeight="false" outlineLevel="0" collapsed="false">
      <c r="A460" s="16" t="str">
        <f aca="false">Vendor_Invoices_AP!A457</f>
        <v>INV30456</v>
      </c>
      <c r="B460" s="16" t="str">
        <f aca="false">Vendor_Invoices_AP!C457</f>
        <v>V1002</v>
      </c>
      <c r="C460" s="16" t="str">
        <f aca="false">IFERROR(INDEX(Vendor_Master!$B$2:$B$41,MATCH(B460,Vendor_Master!$A$2:$A$41,0)),"Unknown Vendor")</f>
        <v>Garcia, Yang and Gardner</v>
      </c>
      <c r="D460" s="17" t="n">
        <f aca="false">Vendor_Invoices_AP!D457</f>
        <v>45733</v>
      </c>
      <c r="E460" s="17" t="n">
        <f aca="false">Vendor_Invoices_AP!F457</f>
        <v>45748</v>
      </c>
      <c r="F460" s="18" t="n">
        <f aca="false">Vendor_Invoices_AP!E457</f>
        <v>791.01</v>
      </c>
      <c r="G460" s="18" t="n">
        <f aca="false">SUMIFS(Payment_Log_AP!$E$2:$E$753,Payment_Log_AP!$B$2:$B$753,A460)</f>
        <v>0</v>
      </c>
      <c r="H460" s="18" t="n">
        <f aca="false">F460-G460</f>
        <v>791.01</v>
      </c>
      <c r="I460" s="16" t="n">
        <f aca="false">IF(H460&lt;=0.01,0,MAX(Assumptions!$B$5-E460,0))</f>
        <v>486</v>
      </c>
      <c r="J460" s="16" t="str">
        <f aca="false">IF(H460&lt;=0.01,"Paid",IF(I460&lt;=30,"0-30",IF(I460&lt;=60,"31-60",IF(I460&lt;=90,"61-90","90+"))))</f>
        <v>90+</v>
      </c>
      <c r="K460" s="16" t="str">
        <f aca="false">IF(H460&lt;=0.01,"Paid",IF(G460&gt;0,"Partially Paid","Unpaid"))</f>
        <v>Unpaid</v>
      </c>
    </row>
    <row r="461" customFormat="false" ht="15" hidden="false" customHeight="false" outlineLevel="0" collapsed="false">
      <c r="A461" s="16" t="str">
        <f aca="false">Vendor_Invoices_AP!A458</f>
        <v>INV30457</v>
      </c>
      <c r="B461" s="16" t="str">
        <f aca="false">Vendor_Invoices_AP!C458</f>
        <v>V1018</v>
      </c>
      <c r="C461" s="16" t="str">
        <f aca="false">IFERROR(INDEX(Vendor_Master!$B$2:$B$41,MATCH(B461,Vendor_Master!$A$2:$A$41,0)),"Unknown Vendor")</f>
        <v>Underwood LLC</v>
      </c>
      <c r="D461" s="17" t="n">
        <f aca="false">Vendor_Invoices_AP!D458</f>
        <v>46119</v>
      </c>
      <c r="E461" s="17" t="n">
        <f aca="false">Vendor_Invoices_AP!F458</f>
        <v>46149</v>
      </c>
      <c r="F461" s="18" t="n">
        <f aca="false">Vendor_Invoices_AP!E458</f>
        <v>2064.66</v>
      </c>
      <c r="G461" s="18" t="n">
        <f aca="false">SUMIFS(Payment_Log_AP!$E$2:$E$753,Payment_Log_AP!$B$2:$B$753,A461)</f>
        <v>2064.66</v>
      </c>
      <c r="H461" s="18" t="n">
        <f aca="false">F461-G461</f>
        <v>0</v>
      </c>
      <c r="I461" s="16" t="n">
        <f aca="false">IF(H461&lt;=0.01,0,MAX(Assumptions!$B$5-E461,0))</f>
        <v>0</v>
      </c>
      <c r="J461" s="16" t="str">
        <f aca="false">IF(H461&lt;=0.01,"Paid",IF(I461&lt;=30,"0-30",IF(I461&lt;=60,"31-60",IF(I461&lt;=90,"61-90","90+"))))</f>
        <v>Paid</v>
      </c>
      <c r="K461" s="16" t="str">
        <f aca="false">IF(H461&lt;=0.01,"Paid",IF(G461&gt;0,"Partially Paid","Unpaid"))</f>
        <v>Paid</v>
      </c>
    </row>
    <row r="462" customFormat="false" ht="15" hidden="false" customHeight="false" outlineLevel="0" collapsed="false">
      <c r="A462" s="16" t="str">
        <f aca="false">Vendor_Invoices_AP!A459</f>
        <v>INV30458</v>
      </c>
      <c r="B462" s="16" t="str">
        <f aca="false">Vendor_Invoices_AP!C459</f>
        <v>V1018</v>
      </c>
      <c r="C462" s="16" t="str">
        <f aca="false">IFERROR(INDEX(Vendor_Master!$B$2:$B$41,MATCH(B462,Vendor_Master!$A$2:$A$41,0)),"Unknown Vendor")</f>
        <v>Underwood LLC</v>
      </c>
      <c r="D462" s="17" t="n">
        <f aca="false">Vendor_Invoices_AP!D459</f>
        <v>45941</v>
      </c>
      <c r="E462" s="17" t="n">
        <f aca="false">Vendor_Invoices_AP!F459</f>
        <v>45971</v>
      </c>
      <c r="F462" s="18" t="n">
        <f aca="false">Vendor_Invoices_AP!E459</f>
        <v>882.52</v>
      </c>
      <c r="G462" s="18" t="n">
        <f aca="false">SUMIFS(Payment_Log_AP!$E$2:$E$753,Payment_Log_AP!$B$2:$B$753,A462)</f>
        <v>882.52</v>
      </c>
      <c r="H462" s="18" t="n">
        <f aca="false">F462-G462</f>
        <v>0</v>
      </c>
      <c r="I462" s="16" t="n">
        <f aca="false">IF(H462&lt;=0.01,0,MAX(Assumptions!$B$5-E462,0))</f>
        <v>0</v>
      </c>
      <c r="J462" s="16" t="str">
        <f aca="false">IF(H462&lt;=0.01,"Paid",IF(I462&lt;=30,"0-30",IF(I462&lt;=60,"31-60",IF(I462&lt;=90,"61-90","90+"))))</f>
        <v>Paid</v>
      </c>
      <c r="K462" s="16" t="str">
        <f aca="false">IF(H462&lt;=0.01,"Paid",IF(G462&gt;0,"Partially Paid","Unpaid"))</f>
        <v>Paid</v>
      </c>
    </row>
    <row r="463" customFormat="false" ht="15" hidden="false" customHeight="false" outlineLevel="0" collapsed="false">
      <c r="A463" s="16" t="str">
        <f aca="false">Vendor_Invoices_AP!A460</f>
        <v>INV30459</v>
      </c>
      <c r="B463" s="16" t="str">
        <f aca="false">Vendor_Invoices_AP!C460</f>
        <v>V1028</v>
      </c>
      <c r="C463" s="16" t="str">
        <f aca="false">IFERROR(INDEX(Vendor_Master!$B$2:$B$41,MATCH(B463,Vendor_Master!$A$2:$A$41,0)),"Unknown Vendor")</f>
        <v>Potter, Mack and Peterson</v>
      </c>
      <c r="D463" s="17" t="n">
        <f aca="false">Vendor_Invoices_AP!D460</f>
        <v>46058</v>
      </c>
      <c r="E463" s="17" t="n">
        <f aca="false">Vendor_Invoices_AP!F460</f>
        <v>46103</v>
      </c>
      <c r="F463" s="18" t="n">
        <f aca="false">Vendor_Invoices_AP!E460</f>
        <v>3855.85</v>
      </c>
      <c r="G463" s="18" t="n">
        <f aca="false">SUMIFS(Payment_Log_AP!$E$2:$E$753,Payment_Log_AP!$B$2:$B$753,A463)</f>
        <v>3855.85</v>
      </c>
      <c r="H463" s="18" t="n">
        <f aca="false">F463-G463</f>
        <v>0</v>
      </c>
      <c r="I463" s="16" t="n">
        <f aca="false">IF(H463&lt;=0.01,0,MAX(Assumptions!$B$5-E463,0))</f>
        <v>0</v>
      </c>
      <c r="J463" s="16" t="str">
        <f aca="false">IF(H463&lt;=0.01,"Paid",IF(I463&lt;=30,"0-30",IF(I463&lt;=60,"31-60",IF(I463&lt;=90,"61-90","90+"))))</f>
        <v>Paid</v>
      </c>
      <c r="K463" s="16" t="str">
        <f aca="false">IF(H463&lt;=0.01,"Paid",IF(G463&gt;0,"Partially Paid","Unpaid"))</f>
        <v>Paid</v>
      </c>
    </row>
    <row r="464" customFormat="false" ht="15" hidden="false" customHeight="false" outlineLevel="0" collapsed="false">
      <c r="A464" s="16" t="str">
        <f aca="false">Vendor_Invoices_AP!A461</f>
        <v>INV30460</v>
      </c>
      <c r="B464" s="16" t="str">
        <f aca="false">Vendor_Invoices_AP!C461</f>
        <v>V1027</v>
      </c>
      <c r="C464" s="16" t="str">
        <f aca="false">IFERROR(INDEX(Vendor_Master!$B$2:$B$41,MATCH(B464,Vendor_Master!$A$2:$A$41,0)),"Unknown Vendor")</f>
        <v>Valencia, Smith and Le</v>
      </c>
      <c r="D464" s="17" t="n">
        <f aca="false">Vendor_Invoices_AP!D461</f>
        <v>45937</v>
      </c>
      <c r="E464" s="17" t="n">
        <f aca="false">Vendor_Invoices_AP!F461</f>
        <v>45982</v>
      </c>
      <c r="F464" s="18" t="n">
        <f aca="false">Vendor_Invoices_AP!E461</f>
        <v>1396.94</v>
      </c>
      <c r="G464" s="18" t="n">
        <f aca="false">SUMIFS(Payment_Log_AP!$E$2:$E$753,Payment_Log_AP!$B$2:$B$753,A464)</f>
        <v>1396.94</v>
      </c>
      <c r="H464" s="18" t="n">
        <f aca="false">F464-G464</f>
        <v>0</v>
      </c>
      <c r="I464" s="16" t="n">
        <f aca="false">IF(H464&lt;=0.01,0,MAX(Assumptions!$B$5-E464,0))</f>
        <v>0</v>
      </c>
      <c r="J464" s="16" t="str">
        <f aca="false">IF(H464&lt;=0.01,"Paid",IF(I464&lt;=30,"0-30",IF(I464&lt;=60,"31-60",IF(I464&lt;=90,"61-90","90+"))))</f>
        <v>Paid</v>
      </c>
      <c r="K464" s="16" t="str">
        <f aca="false">IF(H464&lt;=0.01,"Paid",IF(G464&gt;0,"Partially Paid","Unpaid"))</f>
        <v>Paid</v>
      </c>
    </row>
    <row r="465" customFormat="false" ht="15" hidden="false" customHeight="false" outlineLevel="0" collapsed="false">
      <c r="A465" s="16" t="str">
        <f aca="false">Vendor_Invoices_AP!A462</f>
        <v>INV30461</v>
      </c>
      <c r="B465" s="16" t="str">
        <f aca="false">Vendor_Invoices_AP!C462</f>
        <v>V1038</v>
      </c>
      <c r="C465" s="16" t="str">
        <f aca="false">IFERROR(INDEX(Vendor_Master!$B$2:$B$41,MATCH(B465,Vendor_Master!$A$2:$A$41,0)),"Unknown Vendor")</f>
        <v>Rose-Obrien</v>
      </c>
      <c r="D465" s="17" t="n">
        <f aca="false">Vendor_Invoices_AP!D462</f>
        <v>45812</v>
      </c>
      <c r="E465" s="17" t="n">
        <f aca="false">Vendor_Invoices_AP!F462</f>
        <v>45842</v>
      </c>
      <c r="F465" s="18" t="n">
        <f aca="false">Vendor_Invoices_AP!E462</f>
        <v>1284.51</v>
      </c>
      <c r="G465" s="18" t="n">
        <f aca="false">SUMIFS(Payment_Log_AP!$E$2:$E$753,Payment_Log_AP!$B$2:$B$753,A465)</f>
        <v>1284.51</v>
      </c>
      <c r="H465" s="18" t="n">
        <f aca="false">F465-G465</f>
        <v>0</v>
      </c>
      <c r="I465" s="16" t="n">
        <f aca="false">IF(H465&lt;=0.01,0,MAX(Assumptions!$B$5-E465,0))</f>
        <v>0</v>
      </c>
      <c r="J465" s="16" t="str">
        <f aca="false">IF(H465&lt;=0.01,"Paid",IF(I465&lt;=30,"0-30",IF(I465&lt;=60,"31-60",IF(I465&lt;=90,"61-90","90+"))))</f>
        <v>Paid</v>
      </c>
      <c r="K465" s="16" t="str">
        <f aca="false">IF(H465&lt;=0.01,"Paid",IF(G465&gt;0,"Partially Paid","Unpaid"))</f>
        <v>Paid</v>
      </c>
    </row>
    <row r="466" customFormat="false" ht="15" hidden="false" customHeight="false" outlineLevel="0" collapsed="false">
      <c r="A466" s="16" t="str">
        <f aca="false">Vendor_Invoices_AP!A463</f>
        <v>INV30462</v>
      </c>
      <c r="B466" s="16" t="str">
        <f aca="false">Vendor_Invoices_AP!C463</f>
        <v>V1030</v>
      </c>
      <c r="C466" s="16" t="str">
        <f aca="false">IFERROR(INDEX(Vendor_Master!$B$2:$B$41,MATCH(B466,Vendor_Master!$A$2:$A$41,0)),"Unknown Vendor")</f>
        <v>Stanton-Gill</v>
      </c>
      <c r="D466" s="17" t="n">
        <f aca="false">Vendor_Invoices_AP!D463</f>
        <v>46124</v>
      </c>
      <c r="E466" s="17" t="n">
        <f aca="false">Vendor_Invoices_AP!F463</f>
        <v>46184</v>
      </c>
      <c r="F466" s="18" t="n">
        <f aca="false">Vendor_Invoices_AP!E463</f>
        <v>3088.46</v>
      </c>
      <c r="G466" s="18" t="n">
        <f aca="false">SUMIFS(Payment_Log_AP!$E$2:$E$753,Payment_Log_AP!$B$2:$B$753,A466)</f>
        <v>3088.46</v>
      </c>
      <c r="H466" s="18" t="n">
        <f aca="false">F466-G466</f>
        <v>0</v>
      </c>
      <c r="I466" s="16" t="n">
        <f aca="false">IF(H466&lt;=0.01,0,MAX(Assumptions!$B$5-E466,0))</f>
        <v>0</v>
      </c>
      <c r="J466" s="16" t="str">
        <f aca="false">IF(H466&lt;=0.01,"Paid",IF(I466&lt;=30,"0-30",IF(I466&lt;=60,"31-60",IF(I466&lt;=90,"61-90","90+"))))</f>
        <v>Paid</v>
      </c>
      <c r="K466" s="16" t="str">
        <f aca="false">IF(H466&lt;=0.01,"Paid",IF(G466&gt;0,"Partially Paid","Unpaid"))</f>
        <v>Paid</v>
      </c>
    </row>
    <row r="467" customFormat="false" ht="15" hidden="false" customHeight="false" outlineLevel="0" collapsed="false">
      <c r="A467" s="16" t="str">
        <f aca="false">Vendor_Invoices_AP!A464</f>
        <v>INV30463</v>
      </c>
      <c r="B467" s="16" t="str">
        <f aca="false">Vendor_Invoices_AP!C464</f>
        <v>V1027</v>
      </c>
      <c r="C467" s="16" t="str">
        <f aca="false">IFERROR(INDEX(Vendor_Master!$B$2:$B$41,MATCH(B467,Vendor_Master!$A$2:$A$41,0)),"Unknown Vendor")</f>
        <v>Valencia, Smith and Le</v>
      </c>
      <c r="D467" s="17" t="n">
        <f aca="false">Vendor_Invoices_AP!D464</f>
        <v>46203</v>
      </c>
      <c r="E467" s="17" t="n">
        <f aca="false">Vendor_Invoices_AP!F464</f>
        <v>46248</v>
      </c>
      <c r="F467" s="18" t="n">
        <f aca="false">Vendor_Invoices_AP!E464</f>
        <v>10752.87</v>
      </c>
      <c r="G467" s="18" t="n">
        <f aca="false">SUMIFS(Payment_Log_AP!$E$2:$E$753,Payment_Log_AP!$B$2:$B$753,A467)</f>
        <v>0</v>
      </c>
      <c r="H467" s="18" t="n">
        <f aca="false">F467-G467</f>
        <v>10752.87</v>
      </c>
      <c r="I467" s="16" t="n">
        <f aca="false">IF(H467&lt;=0.01,0,MAX(Assumptions!$B$5-E467,0))</f>
        <v>0</v>
      </c>
      <c r="J467" s="16" t="str">
        <f aca="false">IF(H467&lt;=0.01,"Paid",IF(I467&lt;=30,"0-30",IF(I467&lt;=60,"31-60",IF(I467&lt;=90,"61-90","90+"))))</f>
        <v>0-30</v>
      </c>
      <c r="K467" s="16" t="str">
        <f aca="false">IF(H467&lt;=0.01,"Paid",IF(G467&gt;0,"Partially Paid","Unpaid"))</f>
        <v>Unpaid</v>
      </c>
    </row>
    <row r="468" customFormat="false" ht="15" hidden="false" customHeight="false" outlineLevel="0" collapsed="false">
      <c r="A468" s="16" t="str">
        <f aca="false">Vendor_Invoices_AP!A465</f>
        <v>INV30464</v>
      </c>
      <c r="B468" s="16" t="str">
        <f aca="false">Vendor_Invoices_AP!C465</f>
        <v>V1009</v>
      </c>
      <c r="C468" s="16" t="str">
        <f aca="false">IFERROR(INDEX(Vendor_Master!$B$2:$B$41,MATCH(B468,Vendor_Master!$A$2:$A$41,0)),"Unknown Vendor")</f>
        <v>Munoz-Roman</v>
      </c>
      <c r="D468" s="17" t="n">
        <f aca="false">Vendor_Invoices_AP!D465</f>
        <v>45801</v>
      </c>
      <c r="E468" s="17" t="n">
        <f aca="false">Vendor_Invoices_AP!F465</f>
        <v>45831</v>
      </c>
      <c r="F468" s="18" t="n">
        <f aca="false">Vendor_Invoices_AP!E465</f>
        <v>3083.99</v>
      </c>
      <c r="G468" s="18" t="n">
        <f aca="false">SUMIFS(Payment_Log_AP!$E$2:$E$753,Payment_Log_AP!$B$2:$B$753,A468)</f>
        <v>3083.99</v>
      </c>
      <c r="H468" s="18" t="n">
        <f aca="false">F468-G468</f>
        <v>0</v>
      </c>
      <c r="I468" s="16" t="n">
        <f aca="false">IF(H468&lt;=0.01,0,MAX(Assumptions!$B$5-E468,0))</f>
        <v>0</v>
      </c>
      <c r="J468" s="16" t="str">
        <f aca="false">IF(H468&lt;=0.01,"Paid",IF(I468&lt;=30,"0-30",IF(I468&lt;=60,"31-60",IF(I468&lt;=90,"61-90","90+"))))</f>
        <v>Paid</v>
      </c>
      <c r="K468" s="16" t="str">
        <f aca="false">IF(H468&lt;=0.01,"Paid",IF(G468&gt;0,"Partially Paid","Unpaid"))</f>
        <v>Paid</v>
      </c>
    </row>
    <row r="469" customFormat="false" ht="15" hidden="false" customHeight="false" outlineLevel="0" collapsed="false">
      <c r="A469" s="16" t="str">
        <f aca="false">Vendor_Invoices_AP!A466</f>
        <v>INV30465</v>
      </c>
      <c r="B469" s="16" t="str">
        <f aca="false">Vendor_Invoices_AP!C466</f>
        <v>V1009</v>
      </c>
      <c r="C469" s="16" t="str">
        <f aca="false">IFERROR(INDEX(Vendor_Master!$B$2:$B$41,MATCH(B469,Vendor_Master!$A$2:$A$41,0)),"Unknown Vendor")</f>
        <v>Munoz-Roman</v>
      </c>
      <c r="D469" s="17" t="n">
        <f aca="false">Vendor_Invoices_AP!D466</f>
        <v>45974</v>
      </c>
      <c r="E469" s="17" t="n">
        <f aca="false">Vendor_Invoices_AP!F466</f>
        <v>46004</v>
      </c>
      <c r="F469" s="18" t="n">
        <f aca="false">Vendor_Invoices_AP!E466</f>
        <v>3006.22</v>
      </c>
      <c r="G469" s="18" t="n">
        <f aca="false">SUMIFS(Payment_Log_AP!$E$2:$E$753,Payment_Log_AP!$B$2:$B$753,A469)</f>
        <v>0</v>
      </c>
      <c r="H469" s="18" t="n">
        <f aca="false">F469-G469</f>
        <v>3006.22</v>
      </c>
      <c r="I469" s="16" t="n">
        <f aca="false">IF(H469&lt;=0.01,0,MAX(Assumptions!$B$5-E469,0))</f>
        <v>230</v>
      </c>
      <c r="J469" s="16" t="str">
        <f aca="false">IF(H469&lt;=0.01,"Paid",IF(I469&lt;=30,"0-30",IF(I469&lt;=60,"31-60",IF(I469&lt;=90,"61-90","90+"))))</f>
        <v>90+</v>
      </c>
      <c r="K469" s="16" t="str">
        <f aca="false">IF(H469&lt;=0.01,"Paid",IF(G469&gt;0,"Partially Paid","Unpaid"))</f>
        <v>Unpaid</v>
      </c>
    </row>
    <row r="470" customFormat="false" ht="15" hidden="false" customHeight="false" outlineLevel="0" collapsed="false">
      <c r="A470" s="16" t="str">
        <f aca="false">Vendor_Invoices_AP!A467</f>
        <v>INV30466</v>
      </c>
      <c r="B470" s="16" t="str">
        <f aca="false">Vendor_Invoices_AP!C467</f>
        <v>V1019</v>
      </c>
      <c r="C470" s="16" t="str">
        <f aca="false">IFERROR(INDEX(Vendor_Master!$B$2:$B$41,MATCH(B470,Vendor_Master!$A$2:$A$41,0)),"Unknown Vendor")</f>
        <v>Clark PLC</v>
      </c>
      <c r="D470" s="17" t="n">
        <f aca="false">Vendor_Invoices_AP!D467</f>
        <v>45870</v>
      </c>
      <c r="E470" s="17" t="n">
        <f aca="false">Vendor_Invoices_AP!F467</f>
        <v>45915</v>
      </c>
      <c r="F470" s="18" t="n">
        <f aca="false">Vendor_Invoices_AP!E467</f>
        <v>1846.25</v>
      </c>
      <c r="G470" s="18" t="n">
        <f aca="false">SUMIFS(Payment_Log_AP!$E$2:$E$753,Payment_Log_AP!$B$2:$B$753,A470)</f>
        <v>1846.25</v>
      </c>
      <c r="H470" s="18" t="n">
        <f aca="false">F470-G470</f>
        <v>0</v>
      </c>
      <c r="I470" s="16" t="n">
        <f aca="false">IF(H470&lt;=0.01,0,MAX(Assumptions!$B$5-E470,0))</f>
        <v>0</v>
      </c>
      <c r="J470" s="16" t="str">
        <f aca="false">IF(H470&lt;=0.01,"Paid",IF(I470&lt;=30,"0-30",IF(I470&lt;=60,"31-60",IF(I470&lt;=90,"61-90","90+"))))</f>
        <v>Paid</v>
      </c>
      <c r="K470" s="16" t="str">
        <f aca="false">IF(H470&lt;=0.01,"Paid",IF(G470&gt;0,"Partially Paid","Unpaid"))</f>
        <v>Paid</v>
      </c>
    </row>
    <row r="471" customFormat="false" ht="15" hidden="false" customHeight="false" outlineLevel="0" collapsed="false">
      <c r="A471" s="16" t="str">
        <f aca="false">Vendor_Invoices_AP!A468</f>
        <v>INV30467</v>
      </c>
      <c r="B471" s="16" t="str">
        <f aca="false">Vendor_Invoices_AP!C468</f>
        <v>V1011</v>
      </c>
      <c r="C471" s="16" t="str">
        <f aca="false">IFERROR(INDEX(Vendor_Master!$B$2:$B$41,MATCH(B471,Vendor_Master!$A$2:$A$41,0)),"Unknown Vendor")</f>
        <v>Montgomery, Hensley and Ray</v>
      </c>
      <c r="D471" s="17" t="n">
        <f aca="false">Vendor_Invoices_AP!D468</f>
        <v>46175</v>
      </c>
      <c r="E471" s="17" t="n">
        <f aca="false">Vendor_Invoices_AP!F468</f>
        <v>46220</v>
      </c>
      <c r="F471" s="18" t="n">
        <f aca="false">Vendor_Invoices_AP!E468</f>
        <v>1227.72</v>
      </c>
      <c r="G471" s="18" t="n">
        <f aca="false">SUMIFS(Payment_Log_AP!$E$2:$E$753,Payment_Log_AP!$B$2:$B$753,A471)</f>
        <v>0</v>
      </c>
      <c r="H471" s="18" t="n">
        <f aca="false">F471-G471</f>
        <v>1227.72</v>
      </c>
      <c r="I471" s="16" t="n">
        <f aca="false">IF(H471&lt;=0.01,0,MAX(Assumptions!$B$5-E471,0))</f>
        <v>14</v>
      </c>
      <c r="J471" s="16" t="str">
        <f aca="false">IF(H471&lt;=0.01,"Paid",IF(I471&lt;=30,"0-30",IF(I471&lt;=60,"31-60",IF(I471&lt;=90,"61-90","90+"))))</f>
        <v>0-30</v>
      </c>
      <c r="K471" s="16" t="str">
        <f aca="false">IF(H471&lt;=0.01,"Paid",IF(G471&gt;0,"Partially Paid","Unpaid"))</f>
        <v>Unpaid</v>
      </c>
    </row>
    <row r="472" customFormat="false" ht="15" hidden="false" customHeight="false" outlineLevel="0" collapsed="false">
      <c r="A472" s="16" t="str">
        <f aca="false">Vendor_Invoices_AP!A469</f>
        <v>INV30468</v>
      </c>
      <c r="B472" s="16" t="str">
        <f aca="false">Vendor_Invoices_AP!C469</f>
        <v>V1040</v>
      </c>
      <c r="C472" s="16" t="str">
        <f aca="false">IFERROR(INDEX(Vendor_Master!$B$2:$B$41,MATCH(B472,Vendor_Master!$A$2:$A$41,0)),"Unknown Vendor")</f>
        <v>Santos, Kim and Holmes</v>
      </c>
      <c r="D472" s="17" t="n">
        <f aca="false">Vendor_Invoices_AP!D469</f>
        <v>45954</v>
      </c>
      <c r="E472" s="17" t="n">
        <f aca="false">Vendor_Invoices_AP!F469</f>
        <v>45969</v>
      </c>
      <c r="F472" s="18" t="n">
        <f aca="false">Vendor_Invoices_AP!E469</f>
        <v>705.45</v>
      </c>
      <c r="G472" s="18" t="n">
        <f aca="false">SUMIFS(Payment_Log_AP!$E$2:$E$753,Payment_Log_AP!$B$2:$B$753,A472)</f>
        <v>0</v>
      </c>
      <c r="H472" s="18" t="n">
        <f aca="false">F472-G472</f>
        <v>705.45</v>
      </c>
      <c r="I472" s="16" t="n">
        <f aca="false">IF(H472&lt;=0.01,0,MAX(Assumptions!$B$5-E472,0))</f>
        <v>265</v>
      </c>
      <c r="J472" s="16" t="str">
        <f aca="false">IF(H472&lt;=0.01,"Paid",IF(I472&lt;=30,"0-30",IF(I472&lt;=60,"31-60",IF(I472&lt;=90,"61-90","90+"))))</f>
        <v>90+</v>
      </c>
      <c r="K472" s="16" t="str">
        <f aca="false">IF(H472&lt;=0.01,"Paid",IF(G472&gt;0,"Partially Paid","Unpaid"))</f>
        <v>Unpaid</v>
      </c>
    </row>
    <row r="473" customFormat="false" ht="15" hidden="false" customHeight="false" outlineLevel="0" collapsed="false">
      <c r="A473" s="16" t="str">
        <f aca="false">Vendor_Invoices_AP!A470</f>
        <v>INV30469</v>
      </c>
      <c r="B473" s="16" t="str">
        <f aca="false">Vendor_Invoices_AP!C470</f>
        <v>V1026</v>
      </c>
      <c r="C473" s="16" t="str">
        <f aca="false">IFERROR(INDEX(Vendor_Master!$B$2:$B$41,MATCH(B473,Vendor_Master!$A$2:$A$41,0)),"Unknown Vendor")</f>
        <v>James-Ferrell</v>
      </c>
      <c r="D473" s="17" t="n">
        <f aca="false">Vendor_Invoices_AP!D470</f>
        <v>46153</v>
      </c>
      <c r="E473" s="17" t="n">
        <f aca="false">Vendor_Invoices_AP!F470</f>
        <v>46213</v>
      </c>
      <c r="F473" s="18" t="n">
        <f aca="false">Vendor_Invoices_AP!E470</f>
        <v>12801.13</v>
      </c>
      <c r="G473" s="18" t="n">
        <f aca="false">SUMIFS(Payment_Log_AP!$E$2:$E$753,Payment_Log_AP!$B$2:$B$753,A473)</f>
        <v>0</v>
      </c>
      <c r="H473" s="18" t="n">
        <f aca="false">F473-G473</f>
        <v>12801.13</v>
      </c>
      <c r="I473" s="16" t="n">
        <f aca="false">IF(H473&lt;=0.01,0,MAX(Assumptions!$B$5-E473,0))</f>
        <v>21</v>
      </c>
      <c r="J473" s="16" t="str">
        <f aca="false">IF(H473&lt;=0.01,"Paid",IF(I473&lt;=30,"0-30",IF(I473&lt;=60,"31-60",IF(I473&lt;=90,"61-90","90+"))))</f>
        <v>0-30</v>
      </c>
      <c r="K473" s="16" t="str">
        <f aca="false">IF(H473&lt;=0.01,"Paid",IF(G473&gt;0,"Partially Paid","Unpaid"))</f>
        <v>Unpaid</v>
      </c>
    </row>
    <row r="474" customFormat="false" ht="15" hidden="false" customHeight="false" outlineLevel="0" collapsed="false">
      <c r="A474" s="16" t="str">
        <f aca="false">Vendor_Invoices_AP!A471</f>
        <v>INV30470</v>
      </c>
      <c r="B474" s="16" t="str">
        <f aca="false">Vendor_Invoices_AP!C471</f>
        <v>V1016</v>
      </c>
      <c r="C474" s="16" t="str">
        <f aca="false">IFERROR(INDEX(Vendor_Master!$B$2:$B$41,MATCH(B474,Vendor_Master!$A$2:$A$41,0)),"Unknown Vendor")</f>
        <v>Sanchez, Ford and Nelson</v>
      </c>
      <c r="D474" s="17" t="n">
        <f aca="false">Vendor_Invoices_AP!D471</f>
        <v>46136</v>
      </c>
      <c r="E474" s="17" t="n">
        <f aca="false">Vendor_Invoices_AP!F471</f>
        <v>46166</v>
      </c>
      <c r="F474" s="18" t="n">
        <f aca="false">Vendor_Invoices_AP!E471</f>
        <v>4660.66</v>
      </c>
      <c r="G474" s="18" t="n">
        <f aca="false">SUMIFS(Payment_Log_AP!$E$2:$E$753,Payment_Log_AP!$B$2:$B$753,A474)</f>
        <v>4660.66</v>
      </c>
      <c r="H474" s="18" t="n">
        <f aca="false">F474-G474</f>
        <v>0</v>
      </c>
      <c r="I474" s="16" t="n">
        <f aca="false">IF(H474&lt;=0.01,0,MAX(Assumptions!$B$5-E474,0))</f>
        <v>0</v>
      </c>
      <c r="J474" s="16" t="str">
        <f aca="false">IF(H474&lt;=0.01,"Paid",IF(I474&lt;=30,"0-30",IF(I474&lt;=60,"31-60",IF(I474&lt;=90,"61-90","90+"))))</f>
        <v>Paid</v>
      </c>
      <c r="K474" s="16" t="str">
        <f aca="false">IF(H474&lt;=0.01,"Paid",IF(G474&gt;0,"Partially Paid","Unpaid"))</f>
        <v>Paid</v>
      </c>
    </row>
    <row r="475" customFormat="false" ht="15" hidden="false" customHeight="false" outlineLevel="0" collapsed="false">
      <c r="A475" s="16" t="str">
        <f aca="false">Vendor_Invoices_AP!A472</f>
        <v>INV30471</v>
      </c>
      <c r="B475" s="16" t="str">
        <f aca="false">Vendor_Invoices_AP!C472</f>
        <v>V1011</v>
      </c>
      <c r="C475" s="16" t="str">
        <f aca="false">IFERROR(INDEX(Vendor_Master!$B$2:$B$41,MATCH(B475,Vendor_Master!$A$2:$A$41,0)),"Unknown Vendor")</f>
        <v>Montgomery, Hensley and Ray</v>
      </c>
      <c r="D475" s="17" t="n">
        <f aca="false">Vendor_Invoices_AP!D472</f>
        <v>45827</v>
      </c>
      <c r="E475" s="17" t="n">
        <f aca="false">Vendor_Invoices_AP!F472</f>
        <v>45872</v>
      </c>
      <c r="F475" s="18" t="n">
        <f aca="false">Vendor_Invoices_AP!E472</f>
        <v>4354.54</v>
      </c>
      <c r="G475" s="18" t="n">
        <f aca="false">SUMIFS(Payment_Log_AP!$E$2:$E$753,Payment_Log_AP!$B$2:$B$753,A475)</f>
        <v>4354.54</v>
      </c>
      <c r="H475" s="18" t="n">
        <f aca="false">F475-G475</f>
        <v>0</v>
      </c>
      <c r="I475" s="16" t="n">
        <f aca="false">IF(H475&lt;=0.01,0,MAX(Assumptions!$B$5-E475,0))</f>
        <v>0</v>
      </c>
      <c r="J475" s="16" t="str">
        <f aca="false">IF(H475&lt;=0.01,"Paid",IF(I475&lt;=30,"0-30",IF(I475&lt;=60,"31-60",IF(I475&lt;=90,"61-90","90+"))))</f>
        <v>Paid</v>
      </c>
      <c r="K475" s="16" t="str">
        <f aca="false">IF(H475&lt;=0.01,"Paid",IF(G475&gt;0,"Partially Paid","Unpaid"))</f>
        <v>Paid</v>
      </c>
    </row>
    <row r="476" customFormat="false" ht="15" hidden="false" customHeight="false" outlineLevel="0" collapsed="false">
      <c r="A476" s="16" t="str">
        <f aca="false">Vendor_Invoices_AP!A473</f>
        <v>INV30472</v>
      </c>
      <c r="B476" s="16" t="str">
        <f aca="false">Vendor_Invoices_AP!C473</f>
        <v>V1007</v>
      </c>
      <c r="C476" s="16" t="str">
        <f aca="false">IFERROR(INDEX(Vendor_Master!$B$2:$B$41,MATCH(B476,Vendor_Master!$A$2:$A$41,0)),"Unknown Vendor")</f>
        <v>Ramirez-Lewis</v>
      </c>
      <c r="D476" s="17" t="n">
        <f aca="false">Vendor_Invoices_AP!D473</f>
        <v>46104</v>
      </c>
      <c r="E476" s="17" t="n">
        <f aca="false">Vendor_Invoices_AP!F473</f>
        <v>46119</v>
      </c>
      <c r="F476" s="18" t="n">
        <f aca="false">Vendor_Invoices_AP!E473</f>
        <v>1820.28</v>
      </c>
      <c r="G476" s="18" t="n">
        <f aca="false">SUMIFS(Payment_Log_AP!$E$2:$E$753,Payment_Log_AP!$B$2:$B$753,A476)</f>
        <v>1820.28</v>
      </c>
      <c r="H476" s="18" t="n">
        <f aca="false">F476-G476</f>
        <v>0</v>
      </c>
      <c r="I476" s="16" t="n">
        <f aca="false">IF(H476&lt;=0.01,0,MAX(Assumptions!$B$5-E476,0))</f>
        <v>0</v>
      </c>
      <c r="J476" s="16" t="str">
        <f aca="false">IF(H476&lt;=0.01,"Paid",IF(I476&lt;=30,"0-30",IF(I476&lt;=60,"31-60",IF(I476&lt;=90,"61-90","90+"))))</f>
        <v>Paid</v>
      </c>
      <c r="K476" s="16" t="str">
        <f aca="false">IF(H476&lt;=0.01,"Paid",IF(G476&gt;0,"Partially Paid","Unpaid"))</f>
        <v>Paid</v>
      </c>
    </row>
    <row r="477" customFormat="false" ht="15" hidden="false" customHeight="false" outlineLevel="0" collapsed="false">
      <c r="A477" s="16" t="str">
        <f aca="false">Vendor_Invoices_AP!A474</f>
        <v>INV30473</v>
      </c>
      <c r="B477" s="16" t="str">
        <f aca="false">Vendor_Invoices_AP!C474</f>
        <v>V1001</v>
      </c>
      <c r="C477" s="16" t="str">
        <f aca="false">IFERROR(INDEX(Vendor_Master!$B$2:$B$41,MATCH(B477,Vendor_Master!$A$2:$A$41,0)),"Unknown Vendor")</f>
        <v>Figueroa and Sons</v>
      </c>
      <c r="D477" s="17" t="n">
        <f aca="false">Vendor_Invoices_AP!D474</f>
        <v>45908</v>
      </c>
      <c r="E477" s="17" t="n">
        <f aca="false">Vendor_Invoices_AP!F474</f>
        <v>45953</v>
      </c>
      <c r="F477" s="18" t="n">
        <f aca="false">Vendor_Invoices_AP!E474</f>
        <v>513.07</v>
      </c>
      <c r="G477" s="18" t="n">
        <f aca="false">SUMIFS(Payment_Log_AP!$E$2:$E$753,Payment_Log_AP!$B$2:$B$753,A477)</f>
        <v>0</v>
      </c>
      <c r="H477" s="18" t="n">
        <f aca="false">F477-G477</f>
        <v>513.07</v>
      </c>
      <c r="I477" s="16" t="n">
        <f aca="false">IF(H477&lt;=0.01,0,MAX(Assumptions!$B$5-E477,0))</f>
        <v>281</v>
      </c>
      <c r="J477" s="16" t="str">
        <f aca="false">IF(H477&lt;=0.01,"Paid",IF(I477&lt;=30,"0-30",IF(I477&lt;=60,"31-60",IF(I477&lt;=90,"61-90","90+"))))</f>
        <v>90+</v>
      </c>
      <c r="K477" s="16" t="str">
        <f aca="false">IF(H477&lt;=0.01,"Paid",IF(G477&gt;0,"Partially Paid","Unpaid"))</f>
        <v>Unpaid</v>
      </c>
    </row>
    <row r="478" customFormat="false" ht="15" hidden="false" customHeight="false" outlineLevel="0" collapsed="false">
      <c r="A478" s="16" t="str">
        <f aca="false">Vendor_Invoices_AP!A475</f>
        <v>INV30474</v>
      </c>
      <c r="B478" s="16" t="str">
        <f aca="false">Vendor_Invoices_AP!C475</f>
        <v>V1028</v>
      </c>
      <c r="C478" s="16" t="str">
        <f aca="false">IFERROR(INDEX(Vendor_Master!$B$2:$B$41,MATCH(B478,Vendor_Master!$A$2:$A$41,0)),"Unknown Vendor")</f>
        <v>Potter, Mack and Peterson</v>
      </c>
      <c r="D478" s="17" t="n">
        <f aca="false">Vendor_Invoices_AP!D475</f>
        <v>46190</v>
      </c>
      <c r="E478" s="17" t="n">
        <f aca="false">Vendor_Invoices_AP!F475</f>
        <v>46235</v>
      </c>
      <c r="F478" s="18" t="n">
        <f aca="false">Vendor_Invoices_AP!E475</f>
        <v>4649.2</v>
      </c>
      <c r="G478" s="18" t="n">
        <f aca="false">SUMIFS(Payment_Log_AP!$E$2:$E$753,Payment_Log_AP!$B$2:$B$753,A478)</f>
        <v>0</v>
      </c>
      <c r="H478" s="18" t="n">
        <f aca="false">F478-G478</f>
        <v>4649.2</v>
      </c>
      <c r="I478" s="16" t="n">
        <f aca="false">IF(H478&lt;=0.01,0,MAX(Assumptions!$B$5-E478,0))</f>
        <v>0</v>
      </c>
      <c r="J478" s="16" t="str">
        <f aca="false">IF(H478&lt;=0.01,"Paid",IF(I478&lt;=30,"0-30",IF(I478&lt;=60,"31-60",IF(I478&lt;=90,"61-90","90+"))))</f>
        <v>0-30</v>
      </c>
      <c r="K478" s="16" t="str">
        <f aca="false">IF(H478&lt;=0.01,"Paid",IF(G478&gt;0,"Partially Paid","Unpaid"))</f>
        <v>Unpaid</v>
      </c>
    </row>
    <row r="479" customFormat="false" ht="15" hidden="false" customHeight="false" outlineLevel="0" collapsed="false">
      <c r="A479" s="16" t="str">
        <f aca="false">Vendor_Invoices_AP!A476</f>
        <v>INV30475</v>
      </c>
      <c r="B479" s="16" t="str">
        <f aca="false">Vendor_Invoices_AP!C476</f>
        <v>V1013</v>
      </c>
      <c r="C479" s="16" t="str">
        <f aca="false">IFERROR(INDEX(Vendor_Master!$B$2:$B$41,MATCH(B479,Vendor_Master!$A$2:$A$41,0)),"Unknown Vendor")</f>
        <v>Delacruz Group</v>
      </c>
      <c r="D479" s="17" t="n">
        <f aca="false">Vendor_Invoices_AP!D476</f>
        <v>45951</v>
      </c>
      <c r="E479" s="17" t="n">
        <f aca="false">Vendor_Invoices_AP!F476</f>
        <v>45966</v>
      </c>
      <c r="F479" s="18" t="n">
        <f aca="false">Vendor_Invoices_AP!E476</f>
        <v>1334.13</v>
      </c>
      <c r="G479" s="18" t="n">
        <f aca="false">SUMIFS(Payment_Log_AP!$E$2:$E$753,Payment_Log_AP!$B$2:$B$753,A479)</f>
        <v>1334.13</v>
      </c>
      <c r="H479" s="18" t="n">
        <f aca="false">F479-G479</f>
        <v>0</v>
      </c>
      <c r="I479" s="16" t="n">
        <f aca="false">IF(H479&lt;=0.01,0,MAX(Assumptions!$B$5-E479,0))</f>
        <v>0</v>
      </c>
      <c r="J479" s="16" t="str">
        <f aca="false">IF(H479&lt;=0.01,"Paid",IF(I479&lt;=30,"0-30",IF(I479&lt;=60,"31-60",IF(I479&lt;=90,"61-90","90+"))))</f>
        <v>Paid</v>
      </c>
      <c r="K479" s="16" t="str">
        <f aca="false">IF(H479&lt;=0.01,"Paid",IF(G479&gt;0,"Partially Paid","Unpaid"))</f>
        <v>Paid</v>
      </c>
    </row>
    <row r="480" customFormat="false" ht="15" hidden="false" customHeight="false" outlineLevel="0" collapsed="false">
      <c r="A480" s="16" t="str">
        <f aca="false">Vendor_Invoices_AP!A477</f>
        <v>INV30476</v>
      </c>
      <c r="B480" s="16" t="str">
        <f aca="false">Vendor_Invoices_AP!C477</f>
        <v>V1011</v>
      </c>
      <c r="C480" s="16" t="str">
        <f aca="false">IFERROR(INDEX(Vendor_Master!$B$2:$B$41,MATCH(B480,Vendor_Master!$A$2:$A$41,0)),"Unknown Vendor")</f>
        <v>Montgomery, Hensley and Ray</v>
      </c>
      <c r="D480" s="17" t="n">
        <f aca="false">Vendor_Invoices_AP!D477</f>
        <v>46126</v>
      </c>
      <c r="E480" s="17" t="n">
        <f aca="false">Vendor_Invoices_AP!F477</f>
        <v>46171</v>
      </c>
      <c r="F480" s="18" t="n">
        <f aca="false">Vendor_Invoices_AP!E477</f>
        <v>2328.91</v>
      </c>
      <c r="G480" s="18" t="n">
        <f aca="false">SUMIFS(Payment_Log_AP!$E$2:$E$753,Payment_Log_AP!$B$2:$B$753,A480)</f>
        <v>2328.91</v>
      </c>
      <c r="H480" s="18" t="n">
        <f aca="false">F480-G480</f>
        <v>0</v>
      </c>
      <c r="I480" s="16" t="n">
        <f aca="false">IF(H480&lt;=0.01,0,MAX(Assumptions!$B$5-E480,0))</f>
        <v>0</v>
      </c>
      <c r="J480" s="16" t="str">
        <f aca="false">IF(H480&lt;=0.01,"Paid",IF(I480&lt;=30,"0-30",IF(I480&lt;=60,"31-60",IF(I480&lt;=90,"61-90","90+"))))</f>
        <v>Paid</v>
      </c>
      <c r="K480" s="16" t="str">
        <f aca="false">IF(H480&lt;=0.01,"Paid",IF(G480&gt;0,"Partially Paid","Unpaid"))</f>
        <v>Paid</v>
      </c>
    </row>
    <row r="481" customFormat="false" ht="15" hidden="false" customHeight="false" outlineLevel="0" collapsed="false">
      <c r="A481" s="16" t="str">
        <f aca="false">Vendor_Invoices_AP!A478</f>
        <v>INV30477</v>
      </c>
      <c r="B481" s="16" t="str">
        <f aca="false">Vendor_Invoices_AP!C478</f>
        <v>V1036</v>
      </c>
      <c r="C481" s="16" t="str">
        <f aca="false">IFERROR(INDEX(Vendor_Master!$B$2:$B$41,MATCH(B481,Vendor_Master!$A$2:$A$41,0)),"Unknown Vendor")</f>
        <v>Dennis Inc</v>
      </c>
      <c r="D481" s="17" t="n">
        <f aca="false">Vendor_Invoices_AP!D478</f>
        <v>45819</v>
      </c>
      <c r="E481" s="17" t="n">
        <f aca="false">Vendor_Invoices_AP!F478</f>
        <v>45864</v>
      </c>
      <c r="F481" s="18" t="n">
        <f aca="false">Vendor_Invoices_AP!E478</f>
        <v>460.42</v>
      </c>
      <c r="G481" s="18" t="n">
        <f aca="false">SUMIFS(Payment_Log_AP!$E$2:$E$753,Payment_Log_AP!$B$2:$B$753,A481)</f>
        <v>460.42</v>
      </c>
      <c r="H481" s="18" t="n">
        <f aca="false">F481-G481</f>
        <v>0</v>
      </c>
      <c r="I481" s="16" t="n">
        <f aca="false">IF(H481&lt;=0.01,0,MAX(Assumptions!$B$5-E481,0))</f>
        <v>0</v>
      </c>
      <c r="J481" s="16" t="str">
        <f aca="false">IF(H481&lt;=0.01,"Paid",IF(I481&lt;=30,"0-30",IF(I481&lt;=60,"31-60",IF(I481&lt;=90,"61-90","90+"))))</f>
        <v>Paid</v>
      </c>
      <c r="K481" s="16" t="str">
        <f aca="false">IF(H481&lt;=0.01,"Paid",IF(G481&gt;0,"Partially Paid","Unpaid"))</f>
        <v>Paid</v>
      </c>
    </row>
    <row r="482" customFormat="false" ht="15" hidden="false" customHeight="false" outlineLevel="0" collapsed="false">
      <c r="A482" s="16" t="str">
        <f aca="false">Vendor_Invoices_AP!A479</f>
        <v>INV30478</v>
      </c>
      <c r="B482" s="16" t="str">
        <f aca="false">Vendor_Invoices_AP!C479</f>
        <v>V1030</v>
      </c>
      <c r="C482" s="16" t="str">
        <f aca="false">IFERROR(INDEX(Vendor_Master!$B$2:$B$41,MATCH(B482,Vendor_Master!$A$2:$A$41,0)),"Unknown Vendor")</f>
        <v>Stanton-Gill</v>
      </c>
      <c r="D482" s="17" t="n">
        <f aca="false">Vendor_Invoices_AP!D479</f>
        <v>45832</v>
      </c>
      <c r="E482" s="17" t="n">
        <f aca="false">Vendor_Invoices_AP!F479</f>
        <v>45892</v>
      </c>
      <c r="F482" s="18" t="n">
        <f aca="false">Vendor_Invoices_AP!E479</f>
        <v>820.42</v>
      </c>
      <c r="G482" s="18" t="n">
        <f aca="false">SUMIFS(Payment_Log_AP!$E$2:$E$753,Payment_Log_AP!$B$2:$B$753,A482)</f>
        <v>820.42</v>
      </c>
      <c r="H482" s="18" t="n">
        <f aca="false">F482-G482</f>
        <v>0</v>
      </c>
      <c r="I482" s="16" t="n">
        <f aca="false">IF(H482&lt;=0.01,0,MAX(Assumptions!$B$5-E482,0))</f>
        <v>0</v>
      </c>
      <c r="J482" s="16" t="str">
        <f aca="false">IF(H482&lt;=0.01,"Paid",IF(I482&lt;=30,"0-30",IF(I482&lt;=60,"31-60",IF(I482&lt;=90,"61-90","90+"))))</f>
        <v>Paid</v>
      </c>
      <c r="K482" s="16" t="str">
        <f aca="false">IF(H482&lt;=0.01,"Paid",IF(G482&gt;0,"Partially Paid","Unpaid"))</f>
        <v>Paid</v>
      </c>
    </row>
    <row r="483" customFormat="false" ht="15" hidden="false" customHeight="false" outlineLevel="0" collapsed="false">
      <c r="A483" s="16" t="str">
        <f aca="false">Vendor_Invoices_AP!A480</f>
        <v>INV30479</v>
      </c>
      <c r="B483" s="16" t="str">
        <f aca="false">Vendor_Invoices_AP!C480</f>
        <v>V1028</v>
      </c>
      <c r="C483" s="16" t="str">
        <f aca="false">IFERROR(INDEX(Vendor_Master!$B$2:$B$41,MATCH(B483,Vendor_Master!$A$2:$A$41,0)),"Unknown Vendor")</f>
        <v>Potter, Mack and Peterson</v>
      </c>
      <c r="D483" s="17" t="n">
        <f aca="false">Vendor_Invoices_AP!D480</f>
        <v>45994</v>
      </c>
      <c r="E483" s="17" t="n">
        <f aca="false">Vendor_Invoices_AP!F480</f>
        <v>46039</v>
      </c>
      <c r="F483" s="18" t="n">
        <f aca="false">Vendor_Invoices_AP!E480</f>
        <v>1135.98</v>
      </c>
      <c r="G483" s="18" t="n">
        <f aca="false">SUMIFS(Payment_Log_AP!$E$2:$E$753,Payment_Log_AP!$B$2:$B$753,A483)</f>
        <v>2271.96</v>
      </c>
      <c r="H483" s="18" t="n">
        <f aca="false">F483-G483</f>
        <v>-1135.98</v>
      </c>
      <c r="I483" s="16" t="n">
        <f aca="false">IF(H483&lt;=0.01,0,MAX(Assumptions!$B$5-E483,0))</f>
        <v>0</v>
      </c>
      <c r="J483" s="16" t="str">
        <f aca="false">IF(H483&lt;=0.01,"Paid",IF(I483&lt;=30,"0-30",IF(I483&lt;=60,"31-60",IF(I483&lt;=90,"61-90","90+"))))</f>
        <v>Paid</v>
      </c>
      <c r="K483" s="16" t="str">
        <f aca="false">IF(H483&lt;=0.01,"Paid",IF(G483&gt;0,"Partially Paid","Unpaid"))</f>
        <v>Paid</v>
      </c>
    </row>
    <row r="484" customFormat="false" ht="15" hidden="false" customHeight="false" outlineLevel="0" collapsed="false">
      <c r="A484" s="16" t="str">
        <f aca="false">Vendor_Invoices_AP!A481</f>
        <v>INV30480</v>
      </c>
      <c r="B484" s="16" t="str">
        <f aca="false">Vendor_Invoices_AP!C481</f>
        <v>V1028</v>
      </c>
      <c r="C484" s="16" t="str">
        <f aca="false">IFERROR(INDEX(Vendor_Master!$B$2:$B$41,MATCH(B484,Vendor_Master!$A$2:$A$41,0)),"Unknown Vendor")</f>
        <v>Potter, Mack and Peterson</v>
      </c>
      <c r="D484" s="17" t="n">
        <f aca="false">Vendor_Invoices_AP!D481</f>
        <v>45994</v>
      </c>
      <c r="E484" s="17" t="n">
        <f aca="false">Vendor_Invoices_AP!F481</f>
        <v>46039</v>
      </c>
      <c r="F484" s="18" t="n">
        <f aca="false">Vendor_Invoices_AP!E481</f>
        <v>1135.98</v>
      </c>
      <c r="G484" s="18" t="n">
        <f aca="false">SUMIFS(Payment_Log_AP!$E$2:$E$753,Payment_Log_AP!$B$2:$B$753,A484)</f>
        <v>1135.98</v>
      </c>
      <c r="H484" s="18" t="n">
        <f aca="false">F484-G484</f>
        <v>0</v>
      </c>
      <c r="I484" s="16" t="n">
        <f aca="false">IF(H484&lt;=0.01,0,MAX(Assumptions!$B$5-E484,0))</f>
        <v>0</v>
      </c>
      <c r="J484" s="16" t="str">
        <f aca="false">IF(H484&lt;=0.01,"Paid",IF(I484&lt;=30,"0-30",IF(I484&lt;=60,"31-60",IF(I484&lt;=90,"61-90","90+"))))</f>
        <v>Paid</v>
      </c>
      <c r="K484" s="16" t="str">
        <f aca="false">IF(H484&lt;=0.01,"Paid",IF(G484&gt;0,"Partially Paid","Unpaid"))</f>
        <v>Paid</v>
      </c>
    </row>
    <row r="485" customFormat="false" ht="15" hidden="false" customHeight="false" outlineLevel="0" collapsed="false">
      <c r="A485" s="16" t="str">
        <f aca="false">Vendor_Invoices_AP!A482</f>
        <v>INV30481</v>
      </c>
      <c r="B485" s="16" t="str">
        <f aca="false">Vendor_Invoices_AP!C482</f>
        <v>V1007</v>
      </c>
      <c r="C485" s="16" t="str">
        <f aca="false">IFERROR(INDEX(Vendor_Master!$B$2:$B$41,MATCH(B485,Vendor_Master!$A$2:$A$41,0)),"Unknown Vendor")</f>
        <v>Ramirez-Lewis</v>
      </c>
      <c r="D485" s="17" t="n">
        <f aca="false">Vendor_Invoices_AP!D482</f>
        <v>46215</v>
      </c>
      <c r="E485" s="17" t="n">
        <f aca="false">Vendor_Invoices_AP!F482</f>
        <v>46230</v>
      </c>
      <c r="F485" s="18" t="n">
        <f aca="false">Vendor_Invoices_AP!E482</f>
        <v>5599.82</v>
      </c>
      <c r="G485" s="18" t="n">
        <f aca="false">SUMIFS(Payment_Log_AP!$E$2:$E$753,Payment_Log_AP!$B$2:$B$753,A485)</f>
        <v>0</v>
      </c>
      <c r="H485" s="18" t="n">
        <f aca="false">F485-G485</f>
        <v>5599.82</v>
      </c>
      <c r="I485" s="16" t="n">
        <f aca="false">IF(H485&lt;=0.01,0,MAX(Assumptions!$B$5-E485,0))</f>
        <v>4</v>
      </c>
      <c r="J485" s="16" t="str">
        <f aca="false">IF(H485&lt;=0.01,"Paid",IF(I485&lt;=30,"0-30",IF(I485&lt;=60,"31-60",IF(I485&lt;=90,"61-90","90+"))))</f>
        <v>0-30</v>
      </c>
      <c r="K485" s="16" t="str">
        <f aca="false">IF(H485&lt;=0.01,"Paid",IF(G485&gt;0,"Partially Paid","Unpaid"))</f>
        <v>Unpaid</v>
      </c>
    </row>
    <row r="486" customFormat="false" ht="15" hidden="false" customHeight="false" outlineLevel="0" collapsed="false">
      <c r="A486" s="16" t="str">
        <f aca="false">Vendor_Invoices_AP!A483</f>
        <v>INV30482</v>
      </c>
      <c r="B486" s="16" t="str">
        <f aca="false">Vendor_Invoices_AP!C483</f>
        <v>V1001</v>
      </c>
      <c r="C486" s="16" t="str">
        <f aca="false">IFERROR(INDEX(Vendor_Master!$B$2:$B$41,MATCH(B486,Vendor_Master!$A$2:$A$41,0)),"Unknown Vendor")</f>
        <v>Figueroa and Sons</v>
      </c>
      <c r="D486" s="17" t="n">
        <f aca="false">Vendor_Invoices_AP!D483</f>
        <v>45929</v>
      </c>
      <c r="E486" s="17" t="n">
        <f aca="false">Vendor_Invoices_AP!F483</f>
        <v>45974</v>
      </c>
      <c r="F486" s="18" t="n">
        <f aca="false">Vendor_Invoices_AP!E483</f>
        <v>15313.53</v>
      </c>
      <c r="G486" s="18" t="n">
        <f aca="false">SUMIFS(Payment_Log_AP!$E$2:$E$753,Payment_Log_AP!$B$2:$B$753,A486)</f>
        <v>15313.53</v>
      </c>
      <c r="H486" s="18" t="n">
        <f aca="false">F486-G486</f>
        <v>0</v>
      </c>
      <c r="I486" s="16" t="n">
        <f aca="false">IF(H486&lt;=0.01,0,MAX(Assumptions!$B$5-E486,0))</f>
        <v>0</v>
      </c>
      <c r="J486" s="16" t="str">
        <f aca="false">IF(H486&lt;=0.01,"Paid",IF(I486&lt;=30,"0-30",IF(I486&lt;=60,"31-60",IF(I486&lt;=90,"61-90","90+"))))</f>
        <v>Paid</v>
      </c>
      <c r="K486" s="16" t="str">
        <f aca="false">IF(H486&lt;=0.01,"Paid",IF(G486&gt;0,"Partially Paid","Unpaid"))</f>
        <v>Paid</v>
      </c>
    </row>
    <row r="487" customFormat="false" ht="15" hidden="false" customHeight="false" outlineLevel="0" collapsed="false">
      <c r="A487" s="16" t="str">
        <f aca="false">Vendor_Invoices_AP!A484</f>
        <v>INV30483</v>
      </c>
      <c r="B487" s="16" t="str">
        <f aca="false">Vendor_Invoices_AP!C484</f>
        <v>V1007</v>
      </c>
      <c r="C487" s="16" t="str">
        <f aca="false">IFERROR(INDEX(Vendor_Master!$B$2:$B$41,MATCH(B487,Vendor_Master!$A$2:$A$41,0)),"Unknown Vendor")</f>
        <v>Ramirez-Lewis</v>
      </c>
      <c r="D487" s="17" t="n">
        <f aca="false">Vendor_Invoices_AP!D484</f>
        <v>45743</v>
      </c>
      <c r="E487" s="17" t="n">
        <f aca="false">Vendor_Invoices_AP!F484</f>
        <v>45758</v>
      </c>
      <c r="F487" s="18" t="n">
        <f aca="false">Vendor_Invoices_AP!E484</f>
        <v>653.1</v>
      </c>
      <c r="G487" s="18" t="n">
        <f aca="false">SUMIFS(Payment_Log_AP!$E$2:$E$753,Payment_Log_AP!$B$2:$B$753,A487)</f>
        <v>653.1</v>
      </c>
      <c r="H487" s="18" t="n">
        <f aca="false">F487-G487</f>
        <v>0</v>
      </c>
      <c r="I487" s="16" t="n">
        <f aca="false">IF(H487&lt;=0.01,0,MAX(Assumptions!$B$5-E487,0))</f>
        <v>0</v>
      </c>
      <c r="J487" s="16" t="str">
        <f aca="false">IF(H487&lt;=0.01,"Paid",IF(I487&lt;=30,"0-30",IF(I487&lt;=60,"31-60",IF(I487&lt;=90,"61-90","90+"))))</f>
        <v>Paid</v>
      </c>
      <c r="K487" s="16" t="str">
        <f aca="false">IF(H487&lt;=0.01,"Paid",IF(G487&gt;0,"Partially Paid","Unpaid"))</f>
        <v>Paid</v>
      </c>
    </row>
    <row r="488" customFormat="false" ht="15" hidden="false" customHeight="false" outlineLevel="0" collapsed="false">
      <c r="A488" s="16" t="str">
        <f aca="false">Vendor_Invoices_AP!A485</f>
        <v>INV30484</v>
      </c>
      <c r="B488" s="16" t="str">
        <f aca="false">Vendor_Invoices_AP!C485</f>
        <v>V1008</v>
      </c>
      <c r="C488" s="16" t="str">
        <f aca="false">IFERROR(INDEX(Vendor_Master!$B$2:$B$41,MATCH(B488,Vendor_Master!$A$2:$A$41,0)),"Unknown Vendor")</f>
        <v>Davis Inc</v>
      </c>
      <c r="D488" s="17" t="n">
        <f aca="false">Vendor_Invoices_AP!D485</f>
        <v>45962</v>
      </c>
      <c r="E488" s="17" t="n">
        <f aca="false">Vendor_Invoices_AP!F485</f>
        <v>46022</v>
      </c>
      <c r="F488" s="18" t="n">
        <f aca="false">Vendor_Invoices_AP!E485</f>
        <v>2324.66</v>
      </c>
      <c r="G488" s="18" t="n">
        <f aca="false">SUMIFS(Payment_Log_AP!$E$2:$E$753,Payment_Log_AP!$B$2:$B$753,A488)</f>
        <v>2324.66</v>
      </c>
      <c r="H488" s="18" t="n">
        <f aca="false">F488-G488</f>
        <v>0</v>
      </c>
      <c r="I488" s="16" t="n">
        <f aca="false">IF(H488&lt;=0.01,0,MAX(Assumptions!$B$5-E488,0))</f>
        <v>0</v>
      </c>
      <c r="J488" s="16" t="str">
        <f aca="false">IF(H488&lt;=0.01,"Paid",IF(I488&lt;=30,"0-30",IF(I488&lt;=60,"31-60",IF(I488&lt;=90,"61-90","90+"))))</f>
        <v>Paid</v>
      </c>
      <c r="K488" s="16" t="str">
        <f aca="false">IF(H488&lt;=0.01,"Paid",IF(G488&gt;0,"Partially Paid","Unpaid"))</f>
        <v>Paid</v>
      </c>
    </row>
    <row r="489" customFormat="false" ht="15" hidden="false" customHeight="false" outlineLevel="0" collapsed="false">
      <c r="A489" s="16" t="str">
        <f aca="false">Vendor_Invoices_AP!A486</f>
        <v>INV30485</v>
      </c>
      <c r="B489" s="16" t="str">
        <f aca="false">Vendor_Invoices_AP!C486</f>
        <v>V1031</v>
      </c>
      <c r="C489" s="16" t="str">
        <f aca="false">IFERROR(INDEX(Vendor_Master!$B$2:$B$41,MATCH(B489,Vendor_Master!$A$2:$A$41,0)),"Unknown Vendor")</f>
        <v>Harrell LLC</v>
      </c>
      <c r="D489" s="17" t="n">
        <f aca="false">Vendor_Invoices_AP!D486</f>
        <v>45861</v>
      </c>
      <c r="E489" s="17" t="n">
        <f aca="false">Vendor_Invoices_AP!F486</f>
        <v>45876</v>
      </c>
      <c r="F489" s="18" t="n">
        <f aca="false">Vendor_Invoices_AP!E486</f>
        <v>1644.55</v>
      </c>
      <c r="G489" s="18" t="n">
        <f aca="false">SUMIFS(Payment_Log_AP!$E$2:$E$753,Payment_Log_AP!$B$2:$B$753,A489)</f>
        <v>3289.1</v>
      </c>
      <c r="H489" s="18" t="n">
        <f aca="false">F489-G489</f>
        <v>-1644.55</v>
      </c>
      <c r="I489" s="16" t="n">
        <f aca="false">IF(H489&lt;=0.01,0,MAX(Assumptions!$B$5-E489,0))</f>
        <v>0</v>
      </c>
      <c r="J489" s="16" t="str">
        <f aca="false">IF(H489&lt;=0.01,"Paid",IF(I489&lt;=30,"0-30",IF(I489&lt;=60,"31-60",IF(I489&lt;=90,"61-90","90+"))))</f>
        <v>Paid</v>
      </c>
      <c r="K489" s="16" t="str">
        <f aca="false">IF(H489&lt;=0.01,"Paid",IF(G489&gt;0,"Partially Paid","Unpaid"))</f>
        <v>Paid</v>
      </c>
    </row>
    <row r="490" customFormat="false" ht="15" hidden="false" customHeight="false" outlineLevel="0" collapsed="false">
      <c r="A490" s="16" t="str">
        <f aca="false">Vendor_Invoices_AP!A487</f>
        <v>INV30486</v>
      </c>
      <c r="B490" s="16" t="str">
        <f aca="false">Vendor_Invoices_AP!C487</f>
        <v>V1003</v>
      </c>
      <c r="C490" s="16" t="str">
        <f aca="false">IFERROR(INDEX(Vendor_Master!$B$2:$B$41,MATCH(B490,Vendor_Master!$A$2:$A$41,0)),"Unknown Vendor")</f>
        <v>Johnson and Sons</v>
      </c>
      <c r="D490" s="17" t="n">
        <f aca="false">Vendor_Invoices_AP!D487</f>
        <v>45965</v>
      </c>
      <c r="E490" s="17" t="n">
        <f aca="false">Vendor_Invoices_AP!F487</f>
        <v>45980</v>
      </c>
      <c r="F490" s="18" t="n">
        <f aca="false">Vendor_Invoices_AP!E487</f>
        <v>236.77</v>
      </c>
      <c r="G490" s="18" t="n">
        <f aca="false">SUMIFS(Payment_Log_AP!$E$2:$E$753,Payment_Log_AP!$B$2:$B$753,A490)</f>
        <v>236.77</v>
      </c>
      <c r="H490" s="18" t="n">
        <f aca="false">F490-G490</f>
        <v>0</v>
      </c>
      <c r="I490" s="16" t="n">
        <f aca="false">IF(H490&lt;=0.01,0,MAX(Assumptions!$B$5-E490,0))</f>
        <v>0</v>
      </c>
      <c r="J490" s="16" t="str">
        <f aca="false">IF(H490&lt;=0.01,"Paid",IF(I490&lt;=30,"0-30",IF(I490&lt;=60,"31-60",IF(I490&lt;=90,"61-90","90+"))))</f>
        <v>Paid</v>
      </c>
      <c r="K490" s="16" t="str">
        <f aca="false">IF(H490&lt;=0.01,"Paid",IF(G490&gt;0,"Partially Paid","Unpaid"))</f>
        <v>Paid</v>
      </c>
    </row>
    <row r="491" customFormat="false" ht="15" hidden="false" customHeight="false" outlineLevel="0" collapsed="false">
      <c r="A491" s="16" t="str">
        <f aca="false">Vendor_Invoices_AP!A488</f>
        <v>INV30487</v>
      </c>
      <c r="B491" s="16" t="str">
        <f aca="false">Vendor_Invoices_AP!C488</f>
        <v>V1025</v>
      </c>
      <c r="C491" s="16" t="str">
        <f aca="false">IFERROR(INDEX(Vendor_Master!$B$2:$B$41,MATCH(B491,Vendor_Master!$A$2:$A$41,0)),"Unknown Vendor")</f>
        <v>Conner Group</v>
      </c>
      <c r="D491" s="17" t="n">
        <f aca="false">Vendor_Invoices_AP!D488</f>
        <v>45966</v>
      </c>
      <c r="E491" s="17" t="n">
        <f aca="false">Vendor_Invoices_AP!F488</f>
        <v>46011</v>
      </c>
      <c r="F491" s="18" t="n">
        <f aca="false">Vendor_Invoices_AP!E488</f>
        <v>1018.47</v>
      </c>
      <c r="G491" s="18" t="n">
        <f aca="false">SUMIFS(Payment_Log_AP!$E$2:$E$753,Payment_Log_AP!$B$2:$B$753,A491)</f>
        <v>1018.47</v>
      </c>
      <c r="H491" s="18" t="n">
        <f aca="false">F491-G491</f>
        <v>0</v>
      </c>
      <c r="I491" s="16" t="n">
        <f aca="false">IF(H491&lt;=0.01,0,MAX(Assumptions!$B$5-E491,0))</f>
        <v>0</v>
      </c>
      <c r="J491" s="16" t="str">
        <f aca="false">IF(H491&lt;=0.01,"Paid",IF(I491&lt;=30,"0-30",IF(I491&lt;=60,"31-60",IF(I491&lt;=90,"61-90","90+"))))</f>
        <v>Paid</v>
      </c>
      <c r="K491" s="16" t="str">
        <f aca="false">IF(H491&lt;=0.01,"Paid",IF(G491&gt;0,"Partially Paid","Unpaid"))</f>
        <v>Paid</v>
      </c>
    </row>
    <row r="492" customFormat="false" ht="15" hidden="false" customHeight="false" outlineLevel="0" collapsed="false">
      <c r="A492" s="16" t="str">
        <f aca="false">Vendor_Invoices_AP!A489</f>
        <v>INV30488</v>
      </c>
      <c r="B492" s="16" t="str">
        <f aca="false">Vendor_Invoices_AP!C489</f>
        <v>V1024</v>
      </c>
      <c r="C492" s="16" t="str">
        <f aca="false">IFERROR(INDEX(Vendor_Master!$B$2:$B$41,MATCH(B492,Vendor_Master!$A$2:$A$41,0)),"Unknown Vendor")</f>
        <v>Campos Inc</v>
      </c>
      <c r="D492" s="17" t="n">
        <f aca="false">Vendor_Invoices_AP!D489</f>
        <v>45921</v>
      </c>
      <c r="E492" s="17" t="n">
        <f aca="false">Vendor_Invoices_AP!F489</f>
        <v>45981</v>
      </c>
      <c r="F492" s="18" t="n">
        <f aca="false">Vendor_Invoices_AP!E489</f>
        <v>3142.38</v>
      </c>
      <c r="G492" s="18" t="n">
        <f aca="false">SUMIFS(Payment_Log_AP!$E$2:$E$753,Payment_Log_AP!$B$2:$B$753,A492)</f>
        <v>3142.38</v>
      </c>
      <c r="H492" s="18" t="n">
        <f aca="false">F492-G492</f>
        <v>0</v>
      </c>
      <c r="I492" s="16" t="n">
        <f aca="false">IF(H492&lt;=0.01,0,MAX(Assumptions!$B$5-E492,0))</f>
        <v>0</v>
      </c>
      <c r="J492" s="16" t="str">
        <f aca="false">IF(H492&lt;=0.01,"Paid",IF(I492&lt;=30,"0-30",IF(I492&lt;=60,"31-60",IF(I492&lt;=90,"61-90","90+"))))</f>
        <v>Paid</v>
      </c>
      <c r="K492" s="16" t="str">
        <f aca="false">IF(H492&lt;=0.01,"Paid",IF(G492&gt;0,"Partially Paid","Unpaid"))</f>
        <v>Paid</v>
      </c>
    </row>
    <row r="493" customFormat="false" ht="15" hidden="false" customHeight="false" outlineLevel="0" collapsed="false">
      <c r="A493" s="16" t="str">
        <f aca="false">Vendor_Invoices_AP!A490</f>
        <v>INV30489</v>
      </c>
      <c r="B493" s="16" t="str">
        <f aca="false">Vendor_Invoices_AP!C490</f>
        <v>V1034</v>
      </c>
      <c r="C493" s="16" t="str">
        <f aca="false">IFERROR(INDEX(Vendor_Master!$B$2:$B$41,MATCH(B493,Vendor_Master!$A$2:$A$41,0)),"Unknown Vendor")</f>
        <v>Koch-Decker</v>
      </c>
      <c r="D493" s="17" t="n">
        <f aca="false">Vendor_Invoices_AP!D490</f>
        <v>45845</v>
      </c>
      <c r="E493" s="17" t="n">
        <f aca="false">Vendor_Invoices_AP!F490</f>
        <v>45890</v>
      </c>
      <c r="F493" s="18" t="n">
        <f aca="false">Vendor_Invoices_AP!E490</f>
        <v>2788.31</v>
      </c>
      <c r="G493" s="18" t="n">
        <f aca="false">SUMIFS(Payment_Log_AP!$E$2:$E$753,Payment_Log_AP!$B$2:$B$753,A493)</f>
        <v>2788.31</v>
      </c>
      <c r="H493" s="18" t="n">
        <f aca="false">F493-G493</f>
        <v>0</v>
      </c>
      <c r="I493" s="16" t="n">
        <f aca="false">IF(H493&lt;=0.01,0,MAX(Assumptions!$B$5-E493,0))</f>
        <v>0</v>
      </c>
      <c r="J493" s="16" t="str">
        <f aca="false">IF(H493&lt;=0.01,"Paid",IF(I493&lt;=30,"0-30",IF(I493&lt;=60,"31-60",IF(I493&lt;=90,"61-90","90+"))))</f>
        <v>Paid</v>
      </c>
      <c r="K493" s="16" t="str">
        <f aca="false">IF(H493&lt;=0.01,"Paid",IF(G493&gt;0,"Partially Paid","Unpaid"))</f>
        <v>Paid</v>
      </c>
    </row>
    <row r="494" customFormat="false" ht="15" hidden="false" customHeight="false" outlineLevel="0" collapsed="false">
      <c r="A494" s="16" t="str">
        <f aca="false">Vendor_Invoices_AP!A491</f>
        <v>INV30490</v>
      </c>
      <c r="B494" s="16" t="str">
        <f aca="false">Vendor_Invoices_AP!C491</f>
        <v>V1022</v>
      </c>
      <c r="C494" s="16" t="str">
        <f aca="false">IFERROR(INDEX(Vendor_Master!$B$2:$B$41,MATCH(B494,Vendor_Master!$A$2:$A$41,0)),"Unknown Vendor")</f>
        <v>Burgess-Patterson</v>
      </c>
      <c r="D494" s="17" t="n">
        <f aca="false">Vendor_Invoices_AP!D491</f>
        <v>45783</v>
      </c>
      <c r="E494" s="17" t="n">
        <f aca="false">Vendor_Invoices_AP!F491</f>
        <v>45813</v>
      </c>
      <c r="F494" s="18" t="n">
        <f aca="false">Vendor_Invoices_AP!E491</f>
        <v>12520.7</v>
      </c>
      <c r="G494" s="18" t="n">
        <f aca="false">SUMIFS(Payment_Log_AP!$E$2:$E$753,Payment_Log_AP!$B$2:$B$753,A494)</f>
        <v>12520.7</v>
      </c>
      <c r="H494" s="18" t="n">
        <f aca="false">F494-G494</f>
        <v>0</v>
      </c>
      <c r="I494" s="16" t="n">
        <f aca="false">IF(H494&lt;=0.01,0,MAX(Assumptions!$B$5-E494,0))</f>
        <v>0</v>
      </c>
      <c r="J494" s="16" t="str">
        <f aca="false">IF(H494&lt;=0.01,"Paid",IF(I494&lt;=30,"0-30",IF(I494&lt;=60,"31-60",IF(I494&lt;=90,"61-90","90+"))))</f>
        <v>Paid</v>
      </c>
      <c r="K494" s="16" t="str">
        <f aca="false">IF(H494&lt;=0.01,"Paid",IF(G494&gt;0,"Partially Paid","Unpaid"))</f>
        <v>Paid</v>
      </c>
    </row>
    <row r="495" customFormat="false" ht="15" hidden="false" customHeight="false" outlineLevel="0" collapsed="false">
      <c r="A495" s="16" t="str">
        <f aca="false">Vendor_Invoices_AP!A492</f>
        <v>INV30491</v>
      </c>
      <c r="B495" s="16" t="str">
        <f aca="false">Vendor_Invoices_AP!C492</f>
        <v>V1019</v>
      </c>
      <c r="C495" s="16" t="str">
        <f aca="false">IFERROR(INDEX(Vendor_Master!$B$2:$B$41,MATCH(B495,Vendor_Master!$A$2:$A$41,0)),"Unknown Vendor")</f>
        <v>Clark PLC</v>
      </c>
      <c r="D495" s="17" t="n">
        <f aca="false">Vendor_Invoices_AP!D492</f>
        <v>46062</v>
      </c>
      <c r="E495" s="17" t="n">
        <f aca="false">Vendor_Invoices_AP!F492</f>
        <v>46107</v>
      </c>
      <c r="F495" s="18" t="n">
        <f aca="false">Vendor_Invoices_AP!E492</f>
        <v>1099.38</v>
      </c>
      <c r="G495" s="18" t="n">
        <f aca="false">SUMIFS(Payment_Log_AP!$E$2:$E$753,Payment_Log_AP!$B$2:$B$753,A495)</f>
        <v>1099.38</v>
      </c>
      <c r="H495" s="18" t="n">
        <f aca="false">F495-G495</f>
        <v>0</v>
      </c>
      <c r="I495" s="16" t="n">
        <f aca="false">IF(H495&lt;=0.01,0,MAX(Assumptions!$B$5-E495,0))</f>
        <v>0</v>
      </c>
      <c r="J495" s="16" t="str">
        <f aca="false">IF(H495&lt;=0.01,"Paid",IF(I495&lt;=30,"0-30",IF(I495&lt;=60,"31-60",IF(I495&lt;=90,"61-90","90+"))))</f>
        <v>Paid</v>
      </c>
      <c r="K495" s="16" t="str">
        <f aca="false">IF(H495&lt;=0.01,"Paid",IF(G495&gt;0,"Partially Paid","Unpaid"))</f>
        <v>Paid</v>
      </c>
    </row>
    <row r="496" customFormat="false" ht="15" hidden="false" customHeight="false" outlineLevel="0" collapsed="false">
      <c r="A496" s="16" t="str">
        <f aca="false">Vendor_Invoices_AP!A493</f>
        <v>INV30492</v>
      </c>
      <c r="B496" s="16" t="str">
        <f aca="false">Vendor_Invoices_AP!C493</f>
        <v>V1023</v>
      </c>
      <c r="C496" s="16" t="str">
        <f aca="false">IFERROR(INDEX(Vendor_Master!$B$2:$B$41,MATCH(B496,Vendor_Master!$A$2:$A$41,0)),"Unknown Vendor")</f>
        <v>Robinson-Bright</v>
      </c>
      <c r="D496" s="17" t="n">
        <f aca="false">Vendor_Invoices_AP!D493</f>
        <v>45989</v>
      </c>
      <c r="E496" s="17" t="n">
        <f aca="false">Vendor_Invoices_AP!F493</f>
        <v>46019</v>
      </c>
      <c r="F496" s="18" t="n">
        <f aca="false">Vendor_Invoices_AP!E493</f>
        <v>3207.79</v>
      </c>
      <c r="G496" s="18" t="n">
        <f aca="false">SUMIFS(Payment_Log_AP!$E$2:$E$753,Payment_Log_AP!$B$2:$B$753,A496)</f>
        <v>3207.79</v>
      </c>
      <c r="H496" s="18" t="n">
        <f aca="false">F496-G496</f>
        <v>0</v>
      </c>
      <c r="I496" s="16" t="n">
        <f aca="false">IF(H496&lt;=0.01,0,MAX(Assumptions!$B$5-E496,0))</f>
        <v>0</v>
      </c>
      <c r="J496" s="16" t="str">
        <f aca="false">IF(H496&lt;=0.01,"Paid",IF(I496&lt;=30,"0-30",IF(I496&lt;=60,"31-60",IF(I496&lt;=90,"61-90","90+"))))</f>
        <v>Paid</v>
      </c>
      <c r="K496" s="16" t="str">
        <f aca="false">IF(H496&lt;=0.01,"Paid",IF(G496&gt;0,"Partially Paid","Unpaid"))</f>
        <v>Paid</v>
      </c>
    </row>
    <row r="497" customFormat="false" ht="15" hidden="false" customHeight="false" outlineLevel="0" collapsed="false">
      <c r="A497" s="16" t="str">
        <f aca="false">Vendor_Invoices_AP!A494</f>
        <v>INV30493</v>
      </c>
      <c r="B497" s="16" t="str">
        <f aca="false">Vendor_Invoices_AP!C494</f>
        <v>V1001</v>
      </c>
      <c r="C497" s="16" t="str">
        <f aca="false">IFERROR(INDEX(Vendor_Master!$B$2:$B$41,MATCH(B497,Vendor_Master!$A$2:$A$41,0)),"Unknown Vendor")</f>
        <v>Figueroa and Sons</v>
      </c>
      <c r="D497" s="17" t="n">
        <f aca="false">Vendor_Invoices_AP!D494</f>
        <v>45790</v>
      </c>
      <c r="E497" s="17" t="n">
        <f aca="false">Vendor_Invoices_AP!F494</f>
        <v>45835</v>
      </c>
      <c r="F497" s="18" t="n">
        <f aca="false">Vendor_Invoices_AP!E494</f>
        <v>182.59</v>
      </c>
      <c r="G497" s="18" t="n">
        <f aca="false">SUMIFS(Payment_Log_AP!$E$2:$E$753,Payment_Log_AP!$B$2:$B$753,A497)</f>
        <v>182.59</v>
      </c>
      <c r="H497" s="18" t="n">
        <f aca="false">F497-G497</f>
        <v>0</v>
      </c>
      <c r="I497" s="16" t="n">
        <f aca="false">IF(H497&lt;=0.01,0,MAX(Assumptions!$B$5-E497,0))</f>
        <v>0</v>
      </c>
      <c r="J497" s="16" t="str">
        <f aca="false">IF(H497&lt;=0.01,"Paid",IF(I497&lt;=30,"0-30",IF(I497&lt;=60,"31-60",IF(I497&lt;=90,"61-90","90+"))))</f>
        <v>Paid</v>
      </c>
      <c r="K497" s="16" t="str">
        <f aca="false">IF(H497&lt;=0.01,"Paid",IF(G497&gt;0,"Partially Paid","Unpaid"))</f>
        <v>Paid</v>
      </c>
    </row>
    <row r="498" customFormat="false" ht="15" hidden="false" customHeight="false" outlineLevel="0" collapsed="false">
      <c r="A498" s="16" t="str">
        <f aca="false">Vendor_Invoices_AP!A495</f>
        <v>INV30494</v>
      </c>
      <c r="B498" s="16" t="str">
        <f aca="false">Vendor_Invoices_AP!C495</f>
        <v>V1040</v>
      </c>
      <c r="C498" s="16" t="str">
        <f aca="false">IFERROR(INDEX(Vendor_Master!$B$2:$B$41,MATCH(B498,Vendor_Master!$A$2:$A$41,0)),"Unknown Vendor")</f>
        <v>Santos, Kim and Holmes</v>
      </c>
      <c r="D498" s="17" t="n">
        <f aca="false">Vendor_Invoices_AP!D495</f>
        <v>46094</v>
      </c>
      <c r="E498" s="17" t="n">
        <f aca="false">Vendor_Invoices_AP!F495</f>
        <v>46109</v>
      </c>
      <c r="F498" s="18" t="n">
        <f aca="false">Vendor_Invoices_AP!E495</f>
        <v>1223.73</v>
      </c>
      <c r="G498" s="18" t="n">
        <f aca="false">SUMIFS(Payment_Log_AP!$E$2:$E$753,Payment_Log_AP!$B$2:$B$753,A498)</f>
        <v>1223.73</v>
      </c>
      <c r="H498" s="18" t="n">
        <f aca="false">F498-G498</f>
        <v>0</v>
      </c>
      <c r="I498" s="16" t="n">
        <f aca="false">IF(H498&lt;=0.01,0,MAX(Assumptions!$B$5-E498,0))</f>
        <v>0</v>
      </c>
      <c r="J498" s="16" t="str">
        <f aca="false">IF(H498&lt;=0.01,"Paid",IF(I498&lt;=30,"0-30",IF(I498&lt;=60,"31-60",IF(I498&lt;=90,"61-90","90+"))))</f>
        <v>Paid</v>
      </c>
      <c r="K498" s="16" t="str">
        <f aca="false">IF(H498&lt;=0.01,"Paid",IF(G498&gt;0,"Partially Paid","Unpaid"))</f>
        <v>Paid</v>
      </c>
    </row>
    <row r="499" customFormat="false" ht="15" hidden="false" customHeight="false" outlineLevel="0" collapsed="false">
      <c r="A499" s="16" t="str">
        <f aca="false">Vendor_Invoices_AP!A496</f>
        <v>INV30495</v>
      </c>
      <c r="B499" s="16" t="str">
        <f aca="false">Vendor_Invoices_AP!C496</f>
        <v>V1015</v>
      </c>
      <c r="C499" s="16" t="str">
        <f aca="false">IFERROR(INDEX(Vendor_Master!$B$2:$B$41,MATCH(B499,Vendor_Master!$A$2:$A$41,0)),"Unknown Vendor")</f>
        <v>Zuniga, Wong and Lynch</v>
      </c>
      <c r="D499" s="17" t="n">
        <f aca="false">Vendor_Invoices_AP!D496</f>
        <v>45702</v>
      </c>
      <c r="E499" s="17" t="n">
        <f aca="false">Vendor_Invoices_AP!F496</f>
        <v>45732</v>
      </c>
      <c r="F499" s="18" t="n">
        <f aca="false">Vendor_Invoices_AP!E496</f>
        <v>585.34</v>
      </c>
      <c r="G499" s="18" t="n">
        <f aca="false">SUMIFS(Payment_Log_AP!$E$2:$E$753,Payment_Log_AP!$B$2:$B$753,A499)</f>
        <v>585.34</v>
      </c>
      <c r="H499" s="18" t="n">
        <f aca="false">F499-G499</f>
        <v>0</v>
      </c>
      <c r="I499" s="16" t="n">
        <f aca="false">IF(H499&lt;=0.01,0,MAX(Assumptions!$B$5-E499,0))</f>
        <v>0</v>
      </c>
      <c r="J499" s="16" t="str">
        <f aca="false">IF(H499&lt;=0.01,"Paid",IF(I499&lt;=30,"0-30",IF(I499&lt;=60,"31-60",IF(I499&lt;=90,"61-90","90+"))))</f>
        <v>Paid</v>
      </c>
      <c r="K499" s="16" t="str">
        <f aca="false">IF(H499&lt;=0.01,"Paid",IF(G499&gt;0,"Partially Paid","Unpaid"))</f>
        <v>Paid</v>
      </c>
    </row>
    <row r="500" customFormat="false" ht="15" hidden="false" customHeight="false" outlineLevel="0" collapsed="false">
      <c r="A500" s="16" t="str">
        <f aca="false">Vendor_Invoices_AP!A497</f>
        <v>INV30496</v>
      </c>
      <c r="B500" s="16" t="str">
        <f aca="false">Vendor_Invoices_AP!C497</f>
        <v>V1039</v>
      </c>
      <c r="C500" s="16" t="str">
        <f aca="false">IFERROR(INDEX(Vendor_Master!$B$2:$B$41,MATCH(B500,Vendor_Master!$A$2:$A$41,0)),"Unknown Vendor")</f>
        <v>Campos, Vaughn and Marquez</v>
      </c>
      <c r="D500" s="17" t="n">
        <f aca="false">Vendor_Invoices_AP!D497</f>
        <v>46080</v>
      </c>
      <c r="E500" s="17" t="n">
        <f aca="false">Vendor_Invoices_AP!F497</f>
        <v>46110</v>
      </c>
      <c r="F500" s="18" t="n">
        <f aca="false">Vendor_Invoices_AP!E497</f>
        <v>40497.91</v>
      </c>
      <c r="G500" s="18" t="n">
        <f aca="false">SUMIFS(Payment_Log_AP!$E$2:$E$753,Payment_Log_AP!$B$2:$B$753,A500)</f>
        <v>40497.91</v>
      </c>
      <c r="H500" s="18" t="n">
        <f aca="false">F500-G500</f>
        <v>0</v>
      </c>
      <c r="I500" s="16" t="n">
        <f aca="false">IF(H500&lt;=0.01,0,MAX(Assumptions!$B$5-E500,0))</f>
        <v>0</v>
      </c>
      <c r="J500" s="16" t="str">
        <f aca="false">IF(H500&lt;=0.01,"Paid",IF(I500&lt;=30,"0-30",IF(I500&lt;=60,"31-60",IF(I500&lt;=90,"61-90","90+"))))</f>
        <v>Paid</v>
      </c>
      <c r="K500" s="16" t="str">
        <f aca="false">IF(H500&lt;=0.01,"Paid",IF(G500&gt;0,"Partially Paid","Unpaid"))</f>
        <v>Paid</v>
      </c>
    </row>
    <row r="501" customFormat="false" ht="15" hidden="false" customHeight="false" outlineLevel="0" collapsed="false">
      <c r="A501" s="16" t="str">
        <f aca="false">Vendor_Invoices_AP!A498</f>
        <v>INV30497</v>
      </c>
      <c r="B501" s="16" t="str">
        <f aca="false">Vendor_Invoices_AP!C498</f>
        <v>V1016</v>
      </c>
      <c r="C501" s="16" t="str">
        <f aca="false">IFERROR(INDEX(Vendor_Master!$B$2:$B$41,MATCH(B501,Vendor_Master!$A$2:$A$41,0)),"Unknown Vendor")</f>
        <v>Sanchez, Ford and Nelson</v>
      </c>
      <c r="D501" s="17" t="n">
        <f aca="false">Vendor_Invoices_AP!D498</f>
        <v>46050</v>
      </c>
      <c r="E501" s="17" t="n">
        <f aca="false">Vendor_Invoices_AP!F498</f>
        <v>46080</v>
      </c>
      <c r="F501" s="18" t="n">
        <f aca="false">Vendor_Invoices_AP!E498</f>
        <v>8071.8</v>
      </c>
      <c r="G501" s="18" t="n">
        <f aca="false">SUMIFS(Payment_Log_AP!$E$2:$E$753,Payment_Log_AP!$B$2:$B$753,A501)</f>
        <v>8071.8</v>
      </c>
      <c r="H501" s="18" t="n">
        <f aca="false">F501-G501</f>
        <v>0</v>
      </c>
      <c r="I501" s="16" t="n">
        <f aca="false">IF(H501&lt;=0.01,0,MAX(Assumptions!$B$5-E501,0))</f>
        <v>0</v>
      </c>
      <c r="J501" s="16" t="str">
        <f aca="false">IF(H501&lt;=0.01,"Paid",IF(I501&lt;=30,"0-30",IF(I501&lt;=60,"31-60",IF(I501&lt;=90,"61-90","90+"))))</f>
        <v>Paid</v>
      </c>
      <c r="K501" s="16" t="str">
        <f aca="false">IF(H501&lt;=0.01,"Paid",IF(G501&gt;0,"Partially Paid","Unpaid"))</f>
        <v>Paid</v>
      </c>
    </row>
    <row r="502" customFormat="false" ht="15" hidden="false" customHeight="false" outlineLevel="0" collapsed="false">
      <c r="A502" s="16" t="str">
        <f aca="false">Vendor_Invoices_AP!A499</f>
        <v>INV30498</v>
      </c>
      <c r="B502" s="16" t="str">
        <f aca="false">Vendor_Invoices_AP!C499</f>
        <v>V1017</v>
      </c>
      <c r="C502" s="16" t="str">
        <f aca="false">IFERROR(INDEX(Vendor_Master!$B$2:$B$41,MATCH(B502,Vendor_Master!$A$2:$A$41,0)),"Unknown Vendor")</f>
        <v>Hawkins, Cohen and Cameron</v>
      </c>
      <c r="D502" s="17" t="n">
        <f aca="false">Vendor_Invoices_AP!D499</f>
        <v>46122</v>
      </c>
      <c r="E502" s="17" t="n">
        <f aca="false">Vendor_Invoices_AP!F499</f>
        <v>46167</v>
      </c>
      <c r="F502" s="18" t="n">
        <f aca="false">Vendor_Invoices_AP!E499</f>
        <v>11046.74</v>
      </c>
      <c r="G502" s="18" t="n">
        <f aca="false">SUMIFS(Payment_Log_AP!$E$2:$E$753,Payment_Log_AP!$B$2:$B$753,A502)</f>
        <v>0</v>
      </c>
      <c r="H502" s="18" t="n">
        <f aca="false">F502-G502</f>
        <v>11046.74</v>
      </c>
      <c r="I502" s="16" t="n">
        <f aca="false">IF(H502&lt;=0.01,0,MAX(Assumptions!$B$5-E502,0))</f>
        <v>67</v>
      </c>
      <c r="J502" s="16" t="str">
        <f aca="false">IF(H502&lt;=0.01,"Paid",IF(I502&lt;=30,"0-30",IF(I502&lt;=60,"31-60",IF(I502&lt;=90,"61-90","90+"))))</f>
        <v>61-90</v>
      </c>
      <c r="K502" s="16" t="str">
        <f aca="false">IF(H502&lt;=0.01,"Paid",IF(G502&gt;0,"Partially Paid","Unpaid"))</f>
        <v>Unpaid</v>
      </c>
    </row>
    <row r="503" customFormat="false" ht="15" hidden="false" customHeight="false" outlineLevel="0" collapsed="false">
      <c r="A503" s="16" t="str">
        <f aca="false">Vendor_Invoices_AP!A500</f>
        <v>INV30499</v>
      </c>
      <c r="B503" s="16" t="str">
        <f aca="false">Vendor_Invoices_AP!C500</f>
        <v>V1012</v>
      </c>
      <c r="C503" s="16" t="str">
        <f aca="false">IFERROR(INDEX(Vendor_Master!$B$2:$B$41,MATCH(B503,Vendor_Master!$A$2:$A$41,0)),"Unknown Vendor")</f>
        <v>Stanley LLC</v>
      </c>
      <c r="D503" s="17" t="n">
        <f aca="false">Vendor_Invoices_AP!D500</f>
        <v>45891</v>
      </c>
      <c r="E503" s="17" t="n">
        <f aca="false">Vendor_Invoices_AP!F500</f>
        <v>45951</v>
      </c>
      <c r="F503" s="18" t="n">
        <f aca="false">Vendor_Invoices_AP!E500</f>
        <v>1395.93</v>
      </c>
      <c r="G503" s="18" t="n">
        <f aca="false">SUMIFS(Payment_Log_AP!$E$2:$E$753,Payment_Log_AP!$B$2:$B$753,A503)</f>
        <v>1395.93</v>
      </c>
      <c r="H503" s="18" t="n">
        <f aca="false">F503-G503</f>
        <v>0</v>
      </c>
      <c r="I503" s="16" t="n">
        <f aca="false">IF(H503&lt;=0.01,0,MAX(Assumptions!$B$5-E503,0))</f>
        <v>0</v>
      </c>
      <c r="J503" s="16" t="str">
        <f aca="false">IF(H503&lt;=0.01,"Paid",IF(I503&lt;=30,"0-30",IF(I503&lt;=60,"31-60",IF(I503&lt;=90,"61-90","90+"))))</f>
        <v>Paid</v>
      </c>
      <c r="K503" s="16" t="str">
        <f aca="false">IF(H503&lt;=0.01,"Paid",IF(G503&gt;0,"Partially Paid","Unpaid"))</f>
        <v>Paid</v>
      </c>
    </row>
    <row r="504" customFormat="false" ht="15" hidden="false" customHeight="false" outlineLevel="0" collapsed="false">
      <c r="A504" s="16" t="str">
        <f aca="false">Vendor_Invoices_AP!A501</f>
        <v>INV30500</v>
      </c>
      <c r="B504" s="16" t="str">
        <f aca="false">Vendor_Invoices_AP!C501</f>
        <v>V1019</v>
      </c>
      <c r="C504" s="16" t="str">
        <f aca="false">IFERROR(INDEX(Vendor_Master!$B$2:$B$41,MATCH(B504,Vendor_Master!$A$2:$A$41,0)),"Unknown Vendor")</f>
        <v>Clark PLC</v>
      </c>
      <c r="D504" s="17" t="n">
        <f aca="false">Vendor_Invoices_AP!D501</f>
        <v>46033</v>
      </c>
      <c r="E504" s="17" t="n">
        <f aca="false">Vendor_Invoices_AP!F501</f>
        <v>46078</v>
      </c>
      <c r="F504" s="18" t="n">
        <f aca="false">Vendor_Invoices_AP!E501</f>
        <v>2578.48</v>
      </c>
      <c r="G504" s="18" t="n">
        <f aca="false">SUMIFS(Payment_Log_AP!$E$2:$E$753,Payment_Log_AP!$B$2:$B$753,A504)</f>
        <v>2578.48</v>
      </c>
      <c r="H504" s="18" t="n">
        <f aca="false">F504-G504</f>
        <v>0</v>
      </c>
      <c r="I504" s="16" t="n">
        <f aca="false">IF(H504&lt;=0.01,0,MAX(Assumptions!$B$5-E504,0))</f>
        <v>0</v>
      </c>
      <c r="J504" s="16" t="str">
        <f aca="false">IF(H504&lt;=0.01,"Paid",IF(I504&lt;=30,"0-30",IF(I504&lt;=60,"31-60",IF(I504&lt;=90,"61-90","90+"))))</f>
        <v>Paid</v>
      </c>
      <c r="K504" s="16" t="str">
        <f aca="false">IF(H504&lt;=0.01,"Paid",IF(G504&gt;0,"Partially Paid","Unpaid"))</f>
        <v>Paid</v>
      </c>
    </row>
    <row r="505" customFormat="false" ht="15" hidden="false" customHeight="false" outlineLevel="0" collapsed="false">
      <c r="A505" s="16" t="str">
        <f aca="false">Vendor_Invoices_AP!A502</f>
        <v>INV30501</v>
      </c>
      <c r="B505" s="16" t="str">
        <f aca="false">Vendor_Invoices_AP!C502</f>
        <v>V1004</v>
      </c>
      <c r="C505" s="16" t="str">
        <f aca="false">IFERROR(INDEX(Vendor_Master!$B$2:$B$41,MATCH(B505,Vendor_Master!$A$2:$A$41,0)),"Unknown Vendor")</f>
        <v>Johnson, Gonzalez and Santos</v>
      </c>
      <c r="D505" s="17" t="n">
        <f aca="false">Vendor_Invoices_AP!D502</f>
        <v>46113</v>
      </c>
      <c r="E505" s="17" t="n">
        <f aca="false">Vendor_Invoices_AP!F502</f>
        <v>46128</v>
      </c>
      <c r="F505" s="18" t="n">
        <f aca="false">Vendor_Invoices_AP!E502</f>
        <v>891.87</v>
      </c>
      <c r="G505" s="18" t="n">
        <f aca="false">SUMIFS(Payment_Log_AP!$E$2:$E$753,Payment_Log_AP!$B$2:$B$753,A505)</f>
        <v>891.87</v>
      </c>
      <c r="H505" s="18" t="n">
        <f aca="false">F505-G505</f>
        <v>0</v>
      </c>
      <c r="I505" s="16" t="n">
        <f aca="false">IF(H505&lt;=0.01,0,MAX(Assumptions!$B$5-E505,0))</f>
        <v>0</v>
      </c>
      <c r="J505" s="16" t="str">
        <f aca="false">IF(H505&lt;=0.01,"Paid",IF(I505&lt;=30,"0-30",IF(I505&lt;=60,"31-60",IF(I505&lt;=90,"61-90","90+"))))</f>
        <v>Paid</v>
      </c>
      <c r="K505" s="16" t="str">
        <f aca="false">IF(H505&lt;=0.01,"Paid",IF(G505&gt;0,"Partially Paid","Unpaid"))</f>
        <v>Paid</v>
      </c>
    </row>
    <row r="506" customFormat="false" ht="15" hidden="false" customHeight="false" outlineLevel="0" collapsed="false">
      <c r="A506" s="16" t="str">
        <f aca="false">Vendor_Invoices_AP!A503</f>
        <v>INV30502</v>
      </c>
      <c r="B506" s="16" t="str">
        <f aca="false">Vendor_Invoices_AP!C503</f>
        <v>V1005</v>
      </c>
      <c r="C506" s="16" t="str">
        <f aca="false">IFERROR(INDEX(Vendor_Master!$B$2:$B$41,MATCH(B506,Vendor_Master!$A$2:$A$41,0)),"Unknown Vendor")</f>
        <v>Cole LLC</v>
      </c>
      <c r="D506" s="17" t="n">
        <f aca="false">Vendor_Invoices_AP!D503</f>
        <v>46212</v>
      </c>
      <c r="E506" s="17" t="n">
        <f aca="false">Vendor_Invoices_AP!F503</f>
        <v>46227</v>
      </c>
      <c r="F506" s="18" t="n">
        <f aca="false">Vendor_Invoices_AP!E503</f>
        <v>2408.27</v>
      </c>
      <c r="G506" s="18" t="n">
        <f aca="false">SUMIFS(Payment_Log_AP!$E$2:$E$753,Payment_Log_AP!$B$2:$B$753,A506)</f>
        <v>0</v>
      </c>
      <c r="H506" s="18" t="n">
        <f aca="false">F506-G506</f>
        <v>2408.27</v>
      </c>
      <c r="I506" s="16" t="n">
        <f aca="false">IF(H506&lt;=0.01,0,MAX(Assumptions!$B$5-E506,0))</f>
        <v>7</v>
      </c>
      <c r="J506" s="16" t="str">
        <f aca="false">IF(H506&lt;=0.01,"Paid",IF(I506&lt;=30,"0-30",IF(I506&lt;=60,"31-60",IF(I506&lt;=90,"61-90","90+"))))</f>
        <v>0-30</v>
      </c>
      <c r="K506" s="16" t="str">
        <f aca="false">IF(H506&lt;=0.01,"Paid",IF(G506&gt;0,"Partially Paid","Unpaid"))</f>
        <v>Unpaid</v>
      </c>
    </row>
    <row r="507" customFormat="false" ht="15" hidden="false" customHeight="false" outlineLevel="0" collapsed="false">
      <c r="A507" s="16" t="str">
        <f aca="false">Vendor_Invoices_AP!A504</f>
        <v>INV30503</v>
      </c>
      <c r="B507" s="16" t="str">
        <f aca="false">Vendor_Invoices_AP!C504</f>
        <v>V1006</v>
      </c>
      <c r="C507" s="16" t="str">
        <f aca="false">IFERROR(INDEX(Vendor_Master!$B$2:$B$41,MATCH(B507,Vendor_Master!$A$2:$A$41,0)),"Unknown Vendor")</f>
        <v>Blake and Sons</v>
      </c>
      <c r="D507" s="17" t="n">
        <f aca="false">Vendor_Invoices_AP!D504</f>
        <v>45942</v>
      </c>
      <c r="E507" s="17" t="n">
        <f aca="false">Vendor_Invoices_AP!F504</f>
        <v>46002</v>
      </c>
      <c r="F507" s="18" t="n">
        <f aca="false">Vendor_Invoices_AP!E504</f>
        <v>1155.61</v>
      </c>
      <c r="G507" s="18" t="n">
        <f aca="false">SUMIFS(Payment_Log_AP!$E$2:$E$753,Payment_Log_AP!$B$2:$B$753,A507)</f>
        <v>1155.61</v>
      </c>
      <c r="H507" s="18" t="n">
        <f aca="false">F507-G507</f>
        <v>0</v>
      </c>
      <c r="I507" s="16" t="n">
        <f aca="false">IF(H507&lt;=0.01,0,MAX(Assumptions!$B$5-E507,0))</f>
        <v>0</v>
      </c>
      <c r="J507" s="16" t="str">
        <f aca="false">IF(H507&lt;=0.01,"Paid",IF(I507&lt;=30,"0-30",IF(I507&lt;=60,"31-60",IF(I507&lt;=90,"61-90","90+"))))</f>
        <v>Paid</v>
      </c>
      <c r="K507" s="16" t="str">
        <f aca="false">IF(H507&lt;=0.01,"Paid",IF(G507&gt;0,"Partially Paid","Unpaid"))</f>
        <v>Paid</v>
      </c>
    </row>
    <row r="508" customFormat="false" ht="15" hidden="false" customHeight="false" outlineLevel="0" collapsed="false">
      <c r="A508" s="16" t="str">
        <f aca="false">Vendor_Invoices_AP!A505</f>
        <v>INV30504</v>
      </c>
      <c r="B508" s="16" t="str">
        <f aca="false">Vendor_Invoices_AP!C505</f>
        <v>V1007</v>
      </c>
      <c r="C508" s="16" t="str">
        <f aca="false">IFERROR(INDEX(Vendor_Master!$B$2:$B$41,MATCH(B508,Vendor_Master!$A$2:$A$41,0)),"Unknown Vendor")</f>
        <v>Ramirez-Lewis</v>
      </c>
      <c r="D508" s="17" t="n">
        <f aca="false">Vendor_Invoices_AP!D505</f>
        <v>45682</v>
      </c>
      <c r="E508" s="17" t="n">
        <f aca="false">Vendor_Invoices_AP!F505</f>
        <v>45697</v>
      </c>
      <c r="F508" s="18" t="n">
        <f aca="false">Vendor_Invoices_AP!E505</f>
        <v>542.8</v>
      </c>
      <c r="G508" s="18" t="n">
        <f aca="false">SUMIFS(Payment_Log_AP!$E$2:$E$753,Payment_Log_AP!$B$2:$B$753,A508)</f>
        <v>542.8</v>
      </c>
      <c r="H508" s="18" t="n">
        <f aca="false">F508-G508</f>
        <v>0</v>
      </c>
      <c r="I508" s="16" t="n">
        <f aca="false">IF(H508&lt;=0.01,0,MAX(Assumptions!$B$5-E508,0))</f>
        <v>0</v>
      </c>
      <c r="J508" s="16" t="str">
        <f aca="false">IF(H508&lt;=0.01,"Paid",IF(I508&lt;=30,"0-30",IF(I508&lt;=60,"31-60",IF(I508&lt;=90,"61-90","90+"))))</f>
        <v>Paid</v>
      </c>
      <c r="K508" s="16" t="str">
        <f aca="false">IF(H508&lt;=0.01,"Paid",IF(G508&gt;0,"Partially Paid","Unpaid"))</f>
        <v>Paid</v>
      </c>
    </row>
    <row r="509" customFormat="false" ht="15" hidden="false" customHeight="false" outlineLevel="0" collapsed="false">
      <c r="A509" s="16" t="str">
        <f aca="false">Vendor_Invoices_AP!A506</f>
        <v>INV30505</v>
      </c>
      <c r="B509" s="16" t="str">
        <f aca="false">Vendor_Invoices_AP!C506</f>
        <v>V1021</v>
      </c>
      <c r="C509" s="16" t="str">
        <f aca="false">IFERROR(INDEX(Vendor_Master!$B$2:$B$41,MATCH(B509,Vendor_Master!$A$2:$A$41,0)),"Unknown Vendor")</f>
        <v>Ellis, Baker and Wright</v>
      </c>
      <c r="D509" s="17" t="n">
        <f aca="false">Vendor_Invoices_AP!D506</f>
        <v>45949</v>
      </c>
      <c r="E509" s="17" t="n">
        <f aca="false">Vendor_Invoices_AP!F506</f>
        <v>45979</v>
      </c>
      <c r="F509" s="18" t="n">
        <f aca="false">Vendor_Invoices_AP!E506</f>
        <v>1208.25</v>
      </c>
      <c r="G509" s="18" t="n">
        <f aca="false">SUMIFS(Payment_Log_AP!$E$2:$E$753,Payment_Log_AP!$B$2:$B$753,A509)</f>
        <v>1208.25</v>
      </c>
      <c r="H509" s="18" t="n">
        <f aca="false">F509-G509</f>
        <v>0</v>
      </c>
      <c r="I509" s="16" t="n">
        <f aca="false">IF(H509&lt;=0.01,0,MAX(Assumptions!$B$5-E509,0))</f>
        <v>0</v>
      </c>
      <c r="J509" s="16" t="str">
        <f aca="false">IF(H509&lt;=0.01,"Paid",IF(I509&lt;=30,"0-30",IF(I509&lt;=60,"31-60",IF(I509&lt;=90,"61-90","90+"))))</f>
        <v>Paid</v>
      </c>
      <c r="K509" s="16" t="str">
        <f aca="false">IF(H509&lt;=0.01,"Paid",IF(G509&gt;0,"Partially Paid","Unpaid"))</f>
        <v>Paid</v>
      </c>
    </row>
    <row r="510" customFormat="false" ht="15" hidden="false" customHeight="false" outlineLevel="0" collapsed="false">
      <c r="A510" s="16" t="str">
        <f aca="false">Vendor_Invoices_AP!A507</f>
        <v>INV30506</v>
      </c>
      <c r="B510" s="16" t="str">
        <f aca="false">Vendor_Invoices_AP!C507</f>
        <v>V1038</v>
      </c>
      <c r="C510" s="16" t="str">
        <f aca="false">IFERROR(INDEX(Vendor_Master!$B$2:$B$41,MATCH(B510,Vendor_Master!$A$2:$A$41,0)),"Unknown Vendor")</f>
        <v>Rose-Obrien</v>
      </c>
      <c r="D510" s="17" t="n">
        <f aca="false">Vendor_Invoices_AP!D507</f>
        <v>45990</v>
      </c>
      <c r="E510" s="17" t="n">
        <f aca="false">Vendor_Invoices_AP!F507</f>
        <v>46020</v>
      </c>
      <c r="F510" s="18" t="n">
        <f aca="false">Vendor_Invoices_AP!E507</f>
        <v>1492.36</v>
      </c>
      <c r="G510" s="18" t="n">
        <f aca="false">SUMIFS(Payment_Log_AP!$E$2:$E$753,Payment_Log_AP!$B$2:$B$753,A510)</f>
        <v>1492.36</v>
      </c>
      <c r="H510" s="18" t="n">
        <f aca="false">F510-G510</f>
        <v>0</v>
      </c>
      <c r="I510" s="16" t="n">
        <f aca="false">IF(H510&lt;=0.01,0,MAX(Assumptions!$B$5-E510,0))</f>
        <v>0</v>
      </c>
      <c r="J510" s="16" t="str">
        <f aca="false">IF(H510&lt;=0.01,"Paid",IF(I510&lt;=30,"0-30",IF(I510&lt;=60,"31-60",IF(I510&lt;=90,"61-90","90+"))))</f>
        <v>Paid</v>
      </c>
      <c r="K510" s="16" t="str">
        <f aca="false">IF(H510&lt;=0.01,"Paid",IF(G510&gt;0,"Partially Paid","Unpaid"))</f>
        <v>Paid</v>
      </c>
    </row>
    <row r="511" customFormat="false" ht="15" hidden="false" customHeight="false" outlineLevel="0" collapsed="false">
      <c r="A511" s="16" t="str">
        <f aca="false">Vendor_Invoices_AP!A508</f>
        <v>INV30507</v>
      </c>
      <c r="B511" s="16" t="str">
        <f aca="false">Vendor_Invoices_AP!C508</f>
        <v>V1013</v>
      </c>
      <c r="C511" s="16" t="str">
        <f aca="false">IFERROR(INDEX(Vendor_Master!$B$2:$B$41,MATCH(B511,Vendor_Master!$A$2:$A$41,0)),"Unknown Vendor")</f>
        <v>Delacruz Group</v>
      </c>
      <c r="D511" s="17" t="n">
        <f aca="false">Vendor_Invoices_AP!D508</f>
        <v>46134</v>
      </c>
      <c r="E511" s="17" t="n">
        <f aca="false">Vendor_Invoices_AP!F508</f>
        <v>46149</v>
      </c>
      <c r="F511" s="18" t="n">
        <f aca="false">Vendor_Invoices_AP!E508</f>
        <v>916.33</v>
      </c>
      <c r="G511" s="18" t="n">
        <f aca="false">SUMIFS(Payment_Log_AP!$E$2:$E$753,Payment_Log_AP!$B$2:$B$753,A511)</f>
        <v>916.33</v>
      </c>
      <c r="H511" s="18" t="n">
        <f aca="false">F511-G511</f>
        <v>0</v>
      </c>
      <c r="I511" s="16" t="n">
        <f aca="false">IF(H511&lt;=0.01,0,MAX(Assumptions!$B$5-E511,0))</f>
        <v>0</v>
      </c>
      <c r="J511" s="16" t="str">
        <f aca="false">IF(H511&lt;=0.01,"Paid",IF(I511&lt;=30,"0-30",IF(I511&lt;=60,"31-60",IF(I511&lt;=90,"61-90","90+"))))</f>
        <v>Paid</v>
      </c>
      <c r="K511" s="16" t="str">
        <f aca="false">IF(H511&lt;=0.01,"Paid",IF(G511&gt;0,"Partially Paid","Unpaid"))</f>
        <v>Paid</v>
      </c>
    </row>
    <row r="512" customFormat="false" ht="15" hidden="false" customHeight="false" outlineLevel="0" collapsed="false">
      <c r="A512" s="16" t="str">
        <f aca="false">Vendor_Invoices_AP!A509</f>
        <v>INV30508</v>
      </c>
      <c r="B512" s="16" t="str">
        <f aca="false">Vendor_Invoices_AP!C509</f>
        <v>V1016</v>
      </c>
      <c r="C512" s="16" t="str">
        <f aca="false">IFERROR(INDEX(Vendor_Master!$B$2:$B$41,MATCH(B512,Vendor_Master!$A$2:$A$41,0)),"Unknown Vendor")</f>
        <v>Sanchez, Ford and Nelson</v>
      </c>
      <c r="D512" s="17" t="n">
        <f aca="false">Vendor_Invoices_AP!D509</f>
        <v>46139</v>
      </c>
      <c r="E512" s="17" t="n">
        <f aca="false">Vendor_Invoices_AP!F509</f>
        <v>46169</v>
      </c>
      <c r="F512" s="18" t="n">
        <f aca="false">Vendor_Invoices_AP!E509</f>
        <v>13637.91</v>
      </c>
      <c r="G512" s="18" t="n">
        <f aca="false">SUMIFS(Payment_Log_AP!$E$2:$E$753,Payment_Log_AP!$B$2:$B$753,A512)</f>
        <v>13637.91</v>
      </c>
      <c r="H512" s="18" t="n">
        <f aca="false">F512-G512</f>
        <v>0</v>
      </c>
      <c r="I512" s="16" t="n">
        <f aca="false">IF(H512&lt;=0.01,0,MAX(Assumptions!$B$5-E512,0))</f>
        <v>0</v>
      </c>
      <c r="J512" s="16" t="str">
        <f aca="false">IF(H512&lt;=0.01,"Paid",IF(I512&lt;=30,"0-30",IF(I512&lt;=60,"31-60",IF(I512&lt;=90,"61-90","90+"))))</f>
        <v>Paid</v>
      </c>
      <c r="K512" s="16" t="str">
        <f aca="false">IF(H512&lt;=0.01,"Paid",IF(G512&gt;0,"Partially Paid","Unpaid"))</f>
        <v>Paid</v>
      </c>
    </row>
    <row r="513" customFormat="false" ht="15" hidden="false" customHeight="false" outlineLevel="0" collapsed="false">
      <c r="A513" s="16" t="str">
        <f aca="false">Vendor_Invoices_AP!A510</f>
        <v>INV30509</v>
      </c>
      <c r="B513" s="16" t="str">
        <f aca="false">Vendor_Invoices_AP!C510</f>
        <v>V1004</v>
      </c>
      <c r="C513" s="16" t="str">
        <f aca="false">IFERROR(INDEX(Vendor_Master!$B$2:$B$41,MATCH(B513,Vendor_Master!$A$2:$A$41,0)),"Unknown Vendor")</f>
        <v>Johnson, Gonzalez and Santos</v>
      </c>
      <c r="D513" s="17" t="n">
        <f aca="false">Vendor_Invoices_AP!D510</f>
        <v>45906</v>
      </c>
      <c r="E513" s="17" t="n">
        <f aca="false">Vendor_Invoices_AP!F510</f>
        <v>45921</v>
      </c>
      <c r="F513" s="18" t="n">
        <f aca="false">Vendor_Invoices_AP!E510</f>
        <v>984.21</v>
      </c>
      <c r="G513" s="18" t="n">
        <f aca="false">SUMIFS(Payment_Log_AP!$E$2:$E$753,Payment_Log_AP!$B$2:$B$753,A513)</f>
        <v>984.21</v>
      </c>
      <c r="H513" s="18" t="n">
        <f aca="false">F513-G513</f>
        <v>0</v>
      </c>
      <c r="I513" s="16" t="n">
        <f aca="false">IF(H513&lt;=0.01,0,MAX(Assumptions!$B$5-E513,0))</f>
        <v>0</v>
      </c>
      <c r="J513" s="16" t="str">
        <f aca="false">IF(H513&lt;=0.01,"Paid",IF(I513&lt;=30,"0-30",IF(I513&lt;=60,"31-60",IF(I513&lt;=90,"61-90","90+"))))</f>
        <v>Paid</v>
      </c>
      <c r="K513" s="16" t="str">
        <f aca="false">IF(H513&lt;=0.01,"Paid",IF(G513&gt;0,"Partially Paid","Unpaid"))</f>
        <v>Paid</v>
      </c>
    </row>
    <row r="514" customFormat="false" ht="15" hidden="false" customHeight="false" outlineLevel="0" collapsed="false">
      <c r="A514" s="16" t="str">
        <f aca="false">Vendor_Invoices_AP!A511</f>
        <v>INV30510</v>
      </c>
      <c r="B514" s="16" t="str">
        <f aca="false">Vendor_Invoices_AP!C511</f>
        <v>V1012</v>
      </c>
      <c r="C514" s="16" t="str">
        <f aca="false">IFERROR(INDEX(Vendor_Master!$B$2:$B$41,MATCH(B514,Vendor_Master!$A$2:$A$41,0)),"Unknown Vendor")</f>
        <v>Stanley LLC</v>
      </c>
      <c r="D514" s="17" t="n">
        <f aca="false">Vendor_Invoices_AP!D511</f>
        <v>45966</v>
      </c>
      <c r="E514" s="17" t="n">
        <f aca="false">Vendor_Invoices_AP!F511</f>
        <v>46026</v>
      </c>
      <c r="F514" s="18" t="n">
        <f aca="false">Vendor_Invoices_AP!E511</f>
        <v>2718.82</v>
      </c>
      <c r="G514" s="18" t="n">
        <f aca="false">SUMIFS(Payment_Log_AP!$E$2:$E$753,Payment_Log_AP!$B$2:$B$753,A514)</f>
        <v>2718.82</v>
      </c>
      <c r="H514" s="18" t="n">
        <f aca="false">F514-G514</f>
        <v>0</v>
      </c>
      <c r="I514" s="16" t="n">
        <f aca="false">IF(H514&lt;=0.01,0,MAX(Assumptions!$B$5-E514,0))</f>
        <v>0</v>
      </c>
      <c r="J514" s="16" t="str">
        <f aca="false">IF(H514&lt;=0.01,"Paid",IF(I514&lt;=30,"0-30",IF(I514&lt;=60,"31-60",IF(I514&lt;=90,"61-90","90+"))))</f>
        <v>Paid</v>
      </c>
      <c r="K514" s="16" t="str">
        <f aca="false">IF(H514&lt;=0.01,"Paid",IF(G514&gt;0,"Partially Paid","Unpaid"))</f>
        <v>Paid</v>
      </c>
    </row>
    <row r="515" customFormat="false" ht="15" hidden="false" customHeight="false" outlineLevel="0" collapsed="false">
      <c r="A515" s="16" t="str">
        <f aca="false">Vendor_Invoices_AP!A512</f>
        <v>INV30511</v>
      </c>
      <c r="B515" s="16" t="str">
        <f aca="false">Vendor_Invoices_AP!C512</f>
        <v>V1027</v>
      </c>
      <c r="C515" s="16" t="str">
        <f aca="false">IFERROR(INDEX(Vendor_Master!$B$2:$B$41,MATCH(B515,Vendor_Master!$A$2:$A$41,0)),"Unknown Vendor")</f>
        <v>Valencia, Smith and Le</v>
      </c>
      <c r="D515" s="17" t="n">
        <f aca="false">Vendor_Invoices_AP!D512</f>
        <v>45921</v>
      </c>
      <c r="E515" s="17" t="n">
        <f aca="false">Vendor_Invoices_AP!F512</f>
        <v>45966</v>
      </c>
      <c r="F515" s="18" t="n">
        <f aca="false">Vendor_Invoices_AP!E512</f>
        <v>607.61</v>
      </c>
      <c r="G515" s="18" t="n">
        <f aca="false">SUMIFS(Payment_Log_AP!$E$2:$E$753,Payment_Log_AP!$B$2:$B$753,A515)</f>
        <v>0</v>
      </c>
      <c r="H515" s="18" t="n">
        <f aca="false">F515-G515</f>
        <v>607.61</v>
      </c>
      <c r="I515" s="16" t="n">
        <f aca="false">IF(H515&lt;=0.01,0,MAX(Assumptions!$B$5-E515,0))</f>
        <v>268</v>
      </c>
      <c r="J515" s="16" t="str">
        <f aca="false">IF(H515&lt;=0.01,"Paid",IF(I515&lt;=30,"0-30",IF(I515&lt;=60,"31-60",IF(I515&lt;=90,"61-90","90+"))))</f>
        <v>90+</v>
      </c>
      <c r="K515" s="16" t="str">
        <f aca="false">IF(H515&lt;=0.01,"Paid",IF(G515&gt;0,"Partially Paid","Unpaid"))</f>
        <v>Unpaid</v>
      </c>
    </row>
    <row r="516" customFormat="false" ht="15" hidden="false" customHeight="false" outlineLevel="0" collapsed="false">
      <c r="A516" s="16" t="str">
        <f aca="false">Vendor_Invoices_AP!A513</f>
        <v>INV30512</v>
      </c>
      <c r="B516" s="16" t="str">
        <f aca="false">Vendor_Invoices_AP!C513</f>
        <v>V1015</v>
      </c>
      <c r="C516" s="16" t="str">
        <f aca="false">IFERROR(INDEX(Vendor_Master!$B$2:$B$41,MATCH(B516,Vendor_Master!$A$2:$A$41,0)),"Unknown Vendor")</f>
        <v>Zuniga, Wong and Lynch</v>
      </c>
      <c r="D516" s="17" t="n">
        <f aca="false">Vendor_Invoices_AP!D513</f>
        <v>46058</v>
      </c>
      <c r="E516" s="17" t="n">
        <f aca="false">Vendor_Invoices_AP!F513</f>
        <v>46088</v>
      </c>
      <c r="F516" s="18" t="n">
        <f aca="false">Vendor_Invoices_AP!E513</f>
        <v>10927.52</v>
      </c>
      <c r="G516" s="18" t="n">
        <f aca="false">SUMIFS(Payment_Log_AP!$E$2:$E$753,Payment_Log_AP!$B$2:$B$753,A516)</f>
        <v>0</v>
      </c>
      <c r="H516" s="18" t="n">
        <f aca="false">F516-G516</f>
        <v>10927.52</v>
      </c>
      <c r="I516" s="16" t="n">
        <f aca="false">IF(H516&lt;=0.01,0,MAX(Assumptions!$B$5-E516,0))</f>
        <v>146</v>
      </c>
      <c r="J516" s="16" t="str">
        <f aca="false">IF(H516&lt;=0.01,"Paid",IF(I516&lt;=30,"0-30",IF(I516&lt;=60,"31-60",IF(I516&lt;=90,"61-90","90+"))))</f>
        <v>90+</v>
      </c>
      <c r="K516" s="16" t="str">
        <f aca="false">IF(H516&lt;=0.01,"Paid",IF(G516&gt;0,"Partially Paid","Unpaid"))</f>
        <v>Unpaid</v>
      </c>
    </row>
    <row r="517" customFormat="false" ht="15" hidden="false" customHeight="false" outlineLevel="0" collapsed="false">
      <c r="A517" s="16" t="str">
        <f aca="false">Vendor_Invoices_AP!A514</f>
        <v>INV30513</v>
      </c>
      <c r="B517" s="16" t="str">
        <f aca="false">Vendor_Invoices_AP!C514</f>
        <v>V1021</v>
      </c>
      <c r="C517" s="16" t="str">
        <f aca="false">IFERROR(INDEX(Vendor_Master!$B$2:$B$41,MATCH(B517,Vendor_Master!$A$2:$A$41,0)),"Unknown Vendor")</f>
        <v>Ellis, Baker and Wright</v>
      </c>
      <c r="D517" s="17" t="n">
        <f aca="false">Vendor_Invoices_AP!D514</f>
        <v>45895</v>
      </c>
      <c r="E517" s="17" t="n">
        <f aca="false">Vendor_Invoices_AP!F514</f>
        <v>45925</v>
      </c>
      <c r="F517" s="18" t="n">
        <f aca="false">Vendor_Invoices_AP!E514</f>
        <v>1732.45</v>
      </c>
      <c r="G517" s="18" t="n">
        <f aca="false">SUMIFS(Payment_Log_AP!$E$2:$E$753,Payment_Log_AP!$B$2:$B$753,A517)</f>
        <v>0</v>
      </c>
      <c r="H517" s="18" t="n">
        <f aca="false">F517-G517</f>
        <v>1732.45</v>
      </c>
      <c r="I517" s="16" t="n">
        <f aca="false">IF(H517&lt;=0.01,0,MAX(Assumptions!$B$5-E517,0))</f>
        <v>309</v>
      </c>
      <c r="J517" s="16" t="str">
        <f aca="false">IF(H517&lt;=0.01,"Paid",IF(I517&lt;=30,"0-30",IF(I517&lt;=60,"31-60",IF(I517&lt;=90,"61-90","90+"))))</f>
        <v>90+</v>
      </c>
      <c r="K517" s="16" t="str">
        <f aca="false">IF(H517&lt;=0.01,"Paid",IF(G517&gt;0,"Partially Paid","Unpaid"))</f>
        <v>Unpaid</v>
      </c>
    </row>
    <row r="518" customFormat="false" ht="15" hidden="false" customHeight="false" outlineLevel="0" collapsed="false">
      <c r="A518" s="16" t="str">
        <f aca="false">Vendor_Invoices_AP!A515</f>
        <v>INV30514</v>
      </c>
      <c r="B518" s="16" t="str">
        <f aca="false">Vendor_Invoices_AP!C515</f>
        <v>V1014</v>
      </c>
      <c r="C518" s="16" t="str">
        <f aca="false">IFERROR(INDEX(Vendor_Master!$B$2:$B$41,MATCH(B518,Vendor_Master!$A$2:$A$41,0)),"Unknown Vendor")</f>
        <v>Flowers, Martin and Kelly</v>
      </c>
      <c r="D518" s="17" t="n">
        <f aca="false">Vendor_Invoices_AP!D515</f>
        <v>46029</v>
      </c>
      <c r="E518" s="17" t="n">
        <f aca="false">Vendor_Invoices_AP!F515</f>
        <v>46059</v>
      </c>
      <c r="F518" s="18" t="n">
        <f aca="false">Vendor_Invoices_AP!E515</f>
        <v>790.15</v>
      </c>
      <c r="G518" s="18" t="n">
        <f aca="false">SUMIFS(Payment_Log_AP!$E$2:$E$753,Payment_Log_AP!$B$2:$B$753,A518)</f>
        <v>790.15</v>
      </c>
      <c r="H518" s="18" t="n">
        <f aca="false">F518-G518</f>
        <v>0</v>
      </c>
      <c r="I518" s="16" t="n">
        <f aca="false">IF(H518&lt;=0.01,0,MAX(Assumptions!$B$5-E518,0))</f>
        <v>0</v>
      </c>
      <c r="J518" s="16" t="str">
        <f aca="false">IF(H518&lt;=0.01,"Paid",IF(I518&lt;=30,"0-30",IF(I518&lt;=60,"31-60",IF(I518&lt;=90,"61-90","90+"))))</f>
        <v>Paid</v>
      </c>
      <c r="K518" s="16" t="str">
        <f aca="false">IF(H518&lt;=0.01,"Paid",IF(G518&gt;0,"Partially Paid","Unpaid"))</f>
        <v>Paid</v>
      </c>
    </row>
    <row r="519" customFormat="false" ht="15" hidden="false" customHeight="false" outlineLevel="0" collapsed="false">
      <c r="A519" s="16" t="str">
        <f aca="false">Vendor_Invoices_AP!A516</f>
        <v>INV30515</v>
      </c>
      <c r="B519" s="16" t="str">
        <f aca="false">Vendor_Invoices_AP!C516</f>
        <v>V1009</v>
      </c>
      <c r="C519" s="16" t="str">
        <f aca="false">IFERROR(INDEX(Vendor_Master!$B$2:$B$41,MATCH(B519,Vendor_Master!$A$2:$A$41,0)),"Unknown Vendor")</f>
        <v>Munoz-Roman</v>
      </c>
      <c r="D519" s="17" t="n">
        <f aca="false">Vendor_Invoices_AP!D516</f>
        <v>45765</v>
      </c>
      <c r="E519" s="17" t="n">
        <f aca="false">Vendor_Invoices_AP!F516</f>
        <v>45795</v>
      </c>
      <c r="F519" s="18" t="n">
        <f aca="false">Vendor_Invoices_AP!E516</f>
        <v>2141.21</v>
      </c>
      <c r="G519" s="18" t="n">
        <f aca="false">SUMIFS(Payment_Log_AP!$E$2:$E$753,Payment_Log_AP!$B$2:$B$753,A519)</f>
        <v>2141.21</v>
      </c>
      <c r="H519" s="18" t="n">
        <f aca="false">F519-G519</f>
        <v>0</v>
      </c>
      <c r="I519" s="16" t="n">
        <f aca="false">IF(H519&lt;=0.01,0,MAX(Assumptions!$B$5-E519,0))</f>
        <v>0</v>
      </c>
      <c r="J519" s="16" t="str">
        <f aca="false">IF(H519&lt;=0.01,"Paid",IF(I519&lt;=30,"0-30",IF(I519&lt;=60,"31-60",IF(I519&lt;=90,"61-90","90+"))))</f>
        <v>Paid</v>
      </c>
      <c r="K519" s="16" t="str">
        <f aca="false">IF(H519&lt;=0.01,"Paid",IF(G519&gt;0,"Partially Paid","Unpaid"))</f>
        <v>Paid</v>
      </c>
    </row>
    <row r="520" customFormat="false" ht="15" hidden="false" customHeight="false" outlineLevel="0" collapsed="false">
      <c r="A520" s="16" t="str">
        <f aca="false">Vendor_Invoices_AP!A517</f>
        <v>INV30516</v>
      </c>
      <c r="B520" s="16" t="str">
        <f aca="false">Vendor_Invoices_AP!C517</f>
        <v>V1010</v>
      </c>
      <c r="C520" s="16" t="str">
        <f aca="false">IFERROR(INDEX(Vendor_Master!$B$2:$B$41,MATCH(B520,Vendor_Master!$A$2:$A$41,0)),"Unknown Vendor")</f>
        <v>Martinez, Nielsen and Miller</v>
      </c>
      <c r="D520" s="17" t="n">
        <f aca="false">Vendor_Invoices_AP!D517</f>
        <v>45935</v>
      </c>
      <c r="E520" s="17" t="n">
        <f aca="false">Vendor_Invoices_AP!F517</f>
        <v>45950</v>
      </c>
      <c r="F520" s="18" t="n">
        <f aca="false">Vendor_Invoices_AP!E517</f>
        <v>506.73</v>
      </c>
      <c r="G520" s="18" t="n">
        <f aca="false">SUMIFS(Payment_Log_AP!$E$2:$E$753,Payment_Log_AP!$B$2:$B$753,A520)</f>
        <v>506.73</v>
      </c>
      <c r="H520" s="18" t="n">
        <f aca="false">F520-G520</f>
        <v>0</v>
      </c>
      <c r="I520" s="16" t="n">
        <f aca="false">IF(H520&lt;=0.01,0,MAX(Assumptions!$B$5-E520,0))</f>
        <v>0</v>
      </c>
      <c r="J520" s="16" t="str">
        <f aca="false">IF(H520&lt;=0.01,"Paid",IF(I520&lt;=30,"0-30",IF(I520&lt;=60,"31-60",IF(I520&lt;=90,"61-90","90+"))))</f>
        <v>Paid</v>
      </c>
      <c r="K520" s="16" t="str">
        <f aca="false">IF(H520&lt;=0.01,"Paid",IF(G520&gt;0,"Partially Paid","Unpaid"))</f>
        <v>Paid</v>
      </c>
    </row>
    <row r="521" customFormat="false" ht="15" hidden="false" customHeight="false" outlineLevel="0" collapsed="false">
      <c r="A521" s="16" t="str">
        <f aca="false">Vendor_Invoices_AP!A518</f>
        <v>INV30517</v>
      </c>
      <c r="B521" s="16" t="str">
        <f aca="false">Vendor_Invoices_AP!C518</f>
        <v>V1010</v>
      </c>
      <c r="C521" s="16" t="str">
        <f aca="false">IFERROR(INDEX(Vendor_Master!$B$2:$B$41,MATCH(B521,Vendor_Master!$A$2:$A$41,0)),"Unknown Vendor")</f>
        <v>Martinez, Nielsen and Miller</v>
      </c>
      <c r="D521" s="17" t="n">
        <f aca="false">Vendor_Invoices_AP!D518</f>
        <v>45930</v>
      </c>
      <c r="E521" s="17" t="n">
        <f aca="false">Vendor_Invoices_AP!F518</f>
        <v>45945</v>
      </c>
      <c r="F521" s="18" t="n">
        <f aca="false">Vendor_Invoices_AP!E518</f>
        <v>426.29</v>
      </c>
      <c r="G521" s="18" t="n">
        <f aca="false">SUMIFS(Payment_Log_AP!$E$2:$E$753,Payment_Log_AP!$B$2:$B$753,A521)</f>
        <v>426.29</v>
      </c>
      <c r="H521" s="18" t="n">
        <f aca="false">F521-G521</f>
        <v>0</v>
      </c>
      <c r="I521" s="16" t="n">
        <f aca="false">IF(H521&lt;=0.01,0,MAX(Assumptions!$B$5-E521,0))</f>
        <v>0</v>
      </c>
      <c r="J521" s="16" t="str">
        <f aca="false">IF(H521&lt;=0.01,"Paid",IF(I521&lt;=30,"0-30",IF(I521&lt;=60,"31-60",IF(I521&lt;=90,"61-90","90+"))))</f>
        <v>Paid</v>
      </c>
      <c r="K521" s="16" t="str">
        <f aca="false">IF(H521&lt;=0.01,"Paid",IF(G521&gt;0,"Partially Paid","Unpaid"))</f>
        <v>Paid</v>
      </c>
    </row>
    <row r="522" customFormat="false" ht="15" hidden="false" customHeight="false" outlineLevel="0" collapsed="false">
      <c r="A522" s="16" t="str">
        <f aca="false">Vendor_Invoices_AP!A519</f>
        <v>INV30518</v>
      </c>
      <c r="B522" s="16" t="str">
        <f aca="false">Vendor_Invoices_AP!C519</f>
        <v>V1016</v>
      </c>
      <c r="C522" s="16" t="str">
        <f aca="false">IFERROR(INDEX(Vendor_Master!$B$2:$B$41,MATCH(B522,Vendor_Master!$A$2:$A$41,0)),"Unknown Vendor")</f>
        <v>Sanchez, Ford and Nelson</v>
      </c>
      <c r="D522" s="17" t="n">
        <f aca="false">Vendor_Invoices_AP!D519</f>
        <v>46192</v>
      </c>
      <c r="E522" s="17" t="n">
        <f aca="false">Vendor_Invoices_AP!F519</f>
        <v>46222</v>
      </c>
      <c r="F522" s="18" t="n">
        <f aca="false">Vendor_Invoices_AP!E519</f>
        <v>1888.48</v>
      </c>
      <c r="G522" s="18" t="n">
        <f aca="false">SUMIFS(Payment_Log_AP!$E$2:$E$753,Payment_Log_AP!$B$2:$B$753,A522)</f>
        <v>0</v>
      </c>
      <c r="H522" s="18" t="n">
        <f aca="false">F522-G522</f>
        <v>1888.48</v>
      </c>
      <c r="I522" s="16" t="n">
        <f aca="false">IF(H522&lt;=0.01,0,MAX(Assumptions!$B$5-E522,0))</f>
        <v>12</v>
      </c>
      <c r="J522" s="16" t="str">
        <f aca="false">IF(H522&lt;=0.01,"Paid",IF(I522&lt;=30,"0-30",IF(I522&lt;=60,"31-60",IF(I522&lt;=90,"61-90","90+"))))</f>
        <v>0-30</v>
      </c>
      <c r="K522" s="16" t="str">
        <f aca="false">IF(H522&lt;=0.01,"Paid",IF(G522&gt;0,"Partially Paid","Unpaid"))</f>
        <v>Unpaid</v>
      </c>
    </row>
    <row r="523" customFormat="false" ht="15" hidden="false" customHeight="false" outlineLevel="0" collapsed="false">
      <c r="A523" s="16" t="str">
        <f aca="false">Vendor_Invoices_AP!A520</f>
        <v>INV30519</v>
      </c>
      <c r="B523" s="16" t="str">
        <f aca="false">Vendor_Invoices_AP!C520</f>
        <v>V1030</v>
      </c>
      <c r="C523" s="16" t="str">
        <f aca="false">IFERROR(INDEX(Vendor_Master!$B$2:$B$41,MATCH(B523,Vendor_Master!$A$2:$A$41,0)),"Unknown Vendor")</f>
        <v>Stanton-Gill</v>
      </c>
      <c r="D523" s="17" t="n">
        <f aca="false">Vendor_Invoices_AP!D520</f>
        <v>45857</v>
      </c>
      <c r="E523" s="17" t="n">
        <f aca="false">Vendor_Invoices_AP!F520</f>
        <v>45917</v>
      </c>
      <c r="F523" s="18" t="n">
        <f aca="false">Vendor_Invoices_AP!E520</f>
        <v>3958.3</v>
      </c>
      <c r="G523" s="18" t="n">
        <f aca="false">SUMIFS(Payment_Log_AP!$E$2:$E$753,Payment_Log_AP!$B$2:$B$753,A523)</f>
        <v>3958.3</v>
      </c>
      <c r="H523" s="18" t="n">
        <f aca="false">F523-G523</f>
        <v>0</v>
      </c>
      <c r="I523" s="16" t="n">
        <f aca="false">IF(H523&lt;=0.01,0,MAX(Assumptions!$B$5-E523,0))</f>
        <v>0</v>
      </c>
      <c r="J523" s="16" t="str">
        <f aca="false">IF(H523&lt;=0.01,"Paid",IF(I523&lt;=30,"0-30",IF(I523&lt;=60,"31-60",IF(I523&lt;=90,"61-90","90+"))))</f>
        <v>Paid</v>
      </c>
      <c r="K523" s="16" t="str">
        <f aca="false">IF(H523&lt;=0.01,"Paid",IF(G523&gt;0,"Partially Paid","Unpaid"))</f>
        <v>Paid</v>
      </c>
    </row>
    <row r="524" customFormat="false" ht="15" hidden="false" customHeight="false" outlineLevel="0" collapsed="false">
      <c r="A524" s="16" t="str">
        <f aca="false">Vendor_Invoices_AP!A521</f>
        <v>INV30520</v>
      </c>
      <c r="B524" s="16" t="str">
        <f aca="false">Vendor_Invoices_AP!C521</f>
        <v>V1025</v>
      </c>
      <c r="C524" s="16" t="str">
        <f aca="false">IFERROR(INDEX(Vendor_Master!$B$2:$B$41,MATCH(B524,Vendor_Master!$A$2:$A$41,0)),"Unknown Vendor")</f>
        <v>Conner Group</v>
      </c>
      <c r="D524" s="17" t="n">
        <f aca="false">Vendor_Invoices_AP!D521</f>
        <v>46059</v>
      </c>
      <c r="E524" s="17" t="n">
        <f aca="false">Vendor_Invoices_AP!F521</f>
        <v>46104</v>
      </c>
      <c r="F524" s="18" t="n">
        <f aca="false">Vendor_Invoices_AP!E521</f>
        <v>3426.38</v>
      </c>
      <c r="G524" s="18" t="n">
        <f aca="false">SUMIFS(Payment_Log_AP!$E$2:$E$753,Payment_Log_AP!$B$2:$B$753,A524)</f>
        <v>3426.38</v>
      </c>
      <c r="H524" s="18" t="n">
        <f aca="false">F524-G524</f>
        <v>0</v>
      </c>
      <c r="I524" s="16" t="n">
        <f aca="false">IF(H524&lt;=0.01,0,MAX(Assumptions!$B$5-E524,0))</f>
        <v>0</v>
      </c>
      <c r="J524" s="16" t="str">
        <f aca="false">IF(H524&lt;=0.01,"Paid",IF(I524&lt;=30,"0-30",IF(I524&lt;=60,"31-60",IF(I524&lt;=90,"61-90","90+"))))</f>
        <v>Paid</v>
      </c>
      <c r="K524" s="16" t="str">
        <f aca="false">IF(H524&lt;=0.01,"Paid",IF(G524&gt;0,"Partially Paid","Unpaid"))</f>
        <v>Paid</v>
      </c>
    </row>
    <row r="525" customFormat="false" ht="15" hidden="false" customHeight="false" outlineLevel="0" collapsed="false">
      <c r="A525" s="16" t="str">
        <f aca="false">Vendor_Invoices_AP!A522</f>
        <v>INV30521</v>
      </c>
      <c r="B525" s="16" t="str">
        <f aca="false">Vendor_Invoices_AP!C522</f>
        <v>V1033</v>
      </c>
      <c r="C525" s="16" t="str">
        <f aca="false">IFERROR(INDEX(Vendor_Master!$B$2:$B$41,MATCH(B525,Vendor_Master!$A$2:$A$41,0)),"Unknown Vendor")</f>
        <v>Sellers, George and Burns</v>
      </c>
      <c r="D525" s="17" t="n">
        <f aca="false">Vendor_Invoices_AP!D522</f>
        <v>46019</v>
      </c>
      <c r="E525" s="17" t="n">
        <f aca="false">Vendor_Invoices_AP!F522</f>
        <v>46079</v>
      </c>
      <c r="F525" s="18" t="n">
        <f aca="false">Vendor_Invoices_AP!E522</f>
        <v>663.66</v>
      </c>
      <c r="G525" s="18" t="n">
        <f aca="false">SUMIFS(Payment_Log_AP!$E$2:$E$753,Payment_Log_AP!$B$2:$B$753,A525)</f>
        <v>663.66</v>
      </c>
      <c r="H525" s="18" t="n">
        <f aca="false">F525-G525</f>
        <v>0</v>
      </c>
      <c r="I525" s="16" t="n">
        <f aca="false">IF(H525&lt;=0.01,0,MAX(Assumptions!$B$5-E525,0))</f>
        <v>0</v>
      </c>
      <c r="J525" s="16" t="str">
        <f aca="false">IF(H525&lt;=0.01,"Paid",IF(I525&lt;=30,"0-30",IF(I525&lt;=60,"31-60",IF(I525&lt;=90,"61-90","90+"))))</f>
        <v>Paid</v>
      </c>
      <c r="K525" s="16" t="str">
        <f aca="false">IF(H525&lt;=0.01,"Paid",IF(G525&gt;0,"Partially Paid","Unpaid"))</f>
        <v>Paid</v>
      </c>
    </row>
    <row r="526" customFormat="false" ht="15" hidden="false" customHeight="false" outlineLevel="0" collapsed="false">
      <c r="A526" s="16" t="str">
        <f aca="false">Vendor_Invoices_AP!A523</f>
        <v>INV30522</v>
      </c>
      <c r="B526" s="16" t="str">
        <f aca="false">Vendor_Invoices_AP!C523</f>
        <v>V1024</v>
      </c>
      <c r="C526" s="16" t="str">
        <f aca="false">IFERROR(INDEX(Vendor_Master!$B$2:$B$41,MATCH(B526,Vendor_Master!$A$2:$A$41,0)),"Unknown Vendor")</f>
        <v>Campos Inc</v>
      </c>
      <c r="D526" s="17" t="n">
        <f aca="false">Vendor_Invoices_AP!D523</f>
        <v>46138</v>
      </c>
      <c r="E526" s="17" t="n">
        <f aca="false">Vendor_Invoices_AP!F523</f>
        <v>46198</v>
      </c>
      <c r="F526" s="18" t="n">
        <f aca="false">Vendor_Invoices_AP!E523</f>
        <v>1251.61</v>
      </c>
      <c r="G526" s="18" t="n">
        <f aca="false">SUMIFS(Payment_Log_AP!$E$2:$E$753,Payment_Log_AP!$B$2:$B$753,A526)</f>
        <v>0</v>
      </c>
      <c r="H526" s="18" t="n">
        <f aca="false">F526-G526</f>
        <v>1251.61</v>
      </c>
      <c r="I526" s="16" t="n">
        <f aca="false">IF(H526&lt;=0.01,0,MAX(Assumptions!$B$5-E526,0))</f>
        <v>36</v>
      </c>
      <c r="J526" s="16" t="str">
        <f aca="false">IF(H526&lt;=0.01,"Paid",IF(I526&lt;=30,"0-30",IF(I526&lt;=60,"31-60",IF(I526&lt;=90,"61-90","90+"))))</f>
        <v>31-60</v>
      </c>
      <c r="K526" s="16" t="str">
        <f aca="false">IF(H526&lt;=0.01,"Paid",IF(G526&gt;0,"Partially Paid","Unpaid"))</f>
        <v>Unpaid</v>
      </c>
    </row>
    <row r="527" customFormat="false" ht="15" hidden="false" customHeight="false" outlineLevel="0" collapsed="false">
      <c r="A527" s="16" t="str">
        <f aca="false">Vendor_Invoices_AP!A524</f>
        <v>INV30523</v>
      </c>
      <c r="B527" s="16" t="str">
        <f aca="false">Vendor_Invoices_AP!C524</f>
        <v>V1010</v>
      </c>
      <c r="C527" s="16" t="str">
        <f aca="false">IFERROR(INDEX(Vendor_Master!$B$2:$B$41,MATCH(B527,Vendor_Master!$A$2:$A$41,0)),"Unknown Vendor")</f>
        <v>Martinez, Nielsen and Miller</v>
      </c>
      <c r="D527" s="17" t="n">
        <f aca="false">Vendor_Invoices_AP!D524</f>
        <v>46137</v>
      </c>
      <c r="E527" s="17" t="n">
        <f aca="false">Vendor_Invoices_AP!F524</f>
        <v>46152</v>
      </c>
      <c r="F527" s="18" t="n">
        <f aca="false">Vendor_Invoices_AP!E524</f>
        <v>980.08</v>
      </c>
      <c r="G527" s="18" t="n">
        <f aca="false">SUMIFS(Payment_Log_AP!$E$2:$E$753,Payment_Log_AP!$B$2:$B$753,A527)</f>
        <v>980.08</v>
      </c>
      <c r="H527" s="18" t="n">
        <f aca="false">F527-G527</f>
        <v>0</v>
      </c>
      <c r="I527" s="16" t="n">
        <f aca="false">IF(H527&lt;=0.01,0,MAX(Assumptions!$B$5-E527,0))</f>
        <v>0</v>
      </c>
      <c r="J527" s="16" t="str">
        <f aca="false">IF(H527&lt;=0.01,"Paid",IF(I527&lt;=30,"0-30",IF(I527&lt;=60,"31-60",IF(I527&lt;=90,"61-90","90+"))))</f>
        <v>Paid</v>
      </c>
      <c r="K527" s="16" t="str">
        <f aca="false">IF(H527&lt;=0.01,"Paid",IF(G527&gt;0,"Partially Paid","Unpaid"))</f>
        <v>Paid</v>
      </c>
    </row>
    <row r="528" customFormat="false" ht="15" hidden="false" customHeight="false" outlineLevel="0" collapsed="false">
      <c r="A528" s="16" t="str">
        <f aca="false">Vendor_Invoices_AP!A525</f>
        <v>INV30524</v>
      </c>
      <c r="B528" s="16" t="str">
        <f aca="false">Vendor_Invoices_AP!C525</f>
        <v>V1004</v>
      </c>
      <c r="C528" s="16" t="str">
        <f aca="false">IFERROR(INDEX(Vendor_Master!$B$2:$B$41,MATCH(B528,Vendor_Master!$A$2:$A$41,0)),"Unknown Vendor")</f>
        <v>Johnson, Gonzalez and Santos</v>
      </c>
      <c r="D528" s="17" t="n">
        <f aca="false">Vendor_Invoices_AP!D525</f>
        <v>46151</v>
      </c>
      <c r="E528" s="17" t="n">
        <f aca="false">Vendor_Invoices_AP!F525</f>
        <v>46166</v>
      </c>
      <c r="F528" s="18" t="n">
        <f aca="false">Vendor_Invoices_AP!E525</f>
        <v>2579.28</v>
      </c>
      <c r="G528" s="18" t="n">
        <f aca="false">SUMIFS(Payment_Log_AP!$E$2:$E$753,Payment_Log_AP!$B$2:$B$753,A528)</f>
        <v>2579.28</v>
      </c>
      <c r="H528" s="18" t="n">
        <f aca="false">F528-G528</f>
        <v>0</v>
      </c>
      <c r="I528" s="16" t="n">
        <f aca="false">IF(H528&lt;=0.01,0,MAX(Assumptions!$B$5-E528,0))</f>
        <v>0</v>
      </c>
      <c r="J528" s="16" t="str">
        <f aca="false">IF(H528&lt;=0.01,"Paid",IF(I528&lt;=30,"0-30",IF(I528&lt;=60,"31-60",IF(I528&lt;=90,"61-90","90+"))))</f>
        <v>Paid</v>
      </c>
      <c r="K528" s="16" t="str">
        <f aca="false">IF(H528&lt;=0.01,"Paid",IF(G528&gt;0,"Partially Paid","Unpaid"))</f>
        <v>Paid</v>
      </c>
    </row>
    <row r="529" customFormat="false" ht="15" hidden="false" customHeight="false" outlineLevel="0" collapsed="false">
      <c r="A529" s="16" t="str">
        <f aca="false">Vendor_Invoices_AP!A526</f>
        <v>INV30525</v>
      </c>
      <c r="B529" s="16" t="str">
        <f aca="false">Vendor_Invoices_AP!C526</f>
        <v>V1029</v>
      </c>
      <c r="C529" s="16" t="str">
        <f aca="false">IFERROR(INDEX(Vendor_Master!$B$2:$B$41,MATCH(B529,Vendor_Master!$A$2:$A$41,0)),"Unknown Vendor")</f>
        <v>Chavez Ltd</v>
      </c>
      <c r="D529" s="17" t="n">
        <f aca="false">Vendor_Invoices_AP!D526</f>
        <v>45880</v>
      </c>
      <c r="E529" s="17" t="n">
        <f aca="false">Vendor_Invoices_AP!F526</f>
        <v>45940</v>
      </c>
      <c r="F529" s="18" t="n">
        <f aca="false">Vendor_Invoices_AP!E526</f>
        <v>3221.77</v>
      </c>
      <c r="G529" s="18" t="n">
        <f aca="false">SUMIFS(Payment_Log_AP!$E$2:$E$753,Payment_Log_AP!$B$2:$B$753,A529)</f>
        <v>3221.77</v>
      </c>
      <c r="H529" s="18" t="n">
        <f aca="false">F529-G529</f>
        <v>0</v>
      </c>
      <c r="I529" s="16" t="n">
        <f aca="false">IF(H529&lt;=0.01,0,MAX(Assumptions!$B$5-E529,0))</f>
        <v>0</v>
      </c>
      <c r="J529" s="16" t="str">
        <f aca="false">IF(H529&lt;=0.01,"Paid",IF(I529&lt;=30,"0-30",IF(I529&lt;=60,"31-60",IF(I529&lt;=90,"61-90","90+"))))</f>
        <v>Paid</v>
      </c>
      <c r="K529" s="16" t="str">
        <f aca="false">IF(H529&lt;=0.01,"Paid",IF(G529&gt;0,"Partially Paid","Unpaid"))</f>
        <v>Paid</v>
      </c>
    </row>
    <row r="530" customFormat="false" ht="15" hidden="false" customHeight="false" outlineLevel="0" collapsed="false">
      <c r="A530" s="16" t="str">
        <f aca="false">Vendor_Invoices_AP!A527</f>
        <v>INV30526</v>
      </c>
      <c r="B530" s="16" t="str">
        <f aca="false">Vendor_Invoices_AP!C527</f>
        <v>V1029</v>
      </c>
      <c r="C530" s="16" t="str">
        <f aca="false">IFERROR(INDEX(Vendor_Master!$B$2:$B$41,MATCH(B530,Vendor_Master!$A$2:$A$41,0)),"Unknown Vendor")</f>
        <v>Chavez Ltd</v>
      </c>
      <c r="D530" s="17" t="n">
        <f aca="false">Vendor_Invoices_AP!D527</f>
        <v>45833</v>
      </c>
      <c r="E530" s="17" t="n">
        <f aca="false">Vendor_Invoices_AP!F527</f>
        <v>45893</v>
      </c>
      <c r="F530" s="18" t="n">
        <f aca="false">Vendor_Invoices_AP!E527</f>
        <v>130.66</v>
      </c>
      <c r="G530" s="18" t="n">
        <f aca="false">SUMIFS(Payment_Log_AP!$E$2:$E$753,Payment_Log_AP!$B$2:$B$753,A530)</f>
        <v>130.66</v>
      </c>
      <c r="H530" s="18" t="n">
        <f aca="false">F530-G530</f>
        <v>0</v>
      </c>
      <c r="I530" s="16" t="n">
        <f aca="false">IF(H530&lt;=0.01,0,MAX(Assumptions!$B$5-E530,0))</f>
        <v>0</v>
      </c>
      <c r="J530" s="16" t="str">
        <f aca="false">IF(H530&lt;=0.01,"Paid",IF(I530&lt;=30,"0-30",IF(I530&lt;=60,"31-60",IF(I530&lt;=90,"61-90","90+"))))</f>
        <v>Paid</v>
      </c>
      <c r="K530" s="16" t="str">
        <f aca="false">IF(H530&lt;=0.01,"Paid",IF(G530&gt;0,"Partially Paid","Unpaid"))</f>
        <v>Paid</v>
      </c>
    </row>
    <row r="531" customFormat="false" ht="15" hidden="false" customHeight="false" outlineLevel="0" collapsed="false">
      <c r="A531" s="16" t="str">
        <f aca="false">Vendor_Invoices_AP!A528</f>
        <v>INV30527</v>
      </c>
      <c r="B531" s="16" t="str">
        <f aca="false">Vendor_Invoices_AP!C528</f>
        <v>V1014</v>
      </c>
      <c r="C531" s="16" t="str">
        <f aca="false">IFERROR(INDEX(Vendor_Master!$B$2:$B$41,MATCH(B531,Vendor_Master!$A$2:$A$41,0)),"Unknown Vendor")</f>
        <v>Flowers, Martin and Kelly</v>
      </c>
      <c r="D531" s="17" t="n">
        <f aca="false">Vendor_Invoices_AP!D528</f>
        <v>46073</v>
      </c>
      <c r="E531" s="17" t="n">
        <f aca="false">Vendor_Invoices_AP!F528</f>
        <v>46103</v>
      </c>
      <c r="F531" s="18" t="n">
        <f aca="false">Vendor_Invoices_AP!E528</f>
        <v>1768.65</v>
      </c>
      <c r="G531" s="18" t="n">
        <f aca="false">SUMIFS(Payment_Log_AP!$E$2:$E$753,Payment_Log_AP!$B$2:$B$753,A531)</f>
        <v>1768.65</v>
      </c>
      <c r="H531" s="18" t="n">
        <f aca="false">F531-G531</f>
        <v>0</v>
      </c>
      <c r="I531" s="16" t="n">
        <f aca="false">IF(H531&lt;=0.01,0,MAX(Assumptions!$B$5-E531,0))</f>
        <v>0</v>
      </c>
      <c r="J531" s="16" t="str">
        <f aca="false">IF(H531&lt;=0.01,"Paid",IF(I531&lt;=30,"0-30",IF(I531&lt;=60,"31-60",IF(I531&lt;=90,"61-90","90+"))))</f>
        <v>Paid</v>
      </c>
      <c r="K531" s="16" t="str">
        <f aca="false">IF(H531&lt;=0.01,"Paid",IF(G531&gt;0,"Partially Paid","Unpaid"))</f>
        <v>Paid</v>
      </c>
    </row>
    <row r="532" customFormat="false" ht="15" hidden="false" customHeight="false" outlineLevel="0" collapsed="false">
      <c r="A532" s="16" t="str">
        <f aca="false">Vendor_Invoices_AP!A529</f>
        <v>INV30528</v>
      </c>
      <c r="B532" s="16" t="str">
        <f aca="false">Vendor_Invoices_AP!C529</f>
        <v>V1034</v>
      </c>
      <c r="C532" s="16" t="str">
        <f aca="false">IFERROR(INDEX(Vendor_Master!$B$2:$B$41,MATCH(B532,Vendor_Master!$A$2:$A$41,0)),"Unknown Vendor")</f>
        <v>Koch-Decker</v>
      </c>
      <c r="D532" s="17" t="n">
        <f aca="false">Vendor_Invoices_AP!D529</f>
        <v>46095</v>
      </c>
      <c r="E532" s="17" t="n">
        <f aca="false">Vendor_Invoices_AP!F529</f>
        <v>46140</v>
      </c>
      <c r="F532" s="18" t="n">
        <f aca="false">Vendor_Invoices_AP!E529</f>
        <v>359.03</v>
      </c>
      <c r="G532" s="18" t="n">
        <f aca="false">SUMIFS(Payment_Log_AP!$E$2:$E$753,Payment_Log_AP!$B$2:$B$753,A532)</f>
        <v>359.03</v>
      </c>
      <c r="H532" s="18" t="n">
        <f aca="false">F532-G532</f>
        <v>0</v>
      </c>
      <c r="I532" s="16" t="n">
        <f aca="false">IF(H532&lt;=0.01,0,MAX(Assumptions!$B$5-E532,0))</f>
        <v>0</v>
      </c>
      <c r="J532" s="16" t="str">
        <f aca="false">IF(H532&lt;=0.01,"Paid",IF(I532&lt;=30,"0-30",IF(I532&lt;=60,"31-60",IF(I532&lt;=90,"61-90","90+"))))</f>
        <v>Paid</v>
      </c>
      <c r="K532" s="16" t="str">
        <f aca="false">IF(H532&lt;=0.01,"Paid",IF(G532&gt;0,"Partially Paid","Unpaid"))</f>
        <v>Paid</v>
      </c>
    </row>
    <row r="533" customFormat="false" ht="15" hidden="false" customHeight="false" outlineLevel="0" collapsed="false">
      <c r="A533" s="16" t="str">
        <f aca="false">Vendor_Invoices_AP!A530</f>
        <v>INV30529</v>
      </c>
      <c r="B533" s="16" t="str">
        <f aca="false">Vendor_Invoices_AP!C530</f>
        <v>V1017</v>
      </c>
      <c r="C533" s="16" t="str">
        <f aca="false">IFERROR(INDEX(Vendor_Master!$B$2:$B$41,MATCH(B533,Vendor_Master!$A$2:$A$41,0)),"Unknown Vendor")</f>
        <v>Hawkins, Cohen and Cameron</v>
      </c>
      <c r="D533" s="17" t="n">
        <f aca="false">Vendor_Invoices_AP!D530</f>
        <v>46151</v>
      </c>
      <c r="E533" s="17" t="n">
        <f aca="false">Vendor_Invoices_AP!F530</f>
        <v>46196</v>
      </c>
      <c r="F533" s="18" t="n">
        <f aca="false">Vendor_Invoices_AP!E530</f>
        <v>2508.58</v>
      </c>
      <c r="G533" s="18" t="n">
        <f aca="false">SUMIFS(Payment_Log_AP!$E$2:$E$753,Payment_Log_AP!$B$2:$B$753,A533)</f>
        <v>2508.58</v>
      </c>
      <c r="H533" s="18" t="n">
        <f aca="false">F533-G533</f>
        <v>0</v>
      </c>
      <c r="I533" s="16" t="n">
        <f aca="false">IF(H533&lt;=0.01,0,MAX(Assumptions!$B$5-E533,0))</f>
        <v>0</v>
      </c>
      <c r="J533" s="16" t="str">
        <f aca="false">IF(H533&lt;=0.01,"Paid",IF(I533&lt;=30,"0-30",IF(I533&lt;=60,"31-60",IF(I533&lt;=90,"61-90","90+"))))</f>
        <v>Paid</v>
      </c>
      <c r="K533" s="16" t="str">
        <f aca="false">IF(H533&lt;=0.01,"Paid",IF(G533&gt;0,"Partially Paid","Unpaid"))</f>
        <v>Paid</v>
      </c>
    </row>
    <row r="534" customFormat="false" ht="15" hidden="false" customHeight="false" outlineLevel="0" collapsed="false">
      <c r="A534" s="16" t="str">
        <f aca="false">Vendor_Invoices_AP!A531</f>
        <v>INV30530</v>
      </c>
      <c r="B534" s="16" t="str">
        <f aca="false">Vendor_Invoices_AP!C531</f>
        <v>V1016</v>
      </c>
      <c r="C534" s="16" t="str">
        <f aca="false">IFERROR(INDEX(Vendor_Master!$B$2:$B$41,MATCH(B534,Vendor_Master!$A$2:$A$41,0)),"Unknown Vendor")</f>
        <v>Sanchez, Ford and Nelson</v>
      </c>
      <c r="D534" s="17" t="n">
        <f aca="false">Vendor_Invoices_AP!D531</f>
        <v>45687</v>
      </c>
      <c r="E534" s="17" t="n">
        <f aca="false">Vendor_Invoices_AP!F531</f>
        <v>45717</v>
      </c>
      <c r="F534" s="18" t="n">
        <f aca="false">Vendor_Invoices_AP!E531</f>
        <v>730.52</v>
      </c>
      <c r="G534" s="18" t="n">
        <f aca="false">SUMIFS(Payment_Log_AP!$E$2:$E$753,Payment_Log_AP!$B$2:$B$753,A534)</f>
        <v>0</v>
      </c>
      <c r="H534" s="18" t="n">
        <f aca="false">F534-G534</f>
        <v>730.52</v>
      </c>
      <c r="I534" s="16" t="n">
        <f aca="false">IF(H534&lt;=0.01,0,MAX(Assumptions!$B$5-E534,0))</f>
        <v>517</v>
      </c>
      <c r="J534" s="16" t="str">
        <f aca="false">IF(H534&lt;=0.01,"Paid",IF(I534&lt;=30,"0-30",IF(I534&lt;=60,"31-60",IF(I534&lt;=90,"61-90","90+"))))</f>
        <v>90+</v>
      </c>
      <c r="K534" s="16" t="str">
        <f aca="false">IF(H534&lt;=0.01,"Paid",IF(G534&gt;0,"Partially Paid","Unpaid"))</f>
        <v>Unpaid</v>
      </c>
    </row>
    <row r="535" customFormat="false" ht="15" hidden="false" customHeight="false" outlineLevel="0" collapsed="false">
      <c r="A535" s="16" t="str">
        <f aca="false">Vendor_Invoices_AP!A532</f>
        <v>INV30531</v>
      </c>
      <c r="B535" s="16" t="str">
        <f aca="false">Vendor_Invoices_AP!C532</f>
        <v>V1010</v>
      </c>
      <c r="C535" s="16" t="str">
        <f aca="false">IFERROR(INDEX(Vendor_Master!$B$2:$B$41,MATCH(B535,Vendor_Master!$A$2:$A$41,0)),"Unknown Vendor")</f>
        <v>Martinez, Nielsen and Miller</v>
      </c>
      <c r="D535" s="17" t="n">
        <f aca="false">Vendor_Invoices_AP!D532</f>
        <v>45716</v>
      </c>
      <c r="E535" s="17" t="n">
        <f aca="false">Vendor_Invoices_AP!F532</f>
        <v>45731</v>
      </c>
      <c r="F535" s="18" t="n">
        <f aca="false">Vendor_Invoices_AP!E532</f>
        <v>1846.15</v>
      </c>
      <c r="G535" s="18" t="n">
        <f aca="false">SUMIFS(Payment_Log_AP!$E$2:$E$753,Payment_Log_AP!$B$2:$B$753,A535)</f>
        <v>1846.15</v>
      </c>
      <c r="H535" s="18" t="n">
        <f aca="false">F535-G535</f>
        <v>0</v>
      </c>
      <c r="I535" s="16" t="n">
        <f aca="false">IF(H535&lt;=0.01,0,MAX(Assumptions!$B$5-E535,0))</f>
        <v>0</v>
      </c>
      <c r="J535" s="16" t="str">
        <f aca="false">IF(H535&lt;=0.01,"Paid",IF(I535&lt;=30,"0-30",IF(I535&lt;=60,"31-60",IF(I535&lt;=90,"61-90","90+"))))</f>
        <v>Paid</v>
      </c>
      <c r="K535" s="16" t="str">
        <f aca="false">IF(H535&lt;=0.01,"Paid",IF(G535&gt;0,"Partially Paid","Unpaid"))</f>
        <v>Paid</v>
      </c>
    </row>
    <row r="536" customFormat="false" ht="15" hidden="false" customHeight="false" outlineLevel="0" collapsed="false">
      <c r="A536" s="16" t="str">
        <f aca="false">Vendor_Invoices_AP!A533</f>
        <v>INV30532</v>
      </c>
      <c r="B536" s="16" t="str">
        <f aca="false">Vendor_Invoices_AP!C533</f>
        <v>V1018</v>
      </c>
      <c r="C536" s="16" t="str">
        <f aca="false">IFERROR(INDEX(Vendor_Master!$B$2:$B$41,MATCH(B536,Vendor_Master!$A$2:$A$41,0)),"Unknown Vendor")</f>
        <v>Underwood LLC</v>
      </c>
      <c r="D536" s="17" t="n">
        <f aca="false">Vendor_Invoices_AP!D533</f>
        <v>46026</v>
      </c>
      <c r="E536" s="17" t="n">
        <f aca="false">Vendor_Invoices_AP!F533</f>
        <v>46056</v>
      </c>
      <c r="F536" s="18" t="n">
        <f aca="false">Vendor_Invoices_AP!E533</f>
        <v>1888.25</v>
      </c>
      <c r="G536" s="18" t="n">
        <f aca="false">SUMIFS(Payment_Log_AP!$E$2:$E$753,Payment_Log_AP!$B$2:$B$753,A536)</f>
        <v>1888.25</v>
      </c>
      <c r="H536" s="18" t="n">
        <f aca="false">F536-G536</f>
        <v>0</v>
      </c>
      <c r="I536" s="16" t="n">
        <f aca="false">IF(H536&lt;=0.01,0,MAX(Assumptions!$B$5-E536,0))</f>
        <v>0</v>
      </c>
      <c r="J536" s="16" t="str">
        <f aca="false">IF(H536&lt;=0.01,"Paid",IF(I536&lt;=30,"0-30",IF(I536&lt;=60,"31-60",IF(I536&lt;=90,"61-90","90+"))))</f>
        <v>Paid</v>
      </c>
      <c r="K536" s="16" t="str">
        <f aca="false">IF(H536&lt;=0.01,"Paid",IF(G536&gt;0,"Partially Paid","Unpaid"))</f>
        <v>Paid</v>
      </c>
    </row>
    <row r="537" customFormat="false" ht="15" hidden="false" customHeight="false" outlineLevel="0" collapsed="false">
      <c r="A537" s="16" t="str">
        <f aca="false">Vendor_Invoices_AP!A534</f>
        <v>INV30533</v>
      </c>
      <c r="B537" s="16" t="str">
        <f aca="false">Vendor_Invoices_AP!C534</f>
        <v>V1032</v>
      </c>
      <c r="C537" s="16" t="str">
        <f aca="false">IFERROR(INDEX(Vendor_Master!$B$2:$B$41,MATCH(B537,Vendor_Master!$A$2:$A$41,0)),"Unknown Vendor")</f>
        <v>Lynch, Hernandez and Farmer</v>
      </c>
      <c r="D537" s="17" t="n">
        <f aca="false">Vendor_Invoices_AP!D534</f>
        <v>46182</v>
      </c>
      <c r="E537" s="17" t="n">
        <f aca="false">Vendor_Invoices_AP!F534</f>
        <v>46242</v>
      </c>
      <c r="F537" s="18" t="n">
        <f aca="false">Vendor_Invoices_AP!E534</f>
        <v>3364.21</v>
      </c>
      <c r="G537" s="18" t="n">
        <f aca="false">SUMIFS(Payment_Log_AP!$E$2:$E$753,Payment_Log_AP!$B$2:$B$753,A537)</f>
        <v>0</v>
      </c>
      <c r="H537" s="18" t="n">
        <f aca="false">F537-G537</f>
        <v>3364.21</v>
      </c>
      <c r="I537" s="16" t="n">
        <f aca="false">IF(H537&lt;=0.01,0,MAX(Assumptions!$B$5-E537,0))</f>
        <v>0</v>
      </c>
      <c r="J537" s="16" t="str">
        <f aca="false">IF(H537&lt;=0.01,"Paid",IF(I537&lt;=30,"0-30",IF(I537&lt;=60,"31-60",IF(I537&lt;=90,"61-90","90+"))))</f>
        <v>0-30</v>
      </c>
      <c r="K537" s="16" t="str">
        <f aca="false">IF(H537&lt;=0.01,"Paid",IF(G537&gt;0,"Partially Paid","Unpaid"))</f>
        <v>Unpaid</v>
      </c>
    </row>
    <row r="538" customFormat="false" ht="15" hidden="false" customHeight="false" outlineLevel="0" collapsed="false">
      <c r="A538" s="16" t="str">
        <f aca="false">Vendor_Invoices_AP!A535</f>
        <v>INV30534</v>
      </c>
      <c r="B538" s="16" t="str">
        <f aca="false">Vendor_Invoices_AP!C535</f>
        <v>V1032</v>
      </c>
      <c r="C538" s="16" t="str">
        <f aca="false">IFERROR(INDEX(Vendor_Master!$B$2:$B$41,MATCH(B538,Vendor_Master!$A$2:$A$41,0)),"Unknown Vendor")</f>
        <v>Lynch, Hernandez and Farmer</v>
      </c>
      <c r="D538" s="17" t="n">
        <f aca="false">Vendor_Invoices_AP!D535</f>
        <v>46212</v>
      </c>
      <c r="E538" s="17" t="n">
        <f aca="false">Vendor_Invoices_AP!F535</f>
        <v>46272</v>
      </c>
      <c r="F538" s="18" t="n">
        <f aca="false">Vendor_Invoices_AP!E535</f>
        <v>503.75</v>
      </c>
      <c r="G538" s="18" t="n">
        <f aca="false">SUMIFS(Payment_Log_AP!$E$2:$E$753,Payment_Log_AP!$B$2:$B$753,A538)</f>
        <v>0</v>
      </c>
      <c r="H538" s="18" t="n">
        <f aca="false">F538-G538</f>
        <v>503.75</v>
      </c>
      <c r="I538" s="16" t="n">
        <f aca="false">IF(H538&lt;=0.01,0,MAX(Assumptions!$B$5-E538,0))</f>
        <v>0</v>
      </c>
      <c r="J538" s="16" t="str">
        <f aca="false">IF(H538&lt;=0.01,"Paid",IF(I538&lt;=30,"0-30",IF(I538&lt;=60,"31-60",IF(I538&lt;=90,"61-90","90+"))))</f>
        <v>0-30</v>
      </c>
      <c r="K538" s="16" t="str">
        <f aca="false">IF(H538&lt;=0.01,"Paid",IF(G538&gt;0,"Partially Paid","Unpaid"))</f>
        <v>Unpaid</v>
      </c>
    </row>
    <row r="539" customFormat="false" ht="15" hidden="false" customHeight="false" outlineLevel="0" collapsed="false">
      <c r="A539" s="16" t="str">
        <f aca="false">Vendor_Invoices_AP!A536</f>
        <v>INV30535</v>
      </c>
      <c r="B539" s="16" t="str">
        <f aca="false">Vendor_Invoices_AP!C536</f>
        <v>V1012</v>
      </c>
      <c r="C539" s="16" t="str">
        <f aca="false">IFERROR(INDEX(Vendor_Master!$B$2:$B$41,MATCH(B539,Vendor_Master!$A$2:$A$41,0)),"Unknown Vendor")</f>
        <v>Stanley LLC</v>
      </c>
      <c r="D539" s="17" t="n">
        <f aca="false">Vendor_Invoices_AP!D536</f>
        <v>46083</v>
      </c>
      <c r="E539" s="17" t="n">
        <f aca="false">Vendor_Invoices_AP!F536</f>
        <v>46143</v>
      </c>
      <c r="F539" s="18" t="n">
        <f aca="false">Vendor_Invoices_AP!E536</f>
        <v>28542.14</v>
      </c>
      <c r="G539" s="18" t="n">
        <f aca="false">SUMIFS(Payment_Log_AP!$E$2:$E$753,Payment_Log_AP!$B$2:$B$753,A539)</f>
        <v>28542.14</v>
      </c>
      <c r="H539" s="18" t="n">
        <f aca="false">F539-G539</f>
        <v>0</v>
      </c>
      <c r="I539" s="16" t="n">
        <f aca="false">IF(H539&lt;=0.01,0,MAX(Assumptions!$B$5-E539,0))</f>
        <v>0</v>
      </c>
      <c r="J539" s="16" t="str">
        <f aca="false">IF(H539&lt;=0.01,"Paid",IF(I539&lt;=30,"0-30",IF(I539&lt;=60,"31-60",IF(I539&lt;=90,"61-90","90+"))))</f>
        <v>Paid</v>
      </c>
      <c r="K539" s="16" t="str">
        <f aca="false">IF(H539&lt;=0.01,"Paid",IF(G539&gt;0,"Partially Paid","Unpaid"))</f>
        <v>Paid</v>
      </c>
    </row>
    <row r="540" customFormat="false" ht="15" hidden="false" customHeight="false" outlineLevel="0" collapsed="false">
      <c r="A540" s="16" t="str">
        <f aca="false">Vendor_Invoices_AP!A537</f>
        <v>INV30536</v>
      </c>
      <c r="B540" s="16" t="str">
        <f aca="false">Vendor_Invoices_AP!C537</f>
        <v>V1033</v>
      </c>
      <c r="C540" s="16" t="str">
        <f aca="false">IFERROR(INDEX(Vendor_Master!$B$2:$B$41,MATCH(B540,Vendor_Master!$A$2:$A$41,0)),"Unknown Vendor")</f>
        <v>Sellers, George and Burns</v>
      </c>
      <c r="D540" s="17" t="n">
        <f aca="false">Vendor_Invoices_AP!D537</f>
        <v>45912</v>
      </c>
      <c r="E540" s="17" t="n">
        <f aca="false">Vendor_Invoices_AP!F537</f>
        <v>45972</v>
      </c>
      <c r="F540" s="18" t="n">
        <f aca="false">Vendor_Invoices_AP!E537</f>
        <v>13194.36</v>
      </c>
      <c r="G540" s="18" t="n">
        <f aca="false">SUMIFS(Payment_Log_AP!$E$2:$E$753,Payment_Log_AP!$B$2:$B$753,A540)</f>
        <v>13194.36</v>
      </c>
      <c r="H540" s="18" t="n">
        <f aca="false">F540-G540</f>
        <v>0</v>
      </c>
      <c r="I540" s="16" t="n">
        <f aca="false">IF(H540&lt;=0.01,0,MAX(Assumptions!$B$5-E540,0))</f>
        <v>0</v>
      </c>
      <c r="J540" s="16" t="str">
        <f aca="false">IF(H540&lt;=0.01,"Paid",IF(I540&lt;=30,"0-30",IF(I540&lt;=60,"31-60",IF(I540&lt;=90,"61-90","90+"))))</f>
        <v>Paid</v>
      </c>
      <c r="K540" s="16" t="str">
        <f aca="false">IF(H540&lt;=0.01,"Paid",IF(G540&gt;0,"Partially Paid","Unpaid"))</f>
        <v>Paid</v>
      </c>
    </row>
    <row r="541" customFormat="false" ht="15" hidden="false" customHeight="false" outlineLevel="0" collapsed="false">
      <c r="A541" s="16" t="str">
        <f aca="false">Vendor_Invoices_AP!A538</f>
        <v>INV30537</v>
      </c>
      <c r="B541" s="16" t="str">
        <f aca="false">Vendor_Invoices_AP!C538</f>
        <v>V1019</v>
      </c>
      <c r="C541" s="16" t="str">
        <f aca="false">IFERROR(INDEX(Vendor_Master!$B$2:$B$41,MATCH(B541,Vendor_Master!$A$2:$A$41,0)),"Unknown Vendor")</f>
        <v>Clark PLC</v>
      </c>
      <c r="D541" s="17" t="n">
        <f aca="false">Vendor_Invoices_AP!D538</f>
        <v>45723</v>
      </c>
      <c r="E541" s="17" t="n">
        <f aca="false">Vendor_Invoices_AP!F538</f>
        <v>45768</v>
      </c>
      <c r="F541" s="18" t="n">
        <f aca="false">Vendor_Invoices_AP!E538</f>
        <v>4569.01</v>
      </c>
      <c r="G541" s="18" t="n">
        <f aca="false">SUMIFS(Payment_Log_AP!$E$2:$E$753,Payment_Log_AP!$B$2:$B$753,A541)</f>
        <v>0</v>
      </c>
      <c r="H541" s="18" t="n">
        <f aca="false">F541-G541</f>
        <v>4569.01</v>
      </c>
      <c r="I541" s="16" t="n">
        <f aca="false">IF(H541&lt;=0.01,0,MAX(Assumptions!$B$5-E541,0))</f>
        <v>466</v>
      </c>
      <c r="J541" s="16" t="str">
        <f aca="false">IF(H541&lt;=0.01,"Paid",IF(I541&lt;=30,"0-30",IF(I541&lt;=60,"31-60",IF(I541&lt;=90,"61-90","90+"))))</f>
        <v>90+</v>
      </c>
      <c r="K541" s="16" t="str">
        <f aca="false">IF(H541&lt;=0.01,"Paid",IF(G541&gt;0,"Partially Paid","Unpaid"))</f>
        <v>Unpaid</v>
      </c>
    </row>
    <row r="542" customFormat="false" ht="15" hidden="false" customHeight="false" outlineLevel="0" collapsed="false">
      <c r="A542" s="16" t="str">
        <f aca="false">Vendor_Invoices_AP!A539</f>
        <v>INV30538</v>
      </c>
      <c r="B542" s="16" t="str">
        <f aca="false">Vendor_Invoices_AP!C539</f>
        <v>V1034</v>
      </c>
      <c r="C542" s="16" t="str">
        <f aca="false">IFERROR(INDEX(Vendor_Master!$B$2:$B$41,MATCH(B542,Vendor_Master!$A$2:$A$41,0)),"Unknown Vendor")</f>
        <v>Koch-Decker</v>
      </c>
      <c r="D542" s="17" t="n">
        <f aca="false">Vendor_Invoices_AP!D539</f>
        <v>46014</v>
      </c>
      <c r="E542" s="17" t="n">
        <f aca="false">Vendor_Invoices_AP!F539</f>
        <v>46059</v>
      </c>
      <c r="F542" s="18" t="n">
        <f aca="false">Vendor_Invoices_AP!E539</f>
        <v>999.65</v>
      </c>
      <c r="G542" s="18" t="n">
        <f aca="false">SUMIFS(Payment_Log_AP!$E$2:$E$753,Payment_Log_AP!$B$2:$B$753,A542)</f>
        <v>999.65</v>
      </c>
      <c r="H542" s="18" t="n">
        <f aca="false">F542-G542</f>
        <v>0</v>
      </c>
      <c r="I542" s="16" t="n">
        <f aca="false">IF(H542&lt;=0.01,0,MAX(Assumptions!$B$5-E542,0))</f>
        <v>0</v>
      </c>
      <c r="J542" s="16" t="str">
        <f aca="false">IF(H542&lt;=0.01,"Paid",IF(I542&lt;=30,"0-30",IF(I542&lt;=60,"31-60",IF(I542&lt;=90,"61-90","90+"))))</f>
        <v>Paid</v>
      </c>
      <c r="K542" s="16" t="str">
        <f aca="false">IF(H542&lt;=0.01,"Paid",IF(G542&gt;0,"Partially Paid","Unpaid"))</f>
        <v>Paid</v>
      </c>
    </row>
    <row r="543" customFormat="false" ht="15" hidden="false" customHeight="false" outlineLevel="0" collapsed="false">
      <c r="A543" s="16" t="str">
        <f aca="false">Vendor_Invoices_AP!A540</f>
        <v>INV30539</v>
      </c>
      <c r="B543" s="16" t="str">
        <f aca="false">Vendor_Invoices_AP!C540</f>
        <v>V1010</v>
      </c>
      <c r="C543" s="16" t="str">
        <f aca="false">IFERROR(INDEX(Vendor_Master!$B$2:$B$41,MATCH(B543,Vendor_Master!$A$2:$A$41,0)),"Unknown Vendor")</f>
        <v>Martinez, Nielsen and Miller</v>
      </c>
      <c r="D543" s="17" t="n">
        <f aca="false">Vendor_Invoices_AP!D540</f>
        <v>46154</v>
      </c>
      <c r="E543" s="17" t="n">
        <f aca="false">Vendor_Invoices_AP!F540</f>
        <v>46169</v>
      </c>
      <c r="F543" s="18" t="n">
        <f aca="false">Vendor_Invoices_AP!E540</f>
        <v>2025.11</v>
      </c>
      <c r="G543" s="18" t="n">
        <f aca="false">SUMIFS(Payment_Log_AP!$E$2:$E$753,Payment_Log_AP!$B$2:$B$753,A543)</f>
        <v>2025.11</v>
      </c>
      <c r="H543" s="18" t="n">
        <f aca="false">F543-G543</f>
        <v>0</v>
      </c>
      <c r="I543" s="16" t="n">
        <f aca="false">IF(H543&lt;=0.01,0,MAX(Assumptions!$B$5-E543,0))</f>
        <v>0</v>
      </c>
      <c r="J543" s="16" t="str">
        <f aca="false">IF(H543&lt;=0.01,"Paid",IF(I543&lt;=30,"0-30",IF(I543&lt;=60,"31-60",IF(I543&lt;=90,"61-90","90+"))))</f>
        <v>Paid</v>
      </c>
      <c r="K543" s="16" t="str">
        <f aca="false">IF(H543&lt;=0.01,"Paid",IF(G543&gt;0,"Partially Paid","Unpaid"))</f>
        <v>Paid</v>
      </c>
    </row>
    <row r="544" customFormat="false" ht="15" hidden="false" customHeight="false" outlineLevel="0" collapsed="false">
      <c r="A544" s="16" t="str">
        <f aca="false">Vendor_Invoices_AP!A541</f>
        <v>INV30540</v>
      </c>
      <c r="B544" s="16" t="str">
        <f aca="false">Vendor_Invoices_AP!C541</f>
        <v>V1010</v>
      </c>
      <c r="C544" s="16" t="str">
        <f aca="false">IFERROR(INDEX(Vendor_Master!$B$2:$B$41,MATCH(B544,Vendor_Master!$A$2:$A$41,0)),"Unknown Vendor")</f>
        <v>Martinez, Nielsen and Miller</v>
      </c>
      <c r="D544" s="17" t="n">
        <f aca="false">Vendor_Invoices_AP!D541</f>
        <v>46158</v>
      </c>
      <c r="E544" s="17" t="n">
        <f aca="false">Vendor_Invoices_AP!F541</f>
        <v>46173</v>
      </c>
      <c r="F544" s="18" t="n">
        <f aca="false">Vendor_Invoices_AP!E541</f>
        <v>2025.11</v>
      </c>
      <c r="G544" s="18" t="n">
        <f aca="false">SUMIFS(Payment_Log_AP!$E$2:$E$753,Payment_Log_AP!$B$2:$B$753,A544)</f>
        <v>2025.11</v>
      </c>
      <c r="H544" s="18" t="n">
        <f aca="false">F544-G544</f>
        <v>0</v>
      </c>
      <c r="I544" s="16" t="n">
        <f aca="false">IF(H544&lt;=0.01,0,MAX(Assumptions!$B$5-E544,0))</f>
        <v>0</v>
      </c>
      <c r="J544" s="16" t="str">
        <f aca="false">IF(H544&lt;=0.01,"Paid",IF(I544&lt;=30,"0-30",IF(I544&lt;=60,"31-60",IF(I544&lt;=90,"61-90","90+"))))</f>
        <v>Paid</v>
      </c>
      <c r="K544" s="16" t="str">
        <f aca="false">IF(H544&lt;=0.01,"Paid",IF(G544&gt;0,"Partially Paid","Unpaid"))</f>
        <v>Paid</v>
      </c>
    </row>
    <row r="545" customFormat="false" ht="15" hidden="false" customHeight="false" outlineLevel="0" collapsed="false">
      <c r="A545" s="16" t="str">
        <f aca="false">Vendor_Invoices_AP!A542</f>
        <v>INV30541</v>
      </c>
      <c r="B545" s="16" t="str">
        <f aca="false">Vendor_Invoices_AP!C542</f>
        <v>V1013</v>
      </c>
      <c r="C545" s="16" t="str">
        <f aca="false">IFERROR(INDEX(Vendor_Master!$B$2:$B$41,MATCH(B545,Vendor_Master!$A$2:$A$41,0)),"Unknown Vendor")</f>
        <v>Delacruz Group</v>
      </c>
      <c r="D545" s="17" t="n">
        <f aca="false">Vendor_Invoices_AP!D542</f>
        <v>45921</v>
      </c>
      <c r="E545" s="17" t="n">
        <f aca="false">Vendor_Invoices_AP!F542</f>
        <v>45936</v>
      </c>
      <c r="F545" s="18" t="n">
        <f aca="false">Vendor_Invoices_AP!E542</f>
        <v>1346.34</v>
      </c>
      <c r="G545" s="18" t="n">
        <f aca="false">SUMIFS(Payment_Log_AP!$E$2:$E$753,Payment_Log_AP!$B$2:$B$753,A545)</f>
        <v>1346.34</v>
      </c>
      <c r="H545" s="18" t="n">
        <f aca="false">F545-G545</f>
        <v>0</v>
      </c>
      <c r="I545" s="16" t="n">
        <f aca="false">IF(H545&lt;=0.01,0,MAX(Assumptions!$B$5-E545,0))</f>
        <v>0</v>
      </c>
      <c r="J545" s="16" t="str">
        <f aca="false">IF(H545&lt;=0.01,"Paid",IF(I545&lt;=30,"0-30",IF(I545&lt;=60,"31-60",IF(I545&lt;=90,"61-90","90+"))))</f>
        <v>Paid</v>
      </c>
      <c r="K545" s="16" t="str">
        <f aca="false">IF(H545&lt;=0.01,"Paid",IF(G545&gt;0,"Partially Paid","Unpaid"))</f>
        <v>Paid</v>
      </c>
    </row>
    <row r="546" customFormat="false" ht="15" hidden="false" customHeight="false" outlineLevel="0" collapsed="false">
      <c r="A546" s="16" t="str">
        <f aca="false">Vendor_Invoices_AP!A543</f>
        <v>INV30542</v>
      </c>
      <c r="B546" s="16" t="str">
        <f aca="false">Vendor_Invoices_AP!C543</f>
        <v>V1017</v>
      </c>
      <c r="C546" s="16" t="str">
        <f aca="false">IFERROR(INDEX(Vendor_Master!$B$2:$B$41,MATCH(B546,Vendor_Master!$A$2:$A$41,0)),"Unknown Vendor")</f>
        <v>Hawkins, Cohen and Cameron</v>
      </c>
      <c r="D546" s="17" t="n">
        <f aca="false">Vendor_Invoices_AP!D543</f>
        <v>46039</v>
      </c>
      <c r="E546" s="17" t="n">
        <f aca="false">Vendor_Invoices_AP!F543</f>
        <v>46084</v>
      </c>
      <c r="F546" s="18" t="n">
        <f aca="false">Vendor_Invoices_AP!E543</f>
        <v>473.72</v>
      </c>
      <c r="G546" s="18" t="n">
        <f aca="false">SUMIFS(Payment_Log_AP!$E$2:$E$753,Payment_Log_AP!$B$2:$B$753,A546)</f>
        <v>473.72</v>
      </c>
      <c r="H546" s="18" t="n">
        <f aca="false">F546-G546</f>
        <v>0</v>
      </c>
      <c r="I546" s="16" t="n">
        <f aca="false">IF(H546&lt;=0.01,0,MAX(Assumptions!$B$5-E546,0))</f>
        <v>0</v>
      </c>
      <c r="J546" s="16" t="str">
        <f aca="false">IF(H546&lt;=0.01,"Paid",IF(I546&lt;=30,"0-30",IF(I546&lt;=60,"31-60",IF(I546&lt;=90,"61-90","90+"))))</f>
        <v>Paid</v>
      </c>
      <c r="K546" s="16" t="str">
        <f aca="false">IF(H546&lt;=0.01,"Paid",IF(G546&gt;0,"Partially Paid","Unpaid"))</f>
        <v>Paid</v>
      </c>
    </row>
    <row r="547" customFormat="false" ht="15" hidden="false" customHeight="false" outlineLevel="0" collapsed="false">
      <c r="A547" s="16" t="str">
        <f aca="false">Vendor_Invoices_AP!A544</f>
        <v>INV30543</v>
      </c>
      <c r="B547" s="16" t="str">
        <f aca="false">Vendor_Invoices_AP!C544</f>
        <v>V1031</v>
      </c>
      <c r="C547" s="16" t="str">
        <f aca="false">IFERROR(INDEX(Vendor_Master!$B$2:$B$41,MATCH(B547,Vendor_Master!$A$2:$A$41,0)),"Unknown Vendor")</f>
        <v>Harrell LLC</v>
      </c>
      <c r="D547" s="17" t="n">
        <f aca="false">Vendor_Invoices_AP!D544</f>
        <v>46175</v>
      </c>
      <c r="E547" s="17" t="n">
        <f aca="false">Vendor_Invoices_AP!F544</f>
        <v>46190</v>
      </c>
      <c r="F547" s="18" t="n">
        <f aca="false">Vendor_Invoices_AP!E544</f>
        <v>6567.49</v>
      </c>
      <c r="G547" s="18" t="n">
        <f aca="false">SUMIFS(Payment_Log_AP!$E$2:$E$753,Payment_Log_AP!$B$2:$B$753,A547)</f>
        <v>0</v>
      </c>
      <c r="H547" s="18" t="n">
        <f aca="false">F547-G547</f>
        <v>6567.49</v>
      </c>
      <c r="I547" s="16" t="n">
        <f aca="false">IF(H547&lt;=0.01,0,MAX(Assumptions!$B$5-E547,0))</f>
        <v>44</v>
      </c>
      <c r="J547" s="16" t="str">
        <f aca="false">IF(H547&lt;=0.01,"Paid",IF(I547&lt;=30,"0-30",IF(I547&lt;=60,"31-60",IF(I547&lt;=90,"61-90","90+"))))</f>
        <v>31-60</v>
      </c>
      <c r="K547" s="16" t="str">
        <f aca="false">IF(H547&lt;=0.01,"Paid",IF(G547&gt;0,"Partially Paid","Unpaid"))</f>
        <v>Unpaid</v>
      </c>
    </row>
    <row r="548" customFormat="false" ht="15" hidden="false" customHeight="false" outlineLevel="0" collapsed="false">
      <c r="A548" s="16" t="str">
        <f aca="false">Vendor_Invoices_AP!A545</f>
        <v>INV30544</v>
      </c>
      <c r="B548" s="16" t="str">
        <f aca="false">Vendor_Invoices_AP!C545</f>
        <v>V1017</v>
      </c>
      <c r="C548" s="16" t="str">
        <f aca="false">IFERROR(INDEX(Vendor_Master!$B$2:$B$41,MATCH(B548,Vendor_Master!$A$2:$A$41,0)),"Unknown Vendor")</f>
        <v>Hawkins, Cohen and Cameron</v>
      </c>
      <c r="D548" s="17" t="n">
        <f aca="false">Vendor_Invoices_AP!D545</f>
        <v>45687</v>
      </c>
      <c r="E548" s="17" t="n">
        <f aca="false">Vendor_Invoices_AP!F545</f>
        <v>45732</v>
      </c>
      <c r="F548" s="18" t="n">
        <f aca="false">Vendor_Invoices_AP!E545</f>
        <v>2503.97</v>
      </c>
      <c r="G548" s="18" t="n">
        <f aca="false">SUMIFS(Payment_Log_AP!$E$2:$E$753,Payment_Log_AP!$B$2:$B$753,A548)</f>
        <v>0</v>
      </c>
      <c r="H548" s="18" t="n">
        <f aca="false">F548-G548</f>
        <v>2503.97</v>
      </c>
      <c r="I548" s="16" t="n">
        <f aca="false">IF(H548&lt;=0.01,0,MAX(Assumptions!$B$5-E548,0))</f>
        <v>502</v>
      </c>
      <c r="J548" s="16" t="str">
        <f aca="false">IF(H548&lt;=0.01,"Paid",IF(I548&lt;=30,"0-30",IF(I548&lt;=60,"31-60",IF(I548&lt;=90,"61-90","90+"))))</f>
        <v>90+</v>
      </c>
      <c r="K548" s="16" t="str">
        <f aca="false">IF(H548&lt;=0.01,"Paid",IF(G548&gt;0,"Partially Paid","Unpaid"))</f>
        <v>Unpaid</v>
      </c>
    </row>
    <row r="549" customFormat="false" ht="15" hidden="false" customHeight="false" outlineLevel="0" collapsed="false">
      <c r="A549" s="16" t="str">
        <f aca="false">Vendor_Invoices_AP!A546</f>
        <v>INV30545</v>
      </c>
      <c r="B549" s="16" t="str">
        <f aca="false">Vendor_Invoices_AP!C546</f>
        <v>V1029</v>
      </c>
      <c r="C549" s="16" t="str">
        <f aca="false">IFERROR(INDEX(Vendor_Master!$B$2:$B$41,MATCH(B549,Vendor_Master!$A$2:$A$41,0)),"Unknown Vendor")</f>
        <v>Chavez Ltd</v>
      </c>
      <c r="D549" s="17" t="n">
        <f aca="false">Vendor_Invoices_AP!D546</f>
        <v>46101</v>
      </c>
      <c r="E549" s="17" t="n">
        <f aca="false">Vendor_Invoices_AP!F546</f>
        <v>46161</v>
      </c>
      <c r="F549" s="18" t="n">
        <f aca="false">Vendor_Invoices_AP!E546</f>
        <v>4513.74</v>
      </c>
      <c r="G549" s="18" t="n">
        <f aca="false">SUMIFS(Payment_Log_AP!$E$2:$E$753,Payment_Log_AP!$B$2:$B$753,A549)</f>
        <v>4513.74</v>
      </c>
      <c r="H549" s="18" t="n">
        <f aca="false">F549-G549</f>
        <v>0</v>
      </c>
      <c r="I549" s="16" t="n">
        <f aca="false">IF(H549&lt;=0.01,0,MAX(Assumptions!$B$5-E549,0))</f>
        <v>0</v>
      </c>
      <c r="J549" s="16" t="str">
        <f aca="false">IF(H549&lt;=0.01,"Paid",IF(I549&lt;=30,"0-30",IF(I549&lt;=60,"31-60",IF(I549&lt;=90,"61-90","90+"))))</f>
        <v>Paid</v>
      </c>
      <c r="K549" s="16" t="str">
        <f aca="false">IF(H549&lt;=0.01,"Paid",IF(G549&gt;0,"Partially Paid","Unpaid"))</f>
        <v>Paid</v>
      </c>
    </row>
    <row r="550" customFormat="false" ht="15" hidden="false" customHeight="false" outlineLevel="0" collapsed="false">
      <c r="A550" s="16" t="str">
        <f aca="false">Vendor_Invoices_AP!A547</f>
        <v>INV30546</v>
      </c>
      <c r="B550" s="16" t="str">
        <f aca="false">Vendor_Invoices_AP!C547</f>
        <v>V1028</v>
      </c>
      <c r="C550" s="16" t="str">
        <f aca="false">IFERROR(INDEX(Vendor_Master!$B$2:$B$41,MATCH(B550,Vendor_Master!$A$2:$A$41,0)),"Unknown Vendor")</f>
        <v>Potter, Mack and Peterson</v>
      </c>
      <c r="D550" s="17" t="n">
        <f aca="false">Vendor_Invoices_AP!D547</f>
        <v>45827</v>
      </c>
      <c r="E550" s="17" t="n">
        <f aca="false">Vendor_Invoices_AP!F547</f>
        <v>45872</v>
      </c>
      <c r="F550" s="18" t="n">
        <f aca="false">Vendor_Invoices_AP!E547</f>
        <v>1308.52</v>
      </c>
      <c r="G550" s="18" t="n">
        <f aca="false">SUMIFS(Payment_Log_AP!$E$2:$E$753,Payment_Log_AP!$B$2:$B$753,A550)</f>
        <v>1308.52</v>
      </c>
      <c r="H550" s="18" t="n">
        <f aca="false">F550-G550</f>
        <v>0</v>
      </c>
      <c r="I550" s="16" t="n">
        <f aca="false">IF(H550&lt;=0.01,0,MAX(Assumptions!$B$5-E550,0))</f>
        <v>0</v>
      </c>
      <c r="J550" s="16" t="str">
        <f aca="false">IF(H550&lt;=0.01,"Paid",IF(I550&lt;=30,"0-30",IF(I550&lt;=60,"31-60",IF(I550&lt;=90,"61-90","90+"))))</f>
        <v>Paid</v>
      </c>
      <c r="K550" s="16" t="str">
        <f aca="false">IF(H550&lt;=0.01,"Paid",IF(G550&gt;0,"Partially Paid","Unpaid"))</f>
        <v>Paid</v>
      </c>
    </row>
    <row r="551" customFormat="false" ht="15" hidden="false" customHeight="false" outlineLevel="0" collapsed="false">
      <c r="A551" s="16" t="str">
        <f aca="false">Vendor_Invoices_AP!A548</f>
        <v>INV30547</v>
      </c>
      <c r="B551" s="16" t="str">
        <f aca="false">Vendor_Invoices_AP!C548</f>
        <v>V1028</v>
      </c>
      <c r="C551" s="16" t="str">
        <f aca="false">IFERROR(INDEX(Vendor_Master!$B$2:$B$41,MATCH(B551,Vendor_Master!$A$2:$A$41,0)),"Unknown Vendor")</f>
        <v>Potter, Mack and Peterson</v>
      </c>
      <c r="D551" s="17" t="n">
        <f aca="false">Vendor_Invoices_AP!D548</f>
        <v>45867</v>
      </c>
      <c r="E551" s="17" t="n">
        <f aca="false">Vendor_Invoices_AP!F548</f>
        <v>45912</v>
      </c>
      <c r="F551" s="18" t="n">
        <f aca="false">Vendor_Invoices_AP!E548</f>
        <v>2254.68</v>
      </c>
      <c r="G551" s="18" t="n">
        <f aca="false">SUMIFS(Payment_Log_AP!$E$2:$E$753,Payment_Log_AP!$B$2:$B$753,A551)</f>
        <v>2254.68</v>
      </c>
      <c r="H551" s="18" t="n">
        <f aca="false">F551-G551</f>
        <v>0</v>
      </c>
      <c r="I551" s="16" t="n">
        <f aca="false">IF(H551&lt;=0.01,0,MAX(Assumptions!$B$5-E551,0))</f>
        <v>0</v>
      </c>
      <c r="J551" s="16" t="str">
        <f aca="false">IF(H551&lt;=0.01,"Paid",IF(I551&lt;=30,"0-30",IF(I551&lt;=60,"31-60",IF(I551&lt;=90,"61-90","90+"))))</f>
        <v>Paid</v>
      </c>
      <c r="K551" s="16" t="str">
        <f aca="false">IF(H551&lt;=0.01,"Paid",IF(G551&gt;0,"Partially Paid","Unpaid"))</f>
        <v>Paid</v>
      </c>
    </row>
    <row r="552" customFormat="false" ht="15" hidden="false" customHeight="false" outlineLevel="0" collapsed="false">
      <c r="A552" s="16" t="str">
        <f aca="false">Vendor_Invoices_AP!A549</f>
        <v>INV30548</v>
      </c>
      <c r="B552" s="16" t="str">
        <f aca="false">Vendor_Invoices_AP!C549</f>
        <v>V1028</v>
      </c>
      <c r="C552" s="16" t="str">
        <f aca="false">IFERROR(INDEX(Vendor_Master!$B$2:$B$41,MATCH(B552,Vendor_Master!$A$2:$A$41,0)),"Unknown Vendor")</f>
        <v>Potter, Mack and Peterson</v>
      </c>
      <c r="D552" s="17" t="n">
        <f aca="false">Vendor_Invoices_AP!D549</f>
        <v>45882</v>
      </c>
      <c r="E552" s="17" t="n">
        <f aca="false">Vendor_Invoices_AP!F549</f>
        <v>45927</v>
      </c>
      <c r="F552" s="18" t="n">
        <f aca="false">Vendor_Invoices_AP!E549</f>
        <v>2254.68</v>
      </c>
      <c r="G552" s="18" t="n">
        <f aca="false">SUMIFS(Payment_Log_AP!$E$2:$E$753,Payment_Log_AP!$B$2:$B$753,A552)</f>
        <v>2254.68</v>
      </c>
      <c r="H552" s="18" t="n">
        <f aca="false">F552-G552</f>
        <v>0</v>
      </c>
      <c r="I552" s="16" t="n">
        <f aca="false">IF(H552&lt;=0.01,0,MAX(Assumptions!$B$5-E552,0))</f>
        <v>0</v>
      </c>
      <c r="J552" s="16" t="str">
        <f aca="false">IF(H552&lt;=0.01,"Paid",IF(I552&lt;=30,"0-30",IF(I552&lt;=60,"31-60",IF(I552&lt;=90,"61-90","90+"))))</f>
        <v>Paid</v>
      </c>
      <c r="K552" s="16" t="str">
        <f aca="false">IF(H552&lt;=0.01,"Paid",IF(G552&gt;0,"Partially Paid","Unpaid"))</f>
        <v>Paid</v>
      </c>
    </row>
    <row r="553" customFormat="false" ht="15" hidden="false" customHeight="false" outlineLevel="0" collapsed="false">
      <c r="A553" s="16" t="str">
        <f aca="false">Vendor_Invoices_AP!A550</f>
        <v>INV30549</v>
      </c>
      <c r="B553" s="16" t="str">
        <f aca="false">Vendor_Invoices_AP!C550</f>
        <v>V1023</v>
      </c>
      <c r="C553" s="16" t="str">
        <f aca="false">IFERROR(INDEX(Vendor_Master!$B$2:$B$41,MATCH(B553,Vendor_Master!$A$2:$A$41,0)),"Unknown Vendor")</f>
        <v>Robinson-Bright</v>
      </c>
      <c r="D553" s="17" t="n">
        <f aca="false">Vendor_Invoices_AP!D550</f>
        <v>45750</v>
      </c>
      <c r="E553" s="17" t="n">
        <f aca="false">Vendor_Invoices_AP!F550</f>
        <v>45780</v>
      </c>
      <c r="F553" s="18" t="n">
        <f aca="false">Vendor_Invoices_AP!E550</f>
        <v>5770.92</v>
      </c>
      <c r="G553" s="18" t="n">
        <f aca="false">SUMIFS(Payment_Log_AP!$E$2:$E$753,Payment_Log_AP!$B$2:$B$753,A553)</f>
        <v>5770.92</v>
      </c>
      <c r="H553" s="18" t="n">
        <f aca="false">F553-G553</f>
        <v>0</v>
      </c>
      <c r="I553" s="16" t="n">
        <f aca="false">IF(H553&lt;=0.01,0,MAX(Assumptions!$B$5-E553,0))</f>
        <v>0</v>
      </c>
      <c r="J553" s="16" t="str">
        <f aca="false">IF(H553&lt;=0.01,"Paid",IF(I553&lt;=30,"0-30",IF(I553&lt;=60,"31-60",IF(I553&lt;=90,"61-90","90+"))))</f>
        <v>Paid</v>
      </c>
      <c r="K553" s="16" t="str">
        <f aca="false">IF(H553&lt;=0.01,"Paid",IF(G553&gt;0,"Partially Paid","Unpaid"))</f>
        <v>Paid</v>
      </c>
    </row>
    <row r="554" customFormat="false" ht="15" hidden="false" customHeight="false" outlineLevel="0" collapsed="false">
      <c r="A554" s="16" t="str">
        <f aca="false">Vendor_Invoices_AP!A551</f>
        <v>INV30550</v>
      </c>
      <c r="B554" s="16" t="str">
        <f aca="false">Vendor_Invoices_AP!C551</f>
        <v>V1016</v>
      </c>
      <c r="C554" s="16" t="str">
        <f aca="false">IFERROR(INDEX(Vendor_Master!$B$2:$B$41,MATCH(B554,Vendor_Master!$A$2:$A$41,0)),"Unknown Vendor")</f>
        <v>Sanchez, Ford and Nelson</v>
      </c>
      <c r="D554" s="17" t="n">
        <f aca="false">Vendor_Invoices_AP!D551</f>
        <v>45971</v>
      </c>
      <c r="E554" s="17" t="n">
        <f aca="false">Vendor_Invoices_AP!F551</f>
        <v>46001</v>
      </c>
      <c r="F554" s="18" t="n">
        <f aca="false">Vendor_Invoices_AP!E551</f>
        <v>2271.46</v>
      </c>
      <c r="G554" s="18" t="n">
        <f aca="false">SUMIFS(Payment_Log_AP!$E$2:$E$753,Payment_Log_AP!$B$2:$B$753,A554)</f>
        <v>2271.46</v>
      </c>
      <c r="H554" s="18" t="n">
        <f aca="false">F554-G554</f>
        <v>0</v>
      </c>
      <c r="I554" s="16" t="n">
        <f aca="false">IF(H554&lt;=0.01,0,MAX(Assumptions!$B$5-E554,0))</f>
        <v>0</v>
      </c>
      <c r="J554" s="16" t="str">
        <f aca="false">IF(H554&lt;=0.01,"Paid",IF(I554&lt;=30,"0-30",IF(I554&lt;=60,"31-60",IF(I554&lt;=90,"61-90","90+"))))</f>
        <v>Paid</v>
      </c>
      <c r="K554" s="16" t="str">
        <f aca="false">IF(H554&lt;=0.01,"Paid",IF(G554&gt;0,"Partially Paid","Unpaid"))</f>
        <v>Paid</v>
      </c>
    </row>
    <row r="555" customFormat="false" ht="15" hidden="false" customHeight="false" outlineLevel="0" collapsed="false">
      <c r="A555" s="16" t="str">
        <f aca="false">Vendor_Invoices_AP!A552</f>
        <v>INV30551</v>
      </c>
      <c r="B555" s="16" t="str">
        <f aca="false">Vendor_Invoices_AP!C552</f>
        <v>V1012</v>
      </c>
      <c r="C555" s="16" t="str">
        <f aca="false">IFERROR(INDEX(Vendor_Master!$B$2:$B$41,MATCH(B555,Vendor_Master!$A$2:$A$41,0)),"Unknown Vendor")</f>
        <v>Stanley LLC</v>
      </c>
      <c r="D555" s="17" t="n">
        <f aca="false">Vendor_Invoices_AP!D552</f>
        <v>45984</v>
      </c>
      <c r="E555" s="17" t="n">
        <f aca="false">Vendor_Invoices_AP!F552</f>
        <v>46044</v>
      </c>
      <c r="F555" s="18" t="n">
        <f aca="false">Vendor_Invoices_AP!E552</f>
        <v>567.17</v>
      </c>
      <c r="G555" s="18" t="n">
        <f aca="false">SUMIFS(Payment_Log_AP!$E$2:$E$753,Payment_Log_AP!$B$2:$B$753,A555)</f>
        <v>567.17</v>
      </c>
      <c r="H555" s="18" t="n">
        <f aca="false">F555-G555</f>
        <v>0</v>
      </c>
      <c r="I555" s="16" t="n">
        <f aca="false">IF(H555&lt;=0.01,0,MAX(Assumptions!$B$5-E555,0))</f>
        <v>0</v>
      </c>
      <c r="J555" s="16" t="str">
        <f aca="false">IF(H555&lt;=0.01,"Paid",IF(I555&lt;=30,"0-30",IF(I555&lt;=60,"31-60",IF(I555&lt;=90,"61-90","90+"))))</f>
        <v>Paid</v>
      </c>
      <c r="K555" s="16" t="str">
        <f aca="false">IF(H555&lt;=0.01,"Paid",IF(G555&gt;0,"Partially Paid","Unpaid"))</f>
        <v>Paid</v>
      </c>
    </row>
    <row r="556" customFormat="false" ht="15" hidden="false" customHeight="false" outlineLevel="0" collapsed="false">
      <c r="A556" s="16" t="str">
        <f aca="false">Vendor_Invoices_AP!A553</f>
        <v>INV30552</v>
      </c>
      <c r="B556" s="16" t="str">
        <f aca="false">Vendor_Invoices_AP!C553</f>
        <v>V1010</v>
      </c>
      <c r="C556" s="16" t="str">
        <f aca="false">IFERROR(INDEX(Vendor_Master!$B$2:$B$41,MATCH(B556,Vendor_Master!$A$2:$A$41,0)),"Unknown Vendor")</f>
        <v>Martinez, Nielsen and Miller</v>
      </c>
      <c r="D556" s="17" t="n">
        <f aca="false">Vendor_Invoices_AP!D553</f>
        <v>46093</v>
      </c>
      <c r="E556" s="17" t="n">
        <f aca="false">Vendor_Invoices_AP!F553</f>
        <v>46108</v>
      </c>
      <c r="F556" s="18" t="n">
        <f aca="false">Vendor_Invoices_AP!E553</f>
        <v>4021.66</v>
      </c>
      <c r="G556" s="18" t="n">
        <f aca="false">SUMIFS(Payment_Log_AP!$E$2:$E$753,Payment_Log_AP!$B$2:$B$753,A556)</f>
        <v>4021.66</v>
      </c>
      <c r="H556" s="18" t="n">
        <f aca="false">F556-G556</f>
        <v>0</v>
      </c>
      <c r="I556" s="16" t="n">
        <f aca="false">IF(H556&lt;=0.01,0,MAX(Assumptions!$B$5-E556,0))</f>
        <v>0</v>
      </c>
      <c r="J556" s="16" t="str">
        <f aca="false">IF(H556&lt;=0.01,"Paid",IF(I556&lt;=30,"0-30",IF(I556&lt;=60,"31-60",IF(I556&lt;=90,"61-90","90+"))))</f>
        <v>Paid</v>
      </c>
      <c r="K556" s="16" t="str">
        <f aca="false">IF(H556&lt;=0.01,"Paid",IF(G556&gt;0,"Partially Paid","Unpaid"))</f>
        <v>Paid</v>
      </c>
    </row>
    <row r="557" customFormat="false" ht="15" hidden="false" customHeight="false" outlineLevel="0" collapsed="false">
      <c r="A557" s="16" t="str">
        <f aca="false">Vendor_Invoices_AP!A554</f>
        <v>INV30553</v>
      </c>
      <c r="B557" s="16" t="str">
        <f aca="false">Vendor_Invoices_AP!C554</f>
        <v>V1020</v>
      </c>
      <c r="C557" s="16" t="str">
        <f aca="false">IFERROR(INDEX(Vendor_Master!$B$2:$B$41,MATCH(B557,Vendor_Master!$A$2:$A$41,0)),"Unknown Vendor")</f>
        <v>Lewis-Porter</v>
      </c>
      <c r="D557" s="17" t="n">
        <f aca="false">Vendor_Invoices_AP!D554</f>
        <v>45756</v>
      </c>
      <c r="E557" s="17" t="n">
        <f aca="false">Vendor_Invoices_AP!F554</f>
        <v>45786</v>
      </c>
      <c r="F557" s="18" t="n">
        <f aca="false">Vendor_Invoices_AP!E554</f>
        <v>2676.69</v>
      </c>
      <c r="G557" s="18" t="n">
        <f aca="false">SUMIFS(Payment_Log_AP!$E$2:$E$753,Payment_Log_AP!$B$2:$B$753,A557)</f>
        <v>0</v>
      </c>
      <c r="H557" s="18" t="n">
        <f aca="false">F557-G557</f>
        <v>2676.69</v>
      </c>
      <c r="I557" s="16" t="n">
        <f aca="false">IF(H557&lt;=0.01,0,MAX(Assumptions!$B$5-E557,0))</f>
        <v>448</v>
      </c>
      <c r="J557" s="16" t="str">
        <f aca="false">IF(H557&lt;=0.01,"Paid",IF(I557&lt;=30,"0-30",IF(I557&lt;=60,"31-60",IF(I557&lt;=90,"61-90","90+"))))</f>
        <v>90+</v>
      </c>
      <c r="K557" s="16" t="str">
        <f aca="false">IF(H557&lt;=0.01,"Paid",IF(G557&gt;0,"Partially Paid","Unpaid"))</f>
        <v>Unpaid</v>
      </c>
    </row>
    <row r="558" customFormat="false" ht="15" hidden="false" customHeight="false" outlineLevel="0" collapsed="false">
      <c r="A558" s="16" t="str">
        <f aca="false">Vendor_Invoices_AP!A555</f>
        <v>INV30554</v>
      </c>
      <c r="B558" s="16" t="str">
        <f aca="false">Vendor_Invoices_AP!C555</f>
        <v>V1002</v>
      </c>
      <c r="C558" s="16" t="str">
        <f aca="false">IFERROR(INDEX(Vendor_Master!$B$2:$B$41,MATCH(B558,Vendor_Master!$A$2:$A$41,0)),"Unknown Vendor")</f>
        <v>Garcia, Yang and Gardner</v>
      </c>
      <c r="D558" s="17" t="n">
        <f aca="false">Vendor_Invoices_AP!D555</f>
        <v>45716</v>
      </c>
      <c r="E558" s="17" t="n">
        <f aca="false">Vendor_Invoices_AP!F555</f>
        <v>45731</v>
      </c>
      <c r="F558" s="18" t="n">
        <f aca="false">Vendor_Invoices_AP!E555</f>
        <v>21176.94</v>
      </c>
      <c r="G558" s="18" t="n">
        <f aca="false">SUMIFS(Payment_Log_AP!$E$2:$E$753,Payment_Log_AP!$B$2:$B$753,A558)</f>
        <v>21176.94</v>
      </c>
      <c r="H558" s="18" t="n">
        <f aca="false">F558-G558</f>
        <v>0</v>
      </c>
      <c r="I558" s="16" t="n">
        <f aca="false">IF(H558&lt;=0.01,0,MAX(Assumptions!$B$5-E558,0))</f>
        <v>0</v>
      </c>
      <c r="J558" s="16" t="str">
        <f aca="false">IF(H558&lt;=0.01,"Paid",IF(I558&lt;=30,"0-30",IF(I558&lt;=60,"31-60",IF(I558&lt;=90,"61-90","90+"))))</f>
        <v>Paid</v>
      </c>
      <c r="K558" s="16" t="str">
        <f aca="false">IF(H558&lt;=0.01,"Paid",IF(G558&gt;0,"Partially Paid","Unpaid"))</f>
        <v>Paid</v>
      </c>
    </row>
    <row r="559" customFormat="false" ht="15" hidden="false" customHeight="false" outlineLevel="0" collapsed="false">
      <c r="A559" s="16" t="str">
        <f aca="false">Vendor_Invoices_AP!A556</f>
        <v>INV30555</v>
      </c>
      <c r="B559" s="16" t="str">
        <f aca="false">Vendor_Invoices_AP!C556</f>
        <v>V1010</v>
      </c>
      <c r="C559" s="16" t="str">
        <f aca="false">IFERROR(INDEX(Vendor_Master!$B$2:$B$41,MATCH(B559,Vendor_Master!$A$2:$A$41,0)),"Unknown Vendor")</f>
        <v>Martinez, Nielsen and Miller</v>
      </c>
      <c r="D559" s="17" t="n">
        <f aca="false">Vendor_Invoices_AP!D556</f>
        <v>46148</v>
      </c>
      <c r="E559" s="17" t="n">
        <f aca="false">Vendor_Invoices_AP!F556</f>
        <v>46163</v>
      </c>
      <c r="F559" s="18" t="n">
        <f aca="false">Vendor_Invoices_AP!E556</f>
        <v>3298.58</v>
      </c>
      <c r="G559" s="18" t="n">
        <f aca="false">SUMIFS(Payment_Log_AP!$E$2:$E$753,Payment_Log_AP!$B$2:$B$753,A559)</f>
        <v>3298.58</v>
      </c>
      <c r="H559" s="18" t="n">
        <f aca="false">F559-G559</f>
        <v>0</v>
      </c>
      <c r="I559" s="16" t="n">
        <f aca="false">IF(H559&lt;=0.01,0,MAX(Assumptions!$B$5-E559,0))</f>
        <v>0</v>
      </c>
      <c r="J559" s="16" t="str">
        <f aca="false">IF(H559&lt;=0.01,"Paid",IF(I559&lt;=30,"0-30",IF(I559&lt;=60,"31-60",IF(I559&lt;=90,"61-90","90+"))))</f>
        <v>Paid</v>
      </c>
      <c r="K559" s="16" t="str">
        <f aca="false">IF(H559&lt;=0.01,"Paid",IF(G559&gt;0,"Partially Paid","Unpaid"))</f>
        <v>Paid</v>
      </c>
    </row>
    <row r="560" customFormat="false" ht="15" hidden="false" customHeight="false" outlineLevel="0" collapsed="false">
      <c r="A560" s="16" t="str">
        <f aca="false">Vendor_Invoices_AP!A557</f>
        <v>INV30556</v>
      </c>
      <c r="B560" s="16" t="str">
        <f aca="false">Vendor_Invoices_AP!C557</f>
        <v>V1031</v>
      </c>
      <c r="C560" s="16" t="str">
        <f aca="false">IFERROR(INDEX(Vendor_Master!$B$2:$B$41,MATCH(B560,Vendor_Master!$A$2:$A$41,0)),"Unknown Vendor")</f>
        <v>Harrell LLC</v>
      </c>
      <c r="D560" s="17" t="n">
        <f aca="false">Vendor_Invoices_AP!D557</f>
        <v>46015</v>
      </c>
      <c r="E560" s="17" t="n">
        <f aca="false">Vendor_Invoices_AP!F557</f>
        <v>46030</v>
      </c>
      <c r="F560" s="18" t="n">
        <f aca="false">Vendor_Invoices_AP!E557</f>
        <v>6459.27</v>
      </c>
      <c r="G560" s="18" t="n">
        <f aca="false">SUMIFS(Payment_Log_AP!$E$2:$E$753,Payment_Log_AP!$B$2:$B$753,A560)</f>
        <v>6459.27</v>
      </c>
      <c r="H560" s="18" t="n">
        <f aca="false">F560-G560</f>
        <v>0</v>
      </c>
      <c r="I560" s="16" t="n">
        <f aca="false">IF(H560&lt;=0.01,0,MAX(Assumptions!$B$5-E560,0))</f>
        <v>0</v>
      </c>
      <c r="J560" s="16" t="str">
        <f aca="false">IF(H560&lt;=0.01,"Paid",IF(I560&lt;=30,"0-30",IF(I560&lt;=60,"31-60",IF(I560&lt;=90,"61-90","90+"))))</f>
        <v>Paid</v>
      </c>
      <c r="K560" s="16" t="str">
        <f aca="false">IF(H560&lt;=0.01,"Paid",IF(G560&gt;0,"Partially Paid","Unpaid"))</f>
        <v>Paid</v>
      </c>
    </row>
    <row r="561" customFormat="false" ht="15" hidden="false" customHeight="false" outlineLevel="0" collapsed="false">
      <c r="A561" s="16" t="str">
        <f aca="false">Vendor_Invoices_AP!A558</f>
        <v>INV30557</v>
      </c>
      <c r="B561" s="16" t="str">
        <f aca="false">Vendor_Invoices_AP!C558</f>
        <v>V1012</v>
      </c>
      <c r="C561" s="16" t="str">
        <f aca="false">IFERROR(INDEX(Vendor_Master!$B$2:$B$41,MATCH(B561,Vendor_Master!$A$2:$A$41,0)),"Unknown Vendor")</f>
        <v>Stanley LLC</v>
      </c>
      <c r="D561" s="17" t="n">
        <f aca="false">Vendor_Invoices_AP!D558</f>
        <v>45811</v>
      </c>
      <c r="E561" s="17" t="n">
        <f aca="false">Vendor_Invoices_AP!F558</f>
        <v>45871</v>
      </c>
      <c r="F561" s="18" t="n">
        <f aca="false">Vendor_Invoices_AP!E558</f>
        <v>622.67</v>
      </c>
      <c r="G561" s="18" t="n">
        <f aca="false">SUMIFS(Payment_Log_AP!$E$2:$E$753,Payment_Log_AP!$B$2:$B$753,A561)</f>
        <v>622.67</v>
      </c>
      <c r="H561" s="18" t="n">
        <f aca="false">F561-G561</f>
        <v>0</v>
      </c>
      <c r="I561" s="16" t="n">
        <f aca="false">IF(H561&lt;=0.01,0,MAX(Assumptions!$B$5-E561,0))</f>
        <v>0</v>
      </c>
      <c r="J561" s="16" t="str">
        <f aca="false">IF(H561&lt;=0.01,"Paid",IF(I561&lt;=30,"0-30",IF(I561&lt;=60,"31-60",IF(I561&lt;=90,"61-90","90+"))))</f>
        <v>Paid</v>
      </c>
      <c r="K561" s="16" t="str">
        <f aca="false">IF(H561&lt;=0.01,"Paid",IF(G561&gt;0,"Partially Paid","Unpaid"))</f>
        <v>Paid</v>
      </c>
    </row>
    <row r="562" customFormat="false" ht="15" hidden="false" customHeight="false" outlineLevel="0" collapsed="false">
      <c r="A562" s="16" t="str">
        <f aca="false">Vendor_Invoices_AP!A559</f>
        <v>INV30558</v>
      </c>
      <c r="B562" s="16" t="str">
        <f aca="false">Vendor_Invoices_AP!C559</f>
        <v>V1035</v>
      </c>
      <c r="C562" s="16" t="str">
        <f aca="false">IFERROR(INDEX(Vendor_Master!$B$2:$B$41,MATCH(B562,Vendor_Master!$A$2:$A$41,0)),"Unknown Vendor")</f>
        <v>Allen PLC</v>
      </c>
      <c r="D562" s="17" t="n">
        <f aca="false">Vendor_Invoices_AP!D559</f>
        <v>46158</v>
      </c>
      <c r="E562" s="17" t="n">
        <f aca="false">Vendor_Invoices_AP!F559</f>
        <v>46173</v>
      </c>
      <c r="F562" s="18" t="n">
        <f aca="false">Vendor_Invoices_AP!E559</f>
        <v>591.95</v>
      </c>
      <c r="G562" s="18" t="n">
        <f aca="false">SUMIFS(Payment_Log_AP!$E$2:$E$753,Payment_Log_AP!$B$2:$B$753,A562)</f>
        <v>0</v>
      </c>
      <c r="H562" s="18" t="n">
        <f aca="false">F562-G562</f>
        <v>591.95</v>
      </c>
      <c r="I562" s="16" t="n">
        <f aca="false">IF(H562&lt;=0.01,0,MAX(Assumptions!$B$5-E562,0))</f>
        <v>61</v>
      </c>
      <c r="J562" s="16" t="str">
        <f aca="false">IF(H562&lt;=0.01,"Paid",IF(I562&lt;=30,"0-30",IF(I562&lt;=60,"31-60",IF(I562&lt;=90,"61-90","90+"))))</f>
        <v>61-90</v>
      </c>
      <c r="K562" s="16" t="str">
        <f aca="false">IF(H562&lt;=0.01,"Paid",IF(G562&gt;0,"Partially Paid","Unpaid"))</f>
        <v>Unpaid</v>
      </c>
    </row>
    <row r="563" customFormat="false" ht="15" hidden="false" customHeight="false" outlineLevel="0" collapsed="false">
      <c r="A563" s="16" t="str">
        <f aca="false">Vendor_Invoices_AP!A560</f>
        <v>INV30559</v>
      </c>
      <c r="B563" s="16" t="str">
        <f aca="false">Vendor_Invoices_AP!C560</f>
        <v>V1005</v>
      </c>
      <c r="C563" s="16" t="str">
        <f aca="false">IFERROR(INDEX(Vendor_Master!$B$2:$B$41,MATCH(B563,Vendor_Master!$A$2:$A$41,0)),"Unknown Vendor")</f>
        <v>Cole LLC</v>
      </c>
      <c r="D563" s="17" t="n">
        <f aca="false">Vendor_Invoices_AP!D560</f>
        <v>45746</v>
      </c>
      <c r="E563" s="17" t="n">
        <f aca="false">Vendor_Invoices_AP!F560</f>
        <v>45761</v>
      </c>
      <c r="F563" s="18" t="n">
        <f aca="false">Vendor_Invoices_AP!E560</f>
        <v>4894.13</v>
      </c>
      <c r="G563" s="18" t="n">
        <f aca="false">SUMIFS(Payment_Log_AP!$E$2:$E$753,Payment_Log_AP!$B$2:$B$753,A563)</f>
        <v>4894.13</v>
      </c>
      <c r="H563" s="18" t="n">
        <f aca="false">F563-G563</f>
        <v>0</v>
      </c>
      <c r="I563" s="16" t="n">
        <f aca="false">IF(H563&lt;=0.01,0,MAX(Assumptions!$B$5-E563,0))</f>
        <v>0</v>
      </c>
      <c r="J563" s="16" t="str">
        <f aca="false">IF(H563&lt;=0.01,"Paid",IF(I563&lt;=30,"0-30",IF(I563&lt;=60,"31-60",IF(I563&lt;=90,"61-90","90+"))))</f>
        <v>Paid</v>
      </c>
      <c r="K563" s="16" t="str">
        <f aca="false">IF(H563&lt;=0.01,"Paid",IF(G563&gt;0,"Partially Paid","Unpaid"))</f>
        <v>Paid</v>
      </c>
    </row>
    <row r="564" customFormat="false" ht="15" hidden="false" customHeight="false" outlineLevel="0" collapsed="false">
      <c r="A564" s="16" t="str">
        <f aca="false">Vendor_Invoices_AP!A561</f>
        <v>INV30560</v>
      </c>
      <c r="B564" s="16" t="str">
        <f aca="false">Vendor_Invoices_AP!C561</f>
        <v>V1024</v>
      </c>
      <c r="C564" s="16" t="str">
        <f aca="false">IFERROR(INDEX(Vendor_Master!$B$2:$B$41,MATCH(B564,Vendor_Master!$A$2:$A$41,0)),"Unknown Vendor")</f>
        <v>Campos Inc</v>
      </c>
      <c r="D564" s="17" t="n">
        <f aca="false">Vendor_Invoices_AP!D561</f>
        <v>45928</v>
      </c>
      <c r="E564" s="17" t="n">
        <f aca="false">Vendor_Invoices_AP!F561</f>
        <v>45988</v>
      </c>
      <c r="F564" s="18" t="n">
        <f aca="false">Vendor_Invoices_AP!E561</f>
        <v>640.41</v>
      </c>
      <c r="G564" s="18" t="n">
        <f aca="false">SUMIFS(Payment_Log_AP!$E$2:$E$753,Payment_Log_AP!$B$2:$B$753,A564)</f>
        <v>640.41</v>
      </c>
      <c r="H564" s="18" t="n">
        <f aca="false">F564-G564</f>
        <v>0</v>
      </c>
      <c r="I564" s="16" t="n">
        <f aca="false">IF(H564&lt;=0.01,0,MAX(Assumptions!$B$5-E564,0))</f>
        <v>0</v>
      </c>
      <c r="J564" s="16" t="str">
        <f aca="false">IF(H564&lt;=0.01,"Paid",IF(I564&lt;=30,"0-30",IF(I564&lt;=60,"31-60",IF(I564&lt;=90,"61-90","90+"))))</f>
        <v>Paid</v>
      </c>
      <c r="K564" s="16" t="str">
        <f aca="false">IF(H564&lt;=0.01,"Paid",IF(G564&gt;0,"Partially Paid","Unpaid"))</f>
        <v>Paid</v>
      </c>
    </row>
    <row r="565" customFormat="false" ht="15" hidden="false" customHeight="false" outlineLevel="0" collapsed="false">
      <c r="A565" s="16" t="str">
        <f aca="false">Vendor_Invoices_AP!A562</f>
        <v>INV30561</v>
      </c>
      <c r="B565" s="16" t="str">
        <f aca="false">Vendor_Invoices_AP!C562</f>
        <v>V1016</v>
      </c>
      <c r="C565" s="16" t="str">
        <f aca="false">IFERROR(INDEX(Vendor_Master!$B$2:$B$41,MATCH(B565,Vendor_Master!$A$2:$A$41,0)),"Unknown Vendor")</f>
        <v>Sanchez, Ford and Nelson</v>
      </c>
      <c r="D565" s="17" t="n">
        <f aca="false">Vendor_Invoices_AP!D562</f>
        <v>45810</v>
      </c>
      <c r="E565" s="17" t="n">
        <f aca="false">Vendor_Invoices_AP!F562</f>
        <v>45840</v>
      </c>
      <c r="F565" s="18" t="n">
        <f aca="false">Vendor_Invoices_AP!E562</f>
        <v>6607.07</v>
      </c>
      <c r="G565" s="18" t="n">
        <f aca="false">SUMIFS(Payment_Log_AP!$E$2:$E$753,Payment_Log_AP!$B$2:$B$753,A565)</f>
        <v>6607.07</v>
      </c>
      <c r="H565" s="18" t="n">
        <f aca="false">F565-G565</f>
        <v>0</v>
      </c>
      <c r="I565" s="16" t="n">
        <f aca="false">IF(H565&lt;=0.01,0,MAX(Assumptions!$B$5-E565,0))</f>
        <v>0</v>
      </c>
      <c r="J565" s="16" t="str">
        <f aca="false">IF(H565&lt;=0.01,"Paid",IF(I565&lt;=30,"0-30",IF(I565&lt;=60,"31-60",IF(I565&lt;=90,"61-90","90+"))))</f>
        <v>Paid</v>
      </c>
      <c r="K565" s="16" t="str">
        <f aca="false">IF(H565&lt;=0.01,"Paid",IF(G565&gt;0,"Partially Paid","Unpaid"))</f>
        <v>Paid</v>
      </c>
    </row>
    <row r="566" customFormat="false" ht="15" hidden="false" customHeight="false" outlineLevel="0" collapsed="false">
      <c r="A566" s="16" t="str">
        <f aca="false">Vendor_Invoices_AP!A563</f>
        <v>INV30562</v>
      </c>
      <c r="B566" s="16" t="str">
        <f aca="false">Vendor_Invoices_AP!C563</f>
        <v>V1028</v>
      </c>
      <c r="C566" s="16" t="str">
        <f aca="false">IFERROR(INDEX(Vendor_Master!$B$2:$B$41,MATCH(B566,Vendor_Master!$A$2:$A$41,0)),"Unknown Vendor")</f>
        <v>Potter, Mack and Peterson</v>
      </c>
      <c r="D566" s="17" t="n">
        <f aca="false">Vendor_Invoices_AP!D563</f>
        <v>45812</v>
      </c>
      <c r="E566" s="17" t="n">
        <f aca="false">Vendor_Invoices_AP!F563</f>
        <v>45857</v>
      </c>
      <c r="F566" s="18" t="n">
        <f aca="false">Vendor_Invoices_AP!E563</f>
        <v>647.86</v>
      </c>
      <c r="G566" s="18" t="n">
        <f aca="false">SUMIFS(Payment_Log_AP!$E$2:$E$753,Payment_Log_AP!$B$2:$B$753,A566)</f>
        <v>647.86</v>
      </c>
      <c r="H566" s="18" t="n">
        <f aca="false">F566-G566</f>
        <v>0</v>
      </c>
      <c r="I566" s="16" t="n">
        <f aca="false">IF(H566&lt;=0.01,0,MAX(Assumptions!$B$5-E566,0))</f>
        <v>0</v>
      </c>
      <c r="J566" s="16" t="str">
        <f aca="false">IF(H566&lt;=0.01,"Paid",IF(I566&lt;=30,"0-30",IF(I566&lt;=60,"31-60",IF(I566&lt;=90,"61-90","90+"))))</f>
        <v>Paid</v>
      </c>
      <c r="K566" s="16" t="str">
        <f aca="false">IF(H566&lt;=0.01,"Paid",IF(G566&gt;0,"Partially Paid","Unpaid"))</f>
        <v>Paid</v>
      </c>
    </row>
    <row r="567" customFormat="false" ht="15" hidden="false" customHeight="false" outlineLevel="0" collapsed="false">
      <c r="A567" s="16" t="str">
        <f aca="false">Vendor_Invoices_AP!A564</f>
        <v>INV30563</v>
      </c>
      <c r="B567" s="16" t="str">
        <f aca="false">Vendor_Invoices_AP!C564</f>
        <v>V1022</v>
      </c>
      <c r="C567" s="16" t="str">
        <f aca="false">IFERROR(INDEX(Vendor_Master!$B$2:$B$41,MATCH(B567,Vendor_Master!$A$2:$A$41,0)),"Unknown Vendor")</f>
        <v>Burgess-Patterson</v>
      </c>
      <c r="D567" s="17" t="n">
        <f aca="false">Vendor_Invoices_AP!D564</f>
        <v>45686</v>
      </c>
      <c r="E567" s="17" t="n">
        <f aca="false">Vendor_Invoices_AP!F564</f>
        <v>45716</v>
      </c>
      <c r="F567" s="18" t="n">
        <f aca="false">Vendor_Invoices_AP!E564</f>
        <v>517.06</v>
      </c>
      <c r="G567" s="18" t="n">
        <f aca="false">SUMIFS(Payment_Log_AP!$E$2:$E$753,Payment_Log_AP!$B$2:$B$753,A567)</f>
        <v>517.06</v>
      </c>
      <c r="H567" s="18" t="n">
        <f aca="false">F567-G567</f>
        <v>0</v>
      </c>
      <c r="I567" s="16" t="n">
        <f aca="false">IF(H567&lt;=0.01,0,MAX(Assumptions!$B$5-E567,0))</f>
        <v>0</v>
      </c>
      <c r="J567" s="16" t="str">
        <f aca="false">IF(H567&lt;=0.01,"Paid",IF(I567&lt;=30,"0-30",IF(I567&lt;=60,"31-60",IF(I567&lt;=90,"61-90","90+"))))</f>
        <v>Paid</v>
      </c>
      <c r="K567" s="16" t="str">
        <f aca="false">IF(H567&lt;=0.01,"Paid",IF(G567&gt;0,"Partially Paid","Unpaid"))</f>
        <v>Paid</v>
      </c>
    </row>
    <row r="568" customFormat="false" ht="15" hidden="false" customHeight="false" outlineLevel="0" collapsed="false">
      <c r="A568" s="16" t="str">
        <f aca="false">Vendor_Invoices_AP!A565</f>
        <v>INV30564</v>
      </c>
      <c r="B568" s="16" t="str">
        <f aca="false">Vendor_Invoices_AP!C565</f>
        <v>V1011</v>
      </c>
      <c r="C568" s="16" t="str">
        <f aca="false">IFERROR(INDEX(Vendor_Master!$B$2:$B$41,MATCH(B568,Vendor_Master!$A$2:$A$41,0)),"Unknown Vendor")</f>
        <v>Montgomery, Hensley and Ray</v>
      </c>
      <c r="D568" s="17" t="n">
        <f aca="false">Vendor_Invoices_AP!D565</f>
        <v>46099</v>
      </c>
      <c r="E568" s="17" t="n">
        <f aca="false">Vendor_Invoices_AP!F565</f>
        <v>46144</v>
      </c>
      <c r="F568" s="18" t="n">
        <f aca="false">Vendor_Invoices_AP!E565</f>
        <v>316.1</v>
      </c>
      <c r="G568" s="18" t="n">
        <f aca="false">SUMIFS(Payment_Log_AP!$E$2:$E$753,Payment_Log_AP!$B$2:$B$753,A568)</f>
        <v>316.1</v>
      </c>
      <c r="H568" s="18" t="n">
        <f aca="false">F568-G568</f>
        <v>0</v>
      </c>
      <c r="I568" s="16" t="n">
        <f aca="false">IF(H568&lt;=0.01,0,MAX(Assumptions!$B$5-E568,0))</f>
        <v>0</v>
      </c>
      <c r="J568" s="16" t="str">
        <f aca="false">IF(H568&lt;=0.01,"Paid",IF(I568&lt;=30,"0-30",IF(I568&lt;=60,"31-60",IF(I568&lt;=90,"61-90","90+"))))</f>
        <v>Paid</v>
      </c>
      <c r="K568" s="16" t="str">
        <f aca="false">IF(H568&lt;=0.01,"Paid",IF(G568&gt;0,"Partially Paid","Unpaid"))</f>
        <v>Paid</v>
      </c>
    </row>
    <row r="569" customFormat="false" ht="15" hidden="false" customHeight="false" outlineLevel="0" collapsed="false">
      <c r="A569" s="16" t="str">
        <f aca="false">Vendor_Invoices_AP!A566</f>
        <v>INV30565</v>
      </c>
      <c r="B569" s="16" t="str">
        <f aca="false">Vendor_Invoices_AP!C566</f>
        <v>V1034</v>
      </c>
      <c r="C569" s="16" t="str">
        <f aca="false">IFERROR(INDEX(Vendor_Master!$B$2:$B$41,MATCH(B569,Vendor_Master!$A$2:$A$41,0)),"Unknown Vendor")</f>
        <v>Koch-Decker</v>
      </c>
      <c r="D569" s="17" t="n">
        <f aca="false">Vendor_Invoices_AP!D566</f>
        <v>46162</v>
      </c>
      <c r="E569" s="17" t="n">
        <f aca="false">Vendor_Invoices_AP!F566</f>
        <v>46207</v>
      </c>
      <c r="F569" s="18" t="n">
        <f aca="false">Vendor_Invoices_AP!E566</f>
        <v>4436.8</v>
      </c>
      <c r="G569" s="18" t="n">
        <f aca="false">SUMIFS(Payment_Log_AP!$E$2:$E$753,Payment_Log_AP!$B$2:$B$753,A569)</f>
        <v>4436.8</v>
      </c>
      <c r="H569" s="18" t="n">
        <f aca="false">F569-G569</f>
        <v>0</v>
      </c>
      <c r="I569" s="16" t="n">
        <f aca="false">IF(H569&lt;=0.01,0,MAX(Assumptions!$B$5-E569,0))</f>
        <v>0</v>
      </c>
      <c r="J569" s="16" t="str">
        <f aca="false">IF(H569&lt;=0.01,"Paid",IF(I569&lt;=30,"0-30",IF(I569&lt;=60,"31-60",IF(I569&lt;=90,"61-90","90+"))))</f>
        <v>Paid</v>
      </c>
      <c r="K569" s="16" t="str">
        <f aca="false">IF(H569&lt;=0.01,"Paid",IF(G569&gt;0,"Partially Paid","Unpaid"))</f>
        <v>Paid</v>
      </c>
    </row>
    <row r="570" customFormat="false" ht="15" hidden="false" customHeight="false" outlineLevel="0" collapsed="false">
      <c r="A570" s="16" t="str">
        <f aca="false">Vendor_Invoices_AP!A567</f>
        <v>INV30566</v>
      </c>
      <c r="B570" s="16" t="str">
        <f aca="false">Vendor_Invoices_AP!C567</f>
        <v>V1026</v>
      </c>
      <c r="C570" s="16" t="str">
        <f aca="false">IFERROR(INDEX(Vendor_Master!$B$2:$B$41,MATCH(B570,Vendor_Master!$A$2:$A$41,0)),"Unknown Vendor")</f>
        <v>James-Ferrell</v>
      </c>
      <c r="D570" s="17" t="n">
        <f aca="false">Vendor_Invoices_AP!D567</f>
        <v>46049</v>
      </c>
      <c r="E570" s="17" t="n">
        <f aca="false">Vendor_Invoices_AP!F567</f>
        <v>46109</v>
      </c>
      <c r="F570" s="18" t="n">
        <f aca="false">Vendor_Invoices_AP!E567</f>
        <v>6594.42</v>
      </c>
      <c r="G570" s="18" t="n">
        <f aca="false">SUMIFS(Payment_Log_AP!$E$2:$E$753,Payment_Log_AP!$B$2:$B$753,A570)</f>
        <v>6594.42</v>
      </c>
      <c r="H570" s="18" t="n">
        <f aca="false">F570-G570</f>
        <v>0</v>
      </c>
      <c r="I570" s="16" t="n">
        <f aca="false">IF(H570&lt;=0.01,0,MAX(Assumptions!$B$5-E570,0))</f>
        <v>0</v>
      </c>
      <c r="J570" s="16" t="str">
        <f aca="false">IF(H570&lt;=0.01,"Paid",IF(I570&lt;=30,"0-30",IF(I570&lt;=60,"31-60",IF(I570&lt;=90,"61-90","90+"))))</f>
        <v>Paid</v>
      </c>
      <c r="K570" s="16" t="str">
        <f aca="false">IF(H570&lt;=0.01,"Paid",IF(G570&gt;0,"Partially Paid","Unpaid"))</f>
        <v>Paid</v>
      </c>
    </row>
    <row r="571" customFormat="false" ht="15" hidden="false" customHeight="false" outlineLevel="0" collapsed="false">
      <c r="A571" s="16" t="str">
        <f aca="false">Vendor_Invoices_AP!A568</f>
        <v>INV30567</v>
      </c>
      <c r="B571" s="16" t="str">
        <f aca="false">Vendor_Invoices_AP!C568</f>
        <v>V1027</v>
      </c>
      <c r="C571" s="16" t="str">
        <f aca="false">IFERROR(INDEX(Vendor_Master!$B$2:$B$41,MATCH(B571,Vendor_Master!$A$2:$A$41,0)),"Unknown Vendor")</f>
        <v>Valencia, Smith and Le</v>
      </c>
      <c r="D571" s="17" t="n">
        <f aca="false">Vendor_Invoices_AP!D568</f>
        <v>45754</v>
      </c>
      <c r="E571" s="17" t="n">
        <f aca="false">Vendor_Invoices_AP!F568</f>
        <v>45799</v>
      </c>
      <c r="F571" s="18" t="n">
        <f aca="false">Vendor_Invoices_AP!E568</f>
        <v>836.54</v>
      </c>
      <c r="G571" s="18" t="n">
        <f aca="false">SUMIFS(Payment_Log_AP!$E$2:$E$753,Payment_Log_AP!$B$2:$B$753,A571)</f>
        <v>836.54</v>
      </c>
      <c r="H571" s="18" t="n">
        <f aca="false">F571-G571</f>
        <v>0</v>
      </c>
      <c r="I571" s="16" t="n">
        <f aca="false">IF(H571&lt;=0.01,0,MAX(Assumptions!$B$5-E571,0))</f>
        <v>0</v>
      </c>
      <c r="J571" s="16" t="str">
        <f aca="false">IF(H571&lt;=0.01,"Paid",IF(I571&lt;=30,"0-30",IF(I571&lt;=60,"31-60",IF(I571&lt;=90,"61-90","90+"))))</f>
        <v>Paid</v>
      </c>
      <c r="K571" s="16" t="str">
        <f aca="false">IF(H571&lt;=0.01,"Paid",IF(G571&gt;0,"Partially Paid","Unpaid"))</f>
        <v>Paid</v>
      </c>
    </row>
    <row r="572" customFormat="false" ht="15" hidden="false" customHeight="false" outlineLevel="0" collapsed="false">
      <c r="A572" s="16" t="str">
        <f aca="false">Vendor_Invoices_AP!A569</f>
        <v>INV30568</v>
      </c>
      <c r="B572" s="16" t="str">
        <f aca="false">Vendor_Invoices_AP!C569</f>
        <v>V1020</v>
      </c>
      <c r="C572" s="16" t="str">
        <f aca="false">IFERROR(INDEX(Vendor_Master!$B$2:$B$41,MATCH(B572,Vendor_Master!$A$2:$A$41,0)),"Unknown Vendor")</f>
        <v>Lewis-Porter</v>
      </c>
      <c r="D572" s="17" t="n">
        <f aca="false">Vendor_Invoices_AP!D569</f>
        <v>45918</v>
      </c>
      <c r="E572" s="17" t="n">
        <f aca="false">Vendor_Invoices_AP!F569</f>
        <v>45948</v>
      </c>
      <c r="F572" s="18" t="n">
        <f aca="false">Vendor_Invoices_AP!E569</f>
        <v>1170.71</v>
      </c>
      <c r="G572" s="18" t="n">
        <f aca="false">SUMIFS(Payment_Log_AP!$E$2:$E$753,Payment_Log_AP!$B$2:$B$753,A572)</f>
        <v>1170.71</v>
      </c>
      <c r="H572" s="18" t="n">
        <f aca="false">F572-G572</f>
        <v>0</v>
      </c>
      <c r="I572" s="16" t="n">
        <f aca="false">IF(H572&lt;=0.01,0,MAX(Assumptions!$B$5-E572,0))</f>
        <v>0</v>
      </c>
      <c r="J572" s="16" t="str">
        <f aca="false">IF(H572&lt;=0.01,"Paid",IF(I572&lt;=30,"0-30",IF(I572&lt;=60,"31-60",IF(I572&lt;=90,"61-90","90+"))))</f>
        <v>Paid</v>
      </c>
      <c r="K572" s="16" t="str">
        <f aca="false">IF(H572&lt;=0.01,"Paid",IF(G572&gt;0,"Partially Paid","Unpaid"))</f>
        <v>Paid</v>
      </c>
    </row>
    <row r="573" customFormat="false" ht="15" hidden="false" customHeight="false" outlineLevel="0" collapsed="false">
      <c r="A573" s="16" t="str">
        <f aca="false">Vendor_Invoices_AP!A570</f>
        <v>INV30569</v>
      </c>
      <c r="B573" s="16" t="str">
        <f aca="false">Vendor_Invoices_AP!C570</f>
        <v>V1027</v>
      </c>
      <c r="C573" s="16" t="str">
        <f aca="false">IFERROR(INDEX(Vendor_Master!$B$2:$B$41,MATCH(B573,Vendor_Master!$A$2:$A$41,0)),"Unknown Vendor")</f>
        <v>Valencia, Smith and Le</v>
      </c>
      <c r="D573" s="17" t="n">
        <f aca="false">Vendor_Invoices_AP!D570</f>
        <v>45871</v>
      </c>
      <c r="E573" s="17" t="n">
        <f aca="false">Vendor_Invoices_AP!F570</f>
        <v>45916</v>
      </c>
      <c r="F573" s="18" t="n">
        <f aca="false">Vendor_Invoices_AP!E570</f>
        <v>4155.49</v>
      </c>
      <c r="G573" s="18" t="n">
        <f aca="false">SUMIFS(Payment_Log_AP!$E$2:$E$753,Payment_Log_AP!$B$2:$B$753,A573)</f>
        <v>4155.49</v>
      </c>
      <c r="H573" s="18" t="n">
        <f aca="false">F573-G573</f>
        <v>0</v>
      </c>
      <c r="I573" s="16" t="n">
        <f aca="false">IF(H573&lt;=0.01,0,MAX(Assumptions!$B$5-E573,0))</f>
        <v>0</v>
      </c>
      <c r="J573" s="16" t="str">
        <f aca="false">IF(H573&lt;=0.01,"Paid",IF(I573&lt;=30,"0-30",IF(I573&lt;=60,"31-60",IF(I573&lt;=90,"61-90","90+"))))</f>
        <v>Paid</v>
      </c>
      <c r="K573" s="16" t="str">
        <f aca="false">IF(H573&lt;=0.01,"Paid",IF(G573&gt;0,"Partially Paid","Unpaid"))</f>
        <v>Paid</v>
      </c>
    </row>
    <row r="574" customFormat="false" ht="15" hidden="false" customHeight="false" outlineLevel="0" collapsed="false">
      <c r="A574" s="16" t="str">
        <f aca="false">Vendor_Invoices_AP!A571</f>
        <v>INV30570</v>
      </c>
      <c r="B574" s="16" t="str">
        <f aca="false">Vendor_Invoices_AP!C571</f>
        <v>V1028</v>
      </c>
      <c r="C574" s="16" t="str">
        <f aca="false">IFERROR(INDEX(Vendor_Master!$B$2:$B$41,MATCH(B574,Vendor_Master!$A$2:$A$41,0)),"Unknown Vendor")</f>
        <v>Potter, Mack and Peterson</v>
      </c>
      <c r="D574" s="17" t="n">
        <f aca="false">Vendor_Invoices_AP!D571</f>
        <v>45986</v>
      </c>
      <c r="E574" s="17" t="n">
        <f aca="false">Vendor_Invoices_AP!F571</f>
        <v>46031</v>
      </c>
      <c r="F574" s="18" t="n">
        <f aca="false">Vendor_Invoices_AP!E571</f>
        <v>813.95</v>
      </c>
      <c r="G574" s="18" t="n">
        <f aca="false">SUMIFS(Payment_Log_AP!$E$2:$E$753,Payment_Log_AP!$B$2:$B$753,A574)</f>
        <v>813.95</v>
      </c>
      <c r="H574" s="18" t="n">
        <f aca="false">F574-G574</f>
        <v>0</v>
      </c>
      <c r="I574" s="16" t="n">
        <f aca="false">IF(H574&lt;=0.01,0,MAX(Assumptions!$B$5-E574,0))</f>
        <v>0</v>
      </c>
      <c r="J574" s="16" t="str">
        <f aca="false">IF(H574&lt;=0.01,"Paid",IF(I574&lt;=30,"0-30",IF(I574&lt;=60,"31-60",IF(I574&lt;=90,"61-90","90+"))))</f>
        <v>Paid</v>
      </c>
      <c r="K574" s="16" t="str">
        <f aca="false">IF(H574&lt;=0.01,"Paid",IF(G574&gt;0,"Partially Paid","Unpaid"))</f>
        <v>Paid</v>
      </c>
    </row>
    <row r="575" customFormat="false" ht="15" hidden="false" customHeight="false" outlineLevel="0" collapsed="false">
      <c r="A575" s="16" t="str">
        <f aca="false">Vendor_Invoices_AP!A572</f>
        <v>INV30571</v>
      </c>
      <c r="B575" s="16" t="str">
        <f aca="false">Vendor_Invoices_AP!C572</f>
        <v>V1021</v>
      </c>
      <c r="C575" s="16" t="str">
        <f aca="false">IFERROR(INDEX(Vendor_Master!$B$2:$B$41,MATCH(B575,Vendor_Master!$A$2:$A$41,0)),"Unknown Vendor")</f>
        <v>Ellis, Baker and Wright</v>
      </c>
      <c r="D575" s="17" t="n">
        <f aca="false">Vendor_Invoices_AP!D572</f>
        <v>46013</v>
      </c>
      <c r="E575" s="17" t="n">
        <f aca="false">Vendor_Invoices_AP!F572</f>
        <v>46043</v>
      </c>
      <c r="F575" s="18" t="n">
        <f aca="false">Vendor_Invoices_AP!E572</f>
        <v>219.09</v>
      </c>
      <c r="G575" s="18" t="n">
        <f aca="false">SUMIFS(Payment_Log_AP!$E$2:$E$753,Payment_Log_AP!$B$2:$B$753,A575)</f>
        <v>219.09</v>
      </c>
      <c r="H575" s="18" t="n">
        <f aca="false">F575-G575</f>
        <v>0</v>
      </c>
      <c r="I575" s="16" t="n">
        <f aca="false">IF(H575&lt;=0.01,0,MAX(Assumptions!$B$5-E575,0))</f>
        <v>0</v>
      </c>
      <c r="J575" s="16" t="str">
        <f aca="false">IF(H575&lt;=0.01,"Paid",IF(I575&lt;=30,"0-30",IF(I575&lt;=60,"31-60",IF(I575&lt;=90,"61-90","90+"))))</f>
        <v>Paid</v>
      </c>
      <c r="K575" s="16" t="str">
        <f aca="false">IF(H575&lt;=0.01,"Paid",IF(G575&gt;0,"Partially Paid","Unpaid"))</f>
        <v>Paid</v>
      </c>
    </row>
    <row r="576" customFormat="false" ht="15" hidden="false" customHeight="false" outlineLevel="0" collapsed="false">
      <c r="A576" s="16" t="str">
        <f aca="false">Vendor_Invoices_AP!A573</f>
        <v>INV30572</v>
      </c>
      <c r="B576" s="16" t="str">
        <f aca="false">Vendor_Invoices_AP!C573</f>
        <v>V1018</v>
      </c>
      <c r="C576" s="16" t="str">
        <f aca="false">IFERROR(INDEX(Vendor_Master!$B$2:$B$41,MATCH(B576,Vendor_Master!$A$2:$A$41,0)),"Unknown Vendor")</f>
        <v>Underwood LLC</v>
      </c>
      <c r="D576" s="17" t="n">
        <f aca="false">Vendor_Invoices_AP!D573</f>
        <v>45891</v>
      </c>
      <c r="E576" s="17" t="n">
        <f aca="false">Vendor_Invoices_AP!F573</f>
        <v>45921</v>
      </c>
      <c r="F576" s="18" t="n">
        <f aca="false">Vendor_Invoices_AP!E573</f>
        <v>313.99</v>
      </c>
      <c r="G576" s="18" t="n">
        <f aca="false">SUMIFS(Payment_Log_AP!$E$2:$E$753,Payment_Log_AP!$B$2:$B$753,A576)</f>
        <v>313.99</v>
      </c>
      <c r="H576" s="18" t="n">
        <f aca="false">F576-G576</f>
        <v>0</v>
      </c>
      <c r="I576" s="16" t="n">
        <f aca="false">IF(H576&lt;=0.01,0,MAX(Assumptions!$B$5-E576,0))</f>
        <v>0</v>
      </c>
      <c r="J576" s="16" t="str">
        <f aca="false">IF(H576&lt;=0.01,"Paid",IF(I576&lt;=30,"0-30",IF(I576&lt;=60,"31-60",IF(I576&lt;=90,"61-90","90+"))))</f>
        <v>Paid</v>
      </c>
      <c r="K576" s="16" t="str">
        <f aca="false">IF(H576&lt;=0.01,"Paid",IF(G576&gt;0,"Partially Paid","Unpaid"))</f>
        <v>Paid</v>
      </c>
    </row>
    <row r="577" customFormat="false" ht="15" hidden="false" customHeight="false" outlineLevel="0" collapsed="false">
      <c r="A577" s="16" t="str">
        <f aca="false">Vendor_Invoices_AP!A574</f>
        <v>INV30573</v>
      </c>
      <c r="B577" s="16" t="str">
        <f aca="false">Vendor_Invoices_AP!C574</f>
        <v>V1018</v>
      </c>
      <c r="C577" s="16" t="str">
        <f aca="false">IFERROR(INDEX(Vendor_Master!$B$2:$B$41,MATCH(B577,Vendor_Master!$A$2:$A$41,0)),"Unknown Vendor")</f>
        <v>Underwood LLC</v>
      </c>
      <c r="D577" s="17" t="n">
        <f aca="false">Vendor_Invoices_AP!D574</f>
        <v>45891</v>
      </c>
      <c r="E577" s="17" t="n">
        <f aca="false">Vendor_Invoices_AP!F574</f>
        <v>45921</v>
      </c>
      <c r="F577" s="18" t="n">
        <f aca="false">Vendor_Invoices_AP!E574</f>
        <v>313.99</v>
      </c>
      <c r="G577" s="18" t="n">
        <f aca="false">SUMIFS(Payment_Log_AP!$E$2:$E$753,Payment_Log_AP!$B$2:$B$753,A577)</f>
        <v>313.99</v>
      </c>
      <c r="H577" s="18" t="n">
        <f aca="false">F577-G577</f>
        <v>0</v>
      </c>
      <c r="I577" s="16" t="n">
        <f aca="false">IF(H577&lt;=0.01,0,MAX(Assumptions!$B$5-E577,0))</f>
        <v>0</v>
      </c>
      <c r="J577" s="16" t="str">
        <f aca="false">IF(H577&lt;=0.01,"Paid",IF(I577&lt;=30,"0-30",IF(I577&lt;=60,"31-60",IF(I577&lt;=90,"61-90","90+"))))</f>
        <v>Paid</v>
      </c>
      <c r="K577" s="16" t="str">
        <f aca="false">IF(H577&lt;=0.01,"Paid",IF(G577&gt;0,"Partially Paid","Unpaid"))</f>
        <v>Paid</v>
      </c>
    </row>
    <row r="578" customFormat="false" ht="15" hidden="false" customHeight="false" outlineLevel="0" collapsed="false">
      <c r="A578" s="16" t="str">
        <f aca="false">Vendor_Invoices_AP!A575</f>
        <v>INV30574</v>
      </c>
      <c r="B578" s="16" t="str">
        <f aca="false">Vendor_Invoices_AP!C575</f>
        <v>V1005</v>
      </c>
      <c r="C578" s="16" t="str">
        <f aca="false">IFERROR(INDEX(Vendor_Master!$B$2:$B$41,MATCH(B578,Vendor_Master!$A$2:$A$41,0)),"Unknown Vendor")</f>
        <v>Cole LLC</v>
      </c>
      <c r="D578" s="17" t="n">
        <f aca="false">Vendor_Invoices_AP!D575</f>
        <v>45817</v>
      </c>
      <c r="E578" s="17" t="n">
        <f aca="false">Vendor_Invoices_AP!F575</f>
        <v>45832</v>
      </c>
      <c r="F578" s="18" t="n">
        <f aca="false">Vendor_Invoices_AP!E575</f>
        <v>7086.46</v>
      </c>
      <c r="G578" s="18" t="n">
        <f aca="false">SUMIFS(Payment_Log_AP!$E$2:$E$753,Payment_Log_AP!$B$2:$B$753,A578)</f>
        <v>7086.46</v>
      </c>
      <c r="H578" s="18" t="n">
        <f aca="false">F578-G578</f>
        <v>0</v>
      </c>
      <c r="I578" s="16" t="n">
        <f aca="false">IF(H578&lt;=0.01,0,MAX(Assumptions!$B$5-E578,0))</f>
        <v>0</v>
      </c>
      <c r="J578" s="16" t="str">
        <f aca="false">IF(H578&lt;=0.01,"Paid",IF(I578&lt;=30,"0-30",IF(I578&lt;=60,"31-60",IF(I578&lt;=90,"61-90","90+"))))</f>
        <v>Paid</v>
      </c>
      <c r="K578" s="16" t="str">
        <f aca="false">IF(H578&lt;=0.01,"Paid",IF(G578&gt;0,"Partially Paid","Unpaid"))</f>
        <v>Paid</v>
      </c>
    </row>
    <row r="579" customFormat="false" ht="15" hidden="false" customHeight="false" outlineLevel="0" collapsed="false">
      <c r="A579" s="16" t="str">
        <f aca="false">Vendor_Invoices_AP!A576</f>
        <v>INV30575</v>
      </c>
      <c r="B579" s="16" t="str">
        <f aca="false">Vendor_Invoices_AP!C576</f>
        <v>V1021</v>
      </c>
      <c r="C579" s="16" t="str">
        <f aca="false">IFERROR(INDEX(Vendor_Master!$B$2:$B$41,MATCH(B579,Vendor_Master!$A$2:$A$41,0)),"Unknown Vendor")</f>
        <v>Ellis, Baker and Wright</v>
      </c>
      <c r="D579" s="17" t="n">
        <f aca="false">Vendor_Invoices_AP!D576</f>
        <v>46129</v>
      </c>
      <c r="E579" s="17" t="n">
        <f aca="false">Vendor_Invoices_AP!F576</f>
        <v>46159</v>
      </c>
      <c r="F579" s="18" t="n">
        <f aca="false">Vendor_Invoices_AP!E576</f>
        <v>5679.33</v>
      </c>
      <c r="G579" s="18" t="n">
        <f aca="false">SUMIFS(Payment_Log_AP!$E$2:$E$753,Payment_Log_AP!$B$2:$B$753,A579)</f>
        <v>0</v>
      </c>
      <c r="H579" s="18" t="n">
        <f aca="false">F579-G579</f>
        <v>5679.33</v>
      </c>
      <c r="I579" s="16" t="n">
        <f aca="false">IF(H579&lt;=0.01,0,MAX(Assumptions!$B$5-E579,0))</f>
        <v>75</v>
      </c>
      <c r="J579" s="16" t="str">
        <f aca="false">IF(H579&lt;=0.01,"Paid",IF(I579&lt;=30,"0-30",IF(I579&lt;=60,"31-60",IF(I579&lt;=90,"61-90","90+"))))</f>
        <v>61-90</v>
      </c>
      <c r="K579" s="16" t="str">
        <f aca="false">IF(H579&lt;=0.01,"Paid",IF(G579&gt;0,"Partially Paid","Unpaid"))</f>
        <v>Unpaid</v>
      </c>
    </row>
    <row r="580" customFormat="false" ht="15" hidden="false" customHeight="false" outlineLevel="0" collapsed="false">
      <c r="A580" s="16" t="str">
        <f aca="false">Vendor_Invoices_AP!A577</f>
        <v>INV30576</v>
      </c>
      <c r="B580" s="16" t="str">
        <f aca="false">Vendor_Invoices_AP!C577</f>
        <v>V1005</v>
      </c>
      <c r="C580" s="16" t="str">
        <f aca="false">IFERROR(INDEX(Vendor_Master!$B$2:$B$41,MATCH(B580,Vendor_Master!$A$2:$A$41,0)),"Unknown Vendor")</f>
        <v>Cole LLC</v>
      </c>
      <c r="D580" s="17" t="n">
        <f aca="false">Vendor_Invoices_AP!D577</f>
        <v>45787</v>
      </c>
      <c r="E580" s="17" t="n">
        <f aca="false">Vendor_Invoices_AP!F577</f>
        <v>45802</v>
      </c>
      <c r="F580" s="18" t="n">
        <f aca="false">Vendor_Invoices_AP!E577</f>
        <v>745.67</v>
      </c>
      <c r="G580" s="18" t="n">
        <f aca="false">SUMIFS(Payment_Log_AP!$E$2:$E$753,Payment_Log_AP!$B$2:$B$753,A580)</f>
        <v>745.67</v>
      </c>
      <c r="H580" s="18" t="n">
        <f aca="false">F580-G580</f>
        <v>0</v>
      </c>
      <c r="I580" s="16" t="n">
        <f aca="false">IF(H580&lt;=0.01,0,MAX(Assumptions!$B$5-E580,0))</f>
        <v>0</v>
      </c>
      <c r="J580" s="16" t="str">
        <f aca="false">IF(H580&lt;=0.01,"Paid",IF(I580&lt;=30,"0-30",IF(I580&lt;=60,"31-60",IF(I580&lt;=90,"61-90","90+"))))</f>
        <v>Paid</v>
      </c>
      <c r="K580" s="16" t="str">
        <f aca="false">IF(H580&lt;=0.01,"Paid",IF(G580&gt;0,"Partially Paid","Unpaid"))</f>
        <v>Paid</v>
      </c>
    </row>
    <row r="581" customFormat="false" ht="15" hidden="false" customHeight="false" outlineLevel="0" collapsed="false">
      <c r="A581" s="16" t="str">
        <f aca="false">Vendor_Invoices_AP!A578</f>
        <v>INV30577</v>
      </c>
      <c r="B581" s="16" t="str">
        <f aca="false">Vendor_Invoices_AP!C578</f>
        <v>V1005</v>
      </c>
      <c r="C581" s="16" t="str">
        <f aca="false">IFERROR(INDEX(Vendor_Master!$B$2:$B$41,MATCH(B581,Vendor_Master!$A$2:$A$41,0)),"Unknown Vendor")</f>
        <v>Cole LLC</v>
      </c>
      <c r="D581" s="17" t="n">
        <f aca="false">Vendor_Invoices_AP!D578</f>
        <v>45787</v>
      </c>
      <c r="E581" s="17" t="n">
        <f aca="false">Vendor_Invoices_AP!F578</f>
        <v>45802</v>
      </c>
      <c r="F581" s="18" t="n">
        <f aca="false">Vendor_Invoices_AP!E578</f>
        <v>745.67</v>
      </c>
      <c r="G581" s="18" t="n">
        <f aca="false">SUMIFS(Payment_Log_AP!$E$2:$E$753,Payment_Log_AP!$B$2:$B$753,A581)</f>
        <v>745.67</v>
      </c>
      <c r="H581" s="18" t="n">
        <f aca="false">F581-G581</f>
        <v>0</v>
      </c>
      <c r="I581" s="16" t="n">
        <f aca="false">IF(H581&lt;=0.01,0,MAX(Assumptions!$B$5-E581,0))</f>
        <v>0</v>
      </c>
      <c r="J581" s="16" t="str">
        <f aca="false">IF(H581&lt;=0.01,"Paid",IF(I581&lt;=30,"0-30",IF(I581&lt;=60,"31-60",IF(I581&lt;=90,"61-90","90+"))))</f>
        <v>Paid</v>
      </c>
      <c r="K581" s="16" t="str">
        <f aca="false">IF(H581&lt;=0.01,"Paid",IF(G581&gt;0,"Partially Paid","Unpaid"))</f>
        <v>Paid</v>
      </c>
    </row>
    <row r="582" customFormat="false" ht="15" hidden="false" customHeight="false" outlineLevel="0" collapsed="false">
      <c r="A582" s="16" t="str">
        <f aca="false">Vendor_Invoices_AP!A579</f>
        <v>INV30578</v>
      </c>
      <c r="B582" s="16" t="str">
        <f aca="false">Vendor_Invoices_AP!C579</f>
        <v>V1038</v>
      </c>
      <c r="C582" s="16" t="str">
        <f aca="false">IFERROR(INDEX(Vendor_Master!$B$2:$B$41,MATCH(B582,Vendor_Master!$A$2:$A$41,0)),"Unknown Vendor")</f>
        <v>Rose-Obrien</v>
      </c>
      <c r="D582" s="17" t="n">
        <f aca="false">Vendor_Invoices_AP!D579</f>
        <v>45888</v>
      </c>
      <c r="E582" s="17" t="n">
        <f aca="false">Vendor_Invoices_AP!F579</f>
        <v>45918</v>
      </c>
      <c r="F582" s="18" t="n">
        <f aca="false">Vendor_Invoices_AP!E579</f>
        <v>2119.2</v>
      </c>
      <c r="G582" s="18" t="n">
        <f aca="false">SUMIFS(Payment_Log_AP!$E$2:$E$753,Payment_Log_AP!$B$2:$B$753,A582)</f>
        <v>2119.2</v>
      </c>
      <c r="H582" s="18" t="n">
        <f aca="false">F582-G582</f>
        <v>0</v>
      </c>
      <c r="I582" s="16" t="n">
        <f aca="false">IF(H582&lt;=0.01,0,MAX(Assumptions!$B$5-E582,0))</f>
        <v>0</v>
      </c>
      <c r="J582" s="16" t="str">
        <f aca="false">IF(H582&lt;=0.01,"Paid",IF(I582&lt;=30,"0-30",IF(I582&lt;=60,"31-60",IF(I582&lt;=90,"61-90","90+"))))</f>
        <v>Paid</v>
      </c>
      <c r="K582" s="16" t="str">
        <f aca="false">IF(H582&lt;=0.01,"Paid",IF(G582&gt;0,"Partially Paid","Unpaid"))</f>
        <v>Paid</v>
      </c>
    </row>
    <row r="583" customFormat="false" ht="15" hidden="false" customHeight="false" outlineLevel="0" collapsed="false">
      <c r="A583" s="16" t="str">
        <f aca="false">Vendor_Invoices_AP!A580</f>
        <v>INV30579</v>
      </c>
      <c r="B583" s="16" t="str">
        <f aca="false">Vendor_Invoices_AP!C580</f>
        <v>V1015</v>
      </c>
      <c r="C583" s="16" t="str">
        <f aca="false">IFERROR(INDEX(Vendor_Master!$B$2:$B$41,MATCH(B583,Vendor_Master!$A$2:$A$41,0)),"Unknown Vendor")</f>
        <v>Zuniga, Wong and Lynch</v>
      </c>
      <c r="D583" s="17" t="n">
        <f aca="false">Vendor_Invoices_AP!D580</f>
        <v>45926</v>
      </c>
      <c r="E583" s="17" t="n">
        <f aca="false">Vendor_Invoices_AP!F580</f>
        <v>45956</v>
      </c>
      <c r="F583" s="18" t="n">
        <f aca="false">Vendor_Invoices_AP!E580</f>
        <v>202.78</v>
      </c>
      <c r="G583" s="18" t="n">
        <f aca="false">SUMIFS(Payment_Log_AP!$E$2:$E$753,Payment_Log_AP!$B$2:$B$753,A583)</f>
        <v>202.78</v>
      </c>
      <c r="H583" s="18" t="n">
        <f aca="false">F583-G583</f>
        <v>0</v>
      </c>
      <c r="I583" s="16" t="n">
        <f aca="false">IF(H583&lt;=0.01,0,MAX(Assumptions!$B$5-E583,0))</f>
        <v>0</v>
      </c>
      <c r="J583" s="16" t="str">
        <f aca="false">IF(H583&lt;=0.01,"Paid",IF(I583&lt;=30,"0-30",IF(I583&lt;=60,"31-60",IF(I583&lt;=90,"61-90","90+"))))</f>
        <v>Paid</v>
      </c>
      <c r="K583" s="16" t="str">
        <f aca="false">IF(H583&lt;=0.01,"Paid",IF(G583&gt;0,"Partially Paid","Unpaid"))</f>
        <v>Paid</v>
      </c>
    </row>
    <row r="584" customFormat="false" ht="15" hidden="false" customHeight="false" outlineLevel="0" collapsed="false">
      <c r="A584" s="16" t="str">
        <f aca="false">Vendor_Invoices_AP!A581</f>
        <v>INV30580</v>
      </c>
      <c r="B584" s="16" t="str">
        <f aca="false">Vendor_Invoices_AP!C581</f>
        <v>V1023</v>
      </c>
      <c r="C584" s="16" t="str">
        <f aca="false">IFERROR(INDEX(Vendor_Master!$B$2:$B$41,MATCH(B584,Vendor_Master!$A$2:$A$41,0)),"Unknown Vendor")</f>
        <v>Robinson-Bright</v>
      </c>
      <c r="D584" s="17" t="n">
        <f aca="false">Vendor_Invoices_AP!D581</f>
        <v>45801</v>
      </c>
      <c r="E584" s="17" t="n">
        <f aca="false">Vendor_Invoices_AP!F581</f>
        <v>45831</v>
      </c>
      <c r="F584" s="18" t="n">
        <f aca="false">Vendor_Invoices_AP!E581</f>
        <v>1869.57</v>
      </c>
      <c r="G584" s="18" t="n">
        <f aca="false">SUMIFS(Payment_Log_AP!$E$2:$E$753,Payment_Log_AP!$B$2:$B$753,A584)</f>
        <v>1869.57</v>
      </c>
      <c r="H584" s="18" t="n">
        <f aca="false">F584-G584</f>
        <v>0</v>
      </c>
      <c r="I584" s="16" t="n">
        <f aca="false">IF(H584&lt;=0.01,0,MAX(Assumptions!$B$5-E584,0))</f>
        <v>0</v>
      </c>
      <c r="J584" s="16" t="str">
        <f aca="false">IF(H584&lt;=0.01,"Paid",IF(I584&lt;=30,"0-30",IF(I584&lt;=60,"31-60",IF(I584&lt;=90,"61-90","90+"))))</f>
        <v>Paid</v>
      </c>
      <c r="K584" s="16" t="str">
        <f aca="false">IF(H584&lt;=0.01,"Paid",IF(G584&gt;0,"Partially Paid","Unpaid"))</f>
        <v>Paid</v>
      </c>
    </row>
    <row r="585" customFormat="false" ht="15" hidden="false" customHeight="false" outlineLevel="0" collapsed="false">
      <c r="A585" s="16" t="str">
        <f aca="false">Vendor_Invoices_AP!A582</f>
        <v>INV30581</v>
      </c>
      <c r="B585" s="16" t="str">
        <f aca="false">Vendor_Invoices_AP!C582</f>
        <v>V1012</v>
      </c>
      <c r="C585" s="16" t="str">
        <f aca="false">IFERROR(INDEX(Vendor_Master!$B$2:$B$41,MATCH(B585,Vendor_Master!$A$2:$A$41,0)),"Unknown Vendor")</f>
        <v>Stanley LLC</v>
      </c>
      <c r="D585" s="17" t="n">
        <f aca="false">Vendor_Invoices_AP!D582</f>
        <v>45989</v>
      </c>
      <c r="E585" s="17" t="n">
        <f aca="false">Vendor_Invoices_AP!F582</f>
        <v>46049</v>
      </c>
      <c r="F585" s="18" t="n">
        <f aca="false">Vendor_Invoices_AP!E582</f>
        <v>1002.81</v>
      </c>
      <c r="G585" s="18" t="n">
        <f aca="false">SUMIFS(Payment_Log_AP!$E$2:$E$753,Payment_Log_AP!$B$2:$B$753,A585)</f>
        <v>1002.81</v>
      </c>
      <c r="H585" s="18" t="n">
        <f aca="false">F585-G585</f>
        <v>0</v>
      </c>
      <c r="I585" s="16" t="n">
        <f aca="false">IF(H585&lt;=0.01,0,MAX(Assumptions!$B$5-E585,0))</f>
        <v>0</v>
      </c>
      <c r="J585" s="16" t="str">
        <f aca="false">IF(H585&lt;=0.01,"Paid",IF(I585&lt;=30,"0-30",IF(I585&lt;=60,"31-60",IF(I585&lt;=90,"61-90","90+"))))</f>
        <v>Paid</v>
      </c>
      <c r="K585" s="16" t="str">
        <f aca="false">IF(H585&lt;=0.01,"Paid",IF(G585&gt;0,"Partially Paid","Unpaid"))</f>
        <v>Paid</v>
      </c>
    </row>
    <row r="586" customFormat="false" ht="15" hidden="false" customHeight="false" outlineLevel="0" collapsed="false">
      <c r="A586" s="16" t="str">
        <f aca="false">Vendor_Invoices_AP!A583</f>
        <v>INV30582</v>
      </c>
      <c r="B586" s="16" t="str">
        <f aca="false">Vendor_Invoices_AP!C583</f>
        <v>V1019</v>
      </c>
      <c r="C586" s="16" t="str">
        <f aca="false">IFERROR(INDEX(Vendor_Master!$B$2:$B$41,MATCH(B586,Vendor_Master!$A$2:$A$41,0)),"Unknown Vendor")</f>
        <v>Clark PLC</v>
      </c>
      <c r="D586" s="17" t="n">
        <f aca="false">Vendor_Invoices_AP!D583</f>
        <v>45976</v>
      </c>
      <c r="E586" s="17" t="n">
        <f aca="false">Vendor_Invoices_AP!F583</f>
        <v>46021</v>
      </c>
      <c r="F586" s="18" t="n">
        <f aca="false">Vendor_Invoices_AP!E583</f>
        <v>829.86</v>
      </c>
      <c r="G586" s="18" t="n">
        <f aca="false">SUMIFS(Payment_Log_AP!$E$2:$E$753,Payment_Log_AP!$B$2:$B$753,A586)</f>
        <v>829.86</v>
      </c>
      <c r="H586" s="18" t="n">
        <f aca="false">F586-G586</f>
        <v>0</v>
      </c>
      <c r="I586" s="16" t="n">
        <f aca="false">IF(H586&lt;=0.01,0,MAX(Assumptions!$B$5-E586,0))</f>
        <v>0</v>
      </c>
      <c r="J586" s="16" t="str">
        <f aca="false">IF(H586&lt;=0.01,"Paid",IF(I586&lt;=30,"0-30",IF(I586&lt;=60,"31-60",IF(I586&lt;=90,"61-90","90+"))))</f>
        <v>Paid</v>
      </c>
      <c r="K586" s="16" t="str">
        <f aca="false">IF(H586&lt;=0.01,"Paid",IF(G586&gt;0,"Partially Paid","Unpaid"))</f>
        <v>Paid</v>
      </c>
    </row>
    <row r="587" customFormat="false" ht="15" hidden="false" customHeight="false" outlineLevel="0" collapsed="false">
      <c r="A587" s="16" t="str">
        <f aca="false">Vendor_Invoices_AP!A584</f>
        <v>INV30583</v>
      </c>
      <c r="B587" s="16" t="str">
        <f aca="false">Vendor_Invoices_AP!C584</f>
        <v>V1038</v>
      </c>
      <c r="C587" s="16" t="str">
        <f aca="false">IFERROR(INDEX(Vendor_Master!$B$2:$B$41,MATCH(B587,Vendor_Master!$A$2:$A$41,0)),"Unknown Vendor")</f>
        <v>Rose-Obrien</v>
      </c>
      <c r="D587" s="17" t="n">
        <f aca="false">Vendor_Invoices_AP!D584</f>
        <v>46215</v>
      </c>
      <c r="E587" s="17" t="n">
        <f aca="false">Vendor_Invoices_AP!F584</f>
        <v>46245</v>
      </c>
      <c r="F587" s="18" t="n">
        <f aca="false">Vendor_Invoices_AP!E584</f>
        <v>1964.42</v>
      </c>
      <c r="G587" s="18" t="n">
        <f aca="false">SUMIFS(Payment_Log_AP!$E$2:$E$753,Payment_Log_AP!$B$2:$B$753,A587)</f>
        <v>0</v>
      </c>
      <c r="H587" s="18" t="n">
        <f aca="false">F587-G587</f>
        <v>1964.42</v>
      </c>
      <c r="I587" s="16" t="n">
        <f aca="false">IF(H587&lt;=0.01,0,MAX(Assumptions!$B$5-E587,0))</f>
        <v>0</v>
      </c>
      <c r="J587" s="16" t="str">
        <f aca="false">IF(H587&lt;=0.01,"Paid",IF(I587&lt;=30,"0-30",IF(I587&lt;=60,"31-60",IF(I587&lt;=90,"61-90","90+"))))</f>
        <v>0-30</v>
      </c>
      <c r="K587" s="16" t="str">
        <f aca="false">IF(H587&lt;=0.01,"Paid",IF(G587&gt;0,"Partially Paid","Unpaid"))</f>
        <v>Unpaid</v>
      </c>
    </row>
    <row r="588" customFormat="false" ht="15" hidden="false" customHeight="false" outlineLevel="0" collapsed="false">
      <c r="A588" s="16" t="str">
        <f aca="false">Vendor_Invoices_AP!A585</f>
        <v>INV30584</v>
      </c>
      <c r="B588" s="16" t="str">
        <f aca="false">Vendor_Invoices_AP!C585</f>
        <v>V1028</v>
      </c>
      <c r="C588" s="16" t="str">
        <f aca="false">IFERROR(INDEX(Vendor_Master!$B$2:$B$41,MATCH(B588,Vendor_Master!$A$2:$A$41,0)),"Unknown Vendor")</f>
        <v>Potter, Mack and Peterson</v>
      </c>
      <c r="D588" s="17" t="n">
        <f aca="false">Vendor_Invoices_AP!D585</f>
        <v>45834</v>
      </c>
      <c r="E588" s="17" t="n">
        <f aca="false">Vendor_Invoices_AP!F585</f>
        <v>45879</v>
      </c>
      <c r="F588" s="18" t="n">
        <f aca="false">Vendor_Invoices_AP!E585</f>
        <v>3096.07</v>
      </c>
      <c r="G588" s="18" t="n">
        <f aca="false">SUMIFS(Payment_Log_AP!$E$2:$E$753,Payment_Log_AP!$B$2:$B$753,A588)</f>
        <v>3096.07</v>
      </c>
      <c r="H588" s="18" t="n">
        <f aca="false">F588-G588</f>
        <v>0</v>
      </c>
      <c r="I588" s="16" t="n">
        <f aca="false">IF(H588&lt;=0.01,0,MAX(Assumptions!$B$5-E588,0))</f>
        <v>0</v>
      </c>
      <c r="J588" s="16" t="str">
        <f aca="false">IF(H588&lt;=0.01,"Paid",IF(I588&lt;=30,"0-30",IF(I588&lt;=60,"31-60",IF(I588&lt;=90,"61-90","90+"))))</f>
        <v>Paid</v>
      </c>
      <c r="K588" s="16" t="str">
        <f aca="false">IF(H588&lt;=0.01,"Paid",IF(G588&gt;0,"Partially Paid","Unpaid"))</f>
        <v>Paid</v>
      </c>
    </row>
    <row r="589" customFormat="false" ht="15" hidden="false" customHeight="false" outlineLevel="0" collapsed="false">
      <c r="A589" s="16" t="str">
        <f aca="false">Vendor_Invoices_AP!A586</f>
        <v>INV30585</v>
      </c>
      <c r="B589" s="16" t="str">
        <f aca="false">Vendor_Invoices_AP!C586</f>
        <v>V1021</v>
      </c>
      <c r="C589" s="16" t="str">
        <f aca="false">IFERROR(INDEX(Vendor_Master!$B$2:$B$41,MATCH(B589,Vendor_Master!$A$2:$A$41,0)),"Unknown Vendor")</f>
        <v>Ellis, Baker and Wright</v>
      </c>
      <c r="D589" s="17" t="n">
        <f aca="false">Vendor_Invoices_AP!D586</f>
        <v>46205</v>
      </c>
      <c r="E589" s="17" t="n">
        <f aca="false">Vendor_Invoices_AP!F586</f>
        <v>46235</v>
      </c>
      <c r="F589" s="18" t="n">
        <f aca="false">Vendor_Invoices_AP!E586</f>
        <v>1700.5</v>
      </c>
      <c r="G589" s="18" t="n">
        <f aca="false">SUMIFS(Payment_Log_AP!$E$2:$E$753,Payment_Log_AP!$B$2:$B$753,A589)</f>
        <v>0</v>
      </c>
      <c r="H589" s="18" t="n">
        <f aca="false">F589-G589</f>
        <v>1700.5</v>
      </c>
      <c r="I589" s="16" t="n">
        <f aca="false">IF(H589&lt;=0.01,0,MAX(Assumptions!$B$5-E589,0))</f>
        <v>0</v>
      </c>
      <c r="J589" s="16" t="str">
        <f aca="false">IF(H589&lt;=0.01,"Paid",IF(I589&lt;=30,"0-30",IF(I589&lt;=60,"31-60",IF(I589&lt;=90,"61-90","90+"))))</f>
        <v>0-30</v>
      </c>
      <c r="K589" s="16" t="str">
        <f aca="false">IF(H589&lt;=0.01,"Paid",IF(G589&gt;0,"Partially Paid","Unpaid"))</f>
        <v>Unpaid</v>
      </c>
    </row>
    <row r="590" customFormat="false" ht="15" hidden="false" customHeight="false" outlineLevel="0" collapsed="false">
      <c r="A590" s="16" t="str">
        <f aca="false">Vendor_Invoices_AP!A587</f>
        <v>INV30586</v>
      </c>
      <c r="B590" s="16" t="str">
        <f aca="false">Vendor_Invoices_AP!C587</f>
        <v>V1003</v>
      </c>
      <c r="C590" s="16" t="str">
        <f aca="false">IFERROR(INDEX(Vendor_Master!$B$2:$B$41,MATCH(B590,Vendor_Master!$A$2:$A$41,0)),"Unknown Vendor")</f>
        <v>Johnson and Sons</v>
      </c>
      <c r="D590" s="17" t="n">
        <f aca="false">Vendor_Invoices_AP!D587</f>
        <v>46028</v>
      </c>
      <c r="E590" s="17" t="n">
        <f aca="false">Vendor_Invoices_AP!F587</f>
        <v>46043</v>
      </c>
      <c r="F590" s="18" t="n">
        <f aca="false">Vendor_Invoices_AP!E587</f>
        <v>1462.27</v>
      </c>
      <c r="G590" s="18" t="n">
        <f aca="false">SUMIFS(Payment_Log_AP!$E$2:$E$753,Payment_Log_AP!$B$2:$B$753,A590)</f>
        <v>1462.27</v>
      </c>
      <c r="H590" s="18" t="n">
        <f aca="false">F590-G590</f>
        <v>0</v>
      </c>
      <c r="I590" s="16" t="n">
        <f aca="false">IF(H590&lt;=0.01,0,MAX(Assumptions!$B$5-E590,0))</f>
        <v>0</v>
      </c>
      <c r="J590" s="16" t="str">
        <f aca="false">IF(H590&lt;=0.01,"Paid",IF(I590&lt;=30,"0-30",IF(I590&lt;=60,"31-60",IF(I590&lt;=90,"61-90","90+"))))</f>
        <v>Paid</v>
      </c>
      <c r="K590" s="16" t="str">
        <f aca="false">IF(H590&lt;=0.01,"Paid",IF(G590&gt;0,"Partially Paid","Unpaid"))</f>
        <v>Paid</v>
      </c>
    </row>
    <row r="591" customFormat="false" ht="15" hidden="false" customHeight="false" outlineLevel="0" collapsed="false">
      <c r="A591" s="16" t="str">
        <f aca="false">Vendor_Invoices_AP!A588</f>
        <v>INV30587</v>
      </c>
      <c r="B591" s="16" t="str">
        <f aca="false">Vendor_Invoices_AP!C588</f>
        <v>V1023</v>
      </c>
      <c r="C591" s="16" t="str">
        <f aca="false">IFERROR(INDEX(Vendor_Master!$B$2:$B$41,MATCH(B591,Vendor_Master!$A$2:$A$41,0)),"Unknown Vendor")</f>
        <v>Robinson-Bright</v>
      </c>
      <c r="D591" s="17" t="n">
        <f aca="false">Vendor_Invoices_AP!D588</f>
        <v>45817</v>
      </c>
      <c r="E591" s="17" t="n">
        <f aca="false">Vendor_Invoices_AP!F588</f>
        <v>45847</v>
      </c>
      <c r="F591" s="18" t="n">
        <f aca="false">Vendor_Invoices_AP!E588</f>
        <v>1476.77</v>
      </c>
      <c r="G591" s="18" t="n">
        <f aca="false">SUMIFS(Payment_Log_AP!$E$2:$E$753,Payment_Log_AP!$B$2:$B$753,A591)</f>
        <v>1476.77</v>
      </c>
      <c r="H591" s="18" t="n">
        <f aca="false">F591-G591</f>
        <v>0</v>
      </c>
      <c r="I591" s="16" t="n">
        <f aca="false">IF(H591&lt;=0.01,0,MAX(Assumptions!$B$5-E591,0))</f>
        <v>0</v>
      </c>
      <c r="J591" s="16" t="str">
        <f aca="false">IF(H591&lt;=0.01,"Paid",IF(I591&lt;=30,"0-30",IF(I591&lt;=60,"31-60",IF(I591&lt;=90,"61-90","90+"))))</f>
        <v>Paid</v>
      </c>
      <c r="K591" s="16" t="str">
        <f aca="false">IF(H591&lt;=0.01,"Paid",IF(G591&gt;0,"Partially Paid","Unpaid"))</f>
        <v>Paid</v>
      </c>
    </row>
    <row r="592" customFormat="false" ht="15" hidden="false" customHeight="false" outlineLevel="0" collapsed="false">
      <c r="A592" s="16" t="str">
        <f aca="false">Vendor_Invoices_AP!A589</f>
        <v>INV30588</v>
      </c>
      <c r="B592" s="16" t="str">
        <f aca="false">Vendor_Invoices_AP!C589</f>
        <v>V1036</v>
      </c>
      <c r="C592" s="16" t="str">
        <f aca="false">IFERROR(INDEX(Vendor_Master!$B$2:$B$41,MATCH(B592,Vendor_Master!$A$2:$A$41,0)),"Unknown Vendor")</f>
        <v>Dennis Inc</v>
      </c>
      <c r="D592" s="17" t="n">
        <f aca="false">Vendor_Invoices_AP!D589</f>
        <v>45978</v>
      </c>
      <c r="E592" s="17" t="n">
        <f aca="false">Vendor_Invoices_AP!F589</f>
        <v>46023</v>
      </c>
      <c r="F592" s="18" t="n">
        <f aca="false">Vendor_Invoices_AP!E589</f>
        <v>3152.95</v>
      </c>
      <c r="G592" s="18" t="n">
        <f aca="false">SUMIFS(Payment_Log_AP!$E$2:$E$753,Payment_Log_AP!$B$2:$B$753,A592)</f>
        <v>3152.95</v>
      </c>
      <c r="H592" s="18" t="n">
        <f aca="false">F592-G592</f>
        <v>0</v>
      </c>
      <c r="I592" s="16" t="n">
        <f aca="false">IF(H592&lt;=0.01,0,MAX(Assumptions!$B$5-E592,0))</f>
        <v>0</v>
      </c>
      <c r="J592" s="16" t="str">
        <f aca="false">IF(H592&lt;=0.01,"Paid",IF(I592&lt;=30,"0-30",IF(I592&lt;=60,"31-60",IF(I592&lt;=90,"61-90","90+"))))</f>
        <v>Paid</v>
      </c>
      <c r="K592" s="16" t="str">
        <f aca="false">IF(H592&lt;=0.01,"Paid",IF(G592&gt;0,"Partially Paid","Unpaid"))</f>
        <v>Paid</v>
      </c>
    </row>
    <row r="593" customFormat="false" ht="15" hidden="false" customHeight="false" outlineLevel="0" collapsed="false">
      <c r="A593" s="16" t="str">
        <f aca="false">Vendor_Invoices_AP!A590</f>
        <v>INV30589</v>
      </c>
      <c r="B593" s="16" t="str">
        <f aca="false">Vendor_Invoices_AP!C590</f>
        <v>V1003</v>
      </c>
      <c r="C593" s="16" t="str">
        <f aca="false">IFERROR(INDEX(Vendor_Master!$B$2:$B$41,MATCH(B593,Vendor_Master!$A$2:$A$41,0)),"Unknown Vendor")</f>
        <v>Johnson and Sons</v>
      </c>
      <c r="D593" s="17" t="n">
        <f aca="false">Vendor_Invoices_AP!D590</f>
        <v>46041</v>
      </c>
      <c r="E593" s="17" t="n">
        <f aca="false">Vendor_Invoices_AP!F590</f>
        <v>46056</v>
      </c>
      <c r="F593" s="18" t="n">
        <f aca="false">Vendor_Invoices_AP!E590</f>
        <v>3405.2</v>
      </c>
      <c r="G593" s="18" t="n">
        <f aca="false">SUMIFS(Payment_Log_AP!$E$2:$E$753,Payment_Log_AP!$B$2:$B$753,A593)</f>
        <v>3405.2</v>
      </c>
      <c r="H593" s="18" t="n">
        <f aca="false">F593-G593</f>
        <v>0</v>
      </c>
      <c r="I593" s="16" t="n">
        <f aca="false">IF(H593&lt;=0.01,0,MAX(Assumptions!$B$5-E593,0))</f>
        <v>0</v>
      </c>
      <c r="J593" s="16" t="str">
        <f aca="false">IF(H593&lt;=0.01,"Paid",IF(I593&lt;=30,"0-30",IF(I593&lt;=60,"31-60",IF(I593&lt;=90,"61-90","90+"))))</f>
        <v>Paid</v>
      </c>
      <c r="K593" s="16" t="str">
        <f aca="false">IF(H593&lt;=0.01,"Paid",IF(G593&gt;0,"Partially Paid","Unpaid"))</f>
        <v>Paid</v>
      </c>
    </row>
    <row r="594" customFormat="false" ht="15" hidden="false" customHeight="false" outlineLevel="0" collapsed="false">
      <c r="A594" s="16" t="str">
        <f aca="false">Vendor_Invoices_AP!A591</f>
        <v>INV30590</v>
      </c>
      <c r="B594" s="16" t="str">
        <f aca="false">Vendor_Invoices_AP!C591</f>
        <v>V1013</v>
      </c>
      <c r="C594" s="16" t="str">
        <f aca="false">IFERROR(INDEX(Vendor_Master!$B$2:$B$41,MATCH(B594,Vendor_Master!$A$2:$A$41,0)),"Unknown Vendor")</f>
        <v>Delacruz Group</v>
      </c>
      <c r="D594" s="17" t="n">
        <f aca="false">Vendor_Invoices_AP!D591</f>
        <v>46071</v>
      </c>
      <c r="E594" s="17" t="n">
        <f aca="false">Vendor_Invoices_AP!F591</f>
        <v>46086</v>
      </c>
      <c r="F594" s="18" t="n">
        <f aca="false">Vendor_Invoices_AP!E591</f>
        <v>290.16</v>
      </c>
      <c r="G594" s="18" t="n">
        <f aca="false">SUMIFS(Payment_Log_AP!$E$2:$E$753,Payment_Log_AP!$B$2:$B$753,A594)</f>
        <v>290.16</v>
      </c>
      <c r="H594" s="18" t="n">
        <f aca="false">F594-G594</f>
        <v>0</v>
      </c>
      <c r="I594" s="16" t="n">
        <f aca="false">IF(H594&lt;=0.01,0,MAX(Assumptions!$B$5-E594,0))</f>
        <v>0</v>
      </c>
      <c r="J594" s="16" t="str">
        <f aca="false">IF(H594&lt;=0.01,"Paid",IF(I594&lt;=30,"0-30",IF(I594&lt;=60,"31-60",IF(I594&lt;=90,"61-90","90+"))))</f>
        <v>Paid</v>
      </c>
      <c r="K594" s="16" t="str">
        <f aca="false">IF(H594&lt;=0.01,"Paid",IF(G594&gt;0,"Partially Paid","Unpaid"))</f>
        <v>Paid</v>
      </c>
    </row>
    <row r="595" customFormat="false" ht="15" hidden="false" customHeight="false" outlineLevel="0" collapsed="false">
      <c r="A595" s="16" t="str">
        <f aca="false">Vendor_Invoices_AP!A592</f>
        <v>INV30591</v>
      </c>
      <c r="B595" s="16" t="str">
        <f aca="false">Vendor_Invoices_AP!C592</f>
        <v>V1030</v>
      </c>
      <c r="C595" s="16" t="str">
        <f aca="false">IFERROR(INDEX(Vendor_Master!$B$2:$B$41,MATCH(B595,Vendor_Master!$A$2:$A$41,0)),"Unknown Vendor")</f>
        <v>Stanton-Gill</v>
      </c>
      <c r="D595" s="17" t="n">
        <f aca="false">Vendor_Invoices_AP!D592</f>
        <v>45701</v>
      </c>
      <c r="E595" s="17" t="n">
        <f aca="false">Vendor_Invoices_AP!F592</f>
        <v>45761</v>
      </c>
      <c r="F595" s="18" t="n">
        <f aca="false">Vendor_Invoices_AP!E592</f>
        <v>3177.82</v>
      </c>
      <c r="G595" s="18" t="n">
        <f aca="false">SUMIFS(Payment_Log_AP!$E$2:$E$753,Payment_Log_AP!$B$2:$B$753,A595)</f>
        <v>3177.82</v>
      </c>
      <c r="H595" s="18" t="n">
        <f aca="false">F595-G595</f>
        <v>0</v>
      </c>
      <c r="I595" s="16" t="n">
        <f aca="false">IF(H595&lt;=0.01,0,MAX(Assumptions!$B$5-E595,0))</f>
        <v>0</v>
      </c>
      <c r="J595" s="16" t="str">
        <f aca="false">IF(H595&lt;=0.01,"Paid",IF(I595&lt;=30,"0-30",IF(I595&lt;=60,"31-60",IF(I595&lt;=90,"61-90","90+"))))</f>
        <v>Paid</v>
      </c>
      <c r="K595" s="16" t="str">
        <f aca="false">IF(H595&lt;=0.01,"Paid",IF(G595&gt;0,"Partially Paid","Unpaid"))</f>
        <v>Paid</v>
      </c>
    </row>
    <row r="596" customFormat="false" ht="15" hidden="false" customHeight="false" outlineLevel="0" collapsed="false">
      <c r="A596" s="16" t="str">
        <f aca="false">Vendor_Invoices_AP!A593</f>
        <v>INV30592</v>
      </c>
      <c r="B596" s="16" t="str">
        <f aca="false">Vendor_Invoices_AP!C593</f>
        <v>V1012</v>
      </c>
      <c r="C596" s="16" t="str">
        <f aca="false">IFERROR(INDEX(Vendor_Master!$B$2:$B$41,MATCH(B596,Vendor_Master!$A$2:$A$41,0)),"Unknown Vendor")</f>
        <v>Stanley LLC</v>
      </c>
      <c r="D596" s="17" t="n">
        <f aca="false">Vendor_Invoices_AP!D593</f>
        <v>46003</v>
      </c>
      <c r="E596" s="17" t="n">
        <f aca="false">Vendor_Invoices_AP!F593</f>
        <v>46063</v>
      </c>
      <c r="F596" s="18" t="n">
        <f aca="false">Vendor_Invoices_AP!E593</f>
        <v>723.11</v>
      </c>
      <c r="G596" s="18" t="n">
        <f aca="false">SUMIFS(Payment_Log_AP!$E$2:$E$753,Payment_Log_AP!$B$2:$B$753,A596)</f>
        <v>0</v>
      </c>
      <c r="H596" s="18" t="n">
        <f aca="false">F596-G596</f>
        <v>723.11</v>
      </c>
      <c r="I596" s="16" t="n">
        <f aca="false">IF(H596&lt;=0.01,0,MAX(Assumptions!$B$5-E596,0))</f>
        <v>171</v>
      </c>
      <c r="J596" s="16" t="str">
        <f aca="false">IF(H596&lt;=0.01,"Paid",IF(I596&lt;=30,"0-30",IF(I596&lt;=60,"31-60",IF(I596&lt;=90,"61-90","90+"))))</f>
        <v>90+</v>
      </c>
      <c r="K596" s="16" t="str">
        <f aca="false">IF(H596&lt;=0.01,"Paid",IF(G596&gt;0,"Partially Paid","Unpaid"))</f>
        <v>Unpaid</v>
      </c>
    </row>
    <row r="597" customFormat="false" ht="15" hidden="false" customHeight="false" outlineLevel="0" collapsed="false">
      <c r="A597" s="16" t="str">
        <f aca="false">Vendor_Invoices_AP!A594</f>
        <v>INV30593</v>
      </c>
      <c r="B597" s="16" t="str">
        <f aca="false">Vendor_Invoices_AP!C594</f>
        <v>V1009</v>
      </c>
      <c r="C597" s="16" t="str">
        <f aca="false">IFERROR(INDEX(Vendor_Master!$B$2:$B$41,MATCH(B597,Vendor_Master!$A$2:$A$41,0)),"Unknown Vendor")</f>
        <v>Munoz-Roman</v>
      </c>
      <c r="D597" s="17" t="n">
        <f aca="false">Vendor_Invoices_AP!D594</f>
        <v>45944</v>
      </c>
      <c r="E597" s="17" t="n">
        <f aca="false">Vendor_Invoices_AP!F594</f>
        <v>45974</v>
      </c>
      <c r="F597" s="18" t="n">
        <f aca="false">Vendor_Invoices_AP!E594</f>
        <v>2363.54</v>
      </c>
      <c r="G597" s="18" t="n">
        <f aca="false">SUMIFS(Payment_Log_AP!$E$2:$E$753,Payment_Log_AP!$B$2:$B$753,A597)</f>
        <v>2363.54</v>
      </c>
      <c r="H597" s="18" t="n">
        <f aca="false">F597-G597</f>
        <v>0</v>
      </c>
      <c r="I597" s="16" t="n">
        <f aca="false">IF(H597&lt;=0.01,0,MAX(Assumptions!$B$5-E597,0))</f>
        <v>0</v>
      </c>
      <c r="J597" s="16" t="str">
        <f aca="false">IF(H597&lt;=0.01,"Paid",IF(I597&lt;=30,"0-30",IF(I597&lt;=60,"31-60",IF(I597&lt;=90,"61-90","90+"))))</f>
        <v>Paid</v>
      </c>
      <c r="K597" s="16" t="str">
        <f aca="false">IF(H597&lt;=0.01,"Paid",IF(G597&gt;0,"Partially Paid","Unpaid"))</f>
        <v>Paid</v>
      </c>
    </row>
    <row r="598" customFormat="false" ht="15" hidden="false" customHeight="false" outlineLevel="0" collapsed="false">
      <c r="A598" s="16" t="str">
        <f aca="false">Vendor_Invoices_AP!A595</f>
        <v>INV30594</v>
      </c>
      <c r="B598" s="16" t="str">
        <f aca="false">Vendor_Invoices_AP!C595</f>
        <v>V1006</v>
      </c>
      <c r="C598" s="16" t="str">
        <f aca="false">IFERROR(INDEX(Vendor_Master!$B$2:$B$41,MATCH(B598,Vendor_Master!$A$2:$A$41,0)),"Unknown Vendor")</f>
        <v>Blake and Sons</v>
      </c>
      <c r="D598" s="17" t="n">
        <f aca="false">Vendor_Invoices_AP!D595</f>
        <v>46154</v>
      </c>
      <c r="E598" s="17" t="n">
        <f aca="false">Vendor_Invoices_AP!F595</f>
        <v>46214</v>
      </c>
      <c r="F598" s="18" t="n">
        <f aca="false">Vendor_Invoices_AP!E595</f>
        <v>1328.83</v>
      </c>
      <c r="G598" s="18" t="n">
        <f aca="false">SUMIFS(Payment_Log_AP!$E$2:$E$753,Payment_Log_AP!$B$2:$B$753,A598)</f>
        <v>1328.83</v>
      </c>
      <c r="H598" s="18" t="n">
        <f aca="false">F598-G598</f>
        <v>0</v>
      </c>
      <c r="I598" s="16" t="n">
        <f aca="false">IF(H598&lt;=0.01,0,MAX(Assumptions!$B$5-E598,0))</f>
        <v>0</v>
      </c>
      <c r="J598" s="16" t="str">
        <f aca="false">IF(H598&lt;=0.01,"Paid",IF(I598&lt;=30,"0-30",IF(I598&lt;=60,"31-60",IF(I598&lt;=90,"61-90","90+"))))</f>
        <v>Paid</v>
      </c>
      <c r="K598" s="16" t="str">
        <f aca="false">IF(H598&lt;=0.01,"Paid",IF(G598&gt;0,"Partially Paid","Unpaid"))</f>
        <v>Paid</v>
      </c>
    </row>
    <row r="599" customFormat="false" ht="15" hidden="false" customHeight="false" outlineLevel="0" collapsed="false">
      <c r="A599" s="16" t="str">
        <f aca="false">Vendor_Invoices_AP!A596</f>
        <v>INV30595</v>
      </c>
      <c r="B599" s="16" t="str">
        <f aca="false">Vendor_Invoices_AP!C596</f>
        <v>V1020</v>
      </c>
      <c r="C599" s="16" t="str">
        <f aca="false">IFERROR(INDEX(Vendor_Master!$B$2:$B$41,MATCH(B599,Vendor_Master!$A$2:$A$41,0)),"Unknown Vendor")</f>
        <v>Lewis-Porter</v>
      </c>
      <c r="D599" s="17" t="n">
        <f aca="false">Vendor_Invoices_AP!D596</f>
        <v>45829</v>
      </c>
      <c r="E599" s="17" t="n">
        <f aca="false">Vendor_Invoices_AP!F596</f>
        <v>45859</v>
      </c>
      <c r="F599" s="18" t="n">
        <f aca="false">Vendor_Invoices_AP!E596</f>
        <v>940.45</v>
      </c>
      <c r="G599" s="18" t="n">
        <f aca="false">SUMIFS(Payment_Log_AP!$E$2:$E$753,Payment_Log_AP!$B$2:$B$753,A599)</f>
        <v>940.45</v>
      </c>
      <c r="H599" s="18" t="n">
        <f aca="false">F599-G599</f>
        <v>0</v>
      </c>
      <c r="I599" s="16" t="n">
        <f aca="false">IF(H599&lt;=0.01,0,MAX(Assumptions!$B$5-E599,0))</f>
        <v>0</v>
      </c>
      <c r="J599" s="16" t="str">
        <f aca="false">IF(H599&lt;=0.01,"Paid",IF(I599&lt;=30,"0-30",IF(I599&lt;=60,"31-60",IF(I599&lt;=90,"61-90","90+"))))</f>
        <v>Paid</v>
      </c>
      <c r="K599" s="16" t="str">
        <f aca="false">IF(H599&lt;=0.01,"Paid",IF(G599&gt;0,"Partially Paid","Unpaid"))</f>
        <v>Paid</v>
      </c>
    </row>
    <row r="600" customFormat="false" ht="15" hidden="false" customHeight="false" outlineLevel="0" collapsed="false">
      <c r="A600" s="16" t="str">
        <f aca="false">Vendor_Invoices_AP!A597</f>
        <v>INV30596</v>
      </c>
      <c r="B600" s="16" t="str">
        <f aca="false">Vendor_Invoices_AP!C597</f>
        <v>V1036</v>
      </c>
      <c r="C600" s="16" t="str">
        <f aca="false">IFERROR(INDEX(Vendor_Master!$B$2:$B$41,MATCH(B600,Vendor_Master!$A$2:$A$41,0)),"Unknown Vendor")</f>
        <v>Dennis Inc</v>
      </c>
      <c r="D600" s="17" t="n">
        <f aca="false">Vendor_Invoices_AP!D597</f>
        <v>46095</v>
      </c>
      <c r="E600" s="17" t="n">
        <f aca="false">Vendor_Invoices_AP!F597</f>
        <v>46140</v>
      </c>
      <c r="F600" s="18" t="n">
        <f aca="false">Vendor_Invoices_AP!E597</f>
        <v>3318.83</v>
      </c>
      <c r="G600" s="18" t="n">
        <f aca="false">SUMIFS(Payment_Log_AP!$E$2:$E$753,Payment_Log_AP!$B$2:$B$753,A600)</f>
        <v>3318.83</v>
      </c>
      <c r="H600" s="18" t="n">
        <f aca="false">F600-G600</f>
        <v>0</v>
      </c>
      <c r="I600" s="16" t="n">
        <f aca="false">IF(H600&lt;=0.01,0,MAX(Assumptions!$B$5-E600,0))</f>
        <v>0</v>
      </c>
      <c r="J600" s="16" t="str">
        <f aca="false">IF(H600&lt;=0.01,"Paid",IF(I600&lt;=30,"0-30",IF(I600&lt;=60,"31-60",IF(I600&lt;=90,"61-90","90+"))))</f>
        <v>Paid</v>
      </c>
      <c r="K600" s="16" t="str">
        <f aca="false">IF(H600&lt;=0.01,"Paid",IF(G600&gt;0,"Partially Paid","Unpaid"))</f>
        <v>Paid</v>
      </c>
    </row>
    <row r="601" customFormat="false" ht="15" hidden="false" customHeight="false" outlineLevel="0" collapsed="false">
      <c r="A601" s="16" t="str">
        <f aca="false">Vendor_Invoices_AP!A598</f>
        <v>INV30597</v>
      </c>
      <c r="B601" s="16" t="str">
        <f aca="false">Vendor_Invoices_AP!C598</f>
        <v>V1007</v>
      </c>
      <c r="C601" s="16" t="str">
        <f aca="false">IFERROR(INDEX(Vendor_Master!$B$2:$B$41,MATCH(B601,Vendor_Master!$A$2:$A$41,0)),"Unknown Vendor")</f>
        <v>Ramirez-Lewis</v>
      </c>
      <c r="D601" s="17" t="n">
        <f aca="false">Vendor_Invoices_AP!D598</f>
        <v>45998</v>
      </c>
      <c r="E601" s="17" t="n">
        <f aca="false">Vendor_Invoices_AP!F598</f>
        <v>46013</v>
      </c>
      <c r="F601" s="18" t="n">
        <f aca="false">Vendor_Invoices_AP!E598</f>
        <v>2949.36</v>
      </c>
      <c r="G601" s="18" t="n">
        <f aca="false">SUMIFS(Payment_Log_AP!$E$2:$E$753,Payment_Log_AP!$B$2:$B$753,A601)</f>
        <v>2949.36</v>
      </c>
      <c r="H601" s="18" t="n">
        <f aca="false">F601-G601</f>
        <v>0</v>
      </c>
      <c r="I601" s="16" t="n">
        <f aca="false">IF(H601&lt;=0.01,0,MAX(Assumptions!$B$5-E601,0))</f>
        <v>0</v>
      </c>
      <c r="J601" s="16" t="str">
        <f aca="false">IF(H601&lt;=0.01,"Paid",IF(I601&lt;=30,"0-30",IF(I601&lt;=60,"31-60",IF(I601&lt;=90,"61-90","90+"))))</f>
        <v>Paid</v>
      </c>
      <c r="K601" s="16" t="str">
        <f aca="false">IF(H601&lt;=0.01,"Paid",IF(G601&gt;0,"Partially Paid","Unpaid"))</f>
        <v>Paid</v>
      </c>
    </row>
    <row r="602" customFormat="false" ht="15" hidden="false" customHeight="false" outlineLevel="0" collapsed="false">
      <c r="A602" s="16" t="str">
        <f aca="false">Vendor_Invoices_AP!A599</f>
        <v>INV30598</v>
      </c>
      <c r="B602" s="16" t="str">
        <f aca="false">Vendor_Invoices_AP!C599</f>
        <v>V1008</v>
      </c>
      <c r="C602" s="16" t="str">
        <f aca="false">IFERROR(INDEX(Vendor_Master!$B$2:$B$41,MATCH(B602,Vendor_Master!$A$2:$A$41,0)),"Unknown Vendor")</f>
        <v>Davis Inc</v>
      </c>
      <c r="D602" s="17" t="n">
        <f aca="false">Vendor_Invoices_AP!D599</f>
        <v>45864</v>
      </c>
      <c r="E602" s="17" t="n">
        <f aca="false">Vendor_Invoices_AP!F599</f>
        <v>45924</v>
      </c>
      <c r="F602" s="18" t="n">
        <f aca="false">Vendor_Invoices_AP!E599</f>
        <v>1733.53</v>
      </c>
      <c r="G602" s="18" t="n">
        <f aca="false">SUMIFS(Payment_Log_AP!$E$2:$E$753,Payment_Log_AP!$B$2:$B$753,A602)</f>
        <v>1733.53</v>
      </c>
      <c r="H602" s="18" t="n">
        <f aca="false">F602-G602</f>
        <v>0</v>
      </c>
      <c r="I602" s="16" t="n">
        <f aca="false">IF(H602&lt;=0.01,0,MAX(Assumptions!$B$5-E602,0))</f>
        <v>0</v>
      </c>
      <c r="J602" s="16" t="str">
        <f aca="false">IF(H602&lt;=0.01,"Paid",IF(I602&lt;=30,"0-30",IF(I602&lt;=60,"31-60",IF(I602&lt;=90,"61-90","90+"))))</f>
        <v>Paid</v>
      </c>
      <c r="K602" s="16" t="str">
        <f aca="false">IF(H602&lt;=0.01,"Paid",IF(G602&gt;0,"Partially Paid","Unpaid"))</f>
        <v>Paid</v>
      </c>
    </row>
    <row r="603" customFormat="false" ht="15" hidden="false" customHeight="false" outlineLevel="0" collapsed="false">
      <c r="A603" s="16" t="str">
        <f aca="false">Vendor_Invoices_AP!A600</f>
        <v>INV30599</v>
      </c>
      <c r="B603" s="16" t="str">
        <f aca="false">Vendor_Invoices_AP!C600</f>
        <v>V1035</v>
      </c>
      <c r="C603" s="16" t="str">
        <f aca="false">IFERROR(INDEX(Vendor_Master!$B$2:$B$41,MATCH(B603,Vendor_Master!$A$2:$A$41,0)),"Unknown Vendor")</f>
        <v>Allen PLC</v>
      </c>
      <c r="D603" s="17" t="n">
        <f aca="false">Vendor_Invoices_AP!D600</f>
        <v>46021</v>
      </c>
      <c r="E603" s="17" t="n">
        <f aca="false">Vendor_Invoices_AP!F600</f>
        <v>46036</v>
      </c>
      <c r="F603" s="18" t="n">
        <f aca="false">Vendor_Invoices_AP!E600</f>
        <v>2308.67</v>
      </c>
      <c r="G603" s="18" t="n">
        <f aca="false">SUMIFS(Payment_Log_AP!$E$2:$E$753,Payment_Log_AP!$B$2:$B$753,A603)</f>
        <v>2308.67</v>
      </c>
      <c r="H603" s="18" t="n">
        <f aca="false">F603-G603</f>
        <v>0</v>
      </c>
      <c r="I603" s="16" t="n">
        <f aca="false">IF(H603&lt;=0.01,0,MAX(Assumptions!$B$5-E603,0))</f>
        <v>0</v>
      </c>
      <c r="J603" s="16" t="str">
        <f aca="false">IF(H603&lt;=0.01,"Paid",IF(I603&lt;=30,"0-30",IF(I603&lt;=60,"31-60",IF(I603&lt;=90,"61-90","90+"))))</f>
        <v>Paid</v>
      </c>
      <c r="K603" s="16" t="str">
        <f aca="false">IF(H603&lt;=0.01,"Paid",IF(G603&gt;0,"Partially Paid","Unpaid"))</f>
        <v>Paid</v>
      </c>
    </row>
    <row r="604" customFormat="false" ht="15" hidden="false" customHeight="false" outlineLevel="0" collapsed="false">
      <c r="A604" s="16" t="str">
        <f aca="false">Vendor_Invoices_AP!A601</f>
        <v>INV30600</v>
      </c>
      <c r="B604" s="16" t="str">
        <f aca="false">Vendor_Invoices_AP!C601</f>
        <v>V1029</v>
      </c>
      <c r="C604" s="16" t="str">
        <f aca="false">IFERROR(INDEX(Vendor_Master!$B$2:$B$41,MATCH(B604,Vendor_Master!$A$2:$A$41,0)),"Unknown Vendor")</f>
        <v>Chavez Ltd</v>
      </c>
      <c r="D604" s="17" t="n">
        <f aca="false">Vendor_Invoices_AP!D601</f>
        <v>46021</v>
      </c>
      <c r="E604" s="17" t="n">
        <f aca="false">Vendor_Invoices_AP!F601</f>
        <v>46081</v>
      </c>
      <c r="F604" s="18" t="n">
        <f aca="false">Vendor_Invoices_AP!E601</f>
        <v>3697.76</v>
      </c>
      <c r="G604" s="18" t="n">
        <f aca="false">SUMIFS(Payment_Log_AP!$E$2:$E$753,Payment_Log_AP!$B$2:$B$753,A604)</f>
        <v>3697.76</v>
      </c>
      <c r="H604" s="18" t="n">
        <f aca="false">F604-G604</f>
        <v>0</v>
      </c>
      <c r="I604" s="16" t="n">
        <f aca="false">IF(H604&lt;=0.01,0,MAX(Assumptions!$B$5-E604,0))</f>
        <v>0</v>
      </c>
      <c r="J604" s="16" t="str">
        <f aca="false">IF(H604&lt;=0.01,"Paid",IF(I604&lt;=30,"0-30",IF(I604&lt;=60,"31-60",IF(I604&lt;=90,"61-90","90+"))))</f>
        <v>Paid</v>
      </c>
      <c r="K604" s="16" t="str">
        <f aca="false">IF(H604&lt;=0.01,"Paid",IF(G604&gt;0,"Partially Paid","Unpaid"))</f>
        <v>Paid</v>
      </c>
    </row>
    <row r="605" customFormat="false" ht="15" hidden="false" customHeight="false" outlineLevel="0" collapsed="false">
      <c r="A605" s="16" t="str">
        <f aca="false">Vendor_Invoices_AP!A602</f>
        <v>INV30601</v>
      </c>
      <c r="B605" s="16" t="str">
        <f aca="false">Vendor_Invoices_AP!C602</f>
        <v>V1013</v>
      </c>
      <c r="C605" s="16" t="str">
        <f aca="false">IFERROR(INDEX(Vendor_Master!$B$2:$B$41,MATCH(B605,Vendor_Master!$A$2:$A$41,0)),"Unknown Vendor")</f>
        <v>Delacruz Group</v>
      </c>
      <c r="D605" s="17" t="n">
        <f aca="false">Vendor_Invoices_AP!D602</f>
        <v>46046</v>
      </c>
      <c r="E605" s="17" t="n">
        <f aca="false">Vendor_Invoices_AP!F602</f>
        <v>46061</v>
      </c>
      <c r="F605" s="18" t="n">
        <f aca="false">Vendor_Invoices_AP!E602</f>
        <v>1532.53</v>
      </c>
      <c r="G605" s="18" t="n">
        <f aca="false">SUMIFS(Payment_Log_AP!$E$2:$E$753,Payment_Log_AP!$B$2:$B$753,A605)</f>
        <v>1532.53</v>
      </c>
      <c r="H605" s="18" t="n">
        <f aca="false">F605-G605</f>
        <v>0</v>
      </c>
      <c r="I605" s="16" t="n">
        <f aca="false">IF(H605&lt;=0.01,0,MAX(Assumptions!$B$5-E605,0))</f>
        <v>0</v>
      </c>
      <c r="J605" s="16" t="str">
        <f aca="false">IF(H605&lt;=0.01,"Paid",IF(I605&lt;=30,"0-30",IF(I605&lt;=60,"31-60",IF(I605&lt;=90,"61-90","90+"))))</f>
        <v>Paid</v>
      </c>
      <c r="K605" s="16" t="str">
        <f aca="false">IF(H605&lt;=0.01,"Paid",IF(G605&gt;0,"Partially Paid","Unpaid"))</f>
        <v>Paid</v>
      </c>
    </row>
    <row r="606" customFormat="false" ht="15" hidden="false" customHeight="false" outlineLevel="0" collapsed="false">
      <c r="A606" s="16" t="str">
        <f aca="false">Vendor_Invoices_AP!A603</f>
        <v>INV30602</v>
      </c>
      <c r="B606" s="16" t="str">
        <f aca="false">Vendor_Invoices_AP!C603</f>
        <v>V1018</v>
      </c>
      <c r="C606" s="16" t="str">
        <f aca="false">IFERROR(INDEX(Vendor_Master!$B$2:$B$41,MATCH(B606,Vendor_Master!$A$2:$A$41,0)),"Unknown Vendor")</f>
        <v>Underwood LLC</v>
      </c>
      <c r="D606" s="17" t="n">
        <f aca="false">Vendor_Invoices_AP!D603</f>
        <v>46074</v>
      </c>
      <c r="E606" s="17" t="n">
        <f aca="false">Vendor_Invoices_AP!F603</f>
        <v>46104</v>
      </c>
      <c r="F606" s="18" t="n">
        <f aca="false">Vendor_Invoices_AP!E603</f>
        <v>354.2</v>
      </c>
      <c r="G606" s="18" t="n">
        <f aca="false">SUMIFS(Payment_Log_AP!$E$2:$E$753,Payment_Log_AP!$B$2:$B$753,A606)</f>
        <v>354.2</v>
      </c>
      <c r="H606" s="18" t="n">
        <f aca="false">F606-G606</f>
        <v>0</v>
      </c>
      <c r="I606" s="16" t="n">
        <f aca="false">IF(H606&lt;=0.01,0,MAX(Assumptions!$B$5-E606,0))</f>
        <v>0</v>
      </c>
      <c r="J606" s="16" t="str">
        <f aca="false">IF(H606&lt;=0.01,"Paid",IF(I606&lt;=30,"0-30",IF(I606&lt;=60,"31-60",IF(I606&lt;=90,"61-90","90+"))))</f>
        <v>Paid</v>
      </c>
      <c r="K606" s="16" t="str">
        <f aca="false">IF(H606&lt;=0.01,"Paid",IF(G606&gt;0,"Partially Paid","Unpaid"))</f>
        <v>Paid</v>
      </c>
    </row>
    <row r="607" customFormat="false" ht="15" hidden="false" customHeight="false" outlineLevel="0" collapsed="false">
      <c r="A607" s="16" t="str">
        <f aca="false">Vendor_Invoices_AP!A604</f>
        <v>INV30603</v>
      </c>
      <c r="B607" s="16" t="str">
        <f aca="false">Vendor_Invoices_AP!C604</f>
        <v>V1021</v>
      </c>
      <c r="C607" s="16" t="str">
        <f aca="false">IFERROR(INDEX(Vendor_Master!$B$2:$B$41,MATCH(B607,Vendor_Master!$A$2:$A$41,0)),"Unknown Vendor")</f>
        <v>Ellis, Baker and Wright</v>
      </c>
      <c r="D607" s="17" t="n">
        <f aca="false">Vendor_Invoices_AP!D604</f>
        <v>46037</v>
      </c>
      <c r="E607" s="17" t="n">
        <f aca="false">Vendor_Invoices_AP!F604</f>
        <v>46067</v>
      </c>
      <c r="F607" s="18" t="n">
        <f aca="false">Vendor_Invoices_AP!E604</f>
        <v>1077.17</v>
      </c>
      <c r="G607" s="18" t="n">
        <f aca="false">SUMIFS(Payment_Log_AP!$E$2:$E$753,Payment_Log_AP!$B$2:$B$753,A607)</f>
        <v>1077.17</v>
      </c>
      <c r="H607" s="18" t="n">
        <f aca="false">F607-G607</f>
        <v>0</v>
      </c>
      <c r="I607" s="16" t="n">
        <f aca="false">IF(H607&lt;=0.01,0,MAX(Assumptions!$B$5-E607,0))</f>
        <v>0</v>
      </c>
      <c r="J607" s="16" t="str">
        <f aca="false">IF(H607&lt;=0.01,"Paid",IF(I607&lt;=30,"0-30",IF(I607&lt;=60,"31-60",IF(I607&lt;=90,"61-90","90+"))))</f>
        <v>Paid</v>
      </c>
      <c r="K607" s="16" t="str">
        <f aca="false">IF(H607&lt;=0.01,"Paid",IF(G607&gt;0,"Partially Paid","Unpaid"))</f>
        <v>Paid</v>
      </c>
    </row>
    <row r="608" customFormat="false" ht="15" hidden="false" customHeight="false" outlineLevel="0" collapsed="false">
      <c r="A608" s="16" t="str">
        <f aca="false">Vendor_Invoices_AP!A605</f>
        <v>INV30604</v>
      </c>
      <c r="B608" s="16" t="str">
        <f aca="false">Vendor_Invoices_AP!C605</f>
        <v>V1015</v>
      </c>
      <c r="C608" s="16" t="str">
        <f aca="false">IFERROR(INDEX(Vendor_Master!$B$2:$B$41,MATCH(B608,Vendor_Master!$A$2:$A$41,0)),"Unknown Vendor")</f>
        <v>Zuniga, Wong and Lynch</v>
      </c>
      <c r="D608" s="17" t="n">
        <f aca="false">Vendor_Invoices_AP!D605</f>
        <v>46126</v>
      </c>
      <c r="E608" s="17" t="n">
        <f aca="false">Vendor_Invoices_AP!F605</f>
        <v>46156</v>
      </c>
      <c r="F608" s="18" t="n">
        <f aca="false">Vendor_Invoices_AP!E605</f>
        <v>968.37</v>
      </c>
      <c r="G608" s="18" t="n">
        <f aca="false">SUMIFS(Payment_Log_AP!$E$2:$E$753,Payment_Log_AP!$B$2:$B$753,A608)</f>
        <v>968.37</v>
      </c>
      <c r="H608" s="18" t="n">
        <f aca="false">F608-G608</f>
        <v>0</v>
      </c>
      <c r="I608" s="16" t="n">
        <f aca="false">IF(H608&lt;=0.01,0,MAX(Assumptions!$B$5-E608,0))</f>
        <v>0</v>
      </c>
      <c r="J608" s="16" t="str">
        <f aca="false">IF(H608&lt;=0.01,"Paid",IF(I608&lt;=30,"0-30",IF(I608&lt;=60,"31-60",IF(I608&lt;=90,"61-90","90+"))))</f>
        <v>Paid</v>
      </c>
      <c r="K608" s="16" t="str">
        <f aca="false">IF(H608&lt;=0.01,"Paid",IF(G608&gt;0,"Partially Paid","Unpaid"))</f>
        <v>Paid</v>
      </c>
    </row>
    <row r="609" customFormat="false" ht="15" hidden="false" customHeight="false" outlineLevel="0" collapsed="false">
      <c r="A609" s="16" t="str">
        <f aca="false">Vendor_Invoices_AP!A606</f>
        <v>INV30605</v>
      </c>
      <c r="B609" s="16" t="str">
        <f aca="false">Vendor_Invoices_AP!C606</f>
        <v>V1005</v>
      </c>
      <c r="C609" s="16" t="str">
        <f aca="false">IFERROR(INDEX(Vendor_Master!$B$2:$B$41,MATCH(B609,Vendor_Master!$A$2:$A$41,0)),"Unknown Vendor")</f>
        <v>Cole LLC</v>
      </c>
      <c r="D609" s="17" t="n">
        <f aca="false">Vendor_Invoices_AP!D606</f>
        <v>46022</v>
      </c>
      <c r="E609" s="17" t="n">
        <f aca="false">Vendor_Invoices_AP!F606</f>
        <v>46037</v>
      </c>
      <c r="F609" s="18" t="n">
        <f aca="false">Vendor_Invoices_AP!E606</f>
        <v>1370.11</v>
      </c>
      <c r="G609" s="18" t="n">
        <f aca="false">SUMIFS(Payment_Log_AP!$E$2:$E$753,Payment_Log_AP!$B$2:$B$753,A609)</f>
        <v>1370.11</v>
      </c>
      <c r="H609" s="18" t="n">
        <f aca="false">F609-G609</f>
        <v>0</v>
      </c>
      <c r="I609" s="16" t="n">
        <f aca="false">IF(H609&lt;=0.01,0,MAX(Assumptions!$B$5-E609,0))</f>
        <v>0</v>
      </c>
      <c r="J609" s="16" t="str">
        <f aca="false">IF(H609&lt;=0.01,"Paid",IF(I609&lt;=30,"0-30",IF(I609&lt;=60,"31-60",IF(I609&lt;=90,"61-90","90+"))))</f>
        <v>Paid</v>
      </c>
      <c r="K609" s="16" t="str">
        <f aca="false">IF(H609&lt;=0.01,"Paid",IF(G609&gt;0,"Partially Paid","Unpaid"))</f>
        <v>Paid</v>
      </c>
    </row>
    <row r="610" customFormat="false" ht="15" hidden="false" customHeight="false" outlineLevel="0" collapsed="false">
      <c r="A610" s="16" t="str">
        <f aca="false">Vendor_Invoices_AP!A607</f>
        <v>INV30606</v>
      </c>
      <c r="B610" s="16" t="str">
        <f aca="false">Vendor_Invoices_AP!C607</f>
        <v>V1006</v>
      </c>
      <c r="C610" s="16" t="str">
        <f aca="false">IFERROR(INDEX(Vendor_Master!$B$2:$B$41,MATCH(B610,Vendor_Master!$A$2:$A$41,0)),"Unknown Vendor")</f>
        <v>Blake and Sons</v>
      </c>
      <c r="D610" s="17" t="n">
        <f aca="false">Vendor_Invoices_AP!D607</f>
        <v>46163</v>
      </c>
      <c r="E610" s="17" t="n">
        <f aca="false">Vendor_Invoices_AP!F607</f>
        <v>46223</v>
      </c>
      <c r="F610" s="18" t="n">
        <f aca="false">Vendor_Invoices_AP!E607</f>
        <v>27454.9</v>
      </c>
      <c r="G610" s="18" t="n">
        <f aca="false">SUMIFS(Payment_Log_AP!$E$2:$E$753,Payment_Log_AP!$B$2:$B$753,A610)</f>
        <v>0</v>
      </c>
      <c r="H610" s="18" t="n">
        <f aca="false">F610-G610</f>
        <v>27454.9</v>
      </c>
      <c r="I610" s="16" t="n">
        <f aca="false">IF(H610&lt;=0.01,0,MAX(Assumptions!$B$5-E610,0))</f>
        <v>11</v>
      </c>
      <c r="J610" s="16" t="str">
        <f aca="false">IF(H610&lt;=0.01,"Paid",IF(I610&lt;=30,"0-30",IF(I610&lt;=60,"31-60",IF(I610&lt;=90,"61-90","90+"))))</f>
        <v>0-30</v>
      </c>
      <c r="K610" s="16" t="str">
        <f aca="false">IF(H610&lt;=0.01,"Paid",IF(G610&gt;0,"Partially Paid","Unpaid"))</f>
        <v>Unpaid</v>
      </c>
    </row>
    <row r="611" customFormat="false" ht="15" hidden="false" customHeight="false" outlineLevel="0" collapsed="false">
      <c r="A611" s="16" t="str">
        <f aca="false">Vendor_Invoices_AP!A608</f>
        <v>INV30607</v>
      </c>
      <c r="B611" s="16" t="str">
        <f aca="false">Vendor_Invoices_AP!C608</f>
        <v>V1030</v>
      </c>
      <c r="C611" s="16" t="str">
        <f aca="false">IFERROR(INDEX(Vendor_Master!$B$2:$B$41,MATCH(B611,Vendor_Master!$A$2:$A$41,0)),"Unknown Vendor")</f>
        <v>Stanton-Gill</v>
      </c>
      <c r="D611" s="17" t="n">
        <f aca="false">Vendor_Invoices_AP!D608</f>
        <v>46014</v>
      </c>
      <c r="E611" s="17" t="n">
        <f aca="false">Vendor_Invoices_AP!F608</f>
        <v>46074</v>
      </c>
      <c r="F611" s="18" t="n">
        <f aca="false">Vendor_Invoices_AP!E608</f>
        <v>3138.5</v>
      </c>
      <c r="G611" s="18" t="n">
        <f aca="false">SUMIFS(Payment_Log_AP!$E$2:$E$753,Payment_Log_AP!$B$2:$B$753,A611)</f>
        <v>3138.5</v>
      </c>
      <c r="H611" s="18" t="n">
        <f aca="false">F611-G611</f>
        <v>0</v>
      </c>
      <c r="I611" s="16" t="n">
        <f aca="false">IF(H611&lt;=0.01,0,MAX(Assumptions!$B$5-E611,0))</f>
        <v>0</v>
      </c>
      <c r="J611" s="16" t="str">
        <f aca="false">IF(H611&lt;=0.01,"Paid",IF(I611&lt;=30,"0-30",IF(I611&lt;=60,"31-60",IF(I611&lt;=90,"61-90","90+"))))</f>
        <v>Paid</v>
      </c>
      <c r="K611" s="16" t="str">
        <f aca="false">IF(H611&lt;=0.01,"Paid",IF(G611&gt;0,"Partially Paid","Unpaid"))</f>
        <v>Paid</v>
      </c>
    </row>
    <row r="612" customFormat="false" ht="15" hidden="false" customHeight="false" outlineLevel="0" collapsed="false">
      <c r="A612" s="16" t="str">
        <f aca="false">Vendor_Invoices_AP!A609</f>
        <v>INV30608</v>
      </c>
      <c r="B612" s="16" t="str">
        <f aca="false">Vendor_Invoices_AP!C609</f>
        <v>V1011</v>
      </c>
      <c r="C612" s="16" t="str">
        <f aca="false">IFERROR(INDEX(Vendor_Master!$B$2:$B$41,MATCH(B612,Vendor_Master!$A$2:$A$41,0)),"Unknown Vendor")</f>
        <v>Montgomery, Hensley and Ray</v>
      </c>
      <c r="D612" s="17" t="n">
        <f aca="false">Vendor_Invoices_AP!D609</f>
        <v>45837</v>
      </c>
      <c r="E612" s="17" t="n">
        <f aca="false">Vendor_Invoices_AP!F609</f>
        <v>45882</v>
      </c>
      <c r="F612" s="18" t="n">
        <f aca="false">Vendor_Invoices_AP!E609</f>
        <v>4085.56</v>
      </c>
      <c r="G612" s="18" t="n">
        <f aca="false">SUMIFS(Payment_Log_AP!$E$2:$E$753,Payment_Log_AP!$B$2:$B$753,A612)</f>
        <v>4085.56</v>
      </c>
      <c r="H612" s="18" t="n">
        <f aca="false">F612-G612</f>
        <v>0</v>
      </c>
      <c r="I612" s="16" t="n">
        <f aca="false">IF(H612&lt;=0.01,0,MAX(Assumptions!$B$5-E612,0))</f>
        <v>0</v>
      </c>
      <c r="J612" s="16" t="str">
        <f aca="false">IF(H612&lt;=0.01,"Paid",IF(I612&lt;=30,"0-30",IF(I612&lt;=60,"31-60",IF(I612&lt;=90,"61-90","90+"))))</f>
        <v>Paid</v>
      </c>
      <c r="K612" s="16" t="str">
        <f aca="false">IF(H612&lt;=0.01,"Paid",IF(G612&gt;0,"Partially Paid","Unpaid"))</f>
        <v>Paid</v>
      </c>
    </row>
    <row r="613" customFormat="false" ht="15" hidden="false" customHeight="false" outlineLevel="0" collapsed="false">
      <c r="A613" s="16" t="str">
        <f aca="false">Vendor_Invoices_AP!A610</f>
        <v>INV30609</v>
      </c>
      <c r="B613" s="16" t="str">
        <f aca="false">Vendor_Invoices_AP!C610</f>
        <v>V1001</v>
      </c>
      <c r="C613" s="16" t="str">
        <f aca="false">IFERROR(INDEX(Vendor_Master!$B$2:$B$41,MATCH(B613,Vendor_Master!$A$2:$A$41,0)),"Unknown Vendor")</f>
        <v>Figueroa and Sons</v>
      </c>
      <c r="D613" s="17" t="n">
        <f aca="false">Vendor_Invoices_AP!D610</f>
        <v>45901</v>
      </c>
      <c r="E613" s="17" t="n">
        <f aca="false">Vendor_Invoices_AP!F610</f>
        <v>45946</v>
      </c>
      <c r="F613" s="18" t="n">
        <f aca="false">Vendor_Invoices_AP!E610</f>
        <v>2086.29</v>
      </c>
      <c r="G613" s="18" t="n">
        <f aca="false">SUMIFS(Payment_Log_AP!$E$2:$E$753,Payment_Log_AP!$B$2:$B$753,A613)</f>
        <v>2086.29</v>
      </c>
      <c r="H613" s="18" t="n">
        <f aca="false">F613-G613</f>
        <v>0</v>
      </c>
      <c r="I613" s="16" t="n">
        <f aca="false">IF(H613&lt;=0.01,0,MAX(Assumptions!$B$5-E613,0))</f>
        <v>0</v>
      </c>
      <c r="J613" s="16" t="str">
        <f aca="false">IF(H613&lt;=0.01,"Paid",IF(I613&lt;=30,"0-30",IF(I613&lt;=60,"31-60",IF(I613&lt;=90,"61-90","90+"))))</f>
        <v>Paid</v>
      </c>
      <c r="K613" s="16" t="str">
        <f aca="false">IF(H613&lt;=0.01,"Paid",IF(G613&gt;0,"Partially Paid","Unpaid"))</f>
        <v>Paid</v>
      </c>
    </row>
    <row r="614" customFormat="false" ht="15" hidden="false" customHeight="false" outlineLevel="0" collapsed="false">
      <c r="A614" s="16" t="str">
        <f aca="false">Vendor_Invoices_AP!A611</f>
        <v>INV30610</v>
      </c>
      <c r="B614" s="16" t="str">
        <f aca="false">Vendor_Invoices_AP!C611</f>
        <v>V1027</v>
      </c>
      <c r="C614" s="16" t="str">
        <f aca="false">IFERROR(INDEX(Vendor_Master!$B$2:$B$41,MATCH(B614,Vendor_Master!$A$2:$A$41,0)),"Unknown Vendor")</f>
        <v>Valencia, Smith and Le</v>
      </c>
      <c r="D614" s="17" t="n">
        <f aca="false">Vendor_Invoices_AP!D611</f>
        <v>45984</v>
      </c>
      <c r="E614" s="17" t="n">
        <f aca="false">Vendor_Invoices_AP!F611</f>
        <v>46029</v>
      </c>
      <c r="F614" s="18" t="n">
        <f aca="false">Vendor_Invoices_AP!E611</f>
        <v>345.65</v>
      </c>
      <c r="G614" s="18" t="n">
        <f aca="false">SUMIFS(Payment_Log_AP!$E$2:$E$753,Payment_Log_AP!$B$2:$B$753,A614)</f>
        <v>345.65</v>
      </c>
      <c r="H614" s="18" t="n">
        <f aca="false">F614-G614</f>
        <v>0</v>
      </c>
      <c r="I614" s="16" t="n">
        <f aca="false">IF(H614&lt;=0.01,0,MAX(Assumptions!$B$5-E614,0))</f>
        <v>0</v>
      </c>
      <c r="J614" s="16" t="str">
        <f aca="false">IF(H614&lt;=0.01,"Paid",IF(I614&lt;=30,"0-30",IF(I614&lt;=60,"31-60",IF(I614&lt;=90,"61-90","90+"))))</f>
        <v>Paid</v>
      </c>
      <c r="K614" s="16" t="str">
        <f aca="false">IF(H614&lt;=0.01,"Paid",IF(G614&gt;0,"Partially Paid","Unpaid"))</f>
        <v>Paid</v>
      </c>
    </row>
    <row r="615" customFormat="false" ht="15" hidden="false" customHeight="false" outlineLevel="0" collapsed="false">
      <c r="A615" s="16" t="str">
        <f aca="false">Vendor_Invoices_AP!A612</f>
        <v>INV30611</v>
      </c>
      <c r="B615" s="16" t="str">
        <f aca="false">Vendor_Invoices_AP!C612</f>
        <v>V1020</v>
      </c>
      <c r="C615" s="16" t="str">
        <f aca="false">IFERROR(INDEX(Vendor_Master!$B$2:$B$41,MATCH(B615,Vendor_Master!$A$2:$A$41,0)),"Unknown Vendor")</f>
        <v>Lewis-Porter</v>
      </c>
      <c r="D615" s="17" t="n">
        <f aca="false">Vendor_Invoices_AP!D612</f>
        <v>46079</v>
      </c>
      <c r="E615" s="17" t="n">
        <f aca="false">Vendor_Invoices_AP!F612</f>
        <v>46109</v>
      </c>
      <c r="F615" s="18" t="n">
        <f aca="false">Vendor_Invoices_AP!E612</f>
        <v>1516.39</v>
      </c>
      <c r="G615" s="18" t="n">
        <f aca="false">SUMIFS(Payment_Log_AP!$E$2:$E$753,Payment_Log_AP!$B$2:$B$753,A615)</f>
        <v>1516.39</v>
      </c>
      <c r="H615" s="18" t="n">
        <f aca="false">F615-G615</f>
        <v>0</v>
      </c>
      <c r="I615" s="16" t="n">
        <f aca="false">IF(H615&lt;=0.01,0,MAX(Assumptions!$B$5-E615,0))</f>
        <v>0</v>
      </c>
      <c r="J615" s="16" t="str">
        <f aca="false">IF(H615&lt;=0.01,"Paid",IF(I615&lt;=30,"0-30",IF(I615&lt;=60,"31-60",IF(I615&lt;=90,"61-90","90+"))))</f>
        <v>Paid</v>
      </c>
      <c r="K615" s="16" t="str">
        <f aca="false">IF(H615&lt;=0.01,"Paid",IF(G615&gt;0,"Partially Paid","Unpaid"))</f>
        <v>Paid</v>
      </c>
    </row>
    <row r="616" customFormat="false" ht="15" hidden="false" customHeight="false" outlineLevel="0" collapsed="false">
      <c r="A616" s="16" t="str">
        <f aca="false">Vendor_Invoices_AP!A613</f>
        <v>INV30612</v>
      </c>
      <c r="B616" s="16" t="str">
        <f aca="false">Vendor_Invoices_AP!C613</f>
        <v>V1001</v>
      </c>
      <c r="C616" s="16" t="str">
        <f aca="false">IFERROR(INDEX(Vendor_Master!$B$2:$B$41,MATCH(B616,Vendor_Master!$A$2:$A$41,0)),"Unknown Vendor")</f>
        <v>Figueroa and Sons</v>
      </c>
      <c r="D616" s="17" t="n">
        <f aca="false">Vendor_Invoices_AP!D613</f>
        <v>45729</v>
      </c>
      <c r="E616" s="17" t="n">
        <f aca="false">Vendor_Invoices_AP!F613</f>
        <v>45774</v>
      </c>
      <c r="F616" s="18" t="n">
        <f aca="false">Vendor_Invoices_AP!E613</f>
        <v>19832.55</v>
      </c>
      <c r="G616" s="18" t="n">
        <f aca="false">SUMIFS(Payment_Log_AP!$E$2:$E$753,Payment_Log_AP!$B$2:$B$753,A616)</f>
        <v>19832.55</v>
      </c>
      <c r="H616" s="18" t="n">
        <f aca="false">F616-G616</f>
        <v>0</v>
      </c>
      <c r="I616" s="16" t="n">
        <f aca="false">IF(H616&lt;=0.01,0,MAX(Assumptions!$B$5-E616,0))</f>
        <v>0</v>
      </c>
      <c r="J616" s="16" t="str">
        <f aca="false">IF(H616&lt;=0.01,"Paid",IF(I616&lt;=30,"0-30",IF(I616&lt;=60,"31-60",IF(I616&lt;=90,"61-90","90+"))))</f>
        <v>Paid</v>
      </c>
      <c r="K616" s="16" t="str">
        <f aca="false">IF(H616&lt;=0.01,"Paid",IF(G616&gt;0,"Partially Paid","Unpaid"))</f>
        <v>Paid</v>
      </c>
    </row>
    <row r="617" customFormat="false" ht="15" hidden="false" customHeight="false" outlineLevel="0" collapsed="false">
      <c r="A617" s="16" t="str">
        <f aca="false">Vendor_Invoices_AP!A614</f>
        <v>INV30613</v>
      </c>
      <c r="B617" s="16" t="str">
        <f aca="false">Vendor_Invoices_AP!C614</f>
        <v>V1012</v>
      </c>
      <c r="C617" s="16" t="str">
        <f aca="false">IFERROR(INDEX(Vendor_Master!$B$2:$B$41,MATCH(B617,Vendor_Master!$A$2:$A$41,0)),"Unknown Vendor")</f>
        <v>Stanley LLC</v>
      </c>
      <c r="D617" s="17" t="n">
        <f aca="false">Vendor_Invoices_AP!D614</f>
        <v>45821</v>
      </c>
      <c r="E617" s="17" t="n">
        <f aca="false">Vendor_Invoices_AP!F614</f>
        <v>45881</v>
      </c>
      <c r="F617" s="18" t="n">
        <f aca="false">Vendor_Invoices_AP!E614</f>
        <v>1703.61</v>
      </c>
      <c r="G617" s="18" t="n">
        <f aca="false">SUMIFS(Payment_Log_AP!$E$2:$E$753,Payment_Log_AP!$B$2:$B$753,A617)</f>
        <v>0</v>
      </c>
      <c r="H617" s="18" t="n">
        <f aca="false">F617-G617</f>
        <v>1703.61</v>
      </c>
      <c r="I617" s="16" t="n">
        <f aca="false">IF(H617&lt;=0.01,0,MAX(Assumptions!$B$5-E617,0))</f>
        <v>353</v>
      </c>
      <c r="J617" s="16" t="str">
        <f aca="false">IF(H617&lt;=0.01,"Paid",IF(I617&lt;=30,"0-30",IF(I617&lt;=60,"31-60",IF(I617&lt;=90,"61-90","90+"))))</f>
        <v>90+</v>
      </c>
      <c r="K617" s="16" t="str">
        <f aca="false">IF(H617&lt;=0.01,"Paid",IF(G617&gt;0,"Partially Paid","Unpaid"))</f>
        <v>Unpaid</v>
      </c>
    </row>
    <row r="618" customFormat="false" ht="15" hidden="false" customHeight="false" outlineLevel="0" collapsed="false">
      <c r="A618" s="16" t="str">
        <f aca="false">Vendor_Invoices_AP!A615</f>
        <v>INV30614</v>
      </c>
      <c r="B618" s="16" t="str">
        <f aca="false">Vendor_Invoices_AP!C615</f>
        <v>V1009</v>
      </c>
      <c r="C618" s="16" t="str">
        <f aca="false">IFERROR(INDEX(Vendor_Master!$B$2:$B$41,MATCH(B618,Vendor_Master!$A$2:$A$41,0)),"Unknown Vendor")</f>
        <v>Munoz-Roman</v>
      </c>
      <c r="D618" s="17" t="n">
        <f aca="false">Vendor_Invoices_AP!D615</f>
        <v>46085</v>
      </c>
      <c r="E618" s="17" t="n">
        <f aca="false">Vendor_Invoices_AP!F615</f>
        <v>46115</v>
      </c>
      <c r="F618" s="18" t="n">
        <f aca="false">Vendor_Invoices_AP!E615</f>
        <v>2360.64</v>
      </c>
      <c r="G618" s="18" t="n">
        <f aca="false">SUMIFS(Payment_Log_AP!$E$2:$E$753,Payment_Log_AP!$B$2:$B$753,A618)</f>
        <v>2360.64</v>
      </c>
      <c r="H618" s="18" t="n">
        <f aca="false">F618-G618</f>
        <v>0</v>
      </c>
      <c r="I618" s="16" t="n">
        <f aca="false">IF(H618&lt;=0.01,0,MAX(Assumptions!$B$5-E618,0))</f>
        <v>0</v>
      </c>
      <c r="J618" s="16" t="str">
        <f aca="false">IF(H618&lt;=0.01,"Paid",IF(I618&lt;=30,"0-30",IF(I618&lt;=60,"31-60",IF(I618&lt;=90,"61-90","90+"))))</f>
        <v>Paid</v>
      </c>
      <c r="K618" s="16" t="str">
        <f aca="false">IF(H618&lt;=0.01,"Paid",IF(G618&gt;0,"Partially Paid","Unpaid"))</f>
        <v>Paid</v>
      </c>
    </row>
    <row r="619" customFormat="false" ht="15" hidden="false" customHeight="false" outlineLevel="0" collapsed="false">
      <c r="A619" s="16" t="str">
        <f aca="false">Vendor_Invoices_AP!A616</f>
        <v>INV30615</v>
      </c>
      <c r="B619" s="16" t="str">
        <f aca="false">Vendor_Invoices_AP!C616</f>
        <v>V1009</v>
      </c>
      <c r="C619" s="16" t="str">
        <f aca="false">IFERROR(INDEX(Vendor_Master!$B$2:$B$41,MATCH(B619,Vendor_Master!$A$2:$A$41,0)),"Unknown Vendor")</f>
        <v>Munoz-Roman</v>
      </c>
      <c r="D619" s="17" t="n">
        <f aca="false">Vendor_Invoices_AP!D616</f>
        <v>45772</v>
      </c>
      <c r="E619" s="17" t="n">
        <f aca="false">Vendor_Invoices_AP!F616</f>
        <v>45802</v>
      </c>
      <c r="F619" s="18" t="n">
        <f aca="false">Vendor_Invoices_AP!E616</f>
        <v>1484.72</v>
      </c>
      <c r="G619" s="18" t="n">
        <f aca="false">SUMIFS(Payment_Log_AP!$E$2:$E$753,Payment_Log_AP!$B$2:$B$753,A619)</f>
        <v>1484.72</v>
      </c>
      <c r="H619" s="18" t="n">
        <f aca="false">F619-G619</f>
        <v>0</v>
      </c>
      <c r="I619" s="16" t="n">
        <f aca="false">IF(H619&lt;=0.01,0,MAX(Assumptions!$B$5-E619,0))</f>
        <v>0</v>
      </c>
      <c r="J619" s="16" t="str">
        <f aca="false">IF(H619&lt;=0.01,"Paid",IF(I619&lt;=30,"0-30",IF(I619&lt;=60,"31-60",IF(I619&lt;=90,"61-90","90+"))))</f>
        <v>Paid</v>
      </c>
      <c r="K619" s="16" t="str">
        <f aca="false">IF(H619&lt;=0.01,"Paid",IF(G619&gt;0,"Partially Paid","Unpaid"))</f>
        <v>Paid</v>
      </c>
    </row>
    <row r="620" customFormat="false" ht="15" hidden="false" customHeight="false" outlineLevel="0" collapsed="false">
      <c r="A620" s="16" t="str">
        <f aca="false">Vendor_Invoices_AP!A617</f>
        <v>INV30616</v>
      </c>
      <c r="B620" s="16" t="str">
        <f aca="false">Vendor_Invoices_AP!C617</f>
        <v>V1018</v>
      </c>
      <c r="C620" s="16" t="str">
        <f aca="false">IFERROR(INDEX(Vendor_Master!$B$2:$B$41,MATCH(B620,Vendor_Master!$A$2:$A$41,0)),"Unknown Vendor")</f>
        <v>Underwood LLC</v>
      </c>
      <c r="D620" s="17" t="n">
        <f aca="false">Vendor_Invoices_AP!D617</f>
        <v>45746</v>
      </c>
      <c r="E620" s="17" t="n">
        <f aca="false">Vendor_Invoices_AP!F617</f>
        <v>45776</v>
      </c>
      <c r="F620" s="18" t="n">
        <f aca="false">Vendor_Invoices_AP!E617</f>
        <v>1627.91</v>
      </c>
      <c r="G620" s="18" t="n">
        <f aca="false">SUMIFS(Payment_Log_AP!$E$2:$E$753,Payment_Log_AP!$B$2:$B$753,A620)</f>
        <v>1627.91</v>
      </c>
      <c r="H620" s="18" t="n">
        <f aca="false">F620-G620</f>
        <v>0</v>
      </c>
      <c r="I620" s="16" t="n">
        <f aca="false">IF(H620&lt;=0.01,0,MAX(Assumptions!$B$5-E620,0))</f>
        <v>0</v>
      </c>
      <c r="J620" s="16" t="str">
        <f aca="false">IF(H620&lt;=0.01,"Paid",IF(I620&lt;=30,"0-30",IF(I620&lt;=60,"31-60",IF(I620&lt;=90,"61-90","90+"))))</f>
        <v>Paid</v>
      </c>
      <c r="K620" s="16" t="str">
        <f aca="false">IF(H620&lt;=0.01,"Paid",IF(G620&gt;0,"Partially Paid","Unpaid"))</f>
        <v>Paid</v>
      </c>
    </row>
    <row r="621" customFormat="false" ht="15" hidden="false" customHeight="false" outlineLevel="0" collapsed="false">
      <c r="A621" s="16" t="str">
        <f aca="false">Vendor_Invoices_AP!A618</f>
        <v>INV30617</v>
      </c>
      <c r="B621" s="16" t="str">
        <f aca="false">Vendor_Invoices_AP!C618</f>
        <v>V1001</v>
      </c>
      <c r="C621" s="16" t="str">
        <f aca="false">IFERROR(INDEX(Vendor_Master!$B$2:$B$41,MATCH(B621,Vendor_Master!$A$2:$A$41,0)),"Unknown Vendor")</f>
        <v>Figueroa and Sons</v>
      </c>
      <c r="D621" s="17" t="n">
        <f aca="false">Vendor_Invoices_AP!D618</f>
        <v>45963</v>
      </c>
      <c r="E621" s="17" t="n">
        <f aca="false">Vendor_Invoices_AP!F618</f>
        <v>46008</v>
      </c>
      <c r="F621" s="18" t="n">
        <f aca="false">Vendor_Invoices_AP!E618</f>
        <v>1311.69</v>
      </c>
      <c r="G621" s="18" t="n">
        <f aca="false">SUMIFS(Payment_Log_AP!$E$2:$E$753,Payment_Log_AP!$B$2:$B$753,A621)</f>
        <v>1311.69</v>
      </c>
      <c r="H621" s="18" t="n">
        <f aca="false">F621-G621</f>
        <v>0</v>
      </c>
      <c r="I621" s="16" t="n">
        <f aca="false">IF(H621&lt;=0.01,0,MAX(Assumptions!$B$5-E621,0))</f>
        <v>0</v>
      </c>
      <c r="J621" s="16" t="str">
        <f aca="false">IF(H621&lt;=0.01,"Paid",IF(I621&lt;=30,"0-30",IF(I621&lt;=60,"31-60",IF(I621&lt;=90,"61-90","90+"))))</f>
        <v>Paid</v>
      </c>
      <c r="K621" s="16" t="str">
        <f aca="false">IF(H621&lt;=0.01,"Paid",IF(G621&gt;0,"Partially Paid","Unpaid"))</f>
        <v>Paid</v>
      </c>
    </row>
    <row r="622" customFormat="false" ht="15" hidden="false" customHeight="false" outlineLevel="0" collapsed="false">
      <c r="A622" s="16" t="str">
        <f aca="false">Vendor_Invoices_AP!A619</f>
        <v>INV30618</v>
      </c>
      <c r="B622" s="16" t="str">
        <f aca="false">Vendor_Invoices_AP!C619</f>
        <v>V1001</v>
      </c>
      <c r="C622" s="16" t="str">
        <f aca="false">IFERROR(INDEX(Vendor_Master!$B$2:$B$41,MATCH(B622,Vendor_Master!$A$2:$A$41,0)),"Unknown Vendor")</f>
        <v>Figueroa and Sons</v>
      </c>
      <c r="D622" s="17" t="n">
        <f aca="false">Vendor_Invoices_AP!D619</f>
        <v>45954</v>
      </c>
      <c r="E622" s="17" t="n">
        <f aca="false">Vendor_Invoices_AP!F619</f>
        <v>45999</v>
      </c>
      <c r="F622" s="18" t="n">
        <f aca="false">Vendor_Invoices_AP!E619</f>
        <v>1090.07</v>
      </c>
      <c r="G622" s="18" t="n">
        <f aca="false">SUMIFS(Payment_Log_AP!$E$2:$E$753,Payment_Log_AP!$B$2:$B$753,A622)</f>
        <v>2180.14</v>
      </c>
      <c r="H622" s="18" t="n">
        <f aca="false">F622-G622</f>
        <v>-1090.07</v>
      </c>
      <c r="I622" s="16" t="n">
        <f aca="false">IF(H622&lt;=0.01,0,MAX(Assumptions!$B$5-E622,0))</f>
        <v>0</v>
      </c>
      <c r="J622" s="16" t="str">
        <f aca="false">IF(H622&lt;=0.01,"Paid",IF(I622&lt;=30,"0-30",IF(I622&lt;=60,"31-60",IF(I622&lt;=90,"61-90","90+"))))</f>
        <v>Paid</v>
      </c>
      <c r="K622" s="16" t="str">
        <f aca="false">IF(H622&lt;=0.01,"Paid",IF(G622&gt;0,"Partially Paid","Unpaid"))</f>
        <v>Paid</v>
      </c>
    </row>
    <row r="623" customFormat="false" ht="15" hidden="false" customHeight="false" outlineLevel="0" collapsed="false">
      <c r="A623" s="16" t="str">
        <f aca="false">Vendor_Invoices_AP!A620</f>
        <v>INV30619</v>
      </c>
      <c r="B623" s="16" t="str">
        <f aca="false">Vendor_Invoices_AP!C620</f>
        <v>V1036</v>
      </c>
      <c r="C623" s="16" t="str">
        <f aca="false">IFERROR(INDEX(Vendor_Master!$B$2:$B$41,MATCH(B623,Vendor_Master!$A$2:$A$41,0)),"Unknown Vendor")</f>
        <v>Dennis Inc</v>
      </c>
      <c r="D623" s="17" t="n">
        <f aca="false">Vendor_Invoices_AP!D620</f>
        <v>46209</v>
      </c>
      <c r="E623" s="17" t="n">
        <f aca="false">Vendor_Invoices_AP!F620</f>
        <v>46254</v>
      </c>
      <c r="F623" s="18" t="n">
        <f aca="false">Vendor_Invoices_AP!E620</f>
        <v>4290.25</v>
      </c>
      <c r="G623" s="18" t="n">
        <f aca="false">SUMIFS(Payment_Log_AP!$E$2:$E$753,Payment_Log_AP!$B$2:$B$753,A623)</f>
        <v>0</v>
      </c>
      <c r="H623" s="18" t="n">
        <f aca="false">F623-G623</f>
        <v>4290.25</v>
      </c>
      <c r="I623" s="16" t="n">
        <f aca="false">IF(H623&lt;=0.01,0,MAX(Assumptions!$B$5-E623,0))</f>
        <v>0</v>
      </c>
      <c r="J623" s="16" t="str">
        <f aca="false">IF(H623&lt;=0.01,"Paid",IF(I623&lt;=30,"0-30",IF(I623&lt;=60,"31-60",IF(I623&lt;=90,"61-90","90+"))))</f>
        <v>0-30</v>
      </c>
      <c r="K623" s="16" t="str">
        <f aca="false">IF(H623&lt;=0.01,"Paid",IF(G623&gt;0,"Partially Paid","Unpaid"))</f>
        <v>Unpaid</v>
      </c>
    </row>
    <row r="624" customFormat="false" ht="15" hidden="false" customHeight="false" outlineLevel="0" collapsed="false">
      <c r="A624" s="16" t="str">
        <f aca="false">Vendor_Invoices_AP!A621</f>
        <v>INV30620</v>
      </c>
      <c r="B624" s="16" t="str">
        <f aca="false">Vendor_Invoices_AP!C621</f>
        <v>V1025</v>
      </c>
      <c r="C624" s="16" t="str">
        <f aca="false">IFERROR(INDEX(Vendor_Master!$B$2:$B$41,MATCH(B624,Vendor_Master!$A$2:$A$41,0)),"Unknown Vendor")</f>
        <v>Conner Group</v>
      </c>
      <c r="D624" s="17" t="n">
        <f aca="false">Vendor_Invoices_AP!D621</f>
        <v>45970</v>
      </c>
      <c r="E624" s="17" t="n">
        <f aca="false">Vendor_Invoices_AP!F621</f>
        <v>46015</v>
      </c>
      <c r="F624" s="18" t="n">
        <f aca="false">Vendor_Invoices_AP!E621</f>
        <v>60188.25</v>
      </c>
      <c r="G624" s="18" t="n">
        <f aca="false">SUMIFS(Payment_Log_AP!$E$2:$E$753,Payment_Log_AP!$B$2:$B$753,A624)</f>
        <v>0</v>
      </c>
      <c r="H624" s="18" t="n">
        <f aca="false">F624-G624</f>
        <v>60188.25</v>
      </c>
      <c r="I624" s="16" t="n">
        <f aca="false">IF(H624&lt;=0.01,0,MAX(Assumptions!$B$5-E624,0))</f>
        <v>219</v>
      </c>
      <c r="J624" s="16" t="str">
        <f aca="false">IF(H624&lt;=0.01,"Paid",IF(I624&lt;=30,"0-30",IF(I624&lt;=60,"31-60",IF(I624&lt;=90,"61-90","90+"))))</f>
        <v>90+</v>
      </c>
      <c r="K624" s="16" t="str">
        <f aca="false">IF(H624&lt;=0.01,"Paid",IF(G624&gt;0,"Partially Paid","Unpaid"))</f>
        <v>Unpaid</v>
      </c>
    </row>
    <row r="625" customFormat="false" ht="15" hidden="false" customHeight="false" outlineLevel="0" collapsed="false">
      <c r="A625" s="16" t="str">
        <f aca="false">Vendor_Invoices_AP!A622</f>
        <v>INV30621</v>
      </c>
      <c r="B625" s="16" t="str">
        <f aca="false">Vendor_Invoices_AP!C622</f>
        <v>V1034</v>
      </c>
      <c r="C625" s="16" t="str">
        <f aca="false">IFERROR(INDEX(Vendor_Master!$B$2:$B$41,MATCH(B625,Vendor_Master!$A$2:$A$41,0)),"Unknown Vendor")</f>
        <v>Koch-Decker</v>
      </c>
      <c r="D625" s="17" t="n">
        <f aca="false">Vendor_Invoices_AP!D622</f>
        <v>46180</v>
      </c>
      <c r="E625" s="17" t="n">
        <f aca="false">Vendor_Invoices_AP!F622</f>
        <v>46225</v>
      </c>
      <c r="F625" s="18" t="n">
        <f aca="false">Vendor_Invoices_AP!E622</f>
        <v>7933.72</v>
      </c>
      <c r="G625" s="18" t="n">
        <f aca="false">SUMIFS(Payment_Log_AP!$E$2:$E$753,Payment_Log_AP!$B$2:$B$753,A625)</f>
        <v>0</v>
      </c>
      <c r="H625" s="18" t="n">
        <f aca="false">F625-G625</f>
        <v>7933.72</v>
      </c>
      <c r="I625" s="16" t="n">
        <f aca="false">IF(H625&lt;=0.01,0,MAX(Assumptions!$B$5-E625,0))</f>
        <v>9</v>
      </c>
      <c r="J625" s="16" t="str">
        <f aca="false">IF(H625&lt;=0.01,"Paid",IF(I625&lt;=30,"0-30",IF(I625&lt;=60,"31-60",IF(I625&lt;=90,"61-90","90+"))))</f>
        <v>0-30</v>
      </c>
      <c r="K625" s="16" t="str">
        <f aca="false">IF(H625&lt;=0.01,"Paid",IF(G625&gt;0,"Partially Paid","Unpaid"))</f>
        <v>Unpaid</v>
      </c>
    </row>
    <row r="626" customFormat="false" ht="15" hidden="false" customHeight="false" outlineLevel="0" collapsed="false">
      <c r="A626" s="16" t="str">
        <f aca="false">Vendor_Invoices_AP!A623</f>
        <v>INV30622</v>
      </c>
      <c r="B626" s="16" t="str">
        <f aca="false">Vendor_Invoices_AP!C623</f>
        <v>V1024</v>
      </c>
      <c r="C626" s="16" t="str">
        <f aca="false">IFERROR(INDEX(Vendor_Master!$B$2:$B$41,MATCH(B626,Vendor_Master!$A$2:$A$41,0)),"Unknown Vendor")</f>
        <v>Campos Inc</v>
      </c>
      <c r="D626" s="17" t="n">
        <f aca="false">Vendor_Invoices_AP!D623</f>
        <v>46113</v>
      </c>
      <c r="E626" s="17" t="n">
        <f aca="false">Vendor_Invoices_AP!F623</f>
        <v>46173</v>
      </c>
      <c r="F626" s="18" t="n">
        <f aca="false">Vendor_Invoices_AP!E623</f>
        <v>2753.96</v>
      </c>
      <c r="G626" s="18" t="n">
        <f aca="false">SUMIFS(Payment_Log_AP!$E$2:$E$753,Payment_Log_AP!$B$2:$B$753,A626)</f>
        <v>2753.96</v>
      </c>
      <c r="H626" s="18" t="n">
        <f aca="false">F626-G626</f>
        <v>0</v>
      </c>
      <c r="I626" s="16" t="n">
        <f aca="false">IF(H626&lt;=0.01,0,MAX(Assumptions!$B$5-E626,0))</f>
        <v>0</v>
      </c>
      <c r="J626" s="16" t="str">
        <f aca="false">IF(H626&lt;=0.01,"Paid",IF(I626&lt;=30,"0-30",IF(I626&lt;=60,"31-60",IF(I626&lt;=90,"61-90","90+"))))</f>
        <v>Paid</v>
      </c>
      <c r="K626" s="16" t="str">
        <f aca="false">IF(H626&lt;=0.01,"Paid",IF(G626&gt;0,"Partially Paid","Unpaid"))</f>
        <v>Paid</v>
      </c>
    </row>
    <row r="627" customFormat="false" ht="15" hidden="false" customHeight="false" outlineLevel="0" collapsed="false">
      <c r="A627" s="16" t="str">
        <f aca="false">Vendor_Invoices_AP!A624</f>
        <v>INV30623</v>
      </c>
      <c r="B627" s="16" t="str">
        <f aca="false">Vendor_Invoices_AP!C624</f>
        <v>V1013</v>
      </c>
      <c r="C627" s="16" t="str">
        <f aca="false">IFERROR(INDEX(Vendor_Master!$B$2:$B$41,MATCH(B627,Vendor_Master!$A$2:$A$41,0)),"Unknown Vendor")</f>
        <v>Delacruz Group</v>
      </c>
      <c r="D627" s="17" t="n">
        <f aca="false">Vendor_Invoices_AP!D624</f>
        <v>45800</v>
      </c>
      <c r="E627" s="17" t="n">
        <f aca="false">Vendor_Invoices_AP!F624</f>
        <v>45815</v>
      </c>
      <c r="F627" s="18" t="n">
        <f aca="false">Vendor_Invoices_AP!E624</f>
        <v>5478.24</v>
      </c>
      <c r="G627" s="18" t="n">
        <f aca="false">SUMIFS(Payment_Log_AP!$E$2:$E$753,Payment_Log_AP!$B$2:$B$753,A627)</f>
        <v>10956.48</v>
      </c>
      <c r="H627" s="18" t="n">
        <f aca="false">F627-G627</f>
        <v>-5478.24</v>
      </c>
      <c r="I627" s="16" t="n">
        <f aca="false">IF(H627&lt;=0.01,0,MAX(Assumptions!$B$5-E627,0))</f>
        <v>0</v>
      </c>
      <c r="J627" s="16" t="str">
        <f aca="false">IF(H627&lt;=0.01,"Paid",IF(I627&lt;=30,"0-30",IF(I627&lt;=60,"31-60",IF(I627&lt;=90,"61-90","90+"))))</f>
        <v>Paid</v>
      </c>
      <c r="K627" s="16" t="str">
        <f aca="false">IF(H627&lt;=0.01,"Paid",IF(G627&gt;0,"Partially Paid","Unpaid"))</f>
        <v>Paid</v>
      </c>
    </row>
    <row r="628" customFormat="false" ht="15" hidden="false" customHeight="false" outlineLevel="0" collapsed="false">
      <c r="A628" s="16" t="str">
        <f aca="false">Vendor_Invoices_AP!A625</f>
        <v>INV30624</v>
      </c>
      <c r="B628" s="16" t="str">
        <f aca="false">Vendor_Invoices_AP!C625</f>
        <v>V1009</v>
      </c>
      <c r="C628" s="16" t="str">
        <f aca="false">IFERROR(INDEX(Vendor_Master!$B$2:$B$41,MATCH(B628,Vendor_Master!$A$2:$A$41,0)),"Unknown Vendor")</f>
        <v>Munoz-Roman</v>
      </c>
      <c r="D628" s="17" t="n">
        <f aca="false">Vendor_Invoices_AP!D625</f>
        <v>46110</v>
      </c>
      <c r="E628" s="17" t="n">
        <f aca="false">Vendor_Invoices_AP!F625</f>
        <v>46140</v>
      </c>
      <c r="F628" s="18" t="n">
        <f aca="false">Vendor_Invoices_AP!E625</f>
        <v>581.73</v>
      </c>
      <c r="G628" s="18" t="n">
        <f aca="false">SUMIFS(Payment_Log_AP!$E$2:$E$753,Payment_Log_AP!$B$2:$B$753,A628)</f>
        <v>581.73</v>
      </c>
      <c r="H628" s="18" t="n">
        <f aca="false">F628-G628</f>
        <v>0</v>
      </c>
      <c r="I628" s="16" t="n">
        <f aca="false">IF(H628&lt;=0.01,0,MAX(Assumptions!$B$5-E628,0))</f>
        <v>0</v>
      </c>
      <c r="J628" s="16" t="str">
        <f aca="false">IF(H628&lt;=0.01,"Paid",IF(I628&lt;=30,"0-30",IF(I628&lt;=60,"31-60",IF(I628&lt;=90,"61-90","90+"))))</f>
        <v>Paid</v>
      </c>
      <c r="K628" s="16" t="str">
        <f aca="false">IF(H628&lt;=0.01,"Paid",IF(G628&gt;0,"Partially Paid","Unpaid"))</f>
        <v>Paid</v>
      </c>
    </row>
    <row r="629" customFormat="false" ht="15" hidden="false" customHeight="false" outlineLevel="0" collapsed="false">
      <c r="A629" s="16" t="str">
        <f aca="false">Vendor_Invoices_AP!A626</f>
        <v>INV30625</v>
      </c>
      <c r="B629" s="16" t="str">
        <f aca="false">Vendor_Invoices_AP!C626</f>
        <v>V1005</v>
      </c>
      <c r="C629" s="16" t="str">
        <f aca="false">IFERROR(INDEX(Vendor_Master!$B$2:$B$41,MATCH(B629,Vendor_Master!$A$2:$A$41,0)),"Unknown Vendor")</f>
        <v>Cole LLC</v>
      </c>
      <c r="D629" s="17" t="n">
        <f aca="false">Vendor_Invoices_AP!D626</f>
        <v>45922</v>
      </c>
      <c r="E629" s="17" t="n">
        <f aca="false">Vendor_Invoices_AP!F626</f>
        <v>45937</v>
      </c>
      <c r="F629" s="18" t="n">
        <f aca="false">Vendor_Invoices_AP!E626</f>
        <v>2739.78</v>
      </c>
      <c r="G629" s="18" t="n">
        <f aca="false">SUMIFS(Payment_Log_AP!$E$2:$E$753,Payment_Log_AP!$B$2:$B$753,A629)</f>
        <v>5479.56</v>
      </c>
      <c r="H629" s="18" t="n">
        <f aca="false">F629-G629</f>
        <v>-2739.78</v>
      </c>
      <c r="I629" s="16" t="n">
        <f aca="false">IF(H629&lt;=0.01,0,MAX(Assumptions!$B$5-E629,0))</f>
        <v>0</v>
      </c>
      <c r="J629" s="16" t="str">
        <f aca="false">IF(H629&lt;=0.01,"Paid",IF(I629&lt;=30,"0-30",IF(I629&lt;=60,"31-60",IF(I629&lt;=90,"61-90","90+"))))</f>
        <v>Paid</v>
      </c>
      <c r="K629" s="16" t="str">
        <f aca="false">IF(H629&lt;=0.01,"Paid",IF(G629&gt;0,"Partially Paid","Unpaid"))</f>
        <v>Paid</v>
      </c>
    </row>
    <row r="630" customFormat="false" ht="15" hidden="false" customHeight="false" outlineLevel="0" collapsed="false">
      <c r="A630" s="16" t="str">
        <f aca="false">Vendor_Invoices_AP!A627</f>
        <v>INV30626</v>
      </c>
      <c r="B630" s="16" t="str">
        <f aca="false">Vendor_Invoices_AP!C627</f>
        <v>V1011</v>
      </c>
      <c r="C630" s="16" t="str">
        <f aca="false">IFERROR(INDEX(Vendor_Master!$B$2:$B$41,MATCH(B630,Vendor_Master!$A$2:$A$41,0)),"Unknown Vendor")</f>
        <v>Montgomery, Hensley and Ray</v>
      </c>
      <c r="D630" s="17" t="n">
        <f aca="false">Vendor_Invoices_AP!D627</f>
        <v>46108</v>
      </c>
      <c r="E630" s="17" t="n">
        <f aca="false">Vendor_Invoices_AP!F627</f>
        <v>46153</v>
      </c>
      <c r="F630" s="18" t="n">
        <f aca="false">Vendor_Invoices_AP!E627</f>
        <v>329.34</v>
      </c>
      <c r="G630" s="18" t="n">
        <f aca="false">SUMIFS(Payment_Log_AP!$E$2:$E$753,Payment_Log_AP!$B$2:$B$753,A630)</f>
        <v>329.34</v>
      </c>
      <c r="H630" s="18" t="n">
        <f aca="false">F630-G630</f>
        <v>0</v>
      </c>
      <c r="I630" s="16" t="n">
        <f aca="false">IF(H630&lt;=0.01,0,MAX(Assumptions!$B$5-E630,0))</f>
        <v>0</v>
      </c>
      <c r="J630" s="16" t="str">
        <f aca="false">IF(H630&lt;=0.01,"Paid",IF(I630&lt;=30,"0-30",IF(I630&lt;=60,"31-60",IF(I630&lt;=90,"61-90","90+"))))</f>
        <v>Paid</v>
      </c>
      <c r="K630" s="16" t="str">
        <f aca="false">IF(H630&lt;=0.01,"Paid",IF(G630&gt;0,"Partially Paid","Unpaid"))</f>
        <v>Paid</v>
      </c>
    </row>
    <row r="631" customFormat="false" ht="15" hidden="false" customHeight="false" outlineLevel="0" collapsed="false">
      <c r="A631" s="16" t="str">
        <f aca="false">Vendor_Invoices_AP!A628</f>
        <v>INV30627</v>
      </c>
      <c r="B631" s="16" t="str">
        <f aca="false">Vendor_Invoices_AP!C628</f>
        <v>V1027</v>
      </c>
      <c r="C631" s="16" t="str">
        <f aca="false">IFERROR(INDEX(Vendor_Master!$B$2:$B$41,MATCH(B631,Vendor_Master!$A$2:$A$41,0)),"Unknown Vendor")</f>
        <v>Valencia, Smith and Le</v>
      </c>
      <c r="D631" s="17" t="n">
        <f aca="false">Vendor_Invoices_AP!D628</f>
        <v>46085</v>
      </c>
      <c r="E631" s="17" t="n">
        <f aca="false">Vendor_Invoices_AP!F628</f>
        <v>46130</v>
      </c>
      <c r="F631" s="18" t="n">
        <f aca="false">Vendor_Invoices_AP!E628</f>
        <v>1253.19</v>
      </c>
      <c r="G631" s="18" t="n">
        <f aca="false">SUMIFS(Payment_Log_AP!$E$2:$E$753,Payment_Log_AP!$B$2:$B$753,A631)</f>
        <v>0</v>
      </c>
      <c r="H631" s="18" t="n">
        <f aca="false">F631-G631</f>
        <v>1253.19</v>
      </c>
      <c r="I631" s="16" t="n">
        <f aca="false">IF(H631&lt;=0.01,0,MAX(Assumptions!$B$5-E631,0))</f>
        <v>104</v>
      </c>
      <c r="J631" s="16" t="str">
        <f aca="false">IF(H631&lt;=0.01,"Paid",IF(I631&lt;=30,"0-30",IF(I631&lt;=60,"31-60",IF(I631&lt;=90,"61-90","90+"))))</f>
        <v>90+</v>
      </c>
      <c r="K631" s="16" t="str">
        <f aca="false">IF(H631&lt;=0.01,"Paid",IF(G631&gt;0,"Partially Paid","Unpaid"))</f>
        <v>Unpaid</v>
      </c>
    </row>
    <row r="632" customFormat="false" ht="15" hidden="false" customHeight="false" outlineLevel="0" collapsed="false">
      <c r="A632" s="16" t="str">
        <f aca="false">Vendor_Invoices_AP!A629</f>
        <v>INV30628</v>
      </c>
      <c r="B632" s="16" t="str">
        <f aca="false">Vendor_Invoices_AP!C629</f>
        <v>V1024</v>
      </c>
      <c r="C632" s="16" t="str">
        <f aca="false">IFERROR(INDEX(Vendor_Master!$B$2:$B$41,MATCH(B632,Vendor_Master!$A$2:$A$41,0)),"Unknown Vendor")</f>
        <v>Campos Inc</v>
      </c>
      <c r="D632" s="17" t="n">
        <f aca="false">Vendor_Invoices_AP!D629</f>
        <v>45847</v>
      </c>
      <c r="E632" s="17" t="n">
        <f aca="false">Vendor_Invoices_AP!F629</f>
        <v>45907</v>
      </c>
      <c r="F632" s="18" t="n">
        <f aca="false">Vendor_Invoices_AP!E629</f>
        <v>5307.07</v>
      </c>
      <c r="G632" s="18" t="n">
        <f aca="false">SUMIFS(Payment_Log_AP!$E$2:$E$753,Payment_Log_AP!$B$2:$B$753,A632)</f>
        <v>5307.07</v>
      </c>
      <c r="H632" s="18" t="n">
        <f aca="false">F632-G632</f>
        <v>0</v>
      </c>
      <c r="I632" s="16" t="n">
        <f aca="false">IF(H632&lt;=0.01,0,MAX(Assumptions!$B$5-E632,0))</f>
        <v>0</v>
      </c>
      <c r="J632" s="16" t="str">
        <f aca="false">IF(H632&lt;=0.01,"Paid",IF(I632&lt;=30,"0-30",IF(I632&lt;=60,"31-60",IF(I632&lt;=90,"61-90","90+"))))</f>
        <v>Paid</v>
      </c>
      <c r="K632" s="16" t="str">
        <f aca="false">IF(H632&lt;=0.01,"Paid",IF(G632&gt;0,"Partially Paid","Unpaid"))</f>
        <v>Paid</v>
      </c>
    </row>
    <row r="633" customFormat="false" ht="15" hidden="false" customHeight="false" outlineLevel="0" collapsed="false">
      <c r="A633" s="16" t="str">
        <f aca="false">Vendor_Invoices_AP!A630</f>
        <v>INV30629</v>
      </c>
      <c r="B633" s="16" t="str">
        <f aca="false">Vendor_Invoices_AP!C630</f>
        <v>V1004</v>
      </c>
      <c r="C633" s="16" t="str">
        <f aca="false">IFERROR(INDEX(Vendor_Master!$B$2:$B$41,MATCH(B633,Vendor_Master!$A$2:$A$41,0)),"Unknown Vendor")</f>
        <v>Johnson, Gonzalez and Santos</v>
      </c>
      <c r="D633" s="17" t="n">
        <f aca="false">Vendor_Invoices_AP!D630</f>
        <v>45741</v>
      </c>
      <c r="E633" s="17" t="n">
        <f aca="false">Vendor_Invoices_AP!F630</f>
        <v>45756</v>
      </c>
      <c r="F633" s="18" t="n">
        <f aca="false">Vendor_Invoices_AP!E630</f>
        <v>4575.5</v>
      </c>
      <c r="G633" s="18" t="n">
        <f aca="false">SUMIFS(Payment_Log_AP!$E$2:$E$753,Payment_Log_AP!$B$2:$B$753,A633)</f>
        <v>4575.5</v>
      </c>
      <c r="H633" s="18" t="n">
        <f aca="false">F633-G633</f>
        <v>0</v>
      </c>
      <c r="I633" s="16" t="n">
        <f aca="false">IF(H633&lt;=0.01,0,MAX(Assumptions!$B$5-E633,0))</f>
        <v>0</v>
      </c>
      <c r="J633" s="16" t="str">
        <f aca="false">IF(H633&lt;=0.01,"Paid",IF(I633&lt;=30,"0-30",IF(I633&lt;=60,"31-60",IF(I633&lt;=90,"61-90","90+"))))</f>
        <v>Paid</v>
      </c>
      <c r="K633" s="16" t="str">
        <f aca="false">IF(H633&lt;=0.01,"Paid",IF(G633&gt;0,"Partially Paid","Unpaid"))</f>
        <v>Paid</v>
      </c>
    </row>
    <row r="634" customFormat="false" ht="15" hidden="false" customHeight="false" outlineLevel="0" collapsed="false">
      <c r="A634" s="16" t="str">
        <f aca="false">Vendor_Invoices_AP!A631</f>
        <v>INV30630</v>
      </c>
      <c r="B634" s="16" t="str">
        <f aca="false">Vendor_Invoices_AP!C631</f>
        <v>V1013</v>
      </c>
      <c r="C634" s="16" t="str">
        <f aca="false">IFERROR(INDEX(Vendor_Master!$B$2:$B$41,MATCH(B634,Vendor_Master!$A$2:$A$41,0)),"Unknown Vendor")</f>
        <v>Delacruz Group</v>
      </c>
      <c r="D634" s="17" t="n">
        <f aca="false">Vendor_Invoices_AP!D631</f>
        <v>46197</v>
      </c>
      <c r="E634" s="17" t="n">
        <f aca="false">Vendor_Invoices_AP!F631</f>
        <v>46212</v>
      </c>
      <c r="F634" s="18" t="n">
        <f aca="false">Vendor_Invoices_AP!E631</f>
        <v>9603.81</v>
      </c>
      <c r="G634" s="18" t="n">
        <f aca="false">SUMIFS(Payment_Log_AP!$E$2:$E$753,Payment_Log_AP!$B$2:$B$753,A634)</f>
        <v>0</v>
      </c>
      <c r="H634" s="18" t="n">
        <f aca="false">F634-G634</f>
        <v>9603.81</v>
      </c>
      <c r="I634" s="16" t="n">
        <f aca="false">IF(H634&lt;=0.01,0,MAX(Assumptions!$B$5-E634,0))</f>
        <v>22</v>
      </c>
      <c r="J634" s="16" t="str">
        <f aca="false">IF(H634&lt;=0.01,"Paid",IF(I634&lt;=30,"0-30",IF(I634&lt;=60,"31-60",IF(I634&lt;=90,"61-90","90+"))))</f>
        <v>0-30</v>
      </c>
      <c r="K634" s="16" t="str">
        <f aca="false">IF(H634&lt;=0.01,"Paid",IF(G634&gt;0,"Partially Paid","Unpaid"))</f>
        <v>Unpaid</v>
      </c>
    </row>
    <row r="635" customFormat="false" ht="15" hidden="false" customHeight="false" outlineLevel="0" collapsed="false">
      <c r="A635" s="16" t="str">
        <f aca="false">Vendor_Invoices_AP!A632</f>
        <v>INV30631</v>
      </c>
      <c r="B635" s="16" t="str">
        <f aca="false">Vendor_Invoices_AP!C632</f>
        <v>V1024</v>
      </c>
      <c r="C635" s="16" t="str">
        <f aca="false">IFERROR(INDEX(Vendor_Master!$B$2:$B$41,MATCH(B635,Vendor_Master!$A$2:$A$41,0)),"Unknown Vendor")</f>
        <v>Campos Inc</v>
      </c>
      <c r="D635" s="17" t="n">
        <f aca="false">Vendor_Invoices_AP!D632</f>
        <v>45759</v>
      </c>
      <c r="E635" s="17" t="n">
        <f aca="false">Vendor_Invoices_AP!F632</f>
        <v>45819</v>
      </c>
      <c r="F635" s="18" t="n">
        <f aca="false">Vendor_Invoices_AP!E632</f>
        <v>4978.47</v>
      </c>
      <c r="G635" s="18" t="n">
        <f aca="false">SUMIFS(Payment_Log_AP!$E$2:$E$753,Payment_Log_AP!$B$2:$B$753,A635)</f>
        <v>4978.47</v>
      </c>
      <c r="H635" s="18" t="n">
        <f aca="false">F635-G635</f>
        <v>0</v>
      </c>
      <c r="I635" s="16" t="n">
        <f aca="false">IF(H635&lt;=0.01,0,MAX(Assumptions!$B$5-E635,0))</f>
        <v>0</v>
      </c>
      <c r="J635" s="16" t="str">
        <f aca="false">IF(H635&lt;=0.01,"Paid",IF(I635&lt;=30,"0-30",IF(I635&lt;=60,"31-60",IF(I635&lt;=90,"61-90","90+"))))</f>
        <v>Paid</v>
      </c>
      <c r="K635" s="16" t="str">
        <f aca="false">IF(H635&lt;=0.01,"Paid",IF(G635&gt;0,"Partially Paid","Unpaid"))</f>
        <v>Paid</v>
      </c>
    </row>
    <row r="636" customFormat="false" ht="15" hidden="false" customHeight="false" outlineLevel="0" collapsed="false">
      <c r="A636" s="16" t="str">
        <f aca="false">Vendor_Invoices_AP!A633</f>
        <v>INV30632</v>
      </c>
      <c r="B636" s="16" t="str">
        <f aca="false">Vendor_Invoices_AP!C633</f>
        <v>V1031</v>
      </c>
      <c r="C636" s="16" t="str">
        <f aca="false">IFERROR(INDEX(Vendor_Master!$B$2:$B$41,MATCH(B636,Vendor_Master!$A$2:$A$41,0)),"Unknown Vendor")</f>
        <v>Harrell LLC</v>
      </c>
      <c r="D636" s="17" t="n">
        <f aca="false">Vendor_Invoices_AP!D633</f>
        <v>46207</v>
      </c>
      <c r="E636" s="17" t="n">
        <f aca="false">Vendor_Invoices_AP!F633</f>
        <v>46222</v>
      </c>
      <c r="F636" s="18" t="n">
        <f aca="false">Vendor_Invoices_AP!E633</f>
        <v>4144.18</v>
      </c>
      <c r="G636" s="18" t="n">
        <f aca="false">SUMIFS(Payment_Log_AP!$E$2:$E$753,Payment_Log_AP!$B$2:$B$753,A636)</f>
        <v>0</v>
      </c>
      <c r="H636" s="18" t="n">
        <f aca="false">F636-G636</f>
        <v>4144.18</v>
      </c>
      <c r="I636" s="16" t="n">
        <f aca="false">IF(H636&lt;=0.01,0,MAX(Assumptions!$B$5-E636,0))</f>
        <v>12</v>
      </c>
      <c r="J636" s="16" t="str">
        <f aca="false">IF(H636&lt;=0.01,"Paid",IF(I636&lt;=30,"0-30",IF(I636&lt;=60,"31-60",IF(I636&lt;=90,"61-90","90+"))))</f>
        <v>0-30</v>
      </c>
      <c r="K636" s="16" t="str">
        <f aca="false">IF(H636&lt;=0.01,"Paid",IF(G636&gt;0,"Partially Paid","Unpaid"))</f>
        <v>Unpaid</v>
      </c>
    </row>
    <row r="637" customFormat="false" ht="15" hidden="false" customHeight="false" outlineLevel="0" collapsed="false">
      <c r="A637" s="16" t="str">
        <f aca="false">Vendor_Invoices_AP!A634</f>
        <v>INV30633</v>
      </c>
      <c r="B637" s="16" t="str">
        <f aca="false">Vendor_Invoices_AP!C634</f>
        <v>V1024</v>
      </c>
      <c r="C637" s="16" t="str">
        <f aca="false">IFERROR(INDEX(Vendor_Master!$B$2:$B$41,MATCH(B637,Vendor_Master!$A$2:$A$41,0)),"Unknown Vendor")</f>
        <v>Campos Inc</v>
      </c>
      <c r="D637" s="17" t="n">
        <f aca="false">Vendor_Invoices_AP!D634</f>
        <v>46134</v>
      </c>
      <c r="E637" s="17" t="n">
        <f aca="false">Vendor_Invoices_AP!F634</f>
        <v>46194</v>
      </c>
      <c r="F637" s="18" t="n">
        <f aca="false">Vendor_Invoices_AP!E634</f>
        <v>4005.11</v>
      </c>
      <c r="G637" s="18" t="n">
        <f aca="false">SUMIFS(Payment_Log_AP!$E$2:$E$753,Payment_Log_AP!$B$2:$B$753,A637)</f>
        <v>4005.11</v>
      </c>
      <c r="H637" s="18" t="n">
        <f aca="false">F637-G637</f>
        <v>0</v>
      </c>
      <c r="I637" s="16" t="n">
        <f aca="false">IF(H637&lt;=0.01,0,MAX(Assumptions!$B$5-E637,0))</f>
        <v>0</v>
      </c>
      <c r="J637" s="16" t="str">
        <f aca="false">IF(H637&lt;=0.01,"Paid",IF(I637&lt;=30,"0-30",IF(I637&lt;=60,"31-60",IF(I637&lt;=90,"61-90","90+"))))</f>
        <v>Paid</v>
      </c>
      <c r="K637" s="16" t="str">
        <f aca="false">IF(H637&lt;=0.01,"Paid",IF(G637&gt;0,"Partially Paid","Unpaid"))</f>
        <v>Paid</v>
      </c>
    </row>
    <row r="638" customFormat="false" ht="15" hidden="false" customHeight="false" outlineLevel="0" collapsed="false">
      <c r="A638" s="16" t="str">
        <f aca="false">Vendor_Invoices_AP!A635</f>
        <v>INV30634</v>
      </c>
      <c r="B638" s="16" t="str">
        <f aca="false">Vendor_Invoices_AP!C635</f>
        <v>V1003</v>
      </c>
      <c r="C638" s="16" t="str">
        <f aca="false">IFERROR(INDEX(Vendor_Master!$B$2:$B$41,MATCH(B638,Vendor_Master!$A$2:$A$41,0)),"Unknown Vendor")</f>
        <v>Johnson and Sons</v>
      </c>
      <c r="D638" s="17" t="n">
        <f aca="false">Vendor_Invoices_AP!D635</f>
        <v>46064</v>
      </c>
      <c r="E638" s="17" t="n">
        <f aca="false">Vendor_Invoices_AP!F635</f>
        <v>46079</v>
      </c>
      <c r="F638" s="18" t="n">
        <f aca="false">Vendor_Invoices_AP!E635</f>
        <v>1866.99</v>
      </c>
      <c r="G638" s="18" t="n">
        <f aca="false">SUMIFS(Payment_Log_AP!$E$2:$E$753,Payment_Log_AP!$B$2:$B$753,A638)</f>
        <v>1866.99</v>
      </c>
      <c r="H638" s="18" t="n">
        <f aca="false">F638-G638</f>
        <v>0</v>
      </c>
      <c r="I638" s="16" t="n">
        <f aca="false">IF(H638&lt;=0.01,0,MAX(Assumptions!$B$5-E638,0))</f>
        <v>0</v>
      </c>
      <c r="J638" s="16" t="str">
        <f aca="false">IF(H638&lt;=0.01,"Paid",IF(I638&lt;=30,"0-30",IF(I638&lt;=60,"31-60",IF(I638&lt;=90,"61-90","90+"))))</f>
        <v>Paid</v>
      </c>
      <c r="K638" s="16" t="str">
        <f aca="false">IF(H638&lt;=0.01,"Paid",IF(G638&gt;0,"Partially Paid","Unpaid"))</f>
        <v>Paid</v>
      </c>
    </row>
    <row r="639" customFormat="false" ht="15" hidden="false" customHeight="false" outlineLevel="0" collapsed="false">
      <c r="A639" s="16" t="str">
        <f aca="false">Vendor_Invoices_AP!A636</f>
        <v>INV30635</v>
      </c>
      <c r="B639" s="16" t="str">
        <f aca="false">Vendor_Invoices_AP!C636</f>
        <v>V1031</v>
      </c>
      <c r="C639" s="16" t="str">
        <f aca="false">IFERROR(INDEX(Vendor_Master!$B$2:$B$41,MATCH(B639,Vendor_Master!$A$2:$A$41,0)),"Unknown Vendor")</f>
        <v>Harrell LLC</v>
      </c>
      <c r="D639" s="17" t="n">
        <f aca="false">Vendor_Invoices_AP!D636</f>
        <v>46207</v>
      </c>
      <c r="E639" s="17" t="n">
        <f aca="false">Vendor_Invoices_AP!F636</f>
        <v>46222</v>
      </c>
      <c r="F639" s="18" t="n">
        <f aca="false">Vendor_Invoices_AP!E636</f>
        <v>21270.63</v>
      </c>
      <c r="G639" s="18" t="n">
        <f aca="false">SUMIFS(Payment_Log_AP!$E$2:$E$753,Payment_Log_AP!$B$2:$B$753,A639)</f>
        <v>0</v>
      </c>
      <c r="H639" s="18" t="n">
        <f aca="false">F639-G639</f>
        <v>21270.63</v>
      </c>
      <c r="I639" s="16" t="n">
        <f aca="false">IF(H639&lt;=0.01,0,MAX(Assumptions!$B$5-E639,0))</f>
        <v>12</v>
      </c>
      <c r="J639" s="16" t="str">
        <f aca="false">IF(H639&lt;=0.01,"Paid",IF(I639&lt;=30,"0-30",IF(I639&lt;=60,"31-60",IF(I639&lt;=90,"61-90","90+"))))</f>
        <v>0-30</v>
      </c>
      <c r="K639" s="16" t="str">
        <f aca="false">IF(H639&lt;=0.01,"Paid",IF(G639&gt;0,"Partially Paid","Unpaid"))</f>
        <v>Unpaid</v>
      </c>
    </row>
    <row r="640" customFormat="false" ht="15" hidden="false" customHeight="false" outlineLevel="0" collapsed="false">
      <c r="A640" s="16" t="str">
        <f aca="false">Vendor_Invoices_AP!A637</f>
        <v>INV30636</v>
      </c>
      <c r="B640" s="16" t="str">
        <f aca="false">Vendor_Invoices_AP!C637</f>
        <v>V1031</v>
      </c>
      <c r="C640" s="16" t="str">
        <f aca="false">IFERROR(INDEX(Vendor_Master!$B$2:$B$41,MATCH(B640,Vendor_Master!$A$2:$A$41,0)),"Unknown Vendor")</f>
        <v>Harrell LLC</v>
      </c>
      <c r="D640" s="17" t="n">
        <f aca="false">Vendor_Invoices_AP!D637</f>
        <v>46192</v>
      </c>
      <c r="E640" s="17" t="n">
        <f aca="false">Vendor_Invoices_AP!F637</f>
        <v>46207</v>
      </c>
      <c r="F640" s="18" t="n">
        <f aca="false">Vendor_Invoices_AP!E637</f>
        <v>10172.24</v>
      </c>
      <c r="G640" s="18" t="n">
        <f aca="false">SUMIFS(Payment_Log_AP!$E$2:$E$753,Payment_Log_AP!$B$2:$B$753,A640)</f>
        <v>0</v>
      </c>
      <c r="H640" s="18" t="n">
        <f aca="false">F640-G640</f>
        <v>10172.24</v>
      </c>
      <c r="I640" s="16" t="n">
        <f aca="false">IF(H640&lt;=0.01,0,MAX(Assumptions!$B$5-E640,0))</f>
        <v>27</v>
      </c>
      <c r="J640" s="16" t="str">
        <f aca="false">IF(H640&lt;=0.01,"Paid",IF(I640&lt;=30,"0-30",IF(I640&lt;=60,"31-60",IF(I640&lt;=90,"61-90","90+"))))</f>
        <v>0-30</v>
      </c>
      <c r="K640" s="16" t="str">
        <f aca="false">IF(H640&lt;=0.01,"Paid",IF(G640&gt;0,"Partially Paid","Unpaid"))</f>
        <v>Unpaid</v>
      </c>
    </row>
    <row r="641" customFormat="false" ht="15" hidden="false" customHeight="false" outlineLevel="0" collapsed="false">
      <c r="A641" s="16" t="str">
        <f aca="false">Vendor_Invoices_AP!A638</f>
        <v>INV30637</v>
      </c>
      <c r="B641" s="16" t="str">
        <f aca="false">Vendor_Invoices_AP!C638</f>
        <v>V1032</v>
      </c>
      <c r="C641" s="16" t="str">
        <f aca="false">IFERROR(INDEX(Vendor_Master!$B$2:$B$41,MATCH(B641,Vendor_Master!$A$2:$A$41,0)),"Unknown Vendor")</f>
        <v>Lynch, Hernandez and Farmer</v>
      </c>
      <c r="D641" s="17" t="n">
        <f aca="false">Vendor_Invoices_AP!D638</f>
        <v>46099</v>
      </c>
      <c r="E641" s="17" t="n">
        <f aca="false">Vendor_Invoices_AP!F638</f>
        <v>46159</v>
      </c>
      <c r="F641" s="18" t="n">
        <f aca="false">Vendor_Invoices_AP!E638</f>
        <v>718.68</v>
      </c>
      <c r="G641" s="18" t="n">
        <f aca="false">SUMIFS(Payment_Log_AP!$E$2:$E$753,Payment_Log_AP!$B$2:$B$753,A641)</f>
        <v>0</v>
      </c>
      <c r="H641" s="18" t="n">
        <f aca="false">F641-G641</f>
        <v>718.68</v>
      </c>
      <c r="I641" s="16" t="n">
        <f aca="false">IF(H641&lt;=0.01,0,MAX(Assumptions!$B$5-E641,0))</f>
        <v>75</v>
      </c>
      <c r="J641" s="16" t="str">
        <f aca="false">IF(H641&lt;=0.01,"Paid",IF(I641&lt;=30,"0-30",IF(I641&lt;=60,"31-60",IF(I641&lt;=90,"61-90","90+"))))</f>
        <v>61-90</v>
      </c>
      <c r="K641" s="16" t="str">
        <f aca="false">IF(H641&lt;=0.01,"Paid",IF(G641&gt;0,"Partially Paid","Unpaid"))</f>
        <v>Unpaid</v>
      </c>
    </row>
    <row r="642" customFormat="false" ht="15" hidden="false" customHeight="false" outlineLevel="0" collapsed="false">
      <c r="A642" s="16" t="str">
        <f aca="false">Vendor_Invoices_AP!A639</f>
        <v>INV30638</v>
      </c>
      <c r="B642" s="16" t="str">
        <f aca="false">Vendor_Invoices_AP!C639</f>
        <v>V1033</v>
      </c>
      <c r="C642" s="16" t="str">
        <f aca="false">IFERROR(INDEX(Vendor_Master!$B$2:$B$41,MATCH(B642,Vendor_Master!$A$2:$A$41,0)),"Unknown Vendor")</f>
        <v>Sellers, George and Burns</v>
      </c>
      <c r="D642" s="17" t="n">
        <f aca="false">Vendor_Invoices_AP!D639</f>
        <v>45879</v>
      </c>
      <c r="E642" s="17" t="n">
        <f aca="false">Vendor_Invoices_AP!F639</f>
        <v>45939</v>
      </c>
      <c r="F642" s="18" t="n">
        <f aca="false">Vendor_Invoices_AP!E639</f>
        <v>666.83</v>
      </c>
      <c r="G642" s="18" t="n">
        <f aca="false">SUMIFS(Payment_Log_AP!$E$2:$E$753,Payment_Log_AP!$B$2:$B$753,A642)</f>
        <v>0</v>
      </c>
      <c r="H642" s="18" t="n">
        <f aca="false">F642-G642</f>
        <v>666.83</v>
      </c>
      <c r="I642" s="16" t="n">
        <f aca="false">IF(H642&lt;=0.01,0,MAX(Assumptions!$B$5-E642,0))</f>
        <v>295</v>
      </c>
      <c r="J642" s="16" t="str">
        <f aca="false">IF(H642&lt;=0.01,"Paid",IF(I642&lt;=30,"0-30",IF(I642&lt;=60,"31-60",IF(I642&lt;=90,"61-90","90+"))))</f>
        <v>90+</v>
      </c>
      <c r="K642" s="16" t="str">
        <f aca="false">IF(H642&lt;=0.01,"Paid",IF(G642&gt;0,"Partially Paid","Unpaid"))</f>
        <v>Unpaid</v>
      </c>
    </row>
    <row r="643" customFormat="false" ht="15" hidden="false" customHeight="false" outlineLevel="0" collapsed="false">
      <c r="A643" s="16" t="str">
        <f aca="false">Vendor_Invoices_AP!A640</f>
        <v>INV30639</v>
      </c>
      <c r="B643" s="16" t="str">
        <f aca="false">Vendor_Invoices_AP!C640</f>
        <v>V1003</v>
      </c>
      <c r="C643" s="16" t="str">
        <f aca="false">IFERROR(INDEX(Vendor_Master!$B$2:$B$41,MATCH(B643,Vendor_Master!$A$2:$A$41,0)),"Unknown Vendor")</f>
        <v>Johnson and Sons</v>
      </c>
      <c r="D643" s="17" t="n">
        <f aca="false">Vendor_Invoices_AP!D640</f>
        <v>46090</v>
      </c>
      <c r="E643" s="17" t="n">
        <f aca="false">Vendor_Invoices_AP!F640</f>
        <v>46105</v>
      </c>
      <c r="F643" s="18" t="n">
        <f aca="false">Vendor_Invoices_AP!E640</f>
        <v>1590.48</v>
      </c>
      <c r="G643" s="18" t="n">
        <f aca="false">SUMIFS(Payment_Log_AP!$E$2:$E$753,Payment_Log_AP!$B$2:$B$753,A643)</f>
        <v>0</v>
      </c>
      <c r="H643" s="18" t="n">
        <f aca="false">F643-G643</f>
        <v>1590.48</v>
      </c>
      <c r="I643" s="16" t="n">
        <f aca="false">IF(H643&lt;=0.01,0,MAX(Assumptions!$B$5-E643,0))</f>
        <v>129</v>
      </c>
      <c r="J643" s="16" t="str">
        <f aca="false">IF(H643&lt;=0.01,"Paid",IF(I643&lt;=30,"0-30",IF(I643&lt;=60,"31-60",IF(I643&lt;=90,"61-90","90+"))))</f>
        <v>90+</v>
      </c>
      <c r="K643" s="16" t="str">
        <f aca="false">IF(H643&lt;=0.01,"Paid",IF(G643&gt;0,"Partially Paid","Unpaid"))</f>
        <v>Unpaid</v>
      </c>
    </row>
    <row r="644" customFormat="false" ht="15" hidden="false" customHeight="false" outlineLevel="0" collapsed="false">
      <c r="A644" s="16" t="str">
        <f aca="false">Vendor_Invoices_AP!A641</f>
        <v>INV30640</v>
      </c>
      <c r="B644" s="16" t="str">
        <f aca="false">Vendor_Invoices_AP!C641</f>
        <v>V1007</v>
      </c>
      <c r="C644" s="16" t="str">
        <f aca="false">IFERROR(INDEX(Vendor_Master!$B$2:$B$41,MATCH(B644,Vendor_Master!$A$2:$A$41,0)),"Unknown Vendor")</f>
        <v>Ramirez-Lewis</v>
      </c>
      <c r="D644" s="17" t="n">
        <f aca="false">Vendor_Invoices_AP!D641</f>
        <v>45667</v>
      </c>
      <c r="E644" s="17" t="n">
        <f aca="false">Vendor_Invoices_AP!F641</f>
        <v>45682</v>
      </c>
      <c r="F644" s="18" t="n">
        <f aca="false">Vendor_Invoices_AP!E641</f>
        <v>4880.22</v>
      </c>
      <c r="G644" s="18" t="n">
        <f aca="false">SUMIFS(Payment_Log_AP!$E$2:$E$753,Payment_Log_AP!$B$2:$B$753,A644)</f>
        <v>4880.22</v>
      </c>
      <c r="H644" s="18" t="n">
        <f aca="false">F644-G644</f>
        <v>0</v>
      </c>
      <c r="I644" s="16" t="n">
        <f aca="false">IF(H644&lt;=0.01,0,MAX(Assumptions!$B$5-E644,0))</f>
        <v>0</v>
      </c>
      <c r="J644" s="16" t="str">
        <f aca="false">IF(H644&lt;=0.01,"Paid",IF(I644&lt;=30,"0-30",IF(I644&lt;=60,"31-60",IF(I644&lt;=90,"61-90","90+"))))</f>
        <v>Paid</v>
      </c>
      <c r="K644" s="16" t="str">
        <f aca="false">IF(H644&lt;=0.01,"Paid",IF(G644&gt;0,"Partially Paid","Unpaid"))</f>
        <v>Paid</v>
      </c>
    </row>
    <row r="645" customFormat="false" ht="15" hidden="false" customHeight="false" outlineLevel="0" collapsed="false">
      <c r="A645" s="16" t="str">
        <f aca="false">Vendor_Invoices_AP!A642</f>
        <v>INV30641</v>
      </c>
      <c r="B645" s="16" t="str">
        <f aca="false">Vendor_Invoices_AP!C642</f>
        <v>V1024</v>
      </c>
      <c r="C645" s="16" t="str">
        <f aca="false">IFERROR(INDEX(Vendor_Master!$B$2:$B$41,MATCH(B645,Vendor_Master!$A$2:$A$41,0)),"Unknown Vendor")</f>
        <v>Campos Inc</v>
      </c>
      <c r="D645" s="17" t="n">
        <f aca="false">Vendor_Invoices_AP!D642</f>
        <v>45972</v>
      </c>
      <c r="E645" s="17" t="n">
        <f aca="false">Vendor_Invoices_AP!F642</f>
        <v>46032</v>
      </c>
      <c r="F645" s="18" t="n">
        <f aca="false">Vendor_Invoices_AP!E642</f>
        <v>2581.16</v>
      </c>
      <c r="G645" s="18" t="n">
        <f aca="false">SUMIFS(Payment_Log_AP!$E$2:$E$753,Payment_Log_AP!$B$2:$B$753,A645)</f>
        <v>2581.16</v>
      </c>
      <c r="H645" s="18" t="n">
        <f aca="false">F645-G645</f>
        <v>0</v>
      </c>
      <c r="I645" s="16" t="n">
        <f aca="false">IF(H645&lt;=0.01,0,MAX(Assumptions!$B$5-E645,0))</f>
        <v>0</v>
      </c>
      <c r="J645" s="16" t="str">
        <f aca="false">IF(H645&lt;=0.01,"Paid",IF(I645&lt;=30,"0-30",IF(I645&lt;=60,"31-60",IF(I645&lt;=90,"61-90","90+"))))</f>
        <v>Paid</v>
      </c>
      <c r="K645" s="16" t="str">
        <f aca="false">IF(H645&lt;=0.01,"Paid",IF(G645&gt;0,"Partially Paid","Unpaid"))</f>
        <v>Paid</v>
      </c>
    </row>
    <row r="646" customFormat="false" ht="15" hidden="false" customHeight="false" outlineLevel="0" collapsed="false">
      <c r="A646" s="16" t="str">
        <f aca="false">Vendor_Invoices_AP!A643</f>
        <v>INV30642</v>
      </c>
      <c r="B646" s="16" t="str">
        <f aca="false">Vendor_Invoices_AP!C643</f>
        <v>V1037</v>
      </c>
      <c r="C646" s="16" t="str">
        <f aca="false">IFERROR(INDEX(Vendor_Master!$B$2:$B$41,MATCH(B646,Vendor_Master!$A$2:$A$41,0)),"Unknown Vendor")</f>
        <v>Cannon, Anderson and Alvarez</v>
      </c>
      <c r="D646" s="17" t="n">
        <f aca="false">Vendor_Invoices_AP!D643</f>
        <v>45929</v>
      </c>
      <c r="E646" s="17" t="n">
        <f aca="false">Vendor_Invoices_AP!F643</f>
        <v>45959</v>
      </c>
      <c r="F646" s="18" t="n">
        <f aca="false">Vendor_Invoices_AP!E643</f>
        <v>2022.62</v>
      </c>
      <c r="G646" s="18" t="n">
        <f aca="false">SUMIFS(Payment_Log_AP!$E$2:$E$753,Payment_Log_AP!$B$2:$B$753,A646)</f>
        <v>0</v>
      </c>
      <c r="H646" s="18" t="n">
        <f aca="false">F646-G646</f>
        <v>2022.62</v>
      </c>
      <c r="I646" s="16" t="n">
        <f aca="false">IF(H646&lt;=0.01,0,MAX(Assumptions!$B$5-E646,0))</f>
        <v>275</v>
      </c>
      <c r="J646" s="16" t="str">
        <f aca="false">IF(H646&lt;=0.01,"Paid",IF(I646&lt;=30,"0-30",IF(I646&lt;=60,"31-60",IF(I646&lt;=90,"61-90","90+"))))</f>
        <v>90+</v>
      </c>
      <c r="K646" s="16" t="str">
        <f aca="false">IF(H646&lt;=0.01,"Paid",IF(G646&gt;0,"Partially Paid","Unpaid"))</f>
        <v>Unpaid</v>
      </c>
    </row>
    <row r="647" customFormat="false" ht="15" hidden="false" customHeight="false" outlineLevel="0" collapsed="false">
      <c r="A647" s="16" t="str">
        <f aca="false">Vendor_Invoices_AP!A644</f>
        <v>INV30643</v>
      </c>
      <c r="B647" s="16" t="str">
        <f aca="false">Vendor_Invoices_AP!C644</f>
        <v>V1032</v>
      </c>
      <c r="C647" s="16" t="str">
        <f aca="false">IFERROR(INDEX(Vendor_Master!$B$2:$B$41,MATCH(B647,Vendor_Master!$A$2:$A$41,0)),"Unknown Vendor")</f>
        <v>Lynch, Hernandez and Farmer</v>
      </c>
      <c r="D647" s="17" t="n">
        <f aca="false">Vendor_Invoices_AP!D644</f>
        <v>46048</v>
      </c>
      <c r="E647" s="17" t="n">
        <f aca="false">Vendor_Invoices_AP!F644</f>
        <v>46108</v>
      </c>
      <c r="F647" s="18" t="n">
        <f aca="false">Vendor_Invoices_AP!E644</f>
        <v>2330.25</v>
      </c>
      <c r="G647" s="18" t="n">
        <f aca="false">SUMIFS(Payment_Log_AP!$E$2:$E$753,Payment_Log_AP!$B$2:$B$753,A647)</f>
        <v>2330.25</v>
      </c>
      <c r="H647" s="18" t="n">
        <f aca="false">F647-G647</f>
        <v>0</v>
      </c>
      <c r="I647" s="16" t="n">
        <f aca="false">IF(H647&lt;=0.01,0,MAX(Assumptions!$B$5-E647,0))</f>
        <v>0</v>
      </c>
      <c r="J647" s="16" t="str">
        <f aca="false">IF(H647&lt;=0.01,"Paid",IF(I647&lt;=30,"0-30",IF(I647&lt;=60,"31-60",IF(I647&lt;=90,"61-90","90+"))))</f>
        <v>Paid</v>
      </c>
      <c r="K647" s="16" t="str">
        <f aca="false">IF(H647&lt;=0.01,"Paid",IF(G647&gt;0,"Partially Paid","Unpaid"))</f>
        <v>Paid</v>
      </c>
    </row>
    <row r="648" customFormat="false" ht="15" hidden="false" customHeight="false" outlineLevel="0" collapsed="false">
      <c r="A648" s="16" t="str">
        <f aca="false">Vendor_Invoices_AP!A645</f>
        <v>INV30644</v>
      </c>
      <c r="B648" s="16" t="str">
        <f aca="false">Vendor_Invoices_AP!C645</f>
        <v>V1029</v>
      </c>
      <c r="C648" s="16" t="str">
        <f aca="false">IFERROR(INDEX(Vendor_Master!$B$2:$B$41,MATCH(B648,Vendor_Master!$A$2:$A$41,0)),"Unknown Vendor")</f>
        <v>Chavez Ltd</v>
      </c>
      <c r="D648" s="17" t="n">
        <f aca="false">Vendor_Invoices_AP!D645</f>
        <v>46034</v>
      </c>
      <c r="E648" s="17" t="n">
        <f aca="false">Vendor_Invoices_AP!F645</f>
        <v>46094</v>
      </c>
      <c r="F648" s="18" t="n">
        <f aca="false">Vendor_Invoices_AP!E645</f>
        <v>1142.31</v>
      </c>
      <c r="G648" s="18" t="n">
        <f aca="false">SUMIFS(Payment_Log_AP!$E$2:$E$753,Payment_Log_AP!$B$2:$B$753,A648)</f>
        <v>1142.31</v>
      </c>
      <c r="H648" s="18" t="n">
        <f aca="false">F648-G648</f>
        <v>0</v>
      </c>
      <c r="I648" s="16" t="n">
        <f aca="false">IF(H648&lt;=0.01,0,MAX(Assumptions!$B$5-E648,0))</f>
        <v>0</v>
      </c>
      <c r="J648" s="16" t="str">
        <f aca="false">IF(H648&lt;=0.01,"Paid",IF(I648&lt;=30,"0-30",IF(I648&lt;=60,"31-60",IF(I648&lt;=90,"61-90","90+"))))</f>
        <v>Paid</v>
      </c>
      <c r="K648" s="16" t="str">
        <f aca="false">IF(H648&lt;=0.01,"Paid",IF(G648&gt;0,"Partially Paid","Unpaid"))</f>
        <v>Paid</v>
      </c>
    </row>
    <row r="649" customFormat="false" ht="15" hidden="false" customHeight="false" outlineLevel="0" collapsed="false">
      <c r="A649" s="16" t="str">
        <f aca="false">Vendor_Invoices_AP!A646</f>
        <v>INV30645</v>
      </c>
      <c r="B649" s="16" t="str">
        <f aca="false">Vendor_Invoices_AP!C646</f>
        <v>V1030</v>
      </c>
      <c r="C649" s="16" t="str">
        <f aca="false">IFERROR(INDEX(Vendor_Master!$B$2:$B$41,MATCH(B649,Vendor_Master!$A$2:$A$41,0)),"Unknown Vendor")</f>
        <v>Stanton-Gill</v>
      </c>
      <c r="D649" s="17" t="n">
        <f aca="false">Vendor_Invoices_AP!D646</f>
        <v>45983</v>
      </c>
      <c r="E649" s="17" t="n">
        <f aca="false">Vendor_Invoices_AP!F646</f>
        <v>46043</v>
      </c>
      <c r="F649" s="18" t="n">
        <f aca="false">Vendor_Invoices_AP!E646</f>
        <v>5378.13</v>
      </c>
      <c r="G649" s="18" t="n">
        <f aca="false">SUMIFS(Payment_Log_AP!$E$2:$E$753,Payment_Log_AP!$B$2:$B$753,A649)</f>
        <v>5378.13</v>
      </c>
      <c r="H649" s="18" t="n">
        <f aca="false">F649-G649</f>
        <v>0</v>
      </c>
      <c r="I649" s="16" t="n">
        <f aca="false">IF(H649&lt;=0.01,0,MAX(Assumptions!$B$5-E649,0))</f>
        <v>0</v>
      </c>
      <c r="J649" s="16" t="str">
        <f aca="false">IF(H649&lt;=0.01,"Paid",IF(I649&lt;=30,"0-30",IF(I649&lt;=60,"31-60",IF(I649&lt;=90,"61-90","90+"))))</f>
        <v>Paid</v>
      </c>
      <c r="K649" s="16" t="str">
        <f aca="false">IF(H649&lt;=0.01,"Paid",IF(G649&gt;0,"Partially Paid","Unpaid"))</f>
        <v>Paid</v>
      </c>
    </row>
    <row r="650" customFormat="false" ht="15" hidden="false" customHeight="false" outlineLevel="0" collapsed="false">
      <c r="A650" s="16" t="str">
        <f aca="false">Vendor_Invoices_AP!A647</f>
        <v>INV30646</v>
      </c>
      <c r="B650" s="16" t="str">
        <f aca="false">Vendor_Invoices_AP!C647</f>
        <v>V1002</v>
      </c>
      <c r="C650" s="16" t="str">
        <f aca="false">IFERROR(INDEX(Vendor_Master!$B$2:$B$41,MATCH(B650,Vendor_Master!$A$2:$A$41,0)),"Unknown Vendor")</f>
        <v>Garcia, Yang and Gardner</v>
      </c>
      <c r="D650" s="17" t="n">
        <f aca="false">Vendor_Invoices_AP!D647</f>
        <v>46113</v>
      </c>
      <c r="E650" s="17" t="n">
        <f aca="false">Vendor_Invoices_AP!F647</f>
        <v>46128</v>
      </c>
      <c r="F650" s="18" t="n">
        <f aca="false">Vendor_Invoices_AP!E647</f>
        <v>1479.77</v>
      </c>
      <c r="G650" s="18" t="n">
        <f aca="false">SUMIFS(Payment_Log_AP!$E$2:$E$753,Payment_Log_AP!$B$2:$B$753,A650)</f>
        <v>1479.77</v>
      </c>
      <c r="H650" s="18" t="n">
        <f aca="false">F650-G650</f>
        <v>0</v>
      </c>
      <c r="I650" s="16" t="n">
        <f aca="false">IF(H650&lt;=0.01,0,MAX(Assumptions!$B$5-E650,0))</f>
        <v>0</v>
      </c>
      <c r="J650" s="16" t="str">
        <f aca="false">IF(H650&lt;=0.01,"Paid",IF(I650&lt;=30,"0-30",IF(I650&lt;=60,"31-60",IF(I650&lt;=90,"61-90","90+"))))</f>
        <v>Paid</v>
      </c>
      <c r="K650" s="16" t="str">
        <f aca="false">IF(H650&lt;=0.01,"Paid",IF(G650&gt;0,"Partially Paid","Unpaid"))</f>
        <v>Paid</v>
      </c>
    </row>
    <row r="651" customFormat="false" ht="15" hidden="false" customHeight="false" outlineLevel="0" collapsed="false">
      <c r="A651" s="16" t="str">
        <f aca="false">Vendor_Invoices_AP!A648</f>
        <v>INV30647</v>
      </c>
      <c r="B651" s="16" t="str">
        <f aca="false">Vendor_Invoices_AP!C648</f>
        <v>V1002</v>
      </c>
      <c r="C651" s="16" t="str">
        <f aca="false">IFERROR(INDEX(Vendor_Master!$B$2:$B$41,MATCH(B651,Vendor_Master!$A$2:$A$41,0)),"Unknown Vendor")</f>
        <v>Garcia, Yang and Gardner</v>
      </c>
      <c r="D651" s="17" t="n">
        <f aca="false">Vendor_Invoices_AP!D648</f>
        <v>46127</v>
      </c>
      <c r="E651" s="17" t="n">
        <f aca="false">Vendor_Invoices_AP!F648</f>
        <v>46142</v>
      </c>
      <c r="F651" s="18" t="n">
        <f aca="false">Vendor_Invoices_AP!E648</f>
        <v>1479.77</v>
      </c>
      <c r="G651" s="18" t="n">
        <f aca="false">SUMIFS(Payment_Log_AP!$E$2:$E$753,Payment_Log_AP!$B$2:$B$753,A651)</f>
        <v>1479.77</v>
      </c>
      <c r="H651" s="18" t="n">
        <f aca="false">F651-G651</f>
        <v>0</v>
      </c>
      <c r="I651" s="16" t="n">
        <f aca="false">IF(H651&lt;=0.01,0,MAX(Assumptions!$B$5-E651,0))</f>
        <v>0</v>
      </c>
      <c r="J651" s="16" t="str">
        <f aca="false">IF(H651&lt;=0.01,"Paid",IF(I651&lt;=30,"0-30",IF(I651&lt;=60,"31-60",IF(I651&lt;=90,"61-90","90+"))))</f>
        <v>Paid</v>
      </c>
      <c r="K651" s="16" t="str">
        <f aca="false">IF(H651&lt;=0.01,"Paid",IF(G651&gt;0,"Partially Paid","Unpaid"))</f>
        <v>Paid</v>
      </c>
    </row>
    <row r="652" customFormat="false" ht="15" hidden="false" customHeight="false" outlineLevel="0" collapsed="false">
      <c r="A652" s="16" t="str">
        <f aca="false">Vendor_Invoices_AP!A649</f>
        <v>INV30648</v>
      </c>
      <c r="B652" s="16" t="str">
        <f aca="false">Vendor_Invoices_AP!C649</f>
        <v>V1011</v>
      </c>
      <c r="C652" s="16" t="str">
        <f aca="false">IFERROR(INDEX(Vendor_Master!$B$2:$B$41,MATCH(B652,Vendor_Master!$A$2:$A$41,0)),"Unknown Vendor")</f>
        <v>Montgomery, Hensley and Ray</v>
      </c>
      <c r="D652" s="17" t="n">
        <f aca="false">Vendor_Invoices_AP!D649</f>
        <v>46181</v>
      </c>
      <c r="E652" s="17" t="n">
        <f aca="false">Vendor_Invoices_AP!F649</f>
        <v>46226</v>
      </c>
      <c r="F652" s="18" t="n">
        <f aca="false">Vendor_Invoices_AP!E649</f>
        <v>2544.31</v>
      </c>
      <c r="G652" s="18" t="n">
        <f aca="false">SUMIFS(Payment_Log_AP!$E$2:$E$753,Payment_Log_AP!$B$2:$B$753,A652)</f>
        <v>0</v>
      </c>
      <c r="H652" s="18" t="n">
        <f aca="false">F652-G652</f>
        <v>2544.31</v>
      </c>
      <c r="I652" s="16" t="n">
        <f aca="false">IF(H652&lt;=0.01,0,MAX(Assumptions!$B$5-E652,0))</f>
        <v>8</v>
      </c>
      <c r="J652" s="16" t="str">
        <f aca="false">IF(H652&lt;=0.01,"Paid",IF(I652&lt;=30,"0-30",IF(I652&lt;=60,"31-60",IF(I652&lt;=90,"61-90","90+"))))</f>
        <v>0-30</v>
      </c>
      <c r="K652" s="16" t="str">
        <f aca="false">IF(H652&lt;=0.01,"Paid",IF(G652&gt;0,"Partially Paid","Unpaid"))</f>
        <v>Unpaid</v>
      </c>
    </row>
    <row r="653" customFormat="false" ht="15" hidden="false" customHeight="false" outlineLevel="0" collapsed="false">
      <c r="A653" s="16" t="str">
        <f aca="false">Vendor_Invoices_AP!A650</f>
        <v>INV30649</v>
      </c>
      <c r="B653" s="16" t="str">
        <f aca="false">Vendor_Invoices_AP!C650</f>
        <v>V1007</v>
      </c>
      <c r="C653" s="16" t="str">
        <f aca="false">IFERROR(INDEX(Vendor_Master!$B$2:$B$41,MATCH(B653,Vendor_Master!$A$2:$A$41,0)),"Unknown Vendor")</f>
        <v>Ramirez-Lewis</v>
      </c>
      <c r="D653" s="17" t="n">
        <f aca="false">Vendor_Invoices_AP!D650</f>
        <v>45726</v>
      </c>
      <c r="E653" s="17" t="n">
        <f aca="false">Vendor_Invoices_AP!F650</f>
        <v>45741</v>
      </c>
      <c r="F653" s="18" t="n">
        <f aca="false">Vendor_Invoices_AP!E650</f>
        <v>1679.49</v>
      </c>
      <c r="G653" s="18" t="n">
        <f aca="false">SUMIFS(Payment_Log_AP!$E$2:$E$753,Payment_Log_AP!$B$2:$B$753,A653)</f>
        <v>1679.49</v>
      </c>
      <c r="H653" s="18" t="n">
        <f aca="false">F653-G653</f>
        <v>0</v>
      </c>
      <c r="I653" s="16" t="n">
        <f aca="false">IF(H653&lt;=0.01,0,MAX(Assumptions!$B$5-E653,0))</f>
        <v>0</v>
      </c>
      <c r="J653" s="16" t="str">
        <f aca="false">IF(H653&lt;=0.01,"Paid",IF(I653&lt;=30,"0-30",IF(I653&lt;=60,"31-60",IF(I653&lt;=90,"61-90","90+"))))</f>
        <v>Paid</v>
      </c>
      <c r="K653" s="16" t="str">
        <f aca="false">IF(H653&lt;=0.01,"Paid",IF(G653&gt;0,"Partially Paid","Unpaid"))</f>
        <v>Paid</v>
      </c>
    </row>
    <row r="654" customFormat="false" ht="15" hidden="false" customHeight="false" outlineLevel="0" collapsed="false">
      <c r="A654" s="16" t="str">
        <f aca="false">Vendor_Invoices_AP!A651</f>
        <v>INV30650</v>
      </c>
      <c r="B654" s="16" t="str">
        <f aca="false">Vendor_Invoices_AP!C651</f>
        <v>V1007</v>
      </c>
      <c r="C654" s="16" t="str">
        <f aca="false">IFERROR(INDEX(Vendor_Master!$B$2:$B$41,MATCH(B654,Vendor_Master!$A$2:$A$41,0)),"Unknown Vendor")</f>
        <v>Ramirez-Lewis</v>
      </c>
      <c r="D654" s="17" t="n">
        <f aca="false">Vendor_Invoices_AP!D651</f>
        <v>45735</v>
      </c>
      <c r="E654" s="17" t="n">
        <f aca="false">Vendor_Invoices_AP!F651</f>
        <v>45750</v>
      </c>
      <c r="F654" s="18" t="n">
        <f aca="false">Vendor_Invoices_AP!E651</f>
        <v>1679.49</v>
      </c>
      <c r="G654" s="18" t="n">
        <f aca="false">SUMIFS(Payment_Log_AP!$E$2:$E$753,Payment_Log_AP!$B$2:$B$753,A654)</f>
        <v>0</v>
      </c>
      <c r="H654" s="18" t="n">
        <f aca="false">F654-G654</f>
        <v>1679.49</v>
      </c>
      <c r="I654" s="16" t="n">
        <f aca="false">IF(H654&lt;=0.01,0,MAX(Assumptions!$B$5-E654,0))</f>
        <v>484</v>
      </c>
      <c r="J654" s="16" t="str">
        <f aca="false">IF(H654&lt;=0.01,"Paid",IF(I654&lt;=30,"0-30",IF(I654&lt;=60,"31-60",IF(I654&lt;=90,"61-90","90+"))))</f>
        <v>90+</v>
      </c>
      <c r="K654" s="16" t="str">
        <f aca="false">IF(H654&lt;=0.01,"Paid",IF(G654&gt;0,"Partially Paid","Unpaid"))</f>
        <v>Unpaid</v>
      </c>
    </row>
    <row r="655" customFormat="false" ht="15" hidden="false" customHeight="false" outlineLevel="0" collapsed="false">
      <c r="A655" s="16" t="str">
        <f aca="false">Vendor_Invoices_AP!A652</f>
        <v>INV30651</v>
      </c>
      <c r="B655" s="16" t="str">
        <f aca="false">Vendor_Invoices_AP!C652</f>
        <v>V1034</v>
      </c>
      <c r="C655" s="16" t="str">
        <f aca="false">IFERROR(INDEX(Vendor_Master!$B$2:$B$41,MATCH(B655,Vendor_Master!$A$2:$A$41,0)),"Unknown Vendor")</f>
        <v>Koch-Decker</v>
      </c>
      <c r="D655" s="17" t="n">
        <f aca="false">Vendor_Invoices_AP!D652</f>
        <v>45804</v>
      </c>
      <c r="E655" s="17" t="n">
        <f aca="false">Vendor_Invoices_AP!F652</f>
        <v>45849</v>
      </c>
      <c r="F655" s="18" t="n">
        <f aca="false">Vendor_Invoices_AP!E652</f>
        <v>2035.58</v>
      </c>
      <c r="G655" s="18" t="n">
        <f aca="false">SUMIFS(Payment_Log_AP!$E$2:$E$753,Payment_Log_AP!$B$2:$B$753,A655)</f>
        <v>2035.58</v>
      </c>
      <c r="H655" s="18" t="n">
        <f aca="false">F655-G655</f>
        <v>0</v>
      </c>
      <c r="I655" s="16" t="n">
        <f aca="false">IF(H655&lt;=0.01,0,MAX(Assumptions!$B$5-E655,0))</f>
        <v>0</v>
      </c>
      <c r="J655" s="16" t="str">
        <f aca="false">IF(H655&lt;=0.01,"Paid",IF(I655&lt;=30,"0-30",IF(I655&lt;=60,"31-60",IF(I655&lt;=90,"61-90","90+"))))</f>
        <v>Paid</v>
      </c>
      <c r="K655" s="16" t="str">
        <f aca="false">IF(H655&lt;=0.01,"Paid",IF(G655&gt;0,"Partially Paid","Unpaid"))</f>
        <v>Paid</v>
      </c>
    </row>
    <row r="656" customFormat="false" ht="15" hidden="false" customHeight="false" outlineLevel="0" collapsed="false">
      <c r="A656" s="16" t="str">
        <f aca="false">Vendor_Invoices_AP!A653</f>
        <v>INV30652</v>
      </c>
      <c r="B656" s="16" t="str">
        <f aca="false">Vendor_Invoices_AP!C653</f>
        <v>V1025</v>
      </c>
      <c r="C656" s="16" t="str">
        <f aca="false">IFERROR(INDEX(Vendor_Master!$B$2:$B$41,MATCH(B656,Vendor_Master!$A$2:$A$41,0)),"Unknown Vendor")</f>
        <v>Conner Group</v>
      </c>
      <c r="D656" s="17" t="n">
        <f aca="false">Vendor_Invoices_AP!D653</f>
        <v>45693</v>
      </c>
      <c r="E656" s="17" t="n">
        <f aca="false">Vendor_Invoices_AP!F653</f>
        <v>45738</v>
      </c>
      <c r="F656" s="18" t="n">
        <f aca="false">Vendor_Invoices_AP!E653</f>
        <v>1499.87</v>
      </c>
      <c r="G656" s="18" t="n">
        <f aca="false">SUMIFS(Payment_Log_AP!$E$2:$E$753,Payment_Log_AP!$B$2:$B$753,A656)</f>
        <v>1499.87</v>
      </c>
      <c r="H656" s="18" t="n">
        <f aca="false">F656-G656</f>
        <v>0</v>
      </c>
      <c r="I656" s="16" t="n">
        <f aca="false">IF(H656&lt;=0.01,0,MAX(Assumptions!$B$5-E656,0))</f>
        <v>0</v>
      </c>
      <c r="J656" s="16" t="str">
        <f aca="false">IF(H656&lt;=0.01,"Paid",IF(I656&lt;=30,"0-30",IF(I656&lt;=60,"31-60",IF(I656&lt;=90,"61-90","90+"))))</f>
        <v>Paid</v>
      </c>
      <c r="K656" s="16" t="str">
        <f aca="false">IF(H656&lt;=0.01,"Paid",IF(G656&gt;0,"Partially Paid","Unpaid"))</f>
        <v>Paid</v>
      </c>
    </row>
    <row r="657" customFormat="false" ht="15" hidden="false" customHeight="false" outlineLevel="0" collapsed="false">
      <c r="A657" s="16" t="str">
        <f aca="false">Vendor_Invoices_AP!A654</f>
        <v>INV30653</v>
      </c>
      <c r="B657" s="16" t="str">
        <f aca="false">Vendor_Invoices_AP!C654</f>
        <v>V1005</v>
      </c>
      <c r="C657" s="16" t="str">
        <f aca="false">IFERROR(INDEX(Vendor_Master!$B$2:$B$41,MATCH(B657,Vendor_Master!$A$2:$A$41,0)),"Unknown Vendor")</f>
        <v>Cole LLC</v>
      </c>
      <c r="D657" s="17" t="n">
        <f aca="false">Vendor_Invoices_AP!D654</f>
        <v>46147</v>
      </c>
      <c r="E657" s="17" t="n">
        <f aca="false">Vendor_Invoices_AP!F654</f>
        <v>46162</v>
      </c>
      <c r="F657" s="18" t="n">
        <f aca="false">Vendor_Invoices_AP!E654</f>
        <v>2691.6</v>
      </c>
      <c r="G657" s="18" t="n">
        <f aca="false">SUMIFS(Payment_Log_AP!$E$2:$E$753,Payment_Log_AP!$B$2:$B$753,A657)</f>
        <v>2691.6</v>
      </c>
      <c r="H657" s="18" t="n">
        <f aca="false">F657-G657</f>
        <v>0</v>
      </c>
      <c r="I657" s="16" t="n">
        <f aca="false">IF(H657&lt;=0.01,0,MAX(Assumptions!$B$5-E657,0))</f>
        <v>0</v>
      </c>
      <c r="J657" s="16" t="str">
        <f aca="false">IF(H657&lt;=0.01,"Paid",IF(I657&lt;=30,"0-30",IF(I657&lt;=60,"31-60",IF(I657&lt;=90,"61-90","90+"))))</f>
        <v>Paid</v>
      </c>
      <c r="K657" s="16" t="str">
        <f aca="false">IF(H657&lt;=0.01,"Paid",IF(G657&gt;0,"Partially Paid","Unpaid"))</f>
        <v>Paid</v>
      </c>
    </row>
    <row r="658" customFormat="false" ht="15" hidden="false" customHeight="false" outlineLevel="0" collapsed="false">
      <c r="A658" s="16" t="str">
        <f aca="false">Vendor_Invoices_AP!A655</f>
        <v>INV30654</v>
      </c>
      <c r="B658" s="16" t="str">
        <f aca="false">Vendor_Invoices_AP!C655</f>
        <v>V1008</v>
      </c>
      <c r="C658" s="16" t="str">
        <f aca="false">IFERROR(INDEX(Vendor_Master!$B$2:$B$41,MATCH(B658,Vendor_Master!$A$2:$A$41,0)),"Unknown Vendor")</f>
        <v>Davis Inc</v>
      </c>
      <c r="D658" s="17" t="n">
        <f aca="false">Vendor_Invoices_AP!D655</f>
        <v>45980</v>
      </c>
      <c r="E658" s="17" t="n">
        <f aca="false">Vendor_Invoices_AP!F655</f>
        <v>46040</v>
      </c>
      <c r="F658" s="18" t="n">
        <f aca="false">Vendor_Invoices_AP!E655</f>
        <v>687.41</v>
      </c>
      <c r="G658" s="18" t="n">
        <f aca="false">SUMIFS(Payment_Log_AP!$E$2:$E$753,Payment_Log_AP!$B$2:$B$753,A658)</f>
        <v>687.41</v>
      </c>
      <c r="H658" s="18" t="n">
        <f aca="false">F658-G658</f>
        <v>0</v>
      </c>
      <c r="I658" s="16" t="n">
        <f aca="false">IF(H658&lt;=0.01,0,MAX(Assumptions!$B$5-E658,0))</f>
        <v>0</v>
      </c>
      <c r="J658" s="16" t="str">
        <f aca="false">IF(H658&lt;=0.01,"Paid",IF(I658&lt;=30,"0-30",IF(I658&lt;=60,"31-60",IF(I658&lt;=90,"61-90","90+"))))</f>
        <v>Paid</v>
      </c>
      <c r="K658" s="16" t="str">
        <f aca="false">IF(H658&lt;=0.01,"Paid",IF(G658&gt;0,"Partially Paid","Unpaid"))</f>
        <v>Paid</v>
      </c>
    </row>
    <row r="659" customFormat="false" ht="15" hidden="false" customHeight="false" outlineLevel="0" collapsed="false">
      <c r="A659" s="16" t="str">
        <f aca="false">Vendor_Invoices_AP!A656</f>
        <v>INV30655</v>
      </c>
      <c r="B659" s="16" t="str">
        <f aca="false">Vendor_Invoices_AP!C656</f>
        <v>V1031</v>
      </c>
      <c r="C659" s="16" t="str">
        <f aca="false">IFERROR(INDEX(Vendor_Master!$B$2:$B$41,MATCH(B659,Vendor_Master!$A$2:$A$41,0)),"Unknown Vendor")</f>
        <v>Harrell LLC</v>
      </c>
      <c r="D659" s="17" t="n">
        <f aca="false">Vendor_Invoices_AP!D656</f>
        <v>46159</v>
      </c>
      <c r="E659" s="17" t="n">
        <f aca="false">Vendor_Invoices_AP!F656</f>
        <v>46174</v>
      </c>
      <c r="F659" s="18" t="n">
        <f aca="false">Vendor_Invoices_AP!E656</f>
        <v>915.68</v>
      </c>
      <c r="G659" s="18" t="n">
        <f aca="false">SUMIFS(Payment_Log_AP!$E$2:$E$753,Payment_Log_AP!$B$2:$B$753,A659)</f>
        <v>915.68</v>
      </c>
      <c r="H659" s="18" t="n">
        <f aca="false">F659-G659</f>
        <v>0</v>
      </c>
      <c r="I659" s="16" t="n">
        <f aca="false">IF(H659&lt;=0.01,0,MAX(Assumptions!$B$5-E659,0))</f>
        <v>0</v>
      </c>
      <c r="J659" s="16" t="str">
        <f aca="false">IF(H659&lt;=0.01,"Paid",IF(I659&lt;=30,"0-30",IF(I659&lt;=60,"31-60",IF(I659&lt;=90,"61-90","90+"))))</f>
        <v>Paid</v>
      </c>
      <c r="K659" s="16" t="str">
        <f aca="false">IF(H659&lt;=0.01,"Paid",IF(G659&gt;0,"Partially Paid","Unpaid"))</f>
        <v>Paid</v>
      </c>
    </row>
    <row r="660" customFormat="false" ht="15" hidden="false" customHeight="false" outlineLevel="0" collapsed="false">
      <c r="A660" s="16" t="str">
        <f aca="false">Vendor_Invoices_AP!A657</f>
        <v>INV30656</v>
      </c>
      <c r="B660" s="16" t="str">
        <f aca="false">Vendor_Invoices_AP!C657</f>
        <v>V1017</v>
      </c>
      <c r="C660" s="16" t="str">
        <f aca="false">IFERROR(INDEX(Vendor_Master!$B$2:$B$41,MATCH(B660,Vendor_Master!$A$2:$A$41,0)),"Unknown Vendor")</f>
        <v>Hawkins, Cohen and Cameron</v>
      </c>
      <c r="D660" s="17" t="n">
        <f aca="false">Vendor_Invoices_AP!D657</f>
        <v>45788</v>
      </c>
      <c r="E660" s="17" t="n">
        <f aca="false">Vendor_Invoices_AP!F657</f>
        <v>45833</v>
      </c>
      <c r="F660" s="18" t="n">
        <f aca="false">Vendor_Invoices_AP!E657</f>
        <v>1560.82</v>
      </c>
      <c r="G660" s="18" t="n">
        <f aca="false">SUMIFS(Payment_Log_AP!$E$2:$E$753,Payment_Log_AP!$B$2:$B$753,A660)</f>
        <v>1560.82</v>
      </c>
      <c r="H660" s="18" t="n">
        <f aca="false">F660-G660</f>
        <v>0</v>
      </c>
      <c r="I660" s="16" t="n">
        <f aca="false">IF(H660&lt;=0.01,0,MAX(Assumptions!$B$5-E660,0))</f>
        <v>0</v>
      </c>
      <c r="J660" s="16" t="str">
        <f aca="false">IF(H660&lt;=0.01,"Paid",IF(I660&lt;=30,"0-30",IF(I660&lt;=60,"31-60",IF(I660&lt;=90,"61-90","90+"))))</f>
        <v>Paid</v>
      </c>
      <c r="K660" s="16" t="str">
        <f aca="false">IF(H660&lt;=0.01,"Paid",IF(G660&gt;0,"Partially Paid","Unpaid"))</f>
        <v>Paid</v>
      </c>
    </row>
    <row r="661" customFormat="false" ht="15" hidden="false" customHeight="false" outlineLevel="0" collapsed="false">
      <c r="A661" s="16" t="str">
        <f aca="false">Vendor_Invoices_AP!A658</f>
        <v>INV30657</v>
      </c>
      <c r="B661" s="16" t="str">
        <f aca="false">Vendor_Invoices_AP!C658</f>
        <v>V1001</v>
      </c>
      <c r="C661" s="16" t="str">
        <f aca="false">IFERROR(INDEX(Vendor_Master!$B$2:$B$41,MATCH(B661,Vendor_Master!$A$2:$A$41,0)),"Unknown Vendor")</f>
        <v>Figueroa and Sons</v>
      </c>
      <c r="D661" s="17" t="n">
        <f aca="false">Vendor_Invoices_AP!D658</f>
        <v>45708</v>
      </c>
      <c r="E661" s="17" t="n">
        <f aca="false">Vendor_Invoices_AP!F658</f>
        <v>45753</v>
      </c>
      <c r="F661" s="18" t="n">
        <f aca="false">Vendor_Invoices_AP!E658</f>
        <v>134.87</v>
      </c>
      <c r="G661" s="18" t="n">
        <f aca="false">SUMIFS(Payment_Log_AP!$E$2:$E$753,Payment_Log_AP!$B$2:$B$753,A661)</f>
        <v>0</v>
      </c>
      <c r="H661" s="18" t="n">
        <f aca="false">F661-G661</f>
        <v>134.87</v>
      </c>
      <c r="I661" s="16" t="n">
        <f aca="false">IF(H661&lt;=0.01,0,MAX(Assumptions!$B$5-E661,0))</f>
        <v>481</v>
      </c>
      <c r="J661" s="16" t="str">
        <f aca="false">IF(H661&lt;=0.01,"Paid",IF(I661&lt;=30,"0-30",IF(I661&lt;=60,"31-60",IF(I661&lt;=90,"61-90","90+"))))</f>
        <v>90+</v>
      </c>
      <c r="K661" s="16" t="str">
        <f aca="false">IF(H661&lt;=0.01,"Paid",IF(G661&gt;0,"Partially Paid","Unpaid"))</f>
        <v>Unpaid</v>
      </c>
    </row>
    <row r="662" customFormat="false" ht="15" hidden="false" customHeight="false" outlineLevel="0" collapsed="false">
      <c r="A662" s="16" t="str">
        <f aca="false">Vendor_Invoices_AP!A659</f>
        <v>INV30658</v>
      </c>
      <c r="B662" s="16" t="str">
        <f aca="false">Vendor_Invoices_AP!C659</f>
        <v>V1032</v>
      </c>
      <c r="C662" s="16" t="str">
        <f aca="false">IFERROR(INDEX(Vendor_Master!$B$2:$B$41,MATCH(B662,Vendor_Master!$A$2:$A$41,0)),"Unknown Vendor")</f>
        <v>Lynch, Hernandez and Farmer</v>
      </c>
      <c r="D662" s="17" t="n">
        <f aca="false">Vendor_Invoices_AP!D659</f>
        <v>46114</v>
      </c>
      <c r="E662" s="17" t="n">
        <f aca="false">Vendor_Invoices_AP!F659</f>
        <v>46174</v>
      </c>
      <c r="F662" s="18" t="n">
        <f aca="false">Vendor_Invoices_AP!E659</f>
        <v>827.43</v>
      </c>
      <c r="G662" s="18" t="n">
        <f aca="false">SUMIFS(Payment_Log_AP!$E$2:$E$753,Payment_Log_AP!$B$2:$B$753,A662)</f>
        <v>827.43</v>
      </c>
      <c r="H662" s="18" t="n">
        <f aca="false">F662-G662</f>
        <v>0</v>
      </c>
      <c r="I662" s="16" t="n">
        <f aca="false">IF(H662&lt;=0.01,0,MAX(Assumptions!$B$5-E662,0))</f>
        <v>0</v>
      </c>
      <c r="J662" s="16" t="str">
        <f aca="false">IF(H662&lt;=0.01,"Paid",IF(I662&lt;=30,"0-30",IF(I662&lt;=60,"31-60",IF(I662&lt;=90,"61-90","90+"))))</f>
        <v>Paid</v>
      </c>
      <c r="K662" s="16" t="str">
        <f aca="false">IF(H662&lt;=0.01,"Paid",IF(G662&gt;0,"Partially Paid","Unpaid"))</f>
        <v>Paid</v>
      </c>
    </row>
    <row r="663" customFormat="false" ht="15" hidden="false" customHeight="false" outlineLevel="0" collapsed="false">
      <c r="A663" s="16" t="str">
        <f aca="false">Vendor_Invoices_AP!A660</f>
        <v>INV30659</v>
      </c>
      <c r="B663" s="16" t="str">
        <f aca="false">Vendor_Invoices_AP!C660</f>
        <v>V1036</v>
      </c>
      <c r="C663" s="16" t="str">
        <f aca="false">IFERROR(INDEX(Vendor_Master!$B$2:$B$41,MATCH(B663,Vendor_Master!$A$2:$A$41,0)),"Unknown Vendor")</f>
        <v>Dennis Inc</v>
      </c>
      <c r="D663" s="17" t="n">
        <f aca="false">Vendor_Invoices_AP!D660</f>
        <v>46171</v>
      </c>
      <c r="E663" s="17" t="n">
        <f aca="false">Vendor_Invoices_AP!F660</f>
        <v>46216</v>
      </c>
      <c r="F663" s="18" t="n">
        <f aca="false">Vendor_Invoices_AP!E660</f>
        <v>11648.06</v>
      </c>
      <c r="G663" s="18" t="n">
        <f aca="false">SUMIFS(Payment_Log_AP!$E$2:$E$753,Payment_Log_AP!$B$2:$B$753,A663)</f>
        <v>11648.06</v>
      </c>
      <c r="H663" s="18" t="n">
        <f aca="false">F663-G663</f>
        <v>0</v>
      </c>
      <c r="I663" s="16" t="n">
        <f aca="false">IF(H663&lt;=0.01,0,MAX(Assumptions!$B$5-E663,0))</f>
        <v>0</v>
      </c>
      <c r="J663" s="16" t="str">
        <f aca="false">IF(H663&lt;=0.01,"Paid",IF(I663&lt;=30,"0-30",IF(I663&lt;=60,"31-60",IF(I663&lt;=90,"61-90","90+"))))</f>
        <v>Paid</v>
      </c>
      <c r="K663" s="16" t="str">
        <f aca="false">IF(H663&lt;=0.01,"Paid",IF(G663&gt;0,"Partially Paid","Unpaid"))</f>
        <v>Paid</v>
      </c>
    </row>
    <row r="664" customFormat="false" ht="15" hidden="false" customHeight="false" outlineLevel="0" collapsed="false">
      <c r="A664" s="16" t="str">
        <f aca="false">Vendor_Invoices_AP!A661</f>
        <v>INV30660</v>
      </c>
      <c r="B664" s="16" t="str">
        <f aca="false">Vendor_Invoices_AP!C661</f>
        <v>V1036</v>
      </c>
      <c r="C664" s="16" t="str">
        <f aca="false">IFERROR(INDEX(Vendor_Master!$B$2:$B$41,MATCH(B664,Vendor_Master!$A$2:$A$41,0)),"Unknown Vendor")</f>
        <v>Dennis Inc</v>
      </c>
      <c r="D664" s="17" t="n">
        <f aca="false">Vendor_Invoices_AP!D661</f>
        <v>46162</v>
      </c>
      <c r="E664" s="17" t="n">
        <f aca="false">Vendor_Invoices_AP!F661</f>
        <v>46207</v>
      </c>
      <c r="F664" s="18" t="n">
        <f aca="false">Vendor_Invoices_AP!E661</f>
        <v>11648.06</v>
      </c>
      <c r="G664" s="18" t="n">
        <f aca="false">SUMIFS(Payment_Log_AP!$E$2:$E$753,Payment_Log_AP!$B$2:$B$753,A664)</f>
        <v>11648.06</v>
      </c>
      <c r="H664" s="18" t="n">
        <f aca="false">F664-G664</f>
        <v>0</v>
      </c>
      <c r="I664" s="16" t="n">
        <f aca="false">IF(H664&lt;=0.01,0,MAX(Assumptions!$B$5-E664,0))</f>
        <v>0</v>
      </c>
      <c r="J664" s="16" t="str">
        <f aca="false">IF(H664&lt;=0.01,"Paid",IF(I664&lt;=30,"0-30",IF(I664&lt;=60,"31-60",IF(I664&lt;=90,"61-90","90+"))))</f>
        <v>Paid</v>
      </c>
      <c r="K664" s="16" t="str">
        <f aca="false">IF(H664&lt;=0.01,"Paid",IF(G664&gt;0,"Partially Paid","Unpaid"))</f>
        <v>Paid</v>
      </c>
    </row>
    <row r="665" customFormat="false" ht="15" hidden="false" customHeight="false" outlineLevel="0" collapsed="false">
      <c r="A665" s="16" t="str">
        <f aca="false">Vendor_Invoices_AP!A662</f>
        <v>INV30661</v>
      </c>
      <c r="B665" s="16" t="str">
        <f aca="false">Vendor_Invoices_AP!C662</f>
        <v>V1012</v>
      </c>
      <c r="C665" s="16" t="str">
        <f aca="false">IFERROR(INDEX(Vendor_Master!$B$2:$B$41,MATCH(B665,Vendor_Master!$A$2:$A$41,0)),"Unknown Vendor")</f>
        <v>Stanley LLC</v>
      </c>
      <c r="D665" s="17" t="n">
        <f aca="false">Vendor_Invoices_AP!D662</f>
        <v>45834</v>
      </c>
      <c r="E665" s="17" t="n">
        <f aca="false">Vendor_Invoices_AP!F662</f>
        <v>45894</v>
      </c>
      <c r="F665" s="18" t="n">
        <f aca="false">Vendor_Invoices_AP!E662</f>
        <v>12577.05</v>
      </c>
      <c r="G665" s="18" t="n">
        <f aca="false">SUMIFS(Payment_Log_AP!$E$2:$E$753,Payment_Log_AP!$B$2:$B$753,A665)</f>
        <v>25154.1</v>
      </c>
      <c r="H665" s="18" t="n">
        <f aca="false">F665-G665</f>
        <v>-12577.05</v>
      </c>
      <c r="I665" s="16" t="n">
        <f aca="false">IF(H665&lt;=0.01,0,MAX(Assumptions!$B$5-E665,0))</f>
        <v>0</v>
      </c>
      <c r="J665" s="16" t="str">
        <f aca="false">IF(H665&lt;=0.01,"Paid",IF(I665&lt;=30,"0-30",IF(I665&lt;=60,"31-60",IF(I665&lt;=90,"61-90","90+"))))</f>
        <v>Paid</v>
      </c>
      <c r="K665" s="16" t="str">
        <f aca="false">IF(H665&lt;=0.01,"Paid",IF(G665&gt;0,"Partially Paid","Unpaid"))</f>
        <v>Paid</v>
      </c>
    </row>
    <row r="666" customFormat="false" ht="15" hidden="false" customHeight="false" outlineLevel="0" collapsed="false">
      <c r="A666" s="16" t="str">
        <f aca="false">Vendor_Invoices_AP!A663</f>
        <v>INV30662</v>
      </c>
      <c r="B666" s="16" t="str">
        <f aca="false">Vendor_Invoices_AP!C663</f>
        <v>V1010</v>
      </c>
      <c r="C666" s="16" t="str">
        <f aca="false">IFERROR(INDEX(Vendor_Master!$B$2:$B$41,MATCH(B666,Vendor_Master!$A$2:$A$41,0)),"Unknown Vendor")</f>
        <v>Martinez, Nielsen and Miller</v>
      </c>
      <c r="D666" s="17" t="n">
        <f aca="false">Vendor_Invoices_AP!D663</f>
        <v>45892</v>
      </c>
      <c r="E666" s="17" t="n">
        <f aca="false">Vendor_Invoices_AP!F663</f>
        <v>45907</v>
      </c>
      <c r="F666" s="18" t="n">
        <f aca="false">Vendor_Invoices_AP!E663</f>
        <v>1362.33</v>
      </c>
      <c r="G666" s="18" t="n">
        <f aca="false">SUMIFS(Payment_Log_AP!$E$2:$E$753,Payment_Log_AP!$B$2:$B$753,A666)</f>
        <v>1362.33</v>
      </c>
      <c r="H666" s="18" t="n">
        <f aca="false">F666-G666</f>
        <v>0</v>
      </c>
      <c r="I666" s="16" t="n">
        <f aca="false">IF(H666&lt;=0.01,0,MAX(Assumptions!$B$5-E666,0))</f>
        <v>0</v>
      </c>
      <c r="J666" s="16" t="str">
        <f aca="false">IF(H666&lt;=0.01,"Paid",IF(I666&lt;=30,"0-30",IF(I666&lt;=60,"31-60",IF(I666&lt;=90,"61-90","90+"))))</f>
        <v>Paid</v>
      </c>
      <c r="K666" s="16" t="str">
        <f aca="false">IF(H666&lt;=0.01,"Paid",IF(G666&gt;0,"Partially Paid","Unpaid"))</f>
        <v>Paid</v>
      </c>
    </row>
    <row r="667" customFormat="false" ht="15" hidden="false" customHeight="false" outlineLevel="0" collapsed="false">
      <c r="A667" s="16" t="str">
        <f aca="false">Vendor_Invoices_AP!A664</f>
        <v>INV30663</v>
      </c>
      <c r="B667" s="16" t="str">
        <f aca="false">Vendor_Invoices_AP!C664</f>
        <v>V1034</v>
      </c>
      <c r="C667" s="16" t="str">
        <f aca="false">IFERROR(INDEX(Vendor_Master!$B$2:$B$41,MATCH(B667,Vendor_Master!$A$2:$A$41,0)),"Unknown Vendor")</f>
        <v>Koch-Decker</v>
      </c>
      <c r="D667" s="17" t="n">
        <f aca="false">Vendor_Invoices_AP!D664</f>
        <v>45743</v>
      </c>
      <c r="E667" s="17" t="n">
        <f aca="false">Vendor_Invoices_AP!F664</f>
        <v>45788</v>
      </c>
      <c r="F667" s="18" t="n">
        <f aca="false">Vendor_Invoices_AP!E664</f>
        <v>2061.29</v>
      </c>
      <c r="G667" s="18" t="n">
        <f aca="false">SUMIFS(Payment_Log_AP!$E$2:$E$753,Payment_Log_AP!$B$2:$B$753,A667)</f>
        <v>2061.29</v>
      </c>
      <c r="H667" s="18" t="n">
        <f aca="false">F667-G667</f>
        <v>0</v>
      </c>
      <c r="I667" s="16" t="n">
        <f aca="false">IF(H667&lt;=0.01,0,MAX(Assumptions!$B$5-E667,0))</f>
        <v>0</v>
      </c>
      <c r="J667" s="16" t="str">
        <f aca="false">IF(H667&lt;=0.01,"Paid",IF(I667&lt;=30,"0-30",IF(I667&lt;=60,"31-60",IF(I667&lt;=90,"61-90","90+"))))</f>
        <v>Paid</v>
      </c>
      <c r="K667" s="16" t="str">
        <f aca="false">IF(H667&lt;=0.01,"Paid",IF(G667&gt;0,"Partially Paid","Unpaid"))</f>
        <v>Paid</v>
      </c>
    </row>
    <row r="668" customFormat="false" ht="15" hidden="false" customHeight="false" outlineLevel="0" collapsed="false">
      <c r="A668" s="16" t="str">
        <f aca="false">Vendor_Invoices_AP!A665</f>
        <v>INV30664</v>
      </c>
      <c r="B668" s="16" t="str">
        <f aca="false">Vendor_Invoices_AP!C665</f>
        <v>V1002</v>
      </c>
      <c r="C668" s="16" t="str">
        <f aca="false">IFERROR(INDEX(Vendor_Master!$B$2:$B$41,MATCH(B668,Vendor_Master!$A$2:$A$41,0)),"Unknown Vendor")</f>
        <v>Garcia, Yang and Gardner</v>
      </c>
      <c r="D668" s="17" t="n">
        <f aca="false">Vendor_Invoices_AP!D665</f>
        <v>46181</v>
      </c>
      <c r="E668" s="17" t="n">
        <f aca="false">Vendor_Invoices_AP!F665</f>
        <v>46196</v>
      </c>
      <c r="F668" s="18" t="n">
        <f aca="false">Vendor_Invoices_AP!E665</f>
        <v>1760.94</v>
      </c>
      <c r="G668" s="18" t="n">
        <f aca="false">SUMIFS(Payment_Log_AP!$E$2:$E$753,Payment_Log_AP!$B$2:$B$753,A668)</f>
        <v>1760.94</v>
      </c>
      <c r="H668" s="18" t="n">
        <f aca="false">F668-G668</f>
        <v>0</v>
      </c>
      <c r="I668" s="16" t="n">
        <f aca="false">IF(H668&lt;=0.01,0,MAX(Assumptions!$B$5-E668,0))</f>
        <v>0</v>
      </c>
      <c r="J668" s="16" t="str">
        <f aca="false">IF(H668&lt;=0.01,"Paid",IF(I668&lt;=30,"0-30",IF(I668&lt;=60,"31-60",IF(I668&lt;=90,"61-90","90+"))))</f>
        <v>Paid</v>
      </c>
      <c r="K668" s="16" t="str">
        <f aca="false">IF(H668&lt;=0.01,"Paid",IF(G668&gt;0,"Partially Paid","Unpaid"))</f>
        <v>Paid</v>
      </c>
    </row>
    <row r="669" customFormat="false" ht="15" hidden="false" customHeight="false" outlineLevel="0" collapsed="false">
      <c r="A669" s="16" t="str">
        <f aca="false">Vendor_Invoices_AP!A666</f>
        <v>INV30665</v>
      </c>
      <c r="B669" s="16" t="str">
        <f aca="false">Vendor_Invoices_AP!C666</f>
        <v>V1009</v>
      </c>
      <c r="C669" s="16" t="str">
        <f aca="false">IFERROR(INDEX(Vendor_Master!$B$2:$B$41,MATCH(B669,Vendor_Master!$A$2:$A$41,0)),"Unknown Vendor")</f>
        <v>Munoz-Roman</v>
      </c>
      <c r="D669" s="17" t="n">
        <f aca="false">Vendor_Invoices_AP!D666</f>
        <v>45840</v>
      </c>
      <c r="E669" s="17" t="n">
        <f aca="false">Vendor_Invoices_AP!F666</f>
        <v>45870</v>
      </c>
      <c r="F669" s="18" t="n">
        <f aca="false">Vendor_Invoices_AP!E666</f>
        <v>4559.69</v>
      </c>
      <c r="G669" s="18" t="n">
        <f aca="false">SUMIFS(Payment_Log_AP!$E$2:$E$753,Payment_Log_AP!$B$2:$B$753,A669)</f>
        <v>4559.69</v>
      </c>
      <c r="H669" s="18" t="n">
        <f aca="false">F669-G669</f>
        <v>0</v>
      </c>
      <c r="I669" s="16" t="n">
        <f aca="false">IF(H669&lt;=0.01,0,MAX(Assumptions!$B$5-E669,0))</f>
        <v>0</v>
      </c>
      <c r="J669" s="16" t="str">
        <f aca="false">IF(H669&lt;=0.01,"Paid",IF(I669&lt;=30,"0-30",IF(I669&lt;=60,"31-60",IF(I669&lt;=90,"61-90","90+"))))</f>
        <v>Paid</v>
      </c>
      <c r="K669" s="16" t="str">
        <f aca="false">IF(H669&lt;=0.01,"Paid",IF(G669&gt;0,"Partially Paid","Unpaid"))</f>
        <v>Paid</v>
      </c>
    </row>
    <row r="670" customFormat="false" ht="15" hidden="false" customHeight="false" outlineLevel="0" collapsed="false">
      <c r="A670" s="16" t="str">
        <f aca="false">Vendor_Invoices_AP!A667</f>
        <v>INV30666</v>
      </c>
      <c r="B670" s="16" t="str">
        <f aca="false">Vendor_Invoices_AP!C667</f>
        <v>V1032</v>
      </c>
      <c r="C670" s="16" t="str">
        <f aca="false">IFERROR(INDEX(Vendor_Master!$B$2:$B$41,MATCH(B670,Vendor_Master!$A$2:$A$41,0)),"Unknown Vendor")</f>
        <v>Lynch, Hernandez and Farmer</v>
      </c>
      <c r="D670" s="17" t="n">
        <f aca="false">Vendor_Invoices_AP!D667</f>
        <v>45941</v>
      </c>
      <c r="E670" s="17" t="n">
        <f aca="false">Vendor_Invoices_AP!F667</f>
        <v>46001</v>
      </c>
      <c r="F670" s="18" t="n">
        <f aca="false">Vendor_Invoices_AP!E667</f>
        <v>285.04</v>
      </c>
      <c r="G670" s="18" t="n">
        <f aca="false">SUMIFS(Payment_Log_AP!$E$2:$E$753,Payment_Log_AP!$B$2:$B$753,A670)</f>
        <v>285.04</v>
      </c>
      <c r="H670" s="18" t="n">
        <f aca="false">F670-G670</f>
        <v>0</v>
      </c>
      <c r="I670" s="16" t="n">
        <f aca="false">IF(H670&lt;=0.01,0,MAX(Assumptions!$B$5-E670,0))</f>
        <v>0</v>
      </c>
      <c r="J670" s="16" t="str">
        <f aca="false">IF(H670&lt;=0.01,"Paid",IF(I670&lt;=30,"0-30",IF(I670&lt;=60,"31-60",IF(I670&lt;=90,"61-90","90+"))))</f>
        <v>Paid</v>
      </c>
      <c r="K670" s="16" t="str">
        <f aca="false">IF(H670&lt;=0.01,"Paid",IF(G670&gt;0,"Partially Paid","Unpaid"))</f>
        <v>Paid</v>
      </c>
    </row>
    <row r="671" customFormat="false" ht="15" hidden="false" customHeight="false" outlineLevel="0" collapsed="false">
      <c r="A671" s="16" t="str">
        <f aca="false">Vendor_Invoices_AP!A668</f>
        <v>INV30667</v>
      </c>
      <c r="B671" s="16" t="str">
        <f aca="false">Vendor_Invoices_AP!C668</f>
        <v>V1028</v>
      </c>
      <c r="C671" s="16" t="str">
        <f aca="false">IFERROR(INDEX(Vendor_Master!$B$2:$B$41,MATCH(B671,Vendor_Master!$A$2:$A$41,0)),"Unknown Vendor")</f>
        <v>Potter, Mack and Peterson</v>
      </c>
      <c r="D671" s="17" t="n">
        <f aca="false">Vendor_Invoices_AP!D668</f>
        <v>45726</v>
      </c>
      <c r="E671" s="17" t="n">
        <f aca="false">Vendor_Invoices_AP!F668</f>
        <v>45771</v>
      </c>
      <c r="F671" s="18" t="n">
        <f aca="false">Vendor_Invoices_AP!E668</f>
        <v>2954.28</v>
      </c>
      <c r="G671" s="18" t="n">
        <f aca="false">SUMIFS(Payment_Log_AP!$E$2:$E$753,Payment_Log_AP!$B$2:$B$753,A671)</f>
        <v>2954.28</v>
      </c>
      <c r="H671" s="18" t="n">
        <f aca="false">F671-G671</f>
        <v>0</v>
      </c>
      <c r="I671" s="16" t="n">
        <f aca="false">IF(H671&lt;=0.01,0,MAX(Assumptions!$B$5-E671,0))</f>
        <v>0</v>
      </c>
      <c r="J671" s="16" t="str">
        <f aca="false">IF(H671&lt;=0.01,"Paid",IF(I671&lt;=30,"0-30",IF(I671&lt;=60,"31-60",IF(I671&lt;=90,"61-90","90+"))))</f>
        <v>Paid</v>
      </c>
      <c r="K671" s="16" t="str">
        <f aca="false">IF(H671&lt;=0.01,"Paid",IF(G671&gt;0,"Partially Paid","Unpaid"))</f>
        <v>Paid</v>
      </c>
    </row>
    <row r="672" customFormat="false" ht="15" hidden="false" customHeight="false" outlineLevel="0" collapsed="false">
      <c r="A672" s="16" t="str">
        <f aca="false">Vendor_Invoices_AP!A669</f>
        <v>INV30668</v>
      </c>
      <c r="B672" s="16" t="str">
        <f aca="false">Vendor_Invoices_AP!C669</f>
        <v>V1040</v>
      </c>
      <c r="C672" s="16" t="str">
        <f aca="false">IFERROR(INDEX(Vendor_Master!$B$2:$B$41,MATCH(B672,Vendor_Master!$A$2:$A$41,0)),"Unknown Vendor")</f>
        <v>Santos, Kim and Holmes</v>
      </c>
      <c r="D672" s="17" t="n">
        <f aca="false">Vendor_Invoices_AP!D669</f>
        <v>46157</v>
      </c>
      <c r="E672" s="17" t="n">
        <f aca="false">Vendor_Invoices_AP!F669</f>
        <v>46172</v>
      </c>
      <c r="F672" s="18" t="n">
        <f aca="false">Vendor_Invoices_AP!E669</f>
        <v>894.04</v>
      </c>
      <c r="G672" s="18" t="n">
        <f aca="false">SUMIFS(Payment_Log_AP!$E$2:$E$753,Payment_Log_AP!$B$2:$B$753,A672)</f>
        <v>0</v>
      </c>
      <c r="H672" s="18" t="n">
        <f aca="false">F672-G672</f>
        <v>894.04</v>
      </c>
      <c r="I672" s="16" t="n">
        <f aca="false">IF(H672&lt;=0.01,0,MAX(Assumptions!$B$5-E672,0))</f>
        <v>62</v>
      </c>
      <c r="J672" s="16" t="str">
        <f aca="false">IF(H672&lt;=0.01,"Paid",IF(I672&lt;=30,"0-30",IF(I672&lt;=60,"31-60",IF(I672&lt;=90,"61-90","90+"))))</f>
        <v>61-90</v>
      </c>
      <c r="K672" s="16" t="str">
        <f aca="false">IF(H672&lt;=0.01,"Paid",IF(G672&gt;0,"Partially Paid","Unpaid"))</f>
        <v>Unpaid</v>
      </c>
    </row>
    <row r="673" customFormat="false" ht="15" hidden="false" customHeight="false" outlineLevel="0" collapsed="false">
      <c r="A673" s="16" t="str">
        <f aca="false">Vendor_Invoices_AP!A670</f>
        <v>INV30669</v>
      </c>
      <c r="B673" s="16" t="str">
        <f aca="false">Vendor_Invoices_AP!C670</f>
        <v>V1028</v>
      </c>
      <c r="C673" s="16" t="str">
        <f aca="false">IFERROR(INDEX(Vendor_Master!$B$2:$B$41,MATCH(B673,Vendor_Master!$A$2:$A$41,0)),"Unknown Vendor")</f>
        <v>Potter, Mack and Peterson</v>
      </c>
      <c r="D673" s="17" t="n">
        <f aca="false">Vendor_Invoices_AP!D670</f>
        <v>45741</v>
      </c>
      <c r="E673" s="17" t="n">
        <f aca="false">Vendor_Invoices_AP!F670</f>
        <v>45786</v>
      </c>
      <c r="F673" s="18" t="n">
        <f aca="false">Vendor_Invoices_AP!E670</f>
        <v>603.77</v>
      </c>
      <c r="G673" s="18" t="n">
        <f aca="false">SUMIFS(Payment_Log_AP!$E$2:$E$753,Payment_Log_AP!$B$2:$B$753,A673)</f>
        <v>603.77</v>
      </c>
      <c r="H673" s="18" t="n">
        <f aca="false">F673-G673</f>
        <v>0</v>
      </c>
      <c r="I673" s="16" t="n">
        <f aca="false">IF(H673&lt;=0.01,0,MAX(Assumptions!$B$5-E673,0))</f>
        <v>0</v>
      </c>
      <c r="J673" s="16" t="str">
        <f aca="false">IF(H673&lt;=0.01,"Paid",IF(I673&lt;=30,"0-30",IF(I673&lt;=60,"31-60",IF(I673&lt;=90,"61-90","90+"))))</f>
        <v>Paid</v>
      </c>
      <c r="K673" s="16" t="str">
        <f aca="false">IF(H673&lt;=0.01,"Paid",IF(G673&gt;0,"Partially Paid","Unpaid"))</f>
        <v>Paid</v>
      </c>
    </row>
    <row r="674" customFormat="false" ht="15" hidden="false" customHeight="false" outlineLevel="0" collapsed="false">
      <c r="A674" s="16" t="str">
        <f aca="false">Vendor_Invoices_AP!A671</f>
        <v>INV30670</v>
      </c>
      <c r="B674" s="16" t="str">
        <f aca="false">Vendor_Invoices_AP!C671</f>
        <v>V1027</v>
      </c>
      <c r="C674" s="16" t="str">
        <f aca="false">IFERROR(INDEX(Vendor_Master!$B$2:$B$41,MATCH(B674,Vendor_Master!$A$2:$A$41,0)),"Unknown Vendor")</f>
        <v>Valencia, Smith and Le</v>
      </c>
      <c r="D674" s="17" t="n">
        <f aca="false">Vendor_Invoices_AP!D671</f>
        <v>45929</v>
      </c>
      <c r="E674" s="17" t="n">
        <f aca="false">Vendor_Invoices_AP!F671</f>
        <v>45974</v>
      </c>
      <c r="F674" s="18" t="n">
        <f aca="false">Vendor_Invoices_AP!E671</f>
        <v>2681.96</v>
      </c>
      <c r="G674" s="18" t="n">
        <f aca="false">SUMIFS(Payment_Log_AP!$E$2:$E$753,Payment_Log_AP!$B$2:$B$753,A674)</f>
        <v>0</v>
      </c>
      <c r="H674" s="18" t="n">
        <f aca="false">F674-G674</f>
        <v>2681.96</v>
      </c>
      <c r="I674" s="16" t="n">
        <f aca="false">IF(H674&lt;=0.01,0,MAX(Assumptions!$B$5-E674,0))</f>
        <v>260</v>
      </c>
      <c r="J674" s="16" t="str">
        <f aca="false">IF(H674&lt;=0.01,"Paid",IF(I674&lt;=30,"0-30",IF(I674&lt;=60,"31-60",IF(I674&lt;=90,"61-90","90+"))))</f>
        <v>90+</v>
      </c>
      <c r="K674" s="16" t="str">
        <f aca="false">IF(H674&lt;=0.01,"Paid",IF(G674&gt;0,"Partially Paid","Unpaid"))</f>
        <v>Unpaid</v>
      </c>
    </row>
    <row r="675" customFormat="false" ht="15" hidden="false" customHeight="false" outlineLevel="0" collapsed="false">
      <c r="A675" s="16" t="str">
        <f aca="false">Vendor_Invoices_AP!A672</f>
        <v>INV30671</v>
      </c>
      <c r="B675" s="16" t="str">
        <f aca="false">Vendor_Invoices_AP!C672</f>
        <v>V1040</v>
      </c>
      <c r="C675" s="16" t="str">
        <f aca="false">IFERROR(INDEX(Vendor_Master!$B$2:$B$41,MATCH(B675,Vendor_Master!$A$2:$A$41,0)),"Unknown Vendor")</f>
        <v>Santos, Kim and Holmes</v>
      </c>
      <c r="D675" s="17" t="n">
        <f aca="false">Vendor_Invoices_AP!D672</f>
        <v>46028</v>
      </c>
      <c r="E675" s="17" t="n">
        <f aca="false">Vendor_Invoices_AP!F672</f>
        <v>46043</v>
      </c>
      <c r="F675" s="18" t="n">
        <f aca="false">Vendor_Invoices_AP!E672</f>
        <v>767.92</v>
      </c>
      <c r="G675" s="18" t="n">
        <f aca="false">SUMIFS(Payment_Log_AP!$E$2:$E$753,Payment_Log_AP!$B$2:$B$753,A675)</f>
        <v>767.92</v>
      </c>
      <c r="H675" s="18" t="n">
        <f aca="false">F675-G675</f>
        <v>0</v>
      </c>
      <c r="I675" s="16" t="n">
        <f aca="false">IF(H675&lt;=0.01,0,MAX(Assumptions!$B$5-E675,0))</f>
        <v>0</v>
      </c>
      <c r="J675" s="16" t="str">
        <f aca="false">IF(H675&lt;=0.01,"Paid",IF(I675&lt;=30,"0-30",IF(I675&lt;=60,"31-60",IF(I675&lt;=90,"61-90","90+"))))</f>
        <v>Paid</v>
      </c>
      <c r="K675" s="16" t="str">
        <f aca="false">IF(H675&lt;=0.01,"Paid",IF(G675&gt;0,"Partially Paid","Unpaid"))</f>
        <v>Paid</v>
      </c>
    </row>
    <row r="676" customFormat="false" ht="15" hidden="false" customHeight="false" outlineLevel="0" collapsed="false">
      <c r="A676" s="16" t="str">
        <f aca="false">Vendor_Invoices_AP!A673</f>
        <v>INV30672</v>
      </c>
      <c r="B676" s="16" t="str">
        <f aca="false">Vendor_Invoices_AP!C673</f>
        <v>V1010</v>
      </c>
      <c r="C676" s="16" t="str">
        <f aca="false">IFERROR(INDEX(Vendor_Master!$B$2:$B$41,MATCH(B676,Vendor_Master!$A$2:$A$41,0)),"Unknown Vendor")</f>
        <v>Martinez, Nielsen and Miller</v>
      </c>
      <c r="D676" s="17" t="n">
        <f aca="false">Vendor_Invoices_AP!D673</f>
        <v>46070</v>
      </c>
      <c r="E676" s="17" t="n">
        <f aca="false">Vendor_Invoices_AP!F673</f>
        <v>46085</v>
      </c>
      <c r="F676" s="18" t="n">
        <f aca="false">Vendor_Invoices_AP!E673</f>
        <v>2186.62</v>
      </c>
      <c r="G676" s="18" t="n">
        <f aca="false">SUMIFS(Payment_Log_AP!$E$2:$E$753,Payment_Log_AP!$B$2:$B$753,A676)</f>
        <v>2186.62</v>
      </c>
      <c r="H676" s="18" t="n">
        <f aca="false">F676-G676</f>
        <v>0</v>
      </c>
      <c r="I676" s="16" t="n">
        <f aca="false">IF(H676&lt;=0.01,0,MAX(Assumptions!$B$5-E676,0))</f>
        <v>0</v>
      </c>
      <c r="J676" s="16" t="str">
        <f aca="false">IF(H676&lt;=0.01,"Paid",IF(I676&lt;=30,"0-30",IF(I676&lt;=60,"31-60",IF(I676&lt;=90,"61-90","90+"))))</f>
        <v>Paid</v>
      </c>
      <c r="K676" s="16" t="str">
        <f aca="false">IF(H676&lt;=0.01,"Paid",IF(G676&gt;0,"Partially Paid","Unpaid"))</f>
        <v>Paid</v>
      </c>
    </row>
    <row r="677" customFormat="false" ht="15" hidden="false" customHeight="false" outlineLevel="0" collapsed="false">
      <c r="A677" s="16" t="str">
        <f aca="false">Vendor_Invoices_AP!A674</f>
        <v>INV30673</v>
      </c>
      <c r="B677" s="16" t="str">
        <f aca="false">Vendor_Invoices_AP!C674</f>
        <v>V1022</v>
      </c>
      <c r="C677" s="16" t="str">
        <f aca="false">IFERROR(INDEX(Vendor_Master!$B$2:$B$41,MATCH(B677,Vendor_Master!$A$2:$A$41,0)),"Unknown Vendor")</f>
        <v>Burgess-Patterson</v>
      </c>
      <c r="D677" s="17" t="n">
        <f aca="false">Vendor_Invoices_AP!D674</f>
        <v>46184</v>
      </c>
      <c r="E677" s="17" t="n">
        <f aca="false">Vendor_Invoices_AP!F674</f>
        <v>46214</v>
      </c>
      <c r="F677" s="18" t="n">
        <f aca="false">Vendor_Invoices_AP!E674</f>
        <v>2778.4</v>
      </c>
      <c r="G677" s="18" t="n">
        <f aca="false">SUMIFS(Payment_Log_AP!$E$2:$E$753,Payment_Log_AP!$B$2:$B$753,A677)</f>
        <v>2778.4</v>
      </c>
      <c r="H677" s="18" t="n">
        <f aca="false">F677-G677</f>
        <v>0</v>
      </c>
      <c r="I677" s="16" t="n">
        <f aca="false">IF(H677&lt;=0.01,0,MAX(Assumptions!$B$5-E677,0))</f>
        <v>0</v>
      </c>
      <c r="J677" s="16" t="str">
        <f aca="false">IF(H677&lt;=0.01,"Paid",IF(I677&lt;=30,"0-30",IF(I677&lt;=60,"31-60",IF(I677&lt;=90,"61-90","90+"))))</f>
        <v>Paid</v>
      </c>
      <c r="K677" s="16" t="str">
        <f aca="false">IF(H677&lt;=0.01,"Paid",IF(G677&gt;0,"Partially Paid","Unpaid"))</f>
        <v>Paid</v>
      </c>
    </row>
    <row r="678" customFormat="false" ht="15" hidden="false" customHeight="false" outlineLevel="0" collapsed="false">
      <c r="A678" s="16" t="str">
        <f aca="false">Vendor_Invoices_AP!A675</f>
        <v>INV30674</v>
      </c>
      <c r="B678" s="16" t="str">
        <f aca="false">Vendor_Invoices_AP!C675</f>
        <v>V1037</v>
      </c>
      <c r="C678" s="16" t="str">
        <f aca="false">IFERROR(INDEX(Vendor_Master!$B$2:$B$41,MATCH(B678,Vendor_Master!$A$2:$A$41,0)),"Unknown Vendor")</f>
        <v>Cannon, Anderson and Alvarez</v>
      </c>
      <c r="D678" s="17" t="n">
        <f aca="false">Vendor_Invoices_AP!D675</f>
        <v>45908</v>
      </c>
      <c r="E678" s="17" t="n">
        <f aca="false">Vendor_Invoices_AP!F675</f>
        <v>45938</v>
      </c>
      <c r="F678" s="18" t="n">
        <f aca="false">Vendor_Invoices_AP!E675</f>
        <v>989.27</v>
      </c>
      <c r="G678" s="18" t="n">
        <f aca="false">SUMIFS(Payment_Log_AP!$E$2:$E$753,Payment_Log_AP!$B$2:$B$753,A678)</f>
        <v>989.27</v>
      </c>
      <c r="H678" s="18" t="n">
        <f aca="false">F678-G678</f>
        <v>0</v>
      </c>
      <c r="I678" s="16" t="n">
        <f aca="false">IF(H678&lt;=0.01,0,MAX(Assumptions!$B$5-E678,0))</f>
        <v>0</v>
      </c>
      <c r="J678" s="16" t="str">
        <f aca="false">IF(H678&lt;=0.01,"Paid",IF(I678&lt;=30,"0-30",IF(I678&lt;=60,"31-60",IF(I678&lt;=90,"61-90","90+"))))</f>
        <v>Paid</v>
      </c>
      <c r="K678" s="16" t="str">
        <f aca="false">IF(H678&lt;=0.01,"Paid",IF(G678&gt;0,"Partially Paid","Unpaid"))</f>
        <v>Paid</v>
      </c>
    </row>
    <row r="679" customFormat="false" ht="15" hidden="false" customHeight="false" outlineLevel="0" collapsed="false">
      <c r="A679" s="16" t="str">
        <f aca="false">Vendor_Invoices_AP!A676</f>
        <v>INV30675</v>
      </c>
      <c r="B679" s="16" t="str">
        <f aca="false">Vendor_Invoices_AP!C676</f>
        <v>V1032</v>
      </c>
      <c r="C679" s="16" t="str">
        <f aca="false">IFERROR(INDEX(Vendor_Master!$B$2:$B$41,MATCH(B679,Vendor_Master!$A$2:$A$41,0)),"Unknown Vendor")</f>
        <v>Lynch, Hernandez and Farmer</v>
      </c>
      <c r="D679" s="17" t="n">
        <f aca="false">Vendor_Invoices_AP!D676</f>
        <v>46082</v>
      </c>
      <c r="E679" s="17" t="n">
        <f aca="false">Vendor_Invoices_AP!F676</f>
        <v>46142</v>
      </c>
      <c r="F679" s="18" t="n">
        <f aca="false">Vendor_Invoices_AP!E676</f>
        <v>1556.9</v>
      </c>
      <c r="G679" s="18" t="n">
        <f aca="false">SUMIFS(Payment_Log_AP!$E$2:$E$753,Payment_Log_AP!$B$2:$B$753,A679)</f>
        <v>1556.9</v>
      </c>
      <c r="H679" s="18" t="n">
        <f aca="false">F679-G679</f>
        <v>0</v>
      </c>
      <c r="I679" s="16" t="n">
        <f aca="false">IF(H679&lt;=0.01,0,MAX(Assumptions!$B$5-E679,0))</f>
        <v>0</v>
      </c>
      <c r="J679" s="16" t="str">
        <f aca="false">IF(H679&lt;=0.01,"Paid",IF(I679&lt;=30,"0-30",IF(I679&lt;=60,"31-60",IF(I679&lt;=90,"61-90","90+"))))</f>
        <v>Paid</v>
      </c>
      <c r="K679" s="16" t="str">
        <f aca="false">IF(H679&lt;=0.01,"Paid",IF(G679&gt;0,"Partially Paid","Unpaid"))</f>
        <v>Paid</v>
      </c>
    </row>
    <row r="680" customFormat="false" ht="15" hidden="false" customHeight="false" outlineLevel="0" collapsed="false">
      <c r="A680" s="16" t="str">
        <f aca="false">Vendor_Invoices_AP!A677</f>
        <v>INV30676</v>
      </c>
      <c r="B680" s="16" t="str">
        <f aca="false">Vendor_Invoices_AP!C677</f>
        <v>V1011</v>
      </c>
      <c r="C680" s="16" t="str">
        <f aca="false">IFERROR(INDEX(Vendor_Master!$B$2:$B$41,MATCH(B680,Vendor_Master!$A$2:$A$41,0)),"Unknown Vendor")</f>
        <v>Montgomery, Hensley and Ray</v>
      </c>
      <c r="D680" s="17" t="n">
        <f aca="false">Vendor_Invoices_AP!D677</f>
        <v>45746</v>
      </c>
      <c r="E680" s="17" t="n">
        <f aca="false">Vendor_Invoices_AP!F677</f>
        <v>45791</v>
      </c>
      <c r="F680" s="18" t="n">
        <f aca="false">Vendor_Invoices_AP!E677</f>
        <v>6662.15</v>
      </c>
      <c r="G680" s="18" t="n">
        <f aca="false">SUMIFS(Payment_Log_AP!$E$2:$E$753,Payment_Log_AP!$B$2:$B$753,A680)</f>
        <v>6662.15</v>
      </c>
      <c r="H680" s="18" t="n">
        <f aca="false">F680-G680</f>
        <v>0</v>
      </c>
      <c r="I680" s="16" t="n">
        <f aca="false">IF(H680&lt;=0.01,0,MAX(Assumptions!$B$5-E680,0))</f>
        <v>0</v>
      </c>
      <c r="J680" s="16" t="str">
        <f aca="false">IF(H680&lt;=0.01,"Paid",IF(I680&lt;=30,"0-30",IF(I680&lt;=60,"31-60",IF(I680&lt;=90,"61-90","90+"))))</f>
        <v>Paid</v>
      </c>
      <c r="K680" s="16" t="str">
        <f aca="false">IF(H680&lt;=0.01,"Paid",IF(G680&gt;0,"Partially Paid","Unpaid"))</f>
        <v>Paid</v>
      </c>
    </row>
    <row r="681" customFormat="false" ht="15" hidden="false" customHeight="false" outlineLevel="0" collapsed="false">
      <c r="A681" s="16" t="str">
        <f aca="false">Vendor_Invoices_AP!A678</f>
        <v>INV30677</v>
      </c>
      <c r="B681" s="16" t="str">
        <f aca="false">Vendor_Invoices_AP!C678</f>
        <v>V1039</v>
      </c>
      <c r="C681" s="16" t="str">
        <f aca="false">IFERROR(INDEX(Vendor_Master!$B$2:$B$41,MATCH(B681,Vendor_Master!$A$2:$A$41,0)),"Unknown Vendor")</f>
        <v>Campos, Vaughn and Marquez</v>
      </c>
      <c r="D681" s="17" t="n">
        <f aca="false">Vendor_Invoices_AP!D678</f>
        <v>45892</v>
      </c>
      <c r="E681" s="17" t="n">
        <f aca="false">Vendor_Invoices_AP!F678</f>
        <v>45922</v>
      </c>
      <c r="F681" s="18" t="n">
        <f aca="false">Vendor_Invoices_AP!E678</f>
        <v>5757.86</v>
      </c>
      <c r="G681" s="18" t="n">
        <f aca="false">SUMIFS(Payment_Log_AP!$E$2:$E$753,Payment_Log_AP!$B$2:$B$753,A681)</f>
        <v>5757.86</v>
      </c>
      <c r="H681" s="18" t="n">
        <f aca="false">F681-G681</f>
        <v>0</v>
      </c>
      <c r="I681" s="16" t="n">
        <f aca="false">IF(H681&lt;=0.01,0,MAX(Assumptions!$B$5-E681,0))</f>
        <v>0</v>
      </c>
      <c r="J681" s="16" t="str">
        <f aca="false">IF(H681&lt;=0.01,"Paid",IF(I681&lt;=30,"0-30",IF(I681&lt;=60,"31-60",IF(I681&lt;=90,"61-90","90+"))))</f>
        <v>Paid</v>
      </c>
      <c r="K681" s="16" t="str">
        <f aca="false">IF(H681&lt;=0.01,"Paid",IF(G681&gt;0,"Partially Paid","Unpaid"))</f>
        <v>Paid</v>
      </c>
    </row>
    <row r="682" customFormat="false" ht="15" hidden="false" customHeight="false" outlineLevel="0" collapsed="false">
      <c r="A682" s="16" t="str">
        <f aca="false">Vendor_Invoices_AP!A679</f>
        <v>INV30678</v>
      </c>
      <c r="B682" s="16" t="str">
        <f aca="false">Vendor_Invoices_AP!C679</f>
        <v>V1030</v>
      </c>
      <c r="C682" s="16" t="str">
        <f aca="false">IFERROR(INDEX(Vendor_Master!$B$2:$B$41,MATCH(B682,Vendor_Master!$A$2:$A$41,0)),"Unknown Vendor")</f>
        <v>Stanton-Gill</v>
      </c>
      <c r="D682" s="17" t="n">
        <f aca="false">Vendor_Invoices_AP!D679</f>
        <v>45721</v>
      </c>
      <c r="E682" s="17" t="n">
        <f aca="false">Vendor_Invoices_AP!F679</f>
        <v>45781</v>
      </c>
      <c r="F682" s="18" t="n">
        <f aca="false">Vendor_Invoices_AP!E679</f>
        <v>6869</v>
      </c>
      <c r="G682" s="18" t="n">
        <f aca="false">SUMIFS(Payment_Log_AP!$E$2:$E$753,Payment_Log_AP!$B$2:$B$753,A682)</f>
        <v>6869</v>
      </c>
      <c r="H682" s="18" t="n">
        <f aca="false">F682-G682</f>
        <v>0</v>
      </c>
      <c r="I682" s="16" t="n">
        <f aca="false">IF(H682&lt;=0.01,0,MAX(Assumptions!$B$5-E682,0))</f>
        <v>0</v>
      </c>
      <c r="J682" s="16" t="str">
        <f aca="false">IF(H682&lt;=0.01,"Paid",IF(I682&lt;=30,"0-30",IF(I682&lt;=60,"31-60",IF(I682&lt;=90,"61-90","90+"))))</f>
        <v>Paid</v>
      </c>
      <c r="K682" s="16" t="str">
        <f aca="false">IF(H682&lt;=0.01,"Paid",IF(G682&gt;0,"Partially Paid","Unpaid"))</f>
        <v>Paid</v>
      </c>
    </row>
    <row r="683" customFormat="false" ht="15" hidden="false" customHeight="false" outlineLevel="0" collapsed="false">
      <c r="A683" s="16" t="str">
        <f aca="false">Vendor_Invoices_AP!A680</f>
        <v>INV30679</v>
      </c>
      <c r="B683" s="16" t="str">
        <f aca="false">Vendor_Invoices_AP!C680</f>
        <v>V1029</v>
      </c>
      <c r="C683" s="16" t="str">
        <f aca="false">IFERROR(INDEX(Vendor_Master!$B$2:$B$41,MATCH(B683,Vendor_Master!$A$2:$A$41,0)),"Unknown Vendor")</f>
        <v>Chavez Ltd</v>
      </c>
      <c r="D683" s="17" t="n">
        <f aca="false">Vendor_Invoices_AP!D680</f>
        <v>45933</v>
      </c>
      <c r="E683" s="17" t="n">
        <f aca="false">Vendor_Invoices_AP!F680</f>
        <v>45993</v>
      </c>
      <c r="F683" s="18" t="n">
        <f aca="false">Vendor_Invoices_AP!E680</f>
        <v>228.89</v>
      </c>
      <c r="G683" s="18" t="n">
        <f aca="false">SUMIFS(Payment_Log_AP!$E$2:$E$753,Payment_Log_AP!$B$2:$B$753,A683)</f>
        <v>228.89</v>
      </c>
      <c r="H683" s="18" t="n">
        <f aca="false">F683-G683</f>
        <v>0</v>
      </c>
      <c r="I683" s="16" t="n">
        <f aca="false">IF(H683&lt;=0.01,0,MAX(Assumptions!$B$5-E683,0))</f>
        <v>0</v>
      </c>
      <c r="J683" s="16" t="str">
        <f aca="false">IF(H683&lt;=0.01,"Paid",IF(I683&lt;=30,"0-30",IF(I683&lt;=60,"31-60",IF(I683&lt;=90,"61-90","90+"))))</f>
        <v>Paid</v>
      </c>
      <c r="K683" s="16" t="str">
        <f aca="false">IF(H683&lt;=0.01,"Paid",IF(G683&gt;0,"Partially Paid","Unpaid"))</f>
        <v>Paid</v>
      </c>
    </row>
    <row r="684" customFormat="false" ht="15" hidden="false" customHeight="false" outlineLevel="0" collapsed="false">
      <c r="A684" s="16" t="str">
        <f aca="false">Vendor_Invoices_AP!A681</f>
        <v>INV30680</v>
      </c>
      <c r="B684" s="16" t="str">
        <f aca="false">Vendor_Invoices_AP!C681</f>
        <v>V1020</v>
      </c>
      <c r="C684" s="16" t="str">
        <f aca="false">IFERROR(INDEX(Vendor_Master!$B$2:$B$41,MATCH(B684,Vendor_Master!$A$2:$A$41,0)),"Unknown Vendor")</f>
        <v>Lewis-Porter</v>
      </c>
      <c r="D684" s="17" t="n">
        <f aca="false">Vendor_Invoices_AP!D681</f>
        <v>45900</v>
      </c>
      <c r="E684" s="17" t="n">
        <f aca="false">Vendor_Invoices_AP!F681</f>
        <v>45930</v>
      </c>
      <c r="F684" s="18" t="n">
        <f aca="false">Vendor_Invoices_AP!E681</f>
        <v>887.06</v>
      </c>
      <c r="G684" s="18" t="n">
        <f aca="false">SUMIFS(Payment_Log_AP!$E$2:$E$753,Payment_Log_AP!$B$2:$B$753,A684)</f>
        <v>887.06</v>
      </c>
      <c r="H684" s="18" t="n">
        <f aca="false">F684-G684</f>
        <v>0</v>
      </c>
      <c r="I684" s="16" t="n">
        <f aca="false">IF(H684&lt;=0.01,0,MAX(Assumptions!$B$5-E684,0))</f>
        <v>0</v>
      </c>
      <c r="J684" s="16" t="str">
        <f aca="false">IF(H684&lt;=0.01,"Paid",IF(I684&lt;=30,"0-30",IF(I684&lt;=60,"31-60",IF(I684&lt;=90,"61-90","90+"))))</f>
        <v>Paid</v>
      </c>
      <c r="K684" s="16" t="str">
        <f aca="false">IF(H684&lt;=0.01,"Paid",IF(G684&gt;0,"Partially Paid","Unpaid"))</f>
        <v>Paid</v>
      </c>
    </row>
    <row r="685" customFormat="false" ht="15" hidden="false" customHeight="false" outlineLevel="0" collapsed="false">
      <c r="A685" s="16" t="str">
        <f aca="false">Vendor_Invoices_AP!A682</f>
        <v>INV30681</v>
      </c>
      <c r="B685" s="16" t="str">
        <f aca="false">Vendor_Invoices_AP!C682</f>
        <v>V1002</v>
      </c>
      <c r="C685" s="16" t="str">
        <f aca="false">IFERROR(INDEX(Vendor_Master!$B$2:$B$41,MATCH(B685,Vendor_Master!$A$2:$A$41,0)),"Unknown Vendor")</f>
        <v>Garcia, Yang and Gardner</v>
      </c>
      <c r="D685" s="17" t="n">
        <f aca="false">Vendor_Invoices_AP!D682</f>
        <v>46178</v>
      </c>
      <c r="E685" s="17" t="n">
        <f aca="false">Vendor_Invoices_AP!F682</f>
        <v>46193</v>
      </c>
      <c r="F685" s="18" t="n">
        <f aca="false">Vendor_Invoices_AP!E682</f>
        <v>2875.96</v>
      </c>
      <c r="G685" s="18" t="n">
        <f aca="false">SUMIFS(Payment_Log_AP!$E$2:$E$753,Payment_Log_AP!$B$2:$B$753,A685)</f>
        <v>2875.96</v>
      </c>
      <c r="H685" s="18" t="n">
        <f aca="false">F685-G685</f>
        <v>0</v>
      </c>
      <c r="I685" s="16" t="n">
        <f aca="false">IF(H685&lt;=0.01,0,MAX(Assumptions!$B$5-E685,0))</f>
        <v>0</v>
      </c>
      <c r="J685" s="16" t="str">
        <f aca="false">IF(H685&lt;=0.01,"Paid",IF(I685&lt;=30,"0-30",IF(I685&lt;=60,"31-60",IF(I685&lt;=90,"61-90","90+"))))</f>
        <v>Paid</v>
      </c>
      <c r="K685" s="16" t="str">
        <f aca="false">IF(H685&lt;=0.01,"Paid",IF(G685&gt;0,"Partially Paid","Unpaid"))</f>
        <v>Paid</v>
      </c>
    </row>
    <row r="686" customFormat="false" ht="15" hidden="false" customHeight="false" outlineLevel="0" collapsed="false">
      <c r="A686" s="16" t="str">
        <f aca="false">Vendor_Invoices_AP!A683</f>
        <v>INV30682</v>
      </c>
      <c r="B686" s="16" t="str">
        <f aca="false">Vendor_Invoices_AP!C683</f>
        <v>V1004</v>
      </c>
      <c r="C686" s="16" t="str">
        <f aca="false">IFERROR(INDEX(Vendor_Master!$B$2:$B$41,MATCH(B686,Vendor_Master!$A$2:$A$41,0)),"Unknown Vendor")</f>
        <v>Johnson, Gonzalez and Santos</v>
      </c>
      <c r="D686" s="17" t="n">
        <f aca="false">Vendor_Invoices_AP!D683</f>
        <v>45692</v>
      </c>
      <c r="E686" s="17" t="n">
        <f aca="false">Vendor_Invoices_AP!F683</f>
        <v>45707</v>
      </c>
      <c r="F686" s="18" t="n">
        <f aca="false">Vendor_Invoices_AP!E683</f>
        <v>3337.25</v>
      </c>
      <c r="G686" s="18" t="n">
        <f aca="false">SUMIFS(Payment_Log_AP!$E$2:$E$753,Payment_Log_AP!$B$2:$B$753,A686)</f>
        <v>3337.25</v>
      </c>
      <c r="H686" s="18" t="n">
        <f aca="false">F686-G686</f>
        <v>0</v>
      </c>
      <c r="I686" s="16" t="n">
        <f aca="false">IF(H686&lt;=0.01,0,MAX(Assumptions!$B$5-E686,0))</f>
        <v>0</v>
      </c>
      <c r="J686" s="16" t="str">
        <f aca="false">IF(H686&lt;=0.01,"Paid",IF(I686&lt;=30,"0-30",IF(I686&lt;=60,"31-60",IF(I686&lt;=90,"61-90","90+"))))</f>
        <v>Paid</v>
      </c>
      <c r="K686" s="16" t="str">
        <f aca="false">IF(H686&lt;=0.01,"Paid",IF(G686&gt;0,"Partially Paid","Unpaid"))</f>
        <v>Paid</v>
      </c>
    </row>
    <row r="687" customFormat="false" ht="15" hidden="false" customHeight="false" outlineLevel="0" collapsed="false">
      <c r="A687" s="16" t="str">
        <f aca="false">Vendor_Invoices_AP!A684</f>
        <v>INV30683</v>
      </c>
      <c r="B687" s="16" t="str">
        <f aca="false">Vendor_Invoices_AP!C684</f>
        <v>V1038</v>
      </c>
      <c r="C687" s="16" t="str">
        <f aca="false">IFERROR(INDEX(Vendor_Master!$B$2:$B$41,MATCH(B687,Vendor_Master!$A$2:$A$41,0)),"Unknown Vendor")</f>
        <v>Rose-Obrien</v>
      </c>
      <c r="D687" s="17" t="n">
        <f aca="false">Vendor_Invoices_AP!D684</f>
        <v>45874</v>
      </c>
      <c r="E687" s="17" t="n">
        <f aca="false">Vendor_Invoices_AP!F684</f>
        <v>45904</v>
      </c>
      <c r="F687" s="18" t="n">
        <f aca="false">Vendor_Invoices_AP!E684</f>
        <v>3555.6</v>
      </c>
      <c r="G687" s="18" t="n">
        <f aca="false">SUMIFS(Payment_Log_AP!$E$2:$E$753,Payment_Log_AP!$B$2:$B$753,A687)</f>
        <v>3555.6</v>
      </c>
      <c r="H687" s="18" t="n">
        <f aca="false">F687-G687</f>
        <v>0</v>
      </c>
      <c r="I687" s="16" t="n">
        <f aca="false">IF(H687&lt;=0.01,0,MAX(Assumptions!$B$5-E687,0))</f>
        <v>0</v>
      </c>
      <c r="J687" s="16" t="str">
        <f aca="false">IF(H687&lt;=0.01,"Paid",IF(I687&lt;=30,"0-30",IF(I687&lt;=60,"31-60",IF(I687&lt;=90,"61-90","90+"))))</f>
        <v>Paid</v>
      </c>
      <c r="K687" s="16" t="str">
        <f aca="false">IF(H687&lt;=0.01,"Paid",IF(G687&gt;0,"Partially Paid","Unpaid"))</f>
        <v>Paid</v>
      </c>
    </row>
    <row r="688" customFormat="false" ht="15" hidden="false" customHeight="false" outlineLevel="0" collapsed="false">
      <c r="A688" s="16" t="str">
        <f aca="false">Vendor_Invoices_AP!A685</f>
        <v>INV30684</v>
      </c>
      <c r="B688" s="16" t="str">
        <f aca="false">Vendor_Invoices_AP!C685</f>
        <v>V1012</v>
      </c>
      <c r="C688" s="16" t="str">
        <f aca="false">IFERROR(INDEX(Vendor_Master!$B$2:$B$41,MATCH(B688,Vendor_Master!$A$2:$A$41,0)),"Unknown Vendor")</f>
        <v>Stanley LLC</v>
      </c>
      <c r="D688" s="17" t="n">
        <f aca="false">Vendor_Invoices_AP!D685</f>
        <v>45923</v>
      </c>
      <c r="E688" s="17" t="n">
        <f aca="false">Vendor_Invoices_AP!F685</f>
        <v>45983</v>
      </c>
      <c r="F688" s="18" t="n">
        <f aca="false">Vendor_Invoices_AP!E685</f>
        <v>313.22</v>
      </c>
      <c r="G688" s="18" t="n">
        <f aca="false">SUMIFS(Payment_Log_AP!$E$2:$E$753,Payment_Log_AP!$B$2:$B$753,A688)</f>
        <v>313.22</v>
      </c>
      <c r="H688" s="18" t="n">
        <f aca="false">F688-G688</f>
        <v>0</v>
      </c>
      <c r="I688" s="16" t="n">
        <f aca="false">IF(H688&lt;=0.01,0,MAX(Assumptions!$B$5-E688,0))</f>
        <v>0</v>
      </c>
      <c r="J688" s="16" t="str">
        <f aca="false">IF(H688&lt;=0.01,"Paid",IF(I688&lt;=30,"0-30",IF(I688&lt;=60,"31-60",IF(I688&lt;=90,"61-90","90+"))))</f>
        <v>Paid</v>
      </c>
      <c r="K688" s="16" t="str">
        <f aca="false">IF(H688&lt;=0.01,"Paid",IF(G688&gt;0,"Partially Paid","Unpaid"))</f>
        <v>Paid</v>
      </c>
    </row>
    <row r="689" customFormat="false" ht="15" hidden="false" customHeight="false" outlineLevel="0" collapsed="false">
      <c r="A689" s="16" t="str">
        <f aca="false">Vendor_Invoices_AP!A686</f>
        <v>INV30685</v>
      </c>
      <c r="B689" s="16" t="str">
        <f aca="false">Vendor_Invoices_AP!C686</f>
        <v>V1001</v>
      </c>
      <c r="C689" s="16" t="str">
        <f aca="false">IFERROR(INDEX(Vendor_Master!$B$2:$B$41,MATCH(B689,Vendor_Master!$A$2:$A$41,0)),"Unknown Vendor")</f>
        <v>Figueroa and Sons</v>
      </c>
      <c r="D689" s="17" t="n">
        <f aca="false">Vendor_Invoices_AP!D686</f>
        <v>46185</v>
      </c>
      <c r="E689" s="17" t="n">
        <f aca="false">Vendor_Invoices_AP!F686</f>
        <v>46230</v>
      </c>
      <c r="F689" s="18" t="n">
        <f aca="false">Vendor_Invoices_AP!E686</f>
        <v>36063.86</v>
      </c>
      <c r="G689" s="18" t="n">
        <f aca="false">SUMIFS(Payment_Log_AP!$E$2:$E$753,Payment_Log_AP!$B$2:$B$753,A689)</f>
        <v>36063.86</v>
      </c>
      <c r="H689" s="18" t="n">
        <f aca="false">F689-G689</f>
        <v>0</v>
      </c>
      <c r="I689" s="16" t="n">
        <f aca="false">IF(H689&lt;=0.01,0,MAX(Assumptions!$B$5-E689,0))</f>
        <v>0</v>
      </c>
      <c r="J689" s="16" t="str">
        <f aca="false">IF(H689&lt;=0.01,"Paid",IF(I689&lt;=30,"0-30",IF(I689&lt;=60,"31-60",IF(I689&lt;=90,"61-90","90+"))))</f>
        <v>Paid</v>
      </c>
      <c r="K689" s="16" t="str">
        <f aca="false">IF(H689&lt;=0.01,"Paid",IF(G689&gt;0,"Partially Paid","Unpaid"))</f>
        <v>Paid</v>
      </c>
    </row>
    <row r="690" customFormat="false" ht="15" hidden="false" customHeight="false" outlineLevel="0" collapsed="false">
      <c r="A690" s="16" t="str">
        <f aca="false">Vendor_Invoices_AP!A687</f>
        <v>INV30686</v>
      </c>
      <c r="B690" s="16" t="str">
        <f aca="false">Vendor_Invoices_AP!C687</f>
        <v>V1007</v>
      </c>
      <c r="C690" s="16" t="str">
        <f aca="false">IFERROR(INDEX(Vendor_Master!$B$2:$B$41,MATCH(B690,Vendor_Master!$A$2:$A$41,0)),"Unknown Vendor")</f>
        <v>Ramirez-Lewis</v>
      </c>
      <c r="D690" s="17" t="n">
        <f aca="false">Vendor_Invoices_AP!D687</f>
        <v>46148</v>
      </c>
      <c r="E690" s="17" t="n">
        <f aca="false">Vendor_Invoices_AP!F687</f>
        <v>46163</v>
      </c>
      <c r="F690" s="18" t="n">
        <f aca="false">Vendor_Invoices_AP!E687</f>
        <v>1139.17</v>
      </c>
      <c r="G690" s="18" t="n">
        <f aca="false">SUMIFS(Payment_Log_AP!$E$2:$E$753,Payment_Log_AP!$B$2:$B$753,A690)</f>
        <v>1139.17</v>
      </c>
      <c r="H690" s="18" t="n">
        <f aca="false">F690-G690</f>
        <v>0</v>
      </c>
      <c r="I690" s="16" t="n">
        <f aca="false">IF(H690&lt;=0.01,0,MAX(Assumptions!$B$5-E690,0))</f>
        <v>0</v>
      </c>
      <c r="J690" s="16" t="str">
        <f aca="false">IF(H690&lt;=0.01,"Paid",IF(I690&lt;=30,"0-30",IF(I690&lt;=60,"31-60",IF(I690&lt;=90,"61-90","90+"))))</f>
        <v>Paid</v>
      </c>
      <c r="K690" s="16" t="str">
        <f aca="false">IF(H690&lt;=0.01,"Paid",IF(G690&gt;0,"Partially Paid","Unpaid"))</f>
        <v>Paid</v>
      </c>
    </row>
    <row r="691" customFormat="false" ht="15" hidden="false" customHeight="false" outlineLevel="0" collapsed="false">
      <c r="A691" s="16" t="str">
        <f aca="false">Vendor_Invoices_AP!A688</f>
        <v>INV30687</v>
      </c>
      <c r="B691" s="16" t="str">
        <f aca="false">Vendor_Invoices_AP!C688</f>
        <v>V1025</v>
      </c>
      <c r="C691" s="16" t="str">
        <f aca="false">IFERROR(INDEX(Vendor_Master!$B$2:$B$41,MATCH(B691,Vendor_Master!$A$2:$A$41,0)),"Unknown Vendor")</f>
        <v>Conner Group</v>
      </c>
      <c r="D691" s="17" t="n">
        <f aca="false">Vendor_Invoices_AP!D688</f>
        <v>45718</v>
      </c>
      <c r="E691" s="17" t="n">
        <f aca="false">Vendor_Invoices_AP!F688</f>
        <v>45763</v>
      </c>
      <c r="F691" s="18" t="n">
        <f aca="false">Vendor_Invoices_AP!E688</f>
        <v>989.07</v>
      </c>
      <c r="G691" s="18" t="n">
        <f aca="false">SUMIFS(Payment_Log_AP!$E$2:$E$753,Payment_Log_AP!$B$2:$B$753,A691)</f>
        <v>989.07</v>
      </c>
      <c r="H691" s="18" t="n">
        <f aca="false">F691-G691</f>
        <v>0</v>
      </c>
      <c r="I691" s="16" t="n">
        <f aca="false">IF(H691&lt;=0.01,0,MAX(Assumptions!$B$5-E691,0))</f>
        <v>0</v>
      </c>
      <c r="J691" s="16" t="str">
        <f aca="false">IF(H691&lt;=0.01,"Paid",IF(I691&lt;=30,"0-30",IF(I691&lt;=60,"31-60",IF(I691&lt;=90,"61-90","90+"))))</f>
        <v>Paid</v>
      </c>
      <c r="K691" s="16" t="str">
        <f aca="false">IF(H691&lt;=0.01,"Paid",IF(G691&gt;0,"Partially Paid","Unpaid"))</f>
        <v>Paid</v>
      </c>
    </row>
    <row r="692" customFormat="false" ht="15" hidden="false" customHeight="false" outlineLevel="0" collapsed="false">
      <c r="A692" s="16" t="str">
        <f aca="false">Vendor_Invoices_AP!A689</f>
        <v>INV30688</v>
      </c>
      <c r="B692" s="16" t="str">
        <f aca="false">Vendor_Invoices_AP!C689</f>
        <v>V1039</v>
      </c>
      <c r="C692" s="16" t="str">
        <f aca="false">IFERROR(INDEX(Vendor_Master!$B$2:$B$41,MATCH(B692,Vendor_Master!$A$2:$A$41,0)),"Unknown Vendor")</f>
        <v>Campos, Vaughn and Marquez</v>
      </c>
      <c r="D692" s="17" t="n">
        <f aca="false">Vendor_Invoices_AP!D689</f>
        <v>46035</v>
      </c>
      <c r="E692" s="17" t="n">
        <f aca="false">Vendor_Invoices_AP!F689</f>
        <v>46065</v>
      </c>
      <c r="F692" s="18" t="n">
        <f aca="false">Vendor_Invoices_AP!E689</f>
        <v>2852.54</v>
      </c>
      <c r="G692" s="18" t="n">
        <f aca="false">SUMIFS(Payment_Log_AP!$E$2:$E$753,Payment_Log_AP!$B$2:$B$753,A692)</f>
        <v>0</v>
      </c>
      <c r="H692" s="18" t="n">
        <f aca="false">F692-G692</f>
        <v>2852.54</v>
      </c>
      <c r="I692" s="16" t="n">
        <f aca="false">IF(H692&lt;=0.01,0,MAX(Assumptions!$B$5-E692,0))</f>
        <v>169</v>
      </c>
      <c r="J692" s="16" t="str">
        <f aca="false">IF(H692&lt;=0.01,"Paid",IF(I692&lt;=30,"0-30",IF(I692&lt;=60,"31-60",IF(I692&lt;=90,"61-90","90+"))))</f>
        <v>90+</v>
      </c>
      <c r="K692" s="16" t="str">
        <f aca="false">IF(H692&lt;=0.01,"Paid",IF(G692&gt;0,"Partially Paid","Unpaid"))</f>
        <v>Unpaid</v>
      </c>
    </row>
    <row r="693" customFormat="false" ht="15" hidden="false" customHeight="false" outlineLevel="0" collapsed="false">
      <c r="A693" s="16" t="str">
        <f aca="false">Vendor_Invoices_AP!A690</f>
        <v>INV30689</v>
      </c>
      <c r="B693" s="16" t="str">
        <f aca="false">Vendor_Invoices_AP!C690</f>
        <v>V1032</v>
      </c>
      <c r="C693" s="16" t="str">
        <f aca="false">IFERROR(INDEX(Vendor_Master!$B$2:$B$41,MATCH(B693,Vendor_Master!$A$2:$A$41,0)),"Unknown Vendor")</f>
        <v>Lynch, Hernandez and Farmer</v>
      </c>
      <c r="D693" s="17" t="n">
        <f aca="false">Vendor_Invoices_AP!D690</f>
        <v>45970</v>
      </c>
      <c r="E693" s="17" t="n">
        <f aca="false">Vendor_Invoices_AP!F690</f>
        <v>46030</v>
      </c>
      <c r="F693" s="18" t="n">
        <f aca="false">Vendor_Invoices_AP!E690</f>
        <v>2408.69</v>
      </c>
      <c r="G693" s="18" t="n">
        <f aca="false">SUMIFS(Payment_Log_AP!$E$2:$E$753,Payment_Log_AP!$B$2:$B$753,A693)</f>
        <v>2408.69</v>
      </c>
      <c r="H693" s="18" t="n">
        <f aca="false">F693-G693</f>
        <v>0</v>
      </c>
      <c r="I693" s="16" t="n">
        <f aca="false">IF(H693&lt;=0.01,0,MAX(Assumptions!$B$5-E693,0))</f>
        <v>0</v>
      </c>
      <c r="J693" s="16" t="str">
        <f aca="false">IF(H693&lt;=0.01,"Paid",IF(I693&lt;=30,"0-30",IF(I693&lt;=60,"31-60",IF(I693&lt;=90,"61-90","90+"))))</f>
        <v>Paid</v>
      </c>
      <c r="K693" s="16" t="str">
        <f aca="false">IF(H693&lt;=0.01,"Paid",IF(G693&gt;0,"Partially Paid","Unpaid"))</f>
        <v>Paid</v>
      </c>
    </row>
    <row r="694" customFormat="false" ht="15" hidden="false" customHeight="false" outlineLevel="0" collapsed="false">
      <c r="A694" s="16" t="str">
        <f aca="false">Vendor_Invoices_AP!A691</f>
        <v>INV30690</v>
      </c>
      <c r="B694" s="16" t="str">
        <f aca="false">Vendor_Invoices_AP!C691</f>
        <v>V1001</v>
      </c>
      <c r="C694" s="16" t="str">
        <f aca="false">IFERROR(INDEX(Vendor_Master!$B$2:$B$41,MATCH(B694,Vendor_Master!$A$2:$A$41,0)),"Unknown Vendor")</f>
        <v>Figueroa and Sons</v>
      </c>
      <c r="D694" s="17" t="n">
        <f aca="false">Vendor_Invoices_AP!D691</f>
        <v>46192</v>
      </c>
      <c r="E694" s="17" t="n">
        <f aca="false">Vendor_Invoices_AP!F691</f>
        <v>46237</v>
      </c>
      <c r="F694" s="18" t="n">
        <f aca="false">Vendor_Invoices_AP!E691</f>
        <v>1303.38</v>
      </c>
      <c r="G694" s="18" t="n">
        <f aca="false">SUMIFS(Payment_Log_AP!$E$2:$E$753,Payment_Log_AP!$B$2:$B$753,A694)</f>
        <v>0</v>
      </c>
      <c r="H694" s="18" t="n">
        <f aca="false">F694-G694</f>
        <v>1303.38</v>
      </c>
      <c r="I694" s="16" t="n">
        <f aca="false">IF(H694&lt;=0.01,0,MAX(Assumptions!$B$5-E694,0))</f>
        <v>0</v>
      </c>
      <c r="J694" s="16" t="str">
        <f aca="false">IF(H694&lt;=0.01,"Paid",IF(I694&lt;=30,"0-30",IF(I694&lt;=60,"31-60",IF(I694&lt;=90,"61-90","90+"))))</f>
        <v>0-30</v>
      </c>
      <c r="K694" s="16" t="str">
        <f aca="false">IF(H694&lt;=0.01,"Paid",IF(G694&gt;0,"Partially Paid","Unpaid"))</f>
        <v>Unpaid</v>
      </c>
    </row>
    <row r="695" customFormat="false" ht="15" hidden="false" customHeight="false" outlineLevel="0" collapsed="false">
      <c r="A695" s="16" t="str">
        <f aca="false">Vendor_Invoices_AP!A692</f>
        <v>INV30691</v>
      </c>
      <c r="B695" s="16" t="str">
        <f aca="false">Vendor_Invoices_AP!C692</f>
        <v>V1019</v>
      </c>
      <c r="C695" s="16" t="str">
        <f aca="false">IFERROR(INDEX(Vendor_Master!$B$2:$B$41,MATCH(B695,Vendor_Master!$A$2:$A$41,0)),"Unknown Vendor")</f>
        <v>Clark PLC</v>
      </c>
      <c r="D695" s="17" t="n">
        <f aca="false">Vendor_Invoices_AP!D692</f>
        <v>45859</v>
      </c>
      <c r="E695" s="17" t="n">
        <f aca="false">Vendor_Invoices_AP!F692</f>
        <v>45904</v>
      </c>
      <c r="F695" s="18" t="n">
        <f aca="false">Vendor_Invoices_AP!E692</f>
        <v>414.94</v>
      </c>
      <c r="G695" s="18" t="n">
        <f aca="false">SUMIFS(Payment_Log_AP!$E$2:$E$753,Payment_Log_AP!$B$2:$B$753,A695)</f>
        <v>0</v>
      </c>
      <c r="H695" s="18" t="n">
        <f aca="false">F695-G695</f>
        <v>414.94</v>
      </c>
      <c r="I695" s="16" t="n">
        <f aca="false">IF(H695&lt;=0.01,0,MAX(Assumptions!$B$5-E695,0))</f>
        <v>330</v>
      </c>
      <c r="J695" s="16" t="str">
        <f aca="false">IF(H695&lt;=0.01,"Paid",IF(I695&lt;=30,"0-30",IF(I695&lt;=60,"31-60",IF(I695&lt;=90,"61-90","90+"))))</f>
        <v>90+</v>
      </c>
      <c r="K695" s="16" t="str">
        <f aca="false">IF(H695&lt;=0.01,"Paid",IF(G695&gt;0,"Partially Paid","Unpaid"))</f>
        <v>Unpaid</v>
      </c>
    </row>
    <row r="696" customFormat="false" ht="15" hidden="false" customHeight="false" outlineLevel="0" collapsed="false">
      <c r="A696" s="16" t="str">
        <f aca="false">Vendor_Invoices_AP!A693</f>
        <v>INV30692</v>
      </c>
      <c r="B696" s="16" t="str">
        <f aca="false">Vendor_Invoices_AP!C693</f>
        <v>V1030</v>
      </c>
      <c r="C696" s="16" t="str">
        <f aca="false">IFERROR(INDEX(Vendor_Master!$B$2:$B$41,MATCH(B696,Vendor_Master!$A$2:$A$41,0)),"Unknown Vendor")</f>
        <v>Stanton-Gill</v>
      </c>
      <c r="D696" s="17" t="n">
        <f aca="false">Vendor_Invoices_AP!D693</f>
        <v>45887</v>
      </c>
      <c r="E696" s="17" t="n">
        <f aca="false">Vendor_Invoices_AP!F693</f>
        <v>45947</v>
      </c>
      <c r="F696" s="18" t="n">
        <f aca="false">Vendor_Invoices_AP!E693</f>
        <v>526.61</v>
      </c>
      <c r="G696" s="18" t="n">
        <f aca="false">SUMIFS(Payment_Log_AP!$E$2:$E$753,Payment_Log_AP!$B$2:$B$753,A696)</f>
        <v>526.61</v>
      </c>
      <c r="H696" s="18" t="n">
        <f aca="false">F696-G696</f>
        <v>0</v>
      </c>
      <c r="I696" s="16" t="n">
        <f aca="false">IF(H696&lt;=0.01,0,MAX(Assumptions!$B$5-E696,0))</f>
        <v>0</v>
      </c>
      <c r="J696" s="16" t="str">
        <f aca="false">IF(H696&lt;=0.01,"Paid",IF(I696&lt;=30,"0-30",IF(I696&lt;=60,"31-60",IF(I696&lt;=90,"61-90","90+"))))</f>
        <v>Paid</v>
      </c>
      <c r="K696" s="16" t="str">
        <f aca="false">IF(H696&lt;=0.01,"Paid",IF(G696&gt;0,"Partially Paid","Unpaid"))</f>
        <v>Paid</v>
      </c>
    </row>
    <row r="697" customFormat="false" ht="15" hidden="false" customHeight="false" outlineLevel="0" collapsed="false">
      <c r="A697" s="16" t="str">
        <f aca="false">Vendor_Invoices_AP!A694</f>
        <v>INV30693</v>
      </c>
      <c r="B697" s="16" t="str">
        <f aca="false">Vendor_Invoices_AP!C694</f>
        <v>V1008</v>
      </c>
      <c r="C697" s="16" t="str">
        <f aca="false">IFERROR(INDEX(Vendor_Master!$B$2:$B$41,MATCH(B697,Vendor_Master!$A$2:$A$41,0)),"Unknown Vendor")</f>
        <v>Davis Inc</v>
      </c>
      <c r="D697" s="17" t="n">
        <f aca="false">Vendor_Invoices_AP!D694</f>
        <v>45763</v>
      </c>
      <c r="E697" s="17" t="n">
        <f aca="false">Vendor_Invoices_AP!F694</f>
        <v>45823</v>
      </c>
      <c r="F697" s="18" t="n">
        <f aca="false">Vendor_Invoices_AP!E694</f>
        <v>1428.02</v>
      </c>
      <c r="G697" s="18" t="n">
        <f aca="false">SUMIFS(Payment_Log_AP!$E$2:$E$753,Payment_Log_AP!$B$2:$B$753,A697)</f>
        <v>0</v>
      </c>
      <c r="H697" s="18" t="n">
        <f aca="false">F697-G697</f>
        <v>1428.02</v>
      </c>
      <c r="I697" s="16" t="n">
        <f aca="false">IF(H697&lt;=0.01,0,MAX(Assumptions!$B$5-E697,0))</f>
        <v>411</v>
      </c>
      <c r="J697" s="16" t="str">
        <f aca="false">IF(H697&lt;=0.01,"Paid",IF(I697&lt;=30,"0-30",IF(I697&lt;=60,"31-60",IF(I697&lt;=90,"61-90","90+"))))</f>
        <v>90+</v>
      </c>
      <c r="K697" s="16" t="str">
        <f aca="false">IF(H697&lt;=0.01,"Paid",IF(G697&gt;0,"Partially Paid","Unpaid"))</f>
        <v>Unpaid</v>
      </c>
    </row>
    <row r="698" customFormat="false" ht="15" hidden="false" customHeight="false" outlineLevel="0" collapsed="false">
      <c r="A698" s="16" t="str">
        <f aca="false">Vendor_Invoices_AP!A695</f>
        <v>INV30694</v>
      </c>
      <c r="B698" s="16" t="str">
        <f aca="false">Vendor_Invoices_AP!C695</f>
        <v>V1008</v>
      </c>
      <c r="C698" s="16" t="str">
        <f aca="false">IFERROR(INDEX(Vendor_Master!$B$2:$B$41,MATCH(B698,Vendor_Master!$A$2:$A$41,0)),"Unknown Vendor")</f>
        <v>Davis Inc</v>
      </c>
      <c r="D698" s="17" t="n">
        <f aca="false">Vendor_Invoices_AP!D695</f>
        <v>45748</v>
      </c>
      <c r="E698" s="17" t="n">
        <f aca="false">Vendor_Invoices_AP!F695</f>
        <v>45808</v>
      </c>
      <c r="F698" s="18" t="n">
        <f aca="false">Vendor_Invoices_AP!E695</f>
        <v>3315.09</v>
      </c>
      <c r="G698" s="18" t="n">
        <f aca="false">SUMIFS(Payment_Log_AP!$E$2:$E$753,Payment_Log_AP!$B$2:$B$753,A698)</f>
        <v>3315.09</v>
      </c>
      <c r="H698" s="18" t="n">
        <f aca="false">F698-G698</f>
        <v>0</v>
      </c>
      <c r="I698" s="16" t="n">
        <f aca="false">IF(H698&lt;=0.01,0,MAX(Assumptions!$B$5-E698,0))</f>
        <v>0</v>
      </c>
      <c r="J698" s="16" t="str">
        <f aca="false">IF(H698&lt;=0.01,"Paid",IF(I698&lt;=30,"0-30",IF(I698&lt;=60,"31-60",IF(I698&lt;=90,"61-90","90+"))))</f>
        <v>Paid</v>
      </c>
      <c r="K698" s="16" t="str">
        <f aca="false">IF(H698&lt;=0.01,"Paid",IF(G698&gt;0,"Partially Paid","Unpaid"))</f>
        <v>Paid</v>
      </c>
    </row>
    <row r="699" customFormat="false" ht="15" hidden="false" customHeight="false" outlineLevel="0" collapsed="false">
      <c r="A699" s="16" t="str">
        <f aca="false">Vendor_Invoices_AP!A696</f>
        <v>INV30695</v>
      </c>
      <c r="B699" s="16" t="str">
        <f aca="false">Vendor_Invoices_AP!C696</f>
        <v>V1009</v>
      </c>
      <c r="C699" s="16" t="str">
        <f aca="false">IFERROR(INDEX(Vendor_Master!$B$2:$B$41,MATCH(B699,Vendor_Master!$A$2:$A$41,0)),"Unknown Vendor")</f>
        <v>Munoz-Roman</v>
      </c>
      <c r="D699" s="17" t="n">
        <f aca="false">Vendor_Invoices_AP!D696</f>
        <v>46135</v>
      </c>
      <c r="E699" s="17" t="n">
        <f aca="false">Vendor_Invoices_AP!F696</f>
        <v>46165</v>
      </c>
      <c r="F699" s="18" t="n">
        <f aca="false">Vendor_Invoices_AP!E696</f>
        <v>1645.78</v>
      </c>
      <c r="G699" s="18" t="n">
        <f aca="false">SUMIFS(Payment_Log_AP!$E$2:$E$753,Payment_Log_AP!$B$2:$B$753,A699)</f>
        <v>1645.78</v>
      </c>
      <c r="H699" s="18" t="n">
        <f aca="false">F699-G699</f>
        <v>0</v>
      </c>
      <c r="I699" s="16" t="n">
        <f aca="false">IF(H699&lt;=0.01,0,MAX(Assumptions!$B$5-E699,0))</f>
        <v>0</v>
      </c>
      <c r="J699" s="16" t="str">
        <f aca="false">IF(H699&lt;=0.01,"Paid",IF(I699&lt;=30,"0-30",IF(I699&lt;=60,"31-60",IF(I699&lt;=90,"61-90","90+"))))</f>
        <v>Paid</v>
      </c>
      <c r="K699" s="16" t="str">
        <f aca="false">IF(H699&lt;=0.01,"Paid",IF(G699&gt;0,"Partially Paid","Unpaid"))</f>
        <v>Paid</v>
      </c>
    </row>
    <row r="700" customFormat="false" ht="15" hidden="false" customHeight="false" outlineLevel="0" collapsed="false">
      <c r="A700" s="16" t="str">
        <f aca="false">Vendor_Invoices_AP!A697</f>
        <v>INV30696</v>
      </c>
      <c r="B700" s="16" t="str">
        <f aca="false">Vendor_Invoices_AP!C697</f>
        <v>V1009</v>
      </c>
      <c r="C700" s="16" t="str">
        <f aca="false">IFERROR(INDEX(Vendor_Master!$B$2:$B$41,MATCH(B700,Vendor_Master!$A$2:$A$41,0)),"Unknown Vendor")</f>
        <v>Munoz-Roman</v>
      </c>
      <c r="D700" s="17" t="n">
        <f aca="false">Vendor_Invoices_AP!D697</f>
        <v>46144</v>
      </c>
      <c r="E700" s="17" t="n">
        <f aca="false">Vendor_Invoices_AP!F697</f>
        <v>46174</v>
      </c>
      <c r="F700" s="18" t="n">
        <f aca="false">Vendor_Invoices_AP!E697</f>
        <v>1645.78</v>
      </c>
      <c r="G700" s="18" t="n">
        <f aca="false">SUMIFS(Payment_Log_AP!$E$2:$E$753,Payment_Log_AP!$B$2:$B$753,A700)</f>
        <v>1645.78</v>
      </c>
      <c r="H700" s="18" t="n">
        <f aca="false">F700-G700</f>
        <v>0</v>
      </c>
      <c r="I700" s="16" t="n">
        <f aca="false">IF(H700&lt;=0.01,0,MAX(Assumptions!$B$5-E700,0))</f>
        <v>0</v>
      </c>
      <c r="J700" s="16" t="str">
        <f aca="false">IF(H700&lt;=0.01,"Paid",IF(I700&lt;=30,"0-30",IF(I700&lt;=60,"31-60",IF(I700&lt;=90,"61-90","90+"))))</f>
        <v>Paid</v>
      </c>
      <c r="K700" s="16" t="str">
        <f aca="false">IF(H700&lt;=0.01,"Paid",IF(G700&gt;0,"Partially Paid","Unpaid"))</f>
        <v>Paid</v>
      </c>
    </row>
    <row r="701" customFormat="false" ht="15" hidden="false" customHeight="false" outlineLevel="0" collapsed="false">
      <c r="A701" s="16" t="str">
        <f aca="false">Vendor_Invoices_AP!A698</f>
        <v>INV30697</v>
      </c>
      <c r="B701" s="16" t="str">
        <f aca="false">Vendor_Invoices_AP!C698</f>
        <v>V1009</v>
      </c>
      <c r="C701" s="16" t="str">
        <f aca="false">IFERROR(INDEX(Vendor_Master!$B$2:$B$41,MATCH(B701,Vendor_Master!$A$2:$A$41,0)),"Unknown Vendor")</f>
        <v>Munoz-Roman</v>
      </c>
      <c r="D701" s="17" t="n">
        <f aca="false">Vendor_Invoices_AP!D698</f>
        <v>45913</v>
      </c>
      <c r="E701" s="17" t="n">
        <f aca="false">Vendor_Invoices_AP!F698</f>
        <v>45943</v>
      </c>
      <c r="F701" s="18" t="n">
        <f aca="false">Vendor_Invoices_AP!E698</f>
        <v>2048.02</v>
      </c>
      <c r="G701" s="18" t="n">
        <f aca="false">SUMIFS(Payment_Log_AP!$E$2:$E$753,Payment_Log_AP!$B$2:$B$753,A701)</f>
        <v>2048.02</v>
      </c>
      <c r="H701" s="18" t="n">
        <f aca="false">F701-G701</f>
        <v>0</v>
      </c>
      <c r="I701" s="16" t="n">
        <f aca="false">IF(H701&lt;=0.01,0,MAX(Assumptions!$B$5-E701,0))</f>
        <v>0</v>
      </c>
      <c r="J701" s="16" t="str">
        <f aca="false">IF(H701&lt;=0.01,"Paid",IF(I701&lt;=30,"0-30",IF(I701&lt;=60,"31-60",IF(I701&lt;=90,"61-90","90+"))))</f>
        <v>Paid</v>
      </c>
      <c r="K701" s="16" t="str">
        <f aca="false">IF(H701&lt;=0.01,"Paid",IF(G701&gt;0,"Partially Paid","Unpaid"))</f>
        <v>Paid</v>
      </c>
    </row>
    <row r="702" customFormat="false" ht="15" hidden="false" customHeight="false" outlineLevel="0" collapsed="false">
      <c r="A702" s="16" t="str">
        <f aca="false">Vendor_Invoices_AP!A699</f>
        <v>INV30698</v>
      </c>
      <c r="B702" s="16" t="str">
        <f aca="false">Vendor_Invoices_AP!C699</f>
        <v>V1025</v>
      </c>
      <c r="C702" s="16" t="str">
        <f aca="false">IFERROR(INDEX(Vendor_Master!$B$2:$B$41,MATCH(B702,Vendor_Master!$A$2:$A$41,0)),"Unknown Vendor")</f>
        <v>Conner Group</v>
      </c>
      <c r="D702" s="17" t="n">
        <f aca="false">Vendor_Invoices_AP!D699</f>
        <v>46031</v>
      </c>
      <c r="E702" s="17" t="n">
        <f aca="false">Vendor_Invoices_AP!F699</f>
        <v>46076</v>
      </c>
      <c r="F702" s="18" t="n">
        <f aca="false">Vendor_Invoices_AP!E699</f>
        <v>1796.9</v>
      </c>
      <c r="G702" s="18" t="n">
        <f aca="false">SUMIFS(Payment_Log_AP!$E$2:$E$753,Payment_Log_AP!$B$2:$B$753,A702)</f>
        <v>1796.9</v>
      </c>
      <c r="H702" s="18" t="n">
        <f aca="false">F702-G702</f>
        <v>0</v>
      </c>
      <c r="I702" s="16" t="n">
        <f aca="false">IF(H702&lt;=0.01,0,MAX(Assumptions!$B$5-E702,0))</f>
        <v>0</v>
      </c>
      <c r="J702" s="16" t="str">
        <f aca="false">IF(H702&lt;=0.01,"Paid",IF(I702&lt;=30,"0-30",IF(I702&lt;=60,"31-60",IF(I702&lt;=90,"61-90","90+"))))</f>
        <v>Paid</v>
      </c>
      <c r="K702" s="16" t="str">
        <f aca="false">IF(H702&lt;=0.01,"Paid",IF(G702&gt;0,"Partially Paid","Unpaid"))</f>
        <v>Paid</v>
      </c>
    </row>
    <row r="703" customFormat="false" ht="15" hidden="false" customHeight="false" outlineLevel="0" collapsed="false">
      <c r="A703" s="16" t="str">
        <f aca="false">Vendor_Invoices_AP!A700</f>
        <v>INV30699</v>
      </c>
      <c r="B703" s="16" t="str">
        <f aca="false">Vendor_Invoices_AP!C700</f>
        <v>V1012</v>
      </c>
      <c r="C703" s="16" t="str">
        <f aca="false">IFERROR(INDEX(Vendor_Master!$B$2:$B$41,MATCH(B703,Vendor_Master!$A$2:$A$41,0)),"Unknown Vendor")</f>
        <v>Stanley LLC</v>
      </c>
      <c r="D703" s="17" t="n">
        <f aca="false">Vendor_Invoices_AP!D700</f>
        <v>46030</v>
      </c>
      <c r="E703" s="17" t="n">
        <f aca="false">Vendor_Invoices_AP!F700</f>
        <v>46090</v>
      </c>
      <c r="F703" s="18" t="n">
        <f aca="false">Vendor_Invoices_AP!E700</f>
        <v>2764.38</v>
      </c>
      <c r="G703" s="18" t="n">
        <f aca="false">SUMIFS(Payment_Log_AP!$E$2:$E$753,Payment_Log_AP!$B$2:$B$753,A703)</f>
        <v>2764.38</v>
      </c>
      <c r="H703" s="18" t="n">
        <f aca="false">F703-G703</f>
        <v>0</v>
      </c>
      <c r="I703" s="16" t="n">
        <f aca="false">IF(H703&lt;=0.01,0,MAX(Assumptions!$B$5-E703,0))</f>
        <v>0</v>
      </c>
      <c r="J703" s="16" t="str">
        <f aca="false">IF(H703&lt;=0.01,"Paid",IF(I703&lt;=30,"0-30",IF(I703&lt;=60,"31-60",IF(I703&lt;=90,"61-90","90+"))))</f>
        <v>Paid</v>
      </c>
      <c r="K703" s="16" t="str">
        <f aca="false">IF(H703&lt;=0.01,"Paid",IF(G703&gt;0,"Partially Paid","Unpaid"))</f>
        <v>Paid</v>
      </c>
    </row>
    <row r="704" customFormat="false" ht="15" hidden="false" customHeight="false" outlineLevel="0" collapsed="false">
      <c r="A704" s="16" t="str">
        <f aca="false">Vendor_Invoices_AP!A701</f>
        <v>INV30700</v>
      </c>
      <c r="B704" s="16" t="str">
        <f aca="false">Vendor_Invoices_AP!C701</f>
        <v>V1012</v>
      </c>
      <c r="C704" s="16" t="str">
        <f aca="false">IFERROR(INDEX(Vendor_Master!$B$2:$B$41,MATCH(B704,Vendor_Master!$A$2:$A$41,0)),"Unknown Vendor")</f>
        <v>Stanley LLC</v>
      </c>
      <c r="D704" s="17" t="n">
        <f aca="false">Vendor_Invoices_AP!D701</f>
        <v>45997</v>
      </c>
      <c r="E704" s="17" t="n">
        <f aca="false">Vendor_Invoices_AP!F701</f>
        <v>46057</v>
      </c>
      <c r="F704" s="18" t="n">
        <f aca="false">Vendor_Invoices_AP!E701</f>
        <v>3596.65</v>
      </c>
      <c r="G704" s="18" t="n">
        <f aca="false">SUMIFS(Payment_Log_AP!$E$2:$E$753,Payment_Log_AP!$B$2:$B$753,A704)</f>
        <v>3596.65</v>
      </c>
      <c r="H704" s="18" t="n">
        <f aca="false">F704-G704</f>
        <v>0</v>
      </c>
      <c r="I704" s="16" t="n">
        <f aca="false">IF(H704&lt;=0.01,0,MAX(Assumptions!$B$5-E704,0))</f>
        <v>0</v>
      </c>
      <c r="J704" s="16" t="str">
        <f aca="false">IF(H704&lt;=0.01,"Paid",IF(I704&lt;=30,"0-30",IF(I704&lt;=60,"31-60",IF(I704&lt;=90,"61-90","90+"))))</f>
        <v>Paid</v>
      </c>
      <c r="K704" s="16" t="str">
        <f aca="false">IF(H704&lt;=0.01,"Paid",IF(G704&gt;0,"Partially Paid","Unpaid"))</f>
        <v>Paid</v>
      </c>
    </row>
    <row r="705" customFormat="false" ht="15" hidden="false" customHeight="false" outlineLevel="0" collapsed="false">
      <c r="A705" s="16" t="str">
        <f aca="false">Vendor_Invoices_AP!A702</f>
        <v>INV30701</v>
      </c>
      <c r="B705" s="16" t="str">
        <f aca="false">Vendor_Invoices_AP!C702</f>
        <v>V1007</v>
      </c>
      <c r="C705" s="16" t="str">
        <f aca="false">IFERROR(INDEX(Vendor_Master!$B$2:$B$41,MATCH(B705,Vendor_Master!$A$2:$A$41,0)),"Unknown Vendor")</f>
        <v>Ramirez-Lewis</v>
      </c>
      <c r="D705" s="17" t="n">
        <f aca="false">Vendor_Invoices_AP!D702</f>
        <v>45682</v>
      </c>
      <c r="E705" s="17" t="n">
        <f aca="false">Vendor_Invoices_AP!F702</f>
        <v>45697</v>
      </c>
      <c r="F705" s="18" t="n">
        <f aca="false">Vendor_Invoices_AP!E702</f>
        <v>3806.21</v>
      </c>
      <c r="G705" s="18" t="n">
        <f aca="false">SUMIFS(Payment_Log_AP!$E$2:$E$753,Payment_Log_AP!$B$2:$B$753,A705)</f>
        <v>0</v>
      </c>
      <c r="H705" s="18" t="n">
        <f aca="false">F705-G705</f>
        <v>3806.21</v>
      </c>
      <c r="I705" s="16" t="n">
        <f aca="false">IF(H705&lt;=0.01,0,MAX(Assumptions!$B$5-E705,0))</f>
        <v>537</v>
      </c>
      <c r="J705" s="16" t="str">
        <f aca="false">IF(H705&lt;=0.01,"Paid",IF(I705&lt;=30,"0-30",IF(I705&lt;=60,"31-60",IF(I705&lt;=90,"61-90","90+"))))</f>
        <v>90+</v>
      </c>
      <c r="K705" s="16" t="str">
        <f aca="false">IF(H705&lt;=0.01,"Paid",IF(G705&gt;0,"Partially Paid","Unpaid"))</f>
        <v>Unpaid</v>
      </c>
    </row>
    <row r="706" customFormat="false" ht="15" hidden="false" customHeight="false" outlineLevel="0" collapsed="false">
      <c r="A706" s="16" t="str">
        <f aca="false">Vendor_Invoices_AP!A703</f>
        <v>INV30702</v>
      </c>
      <c r="B706" s="16" t="str">
        <f aca="false">Vendor_Invoices_AP!C703</f>
        <v>V1039</v>
      </c>
      <c r="C706" s="16" t="str">
        <f aca="false">IFERROR(INDEX(Vendor_Master!$B$2:$B$41,MATCH(B706,Vendor_Master!$A$2:$A$41,0)),"Unknown Vendor")</f>
        <v>Campos, Vaughn and Marquez</v>
      </c>
      <c r="D706" s="17" t="n">
        <f aca="false">Vendor_Invoices_AP!D703</f>
        <v>46110</v>
      </c>
      <c r="E706" s="17" t="n">
        <f aca="false">Vendor_Invoices_AP!F703</f>
        <v>46140</v>
      </c>
      <c r="F706" s="18" t="n">
        <f aca="false">Vendor_Invoices_AP!E703</f>
        <v>2397.02</v>
      </c>
      <c r="G706" s="18" t="n">
        <f aca="false">SUMIFS(Payment_Log_AP!$E$2:$E$753,Payment_Log_AP!$B$2:$B$753,A706)</f>
        <v>2397.02</v>
      </c>
      <c r="H706" s="18" t="n">
        <f aca="false">F706-G706</f>
        <v>0</v>
      </c>
      <c r="I706" s="16" t="n">
        <f aca="false">IF(H706&lt;=0.01,0,MAX(Assumptions!$B$5-E706,0))</f>
        <v>0</v>
      </c>
      <c r="J706" s="16" t="str">
        <f aca="false">IF(H706&lt;=0.01,"Paid",IF(I706&lt;=30,"0-30",IF(I706&lt;=60,"31-60",IF(I706&lt;=90,"61-90","90+"))))</f>
        <v>Paid</v>
      </c>
      <c r="K706" s="16" t="str">
        <f aca="false">IF(H706&lt;=0.01,"Paid",IF(G706&gt;0,"Partially Paid","Unpaid"))</f>
        <v>Paid</v>
      </c>
    </row>
    <row r="707" customFormat="false" ht="15" hidden="false" customHeight="false" outlineLevel="0" collapsed="false">
      <c r="A707" s="16" t="str">
        <f aca="false">Vendor_Invoices_AP!A704</f>
        <v>INV30703</v>
      </c>
      <c r="B707" s="16" t="str">
        <f aca="false">Vendor_Invoices_AP!C704</f>
        <v>V1035</v>
      </c>
      <c r="C707" s="16" t="str">
        <f aca="false">IFERROR(INDEX(Vendor_Master!$B$2:$B$41,MATCH(B707,Vendor_Master!$A$2:$A$41,0)),"Unknown Vendor")</f>
        <v>Allen PLC</v>
      </c>
      <c r="D707" s="17" t="n">
        <f aca="false">Vendor_Invoices_AP!D704</f>
        <v>45798</v>
      </c>
      <c r="E707" s="17" t="n">
        <f aca="false">Vendor_Invoices_AP!F704</f>
        <v>45813</v>
      </c>
      <c r="F707" s="18" t="n">
        <f aca="false">Vendor_Invoices_AP!E704</f>
        <v>15935.12</v>
      </c>
      <c r="G707" s="18" t="n">
        <f aca="false">SUMIFS(Payment_Log_AP!$E$2:$E$753,Payment_Log_AP!$B$2:$B$753,A707)</f>
        <v>15935.12</v>
      </c>
      <c r="H707" s="18" t="n">
        <f aca="false">F707-G707</f>
        <v>0</v>
      </c>
      <c r="I707" s="16" t="n">
        <f aca="false">IF(H707&lt;=0.01,0,MAX(Assumptions!$B$5-E707,0))</f>
        <v>0</v>
      </c>
      <c r="J707" s="16" t="str">
        <f aca="false">IF(H707&lt;=0.01,"Paid",IF(I707&lt;=30,"0-30",IF(I707&lt;=60,"31-60",IF(I707&lt;=90,"61-90","90+"))))</f>
        <v>Paid</v>
      </c>
      <c r="K707" s="16" t="str">
        <f aca="false">IF(H707&lt;=0.01,"Paid",IF(G707&gt;0,"Partially Paid","Unpaid"))</f>
        <v>Paid</v>
      </c>
    </row>
    <row r="708" customFormat="false" ht="15" hidden="false" customHeight="false" outlineLevel="0" collapsed="false">
      <c r="A708" s="16" t="str">
        <f aca="false">Vendor_Invoices_AP!A705</f>
        <v>INV30704</v>
      </c>
      <c r="B708" s="16" t="str">
        <f aca="false">Vendor_Invoices_AP!C705</f>
        <v>V1028</v>
      </c>
      <c r="C708" s="16" t="str">
        <f aca="false">IFERROR(INDEX(Vendor_Master!$B$2:$B$41,MATCH(B708,Vendor_Master!$A$2:$A$41,0)),"Unknown Vendor")</f>
        <v>Potter, Mack and Peterson</v>
      </c>
      <c r="D708" s="17" t="n">
        <f aca="false">Vendor_Invoices_AP!D705</f>
        <v>45745</v>
      </c>
      <c r="E708" s="17" t="n">
        <f aca="false">Vendor_Invoices_AP!F705</f>
        <v>45790</v>
      </c>
      <c r="F708" s="18" t="n">
        <f aca="false">Vendor_Invoices_AP!E705</f>
        <v>524.67</v>
      </c>
      <c r="G708" s="18" t="n">
        <f aca="false">SUMIFS(Payment_Log_AP!$E$2:$E$753,Payment_Log_AP!$B$2:$B$753,A708)</f>
        <v>524.67</v>
      </c>
      <c r="H708" s="18" t="n">
        <f aca="false">F708-G708</f>
        <v>0</v>
      </c>
      <c r="I708" s="16" t="n">
        <f aca="false">IF(H708&lt;=0.01,0,MAX(Assumptions!$B$5-E708,0))</f>
        <v>0</v>
      </c>
      <c r="J708" s="16" t="str">
        <f aca="false">IF(H708&lt;=0.01,"Paid",IF(I708&lt;=30,"0-30",IF(I708&lt;=60,"31-60",IF(I708&lt;=90,"61-90","90+"))))</f>
        <v>Paid</v>
      </c>
      <c r="K708" s="16" t="str">
        <f aca="false">IF(H708&lt;=0.01,"Paid",IF(G708&gt;0,"Partially Paid","Unpaid"))</f>
        <v>Paid</v>
      </c>
    </row>
    <row r="709" customFormat="false" ht="15" hidden="false" customHeight="false" outlineLevel="0" collapsed="false">
      <c r="A709" s="16" t="str">
        <f aca="false">Vendor_Invoices_AP!A706</f>
        <v>INV30705</v>
      </c>
      <c r="B709" s="16" t="str">
        <f aca="false">Vendor_Invoices_AP!C706</f>
        <v>V1036</v>
      </c>
      <c r="C709" s="16" t="str">
        <f aca="false">IFERROR(INDEX(Vendor_Master!$B$2:$B$41,MATCH(B709,Vendor_Master!$A$2:$A$41,0)),"Unknown Vendor")</f>
        <v>Dennis Inc</v>
      </c>
      <c r="D709" s="17" t="n">
        <f aca="false">Vendor_Invoices_AP!D706</f>
        <v>45985</v>
      </c>
      <c r="E709" s="17" t="n">
        <f aca="false">Vendor_Invoices_AP!F706</f>
        <v>46030</v>
      </c>
      <c r="F709" s="18" t="n">
        <f aca="false">Vendor_Invoices_AP!E706</f>
        <v>331.41</v>
      </c>
      <c r="G709" s="18" t="n">
        <f aca="false">SUMIFS(Payment_Log_AP!$E$2:$E$753,Payment_Log_AP!$B$2:$B$753,A709)</f>
        <v>0</v>
      </c>
      <c r="H709" s="18" t="n">
        <f aca="false">F709-G709</f>
        <v>331.41</v>
      </c>
      <c r="I709" s="16" t="n">
        <f aca="false">IF(H709&lt;=0.01,0,MAX(Assumptions!$B$5-E709,0))</f>
        <v>204</v>
      </c>
      <c r="J709" s="16" t="str">
        <f aca="false">IF(H709&lt;=0.01,"Paid",IF(I709&lt;=30,"0-30",IF(I709&lt;=60,"31-60",IF(I709&lt;=90,"61-90","90+"))))</f>
        <v>90+</v>
      </c>
      <c r="K709" s="16" t="str">
        <f aca="false">IF(H709&lt;=0.01,"Paid",IF(G709&gt;0,"Partially Paid","Unpaid"))</f>
        <v>Unpaid</v>
      </c>
    </row>
    <row r="710" customFormat="false" ht="15" hidden="false" customHeight="false" outlineLevel="0" collapsed="false">
      <c r="A710" s="16" t="str">
        <f aca="false">Vendor_Invoices_AP!A707</f>
        <v>INV30706</v>
      </c>
      <c r="B710" s="16" t="str">
        <f aca="false">Vendor_Invoices_AP!C707</f>
        <v>V1040</v>
      </c>
      <c r="C710" s="16" t="str">
        <f aca="false">IFERROR(INDEX(Vendor_Master!$B$2:$B$41,MATCH(B710,Vendor_Master!$A$2:$A$41,0)),"Unknown Vendor")</f>
        <v>Santos, Kim and Holmes</v>
      </c>
      <c r="D710" s="17" t="n">
        <f aca="false">Vendor_Invoices_AP!D707</f>
        <v>45720</v>
      </c>
      <c r="E710" s="17" t="n">
        <f aca="false">Vendor_Invoices_AP!F707</f>
        <v>45735</v>
      </c>
      <c r="F710" s="18" t="n">
        <f aca="false">Vendor_Invoices_AP!E707</f>
        <v>979.13</v>
      </c>
      <c r="G710" s="18" t="n">
        <f aca="false">SUMIFS(Payment_Log_AP!$E$2:$E$753,Payment_Log_AP!$B$2:$B$753,A710)</f>
        <v>979.13</v>
      </c>
      <c r="H710" s="18" t="n">
        <f aca="false">F710-G710</f>
        <v>0</v>
      </c>
      <c r="I710" s="16" t="n">
        <f aca="false">IF(H710&lt;=0.01,0,MAX(Assumptions!$B$5-E710,0))</f>
        <v>0</v>
      </c>
      <c r="J710" s="16" t="str">
        <f aca="false">IF(H710&lt;=0.01,"Paid",IF(I710&lt;=30,"0-30",IF(I710&lt;=60,"31-60",IF(I710&lt;=90,"61-90","90+"))))</f>
        <v>Paid</v>
      </c>
      <c r="K710" s="16" t="str">
        <f aca="false">IF(H710&lt;=0.01,"Paid",IF(G710&gt;0,"Partially Paid","Unpaid"))</f>
        <v>Paid</v>
      </c>
    </row>
    <row r="711" customFormat="false" ht="15" hidden="false" customHeight="false" outlineLevel="0" collapsed="false">
      <c r="A711" s="16" t="str">
        <f aca="false">Vendor_Invoices_AP!A708</f>
        <v>INV30707</v>
      </c>
      <c r="B711" s="16" t="str">
        <f aca="false">Vendor_Invoices_AP!C708</f>
        <v>V1006</v>
      </c>
      <c r="C711" s="16" t="str">
        <f aca="false">IFERROR(INDEX(Vendor_Master!$B$2:$B$41,MATCH(B711,Vendor_Master!$A$2:$A$41,0)),"Unknown Vendor")</f>
        <v>Blake and Sons</v>
      </c>
      <c r="D711" s="17" t="n">
        <f aca="false">Vendor_Invoices_AP!D708</f>
        <v>46085</v>
      </c>
      <c r="E711" s="17" t="n">
        <f aca="false">Vendor_Invoices_AP!F708</f>
        <v>46145</v>
      </c>
      <c r="F711" s="18" t="n">
        <f aca="false">Vendor_Invoices_AP!E708</f>
        <v>3602.11</v>
      </c>
      <c r="G711" s="18" t="n">
        <f aca="false">SUMIFS(Payment_Log_AP!$E$2:$E$753,Payment_Log_AP!$B$2:$B$753,A711)</f>
        <v>3602.11</v>
      </c>
      <c r="H711" s="18" t="n">
        <f aca="false">F711-G711</f>
        <v>0</v>
      </c>
      <c r="I711" s="16" t="n">
        <f aca="false">IF(H711&lt;=0.01,0,MAX(Assumptions!$B$5-E711,0))</f>
        <v>0</v>
      </c>
      <c r="J711" s="16" t="str">
        <f aca="false">IF(H711&lt;=0.01,"Paid",IF(I711&lt;=30,"0-30",IF(I711&lt;=60,"31-60",IF(I711&lt;=90,"61-90","90+"))))</f>
        <v>Paid</v>
      </c>
      <c r="K711" s="16" t="str">
        <f aca="false">IF(H711&lt;=0.01,"Paid",IF(G711&gt;0,"Partially Paid","Unpaid"))</f>
        <v>Paid</v>
      </c>
    </row>
    <row r="712" customFormat="false" ht="15" hidden="false" customHeight="false" outlineLevel="0" collapsed="false">
      <c r="A712" s="16" t="str">
        <f aca="false">Vendor_Invoices_AP!A709</f>
        <v>INV30708</v>
      </c>
      <c r="B712" s="16" t="str">
        <f aca="false">Vendor_Invoices_AP!C709</f>
        <v>V1015</v>
      </c>
      <c r="C712" s="16" t="str">
        <f aca="false">IFERROR(INDEX(Vendor_Master!$B$2:$B$41,MATCH(B712,Vendor_Master!$A$2:$A$41,0)),"Unknown Vendor")</f>
        <v>Zuniga, Wong and Lynch</v>
      </c>
      <c r="D712" s="17" t="n">
        <f aca="false">Vendor_Invoices_AP!D709</f>
        <v>45773</v>
      </c>
      <c r="E712" s="17" t="n">
        <f aca="false">Vendor_Invoices_AP!F709</f>
        <v>45803</v>
      </c>
      <c r="F712" s="18" t="n">
        <f aca="false">Vendor_Invoices_AP!E709</f>
        <v>579.61</v>
      </c>
      <c r="G712" s="18" t="n">
        <f aca="false">SUMIFS(Payment_Log_AP!$E$2:$E$753,Payment_Log_AP!$B$2:$B$753,A712)</f>
        <v>579.61</v>
      </c>
      <c r="H712" s="18" t="n">
        <f aca="false">F712-G712</f>
        <v>0</v>
      </c>
      <c r="I712" s="16" t="n">
        <f aca="false">IF(H712&lt;=0.01,0,MAX(Assumptions!$B$5-E712,0))</f>
        <v>0</v>
      </c>
      <c r="J712" s="16" t="str">
        <f aca="false">IF(H712&lt;=0.01,"Paid",IF(I712&lt;=30,"0-30",IF(I712&lt;=60,"31-60",IF(I712&lt;=90,"61-90","90+"))))</f>
        <v>Paid</v>
      </c>
      <c r="K712" s="16" t="str">
        <f aca="false">IF(H712&lt;=0.01,"Paid",IF(G712&gt;0,"Partially Paid","Unpaid"))</f>
        <v>Paid</v>
      </c>
    </row>
    <row r="713" customFormat="false" ht="15" hidden="false" customHeight="false" outlineLevel="0" collapsed="false">
      <c r="A713" s="16" t="str">
        <f aca="false">Vendor_Invoices_AP!A710</f>
        <v>INV30709</v>
      </c>
      <c r="B713" s="16" t="str">
        <f aca="false">Vendor_Invoices_AP!C710</f>
        <v>V1018</v>
      </c>
      <c r="C713" s="16" t="str">
        <f aca="false">IFERROR(INDEX(Vendor_Master!$B$2:$B$41,MATCH(B713,Vendor_Master!$A$2:$A$41,0)),"Unknown Vendor")</f>
        <v>Underwood LLC</v>
      </c>
      <c r="D713" s="17" t="n">
        <f aca="false">Vendor_Invoices_AP!D710</f>
        <v>45792</v>
      </c>
      <c r="E713" s="17" t="n">
        <f aca="false">Vendor_Invoices_AP!F710</f>
        <v>45822</v>
      </c>
      <c r="F713" s="18" t="n">
        <f aca="false">Vendor_Invoices_AP!E710</f>
        <v>2463.86</v>
      </c>
      <c r="G713" s="18" t="n">
        <f aca="false">SUMIFS(Payment_Log_AP!$E$2:$E$753,Payment_Log_AP!$B$2:$B$753,A713)</f>
        <v>2463.86</v>
      </c>
      <c r="H713" s="18" t="n">
        <f aca="false">F713-G713</f>
        <v>0</v>
      </c>
      <c r="I713" s="16" t="n">
        <f aca="false">IF(H713&lt;=0.01,0,MAX(Assumptions!$B$5-E713,0))</f>
        <v>0</v>
      </c>
      <c r="J713" s="16" t="str">
        <f aca="false">IF(H713&lt;=0.01,"Paid",IF(I713&lt;=30,"0-30",IF(I713&lt;=60,"31-60",IF(I713&lt;=90,"61-90","90+"))))</f>
        <v>Paid</v>
      </c>
      <c r="K713" s="16" t="str">
        <f aca="false">IF(H713&lt;=0.01,"Paid",IF(G713&gt;0,"Partially Paid","Unpaid"))</f>
        <v>Paid</v>
      </c>
    </row>
    <row r="714" customFormat="false" ht="15" hidden="false" customHeight="false" outlineLevel="0" collapsed="false">
      <c r="A714" s="16" t="str">
        <f aca="false">Vendor_Invoices_AP!A711</f>
        <v>INV30710</v>
      </c>
      <c r="B714" s="16" t="str">
        <f aca="false">Vendor_Invoices_AP!C711</f>
        <v>V1020</v>
      </c>
      <c r="C714" s="16" t="str">
        <f aca="false">IFERROR(INDEX(Vendor_Master!$B$2:$B$41,MATCH(B714,Vendor_Master!$A$2:$A$41,0)),"Unknown Vendor")</f>
        <v>Lewis-Porter</v>
      </c>
      <c r="D714" s="17" t="n">
        <f aca="false">Vendor_Invoices_AP!D711</f>
        <v>46148</v>
      </c>
      <c r="E714" s="17" t="n">
        <f aca="false">Vendor_Invoices_AP!F711</f>
        <v>46178</v>
      </c>
      <c r="F714" s="18" t="n">
        <f aca="false">Vendor_Invoices_AP!E711</f>
        <v>2741.68</v>
      </c>
      <c r="G714" s="18" t="n">
        <f aca="false">SUMIFS(Payment_Log_AP!$E$2:$E$753,Payment_Log_AP!$B$2:$B$753,A714)</f>
        <v>2741.68</v>
      </c>
      <c r="H714" s="18" t="n">
        <f aca="false">F714-G714</f>
        <v>0</v>
      </c>
      <c r="I714" s="16" t="n">
        <f aca="false">IF(H714&lt;=0.01,0,MAX(Assumptions!$B$5-E714,0))</f>
        <v>0</v>
      </c>
      <c r="J714" s="16" t="str">
        <f aca="false">IF(H714&lt;=0.01,"Paid",IF(I714&lt;=30,"0-30",IF(I714&lt;=60,"31-60",IF(I714&lt;=90,"61-90","90+"))))</f>
        <v>Paid</v>
      </c>
      <c r="K714" s="16" t="str">
        <f aca="false">IF(H714&lt;=0.01,"Paid",IF(G714&gt;0,"Partially Paid","Unpaid"))</f>
        <v>Paid</v>
      </c>
    </row>
    <row r="715" customFormat="false" ht="15" hidden="false" customHeight="false" outlineLevel="0" collapsed="false">
      <c r="A715" s="16" t="str">
        <f aca="false">Vendor_Invoices_AP!A712</f>
        <v>INV30711</v>
      </c>
      <c r="B715" s="16" t="str">
        <f aca="false">Vendor_Invoices_AP!C712</f>
        <v>V1022</v>
      </c>
      <c r="C715" s="16" t="str">
        <f aca="false">IFERROR(INDEX(Vendor_Master!$B$2:$B$41,MATCH(B715,Vendor_Master!$A$2:$A$41,0)),"Unknown Vendor")</f>
        <v>Burgess-Patterson</v>
      </c>
      <c r="D715" s="17" t="n">
        <f aca="false">Vendor_Invoices_AP!D712</f>
        <v>45856</v>
      </c>
      <c r="E715" s="17" t="n">
        <f aca="false">Vendor_Invoices_AP!F712</f>
        <v>45886</v>
      </c>
      <c r="F715" s="18" t="n">
        <f aca="false">Vendor_Invoices_AP!E712</f>
        <v>683.18</v>
      </c>
      <c r="G715" s="18" t="n">
        <f aca="false">SUMIFS(Payment_Log_AP!$E$2:$E$753,Payment_Log_AP!$B$2:$B$753,A715)</f>
        <v>683.18</v>
      </c>
      <c r="H715" s="18" t="n">
        <f aca="false">F715-G715</f>
        <v>0</v>
      </c>
      <c r="I715" s="16" t="n">
        <f aca="false">IF(H715&lt;=0.01,0,MAX(Assumptions!$B$5-E715,0))</f>
        <v>0</v>
      </c>
      <c r="J715" s="16" t="str">
        <f aca="false">IF(H715&lt;=0.01,"Paid",IF(I715&lt;=30,"0-30",IF(I715&lt;=60,"31-60",IF(I715&lt;=90,"61-90","90+"))))</f>
        <v>Paid</v>
      </c>
      <c r="K715" s="16" t="str">
        <f aca="false">IF(H715&lt;=0.01,"Paid",IF(G715&gt;0,"Partially Paid","Unpaid"))</f>
        <v>Paid</v>
      </c>
    </row>
    <row r="716" customFormat="false" ht="15" hidden="false" customHeight="false" outlineLevel="0" collapsed="false">
      <c r="A716" s="16" t="str">
        <f aca="false">Vendor_Invoices_AP!A713</f>
        <v>INV30712</v>
      </c>
      <c r="B716" s="16" t="str">
        <f aca="false">Vendor_Invoices_AP!C713</f>
        <v>V1029</v>
      </c>
      <c r="C716" s="16" t="str">
        <f aca="false">IFERROR(INDEX(Vendor_Master!$B$2:$B$41,MATCH(B716,Vendor_Master!$A$2:$A$41,0)),"Unknown Vendor")</f>
        <v>Chavez Ltd</v>
      </c>
      <c r="D716" s="17" t="n">
        <f aca="false">Vendor_Invoices_AP!D713</f>
        <v>45751</v>
      </c>
      <c r="E716" s="17" t="n">
        <f aca="false">Vendor_Invoices_AP!F713</f>
        <v>45811</v>
      </c>
      <c r="F716" s="18" t="n">
        <f aca="false">Vendor_Invoices_AP!E713</f>
        <v>1624.72</v>
      </c>
      <c r="G716" s="18" t="n">
        <f aca="false">SUMIFS(Payment_Log_AP!$E$2:$E$753,Payment_Log_AP!$B$2:$B$753,A716)</f>
        <v>1624.72</v>
      </c>
      <c r="H716" s="18" t="n">
        <f aca="false">F716-G716</f>
        <v>0</v>
      </c>
      <c r="I716" s="16" t="n">
        <f aca="false">IF(H716&lt;=0.01,0,MAX(Assumptions!$B$5-E716,0))</f>
        <v>0</v>
      </c>
      <c r="J716" s="16" t="str">
        <f aca="false">IF(H716&lt;=0.01,"Paid",IF(I716&lt;=30,"0-30",IF(I716&lt;=60,"31-60",IF(I716&lt;=90,"61-90","90+"))))</f>
        <v>Paid</v>
      </c>
      <c r="K716" s="16" t="str">
        <f aca="false">IF(H716&lt;=0.01,"Paid",IF(G716&gt;0,"Partially Paid","Unpaid"))</f>
        <v>Paid</v>
      </c>
    </row>
    <row r="717" customFormat="false" ht="15" hidden="false" customHeight="false" outlineLevel="0" collapsed="false">
      <c r="A717" s="16" t="str">
        <f aca="false">Vendor_Invoices_AP!A714</f>
        <v>INV30713</v>
      </c>
      <c r="B717" s="16" t="str">
        <f aca="false">Vendor_Invoices_AP!C714</f>
        <v>V1018</v>
      </c>
      <c r="C717" s="16" t="str">
        <f aca="false">IFERROR(INDEX(Vendor_Master!$B$2:$B$41,MATCH(B717,Vendor_Master!$A$2:$A$41,0)),"Unknown Vendor")</f>
        <v>Underwood LLC</v>
      </c>
      <c r="D717" s="17" t="n">
        <f aca="false">Vendor_Invoices_AP!D714</f>
        <v>46152</v>
      </c>
      <c r="E717" s="17" t="n">
        <f aca="false">Vendor_Invoices_AP!F714</f>
        <v>46182</v>
      </c>
      <c r="F717" s="18" t="n">
        <f aca="false">Vendor_Invoices_AP!E714</f>
        <v>1846.75</v>
      </c>
      <c r="G717" s="18" t="n">
        <f aca="false">SUMIFS(Payment_Log_AP!$E$2:$E$753,Payment_Log_AP!$B$2:$B$753,A717)</f>
        <v>1846.75</v>
      </c>
      <c r="H717" s="18" t="n">
        <f aca="false">F717-G717</f>
        <v>0</v>
      </c>
      <c r="I717" s="16" t="n">
        <f aca="false">IF(H717&lt;=0.01,0,MAX(Assumptions!$B$5-E717,0))</f>
        <v>0</v>
      </c>
      <c r="J717" s="16" t="str">
        <f aca="false">IF(H717&lt;=0.01,"Paid",IF(I717&lt;=30,"0-30",IF(I717&lt;=60,"31-60",IF(I717&lt;=90,"61-90","90+"))))</f>
        <v>Paid</v>
      </c>
      <c r="K717" s="16" t="str">
        <f aca="false">IF(H717&lt;=0.01,"Paid",IF(G717&gt;0,"Partially Paid","Unpaid"))</f>
        <v>Paid</v>
      </c>
    </row>
    <row r="718" customFormat="false" ht="15" hidden="false" customHeight="false" outlineLevel="0" collapsed="false">
      <c r="A718" s="16" t="str">
        <f aca="false">Vendor_Invoices_AP!A715</f>
        <v>INV30714</v>
      </c>
      <c r="B718" s="16" t="str">
        <f aca="false">Vendor_Invoices_AP!C715</f>
        <v>V1034</v>
      </c>
      <c r="C718" s="16" t="str">
        <f aca="false">IFERROR(INDEX(Vendor_Master!$B$2:$B$41,MATCH(B718,Vendor_Master!$A$2:$A$41,0)),"Unknown Vendor")</f>
        <v>Koch-Decker</v>
      </c>
      <c r="D718" s="17" t="n">
        <f aca="false">Vendor_Invoices_AP!D715</f>
        <v>45663</v>
      </c>
      <c r="E718" s="17" t="n">
        <f aca="false">Vendor_Invoices_AP!F715</f>
        <v>45708</v>
      </c>
      <c r="F718" s="18" t="n">
        <f aca="false">Vendor_Invoices_AP!E715</f>
        <v>1307.64</v>
      </c>
      <c r="G718" s="18" t="n">
        <f aca="false">SUMIFS(Payment_Log_AP!$E$2:$E$753,Payment_Log_AP!$B$2:$B$753,A718)</f>
        <v>1307.64</v>
      </c>
      <c r="H718" s="18" t="n">
        <f aca="false">F718-G718</f>
        <v>0</v>
      </c>
      <c r="I718" s="16" t="n">
        <f aca="false">IF(H718&lt;=0.01,0,MAX(Assumptions!$B$5-E718,0))</f>
        <v>0</v>
      </c>
      <c r="J718" s="16" t="str">
        <f aca="false">IF(H718&lt;=0.01,"Paid",IF(I718&lt;=30,"0-30",IF(I718&lt;=60,"31-60",IF(I718&lt;=90,"61-90","90+"))))</f>
        <v>Paid</v>
      </c>
      <c r="K718" s="16" t="str">
        <f aca="false">IF(H718&lt;=0.01,"Paid",IF(G718&gt;0,"Partially Paid","Unpaid"))</f>
        <v>Paid</v>
      </c>
    </row>
    <row r="719" customFormat="false" ht="15" hidden="false" customHeight="false" outlineLevel="0" collapsed="false">
      <c r="A719" s="16" t="str">
        <f aca="false">Vendor_Invoices_AP!A716</f>
        <v>INV30715</v>
      </c>
      <c r="B719" s="16" t="str">
        <f aca="false">Vendor_Invoices_AP!C716</f>
        <v>V1033</v>
      </c>
      <c r="C719" s="16" t="str">
        <f aca="false">IFERROR(INDEX(Vendor_Master!$B$2:$B$41,MATCH(B719,Vendor_Master!$A$2:$A$41,0)),"Unknown Vendor")</f>
        <v>Sellers, George and Burns</v>
      </c>
      <c r="D719" s="17" t="n">
        <f aca="false">Vendor_Invoices_AP!D716</f>
        <v>46136</v>
      </c>
      <c r="E719" s="17" t="n">
        <f aca="false">Vendor_Invoices_AP!F716</f>
        <v>46196</v>
      </c>
      <c r="F719" s="18" t="n">
        <f aca="false">Vendor_Invoices_AP!E716</f>
        <v>1035.87</v>
      </c>
      <c r="G719" s="18" t="n">
        <f aca="false">SUMIFS(Payment_Log_AP!$E$2:$E$753,Payment_Log_AP!$B$2:$B$753,A719)</f>
        <v>1035.87</v>
      </c>
      <c r="H719" s="18" t="n">
        <f aca="false">F719-G719</f>
        <v>0</v>
      </c>
      <c r="I719" s="16" t="n">
        <f aca="false">IF(H719&lt;=0.01,0,MAX(Assumptions!$B$5-E719,0))</f>
        <v>0</v>
      </c>
      <c r="J719" s="16" t="str">
        <f aca="false">IF(H719&lt;=0.01,"Paid",IF(I719&lt;=30,"0-30",IF(I719&lt;=60,"31-60",IF(I719&lt;=90,"61-90","90+"))))</f>
        <v>Paid</v>
      </c>
      <c r="K719" s="16" t="str">
        <f aca="false">IF(H719&lt;=0.01,"Paid",IF(G719&gt;0,"Partially Paid","Unpaid"))</f>
        <v>Paid</v>
      </c>
    </row>
    <row r="720" customFormat="false" ht="15" hidden="false" customHeight="false" outlineLevel="0" collapsed="false">
      <c r="A720" s="16" t="str">
        <f aca="false">Vendor_Invoices_AP!A717</f>
        <v>INV30716</v>
      </c>
      <c r="B720" s="16" t="str">
        <f aca="false">Vendor_Invoices_AP!C717</f>
        <v>V1037</v>
      </c>
      <c r="C720" s="16" t="str">
        <f aca="false">IFERROR(INDEX(Vendor_Master!$B$2:$B$41,MATCH(B720,Vendor_Master!$A$2:$A$41,0)),"Unknown Vendor")</f>
        <v>Cannon, Anderson and Alvarez</v>
      </c>
      <c r="D720" s="17" t="n">
        <f aca="false">Vendor_Invoices_AP!D717</f>
        <v>45743</v>
      </c>
      <c r="E720" s="17" t="n">
        <f aca="false">Vendor_Invoices_AP!F717</f>
        <v>45773</v>
      </c>
      <c r="F720" s="18" t="n">
        <f aca="false">Vendor_Invoices_AP!E717</f>
        <v>7340.64</v>
      </c>
      <c r="G720" s="18" t="n">
        <f aca="false">SUMIFS(Payment_Log_AP!$E$2:$E$753,Payment_Log_AP!$B$2:$B$753,A720)</f>
        <v>14681.28</v>
      </c>
      <c r="H720" s="18" t="n">
        <f aca="false">F720-G720</f>
        <v>-7340.64</v>
      </c>
      <c r="I720" s="16" t="n">
        <f aca="false">IF(H720&lt;=0.01,0,MAX(Assumptions!$B$5-E720,0))</f>
        <v>0</v>
      </c>
      <c r="J720" s="16" t="str">
        <f aca="false">IF(H720&lt;=0.01,"Paid",IF(I720&lt;=30,"0-30",IF(I720&lt;=60,"31-60",IF(I720&lt;=90,"61-90","90+"))))</f>
        <v>Paid</v>
      </c>
      <c r="K720" s="16" t="str">
        <f aca="false">IF(H720&lt;=0.01,"Paid",IF(G720&gt;0,"Partially Paid","Unpaid"))</f>
        <v>Paid</v>
      </c>
    </row>
    <row r="721" customFormat="false" ht="15" hidden="false" customHeight="false" outlineLevel="0" collapsed="false">
      <c r="A721" s="16" t="str">
        <f aca="false">Vendor_Invoices_AP!A718</f>
        <v>INV30717</v>
      </c>
      <c r="B721" s="16" t="str">
        <f aca="false">Vendor_Invoices_AP!C718</f>
        <v>V1011</v>
      </c>
      <c r="C721" s="16" t="str">
        <f aca="false">IFERROR(INDEX(Vendor_Master!$B$2:$B$41,MATCH(B721,Vendor_Master!$A$2:$A$41,0)),"Unknown Vendor")</f>
        <v>Montgomery, Hensley and Ray</v>
      </c>
      <c r="D721" s="17" t="n">
        <f aca="false">Vendor_Invoices_AP!D718</f>
        <v>45745</v>
      </c>
      <c r="E721" s="17" t="n">
        <f aca="false">Vendor_Invoices_AP!F718</f>
        <v>45790</v>
      </c>
      <c r="F721" s="18" t="n">
        <f aca="false">Vendor_Invoices_AP!E718</f>
        <v>957.43</v>
      </c>
      <c r="G721" s="18" t="n">
        <f aca="false">SUMIFS(Payment_Log_AP!$E$2:$E$753,Payment_Log_AP!$B$2:$B$753,A721)</f>
        <v>957.43</v>
      </c>
      <c r="H721" s="18" t="n">
        <f aca="false">F721-G721</f>
        <v>0</v>
      </c>
      <c r="I721" s="16" t="n">
        <f aca="false">IF(H721&lt;=0.01,0,MAX(Assumptions!$B$5-E721,0))</f>
        <v>0</v>
      </c>
      <c r="J721" s="16" t="str">
        <f aca="false">IF(H721&lt;=0.01,"Paid",IF(I721&lt;=30,"0-30",IF(I721&lt;=60,"31-60",IF(I721&lt;=90,"61-90","90+"))))</f>
        <v>Paid</v>
      </c>
      <c r="K721" s="16" t="str">
        <f aca="false">IF(H721&lt;=0.01,"Paid",IF(G721&gt;0,"Partially Paid","Unpaid"))</f>
        <v>Paid</v>
      </c>
    </row>
    <row r="722" customFormat="false" ht="15" hidden="false" customHeight="false" outlineLevel="0" collapsed="false">
      <c r="A722" s="16" t="str">
        <f aca="false">Vendor_Invoices_AP!A719</f>
        <v>INV30718</v>
      </c>
      <c r="B722" s="16" t="str">
        <f aca="false">Vendor_Invoices_AP!C719</f>
        <v>V1010</v>
      </c>
      <c r="C722" s="16" t="str">
        <f aca="false">IFERROR(INDEX(Vendor_Master!$B$2:$B$41,MATCH(B722,Vendor_Master!$A$2:$A$41,0)),"Unknown Vendor")</f>
        <v>Martinez, Nielsen and Miller</v>
      </c>
      <c r="D722" s="17" t="n">
        <f aca="false">Vendor_Invoices_AP!D719</f>
        <v>45816</v>
      </c>
      <c r="E722" s="17" t="n">
        <f aca="false">Vendor_Invoices_AP!F719</f>
        <v>45831</v>
      </c>
      <c r="F722" s="18" t="n">
        <f aca="false">Vendor_Invoices_AP!E719</f>
        <v>2509.24</v>
      </c>
      <c r="G722" s="18" t="n">
        <f aca="false">SUMIFS(Payment_Log_AP!$E$2:$E$753,Payment_Log_AP!$B$2:$B$753,A722)</f>
        <v>2509.24</v>
      </c>
      <c r="H722" s="18" t="n">
        <f aca="false">F722-G722</f>
        <v>0</v>
      </c>
      <c r="I722" s="16" t="n">
        <f aca="false">IF(H722&lt;=0.01,0,MAX(Assumptions!$B$5-E722,0))</f>
        <v>0</v>
      </c>
      <c r="J722" s="16" t="str">
        <f aca="false">IF(H722&lt;=0.01,"Paid",IF(I722&lt;=30,"0-30",IF(I722&lt;=60,"31-60",IF(I722&lt;=90,"61-90","90+"))))</f>
        <v>Paid</v>
      </c>
      <c r="K722" s="16" t="str">
        <f aca="false">IF(H722&lt;=0.01,"Paid",IF(G722&gt;0,"Partially Paid","Unpaid"))</f>
        <v>Paid</v>
      </c>
    </row>
    <row r="723" customFormat="false" ht="15" hidden="false" customHeight="false" outlineLevel="0" collapsed="false">
      <c r="A723" s="16" t="str">
        <f aca="false">Vendor_Invoices_AP!A720</f>
        <v>INV30719</v>
      </c>
      <c r="B723" s="16" t="str">
        <f aca="false">Vendor_Invoices_AP!C720</f>
        <v>V1039</v>
      </c>
      <c r="C723" s="16" t="str">
        <f aca="false">IFERROR(INDEX(Vendor_Master!$B$2:$B$41,MATCH(B723,Vendor_Master!$A$2:$A$41,0)),"Unknown Vendor")</f>
        <v>Campos, Vaughn and Marquez</v>
      </c>
      <c r="D723" s="17" t="n">
        <f aca="false">Vendor_Invoices_AP!D720</f>
        <v>45759</v>
      </c>
      <c r="E723" s="17" t="n">
        <f aca="false">Vendor_Invoices_AP!F720</f>
        <v>45789</v>
      </c>
      <c r="F723" s="18" t="n">
        <f aca="false">Vendor_Invoices_AP!E720</f>
        <v>370.92</v>
      </c>
      <c r="G723" s="18" t="n">
        <f aca="false">SUMIFS(Payment_Log_AP!$E$2:$E$753,Payment_Log_AP!$B$2:$B$753,A723)</f>
        <v>0</v>
      </c>
      <c r="H723" s="18" t="n">
        <f aca="false">F723-G723</f>
        <v>370.92</v>
      </c>
      <c r="I723" s="16" t="n">
        <f aca="false">IF(H723&lt;=0.01,0,MAX(Assumptions!$B$5-E723,0))</f>
        <v>445</v>
      </c>
      <c r="J723" s="16" t="str">
        <f aca="false">IF(H723&lt;=0.01,"Paid",IF(I723&lt;=30,"0-30",IF(I723&lt;=60,"31-60",IF(I723&lt;=90,"61-90","90+"))))</f>
        <v>90+</v>
      </c>
      <c r="K723" s="16" t="str">
        <f aca="false">IF(H723&lt;=0.01,"Paid",IF(G723&gt;0,"Partially Paid","Unpaid"))</f>
        <v>Unpaid</v>
      </c>
    </row>
    <row r="724" customFormat="false" ht="15" hidden="false" customHeight="false" outlineLevel="0" collapsed="false">
      <c r="A724" s="16" t="str">
        <f aca="false">Vendor_Invoices_AP!A721</f>
        <v>INV30720</v>
      </c>
      <c r="B724" s="16" t="str">
        <f aca="false">Vendor_Invoices_AP!C721</f>
        <v>V1039</v>
      </c>
      <c r="C724" s="16" t="str">
        <f aca="false">IFERROR(INDEX(Vendor_Master!$B$2:$B$41,MATCH(B724,Vendor_Master!$A$2:$A$41,0)),"Unknown Vendor")</f>
        <v>Campos, Vaughn and Marquez</v>
      </c>
      <c r="D724" s="17" t="n">
        <f aca="false">Vendor_Invoices_AP!D721</f>
        <v>46043</v>
      </c>
      <c r="E724" s="17" t="n">
        <f aca="false">Vendor_Invoices_AP!F721</f>
        <v>46073</v>
      </c>
      <c r="F724" s="18" t="n">
        <f aca="false">Vendor_Invoices_AP!E721</f>
        <v>629.25</v>
      </c>
      <c r="G724" s="18" t="n">
        <f aca="false">SUMIFS(Payment_Log_AP!$E$2:$E$753,Payment_Log_AP!$B$2:$B$753,A724)</f>
        <v>629.25</v>
      </c>
      <c r="H724" s="18" t="n">
        <f aca="false">F724-G724</f>
        <v>0</v>
      </c>
      <c r="I724" s="16" t="n">
        <f aca="false">IF(H724&lt;=0.01,0,MAX(Assumptions!$B$5-E724,0))</f>
        <v>0</v>
      </c>
      <c r="J724" s="16" t="str">
        <f aca="false">IF(H724&lt;=0.01,"Paid",IF(I724&lt;=30,"0-30",IF(I724&lt;=60,"31-60",IF(I724&lt;=90,"61-90","90+"))))</f>
        <v>Paid</v>
      </c>
      <c r="K724" s="16" t="str">
        <f aca="false">IF(H724&lt;=0.01,"Paid",IF(G724&gt;0,"Partially Paid","Unpaid"))</f>
        <v>Paid</v>
      </c>
    </row>
    <row r="725" customFormat="false" ht="15" hidden="false" customHeight="false" outlineLevel="0" collapsed="false">
      <c r="A725" s="16" t="str">
        <f aca="false">Vendor_Invoices_AP!A722</f>
        <v>INV30721</v>
      </c>
      <c r="B725" s="16" t="str">
        <f aca="false">Vendor_Invoices_AP!C722</f>
        <v>V1029</v>
      </c>
      <c r="C725" s="16" t="str">
        <f aca="false">IFERROR(INDEX(Vendor_Master!$B$2:$B$41,MATCH(B725,Vendor_Master!$A$2:$A$41,0)),"Unknown Vendor")</f>
        <v>Chavez Ltd</v>
      </c>
      <c r="D725" s="17" t="n">
        <f aca="false">Vendor_Invoices_AP!D722</f>
        <v>45676</v>
      </c>
      <c r="E725" s="17" t="n">
        <f aca="false">Vendor_Invoices_AP!F722</f>
        <v>45736</v>
      </c>
      <c r="F725" s="18" t="n">
        <f aca="false">Vendor_Invoices_AP!E722</f>
        <v>24756.78</v>
      </c>
      <c r="G725" s="18" t="n">
        <f aca="false">SUMIFS(Payment_Log_AP!$E$2:$E$753,Payment_Log_AP!$B$2:$B$753,A725)</f>
        <v>24756.78</v>
      </c>
      <c r="H725" s="18" t="n">
        <f aca="false">F725-G725</f>
        <v>0</v>
      </c>
      <c r="I725" s="16" t="n">
        <f aca="false">IF(H725&lt;=0.01,0,MAX(Assumptions!$B$5-E725,0))</f>
        <v>0</v>
      </c>
      <c r="J725" s="16" t="str">
        <f aca="false">IF(H725&lt;=0.01,"Paid",IF(I725&lt;=30,"0-30",IF(I725&lt;=60,"31-60",IF(I725&lt;=90,"61-90","90+"))))</f>
        <v>Paid</v>
      </c>
      <c r="K725" s="16" t="str">
        <f aca="false">IF(H725&lt;=0.01,"Paid",IF(G725&gt;0,"Partially Paid","Unpaid"))</f>
        <v>Paid</v>
      </c>
    </row>
    <row r="726" customFormat="false" ht="15" hidden="false" customHeight="false" outlineLevel="0" collapsed="false">
      <c r="A726" s="16" t="str">
        <f aca="false">Vendor_Invoices_AP!A723</f>
        <v>INV30722</v>
      </c>
      <c r="B726" s="16" t="str">
        <f aca="false">Vendor_Invoices_AP!C723</f>
        <v>V1017</v>
      </c>
      <c r="C726" s="16" t="str">
        <f aca="false">IFERROR(INDEX(Vendor_Master!$B$2:$B$41,MATCH(B726,Vendor_Master!$A$2:$A$41,0)),"Unknown Vendor")</f>
        <v>Hawkins, Cohen and Cameron</v>
      </c>
      <c r="D726" s="17" t="n">
        <f aca="false">Vendor_Invoices_AP!D723</f>
        <v>45684</v>
      </c>
      <c r="E726" s="17" t="n">
        <f aca="false">Vendor_Invoices_AP!F723</f>
        <v>45729</v>
      </c>
      <c r="F726" s="18" t="n">
        <f aca="false">Vendor_Invoices_AP!E723</f>
        <v>2964.49</v>
      </c>
      <c r="G726" s="18" t="n">
        <f aca="false">SUMIFS(Payment_Log_AP!$E$2:$E$753,Payment_Log_AP!$B$2:$B$753,A726)</f>
        <v>2964.49</v>
      </c>
      <c r="H726" s="18" t="n">
        <f aca="false">F726-G726</f>
        <v>0</v>
      </c>
      <c r="I726" s="16" t="n">
        <f aca="false">IF(H726&lt;=0.01,0,MAX(Assumptions!$B$5-E726,0))</f>
        <v>0</v>
      </c>
      <c r="J726" s="16" t="str">
        <f aca="false">IF(H726&lt;=0.01,"Paid",IF(I726&lt;=30,"0-30",IF(I726&lt;=60,"31-60",IF(I726&lt;=90,"61-90","90+"))))</f>
        <v>Paid</v>
      </c>
      <c r="K726" s="16" t="str">
        <f aca="false">IF(H726&lt;=0.01,"Paid",IF(G726&gt;0,"Partially Paid","Unpaid"))</f>
        <v>Paid</v>
      </c>
    </row>
    <row r="727" customFormat="false" ht="15" hidden="false" customHeight="false" outlineLevel="0" collapsed="false">
      <c r="A727" s="16" t="str">
        <f aca="false">Vendor_Invoices_AP!A724</f>
        <v>INV30723</v>
      </c>
      <c r="B727" s="16" t="str">
        <f aca="false">Vendor_Invoices_AP!C724</f>
        <v>V1010</v>
      </c>
      <c r="C727" s="16" t="str">
        <f aca="false">IFERROR(INDEX(Vendor_Master!$B$2:$B$41,MATCH(B727,Vendor_Master!$A$2:$A$41,0)),"Unknown Vendor")</f>
        <v>Martinez, Nielsen and Miller</v>
      </c>
      <c r="D727" s="17" t="n">
        <f aca="false">Vendor_Invoices_AP!D724</f>
        <v>46100</v>
      </c>
      <c r="E727" s="17" t="n">
        <f aca="false">Vendor_Invoices_AP!F724</f>
        <v>46115</v>
      </c>
      <c r="F727" s="18" t="n">
        <f aca="false">Vendor_Invoices_AP!E724</f>
        <v>3993.23</v>
      </c>
      <c r="G727" s="18" t="n">
        <f aca="false">SUMIFS(Payment_Log_AP!$E$2:$E$753,Payment_Log_AP!$B$2:$B$753,A727)</f>
        <v>3993.23</v>
      </c>
      <c r="H727" s="18" t="n">
        <f aca="false">F727-G727</f>
        <v>0</v>
      </c>
      <c r="I727" s="16" t="n">
        <f aca="false">IF(H727&lt;=0.01,0,MAX(Assumptions!$B$5-E727,0))</f>
        <v>0</v>
      </c>
      <c r="J727" s="16" t="str">
        <f aca="false">IF(H727&lt;=0.01,"Paid",IF(I727&lt;=30,"0-30",IF(I727&lt;=60,"31-60",IF(I727&lt;=90,"61-90","90+"))))</f>
        <v>Paid</v>
      </c>
      <c r="K727" s="16" t="str">
        <f aca="false">IF(H727&lt;=0.01,"Paid",IF(G727&gt;0,"Partially Paid","Unpaid"))</f>
        <v>Paid</v>
      </c>
    </row>
    <row r="728" customFormat="false" ht="15" hidden="false" customHeight="false" outlineLevel="0" collapsed="false">
      <c r="A728" s="16" t="str">
        <f aca="false">Vendor_Invoices_AP!A725</f>
        <v>INV30724</v>
      </c>
      <c r="B728" s="16" t="str">
        <f aca="false">Vendor_Invoices_AP!C725</f>
        <v>V1035</v>
      </c>
      <c r="C728" s="16" t="str">
        <f aca="false">IFERROR(INDEX(Vendor_Master!$B$2:$B$41,MATCH(B728,Vendor_Master!$A$2:$A$41,0)),"Unknown Vendor")</f>
        <v>Allen PLC</v>
      </c>
      <c r="D728" s="17" t="n">
        <f aca="false">Vendor_Invoices_AP!D725</f>
        <v>45804</v>
      </c>
      <c r="E728" s="17" t="n">
        <f aca="false">Vendor_Invoices_AP!F725</f>
        <v>45819</v>
      </c>
      <c r="F728" s="18" t="n">
        <f aca="false">Vendor_Invoices_AP!E725</f>
        <v>1604.06</v>
      </c>
      <c r="G728" s="18" t="n">
        <f aca="false">SUMIFS(Payment_Log_AP!$E$2:$E$753,Payment_Log_AP!$B$2:$B$753,A728)</f>
        <v>1604.06</v>
      </c>
      <c r="H728" s="18" t="n">
        <f aca="false">F728-G728</f>
        <v>0</v>
      </c>
      <c r="I728" s="16" t="n">
        <f aca="false">IF(H728&lt;=0.01,0,MAX(Assumptions!$B$5-E728,0))</f>
        <v>0</v>
      </c>
      <c r="J728" s="16" t="str">
        <f aca="false">IF(H728&lt;=0.01,"Paid",IF(I728&lt;=30,"0-30",IF(I728&lt;=60,"31-60",IF(I728&lt;=90,"61-90","90+"))))</f>
        <v>Paid</v>
      </c>
      <c r="K728" s="16" t="str">
        <f aca="false">IF(H728&lt;=0.01,"Paid",IF(G728&gt;0,"Partially Paid","Unpaid"))</f>
        <v>Paid</v>
      </c>
    </row>
    <row r="729" customFormat="false" ht="15" hidden="false" customHeight="false" outlineLevel="0" collapsed="false">
      <c r="A729" s="16" t="str">
        <f aca="false">Vendor_Invoices_AP!A726</f>
        <v>INV30725</v>
      </c>
      <c r="B729" s="16" t="str">
        <f aca="false">Vendor_Invoices_AP!C726</f>
        <v>V1039</v>
      </c>
      <c r="C729" s="16" t="str">
        <f aca="false">IFERROR(INDEX(Vendor_Master!$B$2:$B$41,MATCH(B729,Vendor_Master!$A$2:$A$41,0)),"Unknown Vendor")</f>
        <v>Campos, Vaughn and Marquez</v>
      </c>
      <c r="D729" s="17" t="n">
        <f aca="false">Vendor_Invoices_AP!D726</f>
        <v>45853</v>
      </c>
      <c r="E729" s="17" t="n">
        <f aca="false">Vendor_Invoices_AP!F726</f>
        <v>45883</v>
      </c>
      <c r="F729" s="18" t="n">
        <f aca="false">Vendor_Invoices_AP!E726</f>
        <v>2211.07</v>
      </c>
      <c r="G729" s="18" t="n">
        <f aca="false">SUMIFS(Payment_Log_AP!$E$2:$E$753,Payment_Log_AP!$B$2:$B$753,A729)</f>
        <v>2211.07</v>
      </c>
      <c r="H729" s="18" t="n">
        <f aca="false">F729-G729</f>
        <v>0</v>
      </c>
      <c r="I729" s="16" t="n">
        <f aca="false">IF(H729&lt;=0.01,0,MAX(Assumptions!$B$5-E729,0))</f>
        <v>0</v>
      </c>
      <c r="J729" s="16" t="str">
        <f aca="false">IF(H729&lt;=0.01,"Paid",IF(I729&lt;=30,"0-30",IF(I729&lt;=60,"31-60",IF(I729&lt;=90,"61-90","90+"))))</f>
        <v>Paid</v>
      </c>
      <c r="K729" s="16" t="str">
        <f aca="false">IF(H729&lt;=0.01,"Paid",IF(G729&gt;0,"Partially Paid","Unpaid"))</f>
        <v>Paid</v>
      </c>
    </row>
    <row r="730" customFormat="false" ht="15" hidden="false" customHeight="false" outlineLevel="0" collapsed="false">
      <c r="A730" s="16" t="str">
        <f aca="false">Vendor_Invoices_AP!A727</f>
        <v>INV30726</v>
      </c>
      <c r="B730" s="16" t="str">
        <f aca="false">Vendor_Invoices_AP!C727</f>
        <v>V1010</v>
      </c>
      <c r="C730" s="16" t="str">
        <f aca="false">IFERROR(INDEX(Vendor_Master!$B$2:$B$41,MATCH(B730,Vendor_Master!$A$2:$A$41,0)),"Unknown Vendor")</f>
        <v>Martinez, Nielsen and Miller</v>
      </c>
      <c r="D730" s="17" t="n">
        <f aca="false">Vendor_Invoices_AP!D727</f>
        <v>45758</v>
      </c>
      <c r="E730" s="17" t="n">
        <f aca="false">Vendor_Invoices_AP!F727</f>
        <v>45773</v>
      </c>
      <c r="F730" s="18" t="n">
        <f aca="false">Vendor_Invoices_AP!E727</f>
        <v>1034.65</v>
      </c>
      <c r="G730" s="18" t="n">
        <f aca="false">SUMIFS(Payment_Log_AP!$E$2:$E$753,Payment_Log_AP!$B$2:$B$753,A730)</f>
        <v>1034.65</v>
      </c>
      <c r="H730" s="18" t="n">
        <f aca="false">F730-G730</f>
        <v>0</v>
      </c>
      <c r="I730" s="16" t="n">
        <f aca="false">IF(H730&lt;=0.01,0,MAX(Assumptions!$B$5-E730,0))</f>
        <v>0</v>
      </c>
      <c r="J730" s="16" t="str">
        <f aca="false">IF(H730&lt;=0.01,"Paid",IF(I730&lt;=30,"0-30",IF(I730&lt;=60,"31-60",IF(I730&lt;=90,"61-90","90+"))))</f>
        <v>Paid</v>
      </c>
      <c r="K730" s="16" t="str">
        <f aca="false">IF(H730&lt;=0.01,"Paid",IF(G730&gt;0,"Partially Paid","Unpaid"))</f>
        <v>Paid</v>
      </c>
    </row>
    <row r="731" customFormat="false" ht="15" hidden="false" customHeight="false" outlineLevel="0" collapsed="false">
      <c r="A731" s="16" t="str">
        <f aca="false">Vendor_Invoices_AP!A728</f>
        <v>INV30727</v>
      </c>
      <c r="B731" s="16" t="str">
        <f aca="false">Vendor_Invoices_AP!C728</f>
        <v>V1014</v>
      </c>
      <c r="C731" s="16" t="str">
        <f aca="false">IFERROR(INDEX(Vendor_Master!$B$2:$B$41,MATCH(B731,Vendor_Master!$A$2:$A$41,0)),"Unknown Vendor")</f>
        <v>Flowers, Martin and Kelly</v>
      </c>
      <c r="D731" s="17" t="n">
        <f aca="false">Vendor_Invoices_AP!D728</f>
        <v>45696</v>
      </c>
      <c r="E731" s="17" t="n">
        <f aca="false">Vendor_Invoices_AP!F728</f>
        <v>45726</v>
      </c>
      <c r="F731" s="18" t="n">
        <f aca="false">Vendor_Invoices_AP!E728</f>
        <v>6197.2</v>
      </c>
      <c r="G731" s="18" t="n">
        <f aca="false">SUMIFS(Payment_Log_AP!$E$2:$E$753,Payment_Log_AP!$B$2:$B$753,A731)</f>
        <v>0</v>
      </c>
      <c r="H731" s="18" t="n">
        <f aca="false">F731-G731</f>
        <v>6197.2</v>
      </c>
      <c r="I731" s="16" t="n">
        <f aca="false">IF(H731&lt;=0.01,0,MAX(Assumptions!$B$5-E731,0))</f>
        <v>508</v>
      </c>
      <c r="J731" s="16" t="str">
        <f aca="false">IF(H731&lt;=0.01,"Paid",IF(I731&lt;=30,"0-30",IF(I731&lt;=60,"31-60",IF(I731&lt;=90,"61-90","90+"))))</f>
        <v>90+</v>
      </c>
      <c r="K731" s="16" t="str">
        <f aca="false">IF(H731&lt;=0.01,"Paid",IF(G731&gt;0,"Partially Paid","Unpaid"))</f>
        <v>Unpaid</v>
      </c>
    </row>
    <row r="732" customFormat="false" ht="15" hidden="false" customHeight="false" outlineLevel="0" collapsed="false">
      <c r="A732" s="16" t="str">
        <f aca="false">Vendor_Invoices_AP!A729</f>
        <v>INV30728</v>
      </c>
      <c r="B732" s="16" t="str">
        <f aca="false">Vendor_Invoices_AP!C729</f>
        <v>V1032</v>
      </c>
      <c r="C732" s="16" t="str">
        <f aca="false">IFERROR(INDEX(Vendor_Master!$B$2:$B$41,MATCH(B732,Vendor_Master!$A$2:$A$41,0)),"Unknown Vendor")</f>
        <v>Lynch, Hernandez and Farmer</v>
      </c>
      <c r="D732" s="17" t="n">
        <f aca="false">Vendor_Invoices_AP!D729</f>
        <v>46073</v>
      </c>
      <c r="E732" s="17" t="n">
        <f aca="false">Vendor_Invoices_AP!F729</f>
        <v>46133</v>
      </c>
      <c r="F732" s="18" t="n">
        <f aca="false">Vendor_Invoices_AP!E729</f>
        <v>1848.76</v>
      </c>
      <c r="G732" s="18" t="n">
        <f aca="false">SUMIFS(Payment_Log_AP!$E$2:$E$753,Payment_Log_AP!$B$2:$B$753,A732)</f>
        <v>1848.76</v>
      </c>
      <c r="H732" s="18" t="n">
        <f aca="false">F732-G732</f>
        <v>0</v>
      </c>
      <c r="I732" s="16" t="n">
        <f aca="false">IF(H732&lt;=0.01,0,MAX(Assumptions!$B$5-E732,0))</f>
        <v>0</v>
      </c>
      <c r="J732" s="16" t="str">
        <f aca="false">IF(H732&lt;=0.01,"Paid",IF(I732&lt;=30,"0-30",IF(I732&lt;=60,"31-60",IF(I732&lt;=90,"61-90","90+"))))</f>
        <v>Paid</v>
      </c>
      <c r="K732" s="16" t="str">
        <f aca="false">IF(H732&lt;=0.01,"Paid",IF(G732&gt;0,"Partially Paid","Unpaid"))</f>
        <v>Paid</v>
      </c>
    </row>
    <row r="733" customFormat="false" ht="15" hidden="false" customHeight="false" outlineLevel="0" collapsed="false">
      <c r="A733" s="16" t="str">
        <f aca="false">Vendor_Invoices_AP!A730</f>
        <v>INV30729</v>
      </c>
      <c r="B733" s="16" t="str">
        <f aca="false">Vendor_Invoices_AP!C730</f>
        <v>V1039</v>
      </c>
      <c r="C733" s="16" t="str">
        <f aca="false">IFERROR(INDEX(Vendor_Master!$B$2:$B$41,MATCH(B733,Vendor_Master!$A$2:$A$41,0)),"Unknown Vendor")</f>
        <v>Campos, Vaughn and Marquez</v>
      </c>
      <c r="D733" s="17" t="n">
        <f aca="false">Vendor_Invoices_AP!D730</f>
        <v>45957</v>
      </c>
      <c r="E733" s="17" t="n">
        <f aca="false">Vendor_Invoices_AP!F730</f>
        <v>45987</v>
      </c>
      <c r="F733" s="18" t="n">
        <f aca="false">Vendor_Invoices_AP!E730</f>
        <v>2842.44</v>
      </c>
      <c r="G733" s="18" t="n">
        <f aca="false">SUMIFS(Payment_Log_AP!$E$2:$E$753,Payment_Log_AP!$B$2:$B$753,A733)</f>
        <v>2842.44</v>
      </c>
      <c r="H733" s="18" t="n">
        <f aca="false">F733-G733</f>
        <v>0</v>
      </c>
      <c r="I733" s="16" t="n">
        <f aca="false">IF(H733&lt;=0.01,0,MAX(Assumptions!$B$5-E733,0))</f>
        <v>0</v>
      </c>
      <c r="J733" s="16" t="str">
        <f aca="false">IF(H733&lt;=0.01,"Paid",IF(I733&lt;=30,"0-30",IF(I733&lt;=60,"31-60",IF(I733&lt;=90,"61-90","90+"))))</f>
        <v>Paid</v>
      </c>
      <c r="K733" s="16" t="str">
        <f aca="false">IF(H733&lt;=0.01,"Paid",IF(G733&gt;0,"Partially Paid","Unpaid"))</f>
        <v>Paid</v>
      </c>
    </row>
    <row r="734" customFormat="false" ht="15" hidden="false" customHeight="false" outlineLevel="0" collapsed="false">
      <c r="A734" s="16" t="str">
        <f aca="false">Vendor_Invoices_AP!A731</f>
        <v>INV30730</v>
      </c>
      <c r="B734" s="16" t="str">
        <f aca="false">Vendor_Invoices_AP!C731</f>
        <v>V1018</v>
      </c>
      <c r="C734" s="16" t="str">
        <f aca="false">IFERROR(INDEX(Vendor_Master!$B$2:$B$41,MATCH(B734,Vendor_Master!$A$2:$A$41,0)),"Unknown Vendor")</f>
        <v>Underwood LLC</v>
      </c>
      <c r="D734" s="17" t="n">
        <f aca="false">Vendor_Invoices_AP!D731</f>
        <v>46085</v>
      </c>
      <c r="E734" s="17" t="n">
        <f aca="false">Vendor_Invoices_AP!F731</f>
        <v>46115</v>
      </c>
      <c r="F734" s="18" t="n">
        <f aca="false">Vendor_Invoices_AP!E731</f>
        <v>2826.44</v>
      </c>
      <c r="G734" s="18" t="n">
        <f aca="false">SUMIFS(Payment_Log_AP!$E$2:$E$753,Payment_Log_AP!$B$2:$B$753,A734)</f>
        <v>2826.44</v>
      </c>
      <c r="H734" s="18" t="n">
        <f aca="false">F734-G734</f>
        <v>0</v>
      </c>
      <c r="I734" s="16" t="n">
        <f aca="false">IF(H734&lt;=0.01,0,MAX(Assumptions!$B$5-E734,0))</f>
        <v>0</v>
      </c>
      <c r="J734" s="16" t="str">
        <f aca="false">IF(H734&lt;=0.01,"Paid",IF(I734&lt;=30,"0-30",IF(I734&lt;=60,"31-60",IF(I734&lt;=90,"61-90","90+"))))</f>
        <v>Paid</v>
      </c>
      <c r="K734" s="16" t="str">
        <f aca="false">IF(H734&lt;=0.01,"Paid",IF(G734&gt;0,"Partially Paid","Unpaid"))</f>
        <v>Paid</v>
      </c>
    </row>
    <row r="735" customFormat="false" ht="15" hidden="false" customHeight="false" outlineLevel="0" collapsed="false">
      <c r="A735" s="16" t="str">
        <f aca="false">Vendor_Invoices_AP!A732</f>
        <v>INV30731</v>
      </c>
      <c r="B735" s="16" t="str">
        <f aca="false">Vendor_Invoices_AP!C732</f>
        <v>V1040</v>
      </c>
      <c r="C735" s="16" t="str">
        <f aca="false">IFERROR(INDEX(Vendor_Master!$B$2:$B$41,MATCH(B735,Vendor_Master!$A$2:$A$41,0)),"Unknown Vendor")</f>
        <v>Santos, Kim and Holmes</v>
      </c>
      <c r="D735" s="17" t="n">
        <f aca="false">Vendor_Invoices_AP!D732</f>
        <v>45928</v>
      </c>
      <c r="E735" s="17" t="n">
        <f aca="false">Vendor_Invoices_AP!F732</f>
        <v>45943</v>
      </c>
      <c r="F735" s="18" t="n">
        <f aca="false">Vendor_Invoices_AP!E732</f>
        <v>9307.71</v>
      </c>
      <c r="G735" s="18" t="n">
        <f aca="false">SUMIFS(Payment_Log_AP!$E$2:$E$753,Payment_Log_AP!$B$2:$B$753,A735)</f>
        <v>0</v>
      </c>
      <c r="H735" s="18" t="n">
        <f aca="false">F735-G735</f>
        <v>9307.71</v>
      </c>
      <c r="I735" s="16" t="n">
        <f aca="false">IF(H735&lt;=0.01,0,MAX(Assumptions!$B$5-E735,0))</f>
        <v>291</v>
      </c>
      <c r="J735" s="16" t="str">
        <f aca="false">IF(H735&lt;=0.01,"Paid",IF(I735&lt;=30,"0-30",IF(I735&lt;=60,"31-60",IF(I735&lt;=90,"61-90","90+"))))</f>
        <v>90+</v>
      </c>
      <c r="K735" s="16" t="str">
        <f aca="false">IF(H735&lt;=0.01,"Paid",IF(G735&gt;0,"Partially Paid","Unpaid"))</f>
        <v>Unpaid</v>
      </c>
    </row>
    <row r="736" customFormat="false" ht="15" hidden="false" customHeight="false" outlineLevel="0" collapsed="false">
      <c r="A736" s="16" t="str">
        <f aca="false">Vendor_Invoices_AP!A733</f>
        <v>INV30732</v>
      </c>
      <c r="B736" s="16" t="str">
        <f aca="false">Vendor_Invoices_AP!C733</f>
        <v>V1038</v>
      </c>
      <c r="C736" s="16" t="str">
        <f aca="false">IFERROR(INDEX(Vendor_Master!$B$2:$B$41,MATCH(B736,Vendor_Master!$A$2:$A$41,0)),"Unknown Vendor")</f>
        <v>Rose-Obrien</v>
      </c>
      <c r="D736" s="17" t="n">
        <f aca="false">Vendor_Invoices_AP!D733</f>
        <v>46106</v>
      </c>
      <c r="E736" s="17" t="n">
        <f aca="false">Vendor_Invoices_AP!F733</f>
        <v>46136</v>
      </c>
      <c r="F736" s="18" t="n">
        <f aca="false">Vendor_Invoices_AP!E733</f>
        <v>4662.39</v>
      </c>
      <c r="G736" s="18" t="n">
        <f aca="false">SUMIFS(Payment_Log_AP!$E$2:$E$753,Payment_Log_AP!$B$2:$B$753,A736)</f>
        <v>4662.39</v>
      </c>
      <c r="H736" s="18" t="n">
        <f aca="false">F736-G736</f>
        <v>0</v>
      </c>
      <c r="I736" s="16" t="n">
        <f aca="false">IF(H736&lt;=0.01,0,MAX(Assumptions!$B$5-E736,0))</f>
        <v>0</v>
      </c>
      <c r="J736" s="16" t="str">
        <f aca="false">IF(H736&lt;=0.01,"Paid",IF(I736&lt;=30,"0-30",IF(I736&lt;=60,"31-60",IF(I736&lt;=90,"61-90","90+"))))</f>
        <v>Paid</v>
      </c>
      <c r="K736" s="16" t="str">
        <f aca="false">IF(H736&lt;=0.01,"Paid",IF(G736&gt;0,"Partially Paid","Unpaid"))</f>
        <v>Paid</v>
      </c>
    </row>
    <row r="737" customFormat="false" ht="15" hidden="false" customHeight="false" outlineLevel="0" collapsed="false">
      <c r="A737" s="16" t="str">
        <f aca="false">Vendor_Invoices_AP!A734</f>
        <v>INV30733</v>
      </c>
      <c r="B737" s="16" t="str">
        <f aca="false">Vendor_Invoices_AP!C734</f>
        <v>V1040</v>
      </c>
      <c r="C737" s="16" t="str">
        <f aca="false">IFERROR(INDEX(Vendor_Master!$B$2:$B$41,MATCH(B737,Vendor_Master!$A$2:$A$41,0)),"Unknown Vendor")</f>
        <v>Santos, Kim and Holmes</v>
      </c>
      <c r="D737" s="17" t="n">
        <f aca="false">Vendor_Invoices_AP!D734</f>
        <v>45943</v>
      </c>
      <c r="E737" s="17" t="n">
        <f aca="false">Vendor_Invoices_AP!F734</f>
        <v>45958</v>
      </c>
      <c r="F737" s="18" t="n">
        <f aca="false">Vendor_Invoices_AP!E734</f>
        <v>369.39</v>
      </c>
      <c r="G737" s="18" t="n">
        <f aca="false">SUMIFS(Payment_Log_AP!$E$2:$E$753,Payment_Log_AP!$B$2:$B$753,A737)</f>
        <v>369.39</v>
      </c>
      <c r="H737" s="18" t="n">
        <f aca="false">F737-G737</f>
        <v>0</v>
      </c>
      <c r="I737" s="16" t="n">
        <f aca="false">IF(H737&lt;=0.01,0,MAX(Assumptions!$B$5-E737,0))</f>
        <v>0</v>
      </c>
      <c r="J737" s="16" t="str">
        <f aca="false">IF(H737&lt;=0.01,"Paid",IF(I737&lt;=30,"0-30",IF(I737&lt;=60,"31-60",IF(I737&lt;=90,"61-90","90+"))))</f>
        <v>Paid</v>
      </c>
      <c r="K737" s="16" t="str">
        <f aca="false">IF(H737&lt;=0.01,"Paid",IF(G737&gt;0,"Partially Paid","Unpaid"))</f>
        <v>Paid</v>
      </c>
    </row>
    <row r="738" customFormat="false" ht="15" hidden="false" customHeight="false" outlineLevel="0" collapsed="false">
      <c r="A738" s="16" t="str">
        <f aca="false">Vendor_Invoices_AP!A735</f>
        <v>INV30734</v>
      </c>
      <c r="B738" s="16" t="str">
        <f aca="false">Vendor_Invoices_AP!C735</f>
        <v>V1035</v>
      </c>
      <c r="C738" s="16" t="str">
        <f aca="false">IFERROR(INDEX(Vendor_Master!$B$2:$B$41,MATCH(B738,Vendor_Master!$A$2:$A$41,0)),"Unknown Vendor")</f>
        <v>Allen PLC</v>
      </c>
      <c r="D738" s="17" t="n">
        <f aca="false">Vendor_Invoices_AP!D735</f>
        <v>45729</v>
      </c>
      <c r="E738" s="17" t="n">
        <f aca="false">Vendor_Invoices_AP!F735</f>
        <v>45744</v>
      </c>
      <c r="F738" s="18" t="n">
        <f aca="false">Vendor_Invoices_AP!E735</f>
        <v>21261.93</v>
      </c>
      <c r="G738" s="18" t="n">
        <f aca="false">SUMIFS(Payment_Log_AP!$E$2:$E$753,Payment_Log_AP!$B$2:$B$753,A738)</f>
        <v>0</v>
      </c>
      <c r="H738" s="18" t="n">
        <f aca="false">F738-G738</f>
        <v>21261.93</v>
      </c>
      <c r="I738" s="16" t="n">
        <f aca="false">IF(H738&lt;=0.01,0,MAX(Assumptions!$B$5-E738,0))</f>
        <v>490</v>
      </c>
      <c r="J738" s="16" t="str">
        <f aca="false">IF(H738&lt;=0.01,"Paid",IF(I738&lt;=30,"0-30",IF(I738&lt;=60,"31-60",IF(I738&lt;=90,"61-90","90+"))))</f>
        <v>90+</v>
      </c>
      <c r="K738" s="16" t="str">
        <f aca="false">IF(H738&lt;=0.01,"Paid",IF(G738&gt;0,"Partially Paid","Unpaid"))</f>
        <v>Unpaid</v>
      </c>
    </row>
    <row r="739" customFormat="false" ht="15" hidden="false" customHeight="false" outlineLevel="0" collapsed="false">
      <c r="A739" s="16" t="str">
        <f aca="false">Vendor_Invoices_AP!A736</f>
        <v>INV30735</v>
      </c>
      <c r="B739" s="16" t="str">
        <f aca="false">Vendor_Invoices_AP!C736</f>
        <v>V1027</v>
      </c>
      <c r="C739" s="16" t="str">
        <f aca="false">IFERROR(INDEX(Vendor_Master!$B$2:$B$41,MATCH(B739,Vendor_Master!$A$2:$A$41,0)),"Unknown Vendor")</f>
        <v>Valencia, Smith and Le</v>
      </c>
      <c r="D739" s="17" t="n">
        <f aca="false">Vendor_Invoices_AP!D736</f>
        <v>45945</v>
      </c>
      <c r="E739" s="17" t="n">
        <f aca="false">Vendor_Invoices_AP!F736</f>
        <v>45990</v>
      </c>
      <c r="F739" s="18" t="n">
        <f aca="false">Vendor_Invoices_AP!E736</f>
        <v>739.64</v>
      </c>
      <c r="G739" s="18" t="n">
        <f aca="false">SUMIFS(Payment_Log_AP!$E$2:$E$753,Payment_Log_AP!$B$2:$B$753,A739)</f>
        <v>0</v>
      </c>
      <c r="H739" s="18" t="n">
        <f aca="false">F739-G739</f>
        <v>739.64</v>
      </c>
      <c r="I739" s="16" t="n">
        <f aca="false">IF(H739&lt;=0.01,0,MAX(Assumptions!$B$5-E739,0))</f>
        <v>244</v>
      </c>
      <c r="J739" s="16" t="str">
        <f aca="false">IF(H739&lt;=0.01,"Paid",IF(I739&lt;=30,"0-30",IF(I739&lt;=60,"31-60",IF(I739&lt;=90,"61-90","90+"))))</f>
        <v>90+</v>
      </c>
      <c r="K739" s="16" t="str">
        <f aca="false">IF(H739&lt;=0.01,"Paid",IF(G739&gt;0,"Partially Paid","Unpaid"))</f>
        <v>Unpaid</v>
      </c>
    </row>
    <row r="740" customFormat="false" ht="15" hidden="false" customHeight="false" outlineLevel="0" collapsed="false">
      <c r="A740" s="16" t="str">
        <f aca="false">Vendor_Invoices_AP!A737</f>
        <v>INV30736</v>
      </c>
      <c r="B740" s="16" t="str">
        <f aca="false">Vendor_Invoices_AP!C737</f>
        <v>V1020</v>
      </c>
      <c r="C740" s="16" t="str">
        <f aca="false">IFERROR(INDEX(Vendor_Master!$B$2:$B$41,MATCH(B740,Vendor_Master!$A$2:$A$41,0)),"Unknown Vendor")</f>
        <v>Lewis-Porter</v>
      </c>
      <c r="D740" s="17" t="n">
        <f aca="false">Vendor_Invoices_AP!D737</f>
        <v>46176</v>
      </c>
      <c r="E740" s="17" t="n">
        <f aca="false">Vendor_Invoices_AP!F737</f>
        <v>46206</v>
      </c>
      <c r="F740" s="18" t="n">
        <f aca="false">Vendor_Invoices_AP!E737</f>
        <v>5478.42</v>
      </c>
      <c r="G740" s="18" t="n">
        <f aca="false">SUMIFS(Payment_Log_AP!$E$2:$E$753,Payment_Log_AP!$B$2:$B$753,A740)</f>
        <v>0</v>
      </c>
      <c r="H740" s="18" t="n">
        <f aca="false">F740-G740</f>
        <v>5478.42</v>
      </c>
      <c r="I740" s="16" t="n">
        <f aca="false">IF(H740&lt;=0.01,0,MAX(Assumptions!$B$5-E740,0))</f>
        <v>28</v>
      </c>
      <c r="J740" s="16" t="str">
        <f aca="false">IF(H740&lt;=0.01,"Paid",IF(I740&lt;=30,"0-30",IF(I740&lt;=60,"31-60",IF(I740&lt;=90,"61-90","90+"))))</f>
        <v>0-30</v>
      </c>
      <c r="K740" s="16" t="str">
        <f aca="false">IF(H740&lt;=0.01,"Paid",IF(G740&gt;0,"Partially Paid","Unpaid"))</f>
        <v>Unpaid</v>
      </c>
    </row>
    <row r="741" customFormat="false" ht="15" hidden="false" customHeight="false" outlineLevel="0" collapsed="false">
      <c r="A741" s="16" t="str">
        <f aca="false">Vendor_Invoices_AP!A738</f>
        <v>INV30737</v>
      </c>
      <c r="B741" s="16" t="str">
        <f aca="false">Vendor_Invoices_AP!C738</f>
        <v>V1030</v>
      </c>
      <c r="C741" s="16" t="str">
        <f aca="false">IFERROR(INDEX(Vendor_Master!$B$2:$B$41,MATCH(B741,Vendor_Master!$A$2:$A$41,0)),"Unknown Vendor")</f>
        <v>Stanton-Gill</v>
      </c>
      <c r="D741" s="17" t="n">
        <f aca="false">Vendor_Invoices_AP!D738</f>
        <v>45687</v>
      </c>
      <c r="E741" s="17" t="n">
        <f aca="false">Vendor_Invoices_AP!F738</f>
        <v>45747</v>
      </c>
      <c r="F741" s="18" t="n">
        <f aca="false">Vendor_Invoices_AP!E738</f>
        <v>1081.06</v>
      </c>
      <c r="G741" s="18" t="n">
        <f aca="false">SUMIFS(Payment_Log_AP!$E$2:$E$753,Payment_Log_AP!$B$2:$B$753,A741)</f>
        <v>1081.06</v>
      </c>
      <c r="H741" s="18" t="n">
        <f aca="false">F741-G741</f>
        <v>0</v>
      </c>
      <c r="I741" s="16" t="n">
        <f aca="false">IF(H741&lt;=0.01,0,MAX(Assumptions!$B$5-E741,0))</f>
        <v>0</v>
      </c>
      <c r="J741" s="16" t="str">
        <f aca="false">IF(H741&lt;=0.01,"Paid",IF(I741&lt;=30,"0-30",IF(I741&lt;=60,"31-60",IF(I741&lt;=90,"61-90","90+"))))</f>
        <v>Paid</v>
      </c>
      <c r="K741" s="16" t="str">
        <f aca="false">IF(H741&lt;=0.01,"Paid",IF(G741&gt;0,"Partially Paid","Unpaid"))</f>
        <v>Paid</v>
      </c>
    </row>
    <row r="742" customFormat="false" ht="15" hidden="false" customHeight="false" outlineLevel="0" collapsed="false">
      <c r="A742" s="16" t="str">
        <f aca="false">Vendor_Invoices_AP!A739</f>
        <v>INV30738</v>
      </c>
      <c r="B742" s="16" t="str">
        <f aca="false">Vendor_Invoices_AP!C739</f>
        <v>V1023</v>
      </c>
      <c r="C742" s="16" t="str">
        <f aca="false">IFERROR(INDEX(Vendor_Master!$B$2:$B$41,MATCH(B742,Vendor_Master!$A$2:$A$41,0)),"Unknown Vendor")</f>
        <v>Robinson-Bright</v>
      </c>
      <c r="D742" s="17" t="n">
        <f aca="false">Vendor_Invoices_AP!D739</f>
        <v>46091</v>
      </c>
      <c r="E742" s="17" t="n">
        <f aca="false">Vendor_Invoices_AP!F739</f>
        <v>46121</v>
      </c>
      <c r="F742" s="18" t="n">
        <f aca="false">Vendor_Invoices_AP!E739</f>
        <v>199.69</v>
      </c>
      <c r="G742" s="18" t="n">
        <f aca="false">SUMIFS(Payment_Log_AP!$E$2:$E$753,Payment_Log_AP!$B$2:$B$753,A742)</f>
        <v>199.69</v>
      </c>
      <c r="H742" s="18" t="n">
        <f aca="false">F742-G742</f>
        <v>0</v>
      </c>
      <c r="I742" s="16" t="n">
        <f aca="false">IF(H742&lt;=0.01,0,MAX(Assumptions!$B$5-E742,0))</f>
        <v>0</v>
      </c>
      <c r="J742" s="16" t="str">
        <f aca="false">IF(H742&lt;=0.01,"Paid",IF(I742&lt;=30,"0-30",IF(I742&lt;=60,"31-60",IF(I742&lt;=90,"61-90","90+"))))</f>
        <v>Paid</v>
      </c>
      <c r="K742" s="16" t="str">
        <f aca="false">IF(H742&lt;=0.01,"Paid",IF(G742&gt;0,"Partially Paid","Unpaid"))</f>
        <v>Paid</v>
      </c>
    </row>
    <row r="743" customFormat="false" ht="15" hidden="false" customHeight="false" outlineLevel="0" collapsed="false">
      <c r="A743" s="16" t="str">
        <f aca="false">Vendor_Invoices_AP!A740</f>
        <v>INV30739</v>
      </c>
      <c r="B743" s="16" t="str">
        <f aca="false">Vendor_Invoices_AP!C740</f>
        <v>V1039</v>
      </c>
      <c r="C743" s="16" t="str">
        <f aca="false">IFERROR(INDEX(Vendor_Master!$B$2:$B$41,MATCH(B743,Vendor_Master!$A$2:$A$41,0)),"Unknown Vendor")</f>
        <v>Campos, Vaughn and Marquez</v>
      </c>
      <c r="D743" s="17" t="n">
        <f aca="false">Vendor_Invoices_AP!D740</f>
        <v>46132</v>
      </c>
      <c r="E743" s="17" t="n">
        <f aca="false">Vendor_Invoices_AP!F740</f>
        <v>46162</v>
      </c>
      <c r="F743" s="18" t="n">
        <f aca="false">Vendor_Invoices_AP!E740</f>
        <v>1143.13</v>
      </c>
      <c r="G743" s="18" t="n">
        <f aca="false">SUMIFS(Payment_Log_AP!$E$2:$E$753,Payment_Log_AP!$B$2:$B$753,A743)</f>
        <v>1143.13</v>
      </c>
      <c r="H743" s="18" t="n">
        <f aca="false">F743-G743</f>
        <v>0</v>
      </c>
      <c r="I743" s="16" t="n">
        <f aca="false">IF(H743&lt;=0.01,0,MAX(Assumptions!$B$5-E743,0))</f>
        <v>0</v>
      </c>
      <c r="J743" s="16" t="str">
        <f aca="false">IF(H743&lt;=0.01,"Paid",IF(I743&lt;=30,"0-30",IF(I743&lt;=60,"31-60",IF(I743&lt;=90,"61-90","90+"))))</f>
        <v>Paid</v>
      </c>
      <c r="K743" s="16" t="str">
        <f aca="false">IF(H743&lt;=0.01,"Paid",IF(G743&gt;0,"Partially Paid","Unpaid"))</f>
        <v>Paid</v>
      </c>
    </row>
    <row r="744" customFormat="false" ht="15" hidden="false" customHeight="false" outlineLevel="0" collapsed="false">
      <c r="A744" s="16" t="str">
        <f aca="false">Vendor_Invoices_AP!A741</f>
        <v>INV30740</v>
      </c>
      <c r="B744" s="16" t="str">
        <f aca="false">Vendor_Invoices_AP!C741</f>
        <v>V1033</v>
      </c>
      <c r="C744" s="16" t="str">
        <f aca="false">IFERROR(INDEX(Vendor_Master!$B$2:$B$41,MATCH(B744,Vendor_Master!$A$2:$A$41,0)),"Unknown Vendor")</f>
        <v>Sellers, George and Burns</v>
      </c>
      <c r="D744" s="17" t="n">
        <f aca="false">Vendor_Invoices_AP!D741</f>
        <v>45948</v>
      </c>
      <c r="E744" s="17" t="n">
        <f aca="false">Vendor_Invoices_AP!F741</f>
        <v>46008</v>
      </c>
      <c r="F744" s="18" t="n">
        <f aca="false">Vendor_Invoices_AP!E741</f>
        <v>3047.46</v>
      </c>
      <c r="G744" s="18" t="n">
        <f aca="false">SUMIFS(Payment_Log_AP!$E$2:$E$753,Payment_Log_AP!$B$2:$B$753,A744)</f>
        <v>3047.46</v>
      </c>
      <c r="H744" s="18" t="n">
        <f aca="false">F744-G744</f>
        <v>0</v>
      </c>
      <c r="I744" s="16" t="n">
        <f aca="false">IF(H744&lt;=0.01,0,MAX(Assumptions!$B$5-E744,0))</f>
        <v>0</v>
      </c>
      <c r="J744" s="16" t="str">
        <f aca="false">IF(H744&lt;=0.01,"Paid",IF(I744&lt;=30,"0-30",IF(I744&lt;=60,"31-60",IF(I744&lt;=90,"61-90","90+"))))</f>
        <v>Paid</v>
      </c>
      <c r="K744" s="16" t="str">
        <f aca="false">IF(H744&lt;=0.01,"Paid",IF(G744&gt;0,"Partially Paid","Unpaid"))</f>
        <v>Paid</v>
      </c>
    </row>
    <row r="745" customFormat="false" ht="15" hidden="false" customHeight="false" outlineLevel="0" collapsed="false">
      <c r="A745" s="16" t="str">
        <f aca="false">Vendor_Invoices_AP!A742</f>
        <v>INV30741</v>
      </c>
      <c r="B745" s="16" t="str">
        <f aca="false">Vendor_Invoices_AP!C742</f>
        <v>V1011</v>
      </c>
      <c r="C745" s="16" t="str">
        <f aca="false">IFERROR(INDEX(Vendor_Master!$B$2:$B$41,MATCH(B745,Vendor_Master!$A$2:$A$41,0)),"Unknown Vendor")</f>
        <v>Montgomery, Hensley and Ray</v>
      </c>
      <c r="D745" s="17" t="n">
        <f aca="false">Vendor_Invoices_AP!D742</f>
        <v>45913</v>
      </c>
      <c r="E745" s="17" t="n">
        <f aca="false">Vendor_Invoices_AP!F742</f>
        <v>45958</v>
      </c>
      <c r="F745" s="18" t="n">
        <f aca="false">Vendor_Invoices_AP!E742</f>
        <v>2282.24</v>
      </c>
      <c r="G745" s="18" t="n">
        <f aca="false">SUMIFS(Payment_Log_AP!$E$2:$E$753,Payment_Log_AP!$B$2:$B$753,A745)</f>
        <v>2282.24</v>
      </c>
      <c r="H745" s="18" t="n">
        <f aca="false">F745-G745</f>
        <v>0</v>
      </c>
      <c r="I745" s="16" t="n">
        <f aca="false">IF(H745&lt;=0.01,0,MAX(Assumptions!$B$5-E745,0))</f>
        <v>0</v>
      </c>
      <c r="J745" s="16" t="str">
        <f aca="false">IF(H745&lt;=0.01,"Paid",IF(I745&lt;=30,"0-30",IF(I745&lt;=60,"31-60",IF(I745&lt;=90,"61-90","90+"))))</f>
        <v>Paid</v>
      </c>
      <c r="K745" s="16" t="str">
        <f aca="false">IF(H745&lt;=0.01,"Paid",IF(G745&gt;0,"Partially Paid","Unpaid"))</f>
        <v>Paid</v>
      </c>
    </row>
    <row r="746" customFormat="false" ht="15" hidden="false" customHeight="false" outlineLevel="0" collapsed="false">
      <c r="A746" s="16" t="str">
        <f aca="false">Vendor_Invoices_AP!A743</f>
        <v>INV30742</v>
      </c>
      <c r="B746" s="16" t="str">
        <f aca="false">Vendor_Invoices_AP!C743</f>
        <v>V1008</v>
      </c>
      <c r="C746" s="16" t="str">
        <f aca="false">IFERROR(INDEX(Vendor_Master!$B$2:$B$41,MATCH(B746,Vendor_Master!$A$2:$A$41,0)),"Unknown Vendor")</f>
        <v>Davis Inc</v>
      </c>
      <c r="D746" s="17" t="n">
        <f aca="false">Vendor_Invoices_AP!D743</f>
        <v>46195</v>
      </c>
      <c r="E746" s="17" t="n">
        <f aca="false">Vendor_Invoices_AP!F743</f>
        <v>46255</v>
      </c>
      <c r="F746" s="18" t="n">
        <f aca="false">Vendor_Invoices_AP!E743</f>
        <v>866.83</v>
      </c>
      <c r="G746" s="18" t="n">
        <f aca="false">SUMIFS(Payment_Log_AP!$E$2:$E$753,Payment_Log_AP!$B$2:$B$753,A746)</f>
        <v>866.83</v>
      </c>
      <c r="H746" s="18" t="n">
        <f aca="false">F746-G746</f>
        <v>0</v>
      </c>
      <c r="I746" s="16" t="n">
        <f aca="false">IF(H746&lt;=0.01,0,MAX(Assumptions!$B$5-E746,0))</f>
        <v>0</v>
      </c>
      <c r="J746" s="16" t="str">
        <f aca="false">IF(H746&lt;=0.01,"Paid",IF(I746&lt;=30,"0-30",IF(I746&lt;=60,"31-60",IF(I746&lt;=90,"61-90","90+"))))</f>
        <v>Paid</v>
      </c>
      <c r="K746" s="16" t="str">
        <f aca="false">IF(H746&lt;=0.01,"Paid",IF(G746&gt;0,"Partially Paid","Unpaid"))</f>
        <v>Paid</v>
      </c>
    </row>
    <row r="747" customFormat="false" ht="15" hidden="false" customHeight="false" outlineLevel="0" collapsed="false">
      <c r="A747" s="16" t="str">
        <f aca="false">Vendor_Invoices_AP!A744</f>
        <v>INV30743</v>
      </c>
      <c r="B747" s="16" t="str">
        <f aca="false">Vendor_Invoices_AP!C744</f>
        <v>V1021</v>
      </c>
      <c r="C747" s="16" t="str">
        <f aca="false">IFERROR(INDEX(Vendor_Master!$B$2:$B$41,MATCH(B747,Vendor_Master!$A$2:$A$41,0)),"Unknown Vendor")</f>
        <v>Ellis, Baker and Wright</v>
      </c>
      <c r="D747" s="17" t="n">
        <f aca="false">Vendor_Invoices_AP!D744</f>
        <v>45702</v>
      </c>
      <c r="E747" s="17" t="n">
        <f aca="false">Vendor_Invoices_AP!F744</f>
        <v>45732</v>
      </c>
      <c r="F747" s="18" t="n">
        <f aca="false">Vendor_Invoices_AP!E744</f>
        <v>9584.39</v>
      </c>
      <c r="G747" s="18" t="n">
        <f aca="false">SUMIFS(Payment_Log_AP!$E$2:$E$753,Payment_Log_AP!$B$2:$B$753,A747)</f>
        <v>9584.39</v>
      </c>
      <c r="H747" s="18" t="n">
        <f aca="false">F747-G747</f>
        <v>0</v>
      </c>
      <c r="I747" s="16" t="n">
        <f aca="false">IF(H747&lt;=0.01,0,MAX(Assumptions!$B$5-E747,0))</f>
        <v>0</v>
      </c>
      <c r="J747" s="16" t="str">
        <f aca="false">IF(H747&lt;=0.01,"Paid",IF(I747&lt;=30,"0-30",IF(I747&lt;=60,"31-60",IF(I747&lt;=90,"61-90","90+"))))</f>
        <v>Paid</v>
      </c>
      <c r="K747" s="16" t="str">
        <f aca="false">IF(H747&lt;=0.01,"Paid",IF(G747&gt;0,"Partially Paid","Unpaid"))</f>
        <v>Paid</v>
      </c>
    </row>
    <row r="748" customFormat="false" ht="15" hidden="false" customHeight="false" outlineLevel="0" collapsed="false">
      <c r="A748" s="16" t="str">
        <f aca="false">Vendor_Invoices_AP!A745</f>
        <v>INV30744</v>
      </c>
      <c r="B748" s="16" t="str">
        <f aca="false">Vendor_Invoices_AP!C745</f>
        <v>V1007</v>
      </c>
      <c r="C748" s="16" t="str">
        <f aca="false">IFERROR(INDEX(Vendor_Master!$B$2:$B$41,MATCH(B748,Vendor_Master!$A$2:$A$41,0)),"Unknown Vendor")</f>
        <v>Ramirez-Lewis</v>
      </c>
      <c r="D748" s="17" t="n">
        <f aca="false">Vendor_Invoices_AP!D745</f>
        <v>45939</v>
      </c>
      <c r="E748" s="17" t="n">
        <f aca="false">Vendor_Invoices_AP!F745</f>
        <v>45954</v>
      </c>
      <c r="F748" s="18" t="n">
        <f aca="false">Vendor_Invoices_AP!E745</f>
        <v>1413.3</v>
      </c>
      <c r="G748" s="18" t="n">
        <f aca="false">SUMIFS(Payment_Log_AP!$E$2:$E$753,Payment_Log_AP!$B$2:$B$753,A748)</f>
        <v>1413.3</v>
      </c>
      <c r="H748" s="18" t="n">
        <f aca="false">F748-G748</f>
        <v>0</v>
      </c>
      <c r="I748" s="16" t="n">
        <f aca="false">IF(H748&lt;=0.01,0,MAX(Assumptions!$B$5-E748,0))</f>
        <v>0</v>
      </c>
      <c r="J748" s="16" t="str">
        <f aca="false">IF(H748&lt;=0.01,"Paid",IF(I748&lt;=30,"0-30",IF(I748&lt;=60,"31-60",IF(I748&lt;=90,"61-90","90+"))))</f>
        <v>Paid</v>
      </c>
      <c r="K748" s="16" t="str">
        <f aca="false">IF(H748&lt;=0.01,"Paid",IF(G748&gt;0,"Partially Paid","Unpaid"))</f>
        <v>Paid</v>
      </c>
    </row>
    <row r="749" customFormat="false" ht="15" hidden="false" customHeight="false" outlineLevel="0" collapsed="false">
      <c r="A749" s="16" t="str">
        <f aca="false">Vendor_Invoices_AP!A746</f>
        <v>INV30745</v>
      </c>
      <c r="B749" s="16" t="str">
        <f aca="false">Vendor_Invoices_AP!C746</f>
        <v>V1035</v>
      </c>
      <c r="C749" s="16" t="str">
        <f aca="false">IFERROR(INDEX(Vendor_Master!$B$2:$B$41,MATCH(B749,Vendor_Master!$A$2:$A$41,0)),"Unknown Vendor")</f>
        <v>Allen PLC</v>
      </c>
      <c r="D749" s="17" t="n">
        <f aca="false">Vendor_Invoices_AP!D746</f>
        <v>45901</v>
      </c>
      <c r="E749" s="17" t="n">
        <f aca="false">Vendor_Invoices_AP!F746</f>
        <v>45916</v>
      </c>
      <c r="F749" s="18" t="n">
        <f aca="false">Vendor_Invoices_AP!E746</f>
        <v>9255.12</v>
      </c>
      <c r="G749" s="18" t="n">
        <f aca="false">SUMIFS(Payment_Log_AP!$E$2:$E$753,Payment_Log_AP!$B$2:$B$753,A749)</f>
        <v>9255.12</v>
      </c>
      <c r="H749" s="18" t="n">
        <f aca="false">F749-G749</f>
        <v>0</v>
      </c>
      <c r="I749" s="16" t="n">
        <f aca="false">IF(H749&lt;=0.01,0,MAX(Assumptions!$B$5-E749,0))</f>
        <v>0</v>
      </c>
      <c r="J749" s="16" t="str">
        <f aca="false">IF(H749&lt;=0.01,"Paid",IF(I749&lt;=30,"0-30",IF(I749&lt;=60,"31-60",IF(I749&lt;=90,"61-90","90+"))))</f>
        <v>Paid</v>
      </c>
      <c r="K749" s="16" t="str">
        <f aca="false">IF(H749&lt;=0.01,"Paid",IF(G749&gt;0,"Partially Paid","Unpaid"))</f>
        <v>Paid</v>
      </c>
    </row>
    <row r="750" customFormat="false" ht="15" hidden="false" customHeight="false" outlineLevel="0" collapsed="false">
      <c r="A750" s="16" t="str">
        <f aca="false">Vendor_Invoices_AP!A747</f>
        <v>INV30746</v>
      </c>
      <c r="B750" s="16" t="str">
        <f aca="false">Vendor_Invoices_AP!C747</f>
        <v>V1030</v>
      </c>
      <c r="C750" s="16" t="str">
        <f aca="false">IFERROR(INDEX(Vendor_Master!$B$2:$B$41,MATCH(B750,Vendor_Master!$A$2:$A$41,0)),"Unknown Vendor")</f>
        <v>Stanton-Gill</v>
      </c>
      <c r="D750" s="17" t="n">
        <f aca="false">Vendor_Invoices_AP!D747</f>
        <v>46055</v>
      </c>
      <c r="E750" s="17" t="n">
        <f aca="false">Vendor_Invoices_AP!F747</f>
        <v>46115</v>
      </c>
      <c r="F750" s="18" t="n">
        <f aca="false">Vendor_Invoices_AP!E747</f>
        <v>363.94</v>
      </c>
      <c r="G750" s="18" t="n">
        <f aca="false">SUMIFS(Payment_Log_AP!$E$2:$E$753,Payment_Log_AP!$B$2:$B$753,A750)</f>
        <v>363.94</v>
      </c>
      <c r="H750" s="18" t="n">
        <f aca="false">F750-G750</f>
        <v>0</v>
      </c>
      <c r="I750" s="16" t="n">
        <f aca="false">IF(H750&lt;=0.01,0,MAX(Assumptions!$B$5-E750,0))</f>
        <v>0</v>
      </c>
      <c r="J750" s="16" t="str">
        <f aca="false">IF(H750&lt;=0.01,"Paid",IF(I750&lt;=30,"0-30",IF(I750&lt;=60,"31-60",IF(I750&lt;=90,"61-90","90+"))))</f>
        <v>Paid</v>
      </c>
      <c r="K750" s="16" t="str">
        <f aca="false">IF(H750&lt;=0.01,"Paid",IF(G750&gt;0,"Partially Paid","Unpaid"))</f>
        <v>Paid</v>
      </c>
    </row>
    <row r="751" customFormat="false" ht="15" hidden="false" customHeight="false" outlineLevel="0" collapsed="false">
      <c r="A751" s="16" t="str">
        <f aca="false">Vendor_Invoices_AP!A748</f>
        <v>INV30747</v>
      </c>
      <c r="B751" s="16" t="str">
        <f aca="false">Vendor_Invoices_AP!C748</f>
        <v>V1009</v>
      </c>
      <c r="C751" s="16" t="str">
        <f aca="false">IFERROR(INDEX(Vendor_Master!$B$2:$B$41,MATCH(B751,Vendor_Master!$A$2:$A$41,0)),"Unknown Vendor")</f>
        <v>Munoz-Roman</v>
      </c>
      <c r="D751" s="17" t="n">
        <f aca="false">Vendor_Invoices_AP!D748</f>
        <v>45928</v>
      </c>
      <c r="E751" s="17" t="n">
        <f aca="false">Vendor_Invoices_AP!F748</f>
        <v>45958</v>
      </c>
      <c r="F751" s="18" t="n">
        <f aca="false">Vendor_Invoices_AP!E748</f>
        <v>12071.44</v>
      </c>
      <c r="G751" s="18" t="n">
        <f aca="false">SUMIFS(Payment_Log_AP!$E$2:$E$753,Payment_Log_AP!$B$2:$B$753,A751)</f>
        <v>12071.44</v>
      </c>
      <c r="H751" s="18" t="n">
        <f aca="false">F751-G751</f>
        <v>0</v>
      </c>
      <c r="I751" s="16" t="n">
        <f aca="false">IF(H751&lt;=0.01,0,MAX(Assumptions!$B$5-E751,0))</f>
        <v>0</v>
      </c>
      <c r="J751" s="16" t="str">
        <f aca="false">IF(H751&lt;=0.01,"Paid",IF(I751&lt;=30,"0-30",IF(I751&lt;=60,"31-60",IF(I751&lt;=90,"61-90","90+"))))</f>
        <v>Paid</v>
      </c>
      <c r="K751" s="16" t="str">
        <f aca="false">IF(H751&lt;=0.01,"Paid",IF(G751&gt;0,"Partially Paid","Unpaid"))</f>
        <v>Paid</v>
      </c>
    </row>
    <row r="752" customFormat="false" ht="15" hidden="false" customHeight="false" outlineLevel="0" collapsed="false">
      <c r="A752" s="16" t="str">
        <f aca="false">Vendor_Invoices_AP!A749</f>
        <v>INV30748</v>
      </c>
      <c r="B752" s="16" t="str">
        <f aca="false">Vendor_Invoices_AP!C749</f>
        <v>V1006</v>
      </c>
      <c r="C752" s="16" t="str">
        <f aca="false">IFERROR(INDEX(Vendor_Master!$B$2:$B$41,MATCH(B752,Vendor_Master!$A$2:$A$41,0)),"Unknown Vendor")</f>
        <v>Blake and Sons</v>
      </c>
      <c r="D752" s="17" t="n">
        <f aca="false">Vendor_Invoices_AP!D749</f>
        <v>46164</v>
      </c>
      <c r="E752" s="17" t="n">
        <f aca="false">Vendor_Invoices_AP!F749</f>
        <v>46224</v>
      </c>
      <c r="F752" s="18" t="n">
        <f aca="false">Vendor_Invoices_AP!E749</f>
        <v>345.86</v>
      </c>
      <c r="G752" s="18" t="n">
        <f aca="false">SUMIFS(Payment_Log_AP!$E$2:$E$753,Payment_Log_AP!$B$2:$B$753,A752)</f>
        <v>691.72</v>
      </c>
      <c r="H752" s="18" t="n">
        <f aca="false">F752-G752</f>
        <v>-345.86</v>
      </c>
      <c r="I752" s="16" t="n">
        <f aca="false">IF(H752&lt;=0.01,0,MAX(Assumptions!$B$5-E752,0))</f>
        <v>0</v>
      </c>
      <c r="J752" s="16" t="str">
        <f aca="false">IF(H752&lt;=0.01,"Paid",IF(I752&lt;=30,"0-30",IF(I752&lt;=60,"31-60",IF(I752&lt;=90,"61-90","90+"))))</f>
        <v>Paid</v>
      </c>
      <c r="K752" s="16" t="str">
        <f aca="false">IF(H752&lt;=0.01,"Paid",IF(G752&gt;0,"Partially Paid","Unpaid"))</f>
        <v>Paid</v>
      </c>
    </row>
    <row r="753" customFormat="false" ht="15" hidden="false" customHeight="false" outlineLevel="0" collapsed="false">
      <c r="A753" s="16" t="str">
        <f aca="false">Vendor_Invoices_AP!A750</f>
        <v>INV30749</v>
      </c>
      <c r="B753" s="16" t="str">
        <f aca="false">Vendor_Invoices_AP!C750</f>
        <v>V1039</v>
      </c>
      <c r="C753" s="16" t="str">
        <f aca="false">IFERROR(INDEX(Vendor_Master!$B$2:$B$41,MATCH(B753,Vendor_Master!$A$2:$A$41,0)),"Unknown Vendor")</f>
        <v>Campos, Vaughn and Marquez</v>
      </c>
      <c r="D753" s="17" t="n">
        <f aca="false">Vendor_Invoices_AP!D750</f>
        <v>45711</v>
      </c>
      <c r="E753" s="17" t="n">
        <f aca="false">Vendor_Invoices_AP!F750</f>
        <v>45741</v>
      </c>
      <c r="F753" s="18" t="n">
        <f aca="false">Vendor_Invoices_AP!E750</f>
        <v>146.21</v>
      </c>
      <c r="G753" s="18" t="n">
        <f aca="false">SUMIFS(Payment_Log_AP!$E$2:$E$753,Payment_Log_AP!$B$2:$B$753,A753)</f>
        <v>146.21</v>
      </c>
      <c r="H753" s="18" t="n">
        <f aca="false">F753-G753</f>
        <v>0</v>
      </c>
      <c r="I753" s="16" t="n">
        <f aca="false">IF(H753&lt;=0.01,0,MAX(Assumptions!$B$5-E753,0))</f>
        <v>0</v>
      </c>
      <c r="J753" s="16" t="str">
        <f aca="false">IF(H753&lt;=0.01,"Paid",IF(I753&lt;=30,"0-30",IF(I753&lt;=60,"31-60",IF(I753&lt;=90,"61-90","90+"))))</f>
        <v>Paid</v>
      </c>
      <c r="K753" s="16" t="str">
        <f aca="false">IF(H753&lt;=0.01,"Paid",IF(G753&gt;0,"Partially Paid","Unpaid"))</f>
        <v>Paid</v>
      </c>
    </row>
    <row r="754" customFormat="false" ht="15" hidden="false" customHeight="false" outlineLevel="0" collapsed="false">
      <c r="A754" s="16" t="str">
        <f aca="false">Vendor_Invoices_AP!A751</f>
        <v>INV30750</v>
      </c>
      <c r="B754" s="16" t="str">
        <f aca="false">Vendor_Invoices_AP!C751</f>
        <v>V1015</v>
      </c>
      <c r="C754" s="16" t="str">
        <f aca="false">IFERROR(INDEX(Vendor_Master!$B$2:$B$41,MATCH(B754,Vendor_Master!$A$2:$A$41,0)),"Unknown Vendor")</f>
        <v>Zuniga, Wong and Lynch</v>
      </c>
      <c r="D754" s="17" t="n">
        <f aca="false">Vendor_Invoices_AP!D751</f>
        <v>45724</v>
      </c>
      <c r="E754" s="17" t="n">
        <f aca="false">Vendor_Invoices_AP!F751</f>
        <v>45754</v>
      </c>
      <c r="F754" s="18" t="n">
        <f aca="false">Vendor_Invoices_AP!E751</f>
        <v>2671.57</v>
      </c>
      <c r="G754" s="18" t="n">
        <f aca="false">SUMIFS(Payment_Log_AP!$E$2:$E$753,Payment_Log_AP!$B$2:$B$753,A754)</f>
        <v>2671.57</v>
      </c>
      <c r="H754" s="18" t="n">
        <f aca="false">F754-G754</f>
        <v>0</v>
      </c>
      <c r="I754" s="16" t="n">
        <f aca="false">IF(H754&lt;=0.01,0,MAX(Assumptions!$B$5-E754,0))</f>
        <v>0</v>
      </c>
      <c r="J754" s="16" t="str">
        <f aca="false">IF(H754&lt;=0.01,"Paid",IF(I754&lt;=30,"0-30",IF(I754&lt;=60,"31-60",IF(I754&lt;=90,"61-90","90+"))))</f>
        <v>Paid</v>
      </c>
      <c r="K754" s="16" t="str">
        <f aca="false">IF(H754&lt;=0.01,"Paid",IF(G754&gt;0,"Partially Paid","Unpaid"))</f>
        <v>Paid</v>
      </c>
    </row>
    <row r="755" customFormat="false" ht="15" hidden="false" customHeight="false" outlineLevel="0" collapsed="false">
      <c r="A755" s="16" t="str">
        <f aca="false">Vendor_Invoices_AP!A752</f>
        <v>INV30751</v>
      </c>
      <c r="B755" s="16" t="str">
        <f aca="false">Vendor_Invoices_AP!C752</f>
        <v>V1021</v>
      </c>
      <c r="C755" s="16" t="str">
        <f aca="false">IFERROR(INDEX(Vendor_Master!$B$2:$B$41,MATCH(B755,Vendor_Master!$A$2:$A$41,0)),"Unknown Vendor")</f>
        <v>Ellis, Baker and Wright</v>
      </c>
      <c r="D755" s="17" t="n">
        <f aca="false">Vendor_Invoices_AP!D752</f>
        <v>45999</v>
      </c>
      <c r="E755" s="17" t="n">
        <f aca="false">Vendor_Invoices_AP!F752</f>
        <v>46029</v>
      </c>
      <c r="F755" s="18" t="n">
        <f aca="false">Vendor_Invoices_AP!E752</f>
        <v>1652.24</v>
      </c>
      <c r="G755" s="18" t="n">
        <f aca="false">SUMIFS(Payment_Log_AP!$E$2:$E$753,Payment_Log_AP!$B$2:$B$753,A755)</f>
        <v>1652.24</v>
      </c>
      <c r="H755" s="18" t="n">
        <f aca="false">F755-G755</f>
        <v>0</v>
      </c>
      <c r="I755" s="16" t="n">
        <f aca="false">IF(H755&lt;=0.01,0,MAX(Assumptions!$B$5-E755,0))</f>
        <v>0</v>
      </c>
      <c r="J755" s="16" t="str">
        <f aca="false">IF(H755&lt;=0.01,"Paid",IF(I755&lt;=30,"0-30",IF(I755&lt;=60,"31-60",IF(I755&lt;=90,"61-90","90+"))))</f>
        <v>Paid</v>
      </c>
      <c r="K755" s="16" t="str">
        <f aca="false">IF(H755&lt;=0.01,"Paid",IF(G755&gt;0,"Partially Paid","Unpaid"))</f>
        <v>Paid</v>
      </c>
    </row>
    <row r="756" customFormat="false" ht="15" hidden="false" customHeight="false" outlineLevel="0" collapsed="false">
      <c r="A756" s="16" t="str">
        <f aca="false">Vendor_Invoices_AP!A753</f>
        <v>INV30752</v>
      </c>
      <c r="B756" s="16" t="str">
        <f aca="false">Vendor_Invoices_AP!C753</f>
        <v>V1006</v>
      </c>
      <c r="C756" s="16" t="str">
        <f aca="false">IFERROR(INDEX(Vendor_Master!$B$2:$B$41,MATCH(B756,Vendor_Master!$A$2:$A$41,0)),"Unknown Vendor")</f>
        <v>Blake and Sons</v>
      </c>
      <c r="D756" s="17" t="n">
        <f aca="false">Vendor_Invoices_AP!D753</f>
        <v>45709</v>
      </c>
      <c r="E756" s="17" t="n">
        <f aca="false">Vendor_Invoices_AP!F753</f>
        <v>45769</v>
      </c>
      <c r="F756" s="18" t="n">
        <f aca="false">Vendor_Invoices_AP!E753</f>
        <v>2766.5</v>
      </c>
      <c r="G756" s="18" t="n">
        <f aca="false">SUMIFS(Payment_Log_AP!$E$2:$E$753,Payment_Log_AP!$B$2:$B$753,A756)</f>
        <v>2766.5</v>
      </c>
      <c r="H756" s="18" t="n">
        <f aca="false">F756-G756</f>
        <v>0</v>
      </c>
      <c r="I756" s="16" t="n">
        <f aca="false">IF(H756&lt;=0.01,0,MAX(Assumptions!$B$5-E756,0))</f>
        <v>0</v>
      </c>
      <c r="J756" s="16" t="str">
        <f aca="false">IF(H756&lt;=0.01,"Paid",IF(I756&lt;=30,"0-30",IF(I756&lt;=60,"31-60",IF(I756&lt;=90,"61-90","90+"))))</f>
        <v>Paid</v>
      </c>
      <c r="K756" s="16" t="str">
        <f aca="false">IF(H756&lt;=0.01,"Paid",IF(G756&gt;0,"Partially Paid","Unpaid"))</f>
        <v>Paid</v>
      </c>
    </row>
    <row r="757" customFormat="false" ht="15" hidden="false" customHeight="false" outlineLevel="0" collapsed="false">
      <c r="A757" s="16" t="str">
        <f aca="false">Vendor_Invoices_AP!A754</f>
        <v>INV30753</v>
      </c>
      <c r="B757" s="16" t="str">
        <f aca="false">Vendor_Invoices_AP!C754</f>
        <v>V1029</v>
      </c>
      <c r="C757" s="16" t="str">
        <f aca="false">IFERROR(INDEX(Vendor_Master!$B$2:$B$41,MATCH(B757,Vendor_Master!$A$2:$A$41,0)),"Unknown Vendor")</f>
        <v>Chavez Ltd</v>
      </c>
      <c r="D757" s="17" t="n">
        <f aca="false">Vendor_Invoices_AP!D754</f>
        <v>45825</v>
      </c>
      <c r="E757" s="17" t="n">
        <f aca="false">Vendor_Invoices_AP!F754</f>
        <v>45885</v>
      </c>
      <c r="F757" s="18" t="n">
        <f aca="false">Vendor_Invoices_AP!E754</f>
        <v>5537.55</v>
      </c>
      <c r="G757" s="18" t="n">
        <f aca="false">SUMIFS(Payment_Log_AP!$E$2:$E$753,Payment_Log_AP!$B$2:$B$753,A757)</f>
        <v>5537.55</v>
      </c>
      <c r="H757" s="18" t="n">
        <f aca="false">F757-G757</f>
        <v>0</v>
      </c>
      <c r="I757" s="16" t="n">
        <f aca="false">IF(H757&lt;=0.01,0,MAX(Assumptions!$B$5-E757,0))</f>
        <v>0</v>
      </c>
      <c r="J757" s="16" t="str">
        <f aca="false">IF(H757&lt;=0.01,"Paid",IF(I757&lt;=30,"0-30",IF(I757&lt;=60,"31-60",IF(I757&lt;=90,"61-90","90+"))))</f>
        <v>Paid</v>
      </c>
      <c r="K757" s="16" t="str">
        <f aca="false">IF(H757&lt;=0.01,"Paid",IF(G757&gt;0,"Partially Paid","Unpaid"))</f>
        <v>Paid</v>
      </c>
    </row>
    <row r="758" customFormat="false" ht="15" hidden="false" customHeight="false" outlineLevel="0" collapsed="false">
      <c r="A758" s="16" t="str">
        <f aca="false">Vendor_Invoices_AP!A755</f>
        <v>INV30754</v>
      </c>
      <c r="B758" s="16" t="str">
        <f aca="false">Vendor_Invoices_AP!C755</f>
        <v>V1031</v>
      </c>
      <c r="C758" s="16" t="str">
        <f aca="false">IFERROR(INDEX(Vendor_Master!$B$2:$B$41,MATCH(B758,Vendor_Master!$A$2:$A$41,0)),"Unknown Vendor")</f>
        <v>Harrell LLC</v>
      </c>
      <c r="D758" s="17" t="n">
        <f aca="false">Vendor_Invoices_AP!D755</f>
        <v>46024</v>
      </c>
      <c r="E758" s="17" t="n">
        <f aca="false">Vendor_Invoices_AP!F755</f>
        <v>46039</v>
      </c>
      <c r="F758" s="18" t="n">
        <f aca="false">Vendor_Invoices_AP!E755</f>
        <v>4823.29</v>
      </c>
      <c r="G758" s="18" t="n">
        <f aca="false">SUMIFS(Payment_Log_AP!$E$2:$E$753,Payment_Log_AP!$B$2:$B$753,A758)</f>
        <v>4823.29</v>
      </c>
      <c r="H758" s="18" t="n">
        <f aca="false">F758-G758</f>
        <v>0</v>
      </c>
      <c r="I758" s="16" t="n">
        <f aca="false">IF(H758&lt;=0.01,0,MAX(Assumptions!$B$5-E758,0))</f>
        <v>0</v>
      </c>
      <c r="J758" s="16" t="str">
        <f aca="false">IF(H758&lt;=0.01,"Paid",IF(I758&lt;=30,"0-30",IF(I758&lt;=60,"31-60",IF(I758&lt;=90,"61-90","90+"))))</f>
        <v>Paid</v>
      </c>
      <c r="K758" s="16" t="str">
        <f aca="false">IF(H758&lt;=0.01,"Paid",IF(G758&gt;0,"Partially Paid","Unpaid"))</f>
        <v>Paid</v>
      </c>
    </row>
    <row r="759" customFormat="false" ht="15" hidden="false" customHeight="false" outlineLevel="0" collapsed="false">
      <c r="A759" s="16" t="str">
        <f aca="false">Vendor_Invoices_AP!A756</f>
        <v>INV30755</v>
      </c>
      <c r="B759" s="16" t="str">
        <f aca="false">Vendor_Invoices_AP!C756</f>
        <v>V1013</v>
      </c>
      <c r="C759" s="16" t="str">
        <f aca="false">IFERROR(INDEX(Vendor_Master!$B$2:$B$41,MATCH(B759,Vendor_Master!$A$2:$A$41,0)),"Unknown Vendor")</f>
        <v>Delacruz Group</v>
      </c>
      <c r="D759" s="17" t="n">
        <f aca="false">Vendor_Invoices_AP!D756</f>
        <v>45979</v>
      </c>
      <c r="E759" s="17" t="n">
        <f aca="false">Vendor_Invoices_AP!F756</f>
        <v>45994</v>
      </c>
      <c r="F759" s="18" t="n">
        <f aca="false">Vendor_Invoices_AP!E756</f>
        <v>2004.87</v>
      </c>
      <c r="G759" s="18" t="n">
        <f aca="false">SUMIFS(Payment_Log_AP!$E$2:$E$753,Payment_Log_AP!$B$2:$B$753,A759)</f>
        <v>2004.87</v>
      </c>
      <c r="H759" s="18" t="n">
        <f aca="false">F759-G759</f>
        <v>0</v>
      </c>
      <c r="I759" s="16" t="n">
        <f aca="false">IF(H759&lt;=0.01,0,MAX(Assumptions!$B$5-E759,0))</f>
        <v>0</v>
      </c>
      <c r="J759" s="16" t="str">
        <f aca="false">IF(H759&lt;=0.01,"Paid",IF(I759&lt;=30,"0-30",IF(I759&lt;=60,"31-60",IF(I759&lt;=90,"61-90","90+"))))</f>
        <v>Paid</v>
      </c>
      <c r="K759" s="16" t="str">
        <f aca="false">IF(H759&lt;=0.01,"Paid",IF(G759&gt;0,"Partially Paid","Unpaid"))</f>
        <v>Paid</v>
      </c>
    </row>
    <row r="760" customFormat="false" ht="15" hidden="false" customHeight="false" outlineLevel="0" collapsed="false">
      <c r="A760" s="16" t="str">
        <f aca="false">Vendor_Invoices_AP!A757</f>
        <v>INV30756</v>
      </c>
      <c r="B760" s="16" t="str">
        <f aca="false">Vendor_Invoices_AP!C757</f>
        <v>V1023</v>
      </c>
      <c r="C760" s="16" t="str">
        <f aca="false">IFERROR(INDEX(Vendor_Master!$B$2:$B$41,MATCH(B760,Vendor_Master!$A$2:$A$41,0)),"Unknown Vendor")</f>
        <v>Robinson-Bright</v>
      </c>
      <c r="D760" s="17" t="n">
        <f aca="false">Vendor_Invoices_AP!D757</f>
        <v>45850</v>
      </c>
      <c r="E760" s="17" t="n">
        <f aca="false">Vendor_Invoices_AP!F757</f>
        <v>45880</v>
      </c>
      <c r="F760" s="18" t="n">
        <f aca="false">Vendor_Invoices_AP!E757</f>
        <v>368.64</v>
      </c>
      <c r="G760" s="18" t="n">
        <f aca="false">SUMIFS(Payment_Log_AP!$E$2:$E$753,Payment_Log_AP!$B$2:$B$753,A760)</f>
        <v>368.64</v>
      </c>
      <c r="H760" s="18" t="n">
        <f aca="false">F760-G760</f>
        <v>0</v>
      </c>
      <c r="I760" s="16" t="n">
        <f aca="false">IF(H760&lt;=0.01,0,MAX(Assumptions!$B$5-E760,0))</f>
        <v>0</v>
      </c>
      <c r="J760" s="16" t="str">
        <f aca="false">IF(H760&lt;=0.01,"Paid",IF(I760&lt;=30,"0-30",IF(I760&lt;=60,"31-60",IF(I760&lt;=90,"61-90","90+"))))</f>
        <v>Paid</v>
      </c>
      <c r="K760" s="16" t="str">
        <f aca="false">IF(H760&lt;=0.01,"Paid",IF(G760&gt;0,"Partially Paid","Unpaid"))</f>
        <v>Paid</v>
      </c>
    </row>
    <row r="761" customFormat="false" ht="15" hidden="false" customHeight="false" outlineLevel="0" collapsed="false">
      <c r="A761" s="16" t="str">
        <f aca="false">Vendor_Invoices_AP!A758</f>
        <v>INV30757</v>
      </c>
      <c r="B761" s="16" t="str">
        <f aca="false">Vendor_Invoices_AP!C758</f>
        <v>V1033</v>
      </c>
      <c r="C761" s="16" t="str">
        <f aca="false">IFERROR(INDEX(Vendor_Master!$B$2:$B$41,MATCH(B761,Vendor_Master!$A$2:$A$41,0)),"Unknown Vendor")</f>
        <v>Sellers, George and Burns</v>
      </c>
      <c r="D761" s="17" t="n">
        <f aca="false">Vendor_Invoices_AP!D758</f>
        <v>46211</v>
      </c>
      <c r="E761" s="17" t="n">
        <f aca="false">Vendor_Invoices_AP!F758</f>
        <v>46271</v>
      </c>
      <c r="F761" s="18" t="n">
        <f aca="false">Vendor_Invoices_AP!E758</f>
        <v>687.31</v>
      </c>
      <c r="G761" s="18" t="n">
        <f aca="false">SUMIFS(Payment_Log_AP!$E$2:$E$753,Payment_Log_AP!$B$2:$B$753,A761)</f>
        <v>0</v>
      </c>
      <c r="H761" s="18" t="n">
        <f aca="false">F761-G761</f>
        <v>687.31</v>
      </c>
      <c r="I761" s="16" t="n">
        <f aca="false">IF(H761&lt;=0.01,0,MAX(Assumptions!$B$5-E761,0))</f>
        <v>0</v>
      </c>
      <c r="J761" s="16" t="str">
        <f aca="false">IF(H761&lt;=0.01,"Paid",IF(I761&lt;=30,"0-30",IF(I761&lt;=60,"31-60",IF(I761&lt;=90,"61-90","90+"))))</f>
        <v>0-30</v>
      </c>
      <c r="K761" s="16" t="str">
        <f aca="false">IF(H761&lt;=0.01,"Paid",IF(G761&gt;0,"Partially Paid","Unpaid"))</f>
        <v>Unpaid</v>
      </c>
    </row>
    <row r="762" customFormat="false" ht="15" hidden="false" customHeight="false" outlineLevel="0" collapsed="false">
      <c r="A762" s="16" t="str">
        <f aca="false">Vendor_Invoices_AP!A759</f>
        <v>INV30758</v>
      </c>
      <c r="B762" s="16" t="str">
        <f aca="false">Vendor_Invoices_AP!C759</f>
        <v>V1011</v>
      </c>
      <c r="C762" s="16" t="str">
        <f aca="false">IFERROR(INDEX(Vendor_Master!$B$2:$B$41,MATCH(B762,Vendor_Master!$A$2:$A$41,0)),"Unknown Vendor")</f>
        <v>Montgomery, Hensley and Ray</v>
      </c>
      <c r="D762" s="17" t="n">
        <f aca="false">Vendor_Invoices_AP!D759</f>
        <v>45963</v>
      </c>
      <c r="E762" s="17" t="n">
        <f aca="false">Vendor_Invoices_AP!F759</f>
        <v>46008</v>
      </c>
      <c r="F762" s="18" t="n">
        <f aca="false">Vendor_Invoices_AP!E759</f>
        <v>18808.64</v>
      </c>
      <c r="G762" s="18" t="n">
        <f aca="false">SUMIFS(Payment_Log_AP!$E$2:$E$753,Payment_Log_AP!$B$2:$B$753,A762)</f>
        <v>18808.64</v>
      </c>
      <c r="H762" s="18" t="n">
        <f aca="false">F762-G762</f>
        <v>0</v>
      </c>
      <c r="I762" s="16" t="n">
        <f aca="false">IF(H762&lt;=0.01,0,MAX(Assumptions!$B$5-E762,0))</f>
        <v>0</v>
      </c>
      <c r="J762" s="16" t="str">
        <f aca="false">IF(H762&lt;=0.01,"Paid",IF(I762&lt;=30,"0-30",IF(I762&lt;=60,"31-60",IF(I762&lt;=90,"61-90","90+"))))</f>
        <v>Paid</v>
      </c>
      <c r="K762" s="16" t="str">
        <f aca="false">IF(H762&lt;=0.01,"Paid",IF(G762&gt;0,"Partially Paid","Unpaid"))</f>
        <v>Paid</v>
      </c>
    </row>
    <row r="763" customFormat="false" ht="15" hidden="false" customHeight="false" outlineLevel="0" collapsed="false">
      <c r="A763" s="16" t="str">
        <f aca="false">Vendor_Invoices_AP!A760</f>
        <v>INV30759</v>
      </c>
      <c r="B763" s="16" t="str">
        <f aca="false">Vendor_Invoices_AP!C760</f>
        <v>V1003</v>
      </c>
      <c r="C763" s="16" t="str">
        <f aca="false">IFERROR(INDEX(Vendor_Master!$B$2:$B$41,MATCH(B763,Vendor_Master!$A$2:$A$41,0)),"Unknown Vendor")</f>
        <v>Johnson and Sons</v>
      </c>
      <c r="D763" s="17" t="n">
        <f aca="false">Vendor_Invoices_AP!D760</f>
        <v>45930</v>
      </c>
      <c r="E763" s="17" t="n">
        <f aca="false">Vendor_Invoices_AP!F760</f>
        <v>45945</v>
      </c>
      <c r="F763" s="18" t="n">
        <f aca="false">Vendor_Invoices_AP!E760</f>
        <v>2123.75</v>
      </c>
      <c r="G763" s="18" t="n">
        <f aca="false">SUMIFS(Payment_Log_AP!$E$2:$E$753,Payment_Log_AP!$B$2:$B$753,A763)</f>
        <v>2123.75</v>
      </c>
      <c r="H763" s="18" t="n">
        <f aca="false">F763-G763</f>
        <v>0</v>
      </c>
      <c r="I763" s="16" t="n">
        <f aca="false">IF(H763&lt;=0.01,0,MAX(Assumptions!$B$5-E763,0))</f>
        <v>0</v>
      </c>
      <c r="J763" s="16" t="str">
        <f aca="false">IF(H763&lt;=0.01,"Paid",IF(I763&lt;=30,"0-30",IF(I763&lt;=60,"31-60",IF(I763&lt;=90,"61-90","90+"))))</f>
        <v>Paid</v>
      </c>
      <c r="K763" s="16" t="str">
        <f aca="false">IF(H763&lt;=0.01,"Paid",IF(G763&gt;0,"Partially Paid","Unpaid"))</f>
        <v>Paid</v>
      </c>
    </row>
    <row r="764" customFormat="false" ht="15" hidden="false" customHeight="false" outlineLevel="0" collapsed="false">
      <c r="A764" s="16" t="str">
        <f aca="false">Vendor_Invoices_AP!A761</f>
        <v>INV30760</v>
      </c>
      <c r="B764" s="16" t="str">
        <f aca="false">Vendor_Invoices_AP!C761</f>
        <v>V1010</v>
      </c>
      <c r="C764" s="16" t="str">
        <f aca="false">IFERROR(INDEX(Vendor_Master!$B$2:$B$41,MATCH(B764,Vendor_Master!$A$2:$A$41,0)),"Unknown Vendor")</f>
        <v>Martinez, Nielsen and Miller</v>
      </c>
      <c r="D764" s="17" t="n">
        <f aca="false">Vendor_Invoices_AP!D761</f>
        <v>46002</v>
      </c>
      <c r="E764" s="17" t="n">
        <f aca="false">Vendor_Invoices_AP!F761</f>
        <v>46017</v>
      </c>
      <c r="F764" s="18" t="n">
        <f aca="false">Vendor_Invoices_AP!E761</f>
        <v>2641.8</v>
      </c>
      <c r="G764" s="18" t="n">
        <f aca="false">SUMIFS(Payment_Log_AP!$E$2:$E$753,Payment_Log_AP!$B$2:$B$753,A764)</f>
        <v>2641.8</v>
      </c>
      <c r="H764" s="18" t="n">
        <f aca="false">F764-G764</f>
        <v>0</v>
      </c>
      <c r="I764" s="16" t="n">
        <f aca="false">IF(H764&lt;=0.01,0,MAX(Assumptions!$B$5-E764,0))</f>
        <v>0</v>
      </c>
      <c r="J764" s="16" t="str">
        <f aca="false">IF(H764&lt;=0.01,"Paid",IF(I764&lt;=30,"0-30",IF(I764&lt;=60,"31-60",IF(I764&lt;=90,"61-90","90+"))))</f>
        <v>Paid</v>
      </c>
      <c r="K764" s="16" t="str">
        <f aca="false">IF(H764&lt;=0.01,"Paid",IF(G764&gt;0,"Partially Paid","Unpaid"))</f>
        <v>Paid</v>
      </c>
    </row>
    <row r="765" customFormat="false" ht="15" hidden="false" customHeight="false" outlineLevel="0" collapsed="false">
      <c r="A765" s="16" t="str">
        <f aca="false">Vendor_Invoices_AP!A762</f>
        <v>INV30761</v>
      </c>
      <c r="B765" s="16" t="str">
        <f aca="false">Vendor_Invoices_AP!C762</f>
        <v>V1015</v>
      </c>
      <c r="C765" s="16" t="str">
        <f aca="false">IFERROR(INDEX(Vendor_Master!$B$2:$B$41,MATCH(B765,Vendor_Master!$A$2:$A$41,0)),"Unknown Vendor")</f>
        <v>Zuniga, Wong and Lynch</v>
      </c>
      <c r="D765" s="17" t="n">
        <f aca="false">Vendor_Invoices_AP!D762</f>
        <v>45737</v>
      </c>
      <c r="E765" s="17" t="n">
        <f aca="false">Vendor_Invoices_AP!F762</f>
        <v>45767</v>
      </c>
      <c r="F765" s="18" t="n">
        <f aca="false">Vendor_Invoices_AP!E762</f>
        <v>2661.22</v>
      </c>
      <c r="G765" s="18" t="n">
        <f aca="false">SUMIFS(Payment_Log_AP!$E$2:$E$753,Payment_Log_AP!$B$2:$B$753,A765)</f>
        <v>2661.22</v>
      </c>
      <c r="H765" s="18" t="n">
        <f aca="false">F765-G765</f>
        <v>0</v>
      </c>
      <c r="I765" s="16" t="n">
        <f aca="false">IF(H765&lt;=0.01,0,MAX(Assumptions!$B$5-E765,0))</f>
        <v>0</v>
      </c>
      <c r="J765" s="16" t="str">
        <f aca="false">IF(H765&lt;=0.01,"Paid",IF(I765&lt;=30,"0-30",IF(I765&lt;=60,"31-60",IF(I765&lt;=90,"61-90","90+"))))</f>
        <v>Paid</v>
      </c>
      <c r="K765" s="16" t="str">
        <f aca="false">IF(H765&lt;=0.01,"Paid",IF(G765&gt;0,"Partially Paid","Unpaid"))</f>
        <v>Paid</v>
      </c>
    </row>
    <row r="766" customFormat="false" ht="15" hidden="false" customHeight="false" outlineLevel="0" collapsed="false">
      <c r="A766" s="16" t="str">
        <f aca="false">Vendor_Invoices_AP!A763</f>
        <v>INV30762</v>
      </c>
      <c r="B766" s="16" t="str">
        <f aca="false">Vendor_Invoices_AP!C763</f>
        <v>V1022</v>
      </c>
      <c r="C766" s="16" t="str">
        <f aca="false">IFERROR(INDEX(Vendor_Master!$B$2:$B$41,MATCH(B766,Vendor_Master!$A$2:$A$41,0)),"Unknown Vendor")</f>
        <v>Burgess-Patterson</v>
      </c>
      <c r="D766" s="17" t="n">
        <f aca="false">Vendor_Invoices_AP!D763</f>
        <v>46055</v>
      </c>
      <c r="E766" s="17" t="n">
        <f aca="false">Vendor_Invoices_AP!F763</f>
        <v>46085</v>
      </c>
      <c r="F766" s="18" t="n">
        <f aca="false">Vendor_Invoices_AP!E763</f>
        <v>2608</v>
      </c>
      <c r="G766" s="18" t="n">
        <f aca="false">SUMIFS(Payment_Log_AP!$E$2:$E$753,Payment_Log_AP!$B$2:$B$753,A766)</f>
        <v>2608</v>
      </c>
      <c r="H766" s="18" t="n">
        <f aca="false">F766-G766</f>
        <v>0</v>
      </c>
      <c r="I766" s="16" t="n">
        <f aca="false">IF(H766&lt;=0.01,0,MAX(Assumptions!$B$5-E766,0))</f>
        <v>0</v>
      </c>
      <c r="J766" s="16" t="str">
        <f aca="false">IF(H766&lt;=0.01,"Paid",IF(I766&lt;=30,"0-30",IF(I766&lt;=60,"31-60",IF(I766&lt;=90,"61-90","90+"))))</f>
        <v>Paid</v>
      </c>
      <c r="K766" s="16" t="str">
        <f aca="false">IF(H766&lt;=0.01,"Paid",IF(G766&gt;0,"Partially Paid","Unpaid"))</f>
        <v>Paid</v>
      </c>
    </row>
    <row r="767" customFormat="false" ht="15" hidden="false" customHeight="false" outlineLevel="0" collapsed="false">
      <c r="A767" s="16" t="str">
        <f aca="false">Vendor_Invoices_AP!A764</f>
        <v>INV30763</v>
      </c>
      <c r="B767" s="16" t="str">
        <f aca="false">Vendor_Invoices_AP!C764</f>
        <v>V1033</v>
      </c>
      <c r="C767" s="16" t="str">
        <f aca="false">IFERROR(INDEX(Vendor_Master!$B$2:$B$41,MATCH(B767,Vendor_Master!$A$2:$A$41,0)),"Unknown Vendor")</f>
        <v>Sellers, George and Burns</v>
      </c>
      <c r="D767" s="17" t="n">
        <f aca="false">Vendor_Invoices_AP!D764</f>
        <v>46126</v>
      </c>
      <c r="E767" s="17" t="n">
        <f aca="false">Vendor_Invoices_AP!F764</f>
        <v>46186</v>
      </c>
      <c r="F767" s="18" t="n">
        <f aca="false">Vendor_Invoices_AP!E764</f>
        <v>19774.14</v>
      </c>
      <c r="G767" s="18" t="n">
        <f aca="false">SUMIFS(Payment_Log_AP!$E$2:$E$753,Payment_Log_AP!$B$2:$B$753,A767)</f>
        <v>19774.14</v>
      </c>
      <c r="H767" s="18" t="n">
        <f aca="false">F767-G767</f>
        <v>0</v>
      </c>
      <c r="I767" s="16" t="n">
        <f aca="false">IF(H767&lt;=0.01,0,MAX(Assumptions!$B$5-E767,0))</f>
        <v>0</v>
      </c>
      <c r="J767" s="16" t="str">
        <f aca="false">IF(H767&lt;=0.01,"Paid",IF(I767&lt;=30,"0-30",IF(I767&lt;=60,"31-60",IF(I767&lt;=90,"61-90","90+"))))</f>
        <v>Paid</v>
      </c>
      <c r="K767" s="16" t="str">
        <f aca="false">IF(H767&lt;=0.01,"Paid",IF(G767&gt;0,"Partially Paid","Unpaid"))</f>
        <v>Paid</v>
      </c>
    </row>
    <row r="768" customFormat="false" ht="15" hidden="false" customHeight="false" outlineLevel="0" collapsed="false">
      <c r="A768" s="16" t="str">
        <f aca="false">Vendor_Invoices_AP!A765</f>
        <v>INV30764</v>
      </c>
      <c r="B768" s="16" t="str">
        <f aca="false">Vendor_Invoices_AP!C765</f>
        <v>V1018</v>
      </c>
      <c r="C768" s="16" t="str">
        <f aca="false">IFERROR(INDEX(Vendor_Master!$B$2:$B$41,MATCH(B768,Vendor_Master!$A$2:$A$41,0)),"Unknown Vendor")</f>
        <v>Underwood LLC</v>
      </c>
      <c r="D768" s="17" t="n">
        <f aca="false">Vendor_Invoices_AP!D765</f>
        <v>46030</v>
      </c>
      <c r="E768" s="17" t="n">
        <f aca="false">Vendor_Invoices_AP!F765</f>
        <v>46060</v>
      </c>
      <c r="F768" s="18" t="n">
        <f aca="false">Vendor_Invoices_AP!E765</f>
        <v>393.39</v>
      </c>
      <c r="G768" s="18" t="n">
        <f aca="false">SUMIFS(Payment_Log_AP!$E$2:$E$753,Payment_Log_AP!$B$2:$B$753,A768)</f>
        <v>393.39</v>
      </c>
      <c r="H768" s="18" t="n">
        <f aca="false">F768-G768</f>
        <v>0</v>
      </c>
      <c r="I768" s="16" t="n">
        <f aca="false">IF(H768&lt;=0.01,0,MAX(Assumptions!$B$5-E768,0))</f>
        <v>0</v>
      </c>
      <c r="J768" s="16" t="str">
        <f aca="false">IF(H768&lt;=0.01,"Paid",IF(I768&lt;=30,"0-30",IF(I768&lt;=60,"31-60",IF(I768&lt;=90,"61-90","90+"))))</f>
        <v>Paid</v>
      </c>
      <c r="K768" s="16" t="str">
        <f aca="false">IF(H768&lt;=0.01,"Paid",IF(G768&gt;0,"Partially Paid","Unpaid"))</f>
        <v>Paid</v>
      </c>
    </row>
    <row r="769" customFormat="false" ht="15" hidden="false" customHeight="false" outlineLevel="0" collapsed="false">
      <c r="A769" s="16" t="str">
        <f aca="false">Vendor_Invoices_AP!A766</f>
        <v>INV30765</v>
      </c>
      <c r="B769" s="16" t="str">
        <f aca="false">Vendor_Invoices_AP!C766</f>
        <v>V1014</v>
      </c>
      <c r="C769" s="16" t="str">
        <f aca="false">IFERROR(INDEX(Vendor_Master!$B$2:$B$41,MATCH(B769,Vendor_Master!$A$2:$A$41,0)),"Unknown Vendor")</f>
        <v>Flowers, Martin and Kelly</v>
      </c>
      <c r="D769" s="17" t="n">
        <f aca="false">Vendor_Invoices_AP!D766</f>
        <v>46097</v>
      </c>
      <c r="E769" s="17" t="n">
        <f aca="false">Vendor_Invoices_AP!F766</f>
        <v>46127</v>
      </c>
      <c r="F769" s="18" t="n">
        <f aca="false">Vendor_Invoices_AP!E766</f>
        <v>473.84</v>
      </c>
      <c r="G769" s="18" t="n">
        <f aca="false">SUMIFS(Payment_Log_AP!$E$2:$E$753,Payment_Log_AP!$B$2:$B$753,A769)</f>
        <v>0</v>
      </c>
      <c r="H769" s="18" t="n">
        <f aca="false">F769-G769</f>
        <v>473.84</v>
      </c>
      <c r="I769" s="16" t="n">
        <f aca="false">IF(H769&lt;=0.01,0,MAX(Assumptions!$B$5-E769,0))</f>
        <v>107</v>
      </c>
      <c r="J769" s="16" t="str">
        <f aca="false">IF(H769&lt;=0.01,"Paid",IF(I769&lt;=30,"0-30",IF(I769&lt;=60,"31-60",IF(I769&lt;=90,"61-90","90+"))))</f>
        <v>90+</v>
      </c>
      <c r="K769" s="16" t="str">
        <f aca="false">IF(H769&lt;=0.01,"Paid",IF(G769&gt;0,"Partially Paid","Unpaid"))</f>
        <v>Unpaid</v>
      </c>
    </row>
    <row r="770" customFormat="false" ht="15" hidden="false" customHeight="false" outlineLevel="0" collapsed="false">
      <c r="A770" s="16" t="str">
        <f aca="false">Vendor_Invoices_AP!A767</f>
        <v>INV30766</v>
      </c>
      <c r="B770" s="16" t="str">
        <f aca="false">Vendor_Invoices_AP!C767</f>
        <v>V1026</v>
      </c>
      <c r="C770" s="16" t="str">
        <f aca="false">IFERROR(INDEX(Vendor_Master!$B$2:$B$41,MATCH(B770,Vendor_Master!$A$2:$A$41,0)),"Unknown Vendor")</f>
        <v>James-Ferrell</v>
      </c>
      <c r="D770" s="17" t="n">
        <f aca="false">Vendor_Invoices_AP!D767</f>
        <v>46065</v>
      </c>
      <c r="E770" s="17" t="n">
        <f aca="false">Vendor_Invoices_AP!F767</f>
        <v>46125</v>
      </c>
      <c r="F770" s="18" t="n">
        <f aca="false">Vendor_Invoices_AP!E767</f>
        <v>19934.95</v>
      </c>
      <c r="G770" s="18" t="n">
        <f aca="false">SUMIFS(Payment_Log_AP!$E$2:$E$753,Payment_Log_AP!$B$2:$B$753,A770)</f>
        <v>19934.95</v>
      </c>
      <c r="H770" s="18" t="n">
        <f aca="false">F770-G770</f>
        <v>0</v>
      </c>
      <c r="I770" s="16" t="n">
        <f aca="false">IF(H770&lt;=0.01,0,MAX(Assumptions!$B$5-E770,0))</f>
        <v>0</v>
      </c>
      <c r="J770" s="16" t="str">
        <f aca="false">IF(H770&lt;=0.01,"Paid",IF(I770&lt;=30,"0-30",IF(I770&lt;=60,"31-60",IF(I770&lt;=90,"61-90","90+"))))</f>
        <v>Paid</v>
      </c>
      <c r="K770" s="16" t="str">
        <f aca="false">IF(H770&lt;=0.01,"Paid",IF(G770&gt;0,"Partially Paid","Unpaid"))</f>
        <v>Paid</v>
      </c>
    </row>
    <row r="771" customFormat="false" ht="15" hidden="false" customHeight="false" outlineLevel="0" collapsed="false">
      <c r="A771" s="16" t="str">
        <f aca="false">Vendor_Invoices_AP!A768</f>
        <v>INV30767</v>
      </c>
      <c r="B771" s="16" t="str">
        <f aca="false">Vendor_Invoices_AP!C768</f>
        <v>V1008</v>
      </c>
      <c r="C771" s="16" t="str">
        <f aca="false">IFERROR(INDEX(Vendor_Master!$B$2:$B$41,MATCH(B771,Vendor_Master!$A$2:$A$41,0)),"Unknown Vendor")</f>
        <v>Davis Inc</v>
      </c>
      <c r="D771" s="17" t="n">
        <f aca="false">Vendor_Invoices_AP!D768</f>
        <v>45782</v>
      </c>
      <c r="E771" s="17" t="n">
        <f aca="false">Vendor_Invoices_AP!F768</f>
        <v>45842</v>
      </c>
      <c r="F771" s="18" t="n">
        <f aca="false">Vendor_Invoices_AP!E768</f>
        <v>812.03</v>
      </c>
      <c r="G771" s="18" t="n">
        <f aca="false">SUMIFS(Payment_Log_AP!$E$2:$E$753,Payment_Log_AP!$B$2:$B$753,A771)</f>
        <v>812.03</v>
      </c>
      <c r="H771" s="18" t="n">
        <f aca="false">F771-G771</f>
        <v>0</v>
      </c>
      <c r="I771" s="16" t="n">
        <f aca="false">IF(H771&lt;=0.01,0,MAX(Assumptions!$B$5-E771,0))</f>
        <v>0</v>
      </c>
      <c r="J771" s="16" t="str">
        <f aca="false">IF(H771&lt;=0.01,"Paid",IF(I771&lt;=30,"0-30",IF(I771&lt;=60,"31-60",IF(I771&lt;=90,"61-90","90+"))))</f>
        <v>Paid</v>
      </c>
      <c r="K771" s="16" t="str">
        <f aca="false">IF(H771&lt;=0.01,"Paid",IF(G771&gt;0,"Partially Paid","Unpaid"))</f>
        <v>Paid</v>
      </c>
    </row>
    <row r="772" customFormat="false" ht="15" hidden="false" customHeight="false" outlineLevel="0" collapsed="false">
      <c r="A772" s="16" t="str">
        <f aca="false">Vendor_Invoices_AP!A769</f>
        <v>INV30768</v>
      </c>
      <c r="B772" s="16" t="str">
        <f aca="false">Vendor_Invoices_AP!C769</f>
        <v>V1025</v>
      </c>
      <c r="C772" s="16" t="str">
        <f aca="false">IFERROR(INDEX(Vendor_Master!$B$2:$B$41,MATCH(B772,Vendor_Master!$A$2:$A$41,0)),"Unknown Vendor")</f>
        <v>Conner Group</v>
      </c>
      <c r="D772" s="17" t="n">
        <f aca="false">Vendor_Invoices_AP!D769</f>
        <v>45910</v>
      </c>
      <c r="E772" s="17" t="n">
        <f aca="false">Vendor_Invoices_AP!F769</f>
        <v>45955</v>
      </c>
      <c r="F772" s="18" t="n">
        <f aca="false">Vendor_Invoices_AP!E769</f>
        <v>26179.49</v>
      </c>
      <c r="G772" s="18" t="n">
        <f aca="false">SUMIFS(Payment_Log_AP!$E$2:$E$753,Payment_Log_AP!$B$2:$B$753,A772)</f>
        <v>26179.49</v>
      </c>
      <c r="H772" s="18" t="n">
        <f aca="false">F772-G772</f>
        <v>0</v>
      </c>
      <c r="I772" s="16" t="n">
        <f aca="false">IF(H772&lt;=0.01,0,MAX(Assumptions!$B$5-E772,0))</f>
        <v>0</v>
      </c>
      <c r="J772" s="16" t="str">
        <f aca="false">IF(H772&lt;=0.01,"Paid",IF(I772&lt;=30,"0-30",IF(I772&lt;=60,"31-60",IF(I772&lt;=90,"61-90","90+"))))</f>
        <v>Paid</v>
      </c>
      <c r="K772" s="16" t="str">
        <f aca="false">IF(H772&lt;=0.01,"Paid",IF(G772&gt;0,"Partially Paid","Unpaid"))</f>
        <v>Paid</v>
      </c>
    </row>
    <row r="773" customFormat="false" ht="15" hidden="false" customHeight="false" outlineLevel="0" collapsed="false">
      <c r="A773" s="16" t="str">
        <f aca="false">Vendor_Invoices_AP!A770</f>
        <v>INV30769</v>
      </c>
      <c r="B773" s="16" t="str">
        <f aca="false">Vendor_Invoices_AP!C770</f>
        <v>V1007</v>
      </c>
      <c r="C773" s="16" t="str">
        <f aca="false">IFERROR(INDEX(Vendor_Master!$B$2:$B$41,MATCH(B773,Vendor_Master!$A$2:$A$41,0)),"Unknown Vendor")</f>
        <v>Ramirez-Lewis</v>
      </c>
      <c r="D773" s="17" t="n">
        <f aca="false">Vendor_Invoices_AP!D770</f>
        <v>45793</v>
      </c>
      <c r="E773" s="17" t="n">
        <f aca="false">Vendor_Invoices_AP!F770</f>
        <v>45808</v>
      </c>
      <c r="F773" s="18" t="n">
        <f aca="false">Vendor_Invoices_AP!E770</f>
        <v>8117.27</v>
      </c>
      <c r="G773" s="18" t="n">
        <f aca="false">SUMIFS(Payment_Log_AP!$E$2:$E$753,Payment_Log_AP!$B$2:$B$753,A773)</f>
        <v>8117.27</v>
      </c>
      <c r="H773" s="18" t="n">
        <f aca="false">F773-G773</f>
        <v>0</v>
      </c>
      <c r="I773" s="16" t="n">
        <f aca="false">IF(H773&lt;=0.01,0,MAX(Assumptions!$B$5-E773,0))</f>
        <v>0</v>
      </c>
      <c r="J773" s="16" t="str">
        <f aca="false">IF(H773&lt;=0.01,"Paid",IF(I773&lt;=30,"0-30",IF(I773&lt;=60,"31-60",IF(I773&lt;=90,"61-90","90+"))))</f>
        <v>Paid</v>
      </c>
      <c r="K773" s="16" t="str">
        <f aca="false">IF(H773&lt;=0.01,"Paid",IF(G773&gt;0,"Partially Paid","Unpaid"))</f>
        <v>Paid</v>
      </c>
    </row>
    <row r="774" customFormat="false" ht="15" hidden="false" customHeight="false" outlineLevel="0" collapsed="false">
      <c r="A774" s="16" t="str">
        <f aca="false">Vendor_Invoices_AP!A771</f>
        <v>INV30770</v>
      </c>
      <c r="B774" s="16" t="str">
        <f aca="false">Vendor_Invoices_AP!C771</f>
        <v>V1038</v>
      </c>
      <c r="C774" s="16" t="str">
        <f aca="false">IFERROR(INDEX(Vendor_Master!$B$2:$B$41,MATCH(B774,Vendor_Master!$A$2:$A$41,0)),"Unknown Vendor")</f>
        <v>Rose-Obrien</v>
      </c>
      <c r="D774" s="17" t="n">
        <f aca="false">Vendor_Invoices_AP!D771</f>
        <v>45853</v>
      </c>
      <c r="E774" s="17" t="n">
        <f aca="false">Vendor_Invoices_AP!F771</f>
        <v>45883</v>
      </c>
      <c r="F774" s="18" t="n">
        <f aca="false">Vendor_Invoices_AP!E771</f>
        <v>9161.11</v>
      </c>
      <c r="G774" s="18" t="n">
        <f aca="false">SUMIFS(Payment_Log_AP!$E$2:$E$753,Payment_Log_AP!$B$2:$B$753,A774)</f>
        <v>9161.11</v>
      </c>
      <c r="H774" s="18" t="n">
        <f aca="false">F774-G774</f>
        <v>0</v>
      </c>
      <c r="I774" s="16" t="n">
        <f aca="false">IF(H774&lt;=0.01,0,MAX(Assumptions!$B$5-E774,0))</f>
        <v>0</v>
      </c>
      <c r="J774" s="16" t="str">
        <f aca="false">IF(H774&lt;=0.01,"Paid",IF(I774&lt;=30,"0-30",IF(I774&lt;=60,"31-60",IF(I774&lt;=90,"61-90","90+"))))</f>
        <v>Paid</v>
      </c>
      <c r="K774" s="16" t="str">
        <f aca="false">IF(H774&lt;=0.01,"Paid",IF(G774&gt;0,"Partially Paid","Unpaid"))</f>
        <v>Paid</v>
      </c>
    </row>
    <row r="775" customFormat="false" ht="15" hidden="false" customHeight="false" outlineLevel="0" collapsed="false">
      <c r="A775" s="16" t="str">
        <f aca="false">Vendor_Invoices_AP!A772</f>
        <v>INV30771</v>
      </c>
      <c r="B775" s="16" t="str">
        <f aca="false">Vendor_Invoices_AP!C772</f>
        <v>V1022</v>
      </c>
      <c r="C775" s="16" t="str">
        <f aca="false">IFERROR(INDEX(Vendor_Master!$B$2:$B$41,MATCH(B775,Vendor_Master!$A$2:$A$41,0)),"Unknown Vendor")</f>
        <v>Burgess-Patterson</v>
      </c>
      <c r="D775" s="17" t="n">
        <f aca="false">Vendor_Invoices_AP!D772</f>
        <v>45924</v>
      </c>
      <c r="E775" s="17" t="n">
        <f aca="false">Vendor_Invoices_AP!F772</f>
        <v>45954</v>
      </c>
      <c r="F775" s="18" t="n">
        <f aca="false">Vendor_Invoices_AP!E772</f>
        <v>1056.4</v>
      </c>
      <c r="G775" s="18" t="n">
        <f aca="false">SUMIFS(Payment_Log_AP!$E$2:$E$753,Payment_Log_AP!$B$2:$B$753,A775)</f>
        <v>1056.4</v>
      </c>
      <c r="H775" s="18" t="n">
        <f aca="false">F775-G775</f>
        <v>0</v>
      </c>
      <c r="I775" s="16" t="n">
        <f aca="false">IF(H775&lt;=0.01,0,MAX(Assumptions!$B$5-E775,0))</f>
        <v>0</v>
      </c>
      <c r="J775" s="16" t="str">
        <f aca="false">IF(H775&lt;=0.01,"Paid",IF(I775&lt;=30,"0-30",IF(I775&lt;=60,"31-60",IF(I775&lt;=90,"61-90","90+"))))</f>
        <v>Paid</v>
      </c>
      <c r="K775" s="16" t="str">
        <f aca="false">IF(H775&lt;=0.01,"Paid",IF(G775&gt;0,"Partially Paid","Unpaid"))</f>
        <v>Paid</v>
      </c>
    </row>
    <row r="776" customFormat="false" ht="15" hidden="false" customHeight="false" outlineLevel="0" collapsed="false">
      <c r="A776" s="16" t="str">
        <f aca="false">Vendor_Invoices_AP!A773</f>
        <v>INV30772</v>
      </c>
      <c r="B776" s="16" t="str">
        <f aca="false">Vendor_Invoices_AP!C773</f>
        <v>V1015</v>
      </c>
      <c r="C776" s="16" t="str">
        <f aca="false">IFERROR(INDEX(Vendor_Master!$B$2:$B$41,MATCH(B776,Vendor_Master!$A$2:$A$41,0)),"Unknown Vendor")</f>
        <v>Zuniga, Wong and Lynch</v>
      </c>
      <c r="D776" s="17" t="n">
        <f aca="false">Vendor_Invoices_AP!D773</f>
        <v>45886</v>
      </c>
      <c r="E776" s="17" t="n">
        <f aca="false">Vendor_Invoices_AP!F773</f>
        <v>45916</v>
      </c>
      <c r="F776" s="18" t="n">
        <f aca="false">Vendor_Invoices_AP!E773</f>
        <v>3577.81</v>
      </c>
      <c r="G776" s="18" t="n">
        <f aca="false">SUMIFS(Payment_Log_AP!$E$2:$E$753,Payment_Log_AP!$B$2:$B$753,A776)</f>
        <v>3577.81</v>
      </c>
      <c r="H776" s="18" t="n">
        <f aca="false">F776-G776</f>
        <v>0</v>
      </c>
      <c r="I776" s="16" t="n">
        <f aca="false">IF(H776&lt;=0.01,0,MAX(Assumptions!$B$5-E776,0))</f>
        <v>0</v>
      </c>
      <c r="J776" s="16" t="str">
        <f aca="false">IF(H776&lt;=0.01,"Paid",IF(I776&lt;=30,"0-30",IF(I776&lt;=60,"31-60",IF(I776&lt;=90,"61-90","90+"))))</f>
        <v>Paid</v>
      </c>
      <c r="K776" s="16" t="str">
        <f aca="false">IF(H776&lt;=0.01,"Paid",IF(G776&gt;0,"Partially Paid","Unpaid"))</f>
        <v>Paid</v>
      </c>
    </row>
    <row r="777" customFormat="false" ht="15" hidden="false" customHeight="false" outlineLevel="0" collapsed="false">
      <c r="A777" s="16" t="str">
        <f aca="false">Vendor_Invoices_AP!A774</f>
        <v>INV30773</v>
      </c>
      <c r="B777" s="16" t="str">
        <f aca="false">Vendor_Invoices_AP!C774</f>
        <v>V1006</v>
      </c>
      <c r="C777" s="16" t="str">
        <f aca="false">IFERROR(INDEX(Vendor_Master!$B$2:$B$41,MATCH(B777,Vendor_Master!$A$2:$A$41,0)),"Unknown Vendor")</f>
        <v>Blake and Sons</v>
      </c>
      <c r="D777" s="17" t="n">
        <f aca="false">Vendor_Invoices_AP!D774</f>
        <v>45731</v>
      </c>
      <c r="E777" s="17" t="n">
        <f aca="false">Vendor_Invoices_AP!F774</f>
        <v>45791</v>
      </c>
      <c r="F777" s="18" t="n">
        <f aca="false">Vendor_Invoices_AP!E774</f>
        <v>1478.7</v>
      </c>
      <c r="G777" s="18" t="n">
        <f aca="false">SUMIFS(Payment_Log_AP!$E$2:$E$753,Payment_Log_AP!$B$2:$B$753,A777)</f>
        <v>1478.7</v>
      </c>
      <c r="H777" s="18" t="n">
        <f aca="false">F777-G777</f>
        <v>0</v>
      </c>
      <c r="I777" s="16" t="n">
        <f aca="false">IF(H777&lt;=0.01,0,MAX(Assumptions!$B$5-E777,0))</f>
        <v>0</v>
      </c>
      <c r="J777" s="16" t="str">
        <f aca="false">IF(H777&lt;=0.01,"Paid",IF(I777&lt;=30,"0-30",IF(I777&lt;=60,"31-60",IF(I777&lt;=90,"61-90","90+"))))</f>
        <v>Paid</v>
      </c>
      <c r="K777" s="16" t="str">
        <f aca="false">IF(H777&lt;=0.01,"Paid",IF(G777&gt;0,"Partially Paid","Unpaid"))</f>
        <v>Paid</v>
      </c>
    </row>
    <row r="778" customFormat="false" ht="15" hidden="false" customHeight="false" outlineLevel="0" collapsed="false">
      <c r="A778" s="16" t="str">
        <f aca="false">Vendor_Invoices_AP!A775</f>
        <v>INV30774</v>
      </c>
      <c r="B778" s="16" t="str">
        <f aca="false">Vendor_Invoices_AP!C775</f>
        <v>V1026</v>
      </c>
      <c r="C778" s="16" t="str">
        <f aca="false">IFERROR(INDEX(Vendor_Master!$B$2:$B$41,MATCH(B778,Vendor_Master!$A$2:$A$41,0)),"Unknown Vendor")</f>
        <v>James-Ferrell</v>
      </c>
      <c r="D778" s="17" t="n">
        <f aca="false">Vendor_Invoices_AP!D775</f>
        <v>45912</v>
      </c>
      <c r="E778" s="17" t="n">
        <f aca="false">Vendor_Invoices_AP!F775</f>
        <v>45972</v>
      </c>
      <c r="F778" s="18" t="n">
        <f aca="false">Vendor_Invoices_AP!E775</f>
        <v>5071.62</v>
      </c>
      <c r="G778" s="18" t="n">
        <f aca="false">SUMIFS(Payment_Log_AP!$E$2:$E$753,Payment_Log_AP!$B$2:$B$753,A778)</f>
        <v>5071.62</v>
      </c>
      <c r="H778" s="18" t="n">
        <f aca="false">F778-G778</f>
        <v>0</v>
      </c>
      <c r="I778" s="16" t="n">
        <f aca="false">IF(H778&lt;=0.01,0,MAX(Assumptions!$B$5-E778,0))</f>
        <v>0</v>
      </c>
      <c r="J778" s="16" t="str">
        <f aca="false">IF(H778&lt;=0.01,"Paid",IF(I778&lt;=30,"0-30",IF(I778&lt;=60,"31-60",IF(I778&lt;=90,"61-90","90+"))))</f>
        <v>Paid</v>
      </c>
      <c r="K778" s="16" t="str">
        <f aca="false">IF(H778&lt;=0.01,"Paid",IF(G778&gt;0,"Partially Paid","Unpaid"))</f>
        <v>Paid</v>
      </c>
    </row>
    <row r="779" customFormat="false" ht="15" hidden="false" customHeight="false" outlineLevel="0" collapsed="false">
      <c r="A779" s="16" t="str">
        <f aca="false">Vendor_Invoices_AP!A776</f>
        <v>INV30775</v>
      </c>
      <c r="B779" s="16" t="str">
        <f aca="false">Vendor_Invoices_AP!C776</f>
        <v>V1033</v>
      </c>
      <c r="C779" s="16" t="str">
        <f aca="false">IFERROR(INDEX(Vendor_Master!$B$2:$B$41,MATCH(B779,Vendor_Master!$A$2:$A$41,0)),"Unknown Vendor")</f>
        <v>Sellers, George and Burns</v>
      </c>
      <c r="D779" s="17" t="n">
        <f aca="false">Vendor_Invoices_AP!D776</f>
        <v>46027</v>
      </c>
      <c r="E779" s="17" t="n">
        <f aca="false">Vendor_Invoices_AP!F776</f>
        <v>46087</v>
      </c>
      <c r="F779" s="18" t="n">
        <f aca="false">Vendor_Invoices_AP!E776</f>
        <v>3714.97</v>
      </c>
      <c r="G779" s="18" t="n">
        <f aca="false">SUMIFS(Payment_Log_AP!$E$2:$E$753,Payment_Log_AP!$B$2:$B$753,A779)</f>
        <v>3714.97</v>
      </c>
      <c r="H779" s="18" t="n">
        <f aca="false">F779-G779</f>
        <v>0</v>
      </c>
      <c r="I779" s="16" t="n">
        <f aca="false">IF(H779&lt;=0.01,0,MAX(Assumptions!$B$5-E779,0))</f>
        <v>0</v>
      </c>
      <c r="J779" s="16" t="str">
        <f aca="false">IF(H779&lt;=0.01,"Paid",IF(I779&lt;=30,"0-30",IF(I779&lt;=60,"31-60",IF(I779&lt;=90,"61-90","90+"))))</f>
        <v>Paid</v>
      </c>
      <c r="K779" s="16" t="str">
        <f aca="false">IF(H779&lt;=0.01,"Paid",IF(G779&gt;0,"Partially Paid","Unpaid"))</f>
        <v>Paid</v>
      </c>
    </row>
    <row r="780" customFormat="false" ht="15" hidden="false" customHeight="false" outlineLevel="0" collapsed="false">
      <c r="A780" s="16" t="str">
        <f aca="false">Vendor_Invoices_AP!A777</f>
        <v>INV30776</v>
      </c>
      <c r="B780" s="16" t="str">
        <f aca="false">Vendor_Invoices_AP!C777</f>
        <v>V1025</v>
      </c>
      <c r="C780" s="16" t="str">
        <f aca="false">IFERROR(INDEX(Vendor_Master!$B$2:$B$41,MATCH(B780,Vendor_Master!$A$2:$A$41,0)),"Unknown Vendor")</f>
        <v>Conner Group</v>
      </c>
      <c r="D780" s="17" t="n">
        <f aca="false">Vendor_Invoices_AP!D777</f>
        <v>45870</v>
      </c>
      <c r="E780" s="17" t="n">
        <f aca="false">Vendor_Invoices_AP!F777</f>
        <v>45915</v>
      </c>
      <c r="F780" s="18" t="n">
        <f aca="false">Vendor_Invoices_AP!E777</f>
        <v>577.47</v>
      </c>
      <c r="G780" s="18" t="n">
        <f aca="false">SUMIFS(Payment_Log_AP!$E$2:$E$753,Payment_Log_AP!$B$2:$B$753,A780)</f>
        <v>577.47</v>
      </c>
      <c r="H780" s="18" t="n">
        <f aca="false">F780-G780</f>
        <v>0</v>
      </c>
      <c r="I780" s="16" t="n">
        <f aca="false">IF(H780&lt;=0.01,0,MAX(Assumptions!$B$5-E780,0))</f>
        <v>0</v>
      </c>
      <c r="J780" s="16" t="str">
        <f aca="false">IF(H780&lt;=0.01,"Paid",IF(I780&lt;=30,"0-30",IF(I780&lt;=60,"31-60",IF(I780&lt;=90,"61-90","90+"))))</f>
        <v>Paid</v>
      </c>
      <c r="K780" s="16" t="str">
        <f aca="false">IF(H780&lt;=0.01,"Paid",IF(G780&gt;0,"Partially Paid","Unpaid"))</f>
        <v>Paid</v>
      </c>
    </row>
    <row r="781" customFormat="false" ht="15" hidden="false" customHeight="false" outlineLevel="0" collapsed="false">
      <c r="A781" s="16" t="str">
        <f aca="false">Vendor_Invoices_AP!A778</f>
        <v>INV30777</v>
      </c>
      <c r="B781" s="16" t="str">
        <f aca="false">Vendor_Invoices_AP!C778</f>
        <v>V1012</v>
      </c>
      <c r="C781" s="16" t="str">
        <f aca="false">IFERROR(INDEX(Vendor_Master!$B$2:$B$41,MATCH(B781,Vendor_Master!$A$2:$A$41,0)),"Unknown Vendor")</f>
        <v>Stanley LLC</v>
      </c>
      <c r="D781" s="17" t="n">
        <f aca="false">Vendor_Invoices_AP!D778</f>
        <v>45745</v>
      </c>
      <c r="E781" s="17" t="n">
        <f aca="false">Vendor_Invoices_AP!F778</f>
        <v>45805</v>
      </c>
      <c r="F781" s="18" t="n">
        <f aca="false">Vendor_Invoices_AP!E778</f>
        <v>3419.93</v>
      </c>
      <c r="G781" s="18" t="n">
        <f aca="false">SUMIFS(Payment_Log_AP!$E$2:$E$753,Payment_Log_AP!$B$2:$B$753,A781)</f>
        <v>0</v>
      </c>
      <c r="H781" s="18" t="n">
        <f aca="false">F781-G781</f>
        <v>3419.93</v>
      </c>
      <c r="I781" s="16" t="n">
        <f aca="false">IF(H781&lt;=0.01,0,MAX(Assumptions!$B$5-E781,0))</f>
        <v>429</v>
      </c>
      <c r="J781" s="16" t="str">
        <f aca="false">IF(H781&lt;=0.01,"Paid",IF(I781&lt;=30,"0-30",IF(I781&lt;=60,"31-60",IF(I781&lt;=90,"61-90","90+"))))</f>
        <v>90+</v>
      </c>
      <c r="K781" s="16" t="str">
        <f aca="false">IF(H781&lt;=0.01,"Paid",IF(G781&gt;0,"Partially Paid","Unpaid"))</f>
        <v>Unpaid</v>
      </c>
    </row>
    <row r="782" customFormat="false" ht="15" hidden="false" customHeight="false" outlineLevel="0" collapsed="false">
      <c r="A782" s="16" t="str">
        <f aca="false">Vendor_Invoices_AP!A779</f>
        <v>INV30778</v>
      </c>
      <c r="B782" s="16" t="str">
        <f aca="false">Vendor_Invoices_AP!C779</f>
        <v>V1002</v>
      </c>
      <c r="C782" s="16" t="str">
        <f aca="false">IFERROR(INDEX(Vendor_Master!$B$2:$B$41,MATCH(B782,Vendor_Master!$A$2:$A$41,0)),"Unknown Vendor")</f>
        <v>Garcia, Yang and Gardner</v>
      </c>
      <c r="D782" s="17" t="n">
        <f aca="false">Vendor_Invoices_AP!D779</f>
        <v>46178</v>
      </c>
      <c r="E782" s="17" t="n">
        <f aca="false">Vendor_Invoices_AP!F779</f>
        <v>46193</v>
      </c>
      <c r="F782" s="18" t="n">
        <f aca="false">Vendor_Invoices_AP!E779</f>
        <v>2429.18</v>
      </c>
      <c r="G782" s="18" t="n">
        <f aca="false">SUMIFS(Payment_Log_AP!$E$2:$E$753,Payment_Log_AP!$B$2:$B$753,A782)</f>
        <v>2429.18</v>
      </c>
      <c r="H782" s="18" t="n">
        <f aca="false">F782-G782</f>
        <v>0</v>
      </c>
      <c r="I782" s="16" t="n">
        <f aca="false">IF(H782&lt;=0.01,0,MAX(Assumptions!$B$5-E782,0))</f>
        <v>0</v>
      </c>
      <c r="J782" s="16" t="str">
        <f aca="false">IF(H782&lt;=0.01,"Paid",IF(I782&lt;=30,"0-30",IF(I782&lt;=60,"31-60",IF(I782&lt;=90,"61-90","90+"))))</f>
        <v>Paid</v>
      </c>
      <c r="K782" s="16" t="str">
        <f aca="false">IF(H782&lt;=0.01,"Paid",IF(G782&gt;0,"Partially Paid","Unpaid"))</f>
        <v>Paid</v>
      </c>
    </row>
    <row r="783" customFormat="false" ht="15" hidden="false" customHeight="false" outlineLevel="0" collapsed="false">
      <c r="A783" s="16" t="str">
        <f aca="false">Vendor_Invoices_AP!A780</f>
        <v>INV30779</v>
      </c>
      <c r="B783" s="16" t="str">
        <f aca="false">Vendor_Invoices_AP!C780</f>
        <v>V1010</v>
      </c>
      <c r="C783" s="16" t="str">
        <f aca="false">IFERROR(INDEX(Vendor_Master!$B$2:$B$41,MATCH(B783,Vendor_Master!$A$2:$A$41,0)),"Unknown Vendor")</f>
        <v>Martinez, Nielsen and Miller</v>
      </c>
      <c r="D783" s="17" t="n">
        <f aca="false">Vendor_Invoices_AP!D780</f>
        <v>45716</v>
      </c>
      <c r="E783" s="17" t="n">
        <f aca="false">Vendor_Invoices_AP!F780</f>
        <v>45731</v>
      </c>
      <c r="F783" s="18" t="n">
        <f aca="false">Vendor_Invoices_AP!E780</f>
        <v>5420.25</v>
      </c>
      <c r="G783" s="18" t="n">
        <f aca="false">SUMIFS(Payment_Log_AP!$E$2:$E$753,Payment_Log_AP!$B$2:$B$753,A783)</f>
        <v>5420.25</v>
      </c>
      <c r="H783" s="18" t="n">
        <f aca="false">F783-G783</f>
        <v>0</v>
      </c>
      <c r="I783" s="16" t="n">
        <f aca="false">IF(H783&lt;=0.01,0,MAX(Assumptions!$B$5-E783,0))</f>
        <v>0</v>
      </c>
      <c r="J783" s="16" t="str">
        <f aca="false">IF(H783&lt;=0.01,"Paid",IF(I783&lt;=30,"0-30",IF(I783&lt;=60,"31-60",IF(I783&lt;=90,"61-90","90+"))))</f>
        <v>Paid</v>
      </c>
      <c r="K783" s="16" t="str">
        <f aca="false">IF(H783&lt;=0.01,"Paid",IF(G783&gt;0,"Partially Paid","Unpaid"))</f>
        <v>Paid</v>
      </c>
    </row>
    <row r="784" customFormat="false" ht="15" hidden="false" customHeight="false" outlineLevel="0" collapsed="false">
      <c r="A784" s="16" t="str">
        <f aca="false">Vendor_Invoices_AP!A781</f>
        <v>INV30780</v>
      </c>
      <c r="B784" s="16" t="str">
        <f aca="false">Vendor_Invoices_AP!C781</f>
        <v>V1007</v>
      </c>
      <c r="C784" s="16" t="str">
        <f aca="false">IFERROR(INDEX(Vendor_Master!$B$2:$B$41,MATCH(B784,Vendor_Master!$A$2:$A$41,0)),"Unknown Vendor")</f>
        <v>Ramirez-Lewis</v>
      </c>
      <c r="D784" s="17" t="n">
        <f aca="false">Vendor_Invoices_AP!D781</f>
        <v>46116</v>
      </c>
      <c r="E784" s="17" t="n">
        <f aca="false">Vendor_Invoices_AP!F781</f>
        <v>46131</v>
      </c>
      <c r="F784" s="18" t="n">
        <f aca="false">Vendor_Invoices_AP!E781</f>
        <v>4765.29</v>
      </c>
      <c r="G784" s="18" t="n">
        <f aca="false">SUMIFS(Payment_Log_AP!$E$2:$E$753,Payment_Log_AP!$B$2:$B$753,A784)</f>
        <v>0</v>
      </c>
      <c r="H784" s="18" t="n">
        <f aca="false">F784-G784</f>
        <v>4765.29</v>
      </c>
      <c r="I784" s="16" t="n">
        <f aca="false">IF(H784&lt;=0.01,0,MAX(Assumptions!$B$5-E784,0))</f>
        <v>103</v>
      </c>
      <c r="J784" s="16" t="str">
        <f aca="false">IF(H784&lt;=0.01,"Paid",IF(I784&lt;=30,"0-30",IF(I784&lt;=60,"31-60",IF(I784&lt;=90,"61-90","90+"))))</f>
        <v>90+</v>
      </c>
      <c r="K784" s="16" t="str">
        <f aca="false">IF(H784&lt;=0.01,"Paid",IF(G784&gt;0,"Partially Paid","Unpaid"))</f>
        <v>Unpaid</v>
      </c>
    </row>
    <row r="785" customFormat="false" ht="15" hidden="false" customHeight="false" outlineLevel="0" collapsed="false">
      <c r="A785" s="16" t="str">
        <f aca="false">Vendor_Invoices_AP!A782</f>
        <v>INV30781</v>
      </c>
      <c r="B785" s="16" t="str">
        <f aca="false">Vendor_Invoices_AP!C782</f>
        <v>V1034</v>
      </c>
      <c r="C785" s="16" t="str">
        <f aca="false">IFERROR(INDEX(Vendor_Master!$B$2:$B$41,MATCH(B785,Vendor_Master!$A$2:$A$41,0)),"Unknown Vendor")</f>
        <v>Koch-Decker</v>
      </c>
      <c r="D785" s="17" t="n">
        <f aca="false">Vendor_Invoices_AP!D782</f>
        <v>45710</v>
      </c>
      <c r="E785" s="17" t="n">
        <f aca="false">Vendor_Invoices_AP!F782</f>
        <v>45755</v>
      </c>
      <c r="F785" s="18" t="n">
        <f aca="false">Vendor_Invoices_AP!E782</f>
        <v>5970.05</v>
      </c>
      <c r="G785" s="18" t="n">
        <f aca="false">SUMIFS(Payment_Log_AP!$E$2:$E$753,Payment_Log_AP!$B$2:$B$753,A785)</f>
        <v>5970.05</v>
      </c>
      <c r="H785" s="18" t="n">
        <f aca="false">F785-G785</f>
        <v>0</v>
      </c>
      <c r="I785" s="16" t="n">
        <f aca="false">IF(H785&lt;=0.01,0,MAX(Assumptions!$B$5-E785,0))</f>
        <v>0</v>
      </c>
      <c r="J785" s="16" t="str">
        <f aca="false">IF(H785&lt;=0.01,"Paid",IF(I785&lt;=30,"0-30",IF(I785&lt;=60,"31-60",IF(I785&lt;=90,"61-90","90+"))))</f>
        <v>Paid</v>
      </c>
      <c r="K785" s="16" t="str">
        <f aca="false">IF(H785&lt;=0.01,"Paid",IF(G785&gt;0,"Partially Paid","Unpaid"))</f>
        <v>Paid</v>
      </c>
    </row>
    <row r="786" customFormat="false" ht="15" hidden="false" customHeight="false" outlineLevel="0" collapsed="false">
      <c r="A786" s="16" t="str">
        <f aca="false">Vendor_Invoices_AP!A783</f>
        <v>INV30782</v>
      </c>
      <c r="B786" s="16" t="str">
        <f aca="false">Vendor_Invoices_AP!C783</f>
        <v>V1020</v>
      </c>
      <c r="C786" s="16" t="str">
        <f aca="false">IFERROR(INDEX(Vendor_Master!$B$2:$B$41,MATCH(B786,Vendor_Master!$A$2:$A$41,0)),"Unknown Vendor")</f>
        <v>Lewis-Porter</v>
      </c>
      <c r="D786" s="17" t="n">
        <f aca="false">Vendor_Invoices_AP!D783</f>
        <v>45713</v>
      </c>
      <c r="E786" s="17" t="n">
        <f aca="false">Vendor_Invoices_AP!F783</f>
        <v>45743</v>
      </c>
      <c r="F786" s="18" t="n">
        <f aca="false">Vendor_Invoices_AP!E783</f>
        <v>1166.53</v>
      </c>
      <c r="G786" s="18" t="n">
        <f aca="false">SUMIFS(Payment_Log_AP!$E$2:$E$753,Payment_Log_AP!$B$2:$B$753,A786)</f>
        <v>1166.53</v>
      </c>
      <c r="H786" s="18" t="n">
        <f aca="false">F786-G786</f>
        <v>0</v>
      </c>
      <c r="I786" s="16" t="n">
        <f aca="false">IF(H786&lt;=0.01,0,MAX(Assumptions!$B$5-E786,0))</f>
        <v>0</v>
      </c>
      <c r="J786" s="16" t="str">
        <f aca="false">IF(H786&lt;=0.01,"Paid",IF(I786&lt;=30,"0-30",IF(I786&lt;=60,"31-60",IF(I786&lt;=90,"61-90","90+"))))</f>
        <v>Paid</v>
      </c>
      <c r="K786" s="16" t="str">
        <f aca="false">IF(H786&lt;=0.01,"Paid",IF(G786&gt;0,"Partially Paid","Unpaid"))</f>
        <v>Paid</v>
      </c>
    </row>
    <row r="787" customFormat="false" ht="15" hidden="false" customHeight="false" outlineLevel="0" collapsed="false">
      <c r="A787" s="16" t="str">
        <f aca="false">Vendor_Invoices_AP!A784</f>
        <v>INV30783</v>
      </c>
      <c r="B787" s="16" t="str">
        <f aca="false">Vendor_Invoices_AP!C784</f>
        <v>V1040</v>
      </c>
      <c r="C787" s="16" t="str">
        <f aca="false">IFERROR(INDEX(Vendor_Master!$B$2:$B$41,MATCH(B787,Vendor_Master!$A$2:$A$41,0)),"Unknown Vendor")</f>
        <v>Santos, Kim and Holmes</v>
      </c>
      <c r="D787" s="17" t="n">
        <f aca="false">Vendor_Invoices_AP!D784</f>
        <v>46084</v>
      </c>
      <c r="E787" s="17" t="n">
        <f aca="false">Vendor_Invoices_AP!F784</f>
        <v>46099</v>
      </c>
      <c r="F787" s="18" t="n">
        <f aca="false">Vendor_Invoices_AP!E784</f>
        <v>305.02</v>
      </c>
      <c r="G787" s="18" t="n">
        <f aca="false">SUMIFS(Payment_Log_AP!$E$2:$E$753,Payment_Log_AP!$B$2:$B$753,A787)</f>
        <v>305.02</v>
      </c>
      <c r="H787" s="18" t="n">
        <f aca="false">F787-G787</f>
        <v>0</v>
      </c>
      <c r="I787" s="16" t="n">
        <f aca="false">IF(H787&lt;=0.01,0,MAX(Assumptions!$B$5-E787,0))</f>
        <v>0</v>
      </c>
      <c r="J787" s="16" t="str">
        <f aca="false">IF(H787&lt;=0.01,"Paid",IF(I787&lt;=30,"0-30",IF(I787&lt;=60,"31-60",IF(I787&lt;=90,"61-90","90+"))))</f>
        <v>Paid</v>
      </c>
      <c r="K787" s="16" t="str">
        <f aca="false">IF(H787&lt;=0.01,"Paid",IF(G787&gt;0,"Partially Paid","Unpaid"))</f>
        <v>Paid</v>
      </c>
    </row>
    <row r="788" customFormat="false" ht="15" hidden="false" customHeight="false" outlineLevel="0" collapsed="false">
      <c r="A788" s="16" t="str">
        <f aca="false">Vendor_Invoices_AP!A785</f>
        <v>INV30784</v>
      </c>
      <c r="B788" s="16" t="str">
        <f aca="false">Vendor_Invoices_AP!C785</f>
        <v>V1008</v>
      </c>
      <c r="C788" s="16" t="str">
        <f aca="false">IFERROR(INDEX(Vendor_Master!$B$2:$B$41,MATCH(B788,Vendor_Master!$A$2:$A$41,0)),"Unknown Vendor")</f>
        <v>Davis Inc</v>
      </c>
      <c r="D788" s="17" t="n">
        <f aca="false">Vendor_Invoices_AP!D785</f>
        <v>46110</v>
      </c>
      <c r="E788" s="17" t="n">
        <f aca="false">Vendor_Invoices_AP!F785</f>
        <v>46170</v>
      </c>
      <c r="F788" s="18" t="n">
        <f aca="false">Vendor_Invoices_AP!E785</f>
        <v>888.47</v>
      </c>
      <c r="G788" s="18" t="n">
        <f aca="false">SUMIFS(Payment_Log_AP!$E$2:$E$753,Payment_Log_AP!$B$2:$B$753,A788)</f>
        <v>888.47</v>
      </c>
      <c r="H788" s="18" t="n">
        <f aca="false">F788-G788</f>
        <v>0</v>
      </c>
      <c r="I788" s="16" t="n">
        <f aca="false">IF(H788&lt;=0.01,0,MAX(Assumptions!$B$5-E788,0))</f>
        <v>0</v>
      </c>
      <c r="J788" s="16" t="str">
        <f aca="false">IF(H788&lt;=0.01,"Paid",IF(I788&lt;=30,"0-30",IF(I788&lt;=60,"31-60",IF(I788&lt;=90,"61-90","90+"))))</f>
        <v>Paid</v>
      </c>
      <c r="K788" s="16" t="str">
        <f aca="false">IF(H788&lt;=0.01,"Paid",IF(G788&gt;0,"Partially Paid","Unpaid"))</f>
        <v>Paid</v>
      </c>
    </row>
    <row r="789" customFormat="false" ht="15" hidden="false" customHeight="false" outlineLevel="0" collapsed="false">
      <c r="A789" s="16" t="str">
        <f aca="false">Vendor_Invoices_AP!A786</f>
        <v>INV30785</v>
      </c>
      <c r="B789" s="16" t="str">
        <f aca="false">Vendor_Invoices_AP!C786</f>
        <v>V1013</v>
      </c>
      <c r="C789" s="16" t="str">
        <f aca="false">IFERROR(INDEX(Vendor_Master!$B$2:$B$41,MATCH(B789,Vendor_Master!$A$2:$A$41,0)),"Unknown Vendor")</f>
        <v>Delacruz Group</v>
      </c>
      <c r="D789" s="17" t="n">
        <f aca="false">Vendor_Invoices_AP!D786</f>
        <v>45974</v>
      </c>
      <c r="E789" s="17" t="n">
        <f aca="false">Vendor_Invoices_AP!F786</f>
        <v>45989</v>
      </c>
      <c r="F789" s="18" t="n">
        <f aca="false">Vendor_Invoices_AP!E786</f>
        <v>6115.66</v>
      </c>
      <c r="G789" s="18" t="n">
        <f aca="false">SUMIFS(Payment_Log_AP!$E$2:$E$753,Payment_Log_AP!$B$2:$B$753,A789)</f>
        <v>6115.66</v>
      </c>
      <c r="H789" s="18" t="n">
        <f aca="false">F789-G789</f>
        <v>0</v>
      </c>
      <c r="I789" s="16" t="n">
        <f aca="false">IF(H789&lt;=0.01,0,MAX(Assumptions!$B$5-E789,0))</f>
        <v>0</v>
      </c>
      <c r="J789" s="16" t="str">
        <f aca="false">IF(H789&lt;=0.01,"Paid",IF(I789&lt;=30,"0-30",IF(I789&lt;=60,"31-60",IF(I789&lt;=90,"61-90","90+"))))</f>
        <v>Paid</v>
      </c>
      <c r="K789" s="16" t="str">
        <f aca="false">IF(H789&lt;=0.01,"Paid",IF(G789&gt;0,"Partially Paid","Unpaid"))</f>
        <v>Paid</v>
      </c>
    </row>
    <row r="790" customFormat="false" ht="15" hidden="false" customHeight="false" outlineLevel="0" collapsed="false">
      <c r="A790" s="16" t="str">
        <f aca="false">Vendor_Invoices_AP!A787</f>
        <v>INV30786</v>
      </c>
      <c r="B790" s="16" t="str">
        <f aca="false">Vendor_Invoices_AP!C787</f>
        <v>V1025</v>
      </c>
      <c r="C790" s="16" t="str">
        <f aca="false">IFERROR(INDEX(Vendor_Master!$B$2:$B$41,MATCH(B790,Vendor_Master!$A$2:$A$41,0)),"Unknown Vendor")</f>
        <v>Conner Group</v>
      </c>
      <c r="D790" s="17" t="n">
        <f aca="false">Vendor_Invoices_AP!D787</f>
        <v>45981</v>
      </c>
      <c r="E790" s="17" t="n">
        <f aca="false">Vendor_Invoices_AP!F787</f>
        <v>46026</v>
      </c>
      <c r="F790" s="18" t="n">
        <f aca="false">Vendor_Invoices_AP!E787</f>
        <v>1679.37</v>
      </c>
      <c r="G790" s="18" t="n">
        <f aca="false">SUMIFS(Payment_Log_AP!$E$2:$E$753,Payment_Log_AP!$B$2:$B$753,A790)</f>
        <v>0</v>
      </c>
      <c r="H790" s="18" t="n">
        <f aca="false">F790-G790</f>
        <v>1679.37</v>
      </c>
      <c r="I790" s="16" t="n">
        <f aca="false">IF(H790&lt;=0.01,0,MAX(Assumptions!$B$5-E790,0))</f>
        <v>208</v>
      </c>
      <c r="J790" s="16" t="str">
        <f aca="false">IF(H790&lt;=0.01,"Paid",IF(I790&lt;=30,"0-30",IF(I790&lt;=60,"31-60",IF(I790&lt;=90,"61-90","90+"))))</f>
        <v>90+</v>
      </c>
      <c r="K790" s="16" t="str">
        <f aca="false">IF(H790&lt;=0.01,"Paid",IF(G790&gt;0,"Partially Paid","Unpaid"))</f>
        <v>Unpaid</v>
      </c>
    </row>
    <row r="791" customFormat="false" ht="15" hidden="false" customHeight="false" outlineLevel="0" collapsed="false">
      <c r="A791" s="16" t="str">
        <f aca="false">Vendor_Invoices_AP!A788</f>
        <v>INV30787</v>
      </c>
      <c r="B791" s="16" t="str">
        <f aca="false">Vendor_Invoices_AP!C788</f>
        <v>V1029</v>
      </c>
      <c r="C791" s="16" t="str">
        <f aca="false">IFERROR(INDEX(Vendor_Master!$B$2:$B$41,MATCH(B791,Vendor_Master!$A$2:$A$41,0)),"Unknown Vendor")</f>
        <v>Chavez Ltd</v>
      </c>
      <c r="D791" s="17" t="n">
        <f aca="false">Vendor_Invoices_AP!D788</f>
        <v>45971</v>
      </c>
      <c r="E791" s="17" t="n">
        <f aca="false">Vendor_Invoices_AP!F788</f>
        <v>46031</v>
      </c>
      <c r="F791" s="18" t="n">
        <f aca="false">Vendor_Invoices_AP!E788</f>
        <v>723.52</v>
      </c>
      <c r="G791" s="18" t="n">
        <f aca="false">SUMIFS(Payment_Log_AP!$E$2:$E$753,Payment_Log_AP!$B$2:$B$753,A791)</f>
        <v>723.52</v>
      </c>
      <c r="H791" s="18" t="n">
        <f aca="false">F791-G791</f>
        <v>0</v>
      </c>
      <c r="I791" s="16" t="n">
        <f aca="false">IF(H791&lt;=0.01,0,MAX(Assumptions!$B$5-E791,0))</f>
        <v>0</v>
      </c>
      <c r="J791" s="16" t="str">
        <f aca="false">IF(H791&lt;=0.01,"Paid",IF(I791&lt;=30,"0-30",IF(I791&lt;=60,"31-60",IF(I791&lt;=90,"61-90","90+"))))</f>
        <v>Paid</v>
      </c>
      <c r="K791" s="16" t="str">
        <f aca="false">IF(H791&lt;=0.01,"Paid",IF(G791&gt;0,"Partially Paid","Unpaid"))</f>
        <v>Paid</v>
      </c>
    </row>
    <row r="792" customFormat="false" ht="15" hidden="false" customHeight="false" outlineLevel="0" collapsed="false">
      <c r="A792" s="16" t="str">
        <f aca="false">Vendor_Invoices_AP!A789</f>
        <v>INV30788</v>
      </c>
      <c r="B792" s="16" t="str">
        <f aca="false">Vendor_Invoices_AP!C789</f>
        <v>V1027</v>
      </c>
      <c r="C792" s="16" t="str">
        <f aca="false">IFERROR(INDEX(Vendor_Master!$B$2:$B$41,MATCH(B792,Vendor_Master!$A$2:$A$41,0)),"Unknown Vendor")</f>
        <v>Valencia, Smith and Le</v>
      </c>
      <c r="D792" s="17" t="n">
        <f aca="false">Vendor_Invoices_AP!D789</f>
        <v>45844</v>
      </c>
      <c r="E792" s="17" t="n">
        <f aca="false">Vendor_Invoices_AP!F789</f>
        <v>45889</v>
      </c>
      <c r="F792" s="18" t="n">
        <f aca="false">Vendor_Invoices_AP!E789</f>
        <v>3110.63</v>
      </c>
      <c r="G792" s="18" t="n">
        <f aca="false">SUMIFS(Payment_Log_AP!$E$2:$E$753,Payment_Log_AP!$B$2:$B$753,A792)</f>
        <v>0</v>
      </c>
      <c r="H792" s="18" t="n">
        <f aca="false">F792-G792</f>
        <v>3110.63</v>
      </c>
      <c r="I792" s="16" t="n">
        <f aca="false">IF(H792&lt;=0.01,0,MAX(Assumptions!$B$5-E792,0))</f>
        <v>345</v>
      </c>
      <c r="J792" s="16" t="str">
        <f aca="false">IF(H792&lt;=0.01,"Paid",IF(I792&lt;=30,"0-30",IF(I792&lt;=60,"31-60",IF(I792&lt;=90,"61-90","90+"))))</f>
        <v>90+</v>
      </c>
      <c r="K792" s="16" t="str">
        <f aca="false">IF(H792&lt;=0.01,"Paid",IF(G792&gt;0,"Partially Paid","Unpaid"))</f>
        <v>Unpaid</v>
      </c>
    </row>
    <row r="793" customFormat="false" ht="15" hidden="false" customHeight="false" outlineLevel="0" collapsed="false">
      <c r="A793" s="16" t="str">
        <f aca="false">Vendor_Invoices_AP!A790</f>
        <v>INV30789</v>
      </c>
      <c r="B793" s="16" t="str">
        <f aca="false">Vendor_Invoices_AP!C790</f>
        <v>V1040</v>
      </c>
      <c r="C793" s="16" t="str">
        <f aca="false">IFERROR(INDEX(Vendor_Master!$B$2:$B$41,MATCH(B793,Vendor_Master!$A$2:$A$41,0)),"Unknown Vendor")</f>
        <v>Santos, Kim and Holmes</v>
      </c>
      <c r="D793" s="17" t="n">
        <f aca="false">Vendor_Invoices_AP!D790</f>
        <v>45747</v>
      </c>
      <c r="E793" s="17" t="n">
        <f aca="false">Vendor_Invoices_AP!F790</f>
        <v>45762</v>
      </c>
      <c r="F793" s="18" t="n">
        <f aca="false">Vendor_Invoices_AP!E790</f>
        <v>1751.47</v>
      </c>
      <c r="G793" s="18" t="n">
        <f aca="false">SUMIFS(Payment_Log_AP!$E$2:$E$753,Payment_Log_AP!$B$2:$B$753,A793)</f>
        <v>1751.47</v>
      </c>
      <c r="H793" s="18" t="n">
        <f aca="false">F793-G793</f>
        <v>0</v>
      </c>
      <c r="I793" s="16" t="n">
        <f aca="false">IF(H793&lt;=0.01,0,MAX(Assumptions!$B$5-E793,0))</f>
        <v>0</v>
      </c>
      <c r="J793" s="16" t="str">
        <f aca="false">IF(H793&lt;=0.01,"Paid",IF(I793&lt;=30,"0-30",IF(I793&lt;=60,"31-60",IF(I793&lt;=90,"61-90","90+"))))</f>
        <v>Paid</v>
      </c>
      <c r="K793" s="16" t="str">
        <f aca="false">IF(H793&lt;=0.01,"Paid",IF(G793&gt;0,"Partially Paid","Unpaid"))</f>
        <v>Paid</v>
      </c>
    </row>
    <row r="794" customFormat="false" ht="15" hidden="false" customHeight="false" outlineLevel="0" collapsed="false">
      <c r="A794" s="16" t="str">
        <f aca="false">Vendor_Invoices_AP!A791</f>
        <v>INV30790</v>
      </c>
      <c r="B794" s="16" t="str">
        <f aca="false">Vendor_Invoices_AP!C791</f>
        <v>V1014</v>
      </c>
      <c r="C794" s="16" t="str">
        <f aca="false">IFERROR(INDEX(Vendor_Master!$B$2:$B$41,MATCH(B794,Vendor_Master!$A$2:$A$41,0)),"Unknown Vendor")</f>
        <v>Flowers, Martin and Kelly</v>
      </c>
      <c r="D794" s="17" t="n">
        <f aca="false">Vendor_Invoices_AP!D791</f>
        <v>45874</v>
      </c>
      <c r="E794" s="17" t="n">
        <f aca="false">Vendor_Invoices_AP!F791</f>
        <v>45904</v>
      </c>
      <c r="F794" s="18" t="n">
        <f aca="false">Vendor_Invoices_AP!E791</f>
        <v>17936.73</v>
      </c>
      <c r="G794" s="18" t="n">
        <f aca="false">SUMIFS(Payment_Log_AP!$E$2:$E$753,Payment_Log_AP!$B$2:$B$753,A794)</f>
        <v>17936.73</v>
      </c>
      <c r="H794" s="18" t="n">
        <f aca="false">F794-G794</f>
        <v>0</v>
      </c>
      <c r="I794" s="16" t="n">
        <f aca="false">IF(H794&lt;=0.01,0,MAX(Assumptions!$B$5-E794,0))</f>
        <v>0</v>
      </c>
      <c r="J794" s="16" t="str">
        <f aca="false">IF(H794&lt;=0.01,"Paid",IF(I794&lt;=30,"0-30",IF(I794&lt;=60,"31-60",IF(I794&lt;=90,"61-90","90+"))))</f>
        <v>Paid</v>
      </c>
      <c r="K794" s="16" t="str">
        <f aca="false">IF(H794&lt;=0.01,"Paid",IF(G794&gt;0,"Partially Paid","Unpaid"))</f>
        <v>Paid</v>
      </c>
    </row>
    <row r="795" customFormat="false" ht="15" hidden="false" customHeight="false" outlineLevel="0" collapsed="false">
      <c r="A795" s="16" t="str">
        <f aca="false">Vendor_Invoices_AP!A792</f>
        <v>INV30791</v>
      </c>
      <c r="B795" s="16" t="str">
        <f aca="false">Vendor_Invoices_AP!C792</f>
        <v>V1039</v>
      </c>
      <c r="C795" s="16" t="str">
        <f aca="false">IFERROR(INDEX(Vendor_Master!$B$2:$B$41,MATCH(B795,Vendor_Master!$A$2:$A$41,0)),"Unknown Vendor")</f>
        <v>Campos, Vaughn and Marquez</v>
      </c>
      <c r="D795" s="17" t="n">
        <f aca="false">Vendor_Invoices_AP!D792</f>
        <v>46040</v>
      </c>
      <c r="E795" s="17" t="n">
        <f aca="false">Vendor_Invoices_AP!F792</f>
        <v>46070</v>
      </c>
      <c r="F795" s="18" t="n">
        <f aca="false">Vendor_Invoices_AP!E792</f>
        <v>7872.8</v>
      </c>
      <c r="G795" s="18" t="n">
        <f aca="false">SUMIFS(Payment_Log_AP!$E$2:$E$753,Payment_Log_AP!$B$2:$B$753,A795)</f>
        <v>7872.8</v>
      </c>
      <c r="H795" s="18" t="n">
        <f aca="false">F795-G795</f>
        <v>0</v>
      </c>
      <c r="I795" s="16" t="n">
        <f aca="false">IF(H795&lt;=0.01,0,MAX(Assumptions!$B$5-E795,0))</f>
        <v>0</v>
      </c>
      <c r="J795" s="16" t="str">
        <f aca="false">IF(H795&lt;=0.01,"Paid",IF(I795&lt;=30,"0-30",IF(I795&lt;=60,"31-60",IF(I795&lt;=90,"61-90","90+"))))</f>
        <v>Paid</v>
      </c>
      <c r="K795" s="16" t="str">
        <f aca="false">IF(H795&lt;=0.01,"Paid",IF(G795&gt;0,"Partially Paid","Unpaid"))</f>
        <v>Paid</v>
      </c>
    </row>
    <row r="796" customFormat="false" ht="15" hidden="false" customHeight="false" outlineLevel="0" collapsed="false">
      <c r="A796" s="16" t="str">
        <f aca="false">Vendor_Invoices_AP!A793</f>
        <v>INV30792</v>
      </c>
      <c r="B796" s="16" t="str">
        <f aca="false">Vendor_Invoices_AP!C793</f>
        <v>V1029</v>
      </c>
      <c r="C796" s="16" t="str">
        <f aca="false">IFERROR(INDEX(Vendor_Master!$B$2:$B$41,MATCH(B796,Vendor_Master!$A$2:$A$41,0)),"Unknown Vendor")</f>
        <v>Chavez Ltd</v>
      </c>
      <c r="D796" s="17" t="n">
        <f aca="false">Vendor_Invoices_AP!D793</f>
        <v>46072</v>
      </c>
      <c r="E796" s="17" t="n">
        <f aca="false">Vendor_Invoices_AP!F793</f>
        <v>46132</v>
      </c>
      <c r="F796" s="18" t="n">
        <f aca="false">Vendor_Invoices_AP!E793</f>
        <v>886.11</v>
      </c>
      <c r="G796" s="18" t="n">
        <f aca="false">SUMIFS(Payment_Log_AP!$E$2:$E$753,Payment_Log_AP!$B$2:$B$753,A796)</f>
        <v>886.11</v>
      </c>
      <c r="H796" s="18" t="n">
        <f aca="false">F796-G796</f>
        <v>0</v>
      </c>
      <c r="I796" s="16" t="n">
        <f aca="false">IF(H796&lt;=0.01,0,MAX(Assumptions!$B$5-E796,0))</f>
        <v>0</v>
      </c>
      <c r="J796" s="16" t="str">
        <f aca="false">IF(H796&lt;=0.01,"Paid",IF(I796&lt;=30,"0-30",IF(I796&lt;=60,"31-60",IF(I796&lt;=90,"61-90","90+"))))</f>
        <v>Paid</v>
      </c>
      <c r="K796" s="16" t="str">
        <f aca="false">IF(H796&lt;=0.01,"Paid",IF(G796&gt;0,"Partially Paid","Unpaid"))</f>
        <v>Paid</v>
      </c>
    </row>
    <row r="797" customFormat="false" ht="15" hidden="false" customHeight="false" outlineLevel="0" collapsed="false">
      <c r="A797" s="16" t="str">
        <f aca="false">Vendor_Invoices_AP!A794</f>
        <v>INV30793</v>
      </c>
      <c r="B797" s="16" t="str">
        <f aca="false">Vendor_Invoices_AP!C794</f>
        <v>V1010</v>
      </c>
      <c r="C797" s="16" t="str">
        <f aca="false">IFERROR(INDEX(Vendor_Master!$B$2:$B$41,MATCH(B797,Vendor_Master!$A$2:$A$41,0)),"Unknown Vendor")</f>
        <v>Martinez, Nielsen and Miller</v>
      </c>
      <c r="D797" s="17" t="n">
        <f aca="false">Vendor_Invoices_AP!D794</f>
        <v>46148</v>
      </c>
      <c r="E797" s="17" t="n">
        <f aca="false">Vendor_Invoices_AP!F794</f>
        <v>46163</v>
      </c>
      <c r="F797" s="18" t="n">
        <f aca="false">Vendor_Invoices_AP!E794</f>
        <v>944.22</v>
      </c>
      <c r="G797" s="18" t="n">
        <f aca="false">SUMIFS(Payment_Log_AP!$E$2:$E$753,Payment_Log_AP!$B$2:$B$753,A797)</f>
        <v>0</v>
      </c>
      <c r="H797" s="18" t="n">
        <f aca="false">F797-G797</f>
        <v>944.22</v>
      </c>
      <c r="I797" s="16" t="n">
        <f aca="false">IF(H797&lt;=0.01,0,MAX(Assumptions!$B$5-E797,0))</f>
        <v>71</v>
      </c>
      <c r="J797" s="16" t="str">
        <f aca="false">IF(H797&lt;=0.01,"Paid",IF(I797&lt;=30,"0-30",IF(I797&lt;=60,"31-60",IF(I797&lt;=90,"61-90","90+"))))</f>
        <v>61-90</v>
      </c>
      <c r="K797" s="16" t="str">
        <f aca="false">IF(H797&lt;=0.01,"Paid",IF(G797&gt;0,"Partially Paid","Unpaid"))</f>
        <v>Unpaid</v>
      </c>
    </row>
    <row r="798" customFormat="false" ht="15" hidden="false" customHeight="false" outlineLevel="0" collapsed="false">
      <c r="A798" s="16" t="str">
        <f aca="false">Vendor_Invoices_AP!A795</f>
        <v>INV30794</v>
      </c>
      <c r="B798" s="16" t="str">
        <f aca="false">Vendor_Invoices_AP!C795</f>
        <v>V1022</v>
      </c>
      <c r="C798" s="16" t="str">
        <f aca="false">IFERROR(INDEX(Vendor_Master!$B$2:$B$41,MATCH(B798,Vendor_Master!$A$2:$A$41,0)),"Unknown Vendor")</f>
        <v>Burgess-Patterson</v>
      </c>
      <c r="D798" s="17" t="n">
        <f aca="false">Vendor_Invoices_AP!D795</f>
        <v>46057</v>
      </c>
      <c r="E798" s="17" t="n">
        <f aca="false">Vendor_Invoices_AP!F795</f>
        <v>46087</v>
      </c>
      <c r="F798" s="18" t="n">
        <f aca="false">Vendor_Invoices_AP!E795</f>
        <v>270.06</v>
      </c>
      <c r="G798" s="18" t="n">
        <f aca="false">SUMIFS(Payment_Log_AP!$E$2:$E$753,Payment_Log_AP!$B$2:$B$753,A798)</f>
        <v>270.06</v>
      </c>
      <c r="H798" s="18" t="n">
        <f aca="false">F798-G798</f>
        <v>0</v>
      </c>
      <c r="I798" s="16" t="n">
        <f aca="false">IF(H798&lt;=0.01,0,MAX(Assumptions!$B$5-E798,0))</f>
        <v>0</v>
      </c>
      <c r="J798" s="16" t="str">
        <f aca="false">IF(H798&lt;=0.01,"Paid",IF(I798&lt;=30,"0-30",IF(I798&lt;=60,"31-60",IF(I798&lt;=90,"61-90","90+"))))</f>
        <v>Paid</v>
      </c>
      <c r="K798" s="16" t="str">
        <f aca="false">IF(H798&lt;=0.01,"Paid",IF(G798&gt;0,"Partially Paid","Unpaid"))</f>
        <v>Paid</v>
      </c>
    </row>
    <row r="799" customFormat="false" ht="15" hidden="false" customHeight="false" outlineLevel="0" collapsed="false">
      <c r="A799" s="16" t="str">
        <f aca="false">Vendor_Invoices_AP!A796</f>
        <v>INV30795</v>
      </c>
      <c r="B799" s="16" t="str">
        <f aca="false">Vendor_Invoices_AP!C796</f>
        <v>V1025</v>
      </c>
      <c r="C799" s="16" t="str">
        <f aca="false">IFERROR(INDEX(Vendor_Master!$B$2:$B$41,MATCH(B799,Vendor_Master!$A$2:$A$41,0)),"Unknown Vendor")</f>
        <v>Conner Group</v>
      </c>
      <c r="D799" s="17" t="n">
        <f aca="false">Vendor_Invoices_AP!D796</f>
        <v>46194</v>
      </c>
      <c r="E799" s="17" t="n">
        <f aca="false">Vendor_Invoices_AP!F796</f>
        <v>46239</v>
      </c>
      <c r="F799" s="18" t="n">
        <f aca="false">Vendor_Invoices_AP!E796</f>
        <v>6371.15</v>
      </c>
      <c r="G799" s="18" t="n">
        <f aca="false">SUMIFS(Payment_Log_AP!$E$2:$E$753,Payment_Log_AP!$B$2:$B$753,A799)</f>
        <v>6371.15</v>
      </c>
      <c r="H799" s="18" t="n">
        <f aca="false">F799-G799</f>
        <v>0</v>
      </c>
      <c r="I799" s="16" t="n">
        <f aca="false">IF(H799&lt;=0.01,0,MAX(Assumptions!$B$5-E799,0))</f>
        <v>0</v>
      </c>
      <c r="J799" s="16" t="str">
        <f aca="false">IF(H799&lt;=0.01,"Paid",IF(I799&lt;=30,"0-30",IF(I799&lt;=60,"31-60",IF(I799&lt;=90,"61-90","90+"))))</f>
        <v>Paid</v>
      </c>
      <c r="K799" s="16" t="str">
        <f aca="false">IF(H799&lt;=0.01,"Paid",IF(G799&gt;0,"Partially Paid","Unpaid"))</f>
        <v>Paid</v>
      </c>
    </row>
    <row r="800" customFormat="false" ht="15" hidden="false" customHeight="false" outlineLevel="0" collapsed="false">
      <c r="A800" s="16" t="str">
        <f aca="false">Vendor_Invoices_AP!A797</f>
        <v>INV30796</v>
      </c>
      <c r="B800" s="16" t="str">
        <f aca="false">Vendor_Invoices_AP!C797</f>
        <v>V1028</v>
      </c>
      <c r="C800" s="16" t="str">
        <f aca="false">IFERROR(INDEX(Vendor_Master!$B$2:$B$41,MATCH(B800,Vendor_Master!$A$2:$A$41,0)),"Unknown Vendor")</f>
        <v>Potter, Mack and Peterson</v>
      </c>
      <c r="D800" s="17" t="n">
        <f aca="false">Vendor_Invoices_AP!D797</f>
        <v>46004</v>
      </c>
      <c r="E800" s="17" t="n">
        <f aca="false">Vendor_Invoices_AP!F797</f>
        <v>46049</v>
      </c>
      <c r="F800" s="18" t="n">
        <f aca="false">Vendor_Invoices_AP!E797</f>
        <v>2179.28</v>
      </c>
      <c r="G800" s="18" t="n">
        <f aca="false">SUMIFS(Payment_Log_AP!$E$2:$E$753,Payment_Log_AP!$B$2:$B$753,A800)</f>
        <v>2179.28</v>
      </c>
      <c r="H800" s="18" t="n">
        <f aca="false">F800-G800</f>
        <v>0</v>
      </c>
      <c r="I800" s="16" t="n">
        <f aca="false">IF(H800&lt;=0.01,0,MAX(Assumptions!$B$5-E800,0))</f>
        <v>0</v>
      </c>
      <c r="J800" s="16" t="str">
        <f aca="false">IF(H800&lt;=0.01,"Paid",IF(I800&lt;=30,"0-30",IF(I800&lt;=60,"31-60",IF(I800&lt;=90,"61-90","90+"))))</f>
        <v>Paid</v>
      </c>
      <c r="K800" s="16" t="str">
        <f aca="false">IF(H800&lt;=0.01,"Paid",IF(G800&gt;0,"Partially Paid","Unpaid"))</f>
        <v>Paid</v>
      </c>
    </row>
    <row r="801" customFormat="false" ht="15" hidden="false" customHeight="false" outlineLevel="0" collapsed="false">
      <c r="A801" s="16" t="str">
        <f aca="false">Vendor_Invoices_AP!A798</f>
        <v>INV30797</v>
      </c>
      <c r="B801" s="16" t="str">
        <f aca="false">Vendor_Invoices_AP!C798</f>
        <v>V1032</v>
      </c>
      <c r="C801" s="16" t="str">
        <f aca="false">IFERROR(INDEX(Vendor_Master!$B$2:$B$41,MATCH(B801,Vendor_Master!$A$2:$A$41,0)),"Unknown Vendor")</f>
        <v>Lynch, Hernandez and Farmer</v>
      </c>
      <c r="D801" s="17" t="n">
        <f aca="false">Vendor_Invoices_AP!D798</f>
        <v>45867</v>
      </c>
      <c r="E801" s="17" t="n">
        <f aca="false">Vendor_Invoices_AP!F798</f>
        <v>45927</v>
      </c>
      <c r="F801" s="18" t="n">
        <f aca="false">Vendor_Invoices_AP!E798</f>
        <v>4559.19</v>
      </c>
      <c r="G801" s="18" t="n">
        <f aca="false">SUMIFS(Payment_Log_AP!$E$2:$E$753,Payment_Log_AP!$B$2:$B$753,A801)</f>
        <v>4559.19</v>
      </c>
      <c r="H801" s="18" t="n">
        <f aca="false">F801-G801</f>
        <v>0</v>
      </c>
      <c r="I801" s="16" t="n">
        <f aca="false">IF(H801&lt;=0.01,0,MAX(Assumptions!$B$5-E801,0))</f>
        <v>0</v>
      </c>
      <c r="J801" s="16" t="str">
        <f aca="false">IF(H801&lt;=0.01,"Paid",IF(I801&lt;=30,"0-30",IF(I801&lt;=60,"31-60",IF(I801&lt;=90,"61-90","90+"))))</f>
        <v>Paid</v>
      </c>
      <c r="K801" s="16" t="str">
        <f aca="false">IF(H801&lt;=0.01,"Paid",IF(G801&gt;0,"Partially Paid","Unpaid"))</f>
        <v>Paid</v>
      </c>
    </row>
    <row r="802" customFormat="false" ht="15" hidden="false" customHeight="false" outlineLevel="0" collapsed="false">
      <c r="A802" s="16" t="str">
        <f aca="false">Vendor_Invoices_AP!A799</f>
        <v>INV30798</v>
      </c>
      <c r="B802" s="16" t="str">
        <f aca="false">Vendor_Invoices_AP!C799</f>
        <v>V1037</v>
      </c>
      <c r="C802" s="16" t="str">
        <f aca="false">IFERROR(INDEX(Vendor_Master!$B$2:$B$41,MATCH(B802,Vendor_Master!$A$2:$A$41,0)),"Unknown Vendor")</f>
        <v>Cannon, Anderson and Alvarez</v>
      </c>
      <c r="D802" s="17" t="n">
        <f aca="false">Vendor_Invoices_AP!D799</f>
        <v>45996</v>
      </c>
      <c r="E802" s="17" t="n">
        <f aca="false">Vendor_Invoices_AP!F799</f>
        <v>46026</v>
      </c>
      <c r="F802" s="18" t="n">
        <f aca="false">Vendor_Invoices_AP!E799</f>
        <v>1738.1</v>
      </c>
      <c r="G802" s="18" t="n">
        <f aca="false">SUMIFS(Payment_Log_AP!$E$2:$E$753,Payment_Log_AP!$B$2:$B$753,A802)</f>
        <v>1738.1</v>
      </c>
      <c r="H802" s="18" t="n">
        <f aca="false">F802-G802</f>
        <v>0</v>
      </c>
      <c r="I802" s="16" t="n">
        <f aca="false">IF(H802&lt;=0.01,0,MAX(Assumptions!$B$5-E802,0))</f>
        <v>0</v>
      </c>
      <c r="J802" s="16" t="str">
        <f aca="false">IF(H802&lt;=0.01,"Paid",IF(I802&lt;=30,"0-30",IF(I802&lt;=60,"31-60",IF(I802&lt;=90,"61-90","90+"))))</f>
        <v>Paid</v>
      </c>
      <c r="K802" s="16" t="str">
        <f aca="false">IF(H802&lt;=0.01,"Paid",IF(G802&gt;0,"Partially Paid","Unpaid"))</f>
        <v>Paid</v>
      </c>
    </row>
    <row r="803" customFormat="false" ht="15" hidden="false" customHeight="false" outlineLevel="0" collapsed="false">
      <c r="A803" s="16" t="str">
        <f aca="false">Vendor_Invoices_AP!A800</f>
        <v>INV30799</v>
      </c>
      <c r="B803" s="16" t="str">
        <f aca="false">Vendor_Invoices_AP!C800</f>
        <v>V1010</v>
      </c>
      <c r="C803" s="16" t="str">
        <f aca="false">IFERROR(INDEX(Vendor_Master!$B$2:$B$41,MATCH(B803,Vendor_Master!$A$2:$A$41,0)),"Unknown Vendor")</f>
        <v>Martinez, Nielsen and Miller</v>
      </c>
      <c r="D803" s="17" t="n">
        <f aca="false">Vendor_Invoices_AP!D800</f>
        <v>45789</v>
      </c>
      <c r="E803" s="17" t="n">
        <f aca="false">Vendor_Invoices_AP!F800</f>
        <v>45804</v>
      </c>
      <c r="F803" s="18" t="n">
        <f aca="false">Vendor_Invoices_AP!E800</f>
        <v>8655.91</v>
      </c>
      <c r="G803" s="18" t="n">
        <f aca="false">SUMIFS(Payment_Log_AP!$E$2:$E$753,Payment_Log_AP!$B$2:$B$753,A803)</f>
        <v>8655.91</v>
      </c>
      <c r="H803" s="18" t="n">
        <f aca="false">F803-G803</f>
        <v>0</v>
      </c>
      <c r="I803" s="16" t="n">
        <f aca="false">IF(H803&lt;=0.01,0,MAX(Assumptions!$B$5-E803,0))</f>
        <v>0</v>
      </c>
      <c r="J803" s="16" t="str">
        <f aca="false">IF(H803&lt;=0.01,"Paid",IF(I803&lt;=30,"0-30",IF(I803&lt;=60,"31-60",IF(I803&lt;=90,"61-90","90+"))))</f>
        <v>Paid</v>
      </c>
      <c r="K803" s="16" t="str">
        <f aca="false">IF(H803&lt;=0.01,"Paid",IF(G803&gt;0,"Partially Paid","Unpaid"))</f>
        <v>Paid</v>
      </c>
    </row>
    <row r="804" customFormat="false" ht="15" hidden="false" customHeight="false" outlineLevel="0" collapsed="false">
      <c r="A804" s="16" t="str">
        <f aca="false">Vendor_Invoices_AP!A801</f>
        <v>INV30800</v>
      </c>
      <c r="B804" s="16" t="str">
        <f aca="false">Vendor_Invoices_AP!C801</f>
        <v>V1028</v>
      </c>
      <c r="C804" s="16" t="str">
        <f aca="false">IFERROR(INDEX(Vendor_Master!$B$2:$B$41,MATCH(B804,Vendor_Master!$A$2:$A$41,0)),"Unknown Vendor")</f>
        <v>Potter, Mack and Peterson</v>
      </c>
      <c r="D804" s="17" t="n">
        <f aca="false">Vendor_Invoices_AP!D801</f>
        <v>46021</v>
      </c>
      <c r="E804" s="17" t="n">
        <f aca="false">Vendor_Invoices_AP!F801</f>
        <v>46066</v>
      </c>
      <c r="F804" s="18" t="n">
        <f aca="false">Vendor_Invoices_AP!E801</f>
        <v>3002.81</v>
      </c>
      <c r="G804" s="18" t="n">
        <f aca="false">SUMIFS(Payment_Log_AP!$E$2:$E$753,Payment_Log_AP!$B$2:$B$753,A804)</f>
        <v>3002.81</v>
      </c>
      <c r="H804" s="18" t="n">
        <f aca="false">F804-G804</f>
        <v>0</v>
      </c>
      <c r="I804" s="16" t="n">
        <f aca="false">IF(H804&lt;=0.01,0,MAX(Assumptions!$B$5-E804,0))</f>
        <v>0</v>
      </c>
      <c r="J804" s="16" t="str">
        <f aca="false">IF(H804&lt;=0.01,"Paid",IF(I804&lt;=30,"0-30",IF(I804&lt;=60,"31-60",IF(I804&lt;=90,"61-90","90+"))))</f>
        <v>Paid</v>
      </c>
      <c r="K804" s="16" t="str">
        <f aca="false">IF(H804&lt;=0.01,"Paid",IF(G804&gt;0,"Partially Paid","Unpaid"))</f>
        <v>Paid</v>
      </c>
    </row>
    <row r="805" customFormat="false" ht="15" hidden="false" customHeight="false" outlineLevel="0" collapsed="false">
      <c r="A805" s="16" t="str">
        <f aca="false">Vendor_Invoices_AP!A802</f>
        <v>INV30801</v>
      </c>
      <c r="B805" s="16" t="str">
        <f aca="false">Vendor_Invoices_AP!C802</f>
        <v>V1038</v>
      </c>
      <c r="C805" s="16" t="str">
        <f aca="false">IFERROR(INDEX(Vendor_Master!$B$2:$B$41,MATCH(B805,Vendor_Master!$A$2:$A$41,0)),"Unknown Vendor")</f>
        <v>Rose-Obrien</v>
      </c>
      <c r="D805" s="17" t="n">
        <f aca="false">Vendor_Invoices_AP!D802</f>
        <v>45791</v>
      </c>
      <c r="E805" s="17" t="n">
        <f aca="false">Vendor_Invoices_AP!F802</f>
        <v>45821</v>
      </c>
      <c r="F805" s="18" t="n">
        <f aca="false">Vendor_Invoices_AP!E802</f>
        <v>2069.86</v>
      </c>
      <c r="G805" s="18" t="n">
        <f aca="false">SUMIFS(Payment_Log_AP!$E$2:$E$753,Payment_Log_AP!$B$2:$B$753,A805)</f>
        <v>2069.86</v>
      </c>
      <c r="H805" s="18" t="n">
        <f aca="false">F805-G805</f>
        <v>0</v>
      </c>
      <c r="I805" s="16" t="n">
        <f aca="false">IF(H805&lt;=0.01,0,MAX(Assumptions!$B$5-E805,0))</f>
        <v>0</v>
      </c>
      <c r="J805" s="16" t="str">
        <f aca="false">IF(H805&lt;=0.01,"Paid",IF(I805&lt;=30,"0-30",IF(I805&lt;=60,"31-60",IF(I805&lt;=90,"61-90","90+"))))</f>
        <v>Paid</v>
      </c>
      <c r="K805" s="16" t="str">
        <f aca="false">IF(H805&lt;=0.01,"Paid",IF(G805&gt;0,"Partially Paid","Unpaid"))</f>
        <v>Paid</v>
      </c>
    </row>
    <row r="806" customFormat="false" ht="15" hidden="false" customHeight="false" outlineLevel="0" collapsed="false">
      <c r="A806" s="16" t="str">
        <f aca="false">Vendor_Invoices_AP!A803</f>
        <v>INV30802</v>
      </c>
      <c r="B806" s="16" t="str">
        <f aca="false">Vendor_Invoices_AP!C803</f>
        <v>V1019</v>
      </c>
      <c r="C806" s="16" t="str">
        <f aca="false">IFERROR(INDEX(Vendor_Master!$B$2:$B$41,MATCH(B806,Vendor_Master!$A$2:$A$41,0)),"Unknown Vendor")</f>
        <v>Clark PLC</v>
      </c>
      <c r="D806" s="17" t="n">
        <f aca="false">Vendor_Invoices_AP!D803</f>
        <v>45732</v>
      </c>
      <c r="E806" s="17" t="n">
        <f aca="false">Vendor_Invoices_AP!F803</f>
        <v>45777</v>
      </c>
      <c r="F806" s="18" t="n">
        <f aca="false">Vendor_Invoices_AP!E803</f>
        <v>1217.09</v>
      </c>
      <c r="G806" s="18" t="n">
        <f aca="false">SUMIFS(Payment_Log_AP!$E$2:$E$753,Payment_Log_AP!$B$2:$B$753,A806)</f>
        <v>1217.09</v>
      </c>
      <c r="H806" s="18" t="n">
        <f aca="false">F806-G806</f>
        <v>0</v>
      </c>
      <c r="I806" s="16" t="n">
        <f aca="false">IF(H806&lt;=0.01,0,MAX(Assumptions!$B$5-E806,0))</f>
        <v>0</v>
      </c>
      <c r="J806" s="16" t="str">
        <f aca="false">IF(H806&lt;=0.01,"Paid",IF(I806&lt;=30,"0-30",IF(I806&lt;=60,"31-60",IF(I806&lt;=90,"61-90","90+"))))</f>
        <v>Paid</v>
      </c>
      <c r="K806" s="16" t="str">
        <f aca="false">IF(H806&lt;=0.01,"Paid",IF(G806&gt;0,"Partially Paid","Unpaid"))</f>
        <v>Paid</v>
      </c>
    </row>
    <row r="807" customFormat="false" ht="15" hidden="false" customHeight="false" outlineLevel="0" collapsed="false">
      <c r="A807" s="16" t="str">
        <f aca="false">Vendor_Invoices_AP!A804</f>
        <v>INV30803</v>
      </c>
      <c r="B807" s="16" t="str">
        <f aca="false">Vendor_Invoices_AP!C804</f>
        <v>V1009</v>
      </c>
      <c r="C807" s="16" t="str">
        <f aca="false">IFERROR(INDEX(Vendor_Master!$B$2:$B$41,MATCH(B807,Vendor_Master!$A$2:$A$41,0)),"Unknown Vendor")</f>
        <v>Munoz-Roman</v>
      </c>
      <c r="D807" s="17" t="n">
        <f aca="false">Vendor_Invoices_AP!D804</f>
        <v>46130</v>
      </c>
      <c r="E807" s="17" t="n">
        <f aca="false">Vendor_Invoices_AP!F804</f>
        <v>46160</v>
      </c>
      <c r="F807" s="18" t="n">
        <f aca="false">Vendor_Invoices_AP!E804</f>
        <v>680.64</v>
      </c>
      <c r="G807" s="18" t="n">
        <f aca="false">SUMIFS(Payment_Log_AP!$E$2:$E$753,Payment_Log_AP!$B$2:$B$753,A807)</f>
        <v>680.64</v>
      </c>
      <c r="H807" s="18" t="n">
        <f aca="false">F807-G807</f>
        <v>0</v>
      </c>
      <c r="I807" s="16" t="n">
        <f aca="false">IF(H807&lt;=0.01,0,MAX(Assumptions!$B$5-E807,0))</f>
        <v>0</v>
      </c>
      <c r="J807" s="16" t="str">
        <f aca="false">IF(H807&lt;=0.01,"Paid",IF(I807&lt;=30,"0-30",IF(I807&lt;=60,"31-60",IF(I807&lt;=90,"61-90","90+"))))</f>
        <v>Paid</v>
      </c>
      <c r="K807" s="16" t="str">
        <f aca="false">IF(H807&lt;=0.01,"Paid",IF(G807&gt;0,"Partially Paid","Unpaid"))</f>
        <v>Paid</v>
      </c>
    </row>
    <row r="808" customFormat="false" ht="15" hidden="false" customHeight="false" outlineLevel="0" collapsed="false">
      <c r="A808" s="16" t="str">
        <f aca="false">Vendor_Invoices_AP!A805</f>
        <v>INV30804</v>
      </c>
      <c r="B808" s="16" t="str">
        <f aca="false">Vendor_Invoices_AP!C805</f>
        <v>V1035</v>
      </c>
      <c r="C808" s="16" t="str">
        <f aca="false">IFERROR(INDEX(Vendor_Master!$B$2:$B$41,MATCH(B808,Vendor_Master!$A$2:$A$41,0)),"Unknown Vendor")</f>
        <v>Allen PLC</v>
      </c>
      <c r="D808" s="17" t="n">
        <f aca="false">Vendor_Invoices_AP!D805</f>
        <v>45883</v>
      </c>
      <c r="E808" s="17" t="n">
        <f aca="false">Vendor_Invoices_AP!F805</f>
        <v>45898</v>
      </c>
      <c r="F808" s="18" t="n">
        <f aca="false">Vendor_Invoices_AP!E805</f>
        <v>1467.37</v>
      </c>
      <c r="G808" s="18" t="n">
        <f aca="false">SUMIFS(Payment_Log_AP!$E$2:$E$753,Payment_Log_AP!$B$2:$B$753,A808)</f>
        <v>1467.37</v>
      </c>
      <c r="H808" s="18" t="n">
        <f aca="false">F808-G808</f>
        <v>0</v>
      </c>
      <c r="I808" s="16" t="n">
        <f aca="false">IF(H808&lt;=0.01,0,MAX(Assumptions!$B$5-E808,0))</f>
        <v>0</v>
      </c>
      <c r="J808" s="16" t="str">
        <f aca="false">IF(H808&lt;=0.01,"Paid",IF(I808&lt;=30,"0-30",IF(I808&lt;=60,"31-60",IF(I808&lt;=90,"61-90","90+"))))</f>
        <v>Paid</v>
      </c>
      <c r="K808" s="16" t="str">
        <f aca="false">IF(H808&lt;=0.01,"Paid",IF(G808&gt;0,"Partially Paid","Unpaid"))</f>
        <v>Paid</v>
      </c>
    </row>
    <row r="809" customFormat="false" ht="15" hidden="false" customHeight="false" outlineLevel="0" collapsed="false">
      <c r="A809" s="16" t="str">
        <f aca="false">Vendor_Invoices_AP!A806</f>
        <v>INV30805</v>
      </c>
      <c r="B809" s="16" t="str">
        <f aca="false">Vendor_Invoices_AP!C806</f>
        <v>V1011</v>
      </c>
      <c r="C809" s="16" t="str">
        <f aca="false">IFERROR(INDEX(Vendor_Master!$B$2:$B$41,MATCH(B809,Vendor_Master!$A$2:$A$41,0)),"Unknown Vendor")</f>
        <v>Montgomery, Hensley and Ray</v>
      </c>
      <c r="D809" s="17" t="n">
        <f aca="false">Vendor_Invoices_AP!D806</f>
        <v>46097</v>
      </c>
      <c r="E809" s="17" t="n">
        <f aca="false">Vendor_Invoices_AP!F806</f>
        <v>46142</v>
      </c>
      <c r="F809" s="18" t="n">
        <f aca="false">Vendor_Invoices_AP!E806</f>
        <v>816.48</v>
      </c>
      <c r="G809" s="18" t="n">
        <f aca="false">SUMIFS(Payment_Log_AP!$E$2:$E$753,Payment_Log_AP!$B$2:$B$753,A809)</f>
        <v>816.48</v>
      </c>
      <c r="H809" s="18" t="n">
        <f aca="false">F809-G809</f>
        <v>0</v>
      </c>
      <c r="I809" s="16" t="n">
        <f aca="false">IF(H809&lt;=0.01,0,MAX(Assumptions!$B$5-E809,0))</f>
        <v>0</v>
      </c>
      <c r="J809" s="16" t="str">
        <f aca="false">IF(H809&lt;=0.01,"Paid",IF(I809&lt;=30,"0-30",IF(I809&lt;=60,"31-60",IF(I809&lt;=90,"61-90","90+"))))</f>
        <v>Paid</v>
      </c>
      <c r="K809" s="16" t="str">
        <f aca="false">IF(H809&lt;=0.01,"Paid",IF(G809&gt;0,"Partially Paid","Unpaid"))</f>
        <v>Paid</v>
      </c>
    </row>
    <row r="810" customFormat="false" ht="15" hidden="false" customHeight="false" outlineLevel="0" collapsed="false">
      <c r="A810" s="16" t="str">
        <f aca="false">Vendor_Invoices_AP!A807</f>
        <v>INV30806</v>
      </c>
      <c r="B810" s="16" t="str">
        <f aca="false">Vendor_Invoices_AP!C807</f>
        <v>V1002</v>
      </c>
      <c r="C810" s="16" t="str">
        <f aca="false">IFERROR(INDEX(Vendor_Master!$B$2:$B$41,MATCH(B810,Vendor_Master!$A$2:$A$41,0)),"Unknown Vendor")</f>
        <v>Garcia, Yang and Gardner</v>
      </c>
      <c r="D810" s="17" t="n">
        <f aca="false">Vendor_Invoices_AP!D807</f>
        <v>45976</v>
      </c>
      <c r="E810" s="17" t="n">
        <f aca="false">Vendor_Invoices_AP!F807</f>
        <v>45991</v>
      </c>
      <c r="F810" s="18" t="n">
        <f aca="false">Vendor_Invoices_AP!E807</f>
        <v>1016.58</v>
      </c>
      <c r="G810" s="18" t="n">
        <f aca="false">SUMIFS(Payment_Log_AP!$E$2:$E$753,Payment_Log_AP!$B$2:$B$753,A810)</f>
        <v>1016.58</v>
      </c>
      <c r="H810" s="18" t="n">
        <f aca="false">F810-G810</f>
        <v>0</v>
      </c>
      <c r="I810" s="16" t="n">
        <f aca="false">IF(H810&lt;=0.01,0,MAX(Assumptions!$B$5-E810,0))</f>
        <v>0</v>
      </c>
      <c r="J810" s="16" t="str">
        <f aca="false">IF(H810&lt;=0.01,"Paid",IF(I810&lt;=30,"0-30",IF(I810&lt;=60,"31-60",IF(I810&lt;=90,"61-90","90+"))))</f>
        <v>Paid</v>
      </c>
      <c r="K810" s="16" t="str">
        <f aca="false">IF(H810&lt;=0.01,"Paid",IF(G810&gt;0,"Partially Paid","Unpaid"))</f>
        <v>Paid</v>
      </c>
    </row>
    <row r="811" customFormat="false" ht="15" hidden="false" customHeight="false" outlineLevel="0" collapsed="false">
      <c r="A811" s="16" t="str">
        <f aca="false">Vendor_Invoices_AP!A808</f>
        <v>INV30807</v>
      </c>
      <c r="B811" s="16" t="str">
        <f aca="false">Vendor_Invoices_AP!C808</f>
        <v>V1035</v>
      </c>
      <c r="C811" s="16" t="str">
        <f aca="false">IFERROR(INDEX(Vendor_Master!$B$2:$B$41,MATCH(B811,Vendor_Master!$A$2:$A$41,0)),"Unknown Vendor")</f>
        <v>Allen PLC</v>
      </c>
      <c r="D811" s="17" t="n">
        <f aca="false">Vendor_Invoices_AP!D808</f>
        <v>46112</v>
      </c>
      <c r="E811" s="17" t="n">
        <f aca="false">Vendor_Invoices_AP!F808</f>
        <v>46127</v>
      </c>
      <c r="F811" s="18" t="n">
        <f aca="false">Vendor_Invoices_AP!E808</f>
        <v>7498.53</v>
      </c>
      <c r="G811" s="18" t="n">
        <f aca="false">SUMIFS(Payment_Log_AP!$E$2:$E$753,Payment_Log_AP!$B$2:$B$753,A811)</f>
        <v>7498.53</v>
      </c>
      <c r="H811" s="18" t="n">
        <f aca="false">F811-G811</f>
        <v>0</v>
      </c>
      <c r="I811" s="16" t="n">
        <f aca="false">IF(H811&lt;=0.01,0,MAX(Assumptions!$B$5-E811,0))</f>
        <v>0</v>
      </c>
      <c r="J811" s="16" t="str">
        <f aca="false">IF(H811&lt;=0.01,"Paid",IF(I811&lt;=30,"0-30",IF(I811&lt;=60,"31-60",IF(I811&lt;=90,"61-90","90+"))))</f>
        <v>Paid</v>
      </c>
      <c r="K811" s="16" t="str">
        <f aca="false">IF(H811&lt;=0.01,"Paid",IF(G811&gt;0,"Partially Paid","Unpaid"))</f>
        <v>Paid</v>
      </c>
    </row>
    <row r="812" customFormat="false" ht="15" hidden="false" customHeight="false" outlineLevel="0" collapsed="false">
      <c r="A812" s="16" t="str">
        <f aca="false">Vendor_Invoices_AP!A809</f>
        <v>INV30808</v>
      </c>
      <c r="B812" s="16" t="str">
        <f aca="false">Vendor_Invoices_AP!C809</f>
        <v>V1039</v>
      </c>
      <c r="C812" s="16" t="str">
        <f aca="false">IFERROR(INDEX(Vendor_Master!$B$2:$B$41,MATCH(B812,Vendor_Master!$A$2:$A$41,0)),"Unknown Vendor")</f>
        <v>Campos, Vaughn and Marquez</v>
      </c>
      <c r="D812" s="17" t="n">
        <f aca="false">Vendor_Invoices_AP!D809</f>
        <v>46122</v>
      </c>
      <c r="E812" s="17" t="n">
        <f aca="false">Vendor_Invoices_AP!F809</f>
        <v>46152</v>
      </c>
      <c r="F812" s="18" t="n">
        <f aca="false">Vendor_Invoices_AP!E809</f>
        <v>396.51</v>
      </c>
      <c r="G812" s="18" t="n">
        <f aca="false">SUMIFS(Payment_Log_AP!$E$2:$E$753,Payment_Log_AP!$B$2:$B$753,A812)</f>
        <v>396.51</v>
      </c>
      <c r="H812" s="18" t="n">
        <f aca="false">F812-G812</f>
        <v>0</v>
      </c>
      <c r="I812" s="16" t="n">
        <f aca="false">IF(H812&lt;=0.01,0,MAX(Assumptions!$B$5-E812,0))</f>
        <v>0</v>
      </c>
      <c r="J812" s="16" t="str">
        <f aca="false">IF(H812&lt;=0.01,"Paid",IF(I812&lt;=30,"0-30",IF(I812&lt;=60,"31-60",IF(I812&lt;=90,"61-90","90+"))))</f>
        <v>Paid</v>
      </c>
      <c r="K812" s="16" t="str">
        <f aca="false">IF(H812&lt;=0.01,"Paid",IF(G812&gt;0,"Partially Paid","Unpaid"))</f>
        <v>Paid</v>
      </c>
    </row>
    <row r="813" customFormat="false" ht="15" hidden="false" customHeight="false" outlineLevel="0" collapsed="false">
      <c r="A813" s="16" t="str">
        <f aca="false">Vendor_Invoices_AP!A810</f>
        <v>INV30809</v>
      </c>
      <c r="B813" s="16" t="str">
        <f aca="false">Vendor_Invoices_AP!C810</f>
        <v>V1034</v>
      </c>
      <c r="C813" s="16" t="str">
        <f aca="false">IFERROR(INDEX(Vendor_Master!$B$2:$B$41,MATCH(B813,Vendor_Master!$A$2:$A$41,0)),"Unknown Vendor")</f>
        <v>Koch-Decker</v>
      </c>
      <c r="D813" s="17" t="n">
        <f aca="false">Vendor_Invoices_AP!D810</f>
        <v>46197</v>
      </c>
      <c r="E813" s="17" t="n">
        <f aca="false">Vendor_Invoices_AP!F810</f>
        <v>46242</v>
      </c>
      <c r="F813" s="18" t="n">
        <f aca="false">Vendor_Invoices_AP!E810</f>
        <v>200.9</v>
      </c>
      <c r="G813" s="18" t="n">
        <f aca="false">SUMIFS(Payment_Log_AP!$E$2:$E$753,Payment_Log_AP!$B$2:$B$753,A813)</f>
        <v>0</v>
      </c>
      <c r="H813" s="18" t="n">
        <f aca="false">F813-G813</f>
        <v>200.9</v>
      </c>
      <c r="I813" s="16" t="n">
        <f aca="false">IF(H813&lt;=0.01,0,MAX(Assumptions!$B$5-E813,0))</f>
        <v>0</v>
      </c>
      <c r="J813" s="16" t="str">
        <f aca="false">IF(H813&lt;=0.01,"Paid",IF(I813&lt;=30,"0-30",IF(I813&lt;=60,"31-60",IF(I813&lt;=90,"61-90","90+"))))</f>
        <v>0-30</v>
      </c>
      <c r="K813" s="16" t="str">
        <f aca="false">IF(H813&lt;=0.01,"Paid",IF(G813&gt;0,"Partially Paid","Unpaid"))</f>
        <v>Unpaid</v>
      </c>
    </row>
    <row r="814" customFormat="false" ht="15" hidden="false" customHeight="false" outlineLevel="0" collapsed="false">
      <c r="A814" s="16" t="str">
        <f aca="false">Vendor_Invoices_AP!A811</f>
        <v>INV30810</v>
      </c>
      <c r="B814" s="16" t="str">
        <f aca="false">Vendor_Invoices_AP!C811</f>
        <v>V1004</v>
      </c>
      <c r="C814" s="16" t="str">
        <f aca="false">IFERROR(INDEX(Vendor_Master!$B$2:$B$41,MATCH(B814,Vendor_Master!$A$2:$A$41,0)),"Unknown Vendor")</f>
        <v>Johnson, Gonzalez and Santos</v>
      </c>
      <c r="D814" s="17" t="n">
        <f aca="false">Vendor_Invoices_AP!D811</f>
        <v>46122</v>
      </c>
      <c r="E814" s="17" t="n">
        <f aca="false">Vendor_Invoices_AP!F811</f>
        <v>46137</v>
      </c>
      <c r="F814" s="18" t="n">
        <f aca="false">Vendor_Invoices_AP!E811</f>
        <v>1497.3</v>
      </c>
      <c r="G814" s="18" t="n">
        <f aca="false">SUMIFS(Payment_Log_AP!$E$2:$E$753,Payment_Log_AP!$B$2:$B$753,A814)</f>
        <v>1497.3</v>
      </c>
      <c r="H814" s="18" t="n">
        <f aca="false">F814-G814</f>
        <v>0</v>
      </c>
      <c r="I814" s="16" t="n">
        <f aca="false">IF(H814&lt;=0.01,0,MAX(Assumptions!$B$5-E814,0))</f>
        <v>0</v>
      </c>
      <c r="J814" s="16" t="str">
        <f aca="false">IF(H814&lt;=0.01,"Paid",IF(I814&lt;=30,"0-30",IF(I814&lt;=60,"31-60",IF(I814&lt;=90,"61-90","90+"))))</f>
        <v>Paid</v>
      </c>
      <c r="K814" s="16" t="str">
        <f aca="false">IF(H814&lt;=0.01,"Paid",IF(G814&gt;0,"Partially Paid","Unpaid"))</f>
        <v>Paid</v>
      </c>
    </row>
    <row r="815" customFormat="false" ht="15" hidden="false" customHeight="false" outlineLevel="0" collapsed="false">
      <c r="A815" s="16" t="str">
        <f aca="false">Vendor_Invoices_AP!A812</f>
        <v>INV30811</v>
      </c>
      <c r="B815" s="16" t="str">
        <f aca="false">Vendor_Invoices_AP!C812</f>
        <v>V1004</v>
      </c>
      <c r="C815" s="16" t="str">
        <f aca="false">IFERROR(INDEX(Vendor_Master!$B$2:$B$41,MATCH(B815,Vendor_Master!$A$2:$A$41,0)),"Unknown Vendor")</f>
        <v>Johnson, Gonzalez and Santos</v>
      </c>
      <c r="D815" s="17" t="n">
        <f aca="false">Vendor_Invoices_AP!D812</f>
        <v>46002</v>
      </c>
      <c r="E815" s="17" t="n">
        <f aca="false">Vendor_Invoices_AP!F812</f>
        <v>46017</v>
      </c>
      <c r="F815" s="18" t="n">
        <f aca="false">Vendor_Invoices_AP!E812</f>
        <v>2879.23</v>
      </c>
      <c r="G815" s="18" t="n">
        <f aca="false">SUMIFS(Payment_Log_AP!$E$2:$E$753,Payment_Log_AP!$B$2:$B$753,A815)</f>
        <v>0</v>
      </c>
      <c r="H815" s="18" t="n">
        <f aca="false">F815-G815</f>
        <v>2879.23</v>
      </c>
      <c r="I815" s="16" t="n">
        <f aca="false">IF(H815&lt;=0.01,0,MAX(Assumptions!$B$5-E815,0))</f>
        <v>217</v>
      </c>
      <c r="J815" s="16" t="str">
        <f aca="false">IF(H815&lt;=0.01,"Paid",IF(I815&lt;=30,"0-30",IF(I815&lt;=60,"31-60",IF(I815&lt;=90,"61-90","90+"))))</f>
        <v>90+</v>
      </c>
      <c r="K815" s="16" t="str">
        <f aca="false">IF(H815&lt;=0.01,"Paid",IF(G815&gt;0,"Partially Paid","Unpaid"))</f>
        <v>Unpaid</v>
      </c>
    </row>
    <row r="816" customFormat="false" ht="15" hidden="false" customHeight="false" outlineLevel="0" collapsed="false">
      <c r="A816" s="16" t="str">
        <f aca="false">Vendor_Invoices_AP!A813</f>
        <v>INV30812</v>
      </c>
      <c r="B816" s="16" t="str">
        <f aca="false">Vendor_Invoices_AP!C813</f>
        <v>V1013</v>
      </c>
      <c r="C816" s="16" t="str">
        <f aca="false">IFERROR(INDEX(Vendor_Master!$B$2:$B$41,MATCH(B816,Vendor_Master!$A$2:$A$41,0)),"Unknown Vendor")</f>
        <v>Delacruz Group</v>
      </c>
      <c r="D816" s="17" t="n">
        <f aca="false">Vendor_Invoices_AP!D813</f>
        <v>46013</v>
      </c>
      <c r="E816" s="17" t="n">
        <f aca="false">Vendor_Invoices_AP!F813</f>
        <v>46028</v>
      </c>
      <c r="F816" s="18" t="n">
        <f aca="false">Vendor_Invoices_AP!E813</f>
        <v>2091.54</v>
      </c>
      <c r="G816" s="18" t="n">
        <f aca="false">SUMIFS(Payment_Log_AP!$E$2:$E$753,Payment_Log_AP!$B$2:$B$753,A816)</f>
        <v>2091.54</v>
      </c>
      <c r="H816" s="18" t="n">
        <f aca="false">F816-G816</f>
        <v>0</v>
      </c>
      <c r="I816" s="16" t="n">
        <f aca="false">IF(H816&lt;=0.01,0,MAX(Assumptions!$B$5-E816,0))</f>
        <v>0</v>
      </c>
      <c r="J816" s="16" t="str">
        <f aca="false">IF(H816&lt;=0.01,"Paid",IF(I816&lt;=30,"0-30",IF(I816&lt;=60,"31-60",IF(I816&lt;=90,"61-90","90+"))))</f>
        <v>Paid</v>
      </c>
      <c r="K816" s="16" t="str">
        <f aca="false">IF(H816&lt;=0.01,"Paid",IF(G816&gt;0,"Partially Paid","Unpaid"))</f>
        <v>Paid</v>
      </c>
    </row>
    <row r="817" customFormat="false" ht="15" hidden="false" customHeight="false" outlineLevel="0" collapsed="false">
      <c r="A817" s="16" t="str">
        <f aca="false">Vendor_Invoices_AP!A814</f>
        <v>INV30813</v>
      </c>
      <c r="B817" s="16" t="str">
        <f aca="false">Vendor_Invoices_AP!C814</f>
        <v>V1013</v>
      </c>
      <c r="C817" s="16" t="str">
        <f aca="false">IFERROR(INDEX(Vendor_Master!$B$2:$B$41,MATCH(B817,Vendor_Master!$A$2:$A$41,0)),"Unknown Vendor")</f>
        <v>Delacruz Group</v>
      </c>
      <c r="D817" s="17" t="n">
        <f aca="false">Vendor_Invoices_AP!D814</f>
        <v>46029</v>
      </c>
      <c r="E817" s="17" t="n">
        <f aca="false">Vendor_Invoices_AP!F814</f>
        <v>46044</v>
      </c>
      <c r="F817" s="18" t="n">
        <f aca="false">Vendor_Invoices_AP!E814</f>
        <v>2091.54</v>
      </c>
      <c r="G817" s="18" t="n">
        <f aca="false">SUMIFS(Payment_Log_AP!$E$2:$E$753,Payment_Log_AP!$B$2:$B$753,A817)</f>
        <v>2091.54</v>
      </c>
      <c r="H817" s="18" t="n">
        <f aca="false">F817-G817</f>
        <v>0</v>
      </c>
      <c r="I817" s="16" t="n">
        <f aca="false">IF(H817&lt;=0.01,0,MAX(Assumptions!$B$5-E817,0))</f>
        <v>0</v>
      </c>
      <c r="J817" s="16" t="str">
        <f aca="false">IF(H817&lt;=0.01,"Paid",IF(I817&lt;=30,"0-30",IF(I817&lt;=60,"31-60",IF(I817&lt;=90,"61-90","90+"))))</f>
        <v>Paid</v>
      </c>
      <c r="K817" s="16" t="str">
        <f aca="false">IF(H817&lt;=0.01,"Paid",IF(G817&gt;0,"Partially Paid","Unpaid"))</f>
        <v>Paid</v>
      </c>
    </row>
    <row r="818" customFormat="false" ht="15" hidden="false" customHeight="false" outlineLevel="0" collapsed="false">
      <c r="A818" s="16" t="str">
        <f aca="false">Vendor_Invoices_AP!A815</f>
        <v>INV30814</v>
      </c>
      <c r="B818" s="16" t="str">
        <f aca="false">Vendor_Invoices_AP!C815</f>
        <v>V1030</v>
      </c>
      <c r="C818" s="16" t="str">
        <f aca="false">IFERROR(INDEX(Vendor_Master!$B$2:$B$41,MATCH(B818,Vendor_Master!$A$2:$A$41,0)),"Unknown Vendor")</f>
        <v>Stanton-Gill</v>
      </c>
      <c r="D818" s="17" t="n">
        <f aca="false">Vendor_Invoices_AP!D815</f>
        <v>45679</v>
      </c>
      <c r="E818" s="17" t="n">
        <f aca="false">Vendor_Invoices_AP!F815</f>
        <v>45739</v>
      </c>
      <c r="F818" s="18" t="n">
        <f aca="false">Vendor_Invoices_AP!E815</f>
        <v>994.15</v>
      </c>
      <c r="G818" s="18" t="n">
        <f aca="false">SUMIFS(Payment_Log_AP!$E$2:$E$753,Payment_Log_AP!$B$2:$B$753,A818)</f>
        <v>994.15</v>
      </c>
      <c r="H818" s="18" t="n">
        <f aca="false">F818-G818</f>
        <v>0</v>
      </c>
      <c r="I818" s="16" t="n">
        <f aca="false">IF(H818&lt;=0.01,0,MAX(Assumptions!$B$5-E818,0))</f>
        <v>0</v>
      </c>
      <c r="J818" s="16" t="str">
        <f aca="false">IF(H818&lt;=0.01,"Paid",IF(I818&lt;=30,"0-30",IF(I818&lt;=60,"31-60",IF(I818&lt;=90,"61-90","90+"))))</f>
        <v>Paid</v>
      </c>
      <c r="K818" s="16" t="str">
        <f aca="false">IF(H818&lt;=0.01,"Paid",IF(G818&gt;0,"Partially Paid","Unpaid"))</f>
        <v>Paid</v>
      </c>
    </row>
    <row r="819" customFormat="false" ht="15" hidden="false" customHeight="false" outlineLevel="0" collapsed="false">
      <c r="A819" s="16" t="str">
        <f aca="false">Vendor_Invoices_AP!A816</f>
        <v>INV30815</v>
      </c>
      <c r="B819" s="16" t="str">
        <f aca="false">Vendor_Invoices_AP!C816</f>
        <v>V1016</v>
      </c>
      <c r="C819" s="16" t="str">
        <f aca="false">IFERROR(INDEX(Vendor_Master!$B$2:$B$41,MATCH(B819,Vendor_Master!$A$2:$A$41,0)),"Unknown Vendor")</f>
        <v>Sanchez, Ford and Nelson</v>
      </c>
      <c r="D819" s="17" t="n">
        <f aca="false">Vendor_Invoices_AP!D816</f>
        <v>46170</v>
      </c>
      <c r="E819" s="17" t="n">
        <f aca="false">Vendor_Invoices_AP!F816</f>
        <v>46200</v>
      </c>
      <c r="F819" s="18" t="n">
        <f aca="false">Vendor_Invoices_AP!E816</f>
        <v>2802.36</v>
      </c>
      <c r="G819" s="18" t="n">
        <f aca="false">SUMIFS(Payment_Log_AP!$E$2:$E$753,Payment_Log_AP!$B$2:$B$753,A819)</f>
        <v>2802.36</v>
      </c>
      <c r="H819" s="18" t="n">
        <f aca="false">F819-G819</f>
        <v>0</v>
      </c>
      <c r="I819" s="16" t="n">
        <f aca="false">IF(H819&lt;=0.01,0,MAX(Assumptions!$B$5-E819,0))</f>
        <v>0</v>
      </c>
      <c r="J819" s="16" t="str">
        <f aca="false">IF(H819&lt;=0.01,"Paid",IF(I819&lt;=30,"0-30",IF(I819&lt;=60,"31-60",IF(I819&lt;=90,"61-90","90+"))))</f>
        <v>Paid</v>
      </c>
      <c r="K819" s="16" t="str">
        <f aca="false">IF(H819&lt;=0.01,"Paid",IF(G819&gt;0,"Partially Paid","Unpaid"))</f>
        <v>Paid</v>
      </c>
    </row>
    <row r="820" customFormat="false" ht="15" hidden="false" customHeight="false" outlineLevel="0" collapsed="false">
      <c r="A820" s="16" t="str">
        <f aca="false">Vendor_Invoices_AP!A817</f>
        <v>INV30816</v>
      </c>
      <c r="B820" s="16" t="str">
        <f aca="false">Vendor_Invoices_AP!C817</f>
        <v>V1016</v>
      </c>
      <c r="C820" s="16" t="str">
        <f aca="false">IFERROR(INDEX(Vendor_Master!$B$2:$B$41,MATCH(B820,Vendor_Master!$A$2:$A$41,0)),"Unknown Vendor")</f>
        <v>Sanchez, Ford and Nelson</v>
      </c>
      <c r="D820" s="17" t="n">
        <f aca="false">Vendor_Invoices_AP!D817</f>
        <v>46174</v>
      </c>
      <c r="E820" s="17" t="n">
        <f aca="false">Vendor_Invoices_AP!F817</f>
        <v>46204</v>
      </c>
      <c r="F820" s="18" t="n">
        <f aca="false">Vendor_Invoices_AP!E817</f>
        <v>2802.36</v>
      </c>
      <c r="G820" s="18" t="n">
        <f aca="false">SUMIFS(Payment_Log_AP!$E$2:$E$753,Payment_Log_AP!$B$2:$B$753,A820)</f>
        <v>2802.36</v>
      </c>
      <c r="H820" s="18" t="n">
        <f aca="false">F820-G820</f>
        <v>0</v>
      </c>
      <c r="I820" s="16" t="n">
        <f aca="false">IF(H820&lt;=0.01,0,MAX(Assumptions!$B$5-E820,0))</f>
        <v>0</v>
      </c>
      <c r="J820" s="16" t="str">
        <f aca="false">IF(H820&lt;=0.01,"Paid",IF(I820&lt;=30,"0-30",IF(I820&lt;=60,"31-60",IF(I820&lt;=90,"61-90","90+"))))</f>
        <v>Paid</v>
      </c>
      <c r="K820" s="16" t="str">
        <f aca="false">IF(H820&lt;=0.01,"Paid",IF(G820&gt;0,"Partially Paid","Unpaid"))</f>
        <v>Paid</v>
      </c>
    </row>
    <row r="821" customFormat="false" ht="15" hidden="false" customHeight="false" outlineLevel="0" collapsed="false">
      <c r="A821" s="16" t="str">
        <f aca="false">Vendor_Invoices_AP!A818</f>
        <v>INV30817</v>
      </c>
      <c r="B821" s="16" t="str">
        <f aca="false">Vendor_Invoices_AP!C818</f>
        <v>V1031</v>
      </c>
      <c r="C821" s="16" t="str">
        <f aca="false">IFERROR(INDEX(Vendor_Master!$B$2:$B$41,MATCH(B821,Vendor_Master!$A$2:$A$41,0)),"Unknown Vendor")</f>
        <v>Harrell LLC</v>
      </c>
      <c r="D821" s="17" t="n">
        <f aca="false">Vendor_Invoices_AP!D818</f>
        <v>46117</v>
      </c>
      <c r="E821" s="17" t="n">
        <f aca="false">Vendor_Invoices_AP!F818</f>
        <v>46132</v>
      </c>
      <c r="F821" s="18" t="n">
        <f aca="false">Vendor_Invoices_AP!E818</f>
        <v>851.07</v>
      </c>
      <c r="G821" s="18" t="n">
        <f aca="false">SUMIFS(Payment_Log_AP!$E$2:$E$753,Payment_Log_AP!$B$2:$B$753,A821)</f>
        <v>851.07</v>
      </c>
      <c r="H821" s="18" t="n">
        <f aca="false">F821-G821</f>
        <v>0</v>
      </c>
      <c r="I821" s="16" t="n">
        <f aca="false">IF(H821&lt;=0.01,0,MAX(Assumptions!$B$5-E821,0))</f>
        <v>0</v>
      </c>
      <c r="J821" s="16" t="str">
        <f aca="false">IF(H821&lt;=0.01,"Paid",IF(I821&lt;=30,"0-30",IF(I821&lt;=60,"31-60",IF(I821&lt;=90,"61-90","90+"))))</f>
        <v>Paid</v>
      </c>
      <c r="K821" s="16" t="str">
        <f aca="false">IF(H821&lt;=0.01,"Paid",IF(G821&gt;0,"Partially Paid","Unpaid"))</f>
        <v>Paid</v>
      </c>
    </row>
    <row r="822" customFormat="false" ht="15" hidden="false" customHeight="false" outlineLevel="0" collapsed="false">
      <c r="A822" s="16" t="str">
        <f aca="false">Vendor_Invoices_AP!A819</f>
        <v>INV30818</v>
      </c>
      <c r="B822" s="16" t="str">
        <f aca="false">Vendor_Invoices_AP!C819</f>
        <v>V1037</v>
      </c>
      <c r="C822" s="16" t="str">
        <f aca="false">IFERROR(INDEX(Vendor_Master!$B$2:$B$41,MATCH(B822,Vendor_Master!$A$2:$A$41,0)),"Unknown Vendor")</f>
        <v>Cannon, Anderson and Alvarez</v>
      </c>
      <c r="D822" s="17" t="n">
        <f aca="false">Vendor_Invoices_AP!D819</f>
        <v>45824</v>
      </c>
      <c r="E822" s="17" t="n">
        <f aca="false">Vendor_Invoices_AP!F819</f>
        <v>45854</v>
      </c>
      <c r="F822" s="18" t="n">
        <f aca="false">Vendor_Invoices_AP!E819</f>
        <v>14407.31</v>
      </c>
      <c r="G822" s="18" t="n">
        <f aca="false">SUMIFS(Payment_Log_AP!$E$2:$E$753,Payment_Log_AP!$B$2:$B$753,A822)</f>
        <v>14407.31</v>
      </c>
      <c r="H822" s="18" t="n">
        <f aca="false">F822-G822</f>
        <v>0</v>
      </c>
      <c r="I822" s="16" t="n">
        <f aca="false">IF(H822&lt;=0.01,0,MAX(Assumptions!$B$5-E822,0))</f>
        <v>0</v>
      </c>
      <c r="J822" s="16" t="str">
        <f aca="false">IF(H822&lt;=0.01,"Paid",IF(I822&lt;=30,"0-30",IF(I822&lt;=60,"31-60",IF(I822&lt;=90,"61-90","90+"))))</f>
        <v>Paid</v>
      </c>
      <c r="K822" s="16" t="str">
        <f aca="false">IF(H822&lt;=0.01,"Paid",IF(G822&gt;0,"Partially Paid","Unpaid"))</f>
        <v>Paid</v>
      </c>
    </row>
    <row r="823" customFormat="false" ht="15" hidden="false" customHeight="false" outlineLevel="0" collapsed="false">
      <c r="A823" s="16" t="str">
        <f aca="false">Vendor_Invoices_AP!A820</f>
        <v>INV30819</v>
      </c>
      <c r="B823" s="16" t="str">
        <f aca="false">Vendor_Invoices_AP!C820</f>
        <v>V1039</v>
      </c>
      <c r="C823" s="16" t="str">
        <f aca="false">IFERROR(INDEX(Vendor_Master!$B$2:$B$41,MATCH(B823,Vendor_Master!$A$2:$A$41,0)),"Unknown Vendor")</f>
        <v>Campos, Vaughn and Marquez</v>
      </c>
      <c r="D823" s="17" t="n">
        <f aca="false">Vendor_Invoices_AP!D820</f>
        <v>45761</v>
      </c>
      <c r="E823" s="17" t="n">
        <f aca="false">Vendor_Invoices_AP!F820</f>
        <v>45791</v>
      </c>
      <c r="F823" s="18" t="n">
        <f aca="false">Vendor_Invoices_AP!E820</f>
        <v>562.05</v>
      </c>
      <c r="G823" s="18" t="n">
        <f aca="false">SUMIFS(Payment_Log_AP!$E$2:$E$753,Payment_Log_AP!$B$2:$B$753,A823)</f>
        <v>562.05</v>
      </c>
      <c r="H823" s="18" t="n">
        <f aca="false">F823-G823</f>
        <v>0</v>
      </c>
      <c r="I823" s="16" t="n">
        <f aca="false">IF(H823&lt;=0.01,0,MAX(Assumptions!$B$5-E823,0))</f>
        <v>0</v>
      </c>
      <c r="J823" s="16" t="str">
        <f aca="false">IF(H823&lt;=0.01,"Paid",IF(I823&lt;=30,"0-30",IF(I823&lt;=60,"31-60",IF(I823&lt;=90,"61-90","90+"))))</f>
        <v>Paid</v>
      </c>
      <c r="K823" s="16" t="str">
        <f aca="false">IF(H823&lt;=0.01,"Paid",IF(G823&gt;0,"Partially Paid","Unpaid"))</f>
        <v>Paid</v>
      </c>
    </row>
    <row r="824" customFormat="false" ht="15" hidden="false" customHeight="false" outlineLevel="0" collapsed="false">
      <c r="A824" s="16" t="str">
        <f aca="false">Vendor_Invoices_AP!A821</f>
        <v>INV30820</v>
      </c>
      <c r="B824" s="16" t="str">
        <f aca="false">Vendor_Invoices_AP!C821</f>
        <v>V1036</v>
      </c>
      <c r="C824" s="16" t="str">
        <f aca="false">IFERROR(INDEX(Vendor_Master!$B$2:$B$41,MATCH(B824,Vendor_Master!$A$2:$A$41,0)),"Unknown Vendor")</f>
        <v>Dennis Inc</v>
      </c>
      <c r="D824" s="17" t="n">
        <f aca="false">Vendor_Invoices_AP!D821</f>
        <v>46058</v>
      </c>
      <c r="E824" s="17" t="n">
        <f aca="false">Vendor_Invoices_AP!F821</f>
        <v>46103</v>
      </c>
      <c r="F824" s="18" t="n">
        <f aca="false">Vendor_Invoices_AP!E821</f>
        <v>4017.91</v>
      </c>
      <c r="G824" s="18" t="n">
        <f aca="false">SUMIFS(Payment_Log_AP!$E$2:$E$753,Payment_Log_AP!$B$2:$B$753,A824)</f>
        <v>4017.91</v>
      </c>
      <c r="H824" s="18" t="n">
        <f aca="false">F824-G824</f>
        <v>0</v>
      </c>
      <c r="I824" s="16" t="n">
        <f aca="false">IF(H824&lt;=0.01,0,MAX(Assumptions!$B$5-E824,0))</f>
        <v>0</v>
      </c>
      <c r="J824" s="16" t="str">
        <f aca="false">IF(H824&lt;=0.01,"Paid",IF(I824&lt;=30,"0-30",IF(I824&lt;=60,"31-60",IF(I824&lt;=90,"61-90","90+"))))</f>
        <v>Paid</v>
      </c>
      <c r="K824" s="16" t="str">
        <f aca="false">IF(H824&lt;=0.01,"Paid",IF(G824&gt;0,"Partially Paid","Unpaid"))</f>
        <v>Paid</v>
      </c>
    </row>
    <row r="825" customFormat="false" ht="15" hidden="false" customHeight="false" outlineLevel="0" collapsed="false">
      <c r="A825" s="16" t="str">
        <f aca="false">Vendor_Invoices_AP!A822</f>
        <v>INV30821</v>
      </c>
      <c r="B825" s="16" t="str">
        <f aca="false">Vendor_Invoices_AP!C822</f>
        <v>V1031</v>
      </c>
      <c r="C825" s="16" t="str">
        <f aca="false">IFERROR(INDEX(Vendor_Master!$B$2:$B$41,MATCH(B825,Vendor_Master!$A$2:$A$41,0)),"Unknown Vendor")</f>
        <v>Harrell LLC</v>
      </c>
      <c r="D825" s="17" t="n">
        <f aca="false">Vendor_Invoices_AP!D822</f>
        <v>45837</v>
      </c>
      <c r="E825" s="17" t="n">
        <f aca="false">Vendor_Invoices_AP!F822</f>
        <v>45852</v>
      </c>
      <c r="F825" s="18" t="n">
        <f aca="false">Vendor_Invoices_AP!E822</f>
        <v>9338.22</v>
      </c>
      <c r="G825" s="18" t="n">
        <f aca="false">SUMIFS(Payment_Log_AP!$E$2:$E$753,Payment_Log_AP!$B$2:$B$753,A825)</f>
        <v>0</v>
      </c>
      <c r="H825" s="18" t="n">
        <f aca="false">F825-G825</f>
        <v>9338.22</v>
      </c>
      <c r="I825" s="16" t="n">
        <f aca="false">IF(H825&lt;=0.01,0,MAX(Assumptions!$B$5-E825,0))</f>
        <v>382</v>
      </c>
      <c r="J825" s="16" t="str">
        <f aca="false">IF(H825&lt;=0.01,"Paid",IF(I825&lt;=30,"0-30",IF(I825&lt;=60,"31-60",IF(I825&lt;=90,"61-90","90+"))))</f>
        <v>90+</v>
      </c>
      <c r="K825" s="16" t="str">
        <f aca="false">IF(H825&lt;=0.01,"Paid",IF(G825&gt;0,"Partially Paid","Unpaid"))</f>
        <v>Unpaid</v>
      </c>
    </row>
    <row r="826" customFormat="false" ht="15" hidden="false" customHeight="false" outlineLevel="0" collapsed="false">
      <c r="A826" s="16" t="str">
        <f aca="false">Vendor_Invoices_AP!A823</f>
        <v>INV30822</v>
      </c>
      <c r="B826" s="16" t="str">
        <f aca="false">Vendor_Invoices_AP!C823</f>
        <v>V1028</v>
      </c>
      <c r="C826" s="16" t="str">
        <f aca="false">IFERROR(INDEX(Vendor_Master!$B$2:$B$41,MATCH(B826,Vendor_Master!$A$2:$A$41,0)),"Unknown Vendor")</f>
        <v>Potter, Mack and Peterson</v>
      </c>
      <c r="D826" s="17" t="n">
        <f aca="false">Vendor_Invoices_AP!D823</f>
        <v>45845</v>
      </c>
      <c r="E826" s="17" t="n">
        <f aca="false">Vendor_Invoices_AP!F823</f>
        <v>45890</v>
      </c>
      <c r="F826" s="18" t="n">
        <f aca="false">Vendor_Invoices_AP!E823</f>
        <v>474.6</v>
      </c>
      <c r="G826" s="18" t="n">
        <f aca="false">SUMIFS(Payment_Log_AP!$E$2:$E$753,Payment_Log_AP!$B$2:$B$753,A826)</f>
        <v>474.6</v>
      </c>
      <c r="H826" s="18" t="n">
        <f aca="false">F826-G826</f>
        <v>0</v>
      </c>
      <c r="I826" s="16" t="n">
        <f aca="false">IF(H826&lt;=0.01,0,MAX(Assumptions!$B$5-E826,0))</f>
        <v>0</v>
      </c>
      <c r="J826" s="16" t="str">
        <f aca="false">IF(H826&lt;=0.01,"Paid",IF(I826&lt;=30,"0-30",IF(I826&lt;=60,"31-60",IF(I826&lt;=90,"61-90","90+"))))</f>
        <v>Paid</v>
      </c>
      <c r="K826" s="16" t="str">
        <f aca="false">IF(H826&lt;=0.01,"Paid",IF(G826&gt;0,"Partially Paid","Unpaid"))</f>
        <v>Paid</v>
      </c>
    </row>
    <row r="827" customFormat="false" ht="15" hidden="false" customHeight="false" outlineLevel="0" collapsed="false">
      <c r="A827" s="16" t="str">
        <f aca="false">Vendor_Invoices_AP!A824</f>
        <v>INV30823</v>
      </c>
      <c r="B827" s="16" t="str">
        <f aca="false">Vendor_Invoices_AP!C824</f>
        <v>V1023</v>
      </c>
      <c r="C827" s="16" t="str">
        <f aca="false">IFERROR(INDEX(Vendor_Master!$B$2:$B$41,MATCH(B827,Vendor_Master!$A$2:$A$41,0)),"Unknown Vendor")</f>
        <v>Robinson-Bright</v>
      </c>
      <c r="D827" s="17" t="n">
        <f aca="false">Vendor_Invoices_AP!D824</f>
        <v>45669</v>
      </c>
      <c r="E827" s="17" t="n">
        <f aca="false">Vendor_Invoices_AP!F824</f>
        <v>45699</v>
      </c>
      <c r="F827" s="18" t="n">
        <f aca="false">Vendor_Invoices_AP!E824</f>
        <v>857.39</v>
      </c>
      <c r="G827" s="18" t="n">
        <f aca="false">SUMIFS(Payment_Log_AP!$E$2:$E$753,Payment_Log_AP!$B$2:$B$753,A827)</f>
        <v>857.39</v>
      </c>
      <c r="H827" s="18" t="n">
        <f aca="false">F827-G827</f>
        <v>0</v>
      </c>
      <c r="I827" s="16" t="n">
        <f aca="false">IF(H827&lt;=0.01,0,MAX(Assumptions!$B$5-E827,0))</f>
        <v>0</v>
      </c>
      <c r="J827" s="16" t="str">
        <f aca="false">IF(H827&lt;=0.01,"Paid",IF(I827&lt;=30,"0-30",IF(I827&lt;=60,"31-60",IF(I827&lt;=90,"61-90","90+"))))</f>
        <v>Paid</v>
      </c>
      <c r="K827" s="16" t="str">
        <f aca="false">IF(H827&lt;=0.01,"Paid",IF(G827&gt;0,"Partially Paid","Unpaid"))</f>
        <v>Paid</v>
      </c>
    </row>
    <row r="828" customFormat="false" ht="15" hidden="false" customHeight="false" outlineLevel="0" collapsed="false">
      <c r="A828" s="16" t="str">
        <f aca="false">Vendor_Invoices_AP!A825</f>
        <v>INV30824</v>
      </c>
      <c r="B828" s="16" t="str">
        <f aca="false">Vendor_Invoices_AP!C825</f>
        <v>V1003</v>
      </c>
      <c r="C828" s="16" t="str">
        <f aca="false">IFERROR(INDEX(Vendor_Master!$B$2:$B$41,MATCH(B828,Vendor_Master!$A$2:$A$41,0)),"Unknown Vendor")</f>
        <v>Johnson and Sons</v>
      </c>
      <c r="D828" s="17" t="n">
        <f aca="false">Vendor_Invoices_AP!D825</f>
        <v>46149</v>
      </c>
      <c r="E828" s="17" t="n">
        <f aca="false">Vendor_Invoices_AP!F825</f>
        <v>46164</v>
      </c>
      <c r="F828" s="18" t="n">
        <f aca="false">Vendor_Invoices_AP!E825</f>
        <v>8319.43</v>
      </c>
      <c r="G828" s="18" t="n">
        <f aca="false">SUMIFS(Payment_Log_AP!$E$2:$E$753,Payment_Log_AP!$B$2:$B$753,A828)</f>
        <v>8319.43</v>
      </c>
      <c r="H828" s="18" t="n">
        <f aca="false">F828-G828</f>
        <v>0</v>
      </c>
      <c r="I828" s="16" t="n">
        <f aca="false">IF(H828&lt;=0.01,0,MAX(Assumptions!$B$5-E828,0))</f>
        <v>0</v>
      </c>
      <c r="J828" s="16" t="str">
        <f aca="false">IF(H828&lt;=0.01,"Paid",IF(I828&lt;=30,"0-30",IF(I828&lt;=60,"31-60",IF(I828&lt;=90,"61-90","90+"))))</f>
        <v>Paid</v>
      </c>
      <c r="K828" s="16" t="str">
        <f aca="false">IF(H828&lt;=0.01,"Paid",IF(G828&gt;0,"Partially Paid","Unpaid"))</f>
        <v>Paid</v>
      </c>
    </row>
    <row r="829" customFormat="false" ht="15" hidden="false" customHeight="false" outlineLevel="0" collapsed="false">
      <c r="A829" s="16" t="str">
        <f aca="false">Vendor_Invoices_AP!A826</f>
        <v>INV30825</v>
      </c>
      <c r="B829" s="16" t="str">
        <f aca="false">Vendor_Invoices_AP!C826</f>
        <v>V1030</v>
      </c>
      <c r="C829" s="16" t="str">
        <f aca="false">IFERROR(INDEX(Vendor_Master!$B$2:$B$41,MATCH(B829,Vendor_Master!$A$2:$A$41,0)),"Unknown Vendor")</f>
        <v>Stanton-Gill</v>
      </c>
      <c r="D829" s="17" t="n">
        <f aca="false">Vendor_Invoices_AP!D826</f>
        <v>45982</v>
      </c>
      <c r="E829" s="17" t="n">
        <f aca="false">Vendor_Invoices_AP!F826</f>
        <v>46042</v>
      </c>
      <c r="F829" s="18" t="n">
        <f aca="false">Vendor_Invoices_AP!E826</f>
        <v>259.66</v>
      </c>
      <c r="G829" s="18" t="n">
        <f aca="false">SUMIFS(Payment_Log_AP!$E$2:$E$753,Payment_Log_AP!$B$2:$B$753,A829)</f>
        <v>259.66</v>
      </c>
      <c r="H829" s="18" t="n">
        <f aca="false">F829-G829</f>
        <v>0</v>
      </c>
      <c r="I829" s="16" t="n">
        <f aca="false">IF(H829&lt;=0.01,0,MAX(Assumptions!$B$5-E829,0))</f>
        <v>0</v>
      </c>
      <c r="J829" s="16" t="str">
        <f aca="false">IF(H829&lt;=0.01,"Paid",IF(I829&lt;=30,"0-30",IF(I829&lt;=60,"31-60",IF(I829&lt;=90,"61-90","90+"))))</f>
        <v>Paid</v>
      </c>
      <c r="K829" s="16" t="str">
        <f aca="false">IF(H829&lt;=0.01,"Paid",IF(G829&gt;0,"Partially Paid","Unpaid"))</f>
        <v>Paid</v>
      </c>
    </row>
    <row r="830" customFormat="false" ht="15" hidden="false" customHeight="false" outlineLevel="0" collapsed="false">
      <c r="A830" s="16" t="str">
        <f aca="false">Vendor_Invoices_AP!A827</f>
        <v>INV30826</v>
      </c>
      <c r="B830" s="16" t="str">
        <f aca="false">Vendor_Invoices_AP!C827</f>
        <v>V1025</v>
      </c>
      <c r="C830" s="16" t="str">
        <f aca="false">IFERROR(INDEX(Vendor_Master!$B$2:$B$41,MATCH(B830,Vendor_Master!$A$2:$A$41,0)),"Unknown Vendor")</f>
        <v>Conner Group</v>
      </c>
      <c r="D830" s="17" t="n">
        <f aca="false">Vendor_Invoices_AP!D827</f>
        <v>45889</v>
      </c>
      <c r="E830" s="17" t="n">
        <f aca="false">Vendor_Invoices_AP!F827</f>
        <v>45934</v>
      </c>
      <c r="F830" s="18" t="n">
        <f aca="false">Vendor_Invoices_AP!E827</f>
        <v>1164.71</v>
      </c>
      <c r="G830" s="18" t="n">
        <f aca="false">SUMIFS(Payment_Log_AP!$E$2:$E$753,Payment_Log_AP!$B$2:$B$753,A830)</f>
        <v>1164.71</v>
      </c>
      <c r="H830" s="18" t="n">
        <f aca="false">F830-G830</f>
        <v>0</v>
      </c>
      <c r="I830" s="16" t="n">
        <f aca="false">IF(H830&lt;=0.01,0,MAX(Assumptions!$B$5-E830,0))</f>
        <v>0</v>
      </c>
      <c r="J830" s="16" t="str">
        <f aca="false">IF(H830&lt;=0.01,"Paid",IF(I830&lt;=30,"0-30",IF(I830&lt;=60,"31-60",IF(I830&lt;=90,"61-90","90+"))))</f>
        <v>Paid</v>
      </c>
      <c r="K830" s="16" t="str">
        <f aca="false">IF(H830&lt;=0.01,"Paid",IF(G830&gt;0,"Partially Paid","Unpaid"))</f>
        <v>Paid</v>
      </c>
    </row>
    <row r="831" customFormat="false" ht="15" hidden="false" customHeight="false" outlineLevel="0" collapsed="false">
      <c r="A831" s="16" t="str">
        <f aca="false">Vendor_Invoices_AP!A828</f>
        <v>INV30827</v>
      </c>
      <c r="B831" s="16" t="str">
        <f aca="false">Vendor_Invoices_AP!C828</f>
        <v>V1002</v>
      </c>
      <c r="C831" s="16" t="str">
        <f aca="false">IFERROR(INDEX(Vendor_Master!$B$2:$B$41,MATCH(B831,Vendor_Master!$A$2:$A$41,0)),"Unknown Vendor")</f>
        <v>Garcia, Yang and Gardner</v>
      </c>
      <c r="D831" s="17" t="n">
        <f aca="false">Vendor_Invoices_AP!D828</f>
        <v>45753</v>
      </c>
      <c r="E831" s="17" t="n">
        <f aca="false">Vendor_Invoices_AP!F828</f>
        <v>45768</v>
      </c>
      <c r="F831" s="18" t="n">
        <f aca="false">Vendor_Invoices_AP!E828</f>
        <v>820.16</v>
      </c>
      <c r="G831" s="18" t="n">
        <f aca="false">SUMIFS(Payment_Log_AP!$E$2:$E$753,Payment_Log_AP!$B$2:$B$753,A831)</f>
        <v>820.16</v>
      </c>
      <c r="H831" s="18" t="n">
        <f aca="false">F831-G831</f>
        <v>0</v>
      </c>
      <c r="I831" s="16" t="n">
        <f aca="false">IF(H831&lt;=0.01,0,MAX(Assumptions!$B$5-E831,0))</f>
        <v>0</v>
      </c>
      <c r="J831" s="16" t="str">
        <f aca="false">IF(H831&lt;=0.01,"Paid",IF(I831&lt;=30,"0-30",IF(I831&lt;=60,"31-60",IF(I831&lt;=90,"61-90","90+"))))</f>
        <v>Paid</v>
      </c>
      <c r="K831" s="16" t="str">
        <f aca="false">IF(H831&lt;=0.01,"Paid",IF(G831&gt;0,"Partially Paid","Unpaid"))</f>
        <v>Paid</v>
      </c>
    </row>
    <row r="832" customFormat="false" ht="15" hidden="false" customHeight="false" outlineLevel="0" collapsed="false">
      <c r="A832" s="16" t="str">
        <f aca="false">Vendor_Invoices_AP!A829</f>
        <v>INV30828</v>
      </c>
      <c r="B832" s="16" t="str">
        <f aca="false">Vendor_Invoices_AP!C829</f>
        <v>V1030</v>
      </c>
      <c r="C832" s="16" t="str">
        <f aca="false">IFERROR(INDEX(Vendor_Master!$B$2:$B$41,MATCH(B832,Vendor_Master!$A$2:$A$41,0)),"Unknown Vendor")</f>
        <v>Stanton-Gill</v>
      </c>
      <c r="D832" s="17" t="n">
        <f aca="false">Vendor_Invoices_AP!D829</f>
        <v>46015</v>
      </c>
      <c r="E832" s="17" t="n">
        <f aca="false">Vendor_Invoices_AP!F829</f>
        <v>46075</v>
      </c>
      <c r="F832" s="18" t="n">
        <f aca="false">Vendor_Invoices_AP!E829</f>
        <v>309.11</v>
      </c>
      <c r="G832" s="18" t="n">
        <f aca="false">SUMIFS(Payment_Log_AP!$E$2:$E$753,Payment_Log_AP!$B$2:$B$753,A832)</f>
        <v>309.11</v>
      </c>
      <c r="H832" s="18" t="n">
        <f aca="false">F832-G832</f>
        <v>0</v>
      </c>
      <c r="I832" s="16" t="n">
        <f aca="false">IF(H832&lt;=0.01,0,MAX(Assumptions!$B$5-E832,0))</f>
        <v>0</v>
      </c>
      <c r="J832" s="16" t="str">
        <f aca="false">IF(H832&lt;=0.01,"Paid",IF(I832&lt;=30,"0-30",IF(I832&lt;=60,"31-60",IF(I832&lt;=90,"61-90","90+"))))</f>
        <v>Paid</v>
      </c>
      <c r="K832" s="16" t="str">
        <f aca="false">IF(H832&lt;=0.01,"Paid",IF(G832&gt;0,"Partially Paid","Unpaid"))</f>
        <v>Paid</v>
      </c>
    </row>
    <row r="833" customFormat="false" ht="15" hidden="false" customHeight="false" outlineLevel="0" collapsed="false">
      <c r="A833" s="16" t="str">
        <f aca="false">Vendor_Invoices_AP!A830</f>
        <v>INV30829</v>
      </c>
      <c r="B833" s="16" t="str">
        <f aca="false">Vendor_Invoices_AP!C830</f>
        <v>V1024</v>
      </c>
      <c r="C833" s="16" t="str">
        <f aca="false">IFERROR(INDEX(Vendor_Master!$B$2:$B$41,MATCH(B833,Vendor_Master!$A$2:$A$41,0)),"Unknown Vendor")</f>
        <v>Campos Inc</v>
      </c>
      <c r="D833" s="17" t="n">
        <f aca="false">Vendor_Invoices_AP!D830</f>
        <v>45680</v>
      </c>
      <c r="E833" s="17" t="n">
        <f aca="false">Vendor_Invoices_AP!F830</f>
        <v>45740</v>
      </c>
      <c r="F833" s="18" t="n">
        <f aca="false">Vendor_Invoices_AP!E830</f>
        <v>1722.25</v>
      </c>
      <c r="G833" s="18" t="n">
        <f aca="false">SUMIFS(Payment_Log_AP!$E$2:$E$753,Payment_Log_AP!$B$2:$B$753,A833)</f>
        <v>1722.25</v>
      </c>
      <c r="H833" s="18" t="n">
        <f aca="false">F833-G833</f>
        <v>0</v>
      </c>
      <c r="I833" s="16" t="n">
        <f aca="false">IF(H833&lt;=0.01,0,MAX(Assumptions!$B$5-E833,0))</f>
        <v>0</v>
      </c>
      <c r="J833" s="16" t="str">
        <f aca="false">IF(H833&lt;=0.01,"Paid",IF(I833&lt;=30,"0-30",IF(I833&lt;=60,"31-60",IF(I833&lt;=90,"61-90","90+"))))</f>
        <v>Paid</v>
      </c>
      <c r="K833" s="16" t="str">
        <f aca="false">IF(H833&lt;=0.01,"Paid",IF(G833&gt;0,"Partially Paid","Unpaid"))</f>
        <v>Paid</v>
      </c>
    </row>
    <row r="834" customFormat="false" ht="15" hidden="false" customHeight="false" outlineLevel="0" collapsed="false">
      <c r="A834" s="16" t="str">
        <f aca="false">Vendor_Invoices_AP!A831</f>
        <v>INV30830</v>
      </c>
      <c r="B834" s="16" t="str">
        <f aca="false">Vendor_Invoices_AP!C831</f>
        <v>V1004</v>
      </c>
      <c r="C834" s="16" t="str">
        <f aca="false">IFERROR(INDEX(Vendor_Master!$B$2:$B$41,MATCH(B834,Vendor_Master!$A$2:$A$41,0)),"Unknown Vendor")</f>
        <v>Johnson, Gonzalez and Santos</v>
      </c>
      <c r="D834" s="17" t="n">
        <f aca="false">Vendor_Invoices_AP!D831</f>
        <v>46075</v>
      </c>
      <c r="E834" s="17" t="n">
        <f aca="false">Vendor_Invoices_AP!F831</f>
        <v>46090</v>
      </c>
      <c r="F834" s="18" t="n">
        <f aca="false">Vendor_Invoices_AP!E831</f>
        <v>1834.48</v>
      </c>
      <c r="G834" s="18" t="n">
        <f aca="false">SUMIFS(Payment_Log_AP!$E$2:$E$753,Payment_Log_AP!$B$2:$B$753,A834)</f>
        <v>1834.48</v>
      </c>
      <c r="H834" s="18" t="n">
        <f aca="false">F834-G834</f>
        <v>0</v>
      </c>
      <c r="I834" s="16" t="n">
        <f aca="false">IF(H834&lt;=0.01,0,MAX(Assumptions!$B$5-E834,0))</f>
        <v>0</v>
      </c>
      <c r="J834" s="16" t="str">
        <f aca="false">IF(H834&lt;=0.01,"Paid",IF(I834&lt;=30,"0-30",IF(I834&lt;=60,"31-60",IF(I834&lt;=90,"61-90","90+"))))</f>
        <v>Paid</v>
      </c>
      <c r="K834" s="16" t="str">
        <f aca="false">IF(H834&lt;=0.01,"Paid",IF(G834&gt;0,"Partially Paid","Unpaid"))</f>
        <v>Paid</v>
      </c>
    </row>
    <row r="835" customFormat="false" ht="15" hidden="false" customHeight="false" outlineLevel="0" collapsed="false">
      <c r="A835" s="16" t="str">
        <f aca="false">Vendor_Invoices_AP!A832</f>
        <v>INV30831</v>
      </c>
      <c r="B835" s="16" t="str">
        <f aca="false">Vendor_Invoices_AP!C832</f>
        <v>V1025</v>
      </c>
      <c r="C835" s="16" t="str">
        <f aca="false">IFERROR(INDEX(Vendor_Master!$B$2:$B$41,MATCH(B835,Vendor_Master!$A$2:$A$41,0)),"Unknown Vendor")</f>
        <v>Conner Group</v>
      </c>
      <c r="D835" s="17" t="n">
        <f aca="false">Vendor_Invoices_AP!D832</f>
        <v>45787</v>
      </c>
      <c r="E835" s="17" t="n">
        <f aca="false">Vendor_Invoices_AP!F832</f>
        <v>45832</v>
      </c>
      <c r="F835" s="18" t="n">
        <f aca="false">Vendor_Invoices_AP!E832</f>
        <v>2011.1</v>
      </c>
      <c r="G835" s="18" t="n">
        <f aca="false">SUMIFS(Payment_Log_AP!$E$2:$E$753,Payment_Log_AP!$B$2:$B$753,A835)</f>
        <v>0</v>
      </c>
      <c r="H835" s="18" t="n">
        <f aca="false">F835-G835</f>
        <v>2011.1</v>
      </c>
      <c r="I835" s="16" t="n">
        <f aca="false">IF(H835&lt;=0.01,0,MAX(Assumptions!$B$5-E835,0))</f>
        <v>402</v>
      </c>
      <c r="J835" s="16" t="str">
        <f aca="false">IF(H835&lt;=0.01,"Paid",IF(I835&lt;=30,"0-30",IF(I835&lt;=60,"31-60",IF(I835&lt;=90,"61-90","90+"))))</f>
        <v>90+</v>
      </c>
      <c r="K835" s="16" t="str">
        <f aca="false">IF(H835&lt;=0.01,"Paid",IF(G835&gt;0,"Partially Paid","Unpaid"))</f>
        <v>Unpaid</v>
      </c>
    </row>
    <row r="836" customFormat="false" ht="15" hidden="false" customHeight="false" outlineLevel="0" collapsed="false">
      <c r="A836" s="16" t="str">
        <f aca="false">Vendor_Invoices_AP!A833</f>
        <v>INV30832</v>
      </c>
      <c r="B836" s="16" t="str">
        <f aca="false">Vendor_Invoices_AP!C833</f>
        <v>V1004</v>
      </c>
      <c r="C836" s="16" t="str">
        <f aca="false">IFERROR(INDEX(Vendor_Master!$B$2:$B$41,MATCH(B836,Vendor_Master!$A$2:$A$41,0)),"Unknown Vendor")</f>
        <v>Johnson, Gonzalez and Santos</v>
      </c>
      <c r="D836" s="17" t="n">
        <f aca="false">Vendor_Invoices_AP!D833</f>
        <v>45902</v>
      </c>
      <c r="E836" s="17" t="n">
        <f aca="false">Vendor_Invoices_AP!F833</f>
        <v>45917</v>
      </c>
      <c r="F836" s="18" t="n">
        <f aca="false">Vendor_Invoices_AP!E833</f>
        <v>1373.43</v>
      </c>
      <c r="G836" s="18" t="n">
        <f aca="false">SUMIFS(Payment_Log_AP!$E$2:$E$753,Payment_Log_AP!$B$2:$B$753,A836)</f>
        <v>0</v>
      </c>
      <c r="H836" s="18" t="n">
        <f aca="false">F836-G836</f>
        <v>1373.43</v>
      </c>
      <c r="I836" s="16" t="n">
        <f aca="false">IF(H836&lt;=0.01,0,MAX(Assumptions!$B$5-E836,0))</f>
        <v>317</v>
      </c>
      <c r="J836" s="16" t="str">
        <f aca="false">IF(H836&lt;=0.01,"Paid",IF(I836&lt;=30,"0-30",IF(I836&lt;=60,"31-60",IF(I836&lt;=90,"61-90","90+"))))</f>
        <v>90+</v>
      </c>
      <c r="K836" s="16" t="str">
        <f aca="false">IF(H836&lt;=0.01,"Paid",IF(G836&gt;0,"Partially Paid","Unpaid"))</f>
        <v>Unpaid</v>
      </c>
    </row>
    <row r="837" customFormat="false" ht="15" hidden="false" customHeight="false" outlineLevel="0" collapsed="false">
      <c r="A837" s="16" t="str">
        <f aca="false">Vendor_Invoices_AP!A834</f>
        <v>INV30833</v>
      </c>
      <c r="B837" s="16" t="str">
        <f aca="false">Vendor_Invoices_AP!C834</f>
        <v>V1037</v>
      </c>
      <c r="C837" s="16" t="str">
        <f aca="false">IFERROR(INDEX(Vendor_Master!$B$2:$B$41,MATCH(B837,Vendor_Master!$A$2:$A$41,0)),"Unknown Vendor")</f>
        <v>Cannon, Anderson and Alvarez</v>
      </c>
      <c r="D837" s="17" t="n">
        <f aca="false">Vendor_Invoices_AP!D834</f>
        <v>45859</v>
      </c>
      <c r="E837" s="17" t="n">
        <f aca="false">Vendor_Invoices_AP!F834</f>
        <v>45889</v>
      </c>
      <c r="F837" s="18" t="n">
        <f aca="false">Vendor_Invoices_AP!E834</f>
        <v>2804.48</v>
      </c>
      <c r="G837" s="18" t="n">
        <f aca="false">SUMIFS(Payment_Log_AP!$E$2:$E$753,Payment_Log_AP!$B$2:$B$753,A837)</f>
        <v>2804.48</v>
      </c>
      <c r="H837" s="18" t="n">
        <f aca="false">F837-G837</f>
        <v>0</v>
      </c>
      <c r="I837" s="16" t="n">
        <f aca="false">IF(H837&lt;=0.01,0,MAX(Assumptions!$B$5-E837,0))</f>
        <v>0</v>
      </c>
      <c r="J837" s="16" t="str">
        <f aca="false">IF(H837&lt;=0.01,"Paid",IF(I837&lt;=30,"0-30",IF(I837&lt;=60,"31-60",IF(I837&lt;=90,"61-90","90+"))))</f>
        <v>Paid</v>
      </c>
      <c r="K837" s="16" t="str">
        <f aca="false">IF(H837&lt;=0.01,"Paid",IF(G837&gt;0,"Partially Paid","Unpaid"))</f>
        <v>Paid</v>
      </c>
    </row>
    <row r="838" customFormat="false" ht="15" hidden="false" customHeight="false" outlineLevel="0" collapsed="false">
      <c r="A838" s="16" t="str">
        <f aca="false">Vendor_Invoices_AP!A835</f>
        <v>INV30834</v>
      </c>
      <c r="B838" s="16" t="str">
        <f aca="false">Vendor_Invoices_AP!C835</f>
        <v>V1036</v>
      </c>
      <c r="C838" s="16" t="str">
        <f aca="false">IFERROR(INDEX(Vendor_Master!$B$2:$B$41,MATCH(B838,Vendor_Master!$A$2:$A$41,0)),"Unknown Vendor")</f>
        <v>Dennis Inc</v>
      </c>
      <c r="D838" s="17" t="n">
        <f aca="false">Vendor_Invoices_AP!D835</f>
        <v>45874</v>
      </c>
      <c r="E838" s="17" t="n">
        <f aca="false">Vendor_Invoices_AP!F835</f>
        <v>45919</v>
      </c>
      <c r="F838" s="18" t="n">
        <f aca="false">Vendor_Invoices_AP!E835</f>
        <v>241.56</v>
      </c>
      <c r="G838" s="18" t="n">
        <f aca="false">SUMIFS(Payment_Log_AP!$E$2:$E$753,Payment_Log_AP!$B$2:$B$753,A838)</f>
        <v>241.56</v>
      </c>
      <c r="H838" s="18" t="n">
        <f aca="false">F838-G838</f>
        <v>0</v>
      </c>
      <c r="I838" s="16" t="n">
        <f aca="false">IF(H838&lt;=0.01,0,MAX(Assumptions!$B$5-E838,0))</f>
        <v>0</v>
      </c>
      <c r="J838" s="16" t="str">
        <f aca="false">IF(H838&lt;=0.01,"Paid",IF(I838&lt;=30,"0-30",IF(I838&lt;=60,"31-60",IF(I838&lt;=90,"61-90","90+"))))</f>
        <v>Paid</v>
      </c>
      <c r="K838" s="16" t="str">
        <f aca="false">IF(H838&lt;=0.01,"Paid",IF(G838&gt;0,"Partially Paid","Unpaid"))</f>
        <v>Paid</v>
      </c>
    </row>
    <row r="839" customFormat="false" ht="15" hidden="false" customHeight="false" outlineLevel="0" collapsed="false">
      <c r="A839" s="16" t="str">
        <f aca="false">Vendor_Invoices_AP!A836</f>
        <v>INV30835</v>
      </c>
      <c r="B839" s="16" t="str">
        <f aca="false">Vendor_Invoices_AP!C836</f>
        <v>V1024</v>
      </c>
      <c r="C839" s="16" t="str">
        <f aca="false">IFERROR(INDEX(Vendor_Master!$B$2:$B$41,MATCH(B839,Vendor_Master!$A$2:$A$41,0)),"Unknown Vendor")</f>
        <v>Campos Inc</v>
      </c>
      <c r="D839" s="17" t="n">
        <f aca="false">Vendor_Invoices_AP!D836</f>
        <v>46068</v>
      </c>
      <c r="E839" s="17" t="n">
        <f aca="false">Vendor_Invoices_AP!F836</f>
        <v>46128</v>
      </c>
      <c r="F839" s="18" t="n">
        <f aca="false">Vendor_Invoices_AP!E836</f>
        <v>2328.97</v>
      </c>
      <c r="G839" s="18" t="n">
        <f aca="false">SUMIFS(Payment_Log_AP!$E$2:$E$753,Payment_Log_AP!$B$2:$B$753,A839)</f>
        <v>2328.97</v>
      </c>
      <c r="H839" s="18" t="n">
        <f aca="false">F839-G839</f>
        <v>0</v>
      </c>
      <c r="I839" s="16" t="n">
        <f aca="false">IF(H839&lt;=0.01,0,MAX(Assumptions!$B$5-E839,0))</f>
        <v>0</v>
      </c>
      <c r="J839" s="16" t="str">
        <f aca="false">IF(H839&lt;=0.01,"Paid",IF(I839&lt;=30,"0-30",IF(I839&lt;=60,"31-60",IF(I839&lt;=90,"61-90","90+"))))</f>
        <v>Paid</v>
      </c>
      <c r="K839" s="16" t="str">
        <f aca="false">IF(H839&lt;=0.01,"Paid",IF(G839&gt;0,"Partially Paid","Unpaid"))</f>
        <v>Paid</v>
      </c>
    </row>
    <row r="840" customFormat="false" ht="15" hidden="false" customHeight="false" outlineLevel="0" collapsed="false">
      <c r="A840" s="16" t="str">
        <f aca="false">Vendor_Invoices_AP!A837</f>
        <v>INV30836</v>
      </c>
      <c r="B840" s="16" t="str">
        <f aca="false">Vendor_Invoices_AP!C837</f>
        <v>V1030</v>
      </c>
      <c r="C840" s="16" t="str">
        <f aca="false">IFERROR(INDEX(Vendor_Master!$B$2:$B$41,MATCH(B840,Vendor_Master!$A$2:$A$41,0)),"Unknown Vendor")</f>
        <v>Stanton-Gill</v>
      </c>
      <c r="D840" s="17" t="n">
        <f aca="false">Vendor_Invoices_AP!D837</f>
        <v>46083</v>
      </c>
      <c r="E840" s="17" t="n">
        <f aca="false">Vendor_Invoices_AP!F837</f>
        <v>46143</v>
      </c>
      <c r="F840" s="18" t="n">
        <f aca="false">Vendor_Invoices_AP!E837</f>
        <v>830.55</v>
      </c>
      <c r="G840" s="18" t="n">
        <f aca="false">SUMIFS(Payment_Log_AP!$E$2:$E$753,Payment_Log_AP!$B$2:$B$753,A840)</f>
        <v>830.55</v>
      </c>
      <c r="H840" s="18" t="n">
        <f aca="false">F840-G840</f>
        <v>0</v>
      </c>
      <c r="I840" s="16" t="n">
        <f aca="false">IF(H840&lt;=0.01,0,MAX(Assumptions!$B$5-E840,0))</f>
        <v>0</v>
      </c>
      <c r="J840" s="16" t="str">
        <f aca="false">IF(H840&lt;=0.01,"Paid",IF(I840&lt;=30,"0-30",IF(I840&lt;=60,"31-60",IF(I840&lt;=90,"61-90","90+"))))</f>
        <v>Paid</v>
      </c>
      <c r="K840" s="16" t="str">
        <f aca="false">IF(H840&lt;=0.01,"Paid",IF(G840&gt;0,"Partially Paid","Unpaid"))</f>
        <v>Paid</v>
      </c>
    </row>
    <row r="841" customFormat="false" ht="15" hidden="false" customHeight="false" outlineLevel="0" collapsed="false">
      <c r="A841" s="16" t="str">
        <f aca="false">Vendor_Invoices_AP!A838</f>
        <v>INV30837</v>
      </c>
      <c r="B841" s="16" t="str">
        <f aca="false">Vendor_Invoices_AP!C838</f>
        <v>V1029</v>
      </c>
      <c r="C841" s="16" t="str">
        <f aca="false">IFERROR(INDEX(Vendor_Master!$B$2:$B$41,MATCH(B841,Vendor_Master!$A$2:$A$41,0)),"Unknown Vendor")</f>
        <v>Chavez Ltd</v>
      </c>
      <c r="D841" s="17" t="n">
        <f aca="false">Vendor_Invoices_AP!D838</f>
        <v>45972</v>
      </c>
      <c r="E841" s="17" t="n">
        <f aca="false">Vendor_Invoices_AP!F838</f>
        <v>46032</v>
      </c>
      <c r="F841" s="18" t="n">
        <f aca="false">Vendor_Invoices_AP!E838</f>
        <v>1962.84</v>
      </c>
      <c r="G841" s="18" t="n">
        <f aca="false">SUMIFS(Payment_Log_AP!$E$2:$E$753,Payment_Log_AP!$B$2:$B$753,A841)</f>
        <v>1962.84</v>
      </c>
      <c r="H841" s="18" t="n">
        <f aca="false">F841-G841</f>
        <v>0</v>
      </c>
      <c r="I841" s="16" t="n">
        <f aca="false">IF(H841&lt;=0.01,0,MAX(Assumptions!$B$5-E841,0))</f>
        <v>0</v>
      </c>
      <c r="J841" s="16" t="str">
        <f aca="false">IF(H841&lt;=0.01,"Paid",IF(I841&lt;=30,"0-30",IF(I841&lt;=60,"31-60",IF(I841&lt;=90,"61-90","90+"))))</f>
        <v>Paid</v>
      </c>
      <c r="K841" s="16" t="str">
        <f aca="false">IF(H841&lt;=0.01,"Paid",IF(G841&gt;0,"Partially Paid","Unpaid"))</f>
        <v>Paid</v>
      </c>
    </row>
    <row r="842" customFormat="false" ht="15" hidden="false" customHeight="false" outlineLevel="0" collapsed="false">
      <c r="A842" s="16" t="str">
        <f aca="false">Vendor_Invoices_AP!A839</f>
        <v>INV30838</v>
      </c>
      <c r="B842" s="16" t="str">
        <f aca="false">Vendor_Invoices_AP!C839</f>
        <v>V1026</v>
      </c>
      <c r="C842" s="16" t="str">
        <f aca="false">IFERROR(INDEX(Vendor_Master!$B$2:$B$41,MATCH(B842,Vendor_Master!$A$2:$A$41,0)),"Unknown Vendor")</f>
        <v>James-Ferrell</v>
      </c>
      <c r="D842" s="17" t="n">
        <f aca="false">Vendor_Invoices_AP!D839</f>
        <v>45727</v>
      </c>
      <c r="E842" s="17" t="n">
        <f aca="false">Vendor_Invoices_AP!F839</f>
        <v>45787</v>
      </c>
      <c r="F842" s="18" t="n">
        <f aca="false">Vendor_Invoices_AP!E839</f>
        <v>254.85</v>
      </c>
      <c r="G842" s="18" t="n">
        <f aca="false">SUMIFS(Payment_Log_AP!$E$2:$E$753,Payment_Log_AP!$B$2:$B$753,A842)</f>
        <v>254.85</v>
      </c>
      <c r="H842" s="18" t="n">
        <f aca="false">F842-G842</f>
        <v>0</v>
      </c>
      <c r="I842" s="16" t="n">
        <f aca="false">IF(H842&lt;=0.01,0,MAX(Assumptions!$B$5-E842,0))</f>
        <v>0</v>
      </c>
      <c r="J842" s="16" t="str">
        <f aca="false">IF(H842&lt;=0.01,"Paid",IF(I842&lt;=30,"0-30",IF(I842&lt;=60,"31-60",IF(I842&lt;=90,"61-90","90+"))))</f>
        <v>Paid</v>
      </c>
      <c r="K842" s="16" t="str">
        <f aca="false">IF(H842&lt;=0.01,"Paid",IF(G842&gt;0,"Partially Paid","Unpaid"))</f>
        <v>Paid</v>
      </c>
    </row>
    <row r="843" customFormat="false" ht="15" hidden="false" customHeight="false" outlineLevel="0" collapsed="false">
      <c r="A843" s="16" t="str">
        <f aca="false">Vendor_Invoices_AP!A840</f>
        <v>INV30839</v>
      </c>
      <c r="B843" s="16" t="str">
        <f aca="false">Vendor_Invoices_AP!C840</f>
        <v>V1038</v>
      </c>
      <c r="C843" s="16" t="str">
        <f aca="false">IFERROR(INDEX(Vendor_Master!$B$2:$B$41,MATCH(B843,Vendor_Master!$A$2:$A$41,0)),"Unknown Vendor")</f>
        <v>Rose-Obrien</v>
      </c>
      <c r="D843" s="17" t="n">
        <f aca="false">Vendor_Invoices_AP!D840</f>
        <v>45700</v>
      </c>
      <c r="E843" s="17" t="n">
        <f aca="false">Vendor_Invoices_AP!F840</f>
        <v>45730</v>
      </c>
      <c r="F843" s="18" t="n">
        <f aca="false">Vendor_Invoices_AP!E840</f>
        <v>2755.05</v>
      </c>
      <c r="G843" s="18" t="n">
        <f aca="false">SUMIFS(Payment_Log_AP!$E$2:$E$753,Payment_Log_AP!$B$2:$B$753,A843)</f>
        <v>0</v>
      </c>
      <c r="H843" s="18" t="n">
        <f aca="false">F843-G843</f>
        <v>2755.05</v>
      </c>
      <c r="I843" s="16" t="n">
        <f aca="false">IF(H843&lt;=0.01,0,MAX(Assumptions!$B$5-E843,0))</f>
        <v>504</v>
      </c>
      <c r="J843" s="16" t="str">
        <f aca="false">IF(H843&lt;=0.01,"Paid",IF(I843&lt;=30,"0-30",IF(I843&lt;=60,"31-60",IF(I843&lt;=90,"61-90","90+"))))</f>
        <v>90+</v>
      </c>
      <c r="K843" s="16" t="str">
        <f aca="false">IF(H843&lt;=0.01,"Paid",IF(G843&gt;0,"Partially Paid","Unpaid"))</f>
        <v>Unpaid</v>
      </c>
    </row>
    <row r="844" customFormat="false" ht="15" hidden="false" customHeight="false" outlineLevel="0" collapsed="false">
      <c r="A844" s="16" t="str">
        <f aca="false">Vendor_Invoices_AP!A841</f>
        <v>INV30840</v>
      </c>
      <c r="B844" s="16" t="str">
        <f aca="false">Vendor_Invoices_AP!C841</f>
        <v>V1023</v>
      </c>
      <c r="C844" s="16" t="str">
        <f aca="false">IFERROR(INDEX(Vendor_Master!$B$2:$B$41,MATCH(B844,Vendor_Master!$A$2:$A$41,0)),"Unknown Vendor")</f>
        <v>Robinson-Bright</v>
      </c>
      <c r="D844" s="17" t="n">
        <f aca="false">Vendor_Invoices_AP!D841</f>
        <v>45768</v>
      </c>
      <c r="E844" s="17" t="n">
        <f aca="false">Vendor_Invoices_AP!F841</f>
        <v>45798</v>
      </c>
      <c r="F844" s="18" t="n">
        <f aca="false">Vendor_Invoices_AP!E841</f>
        <v>6224.71</v>
      </c>
      <c r="G844" s="18" t="n">
        <f aca="false">SUMIFS(Payment_Log_AP!$E$2:$E$753,Payment_Log_AP!$B$2:$B$753,A844)</f>
        <v>6224.71</v>
      </c>
      <c r="H844" s="18" t="n">
        <f aca="false">F844-G844</f>
        <v>0</v>
      </c>
      <c r="I844" s="16" t="n">
        <f aca="false">IF(H844&lt;=0.01,0,MAX(Assumptions!$B$5-E844,0))</f>
        <v>0</v>
      </c>
      <c r="J844" s="16" t="str">
        <f aca="false">IF(H844&lt;=0.01,"Paid",IF(I844&lt;=30,"0-30",IF(I844&lt;=60,"31-60",IF(I844&lt;=90,"61-90","90+"))))</f>
        <v>Paid</v>
      </c>
      <c r="K844" s="16" t="str">
        <f aca="false">IF(H844&lt;=0.01,"Paid",IF(G844&gt;0,"Partially Paid","Unpaid"))</f>
        <v>Paid</v>
      </c>
    </row>
    <row r="845" customFormat="false" ht="15" hidden="false" customHeight="false" outlineLevel="0" collapsed="false">
      <c r="A845" s="16" t="str">
        <f aca="false">Vendor_Invoices_AP!A842</f>
        <v>INV30841</v>
      </c>
      <c r="B845" s="16" t="str">
        <f aca="false">Vendor_Invoices_AP!C842</f>
        <v>V1033</v>
      </c>
      <c r="C845" s="16" t="str">
        <f aca="false">IFERROR(INDEX(Vendor_Master!$B$2:$B$41,MATCH(B845,Vendor_Master!$A$2:$A$41,0)),"Unknown Vendor")</f>
        <v>Sellers, George and Burns</v>
      </c>
      <c r="D845" s="17" t="n">
        <f aca="false">Vendor_Invoices_AP!D842</f>
        <v>45998</v>
      </c>
      <c r="E845" s="17" t="n">
        <f aca="false">Vendor_Invoices_AP!F842</f>
        <v>46058</v>
      </c>
      <c r="F845" s="18" t="n">
        <f aca="false">Vendor_Invoices_AP!E842</f>
        <v>505.83</v>
      </c>
      <c r="G845" s="18" t="n">
        <f aca="false">SUMIFS(Payment_Log_AP!$E$2:$E$753,Payment_Log_AP!$B$2:$B$753,A845)</f>
        <v>505.83</v>
      </c>
      <c r="H845" s="18" t="n">
        <f aca="false">F845-G845</f>
        <v>0</v>
      </c>
      <c r="I845" s="16" t="n">
        <f aca="false">IF(H845&lt;=0.01,0,MAX(Assumptions!$B$5-E845,0))</f>
        <v>0</v>
      </c>
      <c r="J845" s="16" t="str">
        <f aca="false">IF(H845&lt;=0.01,"Paid",IF(I845&lt;=30,"0-30",IF(I845&lt;=60,"31-60",IF(I845&lt;=90,"61-90","90+"))))</f>
        <v>Paid</v>
      </c>
      <c r="K845" s="16" t="str">
        <f aca="false">IF(H845&lt;=0.01,"Paid",IF(G845&gt;0,"Partially Paid","Unpaid"))</f>
        <v>Paid</v>
      </c>
    </row>
    <row r="846" customFormat="false" ht="15" hidden="false" customHeight="false" outlineLevel="0" collapsed="false">
      <c r="A846" s="16" t="str">
        <f aca="false">Vendor_Invoices_AP!A843</f>
        <v>INV30842</v>
      </c>
      <c r="B846" s="16" t="str">
        <f aca="false">Vendor_Invoices_AP!C843</f>
        <v>V1029</v>
      </c>
      <c r="C846" s="16" t="str">
        <f aca="false">IFERROR(INDEX(Vendor_Master!$B$2:$B$41,MATCH(B846,Vendor_Master!$A$2:$A$41,0)),"Unknown Vendor")</f>
        <v>Chavez Ltd</v>
      </c>
      <c r="D846" s="17" t="n">
        <f aca="false">Vendor_Invoices_AP!D843</f>
        <v>46033</v>
      </c>
      <c r="E846" s="17" t="n">
        <f aca="false">Vendor_Invoices_AP!F843</f>
        <v>46093</v>
      </c>
      <c r="F846" s="18" t="n">
        <f aca="false">Vendor_Invoices_AP!E843</f>
        <v>3028.33</v>
      </c>
      <c r="G846" s="18" t="n">
        <f aca="false">SUMIFS(Payment_Log_AP!$E$2:$E$753,Payment_Log_AP!$B$2:$B$753,A846)</f>
        <v>3028.33</v>
      </c>
      <c r="H846" s="18" t="n">
        <f aca="false">F846-G846</f>
        <v>0</v>
      </c>
      <c r="I846" s="16" t="n">
        <f aca="false">IF(H846&lt;=0.01,0,MAX(Assumptions!$B$5-E846,0))</f>
        <v>0</v>
      </c>
      <c r="J846" s="16" t="str">
        <f aca="false">IF(H846&lt;=0.01,"Paid",IF(I846&lt;=30,"0-30",IF(I846&lt;=60,"31-60",IF(I846&lt;=90,"61-90","90+"))))</f>
        <v>Paid</v>
      </c>
      <c r="K846" s="16" t="str">
        <f aca="false">IF(H846&lt;=0.01,"Paid",IF(G846&gt;0,"Partially Paid","Unpaid"))</f>
        <v>Paid</v>
      </c>
    </row>
    <row r="847" customFormat="false" ht="15" hidden="false" customHeight="false" outlineLevel="0" collapsed="false">
      <c r="A847" s="16" t="str">
        <f aca="false">Vendor_Invoices_AP!A844</f>
        <v>INV30843</v>
      </c>
      <c r="B847" s="16" t="str">
        <f aca="false">Vendor_Invoices_AP!C844</f>
        <v>V1035</v>
      </c>
      <c r="C847" s="16" t="str">
        <f aca="false">IFERROR(INDEX(Vendor_Master!$B$2:$B$41,MATCH(B847,Vendor_Master!$A$2:$A$41,0)),"Unknown Vendor")</f>
        <v>Allen PLC</v>
      </c>
      <c r="D847" s="17" t="n">
        <f aca="false">Vendor_Invoices_AP!D844</f>
        <v>45811</v>
      </c>
      <c r="E847" s="17" t="n">
        <f aca="false">Vendor_Invoices_AP!F844</f>
        <v>45826</v>
      </c>
      <c r="F847" s="18" t="n">
        <f aca="false">Vendor_Invoices_AP!E844</f>
        <v>556.23</v>
      </c>
      <c r="G847" s="18" t="n">
        <f aca="false">SUMIFS(Payment_Log_AP!$E$2:$E$753,Payment_Log_AP!$B$2:$B$753,A847)</f>
        <v>556.23</v>
      </c>
      <c r="H847" s="18" t="n">
        <f aca="false">F847-G847</f>
        <v>0</v>
      </c>
      <c r="I847" s="16" t="n">
        <f aca="false">IF(H847&lt;=0.01,0,MAX(Assumptions!$B$5-E847,0))</f>
        <v>0</v>
      </c>
      <c r="J847" s="16" t="str">
        <f aca="false">IF(H847&lt;=0.01,"Paid",IF(I847&lt;=30,"0-30",IF(I847&lt;=60,"31-60",IF(I847&lt;=90,"61-90","90+"))))</f>
        <v>Paid</v>
      </c>
      <c r="K847" s="16" t="str">
        <f aca="false">IF(H847&lt;=0.01,"Paid",IF(G847&gt;0,"Partially Paid","Unpaid"))</f>
        <v>Paid</v>
      </c>
    </row>
    <row r="848" customFormat="false" ht="15" hidden="false" customHeight="false" outlineLevel="0" collapsed="false">
      <c r="A848" s="16" t="str">
        <f aca="false">Vendor_Invoices_AP!A845</f>
        <v>INV30844</v>
      </c>
      <c r="B848" s="16" t="str">
        <f aca="false">Vendor_Invoices_AP!C845</f>
        <v>V1021</v>
      </c>
      <c r="C848" s="16" t="str">
        <f aca="false">IFERROR(INDEX(Vendor_Master!$B$2:$B$41,MATCH(B848,Vendor_Master!$A$2:$A$41,0)),"Unknown Vendor")</f>
        <v>Ellis, Baker and Wright</v>
      </c>
      <c r="D848" s="17" t="n">
        <f aca="false">Vendor_Invoices_AP!D845</f>
        <v>46035</v>
      </c>
      <c r="E848" s="17" t="n">
        <f aca="false">Vendor_Invoices_AP!F845</f>
        <v>46065</v>
      </c>
      <c r="F848" s="18" t="n">
        <f aca="false">Vendor_Invoices_AP!E845</f>
        <v>12577.38</v>
      </c>
      <c r="G848" s="18" t="n">
        <f aca="false">SUMIFS(Payment_Log_AP!$E$2:$E$753,Payment_Log_AP!$B$2:$B$753,A848)</f>
        <v>12577.38</v>
      </c>
      <c r="H848" s="18" t="n">
        <f aca="false">F848-G848</f>
        <v>0</v>
      </c>
      <c r="I848" s="16" t="n">
        <f aca="false">IF(H848&lt;=0.01,0,MAX(Assumptions!$B$5-E848,0))</f>
        <v>0</v>
      </c>
      <c r="J848" s="16" t="str">
        <f aca="false">IF(H848&lt;=0.01,"Paid",IF(I848&lt;=30,"0-30",IF(I848&lt;=60,"31-60",IF(I848&lt;=90,"61-90","90+"))))</f>
        <v>Paid</v>
      </c>
      <c r="K848" s="16" t="str">
        <f aca="false">IF(H848&lt;=0.01,"Paid",IF(G848&gt;0,"Partially Paid","Unpaid"))</f>
        <v>Paid</v>
      </c>
    </row>
    <row r="849" customFormat="false" ht="15" hidden="false" customHeight="false" outlineLevel="0" collapsed="false">
      <c r="A849" s="16" t="str">
        <f aca="false">Vendor_Invoices_AP!A846</f>
        <v>INV30845</v>
      </c>
      <c r="B849" s="16" t="str">
        <f aca="false">Vendor_Invoices_AP!C846</f>
        <v>V1036</v>
      </c>
      <c r="C849" s="16" t="str">
        <f aca="false">IFERROR(INDEX(Vendor_Master!$B$2:$B$41,MATCH(B849,Vendor_Master!$A$2:$A$41,0)),"Unknown Vendor")</f>
        <v>Dennis Inc</v>
      </c>
      <c r="D849" s="17" t="n">
        <f aca="false">Vendor_Invoices_AP!D846</f>
        <v>45942</v>
      </c>
      <c r="E849" s="17" t="n">
        <f aca="false">Vendor_Invoices_AP!F846</f>
        <v>45987</v>
      </c>
      <c r="F849" s="18" t="n">
        <f aca="false">Vendor_Invoices_AP!E846</f>
        <v>5102.06</v>
      </c>
      <c r="G849" s="18" t="n">
        <f aca="false">SUMIFS(Payment_Log_AP!$E$2:$E$753,Payment_Log_AP!$B$2:$B$753,A849)</f>
        <v>0</v>
      </c>
      <c r="H849" s="18" t="n">
        <f aca="false">F849-G849</f>
        <v>5102.06</v>
      </c>
      <c r="I849" s="16" t="n">
        <f aca="false">IF(H849&lt;=0.01,0,MAX(Assumptions!$B$5-E849,0))</f>
        <v>247</v>
      </c>
      <c r="J849" s="16" t="str">
        <f aca="false">IF(H849&lt;=0.01,"Paid",IF(I849&lt;=30,"0-30",IF(I849&lt;=60,"31-60",IF(I849&lt;=90,"61-90","90+"))))</f>
        <v>90+</v>
      </c>
      <c r="K849" s="16" t="str">
        <f aca="false">IF(H849&lt;=0.01,"Paid",IF(G849&gt;0,"Partially Paid","Unpaid"))</f>
        <v>Unpaid</v>
      </c>
    </row>
    <row r="850" customFormat="false" ht="15" hidden="false" customHeight="false" outlineLevel="0" collapsed="false">
      <c r="A850" s="16" t="str">
        <f aca="false">Vendor_Invoices_AP!A847</f>
        <v>INV30846</v>
      </c>
      <c r="B850" s="16" t="str">
        <f aca="false">Vendor_Invoices_AP!C847</f>
        <v>V1031</v>
      </c>
      <c r="C850" s="16" t="str">
        <f aca="false">IFERROR(INDEX(Vendor_Master!$B$2:$B$41,MATCH(B850,Vendor_Master!$A$2:$A$41,0)),"Unknown Vendor")</f>
        <v>Harrell LLC</v>
      </c>
      <c r="D850" s="17" t="n">
        <f aca="false">Vendor_Invoices_AP!D847</f>
        <v>45920</v>
      </c>
      <c r="E850" s="17" t="n">
        <f aca="false">Vendor_Invoices_AP!F847</f>
        <v>45935</v>
      </c>
      <c r="F850" s="18" t="n">
        <f aca="false">Vendor_Invoices_AP!E847</f>
        <v>854.6</v>
      </c>
      <c r="G850" s="18" t="n">
        <f aca="false">SUMIFS(Payment_Log_AP!$E$2:$E$753,Payment_Log_AP!$B$2:$B$753,A850)</f>
        <v>0</v>
      </c>
      <c r="H850" s="18" t="n">
        <f aca="false">F850-G850</f>
        <v>854.6</v>
      </c>
      <c r="I850" s="16" t="n">
        <f aca="false">IF(H850&lt;=0.01,0,MAX(Assumptions!$B$5-E850,0))</f>
        <v>299</v>
      </c>
      <c r="J850" s="16" t="str">
        <f aca="false">IF(H850&lt;=0.01,"Paid",IF(I850&lt;=30,"0-30",IF(I850&lt;=60,"31-60",IF(I850&lt;=90,"61-90","90+"))))</f>
        <v>90+</v>
      </c>
      <c r="K850" s="16" t="str">
        <f aca="false">IF(H850&lt;=0.01,"Paid",IF(G850&gt;0,"Partially Paid","Unpaid"))</f>
        <v>Unpaid</v>
      </c>
    </row>
    <row r="851" customFormat="false" ht="15" hidden="false" customHeight="false" outlineLevel="0" collapsed="false">
      <c r="A851" s="16" t="str">
        <f aca="false">Vendor_Invoices_AP!A848</f>
        <v>INV30847</v>
      </c>
      <c r="B851" s="16" t="str">
        <f aca="false">Vendor_Invoices_AP!C848</f>
        <v>V1040</v>
      </c>
      <c r="C851" s="16" t="str">
        <f aca="false">IFERROR(INDEX(Vendor_Master!$B$2:$B$41,MATCH(B851,Vendor_Master!$A$2:$A$41,0)),"Unknown Vendor")</f>
        <v>Santos, Kim and Holmes</v>
      </c>
      <c r="D851" s="17" t="n">
        <f aca="false">Vendor_Invoices_AP!D848</f>
        <v>45829</v>
      </c>
      <c r="E851" s="17" t="n">
        <f aca="false">Vendor_Invoices_AP!F848</f>
        <v>45844</v>
      </c>
      <c r="F851" s="18" t="n">
        <f aca="false">Vendor_Invoices_AP!E848</f>
        <v>1844.19</v>
      </c>
      <c r="G851" s="18" t="n">
        <f aca="false">SUMIFS(Payment_Log_AP!$E$2:$E$753,Payment_Log_AP!$B$2:$B$753,A851)</f>
        <v>1844.19</v>
      </c>
      <c r="H851" s="18" t="n">
        <f aca="false">F851-G851</f>
        <v>0</v>
      </c>
      <c r="I851" s="16" t="n">
        <f aca="false">IF(H851&lt;=0.01,0,MAX(Assumptions!$B$5-E851,0))</f>
        <v>0</v>
      </c>
      <c r="J851" s="16" t="str">
        <f aca="false">IF(H851&lt;=0.01,"Paid",IF(I851&lt;=30,"0-30",IF(I851&lt;=60,"31-60",IF(I851&lt;=90,"61-90","90+"))))</f>
        <v>Paid</v>
      </c>
      <c r="K851" s="16" t="str">
        <f aca="false">IF(H851&lt;=0.01,"Paid",IF(G851&gt;0,"Partially Paid","Unpaid"))</f>
        <v>Paid</v>
      </c>
    </row>
    <row r="852" customFormat="false" ht="15" hidden="false" customHeight="false" outlineLevel="0" collapsed="false">
      <c r="A852" s="16" t="str">
        <f aca="false">Vendor_Invoices_AP!A849</f>
        <v>INV30848</v>
      </c>
      <c r="B852" s="16" t="str">
        <f aca="false">Vendor_Invoices_AP!C849</f>
        <v>V1016</v>
      </c>
      <c r="C852" s="16" t="str">
        <f aca="false">IFERROR(INDEX(Vendor_Master!$B$2:$B$41,MATCH(B852,Vendor_Master!$A$2:$A$41,0)),"Unknown Vendor")</f>
        <v>Sanchez, Ford and Nelson</v>
      </c>
      <c r="D852" s="17" t="n">
        <f aca="false">Vendor_Invoices_AP!D849</f>
        <v>46086</v>
      </c>
      <c r="E852" s="17" t="n">
        <f aca="false">Vendor_Invoices_AP!F849</f>
        <v>46116</v>
      </c>
      <c r="F852" s="18" t="n">
        <f aca="false">Vendor_Invoices_AP!E849</f>
        <v>2123.23</v>
      </c>
      <c r="G852" s="18" t="n">
        <f aca="false">SUMIFS(Payment_Log_AP!$E$2:$E$753,Payment_Log_AP!$B$2:$B$753,A852)</f>
        <v>2123.23</v>
      </c>
      <c r="H852" s="18" t="n">
        <f aca="false">F852-G852</f>
        <v>0</v>
      </c>
      <c r="I852" s="16" t="n">
        <f aca="false">IF(H852&lt;=0.01,0,MAX(Assumptions!$B$5-E852,0))</f>
        <v>0</v>
      </c>
      <c r="J852" s="16" t="str">
        <f aca="false">IF(H852&lt;=0.01,"Paid",IF(I852&lt;=30,"0-30",IF(I852&lt;=60,"31-60",IF(I852&lt;=90,"61-90","90+"))))</f>
        <v>Paid</v>
      </c>
      <c r="K852" s="16" t="str">
        <f aca="false">IF(H852&lt;=0.01,"Paid",IF(G852&gt;0,"Partially Paid","Unpaid"))</f>
        <v>Paid</v>
      </c>
    </row>
    <row r="853" customFormat="false" ht="15" hidden="false" customHeight="false" outlineLevel="0" collapsed="false">
      <c r="A853" s="16" t="str">
        <f aca="false">Vendor_Invoices_AP!A850</f>
        <v>INV30849</v>
      </c>
      <c r="B853" s="16" t="str">
        <f aca="false">Vendor_Invoices_AP!C850</f>
        <v>V1017</v>
      </c>
      <c r="C853" s="16" t="str">
        <f aca="false">IFERROR(INDEX(Vendor_Master!$B$2:$B$41,MATCH(B853,Vendor_Master!$A$2:$A$41,0)),"Unknown Vendor")</f>
        <v>Hawkins, Cohen and Cameron</v>
      </c>
      <c r="D853" s="17" t="n">
        <f aca="false">Vendor_Invoices_AP!D850</f>
        <v>45736</v>
      </c>
      <c r="E853" s="17" t="n">
        <f aca="false">Vendor_Invoices_AP!F850</f>
        <v>45781</v>
      </c>
      <c r="F853" s="18" t="n">
        <f aca="false">Vendor_Invoices_AP!E850</f>
        <v>424.45</v>
      </c>
      <c r="G853" s="18" t="n">
        <f aca="false">SUMIFS(Payment_Log_AP!$E$2:$E$753,Payment_Log_AP!$B$2:$B$753,A853)</f>
        <v>424.45</v>
      </c>
      <c r="H853" s="18" t="n">
        <f aca="false">F853-G853</f>
        <v>0</v>
      </c>
      <c r="I853" s="16" t="n">
        <f aca="false">IF(H853&lt;=0.01,0,MAX(Assumptions!$B$5-E853,0))</f>
        <v>0</v>
      </c>
      <c r="J853" s="16" t="str">
        <f aca="false">IF(H853&lt;=0.01,"Paid",IF(I853&lt;=30,"0-30",IF(I853&lt;=60,"31-60",IF(I853&lt;=90,"61-90","90+"))))</f>
        <v>Paid</v>
      </c>
      <c r="K853" s="16" t="str">
        <f aca="false">IF(H853&lt;=0.01,"Paid",IF(G853&gt;0,"Partially Paid","Unpaid"))</f>
        <v>Paid</v>
      </c>
    </row>
    <row r="854" customFormat="false" ht="15" hidden="false" customHeight="false" outlineLevel="0" collapsed="false">
      <c r="A854" s="16" t="str">
        <f aca="false">Vendor_Invoices_AP!A851</f>
        <v>INV30850</v>
      </c>
      <c r="B854" s="16" t="str">
        <f aca="false">Vendor_Invoices_AP!C851</f>
        <v>V1006</v>
      </c>
      <c r="C854" s="16" t="str">
        <f aca="false">IFERROR(INDEX(Vendor_Master!$B$2:$B$41,MATCH(B854,Vendor_Master!$A$2:$A$41,0)),"Unknown Vendor")</f>
        <v>Blake and Sons</v>
      </c>
      <c r="D854" s="17" t="n">
        <f aca="false">Vendor_Invoices_AP!D851</f>
        <v>45909</v>
      </c>
      <c r="E854" s="17" t="n">
        <f aca="false">Vendor_Invoices_AP!F851</f>
        <v>45969</v>
      </c>
      <c r="F854" s="18" t="n">
        <f aca="false">Vendor_Invoices_AP!E851</f>
        <v>751.88</v>
      </c>
      <c r="G854" s="18" t="n">
        <f aca="false">SUMIFS(Payment_Log_AP!$E$2:$E$753,Payment_Log_AP!$B$2:$B$753,A854)</f>
        <v>751.88</v>
      </c>
      <c r="H854" s="18" t="n">
        <f aca="false">F854-G854</f>
        <v>0</v>
      </c>
      <c r="I854" s="16" t="n">
        <f aca="false">IF(H854&lt;=0.01,0,MAX(Assumptions!$B$5-E854,0))</f>
        <v>0</v>
      </c>
      <c r="J854" s="16" t="str">
        <f aca="false">IF(H854&lt;=0.01,"Paid",IF(I854&lt;=30,"0-30",IF(I854&lt;=60,"31-60",IF(I854&lt;=90,"61-90","90+"))))</f>
        <v>Paid</v>
      </c>
      <c r="K854" s="16" t="str">
        <f aca="false">IF(H854&lt;=0.01,"Paid",IF(G854&gt;0,"Partially Paid","Unpaid"))</f>
        <v>Paid</v>
      </c>
    </row>
    <row r="855" customFormat="false" ht="15" hidden="false" customHeight="false" outlineLevel="0" collapsed="false">
      <c r="A855" s="16" t="str">
        <f aca="false">Vendor_Invoices_AP!A852</f>
        <v>INV30851</v>
      </c>
      <c r="B855" s="16" t="str">
        <f aca="false">Vendor_Invoices_AP!C852</f>
        <v>V1026</v>
      </c>
      <c r="C855" s="16" t="str">
        <f aca="false">IFERROR(INDEX(Vendor_Master!$B$2:$B$41,MATCH(B855,Vendor_Master!$A$2:$A$41,0)),"Unknown Vendor")</f>
        <v>James-Ferrell</v>
      </c>
      <c r="D855" s="17" t="n">
        <f aca="false">Vendor_Invoices_AP!D852</f>
        <v>45814</v>
      </c>
      <c r="E855" s="17" t="n">
        <f aca="false">Vendor_Invoices_AP!F852</f>
        <v>45874</v>
      </c>
      <c r="F855" s="18" t="n">
        <f aca="false">Vendor_Invoices_AP!E852</f>
        <v>2408.48</v>
      </c>
      <c r="G855" s="18" t="n">
        <f aca="false">SUMIFS(Payment_Log_AP!$E$2:$E$753,Payment_Log_AP!$B$2:$B$753,A855)</f>
        <v>2408.48</v>
      </c>
      <c r="H855" s="18" t="n">
        <f aca="false">F855-G855</f>
        <v>0</v>
      </c>
      <c r="I855" s="16" t="n">
        <f aca="false">IF(H855&lt;=0.01,0,MAX(Assumptions!$B$5-E855,0))</f>
        <v>0</v>
      </c>
      <c r="J855" s="16" t="str">
        <f aca="false">IF(H855&lt;=0.01,"Paid",IF(I855&lt;=30,"0-30",IF(I855&lt;=60,"31-60",IF(I855&lt;=90,"61-90","90+"))))</f>
        <v>Paid</v>
      </c>
      <c r="K855" s="16" t="str">
        <f aca="false">IF(H855&lt;=0.01,"Paid",IF(G855&gt;0,"Partially Paid","Unpaid"))</f>
        <v>Paid</v>
      </c>
    </row>
    <row r="856" customFormat="false" ht="15" hidden="false" customHeight="false" outlineLevel="0" collapsed="false">
      <c r="A856" s="16" t="str">
        <f aca="false">Vendor_Invoices_AP!A853</f>
        <v>INV30852</v>
      </c>
      <c r="B856" s="16" t="str">
        <f aca="false">Vendor_Invoices_AP!C853</f>
        <v>V1025</v>
      </c>
      <c r="C856" s="16" t="str">
        <f aca="false">IFERROR(INDEX(Vendor_Master!$B$2:$B$41,MATCH(B856,Vendor_Master!$A$2:$A$41,0)),"Unknown Vendor")</f>
        <v>Conner Group</v>
      </c>
      <c r="D856" s="17" t="n">
        <f aca="false">Vendor_Invoices_AP!D853</f>
        <v>46031</v>
      </c>
      <c r="E856" s="17" t="n">
        <f aca="false">Vendor_Invoices_AP!F853</f>
        <v>46076</v>
      </c>
      <c r="F856" s="18" t="n">
        <f aca="false">Vendor_Invoices_AP!E853</f>
        <v>197.82</v>
      </c>
      <c r="G856" s="18" t="n">
        <f aca="false">SUMIFS(Payment_Log_AP!$E$2:$E$753,Payment_Log_AP!$B$2:$B$753,A856)</f>
        <v>197.82</v>
      </c>
      <c r="H856" s="18" t="n">
        <f aca="false">F856-G856</f>
        <v>0</v>
      </c>
      <c r="I856" s="16" t="n">
        <f aca="false">IF(H856&lt;=0.01,0,MAX(Assumptions!$B$5-E856,0))</f>
        <v>0</v>
      </c>
      <c r="J856" s="16" t="str">
        <f aca="false">IF(H856&lt;=0.01,"Paid",IF(I856&lt;=30,"0-30",IF(I856&lt;=60,"31-60",IF(I856&lt;=90,"61-90","90+"))))</f>
        <v>Paid</v>
      </c>
      <c r="K856" s="16" t="str">
        <f aca="false">IF(H856&lt;=0.01,"Paid",IF(G856&gt;0,"Partially Paid","Unpaid"))</f>
        <v>Paid</v>
      </c>
    </row>
    <row r="857" customFormat="false" ht="15" hidden="false" customHeight="false" outlineLevel="0" collapsed="false">
      <c r="A857" s="16" t="str">
        <f aca="false">Vendor_Invoices_AP!A854</f>
        <v>INV30853</v>
      </c>
      <c r="B857" s="16" t="str">
        <f aca="false">Vendor_Invoices_AP!C854</f>
        <v>V1014</v>
      </c>
      <c r="C857" s="16" t="str">
        <f aca="false">IFERROR(INDEX(Vendor_Master!$B$2:$B$41,MATCH(B857,Vendor_Master!$A$2:$A$41,0)),"Unknown Vendor")</f>
        <v>Flowers, Martin and Kelly</v>
      </c>
      <c r="D857" s="17" t="n">
        <f aca="false">Vendor_Invoices_AP!D854</f>
        <v>45930</v>
      </c>
      <c r="E857" s="17" t="n">
        <f aca="false">Vendor_Invoices_AP!F854</f>
        <v>45960</v>
      </c>
      <c r="F857" s="18" t="n">
        <f aca="false">Vendor_Invoices_AP!E854</f>
        <v>5024.64</v>
      </c>
      <c r="G857" s="18" t="n">
        <f aca="false">SUMIFS(Payment_Log_AP!$E$2:$E$753,Payment_Log_AP!$B$2:$B$753,A857)</f>
        <v>5024.64</v>
      </c>
      <c r="H857" s="18" t="n">
        <f aca="false">F857-G857</f>
        <v>0</v>
      </c>
      <c r="I857" s="16" t="n">
        <f aca="false">IF(H857&lt;=0.01,0,MAX(Assumptions!$B$5-E857,0))</f>
        <v>0</v>
      </c>
      <c r="J857" s="16" t="str">
        <f aca="false">IF(H857&lt;=0.01,"Paid",IF(I857&lt;=30,"0-30",IF(I857&lt;=60,"31-60",IF(I857&lt;=90,"61-90","90+"))))</f>
        <v>Paid</v>
      </c>
      <c r="K857" s="16" t="str">
        <f aca="false">IF(H857&lt;=0.01,"Paid",IF(G857&gt;0,"Partially Paid","Unpaid"))</f>
        <v>Paid</v>
      </c>
    </row>
    <row r="858" customFormat="false" ht="15" hidden="false" customHeight="false" outlineLevel="0" collapsed="false">
      <c r="A858" s="16" t="str">
        <f aca="false">Vendor_Invoices_AP!A855</f>
        <v>INV30854</v>
      </c>
      <c r="B858" s="16" t="str">
        <f aca="false">Vendor_Invoices_AP!C855</f>
        <v>V1014</v>
      </c>
      <c r="C858" s="16" t="str">
        <f aca="false">IFERROR(INDEX(Vendor_Master!$B$2:$B$41,MATCH(B858,Vendor_Master!$A$2:$A$41,0)),"Unknown Vendor")</f>
        <v>Flowers, Martin and Kelly</v>
      </c>
      <c r="D858" s="17" t="n">
        <f aca="false">Vendor_Invoices_AP!D855</f>
        <v>45946</v>
      </c>
      <c r="E858" s="17" t="n">
        <f aca="false">Vendor_Invoices_AP!F855</f>
        <v>45976</v>
      </c>
      <c r="F858" s="18" t="n">
        <f aca="false">Vendor_Invoices_AP!E855</f>
        <v>5024.64</v>
      </c>
      <c r="G858" s="18" t="n">
        <f aca="false">SUMIFS(Payment_Log_AP!$E$2:$E$753,Payment_Log_AP!$B$2:$B$753,A858)</f>
        <v>5024.64</v>
      </c>
      <c r="H858" s="18" t="n">
        <f aca="false">F858-G858</f>
        <v>0</v>
      </c>
      <c r="I858" s="16" t="n">
        <f aca="false">IF(H858&lt;=0.01,0,MAX(Assumptions!$B$5-E858,0))</f>
        <v>0</v>
      </c>
      <c r="J858" s="16" t="str">
        <f aca="false">IF(H858&lt;=0.01,"Paid",IF(I858&lt;=30,"0-30",IF(I858&lt;=60,"31-60",IF(I858&lt;=90,"61-90","90+"))))</f>
        <v>Paid</v>
      </c>
      <c r="K858" s="16" t="str">
        <f aca="false">IF(H858&lt;=0.01,"Paid",IF(G858&gt;0,"Partially Paid","Unpaid"))</f>
        <v>Paid</v>
      </c>
    </row>
    <row r="859" customFormat="false" ht="15" hidden="false" customHeight="false" outlineLevel="0" collapsed="false">
      <c r="A859" s="16" t="str">
        <f aca="false">Vendor_Invoices_AP!A856</f>
        <v>INV30855</v>
      </c>
      <c r="B859" s="16" t="str">
        <f aca="false">Vendor_Invoices_AP!C856</f>
        <v>V1034</v>
      </c>
      <c r="C859" s="16" t="str">
        <f aca="false">IFERROR(INDEX(Vendor_Master!$B$2:$B$41,MATCH(B859,Vendor_Master!$A$2:$A$41,0)),"Unknown Vendor")</f>
        <v>Koch-Decker</v>
      </c>
      <c r="D859" s="17" t="n">
        <f aca="false">Vendor_Invoices_AP!D856</f>
        <v>46042</v>
      </c>
      <c r="E859" s="17" t="n">
        <f aca="false">Vendor_Invoices_AP!F856</f>
        <v>46087</v>
      </c>
      <c r="F859" s="18" t="n">
        <f aca="false">Vendor_Invoices_AP!E856</f>
        <v>4289.12</v>
      </c>
      <c r="G859" s="18" t="n">
        <f aca="false">SUMIFS(Payment_Log_AP!$E$2:$E$753,Payment_Log_AP!$B$2:$B$753,A859)</f>
        <v>4289.12</v>
      </c>
      <c r="H859" s="18" t="n">
        <f aca="false">F859-G859</f>
        <v>0</v>
      </c>
      <c r="I859" s="16" t="n">
        <f aca="false">IF(H859&lt;=0.01,0,MAX(Assumptions!$B$5-E859,0))</f>
        <v>0</v>
      </c>
      <c r="J859" s="16" t="str">
        <f aca="false">IF(H859&lt;=0.01,"Paid",IF(I859&lt;=30,"0-30",IF(I859&lt;=60,"31-60",IF(I859&lt;=90,"61-90","90+"))))</f>
        <v>Paid</v>
      </c>
      <c r="K859" s="16" t="str">
        <f aca="false">IF(H859&lt;=0.01,"Paid",IF(G859&gt;0,"Partially Paid","Unpaid"))</f>
        <v>Paid</v>
      </c>
    </row>
    <row r="860" customFormat="false" ht="15" hidden="false" customHeight="false" outlineLevel="0" collapsed="false">
      <c r="A860" s="16" t="str">
        <f aca="false">Vendor_Invoices_AP!A857</f>
        <v>INV30856</v>
      </c>
      <c r="B860" s="16" t="str">
        <f aca="false">Vendor_Invoices_AP!C857</f>
        <v>V1002</v>
      </c>
      <c r="C860" s="16" t="str">
        <f aca="false">IFERROR(INDEX(Vendor_Master!$B$2:$B$41,MATCH(B860,Vendor_Master!$A$2:$A$41,0)),"Unknown Vendor")</f>
        <v>Garcia, Yang and Gardner</v>
      </c>
      <c r="D860" s="17" t="n">
        <f aca="false">Vendor_Invoices_AP!D857</f>
        <v>45700</v>
      </c>
      <c r="E860" s="17" t="n">
        <f aca="false">Vendor_Invoices_AP!F857</f>
        <v>45715</v>
      </c>
      <c r="F860" s="18" t="n">
        <f aca="false">Vendor_Invoices_AP!E857</f>
        <v>264.62</v>
      </c>
      <c r="G860" s="18" t="n">
        <f aca="false">SUMIFS(Payment_Log_AP!$E$2:$E$753,Payment_Log_AP!$B$2:$B$753,A860)</f>
        <v>264.62</v>
      </c>
      <c r="H860" s="18" t="n">
        <f aca="false">F860-G860</f>
        <v>0</v>
      </c>
      <c r="I860" s="16" t="n">
        <f aca="false">IF(H860&lt;=0.01,0,MAX(Assumptions!$B$5-E860,0))</f>
        <v>0</v>
      </c>
      <c r="J860" s="16" t="str">
        <f aca="false">IF(H860&lt;=0.01,"Paid",IF(I860&lt;=30,"0-30",IF(I860&lt;=60,"31-60",IF(I860&lt;=90,"61-90","90+"))))</f>
        <v>Paid</v>
      </c>
      <c r="K860" s="16" t="str">
        <f aca="false">IF(H860&lt;=0.01,"Paid",IF(G860&gt;0,"Partially Paid","Unpaid"))</f>
        <v>Paid</v>
      </c>
    </row>
    <row r="861" customFormat="false" ht="15" hidden="false" customHeight="false" outlineLevel="0" collapsed="false">
      <c r="A861" s="16" t="str">
        <f aca="false">Vendor_Invoices_AP!A858</f>
        <v>INV30857</v>
      </c>
      <c r="B861" s="16" t="str">
        <f aca="false">Vendor_Invoices_AP!C858</f>
        <v>V1002</v>
      </c>
      <c r="C861" s="16" t="str">
        <f aca="false">IFERROR(INDEX(Vendor_Master!$B$2:$B$41,MATCH(B861,Vendor_Master!$A$2:$A$41,0)),"Unknown Vendor")</f>
        <v>Garcia, Yang and Gardner</v>
      </c>
      <c r="D861" s="17" t="n">
        <f aca="false">Vendor_Invoices_AP!D858</f>
        <v>45881</v>
      </c>
      <c r="E861" s="17" t="n">
        <f aca="false">Vendor_Invoices_AP!F858</f>
        <v>45896</v>
      </c>
      <c r="F861" s="18" t="n">
        <f aca="false">Vendor_Invoices_AP!E858</f>
        <v>18783.05</v>
      </c>
      <c r="G861" s="18" t="n">
        <f aca="false">SUMIFS(Payment_Log_AP!$E$2:$E$753,Payment_Log_AP!$B$2:$B$753,A861)</f>
        <v>18783.05</v>
      </c>
      <c r="H861" s="18" t="n">
        <f aca="false">F861-G861</f>
        <v>0</v>
      </c>
      <c r="I861" s="16" t="n">
        <f aca="false">IF(H861&lt;=0.01,0,MAX(Assumptions!$B$5-E861,0))</f>
        <v>0</v>
      </c>
      <c r="J861" s="16" t="str">
        <f aca="false">IF(H861&lt;=0.01,"Paid",IF(I861&lt;=30,"0-30",IF(I861&lt;=60,"31-60",IF(I861&lt;=90,"61-90","90+"))))</f>
        <v>Paid</v>
      </c>
      <c r="K861" s="16" t="str">
        <f aca="false">IF(H861&lt;=0.01,"Paid",IF(G861&gt;0,"Partially Paid","Unpaid"))</f>
        <v>Paid</v>
      </c>
    </row>
    <row r="862" customFormat="false" ht="15" hidden="false" customHeight="false" outlineLevel="0" collapsed="false">
      <c r="A862" s="16" t="str">
        <f aca="false">Vendor_Invoices_AP!A859</f>
        <v>INV30858</v>
      </c>
      <c r="B862" s="16" t="str">
        <f aca="false">Vendor_Invoices_AP!C859</f>
        <v>V1031</v>
      </c>
      <c r="C862" s="16" t="str">
        <f aca="false">IFERROR(INDEX(Vendor_Master!$B$2:$B$41,MATCH(B862,Vendor_Master!$A$2:$A$41,0)),"Unknown Vendor")</f>
        <v>Harrell LLC</v>
      </c>
      <c r="D862" s="17" t="n">
        <f aca="false">Vendor_Invoices_AP!D859</f>
        <v>46002</v>
      </c>
      <c r="E862" s="17" t="n">
        <f aca="false">Vendor_Invoices_AP!F859</f>
        <v>46017</v>
      </c>
      <c r="F862" s="18" t="n">
        <f aca="false">Vendor_Invoices_AP!E859</f>
        <v>796.83</v>
      </c>
      <c r="G862" s="18" t="n">
        <f aca="false">SUMIFS(Payment_Log_AP!$E$2:$E$753,Payment_Log_AP!$B$2:$B$753,A862)</f>
        <v>796.83</v>
      </c>
      <c r="H862" s="18" t="n">
        <f aca="false">F862-G862</f>
        <v>0</v>
      </c>
      <c r="I862" s="16" t="n">
        <f aca="false">IF(H862&lt;=0.01,0,MAX(Assumptions!$B$5-E862,0))</f>
        <v>0</v>
      </c>
      <c r="J862" s="16" t="str">
        <f aca="false">IF(H862&lt;=0.01,"Paid",IF(I862&lt;=30,"0-30",IF(I862&lt;=60,"31-60",IF(I862&lt;=90,"61-90","90+"))))</f>
        <v>Paid</v>
      </c>
      <c r="K862" s="16" t="str">
        <f aca="false">IF(H862&lt;=0.01,"Paid",IF(G862&gt;0,"Partially Paid","Unpaid"))</f>
        <v>Paid</v>
      </c>
    </row>
    <row r="863" customFormat="false" ht="15" hidden="false" customHeight="false" outlineLevel="0" collapsed="false">
      <c r="A863" s="16" t="str">
        <f aca="false">Vendor_Invoices_AP!A860</f>
        <v>INV30859</v>
      </c>
      <c r="B863" s="16" t="str">
        <f aca="false">Vendor_Invoices_AP!C860</f>
        <v>V1034</v>
      </c>
      <c r="C863" s="16" t="str">
        <f aca="false">IFERROR(INDEX(Vendor_Master!$B$2:$B$41,MATCH(B863,Vendor_Master!$A$2:$A$41,0)),"Unknown Vendor")</f>
        <v>Koch-Decker</v>
      </c>
      <c r="D863" s="17" t="n">
        <f aca="false">Vendor_Invoices_AP!D860</f>
        <v>45681</v>
      </c>
      <c r="E863" s="17" t="n">
        <f aca="false">Vendor_Invoices_AP!F860</f>
        <v>45726</v>
      </c>
      <c r="F863" s="18" t="n">
        <f aca="false">Vendor_Invoices_AP!E860</f>
        <v>115.93</v>
      </c>
      <c r="G863" s="18" t="n">
        <f aca="false">SUMIFS(Payment_Log_AP!$E$2:$E$753,Payment_Log_AP!$B$2:$B$753,A863)</f>
        <v>115.93</v>
      </c>
      <c r="H863" s="18" t="n">
        <f aca="false">F863-G863</f>
        <v>0</v>
      </c>
      <c r="I863" s="16" t="n">
        <f aca="false">IF(H863&lt;=0.01,0,MAX(Assumptions!$B$5-E863,0))</f>
        <v>0</v>
      </c>
      <c r="J863" s="16" t="str">
        <f aca="false">IF(H863&lt;=0.01,"Paid",IF(I863&lt;=30,"0-30",IF(I863&lt;=60,"31-60",IF(I863&lt;=90,"61-90","90+"))))</f>
        <v>Paid</v>
      </c>
      <c r="K863" s="16" t="str">
        <f aca="false">IF(H863&lt;=0.01,"Paid",IF(G863&gt;0,"Partially Paid","Unpaid"))</f>
        <v>Paid</v>
      </c>
    </row>
    <row r="864" customFormat="false" ht="15" hidden="false" customHeight="false" outlineLevel="0" collapsed="false">
      <c r="A864" s="16" t="str">
        <f aca="false">Vendor_Invoices_AP!A861</f>
        <v>INV30860</v>
      </c>
      <c r="B864" s="16" t="str">
        <f aca="false">Vendor_Invoices_AP!C861</f>
        <v>V1039</v>
      </c>
      <c r="C864" s="16" t="str">
        <f aca="false">IFERROR(INDEX(Vendor_Master!$B$2:$B$41,MATCH(B864,Vendor_Master!$A$2:$A$41,0)),"Unknown Vendor")</f>
        <v>Campos, Vaughn and Marquez</v>
      </c>
      <c r="D864" s="17" t="n">
        <f aca="false">Vendor_Invoices_AP!D861</f>
        <v>45825</v>
      </c>
      <c r="E864" s="17" t="n">
        <f aca="false">Vendor_Invoices_AP!F861</f>
        <v>45855</v>
      </c>
      <c r="F864" s="18" t="n">
        <f aca="false">Vendor_Invoices_AP!E861</f>
        <v>2115.29</v>
      </c>
      <c r="G864" s="18" t="n">
        <f aca="false">SUMIFS(Payment_Log_AP!$E$2:$E$753,Payment_Log_AP!$B$2:$B$753,A864)</f>
        <v>2115.29</v>
      </c>
      <c r="H864" s="18" t="n">
        <f aca="false">F864-G864</f>
        <v>0</v>
      </c>
      <c r="I864" s="16" t="n">
        <f aca="false">IF(H864&lt;=0.01,0,MAX(Assumptions!$B$5-E864,0))</f>
        <v>0</v>
      </c>
      <c r="J864" s="16" t="str">
        <f aca="false">IF(H864&lt;=0.01,"Paid",IF(I864&lt;=30,"0-30",IF(I864&lt;=60,"31-60",IF(I864&lt;=90,"61-90","90+"))))</f>
        <v>Paid</v>
      </c>
      <c r="K864" s="16" t="str">
        <f aca="false">IF(H864&lt;=0.01,"Paid",IF(G864&gt;0,"Partially Paid","Unpaid"))</f>
        <v>Paid</v>
      </c>
    </row>
    <row r="865" customFormat="false" ht="15" hidden="false" customHeight="false" outlineLevel="0" collapsed="false">
      <c r="A865" s="16" t="str">
        <f aca="false">Vendor_Invoices_AP!A862</f>
        <v>INV30861</v>
      </c>
      <c r="B865" s="16" t="str">
        <f aca="false">Vendor_Invoices_AP!C862</f>
        <v>V1037</v>
      </c>
      <c r="C865" s="16" t="str">
        <f aca="false">IFERROR(INDEX(Vendor_Master!$B$2:$B$41,MATCH(B865,Vendor_Master!$A$2:$A$41,0)),"Unknown Vendor")</f>
        <v>Cannon, Anderson and Alvarez</v>
      </c>
      <c r="D865" s="17" t="n">
        <f aca="false">Vendor_Invoices_AP!D862</f>
        <v>45778</v>
      </c>
      <c r="E865" s="17" t="n">
        <f aca="false">Vendor_Invoices_AP!F862</f>
        <v>45808</v>
      </c>
      <c r="F865" s="18" t="n">
        <f aca="false">Vendor_Invoices_AP!E862</f>
        <v>1027.6</v>
      </c>
      <c r="G865" s="18" t="n">
        <f aca="false">SUMIFS(Payment_Log_AP!$E$2:$E$753,Payment_Log_AP!$B$2:$B$753,A865)</f>
        <v>1027.6</v>
      </c>
      <c r="H865" s="18" t="n">
        <f aca="false">F865-G865</f>
        <v>0</v>
      </c>
      <c r="I865" s="16" t="n">
        <f aca="false">IF(H865&lt;=0.01,0,MAX(Assumptions!$B$5-E865,0))</f>
        <v>0</v>
      </c>
      <c r="J865" s="16" t="str">
        <f aca="false">IF(H865&lt;=0.01,"Paid",IF(I865&lt;=30,"0-30",IF(I865&lt;=60,"31-60",IF(I865&lt;=90,"61-90","90+"))))</f>
        <v>Paid</v>
      </c>
      <c r="K865" s="16" t="str">
        <f aca="false">IF(H865&lt;=0.01,"Paid",IF(G865&gt;0,"Partially Paid","Unpaid"))</f>
        <v>Paid</v>
      </c>
    </row>
    <row r="866" customFormat="false" ht="15" hidden="false" customHeight="false" outlineLevel="0" collapsed="false">
      <c r="A866" s="16" t="str">
        <f aca="false">Vendor_Invoices_AP!A863</f>
        <v>INV30862</v>
      </c>
      <c r="B866" s="16" t="str">
        <f aca="false">Vendor_Invoices_AP!C863</f>
        <v>V1003</v>
      </c>
      <c r="C866" s="16" t="str">
        <f aca="false">IFERROR(INDEX(Vendor_Master!$B$2:$B$41,MATCH(B866,Vendor_Master!$A$2:$A$41,0)),"Unknown Vendor")</f>
        <v>Johnson and Sons</v>
      </c>
      <c r="D866" s="17" t="n">
        <f aca="false">Vendor_Invoices_AP!D863</f>
        <v>45746</v>
      </c>
      <c r="E866" s="17" t="n">
        <f aca="false">Vendor_Invoices_AP!F863</f>
        <v>45761</v>
      </c>
      <c r="F866" s="18" t="n">
        <f aca="false">Vendor_Invoices_AP!E863</f>
        <v>1165</v>
      </c>
      <c r="G866" s="18" t="n">
        <f aca="false">SUMIFS(Payment_Log_AP!$E$2:$E$753,Payment_Log_AP!$B$2:$B$753,A866)</f>
        <v>1165</v>
      </c>
      <c r="H866" s="18" t="n">
        <f aca="false">F866-G866</f>
        <v>0</v>
      </c>
      <c r="I866" s="16" t="n">
        <f aca="false">IF(H866&lt;=0.01,0,MAX(Assumptions!$B$5-E866,0))</f>
        <v>0</v>
      </c>
      <c r="J866" s="16" t="str">
        <f aca="false">IF(H866&lt;=0.01,"Paid",IF(I866&lt;=30,"0-30",IF(I866&lt;=60,"31-60",IF(I866&lt;=90,"61-90","90+"))))</f>
        <v>Paid</v>
      </c>
      <c r="K866" s="16" t="str">
        <f aca="false">IF(H866&lt;=0.01,"Paid",IF(G866&gt;0,"Partially Paid","Unpaid"))</f>
        <v>Paid</v>
      </c>
    </row>
    <row r="867" customFormat="false" ht="15" hidden="false" customHeight="false" outlineLevel="0" collapsed="false">
      <c r="A867" s="16" t="str">
        <f aca="false">Vendor_Invoices_AP!A864</f>
        <v>INV30863</v>
      </c>
      <c r="B867" s="16" t="str">
        <f aca="false">Vendor_Invoices_AP!C864</f>
        <v>V1037</v>
      </c>
      <c r="C867" s="16" t="str">
        <f aca="false">IFERROR(INDEX(Vendor_Master!$B$2:$B$41,MATCH(B867,Vendor_Master!$A$2:$A$41,0)),"Unknown Vendor")</f>
        <v>Cannon, Anderson and Alvarez</v>
      </c>
      <c r="D867" s="17" t="n">
        <f aca="false">Vendor_Invoices_AP!D864</f>
        <v>45804</v>
      </c>
      <c r="E867" s="17" t="n">
        <f aca="false">Vendor_Invoices_AP!F864</f>
        <v>45834</v>
      </c>
      <c r="F867" s="18" t="n">
        <f aca="false">Vendor_Invoices_AP!E864</f>
        <v>1553.94</v>
      </c>
      <c r="G867" s="18" t="n">
        <f aca="false">SUMIFS(Payment_Log_AP!$E$2:$E$753,Payment_Log_AP!$B$2:$B$753,A867)</f>
        <v>1553.94</v>
      </c>
      <c r="H867" s="18" t="n">
        <f aca="false">F867-G867</f>
        <v>0</v>
      </c>
      <c r="I867" s="16" t="n">
        <f aca="false">IF(H867&lt;=0.01,0,MAX(Assumptions!$B$5-E867,0))</f>
        <v>0</v>
      </c>
      <c r="J867" s="16" t="str">
        <f aca="false">IF(H867&lt;=0.01,"Paid",IF(I867&lt;=30,"0-30",IF(I867&lt;=60,"31-60",IF(I867&lt;=90,"61-90","90+"))))</f>
        <v>Paid</v>
      </c>
      <c r="K867" s="16" t="str">
        <f aca="false">IF(H867&lt;=0.01,"Paid",IF(G867&gt;0,"Partially Paid","Unpaid"))</f>
        <v>Paid</v>
      </c>
    </row>
    <row r="868" customFormat="false" ht="15" hidden="false" customHeight="false" outlineLevel="0" collapsed="false">
      <c r="A868" s="16" t="str">
        <f aca="false">Vendor_Invoices_AP!A865</f>
        <v>INV30864</v>
      </c>
      <c r="B868" s="16" t="str">
        <f aca="false">Vendor_Invoices_AP!C865</f>
        <v>V1037</v>
      </c>
      <c r="C868" s="16" t="str">
        <f aca="false">IFERROR(INDEX(Vendor_Master!$B$2:$B$41,MATCH(B868,Vendor_Master!$A$2:$A$41,0)),"Unknown Vendor")</f>
        <v>Cannon, Anderson and Alvarez</v>
      </c>
      <c r="D868" s="17" t="n">
        <f aca="false">Vendor_Invoices_AP!D865</f>
        <v>45808</v>
      </c>
      <c r="E868" s="17" t="n">
        <f aca="false">Vendor_Invoices_AP!F865</f>
        <v>45838</v>
      </c>
      <c r="F868" s="18" t="n">
        <f aca="false">Vendor_Invoices_AP!E865</f>
        <v>1553.94</v>
      </c>
      <c r="G868" s="18" t="n">
        <f aca="false">SUMIFS(Payment_Log_AP!$E$2:$E$753,Payment_Log_AP!$B$2:$B$753,A868)</f>
        <v>1553.94</v>
      </c>
      <c r="H868" s="18" t="n">
        <f aca="false">F868-G868</f>
        <v>0</v>
      </c>
      <c r="I868" s="16" t="n">
        <f aca="false">IF(H868&lt;=0.01,0,MAX(Assumptions!$B$5-E868,0))</f>
        <v>0</v>
      </c>
      <c r="J868" s="16" t="str">
        <f aca="false">IF(H868&lt;=0.01,"Paid",IF(I868&lt;=30,"0-30",IF(I868&lt;=60,"31-60",IF(I868&lt;=90,"61-90","90+"))))</f>
        <v>Paid</v>
      </c>
      <c r="K868" s="16" t="str">
        <f aca="false">IF(H868&lt;=0.01,"Paid",IF(G868&gt;0,"Partially Paid","Unpaid"))</f>
        <v>Paid</v>
      </c>
    </row>
    <row r="869" customFormat="false" ht="15" hidden="false" customHeight="false" outlineLevel="0" collapsed="false">
      <c r="A869" s="16" t="str">
        <f aca="false">Vendor_Invoices_AP!A866</f>
        <v>INV30865</v>
      </c>
      <c r="B869" s="16" t="str">
        <f aca="false">Vendor_Invoices_AP!C866</f>
        <v>V1024</v>
      </c>
      <c r="C869" s="16" t="str">
        <f aca="false">IFERROR(INDEX(Vendor_Master!$B$2:$B$41,MATCH(B869,Vendor_Master!$A$2:$A$41,0)),"Unknown Vendor")</f>
        <v>Campos Inc</v>
      </c>
      <c r="D869" s="17" t="n">
        <f aca="false">Vendor_Invoices_AP!D866</f>
        <v>45851</v>
      </c>
      <c r="E869" s="17" t="n">
        <f aca="false">Vendor_Invoices_AP!F866</f>
        <v>45911</v>
      </c>
      <c r="F869" s="18" t="n">
        <f aca="false">Vendor_Invoices_AP!E866</f>
        <v>764.25</v>
      </c>
      <c r="G869" s="18" t="n">
        <f aca="false">SUMIFS(Payment_Log_AP!$E$2:$E$753,Payment_Log_AP!$B$2:$B$753,A869)</f>
        <v>764.25</v>
      </c>
      <c r="H869" s="18" t="n">
        <f aca="false">F869-G869</f>
        <v>0</v>
      </c>
      <c r="I869" s="16" t="n">
        <f aca="false">IF(H869&lt;=0.01,0,MAX(Assumptions!$B$5-E869,0))</f>
        <v>0</v>
      </c>
      <c r="J869" s="16" t="str">
        <f aca="false">IF(H869&lt;=0.01,"Paid",IF(I869&lt;=30,"0-30",IF(I869&lt;=60,"31-60",IF(I869&lt;=90,"61-90","90+"))))</f>
        <v>Paid</v>
      </c>
      <c r="K869" s="16" t="str">
        <f aca="false">IF(H869&lt;=0.01,"Paid",IF(G869&gt;0,"Partially Paid","Unpaid"))</f>
        <v>Paid</v>
      </c>
    </row>
    <row r="870" customFormat="false" ht="15" hidden="false" customHeight="false" outlineLevel="0" collapsed="false">
      <c r="A870" s="16" t="str">
        <f aca="false">Vendor_Invoices_AP!A867</f>
        <v>INV30866</v>
      </c>
      <c r="B870" s="16" t="str">
        <f aca="false">Vendor_Invoices_AP!C867</f>
        <v>V1022</v>
      </c>
      <c r="C870" s="16" t="str">
        <f aca="false">IFERROR(INDEX(Vendor_Master!$B$2:$B$41,MATCH(B870,Vendor_Master!$A$2:$A$41,0)),"Unknown Vendor")</f>
        <v>Burgess-Patterson</v>
      </c>
      <c r="D870" s="17" t="n">
        <f aca="false">Vendor_Invoices_AP!D867</f>
        <v>45679</v>
      </c>
      <c r="E870" s="17" t="n">
        <f aca="false">Vendor_Invoices_AP!F867</f>
        <v>45709</v>
      </c>
      <c r="F870" s="18" t="n">
        <f aca="false">Vendor_Invoices_AP!E867</f>
        <v>8318.12</v>
      </c>
      <c r="G870" s="18" t="n">
        <f aca="false">SUMIFS(Payment_Log_AP!$E$2:$E$753,Payment_Log_AP!$B$2:$B$753,A870)</f>
        <v>8318.12</v>
      </c>
      <c r="H870" s="18" t="n">
        <f aca="false">F870-G870</f>
        <v>0</v>
      </c>
      <c r="I870" s="16" t="n">
        <f aca="false">IF(H870&lt;=0.01,0,MAX(Assumptions!$B$5-E870,0))</f>
        <v>0</v>
      </c>
      <c r="J870" s="16" t="str">
        <f aca="false">IF(H870&lt;=0.01,"Paid",IF(I870&lt;=30,"0-30",IF(I870&lt;=60,"31-60",IF(I870&lt;=90,"61-90","90+"))))</f>
        <v>Paid</v>
      </c>
      <c r="K870" s="16" t="str">
        <f aca="false">IF(H870&lt;=0.01,"Paid",IF(G870&gt;0,"Partially Paid","Unpaid"))</f>
        <v>Paid</v>
      </c>
    </row>
    <row r="871" customFormat="false" ht="15" hidden="false" customHeight="false" outlineLevel="0" collapsed="false">
      <c r="A871" s="16" t="str">
        <f aca="false">Vendor_Invoices_AP!A868</f>
        <v>INV30867</v>
      </c>
      <c r="B871" s="16" t="str">
        <f aca="false">Vendor_Invoices_AP!C868</f>
        <v>V1027</v>
      </c>
      <c r="C871" s="16" t="str">
        <f aca="false">IFERROR(INDEX(Vendor_Master!$B$2:$B$41,MATCH(B871,Vendor_Master!$A$2:$A$41,0)),"Unknown Vendor")</f>
        <v>Valencia, Smith and Le</v>
      </c>
      <c r="D871" s="17" t="n">
        <f aca="false">Vendor_Invoices_AP!D868</f>
        <v>46082</v>
      </c>
      <c r="E871" s="17" t="n">
        <f aca="false">Vendor_Invoices_AP!F868</f>
        <v>46127</v>
      </c>
      <c r="F871" s="18" t="n">
        <f aca="false">Vendor_Invoices_AP!E868</f>
        <v>2564.63</v>
      </c>
      <c r="G871" s="18" t="n">
        <f aca="false">SUMIFS(Payment_Log_AP!$E$2:$E$753,Payment_Log_AP!$B$2:$B$753,A871)</f>
        <v>2564.63</v>
      </c>
      <c r="H871" s="18" t="n">
        <f aca="false">F871-G871</f>
        <v>0</v>
      </c>
      <c r="I871" s="16" t="n">
        <f aca="false">IF(H871&lt;=0.01,0,MAX(Assumptions!$B$5-E871,0))</f>
        <v>0</v>
      </c>
      <c r="J871" s="16" t="str">
        <f aca="false">IF(H871&lt;=0.01,"Paid",IF(I871&lt;=30,"0-30",IF(I871&lt;=60,"31-60",IF(I871&lt;=90,"61-90","90+"))))</f>
        <v>Paid</v>
      </c>
      <c r="K871" s="16" t="str">
        <f aca="false">IF(H871&lt;=0.01,"Paid",IF(G871&gt;0,"Partially Paid","Unpaid"))</f>
        <v>Paid</v>
      </c>
    </row>
    <row r="872" customFormat="false" ht="15" hidden="false" customHeight="false" outlineLevel="0" collapsed="false">
      <c r="A872" s="16" t="str">
        <f aca="false">Vendor_Invoices_AP!A869</f>
        <v>INV30868</v>
      </c>
      <c r="B872" s="16" t="str">
        <f aca="false">Vendor_Invoices_AP!C869</f>
        <v>V1036</v>
      </c>
      <c r="C872" s="16" t="str">
        <f aca="false">IFERROR(INDEX(Vendor_Master!$B$2:$B$41,MATCH(B872,Vendor_Master!$A$2:$A$41,0)),"Unknown Vendor")</f>
        <v>Dennis Inc</v>
      </c>
      <c r="D872" s="17" t="n">
        <f aca="false">Vendor_Invoices_AP!D869</f>
        <v>45773</v>
      </c>
      <c r="E872" s="17" t="n">
        <f aca="false">Vendor_Invoices_AP!F869</f>
        <v>45818</v>
      </c>
      <c r="F872" s="18" t="n">
        <f aca="false">Vendor_Invoices_AP!E869</f>
        <v>5467.62</v>
      </c>
      <c r="G872" s="18" t="n">
        <f aca="false">SUMIFS(Payment_Log_AP!$E$2:$E$753,Payment_Log_AP!$B$2:$B$753,A872)</f>
        <v>5467.62</v>
      </c>
      <c r="H872" s="18" t="n">
        <f aca="false">F872-G872</f>
        <v>0</v>
      </c>
      <c r="I872" s="16" t="n">
        <f aca="false">IF(H872&lt;=0.01,0,MAX(Assumptions!$B$5-E872,0))</f>
        <v>0</v>
      </c>
      <c r="J872" s="16" t="str">
        <f aca="false">IF(H872&lt;=0.01,"Paid",IF(I872&lt;=30,"0-30",IF(I872&lt;=60,"31-60",IF(I872&lt;=90,"61-90","90+"))))</f>
        <v>Paid</v>
      </c>
      <c r="K872" s="16" t="str">
        <f aca="false">IF(H872&lt;=0.01,"Paid",IF(G872&gt;0,"Partially Paid","Unpaid"))</f>
        <v>Paid</v>
      </c>
    </row>
    <row r="873" customFormat="false" ht="15" hidden="false" customHeight="false" outlineLevel="0" collapsed="false">
      <c r="A873" s="16" t="str">
        <f aca="false">Vendor_Invoices_AP!A870</f>
        <v>INV30869</v>
      </c>
      <c r="B873" s="16" t="str">
        <f aca="false">Vendor_Invoices_AP!C870</f>
        <v>V1009</v>
      </c>
      <c r="C873" s="16" t="str">
        <f aca="false">IFERROR(INDEX(Vendor_Master!$B$2:$B$41,MATCH(B873,Vendor_Master!$A$2:$A$41,0)),"Unknown Vendor")</f>
        <v>Munoz-Roman</v>
      </c>
      <c r="D873" s="17" t="n">
        <f aca="false">Vendor_Invoices_AP!D870</f>
        <v>45872</v>
      </c>
      <c r="E873" s="17" t="n">
        <f aca="false">Vendor_Invoices_AP!F870</f>
        <v>45902</v>
      </c>
      <c r="F873" s="18" t="n">
        <f aca="false">Vendor_Invoices_AP!E870</f>
        <v>4948.03</v>
      </c>
      <c r="G873" s="18" t="n">
        <f aca="false">SUMIFS(Payment_Log_AP!$E$2:$E$753,Payment_Log_AP!$B$2:$B$753,A873)</f>
        <v>4948.03</v>
      </c>
      <c r="H873" s="18" t="n">
        <f aca="false">F873-G873</f>
        <v>0</v>
      </c>
      <c r="I873" s="16" t="n">
        <f aca="false">IF(H873&lt;=0.01,0,MAX(Assumptions!$B$5-E873,0))</f>
        <v>0</v>
      </c>
      <c r="J873" s="16" t="str">
        <f aca="false">IF(H873&lt;=0.01,"Paid",IF(I873&lt;=30,"0-30",IF(I873&lt;=60,"31-60",IF(I873&lt;=90,"61-90","90+"))))</f>
        <v>Paid</v>
      </c>
      <c r="K873" s="16" t="str">
        <f aca="false">IF(H873&lt;=0.01,"Paid",IF(G873&gt;0,"Partially Paid","Unpaid"))</f>
        <v>Paid</v>
      </c>
    </row>
    <row r="874" customFormat="false" ht="15" hidden="false" customHeight="false" outlineLevel="0" collapsed="false">
      <c r="A874" s="16" t="str">
        <f aca="false">Vendor_Invoices_AP!A871</f>
        <v>INV30870</v>
      </c>
      <c r="B874" s="16" t="str">
        <f aca="false">Vendor_Invoices_AP!C871</f>
        <v>V1029</v>
      </c>
      <c r="C874" s="16" t="str">
        <f aca="false">IFERROR(INDEX(Vendor_Master!$B$2:$B$41,MATCH(B874,Vendor_Master!$A$2:$A$41,0)),"Unknown Vendor")</f>
        <v>Chavez Ltd</v>
      </c>
      <c r="D874" s="17" t="n">
        <f aca="false">Vendor_Invoices_AP!D871</f>
        <v>46058</v>
      </c>
      <c r="E874" s="17" t="n">
        <f aca="false">Vendor_Invoices_AP!F871</f>
        <v>46118</v>
      </c>
      <c r="F874" s="18" t="n">
        <f aca="false">Vendor_Invoices_AP!E871</f>
        <v>1631.21</v>
      </c>
      <c r="G874" s="18" t="n">
        <f aca="false">SUMIFS(Payment_Log_AP!$E$2:$E$753,Payment_Log_AP!$B$2:$B$753,A874)</f>
        <v>1631.21</v>
      </c>
      <c r="H874" s="18" t="n">
        <f aca="false">F874-G874</f>
        <v>0</v>
      </c>
      <c r="I874" s="16" t="n">
        <f aca="false">IF(H874&lt;=0.01,0,MAX(Assumptions!$B$5-E874,0))</f>
        <v>0</v>
      </c>
      <c r="J874" s="16" t="str">
        <f aca="false">IF(H874&lt;=0.01,"Paid",IF(I874&lt;=30,"0-30",IF(I874&lt;=60,"31-60",IF(I874&lt;=90,"61-90","90+"))))</f>
        <v>Paid</v>
      </c>
      <c r="K874" s="16" t="str">
        <f aca="false">IF(H874&lt;=0.01,"Paid",IF(G874&gt;0,"Partially Paid","Unpaid"))</f>
        <v>Paid</v>
      </c>
    </row>
    <row r="875" customFormat="false" ht="15" hidden="false" customHeight="false" outlineLevel="0" collapsed="false">
      <c r="A875" s="16" t="str">
        <f aca="false">Vendor_Invoices_AP!A872</f>
        <v>INV30871</v>
      </c>
      <c r="B875" s="16" t="str">
        <f aca="false">Vendor_Invoices_AP!C872</f>
        <v>V1040</v>
      </c>
      <c r="C875" s="16" t="str">
        <f aca="false">IFERROR(INDEX(Vendor_Master!$B$2:$B$41,MATCH(B875,Vendor_Master!$A$2:$A$41,0)),"Unknown Vendor")</f>
        <v>Santos, Kim and Holmes</v>
      </c>
      <c r="D875" s="17" t="n">
        <f aca="false">Vendor_Invoices_AP!D872</f>
        <v>45953</v>
      </c>
      <c r="E875" s="17" t="n">
        <f aca="false">Vendor_Invoices_AP!F872</f>
        <v>45968</v>
      </c>
      <c r="F875" s="18" t="n">
        <f aca="false">Vendor_Invoices_AP!E872</f>
        <v>819.06</v>
      </c>
      <c r="G875" s="18" t="n">
        <f aca="false">SUMIFS(Payment_Log_AP!$E$2:$E$753,Payment_Log_AP!$B$2:$B$753,A875)</f>
        <v>819.06</v>
      </c>
      <c r="H875" s="18" t="n">
        <f aca="false">F875-G875</f>
        <v>0</v>
      </c>
      <c r="I875" s="16" t="n">
        <f aca="false">IF(H875&lt;=0.01,0,MAX(Assumptions!$B$5-E875,0))</f>
        <v>0</v>
      </c>
      <c r="J875" s="16" t="str">
        <f aca="false">IF(H875&lt;=0.01,"Paid",IF(I875&lt;=30,"0-30",IF(I875&lt;=60,"31-60",IF(I875&lt;=90,"61-90","90+"))))</f>
        <v>Paid</v>
      </c>
      <c r="K875" s="16" t="str">
        <f aca="false">IF(H875&lt;=0.01,"Paid",IF(G875&gt;0,"Partially Paid","Unpaid"))</f>
        <v>Paid</v>
      </c>
    </row>
    <row r="876" customFormat="false" ht="15" hidden="false" customHeight="false" outlineLevel="0" collapsed="false">
      <c r="A876" s="16" t="str">
        <f aca="false">Vendor_Invoices_AP!A873</f>
        <v>INV30872</v>
      </c>
      <c r="B876" s="16" t="str">
        <f aca="false">Vendor_Invoices_AP!C873</f>
        <v>V1009</v>
      </c>
      <c r="C876" s="16" t="str">
        <f aca="false">IFERROR(INDEX(Vendor_Master!$B$2:$B$41,MATCH(B876,Vendor_Master!$A$2:$A$41,0)),"Unknown Vendor")</f>
        <v>Munoz-Roman</v>
      </c>
      <c r="D876" s="17" t="n">
        <f aca="false">Vendor_Invoices_AP!D873</f>
        <v>46124</v>
      </c>
      <c r="E876" s="17" t="n">
        <f aca="false">Vendor_Invoices_AP!F873</f>
        <v>46154</v>
      </c>
      <c r="F876" s="18" t="n">
        <f aca="false">Vendor_Invoices_AP!E873</f>
        <v>1380.81</v>
      </c>
      <c r="G876" s="18" t="n">
        <f aca="false">SUMIFS(Payment_Log_AP!$E$2:$E$753,Payment_Log_AP!$B$2:$B$753,A876)</f>
        <v>1380.81</v>
      </c>
      <c r="H876" s="18" t="n">
        <f aca="false">F876-G876</f>
        <v>0</v>
      </c>
      <c r="I876" s="16" t="n">
        <f aca="false">IF(H876&lt;=0.01,0,MAX(Assumptions!$B$5-E876,0))</f>
        <v>0</v>
      </c>
      <c r="J876" s="16" t="str">
        <f aca="false">IF(H876&lt;=0.01,"Paid",IF(I876&lt;=30,"0-30",IF(I876&lt;=60,"31-60",IF(I876&lt;=90,"61-90","90+"))))</f>
        <v>Paid</v>
      </c>
      <c r="K876" s="16" t="str">
        <f aca="false">IF(H876&lt;=0.01,"Paid",IF(G876&gt;0,"Partially Paid","Unpaid"))</f>
        <v>Paid</v>
      </c>
    </row>
    <row r="877" customFormat="false" ht="15" hidden="false" customHeight="false" outlineLevel="0" collapsed="false">
      <c r="A877" s="16" t="str">
        <f aca="false">Vendor_Invoices_AP!A874</f>
        <v>INV30873</v>
      </c>
      <c r="B877" s="16" t="str">
        <f aca="false">Vendor_Invoices_AP!C874</f>
        <v>V1028</v>
      </c>
      <c r="C877" s="16" t="str">
        <f aca="false">IFERROR(INDEX(Vendor_Master!$B$2:$B$41,MATCH(B877,Vendor_Master!$A$2:$A$41,0)),"Unknown Vendor")</f>
        <v>Potter, Mack and Peterson</v>
      </c>
      <c r="D877" s="17" t="n">
        <f aca="false">Vendor_Invoices_AP!D874</f>
        <v>46103</v>
      </c>
      <c r="E877" s="17" t="n">
        <f aca="false">Vendor_Invoices_AP!F874</f>
        <v>46148</v>
      </c>
      <c r="F877" s="18" t="n">
        <f aca="false">Vendor_Invoices_AP!E874</f>
        <v>537.91</v>
      </c>
      <c r="G877" s="18" t="n">
        <f aca="false">SUMIFS(Payment_Log_AP!$E$2:$E$753,Payment_Log_AP!$B$2:$B$753,A877)</f>
        <v>537.91</v>
      </c>
      <c r="H877" s="18" t="n">
        <f aca="false">F877-G877</f>
        <v>0</v>
      </c>
      <c r="I877" s="16" t="n">
        <f aca="false">IF(H877&lt;=0.01,0,MAX(Assumptions!$B$5-E877,0))</f>
        <v>0</v>
      </c>
      <c r="J877" s="16" t="str">
        <f aca="false">IF(H877&lt;=0.01,"Paid",IF(I877&lt;=30,"0-30",IF(I877&lt;=60,"31-60",IF(I877&lt;=90,"61-90","90+"))))</f>
        <v>Paid</v>
      </c>
      <c r="K877" s="16" t="str">
        <f aca="false">IF(H877&lt;=0.01,"Paid",IF(G877&gt;0,"Partially Paid","Unpaid"))</f>
        <v>Paid</v>
      </c>
    </row>
    <row r="878" customFormat="false" ht="15" hidden="false" customHeight="false" outlineLevel="0" collapsed="false">
      <c r="A878" s="16" t="str">
        <f aca="false">Vendor_Invoices_AP!A875</f>
        <v>INV30874</v>
      </c>
      <c r="B878" s="16" t="str">
        <f aca="false">Vendor_Invoices_AP!C875</f>
        <v>V1039</v>
      </c>
      <c r="C878" s="16" t="str">
        <f aca="false">IFERROR(INDEX(Vendor_Master!$B$2:$B$41,MATCH(B878,Vendor_Master!$A$2:$A$41,0)),"Unknown Vendor")</f>
        <v>Campos, Vaughn and Marquez</v>
      </c>
      <c r="D878" s="17" t="n">
        <f aca="false">Vendor_Invoices_AP!D875</f>
        <v>45722</v>
      </c>
      <c r="E878" s="17" t="n">
        <f aca="false">Vendor_Invoices_AP!F875</f>
        <v>45752</v>
      </c>
      <c r="F878" s="18" t="n">
        <f aca="false">Vendor_Invoices_AP!E875</f>
        <v>2224.01</v>
      </c>
      <c r="G878" s="18" t="n">
        <f aca="false">SUMIFS(Payment_Log_AP!$E$2:$E$753,Payment_Log_AP!$B$2:$B$753,A878)</f>
        <v>2224.01</v>
      </c>
      <c r="H878" s="18" t="n">
        <f aca="false">F878-G878</f>
        <v>0</v>
      </c>
      <c r="I878" s="16" t="n">
        <f aca="false">IF(H878&lt;=0.01,0,MAX(Assumptions!$B$5-E878,0))</f>
        <v>0</v>
      </c>
      <c r="J878" s="16" t="str">
        <f aca="false">IF(H878&lt;=0.01,"Paid",IF(I878&lt;=30,"0-30",IF(I878&lt;=60,"31-60",IF(I878&lt;=90,"61-90","90+"))))</f>
        <v>Paid</v>
      </c>
      <c r="K878" s="16" t="str">
        <f aca="false">IF(H878&lt;=0.01,"Paid",IF(G878&gt;0,"Partially Paid","Unpaid"))</f>
        <v>Paid</v>
      </c>
    </row>
    <row r="879" customFormat="false" ht="15" hidden="false" customHeight="false" outlineLevel="0" collapsed="false">
      <c r="A879" s="16" t="str">
        <f aca="false">Vendor_Invoices_AP!A876</f>
        <v>INV30875</v>
      </c>
      <c r="B879" s="16" t="str">
        <f aca="false">Vendor_Invoices_AP!C876</f>
        <v>V1019</v>
      </c>
      <c r="C879" s="16" t="str">
        <f aca="false">IFERROR(INDEX(Vendor_Master!$B$2:$B$41,MATCH(B879,Vendor_Master!$A$2:$A$41,0)),"Unknown Vendor")</f>
        <v>Clark PLC</v>
      </c>
      <c r="D879" s="17" t="n">
        <f aca="false">Vendor_Invoices_AP!D876</f>
        <v>46149</v>
      </c>
      <c r="E879" s="17" t="n">
        <f aca="false">Vendor_Invoices_AP!F876</f>
        <v>46194</v>
      </c>
      <c r="F879" s="18" t="n">
        <f aca="false">Vendor_Invoices_AP!E876</f>
        <v>972.49</v>
      </c>
      <c r="G879" s="18" t="n">
        <f aca="false">SUMIFS(Payment_Log_AP!$E$2:$E$753,Payment_Log_AP!$B$2:$B$753,A879)</f>
        <v>972.49</v>
      </c>
      <c r="H879" s="18" t="n">
        <f aca="false">F879-G879</f>
        <v>0</v>
      </c>
      <c r="I879" s="16" t="n">
        <f aca="false">IF(H879&lt;=0.01,0,MAX(Assumptions!$B$5-E879,0))</f>
        <v>0</v>
      </c>
      <c r="J879" s="16" t="str">
        <f aca="false">IF(H879&lt;=0.01,"Paid",IF(I879&lt;=30,"0-30",IF(I879&lt;=60,"31-60",IF(I879&lt;=90,"61-90","90+"))))</f>
        <v>Paid</v>
      </c>
      <c r="K879" s="16" t="str">
        <f aca="false">IF(H879&lt;=0.01,"Paid",IF(G879&gt;0,"Partially Paid","Unpaid"))</f>
        <v>Paid</v>
      </c>
    </row>
    <row r="880" customFormat="false" ht="15" hidden="false" customHeight="false" outlineLevel="0" collapsed="false">
      <c r="A880" s="16" t="str">
        <f aca="false">Vendor_Invoices_AP!A877</f>
        <v>INV30876</v>
      </c>
      <c r="B880" s="16" t="str">
        <f aca="false">Vendor_Invoices_AP!C877</f>
        <v>V1012</v>
      </c>
      <c r="C880" s="16" t="str">
        <f aca="false">IFERROR(INDEX(Vendor_Master!$B$2:$B$41,MATCH(B880,Vendor_Master!$A$2:$A$41,0)),"Unknown Vendor")</f>
        <v>Stanley LLC</v>
      </c>
      <c r="D880" s="17" t="n">
        <f aca="false">Vendor_Invoices_AP!D877</f>
        <v>45694</v>
      </c>
      <c r="E880" s="17" t="n">
        <f aca="false">Vendor_Invoices_AP!F877</f>
        <v>45754</v>
      </c>
      <c r="F880" s="18" t="n">
        <f aca="false">Vendor_Invoices_AP!E877</f>
        <v>5021.94</v>
      </c>
      <c r="G880" s="18" t="n">
        <f aca="false">SUMIFS(Payment_Log_AP!$E$2:$E$753,Payment_Log_AP!$B$2:$B$753,A880)</f>
        <v>0</v>
      </c>
      <c r="H880" s="18" t="n">
        <f aca="false">F880-G880</f>
        <v>5021.94</v>
      </c>
      <c r="I880" s="16" t="n">
        <f aca="false">IF(H880&lt;=0.01,0,MAX(Assumptions!$B$5-E880,0))</f>
        <v>480</v>
      </c>
      <c r="J880" s="16" t="str">
        <f aca="false">IF(H880&lt;=0.01,"Paid",IF(I880&lt;=30,"0-30",IF(I880&lt;=60,"31-60",IF(I880&lt;=90,"61-90","90+"))))</f>
        <v>90+</v>
      </c>
      <c r="K880" s="16" t="str">
        <f aca="false">IF(H880&lt;=0.01,"Paid",IF(G880&gt;0,"Partially Paid","Unpaid"))</f>
        <v>Unpaid</v>
      </c>
    </row>
    <row r="881" customFormat="false" ht="15" hidden="false" customHeight="false" outlineLevel="0" collapsed="false">
      <c r="A881" s="16" t="str">
        <f aca="false">Vendor_Invoices_AP!A878</f>
        <v>INV30877</v>
      </c>
      <c r="B881" s="16" t="str">
        <f aca="false">Vendor_Invoices_AP!C878</f>
        <v>V1007</v>
      </c>
      <c r="C881" s="16" t="str">
        <f aca="false">IFERROR(INDEX(Vendor_Master!$B$2:$B$41,MATCH(B881,Vendor_Master!$A$2:$A$41,0)),"Unknown Vendor")</f>
        <v>Ramirez-Lewis</v>
      </c>
      <c r="D881" s="17" t="n">
        <f aca="false">Vendor_Invoices_AP!D878</f>
        <v>45671</v>
      </c>
      <c r="E881" s="17" t="n">
        <f aca="false">Vendor_Invoices_AP!F878</f>
        <v>45686</v>
      </c>
      <c r="F881" s="18" t="n">
        <f aca="false">Vendor_Invoices_AP!E878</f>
        <v>5287.19</v>
      </c>
      <c r="G881" s="18" t="n">
        <f aca="false">SUMIFS(Payment_Log_AP!$E$2:$E$753,Payment_Log_AP!$B$2:$B$753,A881)</f>
        <v>0</v>
      </c>
      <c r="H881" s="18" t="n">
        <f aca="false">F881-G881</f>
        <v>5287.19</v>
      </c>
      <c r="I881" s="16" t="n">
        <f aca="false">IF(H881&lt;=0.01,0,MAX(Assumptions!$B$5-E881,0))</f>
        <v>548</v>
      </c>
      <c r="J881" s="16" t="str">
        <f aca="false">IF(H881&lt;=0.01,"Paid",IF(I881&lt;=30,"0-30",IF(I881&lt;=60,"31-60",IF(I881&lt;=90,"61-90","90+"))))</f>
        <v>90+</v>
      </c>
      <c r="K881" s="16" t="str">
        <f aca="false">IF(H881&lt;=0.01,"Paid",IF(G881&gt;0,"Partially Paid","Unpaid"))</f>
        <v>Unpaid</v>
      </c>
    </row>
    <row r="882" customFormat="false" ht="15" hidden="false" customHeight="false" outlineLevel="0" collapsed="false">
      <c r="A882" s="16" t="str">
        <f aca="false">Vendor_Invoices_AP!A879</f>
        <v>INV30878</v>
      </c>
      <c r="B882" s="16" t="str">
        <f aca="false">Vendor_Invoices_AP!C879</f>
        <v>V1020</v>
      </c>
      <c r="C882" s="16" t="str">
        <f aca="false">IFERROR(INDEX(Vendor_Master!$B$2:$B$41,MATCH(B882,Vendor_Master!$A$2:$A$41,0)),"Unknown Vendor")</f>
        <v>Lewis-Porter</v>
      </c>
      <c r="D882" s="17" t="n">
        <f aca="false">Vendor_Invoices_AP!D879</f>
        <v>46182</v>
      </c>
      <c r="E882" s="17" t="n">
        <f aca="false">Vendor_Invoices_AP!F879</f>
        <v>46212</v>
      </c>
      <c r="F882" s="18" t="n">
        <f aca="false">Vendor_Invoices_AP!E879</f>
        <v>7892.6</v>
      </c>
      <c r="G882" s="18" t="n">
        <f aca="false">SUMIFS(Payment_Log_AP!$E$2:$E$753,Payment_Log_AP!$B$2:$B$753,A882)</f>
        <v>7892.6</v>
      </c>
      <c r="H882" s="18" t="n">
        <f aca="false">F882-G882</f>
        <v>0</v>
      </c>
      <c r="I882" s="16" t="n">
        <f aca="false">IF(H882&lt;=0.01,0,MAX(Assumptions!$B$5-E882,0))</f>
        <v>0</v>
      </c>
      <c r="J882" s="16" t="str">
        <f aca="false">IF(H882&lt;=0.01,"Paid",IF(I882&lt;=30,"0-30",IF(I882&lt;=60,"31-60",IF(I882&lt;=90,"61-90","90+"))))</f>
        <v>Paid</v>
      </c>
      <c r="K882" s="16" t="str">
        <f aca="false">IF(H882&lt;=0.01,"Paid",IF(G882&gt;0,"Partially Paid","Unpaid"))</f>
        <v>Paid</v>
      </c>
    </row>
    <row r="883" customFormat="false" ht="15" hidden="false" customHeight="false" outlineLevel="0" collapsed="false">
      <c r="A883" s="16" t="str">
        <f aca="false">Vendor_Invoices_AP!A880</f>
        <v>INV30879</v>
      </c>
      <c r="B883" s="16" t="str">
        <f aca="false">Vendor_Invoices_AP!C880</f>
        <v>V1029</v>
      </c>
      <c r="C883" s="16" t="str">
        <f aca="false">IFERROR(INDEX(Vendor_Master!$B$2:$B$41,MATCH(B883,Vendor_Master!$A$2:$A$41,0)),"Unknown Vendor")</f>
        <v>Chavez Ltd</v>
      </c>
      <c r="D883" s="17" t="n">
        <f aca="false">Vendor_Invoices_AP!D880</f>
        <v>46151</v>
      </c>
      <c r="E883" s="17" t="n">
        <f aca="false">Vendor_Invoices_AP!F880</f>
        <v>46211</v>
      </c>
      <c r="F883" s="18" t="n">
        <f aca="false">Vendor_Invoices_AP!E880</f>
        <v>5336.94</v>
      </c>
      <c r="G883" s="18" t="n">
        <f aca="false">SUMIFS(Payment_Log_AP!$E$2:$E$753,Payment_Log_AP!$B$2:$B$753,A883)</f>
        <v>5336.94</v>
      </c>
      <c r="H883" s="18" t="n">
        <f aca="false">F883-G883</f>
        <v>0</v>
      </c>
      <c r="I883" s="16" t="n">
        <f aca="false">IF(H883&lt;=0.01,0,MAX(Assumptions!$B$5-E883,0))</f>
        <v>0</v>
      </c>
      <c r="J883" s="16" t="str">
        <f aca="false">IF(H883&lt;=0.01,"Paid",IF(I883&lt;=30,"0-30",IF(I883&lt;=60,"31-60",IF(I883&lt;=90,"61-90","90+"))))</f>
        <v>Paid</v>
      </c>
      <c r="K883" s="16" t="str">
        <f aca="false">IF(H883&lt;=0.01,"Paid",IF(G883&gt;0,"Partially Paid","Unpaid"))</f>
        <v>Paid</v>
      </c>
    </row>
    <row r="884" customFormat="false" ht="15" hidden="false" customHeight="false" outlineLevel="0" collapsed="false">
      <c r="A884" s="16" t="str">
        <f aca="false">Vendor_Invoices_AP!A881</f>
        <v>INV30880</v>
      </c>
      <c r="B884" s="16" t="str">
        <f aca="false">Vendor_Invoices_AP!C881</f>
        <v>V1033</v>
      </c>
      <c r="C884" s="16" t="str">
        <f aca="false">IFERROR(INDEX(Vendor_Master!$B$2:$B$41,MATCH(B884,Vendor_Master!$A$2:$A$41,0)),"Unknown Vendor")</f>
        <v>Sellers, George and Burns</v>
      </c>
      <c r="D884" s="17" t="n">
        <f aca="false">Vendor_Invoices_AP!D881</f>
        <v>45983</v>
      </c>
      <c r="E884" s="17" t="n">
        <f aca="false">Vendor_Invoices_AP!F881</f>
        <v>46043</v>
      </c>
      <c r="F884" s="18" t="n">
        <f aca="false">Vendor_Invoices_AP!E881</f>
        <v>2474.64</v>
      </c>
      <c r="G884" s="18" t="n">
        <f aca="false">SUMIFS(Payment_Log_AP!$E$2:$E$753,Payment_Log_AP!$B$2:$B$753,A884)</f>
        <v>0</v>
      </c>
      <c r="H884" s="18" t="n">
        <f aca="false">F884-G884</f>
        <v>2474.64</v>
      </c>
      <c r="I884" s="16" t="n">
        <f aca="false">IF(H884&lt;=0.01,0,MAX(Assumptions!$B$5-E884,0))</f>
        <v>191</v>
      </c>
      <c r="J884" s="16" t="str">
        <f aca="false">IF(H884&lt;=0.01,"Paid",IF(I884&lt;=30,"0-30",IF(I884&lt;=60,"31-60",IF(I884&lt;=90,"61-90","90+"))))</f>
        <v>90+</v>
      </c>
      <c r="K884" s="16" t="str">
        <f aca="false">IF(H884&lt;=0.01,"Paid",IF(G884&gt;0,"Partially Paid","Unpaid"))</f>
        <v>Unpaid</v>
      </c>
    </row>
    <row r="885" customFormat="false" ht="15" hidden="false" customHeight="false" outlineLevel="0" collapsed="false">
      <c r="A885" s="16" t="str">
        <f aca="false">Vendor_Invoices_AP!A882</f>
        <v>INV30881</v>
      </c>
      <c r="B885" s="16" t="str">
        <f aca="false">Vendor_Invoices_AP!C882</f>
        <v>V1014</v>
      </c>
      <c r="C885" s="16" t="str">
        <f aca="false">IFERROR(INDEX(Vendor_Master!$B$2:$B$41,MATCH(B885,Vendor_Master!$A$2:$A$41,0)),"Unknown Vendor")</f>
        <v>Flowers, Martin and Kelly</v>
      </c>
      <c r="D885" s="17" t="n">
        <f aca="false">Vendor_Invoices_AP!D882</f>
        <v>45973</v>
      </c>
      <c r="E885" s="17" t="n">
        <f aca="false">Vendor_Invoices_AP!F882</f>
        <v>46003</v>
      </c>
      <c r="F885" s="18" t="n">
        <f aca="false">Vendor_Invoices_AP!E882</f>
        <v>4104.49</v>
      </c>
      <c r="G885" s="18" t="n">
        <f aca="false">SUMIFS(Payment_Log_AP!$E$2:$E$753,Payment_Log_AP!$B$2:$B$753,A885)</f>
        <v>4104.49</v>
      </c>
      <c r="H885" s="18" t="n">
        <f aca="false">F885-G885</f>
        <v>0</v>
      </c>
      <c r="I885" s="16" t="n">
        <f aca="false">IF(H885&lt;=0.01,0,MAX(Assumptions!$B$5-E885,0))</f>
        <v>0</v>
      </c>
      <c r="J885" s="16" t="str">
        <f aca="false">IF(H885&lt;=0.01,"Paid",IF(I885&lt;=30,"0-30",IF(I885&lt;=60,"31-60",IF(I885&lt;=90,"61-90","90+"))))</f>
        <v>Paid</v>
      </c>
      <c r="K885" s="16" t="str">
        <f aca="false">IF(H885&lt;=0.01,"Paid",IF(G885&gt;0,"Partially Paid","Unpaid"))</f>
        <v>Paid</v>
      </c>
    </row>
    <row r="888" customFormat="false" ht="15" hidden="false" customHeight="false" outlineLevel="0" collapsed="false">
      <c r="A888" s="3" t="s">
        <v>5553</v>
      </c>
      <c r="B888" s="4"/>
      <c r="C888" s="4"/>
    </row>
    <row r="889" customFormat="false" ht="15" hidden="false" customHeight="false" outlineLevel="0" collapsed="false">
      <c r="A889" s="19" t="s">
        <v>5554</v>
      </c>
      <c r="B889" s="19" t="s">
        <v>5555</v>
      </c>
      <c r="C889" s="19" t="s">
        <v>5556</v>
      </c>
    </row>
    <row r="890" customFormat="false" ht="15" hidden="false" customHeight="false" outlineLevel="0" collapsed="false">
      <c r="A890" s="8" t="s">
        <v>5557</v>
      </c>
      <c r="B890" s="20" t="n">
        <f aca="false">SUMIFS($H$5:$H$885,$J$5:$J$885,A890)</f>
        <v>248495.64</v>
      </c>
      <c r="C890" s="15" t="n">
        <f aca="false">COUNTIFS($J$5:$J$885,A890)</f>
        <v>48</v>
      </c>
    </row>
    <row r="891" customFormat="false" ht="15" hidden="false" customHeight="false" outlineLevel="0" collapsed="false">
      <c r="A891" s="8" t="s">
        <v>5558</v>
      </c>
      <c r="B891" s="20" t="n">
        <f aca="false">SUMIFS($H$5:$H$885,$J$5:$J$885,A891)</f>
        <v>15605.37</v>
      </c>
      <c r="C891" s="15" t="n">
        <f aca="false">COUNTIFS($J$5:$J$885,A891)</f>
        <v>7</v>
      </c>
    </row>
    <row r="892" customFormat="false" ht="15" hidden="false" customHeight="false" outlineLevel="0" collapsed="false">
      <c r="A892" s="8" t="s">
        <v>5559</v>
      </c>
      <c r="B892" s="20" t="n">
        <f aca="false">SUMIFS($H$5:$H$885,$J$5:$J$885,A892)</f>
        <v>24163.94</v>
      </c>
      <c r="C892" s="15" t="n">
        <f aca="false">COUNTIFS($J$5:$J$885,A892)</f>
        <v>8</v>
      </c>
    </row>
    <row r="893" customFormat="false" ht="15" hidden="false" customHeight="false" outlineLevel="0" collapsed="false">
      <c r="A893" s="8" t="s">
        <v>5560</v>
      </c>
      <c r="B893" s="20" t="n">
        <f aca="false">SUMIFS($H$5:$H$885,$J$5:$J$885,A893)</f>
        <v>281252.27</v>
      </c>
      <c r="C893" s="15" t="n">
        <f aca="false">COUNTIFS($J$5:$J$885,A893)</f>
        <v>82</v>
      </c>
    </row>
  </sheetData>
  <autoFilter ref="A4:K8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H8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5561</v>
      </c>
    </row>
    <row r="2" customFormat="false" ht="15" hidden="false" customHeight="false" outlineLevel="0" collapsed="false">
      <c r="A2" s="2" t="s">
        <v>5562</v>
      </c>
    </row>
    <row r="4" customFormat="false" ht="27.75" hidden="false" customHeight="true" outlineLevel="0" collapsed="false">
      <c r="A4" s="7" t="s">
        <v>1953</v>
      </c>
      <c r="B4" s="7" t="s">
        <v>63</v>
      </c>
      <c r="C4" s="7" t="s">
        <v>64</v>
      </c>
      <c r="D4" s="7" t="s">
        <v>1955</v>
      </c>
      <c r="E4" s="7" t="s">
        <v>5563</v>
      </c>
      <c r="F4" s="7" t="s">
        <v>5564</v>
      </c>
      <c r="G4" s="7" t="s">
        <v>5565</v>
      </c>
      <c r="H4" s="7" t="s">
        <v>5566</v>
      </c>
    </row>
    <row r="5" customFormat="false" ht="15" hidden="false" customHeight="false" outlineLevel="0" collapsed="false">
      <c r="A5" s="16" t="str">
        <f aca="false">Vendor_Invoices_AP!A2</f>
        <v>INV30001</v>
      </c>
      <c r="B5" s="16" t="str">
        <f aca="false">Vendor_Invoices_AP!C2</f>
        <v>V1020</v>
      </c>
      <c r="C5" s="16" t="str">
        <f aca="false">IFERROR(INDEX(Vendor_Master!$B$2:$B$41,MATCH(B5,Vendor_Master!$A$2:$A$41,0)),"Unknown Vendor")</f>
        <v>Lewis-Porter</v>
      </c>
      <c r="D5" s="18" t="n">
        <f aca="false">Vendor_Invoices_AP!E2</f>
        <v>1417.41</v>
      </c>
      <c r="E5" s="16" t="n">
        <f aca="false">COUNTIF(Payment_Log_AP!$B$2:$B$753,A5)</f>
        <v>1</v>
      </c>
      <c r="F5" s="18" t="n">
        <f aca="false">SUMIFS(Payment_Log_AP!$E$2:$E$753,Payment_Log_AP!$B$2:$B$753,A5)</f>
        <v>1417.41</v>
      </c>
      <c r="G5" s="18" t="n">
        <f aca="false">MAX(F5-D5,0)</f>
        <v>0</v>
      </c>
      <c r="H5" s="16" t="str">
        <f aca="false">IF(E5&gt;1,"DUPLICATE - Review",IF(G5&gt;Assumptions!$B$6,"OVERPAID - Review","OK"))</f>
        <v>OK</v>
      </c>
    </row>
    <row r="6" customFormat="false" ht="15" hidden="false" customHeight="false" outlineLevel="0" collapsed="false">
      <c r="A6" s="16" t="str">
        <f aca="false">Vendor_Invoices_AP!A3</f>
        <v>INV30002</v>
      </c>
      <c r="B6" s="16" t="str">
        <f aca="false">Vendor_Invoices_AP!C3</f>
        <v>V1034</v>
      </c>
      <c r="C6" s="16" t="str">
        <f aca="false">IFERROR(INDEX(Vendor_Master!$B$2:$B$41,MATCH(B6,Vendor_Master!$A$2:$A$41,0)),"Unknown Vendor")</f>
        <v>Koch-Decker</v>
      </c>
      <c r="D6" s="18" t="n">
        <f aca="false">Vendor_Invoices_AP!E3</f>
        <v>1749.66</v>
      </c>
      <c r="E6" s="16" t="n">
        <f aca="false">COUNTIF(Payment_Log_AP!$B$2:$B$753,A6)</f>
        <v>1</v>
      </c>
      <c r="F6" s="18" t="n">
        <f aca="false">SUMIFS(Payment_Log_AP!$E$2:$E$753,Payment_Log_AP!$B$2:$B$753,A6)</f>
        <v>1749.66</v>
      </c>
      <c r="G6" s="18" t="n">
        <f aca="false">MAX(F6-D6,0)</f>
        <v>0</v>
      </c>
      <c r="H6" s="16" t="str">
        <f aca="false">IF(E6&gt;1,"DUPLICATE - Review",IF(G6&gt;Assumptions!$B$6,"OVERPAID - Review","OK"))</f>
        <v>OK</v>
      </c>
    </row>
    <row r="7" customFormat="false" ht="15" hidden="false" customHeight="false" outlineLevel="0" collapsed="false">
      <c r="A7" s="16" t="str">
        <f aca="false">Vendor_Invoices_AP!A4</f>
        <v>INV30003</v>
      </c>
      <c r="B7" s="16" t="str">
        <f aca="false">Vendor_Invoices_AP!C4</f>
        <v>V1014</v>
      </c>
      <c r="C7" s="16" t="str">
        <f aca="false">IFERROR(INDEX(Vendor_Master!$B$2:$B$41,MATCH(B7,Vendor_Master!$A$2:$A$41,0)),"Unknown Vendor")</f>
        <v>Flowers, Martin and Kelly</v>
      </c>
      <c r="D7" s="18" t="n">
        <f aca="false">Vendor_Invoices_AP!E4</f>
        <v>2691.35</v>
      </c>
      <c r="E7" s="16" t="n">
        <f aca="false">COUNTIF(Payment_Log_AP!$B$2:$B$753,A7)</f>
        <v>1</v>
      </c>
      <c r="F7" s="18" t="n">
        <f aca="false">SUMIFS(Payment_Log_AP!$E$2:$E$753,Payment_Log_AP!$B$2:$B$753,A7)</f>
        <v>2691.35</v>
      </c>
      <c r="G7" s="18" t="n">
        <f aca="false">MAX(F7-D7,0)</f>
        <v>0</v>
      </c>
      <c r="H7" s="16" t="str">
        <f aca="false">IF(E7&gt;1,"DUPLICATE - Review",IF(G7&gt;Assumptions!$B$6,"OVERPAID - Review","OK"))</f>
        <v>OK</v>
      </c>
    </row>
    <row r="8" customFormat="false" ht="15" hidden="false" customHeight="false" outlineLevel="0" collapsed="false">
      <c r="A8" s="16" t="str">
        <f aca="false">Vendor_Invoices_AP!A5</f>
        <v>INV30004</v>
      </c>
      <c r="B8" s="16" t="str">
        <f aca="false">Vendor_Invoices_AP!C5</f>
        <v>V1040</v>
      </c>
      <c r="C8" s="16" t="str">
        <f aca="false">IFERROR(INDEX(Vendor_Master!$B$2:$B$41,MATCH(B8,Vendor_Master!$A$2:$A$41,0)),"Unknown Vendor")</f>
        <v>Santos, Kim and Holmes</v>
      </c>
      <c r="D8" s="18" t="n">
        <f aca="false">Vendor_Invoices_AP!E5</f>
        <v>889.24</v>
      </c>
      <c r="E8" s="16" t="n">
        <f aca="false">COUNTIF(Payment_Log_AP!$B$2:$B$753,A8)</f>
        <v>1</v>
      </c>
      <c r="F8" s="18" t="n">
        <f aca="false">SUMIFS(Payment_Log_AP!$E$2:$E$753,Payment_Log_AP!$B$2:$B$753,A8)</f>
        <v>889.24</v>
      </c>
      <c r="G8" s="18" t="n">
        <f aca="false">MAX(F8-D8,0)</f>
        <v>0</v>
      </c>
      <c r="H8" s="16" t="str">
        <f aca="false">IF(E8&gt;1,"DUPLICATE - Review",IF(G8&gt;Assumptions!$B$6,"OVERPAID - Review","OK"))</f>
        <v>OK</v>
      </c>
    </row>
    <row r="9" customFormat="false" ht="15" hidden="false" customHeight="false" outlineLevel="0" collapsed="false">
      <c r="A9" s="16" t="str">
        <f aca="false">Vendor_Invoices_AP!A6</f>
        <v>INV30005</v>
      </c>
      <c r="B9" s="16" t="str">
        <f aca="false">Vendor_Invoices_AP!C6</f>
        <v>V1022</v>
      </c>
      <c r="C9" s="16" t="str">
        <f aca="false">IFERROR(INDEX(Vendor_Master!$B$2:$B$41,MATCH(B9,Vendor_Master!$A$2:$A$41,0)),"Unknown Vendor")</f>
        <v>Burgess-Patterson</v>
      </c>
      <c r="D9" s="18" t="n">
        <f aca="false">Vendor_Invoices_AP!E6</f>
        <v>3058.04</v>
      </c>
      <c r="E9" s="16" t="n">
        <f aca="false">COUNTIF(Payment_Log_AP!$B$2:$B$753,A9)</f>
        <v>1</v>
      </c>
      <c r="F9" s="18" t="n">
        <f aca="false">SUMIFS(Payment_Log_AP!$E$2:$E$753,Payment_Log_AP!$B$2:$B$753,A9)</f>
        <v>3058.04</v>
      </c>
      <c r="G9" s="18" t="n">
        <f aca="false">MAX(F9-D9,0)</f>
        <v>0</v>
      </c>
      <c r="H9" s="16" t="str">
        <f aca="false">IF(E9&gt;1,"DUPLICATE - Review",IF(G9&gt;Assumptions!$B$6,"OVERPAID - Review","OK"))</f>
        <v>OK</v>
      </c>
    </row>
    <row r="10" customFormat="false" ht="15" hidden="false" customHeight="false" outlineLevel="0" collapsed="false">
      <c r="A10" s="16" t="str">
        <f aca="false">Vendor_Invoices_AP!A7</f>
        <v>INV30006</v>
      </c>
      <c r="B10" s="16" t="str">
        <f aca="false">Vendor_Invoices_AP!C7</f>
        <v>V1040</v>
      </c>
      <c r="C10" s="16" t="str">
        <f aca="false">IFERROR(INDEX(Vendor_Master!$B$2:$B$41,MATCH(B10,Vendor_Master!$A$2:$A$41,0)),"Unknown Vendor")</f>
        <v>Santos, Kim and Holmes</v>
      </c>
      <c r="D10" s="18" t="n">
        <f aca="false">Vendor_Invoices_AP!E7</f>
        <v>1359.77</v>
      </c>
      <c r="E10" s="16" t="n">
        <f aca="false">COUNTIF(Payment_Log_AP!$B$2:$B$753,A10)</f>
        <v>1</v>
      </c>
      <c r="F10" s="18" t="n">
        <f aca="false">SUMIFS(Payment_Log_AP!$E$2:$E$753,Payment_Log_AP!$B$2:$B$753,A10)</f>
        <v>1359.77</v>
      </c>
      <c r="G10" s="18" t="n">
        <f aca="false">MAX(F10-D10,0)</f>
        <v>0</v>
      </c>
      <c r="H10" s="16" t="str">
        <f aca="false">IF(E10&gt;1,"DUPLICATE - Review",IF(G10&gt;Assumptions!$B$6,"OVERPAID - Review","OK"))</f>
        <v>OK</v>
      </c>
    </row>
    <row r="11" customFormat="false" ht="15" hidden="false" customHeight="false" outlineLevel="0" collapsed="false">
      <c r="A11" s="16" t="str">
        <f aca="false">Vendor_Invoices_AP!A8</f>
        <v>INV30007</v>
      </c>
      <c r="B11" s="16" t="str">
        <f aca="false">Vendor_Invoices_AP!C8</f>
        <v>V1040</v>
      </c>
      <c r="C11" s="16" t="str">
        <f aca="false">IFERROR(INDEX(Vendor_Master!$B$2:$B$41,MATCH(B11,Vendor_Master!$A$2:$A$41,0)),"Unknown Vendor")</f>
        <v>Santos, Kim and Holmes</v>
      </c>
      <c r="D11" s="18" t="n">
        <f aca="false">Vendor_Invoices_AP!E8</f>
        <v>3708.39</v>
      </c>
      <c r="E11" s="16" t="n">
        <f aca="false">COUNTIF(Payment_Log_AP!$B$2:$B$753,A11)</f>
        <v>1</v>
      </c>
      <c r="F11" s="18" t="n">
        <f aca="false">SUMIFS(Payment_Log_AP!$E$2:$E$753,Payment_Log_AP!$B$2:$B$753,A11)</f>
        <v>3708.39</v>
      </c>
      <c r="G11" s="18" t="n">
        <f aca="false">MAX(F11-D11,0)</f>
        <v>0</v>
      </c>
      <c r="H11" s="16" t="str">
        <f aca="false">IF(E11&gt;1,"DUPLICATE - Review",IF(G11&gt;Assumptions!$B$6,"OVERPAID - Review","OK"))</f>
        <v>OK</v>
      </c>
    </row>
    <row r="12" customFormat="false" ht="15" hidden="false" customHeight="false" outlineLevel="0" collapsed="false">
      <c r="A12" s="16" t="str">
        <f aca="false">Vendor_Invoices_AP!A9</f>
        <v>INV30008</v>
      </c>
      <c r="B12" s="16" t="str">
        <f aca="false">Vendor_Invoices_AP!C9</f>
        <v>V1015</v>
      </c>
      <c r="C12" s="16" t="str">
        <f aca="false">IFERROR(INDEX(Vendor_Master!$B$2:$B$41,MATCH(B12,Vendor_Master!$A$2:$A$41,0)),"Unknown Vendor")</f>
        <v>Zuniga, Wong and Lynch</v>
      </c>
      <c r="D12" s="18" t="n">
        <f aca="false">Vendor_Invoices_AP!E9</f>
        <v>6081.19</v>
      </c>
      <c r="E12" s="16" t="n">
        <f aca="false">COUNTIF(Payment_Log_AP!$B$2:$B$753,A12)</f>
        <v>1</v>
      </c>
      <c r="F12" s="18" t="n">
        <f aca="false">SUMIFS(Payment_Log_AP!$E$2:$E$753,Payment_Log_AP!$B$2:$B$753,A12)</f>
        <v>6081.19</v>
      </c>
      <c r="G12" s="18" t="n">
        <f aca="false">MAX(F12-D12,0)</f>
        <v>0</v>
      </c>
      <c r="H12" s="16" t="str">
        <f aca="false">IF(E12&gt;1,"DUPLICATE - Review",IF(G12&gt;Assumptions!$B$6,"OVERPAID - Review","OK"))</f>
        <v>OK</v>
      </c>
    </row>
    <row r="13" customFormat="false" ht="15" hidden="false" customHeight="false" outlineLevel="0" collapsed="false">
      <c r="A13" s="16" t="str">
        <f aca="false">Vendor_Invoices_AP!A10</f>
        <v>INV30009</v>
      </c>
      <c r="B13" s="16" t="str">
        <f aca="false">Vendor_Invoices_AP!C10</f>
        <v>V1018</v>
      </c>
      <c r="C13" s="16" t="str">
        <f aca="false">IFERROR(INDEX(Vendor_Master!$B$2:$B$41,MATCH(B13,Vendor_Master!$A$2:$A$41,0)),"Unknown Vendor")</f>
        <v>Underwood LLC</v>
      </c>
      <c r="D13" s="18" t="n">
        <f aca="false">Vendor_Invoices_AP!E10</f>
        <v>6038.81</v>
      </c>
      <c r="E13" s="16" t="n">
        <f aca="false">COUNTIF(Payment_Log_AP!$B$2:$B$753,A13)</f>
        <v>0</v>
      </c>
      <c r="F13" s="18" t="n">
        <f aca="false">SUMIFS(Payment_Log_AP!$E$2:$E$753,Payment_Log_AP!$B$2:$B$753,A13)</f>
        <v>0</v>
      </c>
      <c r="G13" s="18" t="n">
        <f aca="false">MAX(F13-D13,0)</f>
        <v>0</v>
      </c>
      <c r="H13" s="16" t="str">
        <f aca="false">IF(E13&gt;1,"DUPLICATE - Review",IF(G13&gt;Assumptions!$B$6,"OVERPAID - Review","OK"))</f>
        <v>OK</v>
      </c>
    </row>
    <row r="14" customFormat="false" ht="15" hidden="false" customHeight="false" outlineLevel="0" collapsed="false">
      <c r="A14" s="16" t="str">
        <f aca="false">Vendor_Invoices_AP!A11</f>
        <v>INV30010</v>
      </c>
      <c r="B14" s="16" t="str">
        <f aca="false">Vendor_Invoices_AP!C11</f>
        <v>V1005</v>
      </c>
      <c r="C14" s="16" t="str">
        <f aca="false">IFERROR(INDEX(Vendor_Master!$B$2:$B$41,MATCH(B14,Vendor_Master!$A$2:$A$41,0)),"Unknown Vendor")</f>
        <v>Cole LLC</v>
      </c>
      <c r="D14" s="18" t="n">
        <f aca="false">Vendor_Invoices_AP!E11</f>
        <v>1466.07</v>
      </c>
      <c r="E14" s="16" t="n">
        <f aca="false">COUNTIF(Payment_Log_AP!$B$2:$B$753,A14)</f>
        <v>1</v>
      </c>
      <c r="F14" s="18" t="n">
        <f aca="false">SUMIFS(Payment_Log_AP!$E$2:$E$753,Payment_Log_AP!$B$2:$B$753,A14)</f>
        <v>1466.07</v>
      </c>
      <c r="G14" s="18" t="n">
        <f aca="false">MAX(F14-D14,0)</f>
        <v>0</v>
      </c>
      <c r="H14" s="16" t="str">
        <f aca="false">IF(E14&gt;1,"DUPLICATE - Review",IF(G14&gt;Assumptions!$B$6,"OVERPAID - Review","OK"))</f>
        <v>OK</v>
      </c>
    </row>
    <row r="15" customFormat="false" ht="15" hidden="false" customHeight="false" outlineLevel="0" collapsed="false">
      <c r="A15" s="16" t="str">
        <f aca="false">Vendor_Invoices_AP!A12</f>
        <v>INV30011</v>
      </c>
      <c r="B15" s="16" t="str">
        <f aca="false">Vendor_Invoices_AP!C12</f>
        <v>V1024</v>
      </c>
      <c r="C15" s="16" t="str">
        <f aca="false">IFERROR(INDEX(Vendor_Master!$B$2:$B$41,MATCH(B15,Vendor_Master!$A$2:$A$41,0)),"Unknown Vendor")</f>
        <v>Campos Inc</v>
      </c>
      <c r="D15" s="18" t="n">
        <f aca="false">Vendor_Invoices_AP!E12</f>
        <v>760.24</v>
      </c>
      <c r="E15" s="16" t="n">
        <f aca="false">COUNTIF(Payment_Log_AP!$B$2:$B$753,A15)</f>
        <v>0</v>
      </c>
      <c r="F15" s="18" t="n">
        <f aca="false">SUMIFS(Payment_Log_AP!$E$2:$E$753,Payment_Log_AP!$B$2:$B$753,A15)</f>
        <v>0</v>
      </c>
      <c r="G15" s="18" t="n">
        <f aca="false">MAX(F15-D15,0)</f>
        <v>0</v>
      </c>
      <c r="H15" s="16" t="str">
        <f aca="false">IF(E15&gt;1,"DUPLICATE - Review",IF(G15&gt;Assumptions!$B$6,"OVERPAID - Review","OK"))</f>
        <v>OK</v>
      </c>
    </row>
    <row r="16" customFormat="false" ht="15" hidden="false" customHeight="false" outlineLevel="0" collapsed="false">
      <c r="A16" s="16" t="str">
        <f aca="false">Vendor_Invoices_AP!A13</f>
        <v>INV30012</v>
      </c>
      <c r="B16" s="16" t="str">
        <f aca="false">Vendor_Invoices_AP!C13</f>
        <v>V1035</v>
      </c>
      <c r="C16" s="16" t="str">
        <f aca="false">IFERROR(INDEX(Vendor_Master!$B$2:$B$41,MATCH(B16,Vendor_Master!$A$2:$A$41,0)),"Unknown Vendor")</f>
        <v>Allen PLC</v>
      </c>
      <c r="D16" s="18" t="n">
        <f aca="false">Vendor_Invoices_AP!E13</f>
        <v>15002.72</v>
      </c>
      <c r="E16" s="16" t="n">
        <f aca="false">COUNTIF(Payment_Log_AP!$B$2:$B$753,A16)</f>
        <v>1</v>
      </c>
      <c r="F16" s="18" t="n">
        <f aca="false">SUMIFS(Payment_Log_AP!$E$2:$E$753,Payment_Log_AP!$B$2:$B$753,A16)</f>
        <v>15002.72</v>
      </c>
      <c r="G16" s="18" t="n">
        <f aca="false">MAX(F16-D16,0)</f>
        <v>0</v>
      </c>
      <c r="H16" s="16" t="str">
        <f aca="false">IF(E16&gt;1,"DUPLICATE - Review",IF(G16&gt;Assumptions!$B$6,"OVERPAID - Review","OK"))</f>
        <v>OK</v>
      </c>
    </row>
    <row r="17" customFormat="false" ht="15" hidden="false" customHeight="false" outlineLevel="0" collapsed="false">
      <c r="A17" s="16" t="str">
        <f aca="false">Vendor_Invoices_AP!A14</f>
        <v>INV30013</v>
      </c>
      <c r="B17" s="16" t="str">
        <f aca="false">Vendor_Invoices_AP!C14</f>
        <v>V1016</v>
      </c>
      <c r="C17" s="16" t="str">
        <f aca="false">IFERROR(INDEX(Vendor_Master!$B$2:$B$41,MATCH(B17,Vendor_Master!$A$2:$A$41,0)),"Unknown Vendor")</f>
        <v>Sanchez, Ford and Nelson</v>
      </c>
      <c r="D17" s="18" t="n">
        <f aca="false">Vendor_Invoices_AP!E14</f>
        <v>911.91</v>
      </c>
      <c r="E17" s="16" t="n">
        <f aca="false">COUNTIF(Payment_Log_AP!$B$2:$B$753,A17)</f>
        <v>1</v>
      </c>
      <c r="F17" s="18" t="n">
        <f aca="false">SUMIFS(Payment_Log_AP!$E$2:$E$753,Payment_Log_AP!$B$2:$B$753,A17)</f>
        <v>911.91</v>
      </c>
      <c r="G17" s="18" t="n">
        <f aca="false">MAX(F17-D17,0)</f>
        <v>0</v>
      </c>
      <c r="H17" s="16" t="str">
        <f aca="false">IF(E17&gt;1,"DUPLICATE - Review",IF(G17&gt;Assumptions!$B$6,"OVERPAID - Review","OK"))</f>
        <v>OK</v>
      </c>
    </row>
    <row r="18" customFormat="false" ht="15" hidden="false" customHeight="false" outlineLevel="0" collapsed="false">
      <c r="A18" s="16" t="str">
        <f aca="false">Vendor_Invoices_AP!A15</f>
        <v>INV30014</v>
      </c>
      <c r="B18" s="16" t="str">
        <f aca="false">Vendor_Invoices_AP!C15</f>
        <v>V1002</v>
      </c>
      <c r="C18" s="16" t="str">
        <f aca="false">IFERROR(INDEX(Vendor_Master!$B$2:$B$41,MATCH(B18,Vendor_Master!$A$2:$A$41,0)),"Unknown Vendor")</f>
        <v>Garcia, Yang and Gardner</v>
      </c>
      <c r="D18" s="18" t="n">
        <f aca="false">Vendor_Invoices_AP!E15</f>
        <v>1222.88</v>
      </c>
      <c r="E18" s="16" t="n">
        <f aca="false">COUNTIF(Payment_Log_AP!$B$2:$B$753,A18)</f>
        <v>1</v>
      </c>
      <c r="F18" s="18" t="n">
        <f aca="false">SUMIFS(Payment_Log_AP!$E$2:$E$753,Payment_Log_AP!$B$2:$B$753,A18)</f>
        <v>1222.88</v>
      </c>
      <c r="G18" s="18" t="n">
        <f aca="false">MAX(F18-D18,0)</f>
        <v>0</v>
      </c>
      <c r="H18" s="16" t="str">
        <f aca="false">IF(E18&gt;1,"DUPLICATE - Review",IF(G18&gt;Assumptions!$B$6,"OVERPAID - Review","OK"))</f>
        <v>OK</v>
      </c>
    </row>
    <row r="19" customFormat="false" ht="15" hidden="false" customHeight="false" outlineLevel="0" collapsed="false">
      <c r="A19" s="16" t="str">
        <f aca="false">Vendor_Invoices_AP!A16</f>
        <v>INV30015</v>
      </c>
      <c r="B19" s="16" t="str">
        <f aca="false">Vendor_Invoices_AP!C16</f>
        <v>V1017</v>
      </c>
      <c r="C19" s="16" t="str">
        <f aca="false">IFERROR(INDEX(Vendor_Master!$B$2:$B$41,MATCH(B19,Vendor_Master!$A$2:$A$41,0)),"Unknown Vendor")</f>
        <v>Hawkins, Cohen and Cameron</v>
      </c>
      <c r="D19" s="18" t="n">
        <f aca="false">Vendor_Invoices_AP!E16</f>
        <v>3344.32</v>
      </c>
      <c r="E19" s="16" t="n">
        <f aca="false">COUNTIF(Payment_Log_AP!$B$2:$B$753,A19)</f>
        <v>0</v>
      </c>
      <c r="F19" s="18" t="n">
        <f aca="false">SUMIFS(Payment_Log_AP!$E$2:$E$753,Payment_Log_AP!$B$2:$B$753,A19)</f>
        <v>0</v>
      </c>
      <c r="G19" s="18" t="n">
        <f aca="false">MAX(F19-D19,0)</f>
        <v>0</v>
      </c>
      <c r="H19" s="16" t="str">
        <f aca="false">IF(E19&gt;1,"DUPLICATE - Review",IF(G19&gt;Assumptions!$B$6,"OVERPAID - Review","OK"))</f>
        <v>OK</v>
      </c>
    </row>
    <row r="20" customFormat="false" ht="15" hidden="false" customHeight="false" outlineLevel="0" collapsed="false">
      <c r="A20" s="16" t="str">
        <f aca="false">Vendor_Invoices_AP!A17</f>
        <v>INV30016</v>
      </c>
      <c r="B20" s="16" t="str">
        <f aca="false">Vendor_Invoices_AP!C17</f>
        <v>V1026</v>
      </c>
      <c r="C20" s="16" t="str">
        <f aca="false">IFERROR(INDEX(Vendor_Master!$B$2:$B$41,MATCH(B20,Vendor_Master!$A$2:$A$41,0)),"Unknown Vendor")</f>
        <v>James-Ferrell</v>
      </c>
      <c r="D20" s="18" t="n">
        <f aca="false">Vendor_Invoices_AP!E17</f>
        <v>4721.09</v>
      </c>
      <c r="E20" s="16" t="n">
        <f aca="false">COUNTIF(Payment_Log_AP!$B$2:$B$753,A20)</f>
        <v>1</v>
      </c>
      <c r="F20" s="18" t="n">
        <f aca="false">SUMIFS(Payment_Log_AP!$E$2:$E$753,Payment_Log_AP!$B$2:$B$753,A20)</f>
        <v>4721.09</v>
      </c>
      <c r="G20" s="18" t="n">
        <f aca="false">MAX(F20-D20,0)</f>
        <v>0</v>
      </c>
      <c r="H20" s="16" t="str">
        <f aca="false">IF(E20&gt;1,"DUPLICATE - Review",IF(G20&gt;Assumptions!$B$6,"OVERPAID - Review","OK"))</f>
        <v>OK</v>
      </c>
    </row>
    <row r="21" customFormat="false" ht="15" hidden="false" customHeight="false" outlineLevel="0" collapsed="false">
      <c r="A21" s="16" t="str">
        <f aca="false">Vendor_Invoices_AP!A18</f>
        <v>INV30017</v>
      </c>
      <c r="B21" s="16" t="str">
        <f aca="false">Vendor_Invoices_AP!C18</f>
        <v>V1024</v>
      </c>
      <c r="C21" s="16" t="str">
        <f aca="false">IFERROR(INDEX(Vendor_Master!$B$2:$B$41,MATCH(B21,Vendor_Master!$A$2:$A$41,0)),"Unknown Vendor")</f>
        <v>Campos Inc</v>
      </c>
      <c r="D21" s="18" t="n">
        <f aca="false">Vendor_Invoices_AP!E18</f>
        <v>5629.98</v>
      </c>
      <c r="E21" s="16" t="n">
        <f aca="false">COUNTIF(Payment_Log_AP!$B$2:$B$753,A21)</f>
        <v>0</v>
      </c>
      <c r="F21" s="18" t="n">
        <f aca="false">SUMIFS(Payment_Log_AP!$E$2:$E$753,Payment_Log_AP!$B$2:$B$753,A21)</f>
        <v>0</v>
      </c>
      <c r="G21" s="18" t="n">
        <f aca="false">MAX(F21-D21,0)</f>
        <v>0</v>
      </c>
      <c r="H21" s="16" t="str">
        <f aca="false">IF(E21&gt;1,"DUPLICATE - Review",IF(G21&gt;Assumptions!$B$6,"OVERPAID - Review","OK"))</f>
        <v>OK</v>
      </c>
    </row>
    <row r="22" customFormat="false" ht="15" hidden="false" customHeight="false" outlineLevel="0" collapsed="false">
      <c r="A22" s="16" t="str">
        <f aca="false">Vendor_Invoices_AP!A19</f>
        <v>INV30018</v>
      </c>
      <c r="B22" s="16" t="str">
        <f aca="false">Vendor_Invoices_AP!C19</f>
        <v>V1004</v>
      </c>
      <c r="C22" s="16" t="str">
        <f aca="false">IFERROR(INDEX(Vendor_Master!$B$2:$B$41,MATCH(B22,Vendor_Master!$A$2:$A$41,0)),"Unknown Vendor")</f>
        <v>Johnson, Gonzalez and Santos</v>
      </c>
      <c r="D22" s="18" t="n">
        <f aca="false">Vendor_Invoices_AP!E19</f>
        <v>302.18</v>
      </c>
      <c r="E22" s="16" t="n">
        <f aca="false">COUNTIF(Payment_Log_AP!$B$2:$B$753,A22)</f>
        <v>1</v>
      </c>
      <c r="F22" s="18" t="n">
        <f aca="false">SUMIFS(Payment_Log_AP!$E$2:$E$753,Payment_Log_AP!$B$2:$B$753,A22)</f>
        <v>302.18</v>
      </c>
      <c r="G22" s="18" t="n">
        <f aca="false">MAX(F22-D22,0)</f>
        <v>0</v>
      </c>
      <c r="H22" s="16" t="str">
        <f aca="false">IF(E22&gt;1,"DUPLICATE - Review",IF(G22&gt;Assumptions!$B$6,"OVERPAID - Review","OK"))</f>
        <v>OK</v>
      </c>
    </row>
    <row r="23" customFormat="false" ht="15" hidden="false" customHeight="false" outlineLevel="0" collapsed="false">
      <c r="A23" s="16" t="str">
        <f aca="false">Vendor_Invoices_AP!A20</f>
        <v>INV30019</v>
      </c>
      <c r="B23" s="16" t="str">
        <f aca="false">Vendor_Invoices_AP!C20</f>
        <v>V1024</v>
      </c>
      <c r="C23" s="16" t="str">
        <f aca="false">IFERROR(INDEX(Vendor_Master!$B$2:$B$41,MATCH(B23,Vendor_Master!$A$2:$A$41,0)),"Unknown Vendor")</f>
        <v>Campos Inc</v>
      </c>
      <c r="D23" s="18" t="n">
        <f aca="false">Vendor_Invoices_AP!E20</f>
        <v>2051.54</v>
      </c>
      <c r="E23" s="16" t="n">
        <f aca="false">COUNTIF(Payment_Log_AP!$B$2:$B$753,A23)</f>
        <v>1</v>
      </c>
      <c r="F23" s="18" t="n">
        <f aca="false">SUMIFS(Payment_Log_AP!$E$2:$E$753,Payment_Log_AP!$B$2:$B$753,A23)</f>
        <v>2051.54</v>
      </c>
      <c r="G23" s="18" t="n">
        <f aca="false">MAX(F23-D23,0)</f>
        <v>0</v>
      </c>
      <c r="H23" s="16" t="str">
        <f aca="false">IF(E23&gt;1,"DUPLICATE - Review",IF(G23&gt;Assumptions!$B$6,"OVERPAID - Review","OK"))</f>
        <v>OK</v>
      </c>
    </row>
    <row r="24" customFormat="false" ht="15" hidden="false" customHeight="false" outlineLevel="0" collapsed="false">
      <c r="A24" s="16" t="str">
        <f aca="false">Vendor_Invoices_AP!A21</f>
        <v>INV30020</v>
      </c>
      <c r="B24" s="16" t="str">
        <f aca="false">Vendor_Invoices_AP!C21</f>
        <v>V1028</v>
      </c>
      <c r="C24" s="16" t="str">
        <f aca="false">IFERROR(INDEX(Vendor_Master!$B$2:$B$41,MATCH(B24,Vendor_Master!$A$2:$A$41,0)),"Unknown Vendor")</f>
        <v>Potter, Mack and Peterson</v>
      </c>
      <c r="D24" s="18" t="n">
        <f aca="false">Vendor_Invoices_AP!E21</f>
        <v>9960.57</v>
      </c>
      <c r="E24" s="16" t="n">
        <f aca="false">COUNTIF(Payment_Log_AP!$B$2:$B$753,A24)</f>
        <v>1</v>
      </c>
      <c r="F24" s="18" t="n">
        <f aca="false">SUMIFS(Payment_Log_AP!$E$2:$E$753,Payment_Log_AP!$B$2:$B$753,A24)</f>
        <v>9960.57</v>
      </c>
      <c r="G24" s="18" t="n">
        <f aca="false">MAX(F24-D24,0)</f>
        <v>0</v>
      </c>
      <c r="H24" s="16" t="str">
        <f aca="false">IF(E24&gt;1,"DUPLICATE - Review",IF(G24&gt;Assumptions!$B$6,"OVERPAID - Review","OK"))</f>
        <v>OK</v>
      </c>
    </row>
    <row r="25" customFormat="false" ht="15" hidden="false" customHeight="false" outlineLevel="0" collapsed="false">
      <c r="A25" s="16" t="str">
        <f aca="false">Vendor_Invoices_AP!A22</f>
        <v>INV30021</v>
      </c>
      <c r="B25" s="16" t="str">
        <f aca="false">Vendor_Invoices_AP!C22</f>
        <v>V1018</v>
      </c>
      <c r="C25" s="16" t="str">
        <f aca="false">IFERROR(INDEX(Vendor_Master!$B$2:$B$41,MATCH(B25,Vendor_Master!$A$2:$A$41,0)),"Unknown Vendor")</f>
        <v>Underwood LLC</v>
      </c>
      <c r="D25" s="18" t="n">
        <f aca="false">Vendor_Invoices_AP!E22</f>
        <v>15696.57</v>
      </c>
      <c r="E25" s="16" t="n">
        <f aca="false">COUNTIF(Payment_Log_AP!$B$2:$B$753,A25)</f>
        <v>1</v>
      </c>
      <c r="F25" s="18" t="n">
        <f aca="false">SUMIFS(Payment_Log_AP!$E$2:$E$753,Payment_Log_AP!$B$2:$B$753,A25)</f>
        <v>15696.57</v>
      </c>
      <c r="G25" s="18" t="n">
        <f aca="false">MAX(F25-D25,0)</f>
        <v>0</v>
      </c>
      <c r="H25" s="16" t="str">
        <f aca="false">IF(E25&gt;1,"DUPLICATE - Review",IF(G25&gt;Assumptions!$B$6,"OVERPAID - Review","OK"))</f>
        <v>OK</v>
      </c>
    </row>
    <row r="26" customFormat="false" ht="15" hidden="false" customHeight="false" outlineLevel="0" collapsed="false">
      <c r="A26" s="16" t="str">
        <f aca="false">Vendor_Invoices_AP!A23</f>
        <v>INV30022</v>
      </c>
      <c r="B26" s="16" t="str">
        <f aca="false">Vendor_Invoices_AP!C23</f>
        <v>V1016</v>
      </c>
      <c r="C26" s="16" t="str">
        <f aca="false">IFERROR(INDEX(Vendor_Master!$B$2:$B$41,MATCH(B26,Vendor_Master!$A$2:$A$41,0)),"Unknown Vendor")</f>
        <v>Sanchez, Ford and Nelson</v>
      </c>
      <c r="D26" s="18" t="n">
        <f aca="false">Vendor_Invoices_AP!E23</f>
        <v>1879.55</v>
      </c>
      <c r="E26" s="16" t="n">
        <f aca="false">COUNTIF(Payment_Log_AP!$B$2:$B$753,A26)</f>
        <v>1</v>
      </c>
      <c r="F26" s="18" t="n">
        <f aca="false">SUMIFS(Payment_Log_AP!$E$2:$E$753,Payment_Log_AP!$B$2:$B$753,A26)</f>
        <v>1879.55</v>
      </c>
      <c r="G26" s="18" t="n">
        <f aca="false">MAX(F26-D26,0)</f>
        <v>0</v>
      </c>
      <c r="H26" s="16" t="str">
        <f aca="false">IF(E26&gt;1,"DUPLICATE - Review",IF(G26&gt;Assumptions!$B$6,"OVERPAID - Review","OK"))</f>
        <v>OK</v>
      </c>
    </row>
    <row r="27" customFormat="false" ht="15" hidden="false" customHeight="false" outlineLevel="0" collapsed="false">
      <c r="A27" s="16" t="str">
        <f aca="false">Vendor_Invoices_AP!A24</f>
        <v>INV30023</v>
      </c>
      <c r="B27" s="16" t="str">
        <f aca="false">Vendor_Invoices_AP!C24</f>
        <v>V1027</v>
      </c>
      <c r="C27" s="16" t="str">
        <f aca="false">IFERROR(INDEX(Vendor_Master!$B$2:$B$41,MATCH(B27,Vendor_Master!$A$2:$A$41,0)),"Unknown Vendor")</f>
        <v>Valencia, Smith and Le</v>
      </c>
      <c r="D27" s="18" t="n">
        <f aca="false">Vendor_Invoices_AP!E24</f>
        <v>883.86</v>
      </c>
      <c r="E27" s="16" t="n">
        <f aca="false">COUNTIF(Payment_Log_AP!$B$2:$B$753,A27)</f>
        <v>1</v>
      </c>
      <c r="F27" s="18" t="n">
        <f aca="false">SUMIFS(Payment_Log_AP!$E$2:$E$753,Payment_Log_AP!$B$2:$B$753,A27)</f>
        <v>883.86</v>
      </c>
      <c r="G27" s="18" t="n">
        <f aca="false">MAX(F27-D27,0)</f>
        <v>0</v>
      </c>
      <c r="H27" s="16" t="str">
        <f aca="false">IF(E27&gt;1,"DUPLICATE - Review",IF(G27&gt;Assumptions!$B$6,"OVERPAID - Review","OK"))</f>
        <v>OK</v>
      </c>
    </row>
    <row r="28" customFormat="false" ht="15" hidden="false" customHeight="false" outlineLevel="0" collapsed="false">
      <c r="A28" s="16" t="str">
        <f aca="false">Vendor_Invoices_AP!A25</f>
        <v>INV30024</v>
      </c>
      <c r="B28" s="16" t="str">
        <f aca="false">Vendor_Invoices_AP!C25</f>
        <v>V1007</v>
      </c>
      <c r="C28" s="16" t="str">
        <f aca="false">IFERROR(INDEX(Vendor_Master!$B$2:$B$41,MATCH(B28,Vendor_Master!$A$2:$A$41,0)),"Unknown Vendor")</f>
        <v>Ramirez-Lewis</v>
      </c>
      <c r="D28" s="18" t="n">
        <f aca="false">Vendor_Invoices_AP!E25</f>
        <v>1058.03</v>
      </c>
      <c r="E28" s="16" t="n">
        <f aca="false">COUNTIF(Payment_Log_AP!$B$2:$B$753,A28)</f>
        <v>1</v>
      </c>
      <c r="F28" s="18" t="n">
        <f aca="false">SUMIFS(Payment_Log_AP!$E$2:$E$753,Payment_Log_AP!$B$2:$B$753,A28)</f>
        <v>1058.03</v>
      </c>
      <c r="G28" s="18" t="n">
        <f aca="false">MAX(F28-D28,0)</f>
        <v>0</v>
      </c>
      <c r="H28" s="16" t="str">
        <f aca="false">IF(E28&gt;1,"DUPLICATE - Review",IF(G28&gt;Assumptions!$B$6,"OVERPAID - Review","OK"))</f>
        <v>OK</v>
      </c>
    </row>
    <row r="29" customFormat="false" ht="15" hidden="false" customHeight="false" outlineLevel="0" collapsed="false">
      <c r="A29" s="16" t="str">
        <f aca="false">Vendor_Invoices_AP!A26</f>
        <v>INV30025</v>
      </c>
      <c r="B29" s="16" t="str">
        <f aca="false">Vendor_Invoices_AP!C26</f>
        <v>V1039</v>
      </c>
      <c r="C29" s="16" t="str">
        <f aca="false">IFERROR(INDEX(Vendor_Master!$B$2:$B$41,MATCH(B29,Vendor_Master!$A$2:$A$41,0)),"Unknown Vendor")</f>
        <v>Campos, Vaughn and Marquez</v>
      </c>
      <c r="D29" s="18" t="n">
        <f aca="false">Vendor_Invoices_AP!E26</f>
        <v>2265.24</v>
      </c>
      <c r="E29" s="16" t="n">
        <f aca="false">COUNTIF(Payment_Log_AP!$B$2:$B$753,A29)</f>
        <v>1</v>
      </c>
      <c r="F29" s="18" t="n">
        <f aca="false">SUMIFS(Payment_Log_AP!$E$2:$E$753,Payment_Log_AP!$B$2:$B$753,A29)</f>
        <v>2265.24</v>
      </c>
      <c r="G29" s="18" t="n">
        <f aca="false">MAX(F29-D29,0)</f>
        <v>0</v>
      </c>
      <c r="H29" s="16" t="str">
        <f aca="false">IF(E29&gt;1,"DUPLICATE - Review",IF(G29&gt;Assumptions!$B$6,"OVERPAID - Review","OK"))</f>
        <v>OK</v>
      </c>
    </row>
    <row r="30" customFormat="false" ht="15" hidden="false" customHeight="false" outlineLevel="0" collapsed="false">
      <c r="A30" s="16" t="str">
        <f aca="false">Vendor_Invoices_AP!A27</f>
        <v>INV30026</v>
      </c>
      <c r="B30" s="16" t="str">
        <f aca="false">Vendor_Invoices_AP!C27</f>
        <v>V1027</v>
      </c>
      <c r="C30" s="16" t="str">
        <f aca="false">IFERROR(INDEX(Vendor_Master!$B$2:$B$41,MATCH(B30,Vendor_Master!$A$2:$A$41,0)),"Unknown Vendor")</f>
        <v>Valencia, Smith and Le</v>
      </c>
      <c r="D30" s="18" t="n">
        <f aca="false">Vendor_Invoices_AP!E27</f>
        <v>1994.87</v>
      </c>
      <c r="E30" s="16" t="n">
        <f aca="false">COUNTIF(Payment_Log_AP!$B$2:$B$753,A30)</f>
        <v>1</v>
      </c>
      <c r="F30" s="18" t="n">
        <f aca="false">SUMIFS(Payment_Log_AP!$E$2:$E$753,Payment_Log_AP!$B$2:$B$753,A30)</f>
        <v>1994.87</v>
      </c>
      <c r="G30" s="18" t="n">
        <f aca="false">MAX(F30-D30,0)</f>
        <v>0</v>
      </c>
      <c r="H30" s="16" t="str">
        <f aca="false">IF(E30&gt;1,"DUPLICATE - Review",IF(G30&gt;Assumptions!$B$6,"OVERPAID - Review","OK"))</f>
        <v>OK</v>
      </c>
    </row>
    <row r="31" customFormat="false" ht="15" hidden="false" customHeight="false" outlineLevel="0" collapsed="false">
      <c r="A31" s="16" t="str">
        <f aca="false">Vendor_Invoices_AP!A28</f>
        <v>INV30027</v>
      </c>
      <c r="B31" s="16" t="str">
        <f aca="false">Vendor_Invoices_AP!C28</f>
        <v>V1017</v>
      </c>
      <c r="C31" s="16" t="str">
        <f aca="false">IFERROR(INDEX(Vendor_Master!$B$2:$B$41,MATCH(B31,Vendor_Master!$A$2:$A$41,0)),"Unknown Vendor")</f>
        <v>Hawkins, Cohen and Cameron</v>
      </c>
      <c r="D31" s="18" t="n">
        <f aca="false">Vendor_Invoices_AP!E28</f>
        <v>1863.09</v>
      </c>
      <c r="E31" s="16" t="n">
        <f aca="false">COUNTIF(Payment_Log_AP!$B$2:$B$753,A31)</f>
        <v>1</v>
      </c>
      <c r="F31" s="18" t="n">
        <f aca="false">SUMIFS(Payment_Log_AP!$E$2:$E$753,Payment_Log_AP!$B$2:$B$753,A31)</f>
        <v>1863.09</v>
      </c>
      <c r="G31" s="18" t="n">
        <f aca="false">MAX(F31-D31,0)</f>
        <v>0</v>
      </c>
      <c r="H31" s="16" t="str">
        <f aca="false">IF(E31&gt;1,"DUPLICATE - Review",IF(G31&gt;Assumptions!$B$6,"OVERPAID - Review","OK"))</f>
        <v>OK</v>
      </c>
    </row>
    <row r="32" customFormat="false" ht="15" hidden="false" customHeight="false" outlineLevel="0" collapsed="false">
      <c r="A32" s="16" t="str">
        <f aca="false">Vendor_Invoices_AP!A29</f>
        <v>INV30028</v>
      </c>
      <c r="B32" s="16" t="str">
        <f aca="false">Vendor_Invoices_AP!C29</f>
        <v>V1009</v>
      </c>
      <c r="C32" s="16" t="str">
        <f aca="false">IFERROR(INDEX(Vendor_Master!$B$2:$B$41,MATCH(B32,Vendor_Master!$A$2:$A$41,0)),"Unknown Vendor")</f>
        <v>Munoz-Roman</v>
      </c>
      <c r="D32" s="18" t="n">
        <f aca="false">Vendor_Invoices_AP!E29</f>
        <v>1558.36</v>
      </c>
      <c r="E32" s="16" t="n">
        <f aca="false">COUNTIF(Payment_Log_AP!$B$2:$B$753,A32)</f>
        <v>1</v>
      </c>
      <c r="F32" s="18" t="n">
        <f aca="false">SUMIFS(Payment_Log_AP!$E$2:$E$753,Payment_Log_AP!$B$2:$B$753,A32)</f>
        <v>1558.36</v>
      </c>
      <c r="G32" s="18" t="n">
        <f aca="false">MAX(F32-D32,0)</f>
        <v>0</v>
      </c>
      <c r="H32" s="16" t="str">
        <f aca="false">IF(E32&gt;1,"DUPLICATE - Review",IF(G32&gt;Assumptions!$B$6,"OVERPAID - Review","OK"))</f>
        <v>OK</v>
      </c>
    </row>
    <row r="33" customFormat="false" ht="15" hidden="false" customHeight="false" outlineLevel="0" collapsed="false">
      <c r="A33" s="16" t="str">
        <f aca="false">Vendor_Invoices_AP!A30</f>
        <v>INV30029</v>
      </c>
      <c r="B33" s="16" t="str">
        <f aca="false">Vendor_Invoices_AP!C30</f>
        <v>V1013</v>
      </c>
      <c r="C33" s="16" t="str">
        <f aca="false">IFERROR(INDEX(Vendor_Master!$B$2:$B$41,MATCH(B33,Vendor_Master!$A$2:$A$41,0)),"Unknown Vendor")</f>
        <v>Delacruz Group</v>
      </c>
      <c r="D33" s="18" t="n">
        <f aca="false">Vendor_Invoices_AP!E30</f>
        <v>1249.67</v>
      </c>
      <c r="E33" s="16" t="n">
        <f aca="false">COUNTIF(Payment_Log_AP!$B$2:$B$753,A33)</f>
        <v>1</v>
      </c>
      <c r="F33" s="18" t="n">
        <f aca="false">SUMIFS(Payment_Log_AP!$E$2:$E$753,Payment_Log_AP!$B$2:$B$753,A33)</f>
        <v>1249.67</v>
      </c>
      <c r="G33" s="18" t="n">
        <f aca="false">MAX(F33-D33,0)</f>
        <v>0</v>
      </c>
      <c r="H33" s="16" t="str">
        <f aca="false">IF(E33&gt;1,"DUPLICATE - Review",IF(G33&gt;Assumptions!$B$6,"OVERPAID - Review","OK"))</f>
        <v>OK</v>
      </c>
    </row>
    <row r="34" customFormat="false" ht="15" hidden="false" customHeight="false" outlineLevel="0" collapsed="false">
      <c r="A34" s="16" t="str">
        <f aca="false">Vendor_Invoices_AP!A31</f>
        <v>INV30030</v>
      </c>
      <c r="B34" s="16" t="str">
        <f aca="false">Vendor_Invoices_AP!C31</f>
        <v>V1037</v>
      </c>
      <c r="C34" s="16" t="str">
        <f aca="false">IFERROR(INDEX(Vendor_Master!$B$2:$B$41,MATCH(B34,Vendor_Master!$A$2:$A$41,0)),"Unknown Vendor")</f>
        <v>Cannon, Anderson and Alvarez</v>
      </c>
      <c r="D34" s="18" t="n">
        <f aca="false">Vendor_Invoices_AP!E31</f>
        <v>11338.1</v>
      </c>
      <c r="E34" s="16" t="n">
        <f aca="false">COUNTIF(Payment_Log_AP!$B$2:$B$753,A34)</f>
        <v>0</v>
      </c>
      <c r="F34" s="18" t="n">
        <f aca="false">SUMIFS(Payment_Log_AP!$E$2:$E$753,Payment_Log_AP!$B$2:$B$753,A34)</f>
        <v>0</v>
      </c>
      <c r="G34" s="18" t="n">
        <f aca="false">MAX(F34-D34,0)</f>
        <v>0</v>
      </c>
      <c r="H34" s="16" t="str">
        <f aca="false">IF(E34&gt;1,"DUPLICATE - Review",IF(G34&gt;Assumptions!$B$6,"OVERPAID - Review","OK"))</f>
        <v>OK</v>
      </c>
    </row>
    <row r="35" customFormat="false" ht="15" hidden="false" customHeight="false" outlineLevel="0" collapsed="false">
      <c r="A35" s="16" t="str">
        <f aca="false">Vendor_Invoices_AP!A32</f>
        <v>INV30031</v>
      </c>
      <c r="B35" s="16" t="str">
        <f aca="false">Vendor_Invoices_AP!C32</f>
        <v>V1016</v>
      </c>
      <c r="C35" s="16" t="str">
        <f aca="false">IFERROR(INDEX(Vendor_Master!$B$2:$B$41,MATCH(B35,Vendor_Master!$A$2:$A$41,0)),"Unknown Vendor")</f>
        <v>Sanchez, Ford and Nelson</v>
      </c>
      <c r="D35" s="18" t="n">
        <f aca="false">Vendor_Invoices_AP!E32</f>
        <v>877.47</v>
      </c>
      <c r="E35" s="16" t="n">
        <f aca="false">COUNTIF(Payment_Log_AP!$B$2:$B$753,A35)</f>
        <v>1</v>
      </c>
      <c r="F35" s="18" t="n">
        <f aca="false">SUMIFS(Payment_Log_AP!$E$2:$E$753,Payment_Log_AP!$B$2:$B$753,A35)</f>
        <v>877.47</v>
      </c>
      <c r="G35" s="18" t="n">
        <f aca="false">MAX(F35-D35,0)</f>
        <v>0</v>
      </c>
      <c r="H35" s="16" t="str">
        <f aca="false">IF(E35&gt;1,"DUPLICATE - Review",IF(G35&gt;Assumptions!$B$6,"OVERPAID - Review","OK"))</f>
        <v>OK</v>
      </c>
    </row>
    <row r="36" customFormat="false" ht="15" hidden="false" customHeight="false" outlineLevel="0" collapsed="false">
      <c r="A36" s="16" t="str">
        <f aca="false">Vendor_Invoices_AP!A33</f>
        <v>INV30032</v>
      </c>
      <c r="B36" s="16" t="str">
        <f aca="false">Vendor_Invoices_AP!C33</f>
        <v>V1017</v>
      </c>
      <c r="C36" s="16" t="str">
        <f aca="false">IFERROR(INDEX(Vendor_Master!$B$2:$B$41,MATCH(B36,Vendor_Master!$A$2:$A$41,0)),"Unknown Vendor")</f>
        <v>Hawkins, Cohen and Cameron</v>
      </c>
      <c r="D36" s="18" t="n">
        <f aca="false">Vendor_Invoices_AP!E33</f>
        <v>644.78</v>
      </c>
      <c r="E36" s="16" t="n">
        <f aca="false">COUNTIF(Payment_Log_AP!$B$2:$B$753,A36)</f>
        <v>1</v>
      </c>
      <c r="F36" s="18" t="n">
        <f aca="false">SUMIFS(Payment_Log_AP!$E$2:$E$753,Payment_Log_AP!$B$2:$B$753,A36)</f>
        <v>644.78</v>
      </c>
      <c r="G36" s="18" t="n">
        <f aca="false">MAX(F36-D36,0)</f>
        <v>0</v>
      </c>
      <c r="H36" s="16" t="str">
        <f aca="false">IF(E36&gt;1,"DUPLICATE - Review",IF(G36&gt;Assumptions!$B$6,"OVERPAID - Review","OK"))</f>
        <v>OK</v>
      </c>
    </row>
    <row r="37" customFormat="false" ht="15" hidden="false" customHeight="false" outlineLevel="0" collapsed="false">
      <c r="A37" s="16" t="str">
        <f aca="false">Vendor_Invoices_AP!A34</f>
        <v>INV30033</v>
      </c>
      <c r="B37" s="16" t="str">
        <f aca="false">Vendor_Invoices_AP!C34</f>
        <v>V1040</v>
      </c>
      <c r="C37" s="16" t="str">
        <f aca="false">IFERROR(INDEX(Vendor_Master!$B$2:$B$41,MATCH(B37,Vendor_Master!$A$2:$A$41,0)),"Unknown Vendor")</f>
        <v>Santos, Kim and Holmes</v>
      </c>
      <c r="D37" s="18" t="n">
        <f aca="false">Vendor_Invoices_AP!E34</f>
        <v>10749.2</v>
      </c>
      <c r="E37" s="16" t="n">
        <f aca="false">COUNTIF(Payment_Log_AP!$B$2:$B$753,A37)</f>
        <v>1</v>
      </c>
      <c r="F37" s="18" t="n">
        <f aca="false">SUMIFS(Payment_Log_AP!$E$2:$E$753,Payment_Log_AP!$B$2:$B$753,A37)</f>
        <v>10749.2</v>
      </c>
      <c r="G37" s="18" t="n">
        <f aca="false">MAX(F37-D37,0)</f>
        <v>0</v>
      </c>
      <c r="H37" s="16" t="str">
        <f aca="false">IF(E37&gt;1,"DUPLICATE - Review",IF(G37&gt;Assumptions!$B$6,"OVERPAID - Review","OK"))</f>
        <v>OK</v>
      </c>
    </row>
    <row r="38" customFormat="false" ht="15" hidden="false" customHeight="false" outlineLevel="0" collapsed="false">
      <c r="A38" s="16" t="str">
        <f aca="false">Vendor_Invoices_AP!A35</f>
        <v>INV30034</v>
      </c>
      <c r="B38" s="16" t="str">
        <f aca="false">Vendor_Invoices_AP!C35</f>
        <v>V1018</v>
      </c>
      <c r="C38" s="16" t="str">
        <f aca="false">IFERROR(INDEX(Vendor_Master!$B$2:$B$41,MATCH(B38,Vendor_Master!$A$2:$A$41,0)),"Unknown Vendor")</f>
        <v>Underwood LLC</v>
      </c>
      <c r="D38" s="18" t="n">
        <f aca="false">Vendor_Invoices_AP!E35</f>
        <v>10173.53</v>
      </c>
      <c r="E38" s="16" t="n">
        <f aca="false">COUNTIF(Payment_Log_AP!$B$2:$B$753,A38)</f>
        <v>1</v>
      </c>
      <c r="F38" s="18" t="n">
        <f aca="false">SUMIFS(Payment_Log_AP!$E$2:$E$753,Payment_Log_AP!$B$2:$B$753,A38)</f>
        <v>10173.53</v>
      </c>
      <c r="G38" s="18" t="n">
        <f aca="false">MAX(F38-D38,0)</f>
        <v>0</v>
      </c>
      <c r="H38" s="16" t="str">
        <f aca="false">IF(E38&gt;1,"DUPLICATE - Review",IF(G38&gt;Assumptions!$B$6,"OVERPAID - Review","OK"))</f>
        <v>OK</v>
      </c>
    </row>
    <row r="39" customFormat="false" ht="15" hidden="false" customHeight="false" outlineLevel="0" collapsed="false">
      <c r="A39" s="16" t="str">
        <f aca="false">Vendor_Invoices_AP!A36</f>
        <v>INV30035</v>
      </c>
      <c r="B39" s="16" t="str">
        <f aca="false">Vendor_Invoices_AP!C36</f>
        <v>V1023</v>
      </c>
      <c r="C39" s="16" t="str">
        <f aca="false">IFERROR(INDEX(Vendor_Master!$B$2:$B$41,MATCH(B39,Vendor_Master!$A$2:$A$41,0)),"Unknown Vendor")</f>
        <v>Robinson-Bright</v>
      </c>
      <c r="D39" s="18" t="n">
        <f aca="false">Vendor_Invoices_AP!E36</f>
        <v>7427.81</v>
      </c>
      <c r="E39" s="16" t="n">
        <f aca="false">COUNTIF(Payment_Log_AP!$B$2:$B$753,A39)</f>
        <v>1</v>
      </c>
      <c r="F39" s="18" t="n">
        <f aca="false">SUMIFS(Payment_Log_AP!$E$2:$E$753,Payment_Log_AP!$B$2:$B$753,A39)</f>
        <v>7427.81</v>
      </c>
      <c r="G39" s="18" t="n">
        <f aca="false">MAX(F39-D39,0)</f>
        <v>0</v>
      </c>
      <c r="H39" s="16" t="str">
        <f aca="false">IF(E39&gt;1,"DUPLICATE - Review",IF(G39&gt;Assumptions!$B$6,"OVERPAID - Review","OK"))</f>
        <v>OK</v>
      </c>
    </row>
    <row r="40" customFormat="false" ht="15" hidden="false" customHeight="false" outlineLevel="0" collapsed="false">
      <c r="A40" s="16" t="str">
        <f aca="false">Vendor_Invoices_AP!A37</f>
        <v>INV30036</v>
      </c>
      <c r="B40" s="16" t="str">
        <f aca="false">Vendor_Invoices_AP!C37</f>
        <v>V1024</v>
      </c>
      <c r="C40" s="16" t="str">
        <f aca="false">IFERROR(INDEX(Vendor_Master!$B$2:$B$41,MATCH(B40,Vendor_Master!$A$2:$A$41,0)),"Unknown Vendor")</f>
        <v>Campos Inc</v>
      </c>
      <c r="D40" s="18" t="n">
        <f aca="false">Vendor_Invoices_AP!E37</f>
        <v>3858.14</v>
      </c>
      <c r="E40" s="16" t="n">
        <f aca="false">COUNTIF(Payment_Log_AP!$B$2:$B$753,A40)</f>
        <v>1</v>
      </c>
      <c r="F40" s="18" t="n">
        <f aca="false">SUMIFS(Payment_Log_AP!$E$2:$E$753,Payment_Log_AP!$B$2:$B$753,A40)</f>
        <v>3858.14</v>
      </c>
      <c r="G40" s="18" t="n">
        <f aca="false">MAX(F40-D40,0)</f>
        <v>0</v>
      </c>
      <c r="H40" s="16" t="str">
        <f aca="false">IF(E40&gt;1,"DUPLICATE - Review",IF(G40&gt;Assumptions!$B$6,"OVERPAID - Review","OK"))</f>
        <v>OK</v>
      </c>
    </row>
    <row r="41" customFormat="false" ht="15" hidden="false" customHeight="false" outlineLevel="0" collapsed="false">
      <c r="A41" s="16" t="str">
        <f aca="false">Vendor_Invoices_AP!A38</f>
        <v>INV30037</v>
      </c>
      <c r="B41" s="16" t="str">
        <f aca="false">Vendor_Invoices_AP!C38</f>
        <v>V1008</v>
      </c>
      <c r="C41" s="16" t="str">
        <f aca="false">IFERROR(INDEX(Vendor_Master!$B$2:$B$41,MATCH(B41,Vendor_Master!$A$2:$A$41,0)),"Unknown Vendor")</f>
        <v>Davis Inc</v>
      </c>
      <c r="D41" s="18" t="n">
        <f aca="false">Vendor_Invoices_AP!E38</f>
        <v>1031.9</v>
      </c>
      <c r="E41" s="16" t="n">
        <f aca="false">COUNTIF(Payment_Log_AP!$B$2:$B$753,A41)</f>
        <v>1</v>
      </c>
      <c r="F41" s="18" t="n">
        <f aca="false">SUMIFS(Payment_Log_AP!$E$2:$E$753,Payment_Log_AP!$B$2:$B$753,A41)</f>
        <v>1031.9</v>
      </c>
      <c r="G41" s="18" t="n">
        <f aca="false">MAX(F41-D41,0)</f>
        <v>0</v>
      </c>
      <c r="H41" s="16" t="str">
        <f aca="false">IF(E41&gt;1,"DUPLICATE - Review",IF(G41&gt;Assumptions!$B$6,"OVERPAID - Review","OK"))</f>
        <v>OK</v>
      </c>
    </row>
    <row r="42" customFormat="false" ht="15" hidden="false" customHeight="false" outlineLevel="0" collapsed="false">
      <c r="A42" s="16" t="str">
        <f aca="false">Vendor_Invoices_AP!A39</f>
        <v>INV30038</v>
      </c>
      <c r="B42" s="16" t="str">
        <f aca="false">Vendor_Invoices_AP!C39</f>
        <v>V1023</v>
      </c>
      <c r="C42" s="16" t="str">
        <f aca="false">IFERROR(INDEX(Vendor_Master!$B$2:$B$41,MATCH(B42,Vendor_Master!$A$2:$A$41,0)),"Unknown Vendor")</f>
        <v>Robinson-Bright</v>
      </c>
      <c r="D42" s="18" t="n">
        <f aca="false">Vendor_Invoices_AP!E39</f>
        <v>117.56</v>
      </c>
      <c r="E42" s="16" t="n">
        <f aca="false">COUNTIF(Payment_Log_AP!$B$2:$B$753,A42)</f>
        <v>1</v>
      </c>
      <c r="F42" s="18" t="n">
        <f aca="false">SUMIFS(Payment_Log_AP!$E$2:$E$753,Payment_Log_AP!$B$2:$B$753,A42)</f>
        <v>117.56</v>
      </c>
      <c r="G42" s="18" t="n">
        <f aca="false">MAX(F42-D42,0)</f>
        <v>0</v>
      </c>
      <c r="H42" s="16" t="str">
        <f aca="false">IF(E42&gt;1,"DUPLICATE - Review",IF(G42&gt;Assumptions!$B$6,"OVERPAID - Review","OK"))</f>
        <v>OK</v>
      </c>
    </row>
    <row r="43" customFormat="false" ht="15" hidden="false" customHeight="false" outlineLevel="0" collapsed="false">
      <c r="A43" s="16" t="str">
        <f aca="false">Vendor_Invoices_AP!A40</f>
        <v>INV30039</v>
      </c>
      <c r="B43" s="16" t="str">
        <f aca="false">Vendor_Invoices_AP!C40</f>
        <v>V1012</v>
      </c>
      <c r="C43" s="16" t="str">
        <f aca="false">IFERROR(INDEX(Vendor_Master!$B$2:$B$41,MATCH(B43,Vendor_Master!$A$2:$A$41,0)),"Unknown Vendor")</f>
        <v>Stanley LLC</v>
      </c>
      <c r="D43" s="18" t="n">
        <f aca="false">Vendor_Invoices_AP!E40</f>
        <v>21146.76</v>
      </c>
      <c r="E43" s="16" t="n">
        <f aca="false">COUNTIF(Payment_Log_AP!$B$2:$B$753,A43)</f>
        <v>1</v>
      </c>
      <c r="F43" s="18" t="n">
        <f aca="false">SUMIFS(Payment_Log_AP!$E$2:$E$753,Payment_Log_AP!$B$2:$B$753,A43)</f>
        <v>21146.76</v>
      </c>
      <c r="G43" s="18" t="n">
        <f aca="false">MAX(F43-D43,0)</f>
        <v>0</v>
      </c>
      <c r="H43" s="16" t="str">
        <f aca="false">IF(E43&gt;1,"DUPLICATE - Review",IF(G43&gt;Assumptions!$B$6,"OVERPAID - Review","OK"))</f>
        <v>OK</v>
      </c>
    </row>
    <row r="44" customFormat="false" ht="15" hidden="false" customHeight="false" outlineLevel="0" collapsed="false">
      <c r="A44" s="16" t="str">
        <f aca="false">Vendor_Invoices_AP!A41</f>
        <v>INV30040</v>
      </c>
      <c r="B44" s="16" t="str">
        <f aca="false">Vendor_Invoices_AP!C41</f>
        <v>V1038</v>
      </c>
      <c r="C44" s="16" t="str">
        <f aca="false">IFERROR(INDEX(Vendor_Master!$B$2:$B$41,MATCH(B44,Vendor_Master!$A$2:$A$41,0)),"Unknown Vendor")</f>
        <v>Rose-Obrien</v>
      </c>
      <c r="D44" s="18" t="n">
        <f aca="false">Vendor_Invoices_AP!E41</f>
        <v>869.11</v>
      </c>
      <c r="E44" s="16" t="n">
        <f aca="false">COUNTIF(Payment_Log_AP!$B$2:$B$753,A44)</f>
        <v>1</v>
      </c>
      <c r="F44" s="18" t="n">
        <f aca="false">SUMIFS(Payment_Log_AP!$E$2:$E$753,Payment_Log_AP!$B$2:$B$753,A44)</f>
        <v>869.11</v>
      </c>
      <c r="G44" s="18" t="n">
        <f aca="false">MAX(F44-D44,0)</f>
        <v>0</v>
      </c>
      <c r="H44" s="16" t="str">
        <f aca="false">IF(E44&gt;1,"DUPLICATE - Review",IF(G44&gt;Assumptions!$B$6,"OVERPAID - Review","OK"))</f>
        <v>OK</v>
      </c>
    </row>
    <row r="45" customFormat="false" ht="15" hidden="false" customHeight="false" outlineLevel="0" collapsed="false">
      <c r="A45" s="16" t="str">
        <f aca="false">Vendor_Invoices_AP!A42</f>
        <v>INV30041</v>
      </c>
      <c r="B45" s="16" t="str">
        <f aca="false">Vendor_Invoices_AP!C42</f>
        <v>V1015</v>
      </c>
      <c r="C45" s="16" t="str">
        <f aca="false">IFERROR(INDEX(Vendor_Master!$B$2:$B$41,MATCH(B45,Vendor_Master!$A$2:$A$41,0)),"Unknown Vendor")</f>
        <v>Zuniga, Wong and Lynch</v>
      </c>
      <c r="D45" s="18" t="n">
        <f aca="false">Vendor_Invoices_AP!E42</f>
        <v>1696.08</v>
      </c>
      <c r="E45" s="16" t="n">
        <f aca="false">COUNTIF(Payment_Log_AP!$B$2:$B$753,A45)</f>
        <v>1</v>
      </c>
      <c r="F45" s="18" t="n">
        <f aca="false">SUMIFS(Payment_Log_AP!$E$2:$E$753,Payment_Log_AP!$B$2:$B$753,A45)</f>
        <v>1696.08</v>
      </c>
      <c r="G45" s="18" t="n">
        <f aca="false">MAX(F45-D45,0)</f>
        <v>0</v>
      </c>
      <c r="H45" s="16" t="str">
        <f aca="false">IF(E45&gt;1,"DUPLICATE - Review",IF(G45&gt;Assumptions!$B$6,"OVERPAID - Review","OK"))</f>
        <v>OK</v>
      </c>
    </row>
    <row r="46" customFormat="false" ht="15" hidden="false" customHeight="false" outlineLevel="0" collapsed="false">
      <c r="A46" s="16" t="str">
        <f aca="false">Vendor_Invoices_AP!A43</f>
        <v>INV30042</v>
      </c>
      <c r="B46" s="16" t="str">
        <f aca="false">Vendor_Invoices_AP!C43</f>
        <v>V1011</v>
      </c>
      <c r="C46" s="16" t="str">
        <f aca="false">IFERROR(INDEX(Vendor_Master!$B$2:$B$41,MATCH(B46,Vendor_Master!$A$2:$A$41,0)),"Unknown Vendor")</f>
        <v>Montgomery, Hensley and Ray</v>
      </c>
      <c r="D46" s="18" t="n">
        <f aca="false">Vendor_Invoices_AP!E43</f>
        <v>1814.85</v>
      </c>
      <c r="E46" s="16" t="n">
        <f aca="false">COUNTIF(Payment_Log_AP!$B$2:$B$753,A46)</f>
        <v>1</v>
      </c>
      <c r="F46" s="18" t="n">
        <f aca="false">SUMIFS(Payment_Log_AP!$E$2:$E$753,Payment_Log_AP!$B$2:$B$753,A46)</f>
        <v>1814.85</v>
      </c>
      <c r="G46" s="18" t="n">
        <f aca="false">MAX(F46-D46,0)</f>
        <v>0</v>
      </c>
      <c r="H46" s="16" t="str">
        <f aca="false">IF(E46&gt;1,"DUPLICATE - Review",IF(G46&gt;Assumptions!$B$6,"OVERPAID - Review","OK"))</f>
        <v>OK</v>
      </c>
    </row>
    <row r="47" customFormat="false" ht="15" hidden="false" customHeight="false" outlineLevel="0" collapsed="false">
      <c r="A47" s="16" t="str">
        <f aca="false">Vendor_Invoices_AP!A44</f>
        <v>INV30043</v>
      </c>
      <c r="B47" s="16" t="str">
        <f aca="false">Vendor_Invoices_AP!C44</f>
        <v>V1008</v>
      </c>
      <c r="C47" s="16" t="str">
        <f aca="false">IFERROR(INDEX(Vendor_Master!$B$2:$B$41,MATCH(B47,Vendor_Master!$A$2:$A$41,0)),"Unknown Vendor")</f>
        <v>Davis Inc</v>
      </c>
      <c r="D47" s="18" t="n">
        <f aca="false">Vendor_Invoices_AP!E44</f>
        <v>1238.85</v>
      </c>
      <c r="E47" s="16" t="n">
        <f aca="false">COUNTIF(Payment_Log_AP!$B$2:$B$753,A47)</f>
        <v>0</v>
      </c>
      <c r="F47" s="18" t="n">
        <f aca="false">SUMIFS(Payment_Log_AP!$E$2:$E$753,Payment_Log_AP!$B$2:$B$753,A47)</f>
        <v>0</v>
      </c>
      <c r="G47" s="18" t="n">
        <f aca="false">MAX(F47-D47,0)</f>
        <v>0</v>
      </c>
      <c r="H47" s="16" t="str">
        <f aca="false">IF(E47&gt;1,"DUPLICATE - Review",IF(G47&gt;Assumptions!$B$6,"OVERPAID - Review","OK"))</f>
        <v>OK</v>
      </c>
    </row>
    <row r="48" customFormat="false" ht="15" hidden="false" customHeight="false" outlineLevel="0" collapsed="false">
      <c r="A48" s="16" t="str">
        <f aca="false">Vendor_Invoices_AP!A45</f>
        <v>INV30044</v>
      </c>
      <c r="B48" s="16" t="str">
        <f aca="false">Vendor_Invoices_AP!C45</f>
        <v>V1011</v>
      </c>
      <c r="C48" s="16" t="str">
        <f aca="false">IFERROR(INDEX(Vendor_Master!$B$2:$B$41,MATCH(B48,Vendor_Master!$A$2:$A$41,0)),"Unknown Vendor")</f>
        <v>Montgomery, Hensley and Ray</v>
      </c>
      <c r="D48" s="18" t="n">
        <f aca="false">Vendor_Invoices_AP!E45</f>
        <v>9938.09</v>
      </c>
      <c r="E48" s="16" t="n">
        <f aca="false">COUNTIF(Payment_Log_AP!$B$2:$B$753,A48)</f>
        <v>1</v>
      </c>
      <c r="F48" s="18" t="n">
        <f aca="false">SUMIFS(Payment_Log_AP!$E$2:$E$753,Payment_Log_AP!$B$2:$B$753,A48)</f>
        <v>9938.09</v>
      </c>
      <c r="G48" s="18" t="n">
        <f aca="false">MAX(F48-D48,0)</f>
        <v>0</v>
      </c>
      <c r="H48" s="16" t="str">
        <f aca="false">IF(E48&gt;1,"DUPLICATE - Review",IF(G48&gt;Assumptions!$B$6,"OVERPAID - Review","OK"))</f>
        <v>OK</v>
      </c>
    </row>
    <row r="49" customFormat="false" ht="15" hidden="false" customHeight="false" outlineLevel="0" collapsed="false">
      <c r="A49" s="16" t="str">
        <f aca="false">Vendor_Invoices_AP!A46</f>
        <v>INV30045</v>
      </c>
      <c r="B49" s="16" t="str">
        <f aca="false">Vendor_Invoices_AP!C46</f>
        <v>V1011</v>
      </c>
      <c r="C49" s="16" t="str">
        <f aca="false">IFERROR(INDEX(Vendor_Master!$B$2:$B$41,MATCH(B49,Vendor_Master!$A$2:$A$41,0)),"Unknown Vendor")</f>
        <v>Montgomery, Hensley and Ray</v>
      </c>
      <c r="D49" s="18" t="n">
        <f aca="false">Vendor_Invoices_AP!E46</f>
        <v>9938.09</v>
      </c>
      <c r="E49" s="16" t="n">
        <f aca="false">COUNTIF(Payment_Log_AP!$B$2:$B$753,A49)</f>
        <v>1</v>
      </c>
      <c r="F49" s="18" t="n">
        <f aca="false">SUMIFS(Payment_Log_AP!$E$2:$E$753,Payment_Log_AP!$B$2:$B$753,A49)</f>
        <v>9938.09</v>
      </c>
      <c r="G49" s="18" t="n">
        <f aca="false">MAX(F49-D49,0)</f>
        <v>0</v>
      </c>
      <c r="H49" s="16" t="str">
        <f aca="false">IF(E49&gt;1,"DUPLICATE - Review",IF(G49&gt;Assumptions!$B$6,"OVERPAID - Review","OK"))</f>
        <v>OK</v>
      </c>
    </row>
    <row r="50" customFormat="false" ht="15" hidden="false" customHeight="false" outlineLevel="0" collapsed="false">
      <c r="A50" s="16" t="str">
        <f aca="false">Vendor_Invoices_AP!A47</f>
        <v>INV30046</v>
      </c>
      <c r="B50" s="16" t="str">
        <f aca="false">Vendor_Invoices_AP!C47</f>
        <v>V1016</v>
      </c>
      <c r="C50" s="16" t="str">
        <f aca="false">IFERROR(INDEX(Vendor_Master!$B$2:$B$41,MATCH(B50,Vendor_Master!$A$2:$A$41,0)),"Unknown Vendor")</f>
        <v>Sanchez, Ford and Nelson</v>
      </c>
      <c r="D50" s="18" t="n">
        <f aca="false">Vendor_Invoices_AP!E47</f>
        <v>1076.83</v>
      </c>
      <c r="E50" s="16" t="n">
        <f aca="false">COUNTIF(Payment_Log_AP!$B$2:$B$753,A50)</f>
        <v>2</v>
      </c>
      <c r="F50" s="18" t="n">
        <f aca="false">SUMIFS(Payment_Log_AP!$E$2:$E$753,Payment_Log_AP!$B$2:$B$753,A50)</f>
        <v>2153.66</v>
      </c>
      <c r="G50" s="18" t="n">
        <f aca="false">MAX(F50-D50,0)</f>
        <v>1076.83</v>
      </c>
      <c r="H50" s="16" t="str">
        <f aca="false">IF(E50&gt;1,"DUPLICATE - Review",IF(G50&gt;Assumptions!$B$6,"OVERPAID - Review","OK"))</f>
        <v>DUPLICATE - Review</v>
      </c>
    </row>
    <row r="51" customFormat="false" ht="15" hidden="false" customHeight="false" outlineLevel="0" collapsed="false">
      <c r="A51" s="16" t="str">
        <f aca="false">Vendor_Invoices_AP!A48</f>
        <v>INV30047</v>
      </c>
      <c r="B51" s="16" t="str">
        <f aca="false">Vendor_Invoices_AP!C48</f>
        <v>V1001</v>
      </c>
      <c r="C51" s="16" t="str">
        <f aca="false">IFERROR(INDEX(Vendor_Master!$B$2:$B$41,MATCH(B51,Vendor_Master!$A$2:$A$41,0)),"Unknown Vendor")</f>
        <v>Figueroa and Sons</v>
      </c>
      <c r="D51" s="18" t="n">
        <f aca="false">Vendor_Invoices_AP!E48</f>
        <v>5899.58</v>
      </c>
      <c r="E51" s="16" t="n">
        <f aca="false">COUNTIF(Payment_Log_AP!$B$2:$B$753,A51)</f>
        <v>1</v>
      </c>
      <c r="F51" s="18" t="n">
        <f aca="false">SUMIFS(Payment_Log_AP!$E$2:$E$753,Payment_Log_AP!$B$2:$B$753,A51)</f>
        <v>5899.58</v>
      </c>
      <c r="G51" s="18" t="n">
        <f aca="false">MAX(F51-D51,0)</f>
        <v>0</v>
      </c>
      <c r="H51" s="16" t="str">
        <f aca="false">IF(E51&gt;1,"DUPLICATE - Review",IF(G51&gt;Assumptions!$B$6,"OVERPAID - Review","OK"))</f>
        <v>OK</v>
      </c>
    </row>
    <row r="52" customFormat="false" ht="15" hidden="false" customHeight="false" outlineLevel="0" collapsed="false">
      <c r="A52" s="16" t="str">
        <f aca="false">Vendor_Invoices_AP!A49</f>
        <v>INV30048</v>
      </c>
      <c r="B52" s="16" t="str">
        <f aca="false">Vendor_Invoices_AP!C49</f>
        <v>V1020</v>
      </c>
      <c r="C52" s="16" t="str">
        <f aca="false">IFERROR(INDEX(Vendor_Master!$B$2:$B$41,MATCH(B52,Vendor_Master!$A$2:$A$41,0)),"Unknown Vendor")</f>
        <v>Lewis-Porter</v>
      </c>
      <c r="D52" s="18" t="n">
        <f aca="false">Vendor_Invoices_AP!E49</f>
        <v>31348.72</v>
      </c>
      <c r="E52" s="16" t="n">
        <f aca="false">COUNTIF(Payment_Log_AP!$B$2:$B$753,A52)</f>
        <v>1</v>
      </c>
      <c r="F52" s="18" t="n">
        <f aca="false">SUMIFS(Payment_Log_AP!$E$2:$E$753,Payment_Log_AP!$B$2:$B$753,A52)</f>
        <v>31348.72</v>
      </c>
      <c r="G52" s="18" t="n">
        <f aca="false">MAX(F52-D52,0)</f>
        <v>0</v>
      </c>
      <c r="H52" s="16" t="str">
        <f aca="false">IF(E52&gt;1,"DUPLICATE - Review",IF(G52&gt;Assumptions!$B$6,"OVERPAID - Review","OK"))</f>
        <v>OK</v>
      </c>
    </row>
    <row r="53" customFormat="false" ht="15" hidden="false" customHeight="false" outlineLevel="0" collapsed="false">
      <c r="A53" s="16" t="str">
        <f aca="false">Vendor_Invoices_AP!A50</f>
        <v>INV30049</v>
      </c>
      <c r="B53" s="16" t="str">
        <f aca="false">Vendor_Invoices_AP!C50</f>
        <v>V1022</v>
      </c>
      <c r="C53" s="16" t="str">
        <f aca="false">IFERROR(INDEX(Vendor_Master!$B$2:$B$41,MATCH(B53,Vendor_Master!$A$2:$A$41,0)),"Unknown Vendor")</f>
        <v>Burgess-Patterson</v>
      </c>
      <c r="D53" s="18" t="n">
        <f aca="false">Vendor_Invoices_AP!E50</f>
        <v>2845.35</v>
      </c>
      <c r="E53" s="16" t="n">
        <f aca="false">COUNTIF(Payment_Log_AP!$B$2:$B$753,A53)</f>
        <v>1</v>
      </c>
      <c r="F53" s="18" t="n">
        <f aca="false">SUMIFS(Payment_Log_AP!$E$2:$E$753,Payment_Log_AP!$B$2:$B$753,A53)</f>
        <v>2845.35</v>
      </c>
      <c r="G53" s="18" t="n">
        <f aca="false">MAX(F53-D53,0)</f>
        <v>0</v>
      </c>
      <c r="H53" s="16" t="str">
        <f aca="false">IF(E53&gt;1,"DUPLICATE - Review",IF(G53&gt;Assumptions!$B$6,"OVERPAID - Review","OK"))</f>
        <v>OK</v>
      </c>
    </row>
    <row r="54" customFormat="false" ht="15" hidden="false" customHeight="false" outlineLevel="0" collapsed="false">
      <c r="A54" s="16" t="str">
        <f aca="false">Vendor_Invoices_AP!A51</f>
        <v>INV30050</v>
      </c>
      <c r="B54" s="16" t="str">
        <f aca="false">Vendor_Invoices_AP!C51</f>
        <v>V1039</v>
      </c>
      <c r="C54" s="16" t="str">
        <f aca="false">IFERROR(INDEX(Vendor_Master!$B$2:$B$41,MATCH(B54,Vendor_Master!$A$2:$A$41,0)),"Unknown Vendor")</f>
        <v>Campos, Vaughn and Marquez</v>
      </c>
      <c r="D54" s="18" t="n">
        <f aca="false">Vendor_Invoices_AP!E51</f>
        <v>10325.83</v>
      </c>
      <c r="E54" s="16" t="n">
        <f aca="false">COUNTIF(Payment_Log_AP!$B$2:$B$753,A54)</f>
        <v>0</v>
      </c>
      <c r="F54" s="18" t="n">
        <f aca="false">SUMIFS(Payment_Log_AP!$E$2:$E$753,Payment_Log_AP!$B$2:$B$753,A54)</f>
        <v>0</v>
      </c>
      <c r="G54" s="18" t="n">
        <f aca="false">MAX(F54-D54,0)</f>
        <v>0</v>
      </c>
      <c r="H54" s="16" t="str">
        <f aca="false">IF(E54&gt;1,"DUPLICATE - Review",IF(G54&gt;Assumptions!$B$6,"OVERPAID - Review","OK"))</f>
        <v>OK</v>
      </c>
    </row>
    <row r="55" customFormat="false" ht="15" hidden="false" customHeight="false" outlineLevel="0" collapsed="false">
      <c r="A55" s="16" t="str">
        <f aca="false">Vendor_Invoices_AP!A52</f>
        <v>INV30051</v>
      </c>
      <c r="B55" s="16" t="str">
        <f aca="false">Vendor_Invoices_AP!C52</f>
        <v>V1025</v>
      </c>
      <c r="C55" s="16" t="str">
        <f aca="false">IFERROR(INDEX(Vendor_Master!$B$2:$B$41,MATCH(B55,Vendor_Master!$A$2:$A$41,0)),"Unknown Vendor")</f>
        <v>Conner Group</v>
      </c>
      <c r="D55" s="18" t="n">
        <f aca="false">Vendor_Invoices_AP!E52</f>
        <v>22892.64</v>
      </c>
      <c r="E55" s="16" t="n">
        <f aca="false">COUNTIF(Payment_Log_AP!$B$2:$B$753,A55)</f>
        <v>1</v>
      </c>
      <c r="F55" s="18" t="n">
        <f aca="false">SUMIFS(Payment_Log_AP!$E$2:$E$753,Payment_Log_AP!$B$2:$B$753,A55)</f>
        <v>22892.64</v>
      </c>
      <c r="G55" s="18" t="n">
        <f aca="false">MAX(F55-D55,0)</f>
        <v>0</v>
      </c>
      <c r="H55" s="16" t="str">
        <f aca="false">IF(E55&gt;1,"DUPLICATE - Review",IF(G55&gt;Assumptions!$B$6,"OVERPAID - Review","OK"))</f>
        <v>OK</v>
      </c>
    </row>
    <row r="56" customFormat="false" ht="15" hidden="false" customHeight="false" outlineLevel="0" collapsed="false">
      <c r="A56" s="16" t="str">
        <f aca="false">Vendor_Invoices_AP!A53</f>
        <v>INV30052</v>
      </c>
      <c r="B56" s="16" t="str">
        <f aca="false">Vendor_Invoices_AP!C53</f>
        <v>V1006</v>
      </c>
      <c r="C56" s="16" t="str">
        <f aca="false">IFERROR(INDEX(Vendor_Master!$B$2:$B$41,MATCH(B56,Vendor_Master!$A$2:$A$41,0)),"Unknown Vendor")</f>
        <v>Blake and Sons</v>
      </c>
      <c r="D56" s="18" t="n">
        <f aca="false">Vendor_Invoices_AP!E53</f>
        <v>306.49</v>
      </c>
      <c r="E56" s="16" t="n">
        <f aca="false">COUNTIF(Payment_Log_AP!$B$2:$B$753,A56)</f>
        <v>1</v>
      </c>
      <c r="F56" s="18" t="n">
        <f aca="false">SUMIFS(Payment_Log_AP!$E$2:$E$753,Payment_Log_AP!$B$2:$B$753,A56)</f>
        <v>306.49</v>
      </c>
      <c r="G56" s="18" t="n">
        <f aca="false">MAX(F56-D56,0)</f>
        <v>0</v>
      </c>
      <c r="H56" s="16" t="str">
        <f aca="false">IF(E56&gt;1,"DUPLICATE - Review",IF(G56&gt;Assumptions!$B$6,"OVERPAID - Review","OK"))</f>
        <v>OK</v>
      </c>
    </row>
    <row r="57" customFormat="false" ht="15" hidden="false" customHeight="false" outlineLevel="0" collapsed="false">
      <c r="A57" s="16" t="str">
        <f aca="false">Vendor_Invoices_AP!A54</f>
        <v>INV30053</v>
      </c>
      <c r="B57" s="16" t="str">
        <f aca="false">Vendor_Invoices_AP!C54</f>
        <v>V1024</v>
      </c>
      <c r="C57" s="16" t="str">
        <f aca="false">IFERROR(INDEX(Vendor_Master!$B$2:$B$41,MATCH(B57,Vendor_Master!$A$2:$A$41,0)),"Unknown Vendor")</f>
        <v>Campos Inc</v>
      </c>
      <c r="D57" s="18" t="n">
        <f aca="false">Vendor_Invoices_AP!E54</f>
        <v>5034.71</v>
      </c>
      <c r="E57" s="16" t="n">
        <f aca="false">COUNTIF(Payment_Log_AP!$B$2:$B$753,A57)</f>
        <v>1</v>
      </c>
      <c r="F57" s="18" t="n">
        <f aca="false">SUMIFS(Payment_Log_AP!$E$2:$E$753,Payment_Log_AP!$B$2:$B$753,A57)</f>
        <v>5034.71</v>
      </c>
      <c r="G57" s="18" t="n">
        <f aca="false">MAX(F57-D57,0)</f>
        <v>0</v>
      </c>
      <c r="H57" s="16" t="str">
        <f aca="false">IF(E57&gt;1,"DUPLICATE - Review",IF(G57&gt;Assumptions!$B$6,"OVERPAID - Review","OK"))</f>
        <v>OK</v>
      </c>
    </row>
    <row r="58" customFormat="false" ht="15" hidden="false" customHeight="false" outlineLevel="0" collapsed="false">
      <c r="A58" s="16" t="str">
        <f aca="false">Vendor_Invoices_AP!A55</f>
        <v>INV30054</v>
      </c>
      <c r="B58" s="16" t="str">
        <f aca="false">Vendor_Invoices_AP!C55</f>
        <v>V1024</v>
      </c>
      <c r="C58" s="16" t="str">
        <f aca="false">IFERROR(INDEX(Vendor_Master!$B$2:$B$41,MATCH(B58,Vendor_Master!$A$2:$A$41,0)),"Unknown Vendor")</f>
        <v>Campos Inc</v>
      </c>
      <c r="D58" s="18" t="n">
        <f aca="false">Vendor_Invoices_AP!E55</f>
        <v>5034.71</v>
      </c>
      <c r="E58" s="16" t="n">
        <f aca="false">COUNTIF(Payment_Log_AP!$B$2:$B$753,A58)</f>
        <v>1</v>
      </c>
      <c r="F58" s="18" t="n">
        <f aca="false">SUMIFS(Payment_Log_AP!$E$2:$E$753,Payment_Log_AP!$B$2:$B$753,A58)</f>
        <v>5034.71</v>
      </c>
      <c r="G58" s="18" t="n">
        <f aca="false">MAX(F58-D58,0)</f>
        <v>0</v>
      </c>
      <c r="H58" s="16" t="str">
        <f aca="false">IF(E58&gt;1,"DUPLICATE - Review",IF(G58&gt;Assumptions!$B$6,"OVERPAID - Review","OK"))</f>
        <v>OK</v>
      </c>
    </row>
    <row r="59" customFormat="false" ht="15" hidden="false" customHeight="false" outlineLevel="0" collapsed="false">
      <c r="A59" s="16" t="str">
        <f aca="false">Vendor_Invoices_AP!A56</f>
        <v>INV30055</v>
      </c>
      <c r="B59" s="16" t="str">
        <f aca="false">Vendor_Invoices_AP!C56</f>
        <v>V1029</v>
      </c>
      <c r="C59" s="16" t="str">
        <f aca="false">IFERROR(INDEX(Vendor_Master!$B$2:$B$41,MATCH(B59,Vendor_Master!$A$2:$A$41,0)),"Unknown Vendor")</f>
        <v>Chavez Ltd</v>
      </c>
      <c r="D59" s="18" t="n">
        <f aca="false">Vendor_Invoices_AP!E56</f>
        <v>1369.29</v>
      </c>
      <c r="E59" s="16" t="n">
        <f aca="false">COUNTIF(Payment_Log_AP!$B$2:$B$753,A59)</f>
        <v>1</v>
      </c>
      <c r="F59" s="18" t="n">
        <f aca="false">SUMIFS(Payment_Log_AP!$E$2:$E$753,Payment_Log_AP!$B$2:$B$753,A59)</f>
        <v>1369.29</v>
      </c>
      <c r="G59" s="18" t="n">
        <f aca="false">MAX(F59-D59,0)</f>
        <v>0</v>
      </c>
      <c r="H59" s="16" t="str">
        <f aca="false">IF(E59&gt;1,"DUPLICATE - Review",IF(G59&gt;Assumptions!$B$6,"OVERPAID - Review","OK"))</f>
        <v>OK</v>
      </c>
    </row>
    <row r="60" customFormat="false" ht="15" hidden="false" customHeight="false" outlineLevel="0" collapsed="false">
      <c r="A60" s="16" t="str">
        <f aca="false">Vendor_Invoices_AP!A57</f>
        <v>INV30056</v>
      </c>
      <c r="B60" s="16" t="str">
        <f aca="false">Vendor_Invoices_AP!C57</f>
        <v>V1025</v>
      </c>
      <c r="C60" s="16" t="str">
        <f aca="false">IFERROR(INDEX(Vendor_Master!$B$2:$B$41,MATCH(B60,Vendor_Master!$A$2:$A$41,0)),"Unknown Vendor")</f>
        <v>Conner Group</v>
      </c>
      <c r="D60" s="18" t="n">
        <f aca="false">Vendor_Invoices_AP!E57</f>
        <v>2783.02</v>
      </c>
      <c r="E60" s="16" t="n">
        <f aca="false">COUNTIF(Payment_Log_AP!$B$2:$B$753,A60)</f>
        <v>1</v>
      </c>
      <c r="F60" s="18" t="n">
        <f aca="false">SUMIFS(Payment_Log_AP!$E$2:$E$753,Payment_Log_AP!$B$2:$B$753,A60)</f>
        <v>2783.02</v>
      </c>
      <c r="G60" s="18" t="n">
        <f aca="false">MAX(F60-D60,0)</f>
        <v>0</v>
      </c>
      <c r="H60" s="16" t="str">
        <f aca="false">IF(E60&gt;1,"DUPLICATE - Review",IF(G60&gt;Assumptions!$B$6,"OVERPAID - Review","OK"))</f>
        <v>OK</v>
      </c>
    </row>
    <row r="61" customFormat="false" ht="15" hidden="false" customHeight="false" outlineLevel="0" collapsed="false">
      <c r="A61" s="16" t="str">
        <f aca="false">Vendor_Invoices_AP!A58</f>
        <v>INV30057</v>
      </c>
      <c r="B61" s="16" t="str">
        <f aca="false">Vendor_Invoices_AP!C58</f>
        <v>V1031</v>
      </c>
      <c r="C61" s="16" t="str">
        <f aca="false">IFERROR(INDEX(Vendor_Master!$B$2:$B$41,MATCH(B61,Vendor_Master!$A$2:$A$41,0)),"Unknown Vendor")</f>
        <v>Harrell LLC</v>
      </c>
      <c r="D61" s="18" t="n">
        <f aca="false">Vendor_Invoices_AP!E58</f>
        <v>1474.66</v>
      </c>
      <c r="E61" s="16" t="n">
        <f aca="false">COUNTIF(Payment_Log_AP!$B$2:$B$753,A61)</f>
        <v>1</v>
      </c>
      <c r="F61" s="18" t="n">
        <f aca="false">SUMIFS(Payment_Log_AP!$E$2:$E$753,Payment_Log_AP!$B$2:$B$753,A61)</f>
        <v>1474.66</v>
      </c>
      <c r="G61" s="18" t="n">
        <f aca="false">MAX(F61-D61,0)</f>
        <v>0</v>
      </c>
      <c r="H61" s="16" t="str">
        <f aca="false">IF(E61&gt;1,"DUPLICATE - Review",IF(G61&gt;Assumptions!$B$6,"OVERPAID - Review","OK"))</f>
        <v>OK</v>
      </c>
    </row>
    <row r="62" customFormat="false" ht="15" hidden="false" customHeight="false" outlineLevel="0" collapsed="false">
      <c r="A62" s="16" t="str">
        <f aca="false">Vendor_Invoices_AP!A59</f>
        <v>INV30058</v>
      </c>
      <c r="B62" s="16" t="str">
        <f aca="false">Vendor_Invoices_AP!C59</f>
        <v>V1031</v>
      </c>
      <c r="C62" s="16" t="str">
        <f aca="false">IFERROR(INDEX(Vendor_Master!$B$2:$B$41,MATCH(B62,Vendor_Master!$A$2:$A$41,0)),"Unknown Vendor")</f>
        <v>Harrell LLC</v>
      </c>
      <c r="D62" s="18" t="n">
        <f aca="false">Vendor_Invoices_AP!E59</f>
        <v>1567.44</v>
      </c>
      <c r="E62" s="16" t="n">
        <f aca="false">COUNTIF(Payment_Log_AP!$B$2:$B$753,A62)</f>
        <v>1</v>
      </c>
      <c r="F62" s="18" t="n">
        <f aca="false">SUMIFS(Payment_Log_AP!$E$2:$E$753,Payment_Log_AP!$B$2:$B$753,A62)</f>
        <v>1567.44</v>
      </c>
      <c r="G62" s="18" t="n">
        <f aca="false">MAX(F62-D62,0)</f>
        <v>0</v>
      </c>
      <c r="H62" s="16" t="str">
        <f aca="false">IF(E62&gt;1,"DUPLICATE - Review",IF(G62&gt;Assumptions!$B$6,"OVERPAID - Review","OK"))</f>
        <v>OK</v>
      </c>
    </row>
    <row r="63" customFormat="false" ht="15" hidden="false" customHeight="false" outlineLevel="0" collapsed="false">
      <c r="A63" s="16" t="str">
        <f aca="false">Vendor_Invoices_AP!A60</f>
        <v>INV30059</v>
      </c>
      <c r="B63" s="16" t="str">
        <f aca="false">Vendor_Invoices_AP!C60</f>
        <v>V1029</v>
      </c>
      <c r="C63" s="16" t="str">
        <f aca="false">IFERROR(INDEX(Vendor_Master!$B$2:$B$41,MATCH(B63,Vendor_Master!$A$2:$A$41,0)),"Unknown Vendor")</f>
        <v>Chavez Ltd</v>
      </c>
      <c r="D63" s="18" t="n">
        <f aca="false">Vendor_Invoices_AP!E60</f>
        <v>7649.01</v>
      </c>
      <c r="E63" s="16" t="n">
        <f aca="false">COUNTIF(Payment_Log_AP!$B$2:$B$753,A63)</f>
        <v>1</v>
      </c>
      <c r="F63" s="18" t="n">
        <f aca="false">SUMIFS(Payment_Log_AP!$E$2:$E$753,Payment_Log_AP!$B$2:$B$753,A63)</f>
        <v>7649.01</v>
      </c>
      <c r="G63" s="18" t="n">
        <f aca="false">MAX(F63-D63,0)</f>
        <v>0</v>
      </c>
      <c r="H63" s="16" t="str">
        <f aca="false">IF(E63&gt;1,"DUPLICATE - Review",IF(G63&gt;Assumptions!$B$6,"OVERPAID - Review","OK"))</f>
        <v>OK</v>
      </c>
    </row>
    <row r="64" customFormat="false" ht="15" hidden="false" customHeight="false" outlineLevel="0" collapsed="false">
      <c r="A64" s="16" t="str">
        <f aca="false">Vendor_Invoices_AP!A61</f>
        <v>INV30060</v>
      </c>
      <c r="B64" s="16" t="str">
        <f aca="false">Vendor_Invoices_AP!C61</f>
        <v>V1009</v>
      </c>
      <c r="C64" s="16" t="str">
        <f aca="false">IFERROR(INDEX(Vendor_Master!$B$2:$B$41,MATCH(B64,Vendor_Master!$A$2:$A$41,0)),"Unknown Vendor")</f>
        <v>Munoz-Roman</v>
      </c>
      <c r="D64" s="18" t="n">
        <f aca="false">Vendor_Invoices_AP!E61</f>
        <v>3881</v>
      </c>
      <c r="E64" s="16" t="n">
        <f aca="false">COUNTIF(Payment_Log_AP!$B$2:$B$753,A64)</f>
        <v>1</v>
      </c>
      <c r="F64" s="18" t="n">
        <f aca="false">SUMIFS(Payment_Log_AP!$E$2:$E$753,Payment_Log_AP!$B$2:$B$753,A64)</f>
        <v>3881</v>
      </c>
      <c r="G64" s="18" t="n">
        <f aca="false">MAX(F64-D64,0)</f>
        <v>0</v>
      </c>
      <c r="H64" s="16" t="str">
        <f aca="false">IF(E64&gt;1,"DUPLICATE - Review",IF(G64&gt;Assumptions!$B$6,"OVERPAID - Review","OK"))</f>
        <v>OK</v>
      </c>
    </row>
    <row r="65" customFormat="false" ht="15" hidden="false" customHeight="false" outlineLevel="0" collapsed="false">
      <c r="A65" s="16" t="str">
        <f aca="false">Vendor_Invoices_AP!A62</f>
        <v>INV30061</v>
      </c>
      <c r="B65" s="16" t="str">
        <f aca="false">Vendor_Invoices_AP!C62</f>
        <v>V1019</v>
      </c>
      <c r="C65" s="16" t="str">
        <f aca="false">IFERROR(INDEX(Vendor_Master!$B$2:$B$41,MATCH(B65,Vendor_Master!$A$2:$A$41,0)),"Unknown Vendor")</f>
        <v>Clark PLC</v>
      </c>
      <c r="D65" s="18" t="n">
        <f aca="false">Vendor_Invoices_AP!E62</f>
        <v>3262.21</v>
      </c>
      <c r="E65" s="16" t="n">
        <f aca="false">COUNTIF(Payment_Log_AP!$B$2:$B$753,A65)</f>
        <v>1</v>
      </c>
      <c r="F65" s="18" t="n">
        <f aca="false">SUMIFS(Payment_Log_AP!$E$2:$E$753,Payment_Log_AP!$B$2:$B$753,A65)</f>
        <v>3262.21</v>
      </c>
      <c r="G65" s="18" t="n">
        <f aca="false">MAX(F65-D65,0)</f>
        <v>0</v>
      </c>
      <c r="H65" s="16" t="str">
        <f aca="false">IF(E65&gt;1,"DUPLICATE - Review",IF(G65&gt;Assumptions!$B$6,"OVERPAID - Review","OK"))</f>
        <v>OK</v>
      </c>
    </row>
    <row r="66" customFormat="false" ht="15" hidden="false" customHeight="false" outlineLevel="0" collapsed="false">
      <c r="A66" s="16" t="str">
        <f aca="false">Vendor_Invoices_AP!A63</f>
        <v>INV30062</v>
      </c>
      <c r="B66" s="16" t="str">
        <f aca="false">Vendor_Invoices_AP!C63</f>
        <v>V1023</v>
      </c>
      <c r="C66" s="16" t="str">
        <f aca="false">IFERROR(INDEX(Vendor_Master!$B$2:$B$41,MATCH(B66,Vendor_Master!$A$2:$A$41,0)),"Unknown Vendor")</f>
        <v>Robinson-Bright</v>
      </c>
      <c r="D66" s="18" t="n">
        <f aca="false">Vendor_Invoices_AP!E63</f>
        <v>672.96</v>
      </c>
      <c r="E66" s="16" t="n">
        <f aca="false">COUNTIF(Payment_Log_AP!$B$2:$B$753,A66)</f>
        <v>0</v>
      </c>
      <c r="F66" s="18" t="n">
        <f aca="false">SUMIFS(Payment_Log_AP!$E$2:$E$753,Payment_Log_AP!$B$2:$B$753,A66)</f>
        <v>0</v>
      </c>
      <c r="G66" s="18" t="n">
        <f aca="false">MAX(F66-D66,0)</f>
        <v>0</v>
      </c>
      <c r="H66" s="16" t="str">
        <f aca="false">IF(E66&gt;1,"DUPLICATE - Review",IF(G66&gt;Assumptions!$B$6,"OVERPAID - Review","OK"))</f>
        <v>OK</v>
      </c>
    </row>
    <row r="67" customFormat="false" ht="15" hidden="false" customHeight="false" outlineLevel="0" collapsed="false">
      <c r="A67" s="16" t="str">
        <f aca="false">Vendor_Invoices_AP!A64</f>
        <v>INV30063</v>
      </c>
      <c r="B67" s="16" t="str">
        <f aca="false">Vendor_Invoices_AP!C64</f>
        <v>V1013</v>
      </c>
      <c r="C67" s="16" t="str">
        <f aca="false">IFERROR(INDEX(Vendor_Master!$B$2:$B$41,MATCH(B67,Vendor_Master!$A$2:$A$41,0)),"Unknown Vendor")</f>
        <v>Delacruz Group</v>
      </c>
      <c r="D67" s="18" t="n">
        <f aca="false">Vendor_Invoices_AP!E64</f>
        <v>5144.03</v>
      </c>
      <c r="E67" s="16" t="n">
        <f aca="false">COUNTIF(Payment_Log_AP!$B$2:$B$753,A67)</f>
        <v>1</v>
      </c>
      <c r="F67" s="18" t="n">
        <f aca="false">SUMIFS(Payment_Log_AP!$E$2:$E$753,Payment_Log_AP!$B$2:$B$753,A67)</f>
        <v>5144.03</v>
      </c>
      <c r="G67" s="18" t="n">
        <f aca="false">MAX(F67-D67,0)</f>
        <v>0</v>
      </c>
      <c r="H67" s="16" t="str">
        <f aca="false">IF(E67&gt;1,"DUPLICATE - Review",IF(G67&gt;Assumptions!$B$6,"OVERPAID - Review","OK"))</f>
        <v>OK</v>
      </c>
    </row>
    <row r="68" customFormat="false" ht="15" hidden="false" customHeight="false" outlineLevel="0" collapsed="false">
      <c r="A68" s="16" t="str">
        <f aca="false">Vendor_Invoices_AP!A65</f>
        <v>INV30064</v>
      </c>
      <c r="B68" s="16" t="str">
        <f aca="false">Vendor_Invoices_AP!C65</f>
        <v>V1036</v>
      </c>
      <c r="C68" s="16" t="str">
        <f aca="false">IFERROR(INDEX(Vendor_Master!$B$2:$B$41,MATCH(B68,Vendor_Master!$A$2:$A$41,0)),"Unknown Vendor")</f>
        <v>Dennis Inc</v>
      </c>
      <c r="D68" s="18" t="n">
        <f aca="false">Vendor_Invoices_AP!E65</f>
        <v>2886.68</v>
      </c>
      <c r="E68" s="16" t="n">
        <f aca="false">COUNTIF(Payment_Log_AP!$B$2:$B$753,A68)</f>
        <v>0</v>
      </c>
      <c r="F68" s="18" t="n">
        <f aca="false">SUMIFS(Payment_Log_AP!$E$2:$E$753,Payment_Log_AP!$B$2:$B$753,A68)</f>
        <v>0</v>
      </c>
      <c r="G68" s="18" t="n">
        <f aca="false">MAX(F68-D68,0)</f>
        <v>0</v>
      </c>
      <c r="H68" s="16" t="str">
        <f aca="false">IF(E68&gt;1,"DUPLICATE - Review",IF(G68&gt;Assumptions!$B$6,"OVERPAID - Review","OK"))</f>
        <v>OK</v>
      </c>
    </row>
    <row r="69" customFormat="false" ht="15" hidden="false" customHeight="false" outlineLevel="0" collapsed="false">
      <c r="A69" s="16" t="str">
        <f aca="false">Vendor_Invoices_AP!A66</f>
        <v>INV30065</v>
      </c>
      <c r="B69" s="16" t="str">
        <f aca="false">Vendor_Invoices_AP!C66</f>
        <v>V1038</v>
      </c>
      <c r="C69" s="16" t="str">
        <f aca="false">IFERROR(INDEX(Vendor_Master!$B$2:$B$41,MATCH(B69,Vendor_Master!$A$2:$A$41,0)),"Unknown Vendor")</f>
        <v>Rose-Obrien</v>
      </c>
      <c r="D69" s="18" t="n">
        <f aca="false">Vendor_Invoices_AP!E66</f>
        <v>5496.95</v>
      </c>
      <c r="E69" s="16" t="n">
        <f aca="false">COUNTIF(Payment_Log_AP!$B$2:$B$753,A69)</f>
        <v>1</v>
      </c>
      <c r="F69" s="18" t="n">
        <f aca="false">SUMIFS(Payment_Log_AP!$E$2:$E$753,Payment_Log_AP!$B$2:$B$753,A69)</f>
        <v>5496.95</v>
      </c>
      <c r="G69" s="18" t="n">
        <f aca="false">MAX(F69-D69,0)</f>
        <v>0</v>
      </c>
      <c r="H69" s="16" t="str">
        <f aca="false">IF(E69&gt;1,"DUPLICATE - Review",IF(G69&gt;Assumptions!$B$6,"OVERPAID - Review","OK"))</f>
        <v>OK</v>
      </c>
    </row>
    <row r="70" customFormat="false" ht="15" hidden="false" customHeight="false" outlineLevel="0" collapsed="false">
      <c r="A70" s="16" t="str">
        <f aca="false">Vendor_Invoices_AP!A67</f>
        <v>INV30066</v>
      </c>
      <c r="B70" s="16" t="str">
        <f aca="false">Vendor_Invoices_AP!C67</f>
        <v>V1031</v>
      </c>
      <c r="C70" s="16" t="str">
        <f aca="false">IFERROR(INDEX(Vendor_Master!$B$2:$B$41,MATCH(B70,Vendor_Master!$A$2:$A$41,0)),"Unknown Vendor")</f>
        <v>Harrell LLC</v>
      </c>
      <c r="D70" s="18" t="n">
        <f aca="false">Vendor_Invoices_AP!E67</f>
        <v>1566.24</v>
      </c>
      <c r="E70" s="16" t="n">
        <f aca="false">COUNTIF(Payment_Log_AP!$B$2:$B$753,A70)</f>
        <v>1</v>
      </c>
      <c r="F70" s="18" t="n">
        <f aca="false">SUMIFS(Payment_Log_AP!$E$2:$E$753,Payment_Log_AP!$B$2:$B$753,A70)</f>
        <v>1566.24</v>
      </c>
      <c r="G70" s="18" t="n">
        <f aca="false">MAX(F70-D70,0)</f>
        <v>0</v>
      </c>
      <c r="H70" s="16" t="str">
        <f aca="false">IF(E70&gt;1,"DUPLICATE - Review",IF(G70&gt;Assumptions!$B$6,"OVERPAID - Review","OK"))</f>
        <v>OK</v>
      </c>
    </row>
    <row r="71" customFormat="false" ht="15" hidden="false" customHeight="false" outlineLevel="0" collapsed="false">
      <c r="A71" s="16" t="str">
        <f aca="false">Vendor_Invoices_AP!A68</f>
        <v>INV30067</v>
      </c>
      <c r="B71" s="16" t="str">
        <f aca="false">Vendor_Invoices_AP!C68</f>
        <v>V1027</v>
      </c>
      <c r="C71" s="16" t="str">
        <f aca="false">IFERROR(INDEX(Vendor_Master!$B$2:$B$41,MATCH(B71,Vendor_Master!$A$2:$A$41,0)),"Unknown Vendor")</f>
        <v>Valencia, Smith and Le</v>
      </c>
      <c r="D71" s="18" t="n">
        <f aca="false">Vendor_Invoices_AP!E68</f>
        <v>17358.33</v>
      </c>
      <c r="E71" s="16" t="n">
        <f aca="false">COUNTIF(Payment_Log_AP!$B$2:$B$753,A71)</f>
        <v>1</v>
      </c>
      <c r="F71" s="18" t="n">
        <f aca="false">SUMIFS(Payment_Log_AP!$E$2:$E$753,Payment_Log_AP!$B$2:$B$753,A71)</f>
        <v>17358.33</v>
      </c>
      <c r="G71" s="18" t="n">
        <f aca="false">MAX(F71-D71,0)</f>
        <v>0</v>
      </c>
      <c r="H71" s="16" t="str">
        <f aca="false">IF(E71&gt;1,"DUPLICATE - Review",IF(G71&gt;Assumptions!$B$6,"OVERPAID - Review","OK"))</f>
        <v>OK</v>
      </c>
    </row>
    <row r="72" customFormat="false" ht="15" hidden="false" customHeight="false" outlineLevel="0" collapsed="false">
      <c r="A72" s="16" t="str">
        <f aca="false">Vendor_Invoices_AP!A69</f>
        <v>INV30068</v>
      </c>
      <c r="B72" s="16" t="str">
        <f aca="false">Vendor_Invoices_AP!C69</f>
        <v>V1010</v>
      </c>
      <c r="C72" s="16" t="str">
        <f aca="false">IFERROR(INDEX(Vendor_Master!$B$2:$B$41,MATCH(B72,Vendor_Master!$A$2:$A$41,0)),"Unknown Vendor")</f>
        <v>Martinez, Nielsen and Miller</v>
      </c>
      <c r="D72" s="18" t="n">
        <f aca="false">Vendor_Invoices_AP!E69</f>
        <v>537.25</v>
      </c>
      <c r="E72" s="16" t="n">
        <f aca="false">COUNTIF(Payment_Log_AP!$B$2:$B$753,A72)</f>
        <v>1</v>
      </c>
      <c r="F72" s="18" t="n">
        <f aca="false">SUMIFS(Payment_Log_AP!$E$2:$E$753,Payment_Log_AP!$B$2:$B$753,A72)</f>
        <v>537.25</v>
      </c>
      <c r="G72" s="18" t="n">
        <f aca="false">MAX(F72-D72,0)</f>
        <v>0</v>
      </c>
      <c r="H72" s="16" t="str">
        <f aca="false">IF(E72&gt;1,"DUPLICATE - Review",IF(G72&gt;Assumptions!$B$6,"OVERPAID - Review","OK"))</f>
        <v>OK</v>
      </c>
    </row>
    <row r="73" customFormat="false" ht="15" hidden="false" customHeight="false" outlineLevel="0" collapsed="false">
      <c r="A73" s="16" t="str">
        <f aca="false">Vendor_Invoices_AP!A70</f>
        <v>INV30069</v>
      </c>
      <c r="B73" s="16" t="str">
        <f aca="false">Vendor_Invoices_AP!C70</f>
        <v>V1014</v>
      </c>
      <c r="C73" s="16" t="str">
        <f aca="false">IFERROR(INDEX(Vendor_Master!$B$2:$B$41,MATCH(B73,Vendor_Master!$A$2:$A$41,0)),"Unknown Vendor")</f>
        <v>Flowers, Martin and Kelly</v>
      </c>
      <c r="D73" s="18" t="n">
        <f aca="false">Vendor_Invoices_AP!E70</f>
        <v>4040.21</v>
      </c>
      <c r="E73" s="16" t="n">
        <f aca="false">COUNTIF(Payment_Log_AP!$B$2:$B$753,A73)</f>
        <v>1</v>
      </c>
      <c r="F73" s="18" t="n">
        <f aca="false">SUMIFS(Payment_Log_AP!$E$2:$E$753,Payment_Log_AP!$B$2:$B$753,A73)</f>
        <v>4040.21</v>
      </c>
      <c r="G73" s="18" t="n">
        <f aca="false">MAX(F73-D73,0)</f>
        <v>0</v>
      </c>
      <c r="H73" s="16" t="str">
        <f aca="false">IF(E73&gt;1,"DUPLICATE - Review",IF(G73&gt;Assumptions!$B$6,"OVERPAID - Review","OK"))</f>
        <v>OK</v>
      </c>
    </row>
    <row r="74" customFormat="false" ht="15" hidden="false" customHeight="false" outlineLevel="0" collapsed="false">
      <c r="A74" s="16" t="str">
        <f aca="false">Vendor_Invoices_AP!A71</f>
        <v>INV30070</v>
      </c>
      <c r="B74" s="16" t="str">
        <f aca="false">Vendor_Invoices_AP!C71</f>
        <v>V1002</v>
      </c>
      <c r="C74" s="16" t="str">
        <f aca="false">IFERROR(INDEX(Vendor_Master!$B$2:$B$41,MATCH(B74,Vendor_Master!$A$2:$A$41,0)),"Unknown Vendor")</f>
        <v>Garcia, Yang and Gardner</v>
      </c>
      <c r="D74" s="18" t="n">
        <f aca="false">Vendor_Invoices_AP!E71</f>
        <v>158.45</v>
      </c>
      <c r="E74" s="16" t="n">
        <f aca="false">COUNTIF(Payment_Log_AP!$B$2:$B$753,A74)</f>
        <v>1</v>
      </c>
      <c r="F74" s="18" t="n">
        <f aca="false">SUMIFS(Payment_Log_AP!$E$2:$E$753,Payment_Log_AP!$B$2:$B$753,A74)</f>
        <v>158.45</v>
      </c>
      <c r="G74" s="18" t="n">
        <f aca="false">MAX(F74-D74,0)</f>
        <v>0</v>
      </c>
      <c r="H74" s="16" t="str">
        <f aca="false">IF(E74&gt;1,"DUPLICATE - Review",IF(G74&gt;Assumptions!$B$6,"OVERPAID - Review","OK"))</f>
        <v>OK</v>
      </c>
    </row>
    <row r="75" customFormat="false" ht="15" hidden="false" customHeight="false" outlineLevel="0" collapsed="false">
      <c r="A75" s="16" t="str">
        <f aca="false">Vendor_Invoices_AP!A72</f>
        <v>INV30071</v>
      </c>
      <c r="B75" s="16" t="str">
        <f aca="false">Vendor_Invoices_AP!C72</f>
        <v>V1010</v>
      </c>
      <c r="C75" s="16" t="str">
        <f aca="false">IFERROR(INDEX(Vendor_Master!$B$2:$B$41,MATCH(B75,Vendor_Master!$A$2:$A$41,0)),"Unknown Vendor")</f>
        <v>Martinez, Nielsen and Miller</v>
      </c>
      <c r="D75" s="18" t="n">
        <f aca="false">Vendor_Invoices_AP!E72</f>
        <v>2227.94</v>
      </c>
      <c r="E75" s="16" t="n">
        <f aca="false">COUNTIF(Payment_Log_AP!$B$2:$B$753,A75)</f>
        <v>1</v>
      </c>
      <c r="F75" s="18" t="n">
        <f aca="false">SUMIFS(Payment_Log_AP!$E$2:$E$753,Payment_Log_AP!$B$2:$B$753,A75)</f>
        <v>2227.94</v>
      </c>
      <c r="G75" s="18" t="n">
        <f aca="false">MAX(F75-D75,0)</f>
        <v>0</v>
      </c>
      <c r="H75" s="16" t="str">
        <f aca="false">IF(E75&gt;1,"DUPLICATE - Review",IF(G75&gt;Assumptions!$B$6,"OVERPAID - Review","OK"))</f>
        <v>OK</v>
      </c>
    </row>
    <row r="76" customFormat="false" ht="15" hidden="false" customHeight="false" outlineLevel="0" collapsed="false">
      <c r="A76" s="16" t="str">
        <f aca="false">Vendor_Invoices_AP!A73</f>
        <v>INV30072</v>
      </c>
      <c r="B76" s="16" t="str">
        <f aca="false">Vendor_Invoices_AP!C73</f>
        <v>V1008</v>
      </c>
      <c r="C76" s="16" t="str">
        <f aca="false">IFERROR(INDEX(Vendor_Master!$B$2:$B$41,MATCH(B76,Vendor_Master!$A$2:$A$41,0)),"Unknown Vendor")</f>
        <v>Davis Inc</v>
      </c>
      <c r="D76" s="18" t="n">
        <f aca="false">Vendor_Invoices_AP!E73</f>
        <v>3409.89</v>
      </c>
      <c r="E76" s="16" t="n">
        <f aca="false">COUNTIF(Payment_Log_AP!$B$2:$B$753,A76)</f>
        <v>1</v>
      </c>
      <c r="F76" s="18" t="n">
        <f aca="false">SUMIFS(Payment_Log_AP!$E$2:$E$753,Payment_Log_AP!$B$2:$B$753,A76)</f>
        <v>3409.89</v>
      </c>
      <c r="G76" s="18" t="n">
        <f aca="false">MAX(F76-D76,0)</f>
        <v>0</v>
      </c>
      <c r="H76" s="16" t="str">
        <f aca="false">IF(E76&gt;1,"DUPLICATE - Review",IF(G76&gt;Assumptions!$B$6,"OVERPAID - Review","OK"))</f>
        <v>OK</v>
      </c>
    </row>
    <row r="77" customFormat="false" ht="15" hidden="false" customHeight="false" outlineLevel="0" collapsed="false">
      <c r="A77" s="16" t="str">
        <f aca="false">Vendor_Invoices_AP!A74</f>
        <v>INV30073</v>
      </c>
      <c r="B77" s="16" t="str">
        <f aca="false">Vendor_Invoices_AP!C74</f>
        <v>V1011</v>
      </c>
      <c r="C77" s="16" t="str">
        <f aca="false">IFERROR(INDEX(Vendor_Master!$B$2:$B$41,MATCH(B77,Vendor_Master!$A$2:$A$41,0)),"Unknown Vendor")</f>
        <v>Montgomery, Hensley and Ray</v>
      </c>
      <c r="D77" s="18" t="n">
        <f aca="false">Vendor_Invoices_AP!E74</f>
        <v>426.18</v>
      </c>
      <c r="E77" s="16" t="n">
        <f aca="false">COUNTIF(Payment_Log_AP!$B$2:$B$753,A77)</f>
        <v>1</v>
      </c>
      <c r="F77" s="18" t="n">
        <f aca="false">SUMIFS(Payment_Log_AP!$E$2:$E$753,Payment_Log_AP!$B$2:$B$753,A77)</f>
        <v>426.18</v>
      </c>
      <c r="G77" s="18" t="n">
        <f aca="false">MAX(F77-D77,0)</f>
        <v>0</v>
      </c>
      <c r="H77" s="16" t="str">
        <f aca="false">IF(E77&gt;1,"DUPLICATE - Review",IF(G77&gt;Assumptions!$B$6,"OVERPAID - Review","OK"))</f>
        <v>OK</v>
      </c>
    </row>
    <row r="78" customFormat="false" ht="15" hidden="false" customHeight="false" outlineLevel="0" collapsed="false">
      <c r="A78" s="16" t="str">
        <f aca="false">Vendor_Invoices_AP!A75</f>
        <v>INV30074</v>
      </c>
      <c r="B78" s="16" t="str">
        <f aca="false">Vendor_Invoices_AP!C75</f>
        <v>V1038</v>
      </c>
      <c r="C78" s="16" t="str">
        <f aca="false">IFERROR(INDEX(Vendor_Master!$B$2:$B$41,MATCH(B78,Vendor_Master!$A$2:$A$41,0)),"Unknown Vendor")</f>
        <v>Rose-Obrien</v>
      </c>
      <c r="D78" s="18" t="n">
        <f aca="false">Vendor_Invoices_AP!E75</f>
        <v>650.45</v>
      </c>
      <c r="E78" s="16" t="n">
        <f aca="false">COUNTIF(Payment_Log_AP!$B$2:$B$753,A78)</f>
        <v>1</v>
      </c>
      <c r="F78" s="18" t="n">
        <f aca="false">SUMIFS(Payment_Log_AP!$E$2:$E$753,Payment_Log_AP!$B$2:$B$753,A78)</f>
        <v>650.45</v>
      </c>
      <c r="G78" s="18" t="n">
        <f aca="false">MAX(F78-D78,0)</f>
        <v>0</v>
      </c>
      <c r="H78" s="16" t="str">
        <f aca="false">IF(E78&gt;1,"DUPLICATE - Review",IF(G78&gt;Assumptions!$B$6,"OVERPAID - Review","OK"))</f>
        <v>OK</v>
      </c>
    </row>
    <row r="79" customFormat="false" ht="15" hidden="false" customHeight="false" outlineLevel="0" collapsed="false">
      <c r="A79" s="16" t="str">
        <f aca="false">Vendor_Invoices_AP!A76</f>
        <v>INV30075</v>
      </c>
      <c r="B79" s="16" t="str">
        <f aca="false">Vendor_Invoices_AP!C76</f>
        <v>V1009</v>
      </c>
      <c r="C79" s="16" t="str">
        <f aca="false">IFERROR(INDEX(Vendor_Master!$B$2:$B$41,MATCH(B79,Vendor_Master!$A$2:$A$41,0)),"Unknown Vendor")</f>
        <v>Munoz-Roman</v>
      </c>
      <c r="D79" s="18" t="n">
        <f aca="false">Vendor_Invoices_AP!E76</f>
        <v>173.05</v>
      </c>
      <c r="E79" s="16" t="n">
        <f aca="false">COUNTIF(Payment_Log_AP!$B$2:$B$753,A79)</f>
        <v>2</v>
      </c>
      <c r="F79" s="18" t="n">
        <f aca="false">SUMIFS(Payment_Log_AP!$E$2:$E$753,Payment_Log_AP!$B$2:$B$753,A79)</f>
        <v>346.1</v>
      </c>
      <c r="G79" s="18" t="n">
        <f aca="false">MAX(F79-D79,0)</f>
        <v>173.05</v>
      </c>
      <c r="H79" s="16" t="str">
        <f aca="false">IF(E79&gt;1,"DUPLICATE - Review",IF(G79&gt;Assumptions!$B$6,"OVERPAID - Review","OK"))</f>
        <v>DUPLICATE - Review</v>
      </c>
    </row>
    <row r="80" customFormat="false" ht="15" hidden="false" customHeight="false" outlineLevel="0" collapsed="false">
      <c r="A80" s="16" t="str">
        <f aca="false">Vendor_Invoices_AP!A77</f>
        <v>INV30076</v>
      </c>
      <c r="B80" s="16" t="str">
        <f aca="false">Vendor_Invoices_AP!C77</f>
        <v>V1029</v>
      </c>
      <c r="C80" s="16" t="str">
        <f aca="false">IFERROR(INDEX(Vendor_Master!$B$2:$B$41,MATCH(B80,Vendor_Master!$A$2:$A$41,0)),"Unknown Vendor")</f>
        <v>Chavez Ltd</v>
      </c>
      <c r="D80" s="18" t="n">
        <f aca="false">Vendor_Invoices_AP!E77</f>
        <v>1736.82</v>
      </c>
      <c r="E80" s="16" t="n">
        <f aca="false">COUNTIF(Payment_Log_AP!$B$2:$B$753,A80)</f>
        <v>0</v>
      </c>
      <c r="F80" s="18" t="n">
        <f aca="false">SUMIFS(Payment_Log_AP!$E$2:$E$753,Payment_Log_AP!$B$2:$B$753,A80)</f>
        <v>0</v>
      </c>
      <c r="G80" s="18" t="n">
        <f aca="false">MAX(F80-D80,0)</f>
        <v>0</v>
      </c>
      <c r="H80" s="16" t="str">
        <f aca="false">IF(E80&gt;1,"DUPLICATE - Review",IF(G80&gt;Assumptions!$B$6,"OVERPAID - Review","OK"))</f>
        <v>OK</v>
      </c>
    </row>
    <row r="81" customFormat="false" ht="15" hidden="false" customHeight="false" outlineLevel="0" collapsed="false">
      <c r="A81" s="16" t="str">
        <f aca="false">Vendor_Invoices_AP!A78</f>
        <v>INV30077</v>
      </c>
      <c r="B81" s="16" t="str">
        <f aca="false">Vendor_Invoices_AP!C78</f>
        <v>V1017</v>
      </c>
      <c r="C81" s="16" t="str">
        <f aca="false">IFERROR(INDEX(Vendor_Master!$B$2:$B$41,MATCH(B81,Vendor_Master!$A$2:$A$41,0)),"Unknown Vendor")</f>
        <v>Hawkins, Cohen and Cameron</v>
      </c>
      <c r="D81" s="18" t="n">
        <f aca="false">Vendor_Invoices_AP!E78</f>
        <v>3225.76</v>
      </c>
      <c r="E81" s="16" t="n">
        <f aca="false">COUNTIF(Payment_Log_AP!$B$2:$B$753,A81)</f>
        <v>1</v>
      </c>
      <c r="F81" s="18" t="n">
        <f aca="false">SUMIFS(Payment_Log_AP!$E$2:$E$753,Payment_Log_AP!$B$2:$B$753,A81)</f>
        <v>3225.76</v>
      </c>
      <c r="G81" s="18" t="n">
        <f aca="false">MAX(F81-D81,0)</f>
        <v>0</v>
      </c>
      <c r="H81" s="16" t="str">
        <f aca="false">IF(E81&gt;1,"DUPLICATE - Review",IF(G81&gt;Assumptions!$B$6,"OVERPAID - Review","OK"))</f>
        <v>OK</v>
      </c>
    </row>
    <row r="82" customFormat="false" ht="15" hidden="false" customHeight="false" outlineLevel="0" collapsed="false">
      <c r="A82" s="16" t="str">
        <f aca="false">Vendor_Invoices_AP!A79</f>
        <v>INV30078</v>
      </c>
      <c r="B82" s="16" t="str">
        <f aca="false">Vendor_Invoices_AP!C79</f>
        <v>V1014</v>
      </c>
      <c r="C82" s="16" t="str">
        <f aca="false">IFERROR(INDEX(Vendor_Master!$B$2:$B$41,MATCH(B82,Vendor_Master!$A$2:$A$41,0)),"Unknown Vendor")</f>
        <v>Flowers, Martin and Kelly</v>
      </c>
      <c r="D82" s="18" t="n">
        <f aca="false">Vendor_Invoices_AP!E79</f>
        <v>773.09</v>
      </c>
      <c r="E82" s="16" t="n">
        <f aca="false">COUNTIF(Payment_Log_AP!$B$2:$B$753,A82)</f>
        <v>1</v>
      </c>
      <c r="F82" s="18" t="n">
        <f aca="false">SUMIFS(Payment_Log_AP!$E$2:$E$753,Payment_Log_AP!$B$2:$B$753,A82)</f>
        <v>773.09</v>
      </c>
      <c r="G82" s="18" t="n">
        <f aca="false">MAX(F82-D82,0)</f>
        <v>0</v>
      </c>
      <c r="H82" s="16" t="str">
        <f aca="false">IF(E82&gt;1,"DUPLICATE - Review",IF(G82&gt;Assumptions!$B$6,"OVERPAID - Review","OK"))</f>
        <v>OK</v>
      </c>
    </row>
    <row r="83" customFormat="false" ht="15" hidden="false" customHeight="false" outlineLevel="0" collapsed="false">
      <c r="A83" s="16" t="str">
        <f aca="false">Vendor_Invoices_AP!A80</f>
        <v>INV30079</v>
      </c>
      <c r="B83" s="16" t="str">
        <f aca="false">Vendor_Invoices_AP!C80</f>
        <v>V1024</v>
      </c>
      <c r="C83" s="16" t="str">
        <f aca="false">IFERROR(INDEX(Vendor_Master!$B$2:$B$41,MATCH(B83,Vendor_Master!$A$2:$A$41,0)),"Unknown Vendor")</f>
        <v>Campos Inc</v>
      </c>
      <c r="D83" s="18" t="n">
        <f aca="false">Vendor_Invoices_AP!E80</f>
        <v>3182.11</v>
      </c>
      <c r="E83" s="16" t="n">
        <f aca="false">COUNTIF(Payment_Log_AP!$B$2:$B$753,A83)</f>
        <v>1</v>
      </c>
      <c r="F83" s="18" t="n">
        <f aca="false">SUMIFS(Payment_Log_AP!$E$2:$E$753,Payment_Log_AP!$B$2:$B$753,A83)</f>
        <v>3182.11</v>
      </c>
      <c r="G83" s="18" t="n">
        <f aca="false">MAX(F83-D83,0)</f>
        <v>0</v>
      </c>
      <c r="H83" s="16" t="str">
        <f aca="false">IF(E83&gt;1,"DUPLICATE - Review",IF(G83&gt;Assumptions!$B$6,"OVERPAID - Review","OK"))</f>
        <v>OK</v>
      </c>
    </row>
    <row r="84" customFormat="false" ht="15" hidden="false" customHeight="false" outlineLevel="0" collapsed="false">
      <c r="A84" s="16" t="str">
        <f aca="false">Vendor_Invoices_AP!A81</f>
        <v>INV30080</v>
      </c>
      <c r="B84" s="16" t="str">
        <f aca="false">Vendor_Invoices_AP!C81</f>
        <v>V1021</v>
      </c>
      <c r="C84" s="16" t="str">
        <f aca="false">IFERROR(INDEX(Vendor_Master!$B$2:$B$41,MATCH(B84,Vendor_Master!$A$2:$A$41,0)),"Unknown Vendor")</f>
        <v>Ellis, Baker and Wright</v>
      </c>
      <c r="D84" s="18" t="n">
        <f aca="false">Vendor_Invoices_AP!E81</f>
        <v>2202.92</v>
      </c>
      <c r="E84" s="16" t="n">
        <f aca="false">COUNTIF(Payment_Log_AP!$B$2:$B$753,A84)</f>
        <v>1</v>
      </c>
      <c r="F84" s="18" t="n">
        <f aca="false">SUMIFS(Payment_Log_AP!$E$2:$E$753,Payment_Log_AP!$B$2:$B$753,A84)</f>
        <v>2202.92</v>
      </c>
      <c r="G84" s="18" t="n">
        <f aca="false">MAX(F84-D84,0)</f>
        <v>0</v>
      </c>
      <c r="H84" s="16" t="str">
        <f aca="false">IF(E84&gt;1,"DUPLICATE - Review",IF(G84&gt;Assumptions!$B$6,"OVERPAID - Review","OK"))</f>
        <v>OK</v>
      </c>
    </row>
    <row r="85" customFormat="false" ht="15" hidden="false" customHeight="false" outlineLevel="0" collapsed="false">
      <c r="A85" s="16" t="str">
        <f aca="false">Vendor_Invoices_AP!A82</f>
        <v>INV30081</v>
      </c>
      <c r="B85" s="16" t="str">
        <f aca="false">Vendor_Invoices_AP!C82</f>
        <v>V1021</v>
      </c>
      <c r="C85" s="16" t="str">
        <f aca="false">IFERROR(INDEX(Vendor_Master!$B$2:$B$41,MATCH(B85,Vendor_Master!$A$2:$A$41,0)),"Unknown Vendor")</f>
        <v>Ellis, Baker and Wright</v>
      </c>
      <c r="D85" s="18" t="n">
        <f aca="false">Vendor_Invoices_AP!E82</f>
        <v>2202.92</v>
      </c>
      <c r="E85" s="16" t="n">
        <f aca="false">COUNTIF(Payment_Log_AP!$B$2:$B$753,A85)</f>
        <v>1</v>
      </c>
      <c r="F85" s="18" t="n">
        <f aca="false">SUMIFS(Payment_Log_AP!$E$2:$E$753,Payment_Log_AP!$B$2:$B$753,A85)</f>
        <v>2202.92</v>
      </c>
      <c r="G85" s="18" t="n">
        <f aca="false">MAX(F85-D85,0)</f>
        <v>0</v>
      </c>
      <c r="H85" s="16" t="str">
        <f aca="false">IF(E85&gt;1,"DUPLICATE - Review",IF(G85&gt;Assumptions!$B$6,"OVERPAID - Review","OK"))</f>
        <v>OK</v>
      </c>
    </row>
    <row r="86" customFormat="false" ht="15" hidden="false" customHeight="false" outlineLevel="0" collapsed="false">
      <c r="A86" s="16" t="str">
        <f aca="false">Vendor_Invoices_AP!A83</f>
        <v>INV30082</v>
      </c>
      <c r="B86" s="16" t="str">
        <f aca="false">Vendor_Invoices_AP!C83</f>
        <v>V1012</v>
      </c>
      <c r="C86" s="16" t="str">
        <f aca="false">IFERROR(INDEX(Vendor_Master!$B$2:$B$41,MATCH(B86,Vendor_Master!$A$2:$A$41,0)),"Unknown Vendor")</f>
        <v>Stanley LLC</v>
      </c>
      <c r="D86" s="18" t="n">
        <f aca="false">Vendor_Invoices_AP!E83</f>
        <v>13999.16</v>
      </c>
      <c r="E86" s="16" t="n">
        <f aca="false">COUNTIF(Payment_Log_AP!$B$2:$B$753,A86)</f>
        <v>1</v>
      </c>
      <c r="F86" s="18" t="n">
        <f aca="false">SUMIFS(Payment_Log_AP!$E$2:$E$753,Payment_Log_AP!$B$2:$B$753,A86)</f>
        <v>13999.16</v>
      </c>
      <c r="G86" s="18" t="n">
        <f aca="false">MAX(F86-D86,0)</f>
        <v>0</v>
      </c>
      <c r="H86" s="16" t="str">
        <f aca="false">IF(E86&gt;1,"DUPLICATE - Review",IF(G86&gt;Assumptions!$B$6,"OVERPAID - Review","OK"))</f>
        <v>OK</v>
      </c>
    </row>
    <row r="87" customFormat="false" ht="15" hidden="false" customHeight="false" outlineLevel="0" collapsed="false">
      <c r="A87" s="16" t="str">
        <f aca="false">Vendor_Invoices_AP!A84</f>
        <v>INV30083</v>
      </c>
      <c r="B87" s="16" t="str">
        <f aca="false">Vendor_Invoices_AP!C84</f>
        <v>V1016</v>
      </c>
      <c r="C87" s="16" t="str">
        <f aca="false">IFERROR(INDEX(Vendor_Master!$B$2:$B$41,MATCH(B87,Vendor_Master!$A$2:$A$41,0)),"Unknown Vendor")</f>
        <v>Sanchez, Ford and Nelson</v>
      </c>
      <c r="D87" s="18" t="n">
        <f aca="false">Vendor_Invoices_AP!E84</f>
        <v>4652.88</v>
      </c>
      <c r="E87" s="16" t="n">
        <f aca="false">COUNTIF(Payment_Log_AP!$B$2:$B$753,A87)</f>
        <v>1</v>
      </c>
      <c r="F87" s="18" t="n">
        <f aca="false">SUMIFS(Payment_Log_AP!$E$2:$E$753,Payment_Log_AP!$B$2:$B$753,A87)</f>
        <v>4652.88</v>
      </c>
      <c r="G87" s="18" t="n">
        <f aca="false">MAX(F87-D87,0)</f>
        <v>0</v>
      </c>
      <c r="H87" s="16" t="str">
        <f aca="false">IF(E87&gt;1,"DUPLICATE - Review",IF(G87&gt;Assumptions!$B$6,"OVERPAID - Review","OK"))</f>
        <v>OK</v>
      </c>
    </row>
    <row r="88" customFormat="false" ht="15" hidden="false" customHeight="false" outlineLevel="0" collapsed="false">
      <c r="A88" s="16" t="str">
        <f aca="false">Vendor_Invoices_AP!A85</f>
        <v>INV30084</v>
      </c>
      <c r="B88" s="16" t="str">
        <f aca="false">Vendor_Invoices_AP!C85</f>
        <v>V1005</v>
      </c>
      <c r="C88" s="16" t="str">
        <f aca="false">IFERROR(INDEX(Vendor_Master!$B$2:$B$41,MATCH(B88,Vendor_Master!$A$2:$A$41,0)),"Unknown Vendor")</f>
        <v>Cole LLC</v>
      </c>
      <c r="D88" s="18" t="n">
        <f aca="false">Vendor_Invoices_AP!E85</f>
        <v>131.26</v>
      </c>
      <c r="E88" s="16" t="n">
        <f aca="false">COUNTIF(Payment_Log_AP!$B$2:$B$753,A88)</f>
        <v>1</v>
      </c>
      <c r="F88" s="18" t="n">
        <f aca="false">SUMIFS(Payment_Log_AP!$E$2:$E$753,Payment_Log_AP!$B$2:$B$753,A88)</f>
        <v>131.26</v>
      </c>
      <c r="G88" s="18" t="n">
        <f aca="false">MAX(F88-D88,0)</f>
        <v>0</v>
      </c>
      <c r="H88" s="16" t="str">
        <f aca="false">IF(E88&gt;1,"DUPLICATE - Review",IF(G88&gt;Assumptions!$B$6,"OVERPAID - Review","OK"))</f>
        <v>OK</v>
      </c>
    </row>
    <row r="89" customFormat="false" ht="15" hidden="false" customHeight="false" outlineLevel="0" collapsed="false">
      <c r="A89" s="16" t="str">
        <f aca="false">Vendor_Invoices_AP!A86</f>
        <v>INV30085</v>
      </c>
      <c r="B89" s="16" t="str">
        <f aca="false">Vendor_Invoices_AP!C86</f>
        <v>V1002</v>
      </c>
      <c r="C89" s="16" t="str">
        <f aca="false">IFERROR(INDEX(Vendor_Master!$B$2:$B$41,MATCH(B89,Vendor_Master!$A$2:$A$41,0)),"Unknown Vendor")</f>
        <v>Garcia, Yang and Gardner</v>
      </c>
      <c r="D89" s="18" t="n">
        <f aca="false">Vendor_Invoices_AP!E86</f>
        <v>370.46</v>
      </c>
      <c r="E89" s="16" t="n">
        <f aca="false">COUNTIF(Payment_Log_AP!$B$2:$B$753,A89)</f>
        <v>1</v>
      </c>
      <c r="F89" s="18" t="n">
        <f aca="false">SUMIFS(Payment_Log_AP!$E$2:$E$753,Payment_Log_AP!$B$2:$B$753,A89)</f>
        <v>370.46</v>
      </c>
      <c r="G89" s="18" t="n">
        <f aca="false">MAX(F89-D89,0)</f>
        <v>0</v>
      </c>
      <c r="H89" s="16" t="str">
        <f aca="false">IF(E89&gt;1,"DUPLICATE - Review",IF(G89&gt;Assumptions!$B$6,"OVERPAID - Review","OK"))</f>
        <v>OK</v>
      </c>
    </row>
    <row r="90" customFormat="false" ht="15" hidden="false" customHeight="false" outlineLevel="0" collapsed="false">
      <c r="A90" s="16" t="str">
        <f aca="false">Vendor_Invoices_AP!A87</f>
        <v>INV30086</v>
      </c>
      <c r="B90" s="16" t="str">
        <f aca="false">Vendor_Invoices_AP!C87</f>
        <v>V1032</v>
      </c>
      <c r="C90" s="16" t="str">
        <f aca="false">IFERROR(INDEX(Vendor_Master!$B$2:$B$41,MATCH(B90,Vendor_Master!$A$2:$A$41,0)),"Unknown Vendor")</f>
        <v>Lynch, Hernandez and Farmer</v>
      </c>
      <c r="D90" s="18" t="n">
        <f aca="false">Vendor_Invoices_AP!E87</f>
        <v>2277.66</v>
      </c>
      <c r="E90" s="16" t="n">
        <f aca="false">COUNTIF(Payment_Log_AP!$B$2:$B$753,A90)</f>
        <v>0</v>
      </c>
      <c r="F90" s="18" t="n">
        <f aca="false">SUMIFS(Payment_Log_AP!$E$2:$E$753,Payment_Log_AP!$B$2:$B$753,A90)</f>
        <v>0</v>
      </c>
      <c r="G90" s="18" t="n">
        <f aca="false">MAX(F90-D90,0)</f>
        <v>0</v>
      </c>
      <c r="H90" s="16" t="str">
        <f aca="false">IF(E90&gt;1,"DUPLICATE - Review",IF(G90&gt;Assumptions!$B$6,"OVERPAID - Review","OK"))</f>
        <v>OK</v>
      </c>
    </row>
    <row r="91" customFormat="false" ht="15" hidden="false" customHeight="false" outlineLevel="0" collapsed="false">
      <c r="A91" s="16" t="str">
        <f aca="false">Vendor_Invoices_AP!A88</f>
        <v>INV30087</v>
      </c>
      <c r="B91" s="16" t="str">
        <f aca="false">Vendor_Invoices_AP!C88</f>
        <v>V1014</v>
      </c>
      <c r="C91" s="16" t="str">
        <f aca="false">IFERROR(INDEX(Vendor_Master!$B$2:$B$41,MATCH(B91,Vendor_Master!$A$2:$A$41,0)),"Unknown Vendor")</f>
        <v>Flowers, Martin and Kelly</v>
      </c>
      <c r="D91" s="18" t="n">
        <f aca="false">Vendor_Invoices_AP!E88</f>
        <v>11559.96</v>
      </c>
      <c r="E91" s="16" t="n">
        <f aca="false">COUNTIF(Payment_Log_AP!$B$2:$B$753,A91)</f>
        <v>1</v>
      </c>
      <c r="F91" s="18" t="n">
        <f aca="false">SUMIFS(Payment_Log_AP!$E$2:$E$753,Payment_Log_AP!$B$2:$B$753,A91)</f>
        <v>11559.96</v>
      </c>
      <c r="G91" s="18" t="n">
        <f aca="false">MAX(F91-D91,0)</f>
        <v>0</v>
      </c>
      <c r="H91" s="16" t="str">
        <f aca="false">IF(E91&gt;1,"DUPLICATE - Review",IF(G91&gt;Assumptions!$B$6,"OVERPAID - Review","OK"))</f>
        <v>OK</v>
      </c>
    </row>
    <row r="92" customFormat="false" ht="15" hidden="false" customHeight="false" outlineLevel="0" collapsed="false">
      <c r="A92" s="16" t="str">
        <f aca="false">Vendor_Invoices_AP!A89</f>
        <v>INV30088</v>
      </c>
      <c r="B92" s="16" t="str">
        <f aca="false">Vendor_Invoices_AP!C89</f>
        <v>V1035</v>
      </c>
      <c r="C92" s="16" t="str">
        <f aca="false">IFERROR(INDEX(Vendor_Master!$B$2:$B$41,MATCH(B92,Vendor_Master!$A$2:$A$41,0)),"Unknown Vendor")</f>
        <v>Allen PLC</v>
      </c>
      <c r="D92" s="18" t="n">
        <f aca="false">Vendor_Invoices_AP!E89</f>
        <v>1118.76</v>
      </c>
      <c r="E92" s="16" t="n">
        <f aca="false">COUNTIF(Payment_Log_AP!$B$2:$B$753,A92)</f>
        <v>1</v>
      </c>
      <c r="F92" s="18" t="n">
        <f aca="false">SUMIFS(Payment_Log_AP!$E$2:$E$753,Payment_Log_AP!$B$2:$B$753,A92)</f>
        <v>1118.76</v>
      </c>
      <c r="G92" s="18" t="n">
        <f aca="false">MAX(F92-D92,0)</f>
        <v>0</v>
      </c>
      <c r="H92" s="16" t="str">
        <f aca="false">IF(E92&gt;1,"DUPLICATE - Review",IF(G92&gt;Assumptions!$B$6,"OVERPAID - Review","OK"))</f>
        <v>OK</v>
      </c>
    </row>
    <row r="93" customFormat="false" ht="15" hidden="false" customHeight="false" outlineLevel="0" collapsed="false">
      <c r="A93" s="16" t="str">
        <f aca="false">Vendor_Invoices_AP!A90</f>
        <v>INV30089</v>
      </c>
      <c r="B93" s="16" t="str">
        <f aca="false">Vendor_Invoices_AP!C90</f>
        <v>V1021</v>
      </c>
      <c r="C93" s="16" t="str">
        <f aca="false">IFERROR(INDEX(Vendor_Master!$B$2:$B$41,MATCH(B93,Vendor_Master!$A$2:$A$41,0)),"Unknown Vendor")</f>
        <v>Ellis, Baker and Wright</v>
      </c>
      <c r="D93" s="18" t="n">
        <f aca="false">Vendor_Invoices_AP!E90</f>
        <v>1602.67</v>
      </c>
      <c r="E93" s="16" t="n">
        <f aca="false">COUNTIF(Payment_Log_AP!$B$2:$B$753,A93)</f>
        <v>1</v>
      </c>
      <c r="F93" s="18" t="n">
        <f aca="false">SUMIFS(Payment_Log_AP!$E$2:$E$753,Payment_Log_AP!$B$2:$B$753,A93)</f>
        <v>1602.67</v>
      </c>
      <c r="G93" s="18" t="n">
        <f aca="false">MAX(F93-D93,0)</f>
        <v>0</v>
      </c>
      <c r="H93" s="16" t="str">
        <f aca="false">IF(E93&gt;1,"DUPLICATE - Review",IF(G93&gt;Assumptions!$B$6,"OVERPAID - Review","OK"))</f>
        <v>OK</v>
      </c>
    </row>
    <row r="94" customFormat="false" ht="15" hidden="false" customHeight="false" outlineLevel="0" collapsed="false">
      <c r="A94" s="16" t="str">
        <f aca="false">Vendor_Invoices_AP!A91</f>
        <v>INV30090</v>
      </c>
      <c r="B94" s="16" t="str">
        <f aca="false">Vendor_Invoices_AP!C91</f>
        <v>V1009</v>
      </c>
      <c r="C94" s="16" t="str">
        <f aca="false">IFERROR(INDEX(Vendor_Master!$B$2:$B$41,MATCH(B94,Vendor_Master!$A$2:$A$41,0)),"Unknown Vendor")</f>
        <v>Munoz-Roman</v>
      </c>
      <c r="D94" s="18" t="n">
        <f aca="false">Vendor_Invoices_AP!E91</f>
        <v>2430.96</v>
      </c>
      <c r="E94" s="16" t="n">
        <f aca="false">COUNTIF(Payment_Log_AP!$B$2:$B$753,A94)</f>
        <v>0</v>
      </c>
      <c r="F94" s="18" t="n">
        <f aca="false">SUMIFS(Payment_Log_AP!$E$2:$E$753,Payment_Log_AP!$B$2:$B$753,A94)</f>
        <v>0</v>
      </c>
      <c r="G94" s="18" t="n">
        <f aca="false">MAX(F94-D94,0)</f>
        <v>0</v>
      </c>
      <c r="H94" s="16" t="str">
        <f aca="false">IF(E94&gt;1,"DUPLICATE - Review",IF(G94&gt;Assumptions!$B$6,"OVERPAID - Review","OK"))</f>
        <v>OK</v>
      </c>
    </row>
    <row r="95" customFormat="false" ht="15" hidden="false" customHeight="false" outlineLevel="0" collapsed="false">
      <c r="A95" s="16" t="str">
        <f aca="false">Vendor_Invoices_AP!A92</f>
        <v>INV30091</v>
      </c>
      <c r="B95" s="16" t="str">
        <f aca="false">Vendor_Invoices_AP!C92</f>
        <v>V1002</v>
      </c>
      <c r="C95" s="16" t="str">
        <f aca="false">IFERROR(INDEX(Vendor_Master!$B$2:$B$41,MATCH(B95,Vendor_Master!$A$2:$A$41,0)),"Unknown Vendor")</f>
        <v>Garcia, Yang and Gardner</v>
      </c>
      <c r="D95" s="18" t="n">
        <f aca="false">Vendor_Invoices_AP!E92</f>
        <v>1239.53</v>
      </c>
      <c r="E95" s="16" t="n">
        <f aca="false">COUNTIF(Payment_Log_AP!$B$2:$B$753,A95)</f>
        <v>1</v>
      </c>
      <c r="F95" s="18" t="n">
        <f aca="false">SUMIFS(Payment_Log_AP!$E$2:$E$753,Payment_Log_AP!$B$2:$B$753,A95)</f>
        <v>1239.53</v>
      </c>
      <c r="G95" s="18" t="n">
        <f aca="false">MAX(F95-D95,0)</f>
        <v>0</v>
      </c>
      <c r="H95" s="16" t="str">
        <f aca="false">IF(E95&gt;1,"DUPLICATE - Review",IF(G95&gt;Assumptions!$B$6,"OVERPAID - Review","OK"))</f>
        <v>OK</v>
      </c>
    </row>
    <row r="96" customFormat="false" ht="15" hidden="false" customHeight="false" outlineLevel="0" collapsed="false">
      <c r="A96" s="16" t="str">
        <f aca="false">Vendor_Invoices_AP!A93</f>
        <v>INV30092</v>
      </c>
      <c r="B96" s="16" t="str">
        <f aca="false">Vendor_Invoices_AP!C93</f>
        <v>V1030</v>
      </c>
      <c r="C96" s="16" t="str">
        <f aca="false">IFERROR(INDEX(Vendor_Master!$B$2:$B$41,MATCH(B96,Vendor_Master!$A$2:$A$41,0)),"Unknown Vendor")</f>
        <v>Stanton-Gill</v>
      </c>
      <c r="D96" s="18" t="n">
        <f aca="false">Vendor_Invoices_AP!E93</f>
        <v>6686.22</v>
      </c>
      <c r="E96" s="16" t="n">
        <f aca="false">COUNTIF(Payment_Log_AP!$B$2:$B$753,A96)</f>
        <v>1</v>
      </c>
      <c r="F96" s="18" t="n">
        <f aca="false">SUMIFS(Payment_Log_AP!$E$2:$E$753,Payment_Log_AP!$B$2:$B$753,A96)</f>
        <v>6686.22</v>
      </c>
      <c r="G96" s="18" t="n">
        <f aca="false">MAX(F96-D96,0)</f>
        <v>0</v>
      </c>
      <c r="H96" s="16" t="str">
        <f aca="false">IF(E96&gt;1,"DUPLICATE - Review",IF(G96&gt;Assumptions!$B$6,"OVERPAID - Review","OK"))</f>
        <v>OK</v>
      </c>
    </row>
    <row r="97" customFormat="false" ht="15" hidden="false" customHeight="false" outlineLevel="0" collapsed="false">
      <c r="A97" s="16" t="str">
        <f aca="false">Vendor_Invoices_AP!A94</f>
        <v>INV30093</v>
      </c>
      <c r="B97" s="16" t="str">
        <f aca="false">Vendor_Invoices_AP!C94</f>
        <v>V1015</v>
      </c>
      <c r="C97" s="16" t="str">
        <f aca="false">IFERROR(INDEX(Vendor_Master!$B$2:$B$41,MATCH(B97,Vendor_Master!$A$2:$A$41,0)),"Unknown Vendor")</f>
        <v>Zuniga, Wong and Lynch</v>
      </c>
      <c r="D97" s="18" t="n">
        <f aca="false">Vendor_Invoices_AP!E94</f>
        <v>3940.78</v>
      </c>
      <c r="E97" s="16" t="n">
        <f aca="false">COUNTIF(Payment_Log_AP!$B$2:$B$753,A97)</f>
        <v>1</v>
      </c>
      <c r="F97" s="18" t="n">
        <f aca="false">SUMIFS(Payment_Log_AP!$E$2:$E$753,Payment_Log_AP!$B$2:$B$753,A97)</f>
        <v>3940.78</v>
      </c>
      <c r="G97" s="18" t="n">
        <f aca="false">MAX(F97-D97,0)</f>
        <v>0</v>
      </c>
      <c r="H97" s="16" t="str">
        <f aca="false">IF(E97&gt;1,"DUPLICATE - Review",IF(G97&gt;Assumptions!$B$6,"OVERPAID - Review","OK"))</f>
        <v>OK</v>
      </c>
    </row>
    <row r="98" customFormat="false" ht="15" hidden="false" customHeight="false" outlineLevel="0" collapsed="false">
      <c r="A98" s="16" t="str">
        <f aca="false">Vendor_Invoices_AP!A95</f>
        <v>INV30094</v>
      </c>
      <c r="B98" s="16" t="str">
        <f aca="false">Vendor_Invoices_AP!C95</f>
        <v>V1036</v>
      </c>
      <c r="C98" s="16" t="str">
        <f aca="false">IFERROR(INDEX(Vendor_Master!$B$2:$B$41,MATCH(B98,Vendor_Master!$A$2:$A$41,0)),"Unknown Vendor")</f>
        <v>Dennis Inc</v>
      </c>
      <c r="D98" s="18" t="n">
        <f aca="false">Vendor_Invoices_AP!E95</f>
        <v>625.95</v>
      </c>
      <c r="E98" s="16" t="n">
        <f aca="false">COUNTIF(Payment_Log_AP!$B$2:$B$753,A98)</f>
        <v>1</v>
      </c>
      <c r="F98" s="18" t="n">
        <f aca="false">SUMIFS(Payment_Log_AP!$E$2:$E$753,Payment_Log_AP!$B$2:$B$753,A98)</f>
        <v>625.95</v>
      </c>
      <c r="G98" s="18" t="n">
        <f aca="false">MAX(F98-D98,0)</f>
        <v>0</v>
      </c>
      <c r="H98" s="16" t="str">
        <f aca="false">IF(E98&gt;1,"DUPLICATE - Review",IF(G98&gt;Assumptions!$B$6,"OVERPAID - Review","OK"))</f>
        <v>OK</v>
      </c>
    </row>
    <row r="99" customFormat="false" ht="15" hidden="false" customHeight="false" outlineLevel="0" collapsed="false">
      <c r="A99" s="16" t="str">
        <f aca="false">Vendor_Invoices_AP!A96</f>
        <v>INV30095</v>
      </c>
      <c r="B99" s="16" t="str">
        <f aca="false">Vendor_Invoices_AP!C96</f>
        <v>V1010</v>
      </c>
      <c r="C99" s="16" t="str">
        <f aca="false">IFERROR(INDEX(Vendor_Master!$B$2:$B$41,MATCH(B99,Vendor_Master!$A$2:$A$41,0)),"Unknown Vendor")</f>
        <v>Martinez, Nielsen and Miller</v>
      </c>
      <c r="D99" s="18" t="n">
        <f aca="false">Vendor_Invoices_AP!E96</f>
        <v>5061.76</v>
      </c>
      <c r="E99" s="16" t="n">
        <f aca="false">COUNTIF(Payment_Log_AP!$B$2:$B$753,A99)</f>
        <v>0</v>
      </c>
      <c r="F99" s="18" t="n">
        <f aca="false">SUMIFS(Payment_Log_AP!$E$2:$E$753,Payment_Log_AP!$B$2:$B$753,A99)</f>
        <v>0</v>
      </c>
      <c r="G99" s="18" t="n">
        <f aca="false">MAX(F99-D99,0)</f>
        <v>0</v>
      </c>
      <c r="H99" s="16" t="str">
        <f aca="false">IF(E99&gt;1,"DUPLICATE - Review",IF(G99&gt;Assumptions!$B$6,"OVERPAID - Review","OK"))</f>
        <v>OK</v>
      </c>
    </row>
    <row r="100" customFormat="false" ht="15" hidden="false" customHeight="false" outlineLevel="0" collapsed="false">
      <c r="A100" s="16" t="str">
        <f aca="false">Vendor_Invoices_AP!A97</f>
        <v>INV30096</v>
      </c>
      <c r="B100" s="16" t="str">
        <f aca="false">Vendor_Invoices_AP!C97</f>
        <v>V1026</v>
      </c>
      <c r="C100" s="16" t="str">
        <f aca="false">IFERROR(INDEX(Vendor_Master!$B$2:$B$41,MATCH(B100,Vendor_Master!$A$2:$A$41,0)),"Unknown Vendor")</f>
        <v>James-Ferrell</v>
      </c>
      <c r="D100" s="18" t="n">
        <f aca="false">Vendor_Invoices_AP!E97</f>
        <v>2302.86</v>
      </c>
      <c r="E100" s="16" t="n">
        <f aca="false">COUNTIF(Payment_Log_AP!$B$2:$B$753,A100)</f>
        <v>1</v>
      </c>
      <c r="F100" s="18" t="n">
        <f aca="false">SUMIFS(Payment_Log_AP!$E$2:$E$753,Payment_Log_AP!$B$2:$B$753,A100)</f>
        <v>2302.86</v>
      </c>
      <c r="G100" s="18" t="n">
        <f aca="false">MAX(F100-D100,0)</f>
        <v>0</v>
      </c>
      <c r="H100" s="16" t="str">
        <f aca="false">IF(E100&gt;1,"DUPLICATE - Review",IF(G100&gt;Assumptions!$B$6,"OVERPAID - Review","OK"))</f>
        <v>OK</v>
      </c>
    </row>
    <row r="101" customFormat="false" ht="15" hidden="false" customHeight="false" outlineLevel="0" collapsed="false">
      <c r="A101" s="16" t="str">
        <f aca="false">Vendor_Invoices_AP!A98</f>
        <v>INV30097</v>
      </c>
      <c r="B101" s="16" t="str">
        <f aca="false">Vendor_Invoices_AP!C98</f>
        <v>V1026</v>
      </c>
      <c r="C101" s="16" t="str">
        <f aca="false">IFERROR(INDEX(Vendor_Master!$B$2:$B$41,MATCH(B101,Vendor_Master!$A$2:$A$41,0)),"Unknown Vendor")</f>
        <v>James-Ferrell</v>
      </c>
      <c r="D101" s="18" t="n">
        <f aca="false">Vendor_Invoices_AP!E98</f>
        <v>420.44</v>
      </c>
      <c r="E101" s="16" t="n">
        <f aca="false">COUNTIF(Payment_Log_AP!$B$2:$B$753,A101)</f>
        <v>0</v>
      </c>
      <c r="F101" s="18" t="n">
        <f aca="false">SUMIFS(Payment_Log_AP!$E$2:$E$753,Payment_Log_AP!$B$2:$B$753,A101)</f>
        <v>0</v>
      </c>
      <c r="G101" s="18" t="n">
        <f aca="false">MAX(F101-D101,0)</f>
        <v>0</v>
      </c>
      <c r="H101" s="16" t="str">
        <f aca="false">IF(E101&gt;1,"DUPLICATE - Review",IF(G101&gt;Assumptions!$B$6,"OVERPAID - Review","OK"))</f>
        <v>OK</v>
      </c>
    </row>
    <row r="102" customFormat="false" ht="15" hidden="false" customHeight="false" outlineLevel="0" collapsed="false">
      <c r="A102" s="16" t="str">
        <f aca="false">Vendor_Invoices_AP!A99</f>
        <v>INV30098</v>
      </c>
      <c r="B102" s="16" t="str">
        <f aca="false">Vendor_Invoices_AP!C99</f>
        <v>V1026</v>
      </c>
      <c r="C102" s="16" t="str">
        <f aca="false">IFERROR(INDEX(Vendor_Master!$B$2:$B$41,MATCH(B102,Vendor_Master!$A$2:$A$41,0)),"Unknown Vendor")</f>
        <v>James-Ferrell</v>
      </c>
      <c r="D102" s="18" t="n">
        <f aca="false">Vendor_Invoices_AP!E99</f>
        <v>226.65</v>
      </c>
      <c r="E102" s="16" t="n">
        <f aca="false">COUNTIF(Payment_Log_AP!$B$2:$B$753,A102)</f>
        <v>1</v>
      </c>
      <c r="F102" s="18" t="n">
        <f aca="false">SUMIFS(Payment_Log_AP!$E$2:$E$753,Payment_Log_AP!$B$2:$B$753,A102)</f>
        <v>226.65</v>
      </c>
      <c r="G102" s="18" t="n">
        <f aca="false">MAX(F102-D102,0)</f>
        <v>0</v>
      </c>
      <c r="H102" s="16" t="str">
        <f aca="false">IF(E102&gt;1,"DUPLICATE - Review",IF(G102&gt;Assumptions!$B$6,"OVERPAID - Review","OK"))</f>
        <v>OK</v>
      </c>
    </row>
    <row r="103" customFormat="false" ht="15" hidden="false" customHeight="false" outlineLevel="0" collapsed="false">
      <c r="A103" s="16" t="str">
        <f aca="false">Vendor_Invoices_AP!A100</f>
        <v>INV30099</v>
      </c>
      <c r="B103" s="16" t="str">
        <f aca="false">Vendor_Invoices_AP!C100</f>
        <v>V1006</v>
      </c>
      <c r="C103" s="16" t="str">
        <f aca="false">IFERROR(INDEX(Vendor_Master!$B$2:$B$41,MATCH(B103,Vendor_Master!$A$2:$A$41,0)),"Unknown Vendor")</f>
        <v>Blake and Sons</v>
      </c>
      <c r="D103" s="18" t="n">
        <f aca="false">Vendor_Invoices_AP!E100</f>
        <v>814.32</v>
      </c>
      <c r="E103" s="16" t="n">
        <f aca="false">COUNTIF(Payment_Log_AP!$B$2:$B$753,A103)</f>
        <v>1</v>
      </c>
      <c r="F103" s="18" t="n">
        <f aca="false">SUMIFS(Payment_Log_AP!$E$2:$E$753,Payment_Log_AP!$B$2:$B$753,A103)</f>
        <v>814.32</v>
      </c>
      <c r="G103" s="18" t="n">
        <f aca="false">MAX(F103-D103,0)</f>
        <v>0</v>
      </c>
      <c r="H103" s="16" t="str">
        <f aca="false">IF(E103&gt;1,"DUPLICATE - Review",IF(G103&gt;Assumptions!$B$6,"OVERPAID - Review","OK"))</f>
        <v>OK</v>
      </c>
    </row>
    <row r="104" customFormat="false" ht="15" hidden="false" customHeight="false" outlineLevel="0" collapsed="false">
      <c r="A104" s="16" t="str">
        <f aca="false">Vendor_Invoices_AP!A101</f>
        <v>INV30100</v>
      </c>
      <c r="B104" s="16" t="str">
        <f aca="false">Vendor_Invoices_AP!C101</f>
        <v>V1031</v>
      </c>
      <c r="C104" s="16" t="str">
        <f aca="false">IFERROR(INDEX(Vendor_Master!$B$2:$B$41,MATCH(B104,Vendor_Master!$A$2:$A$41,0)),"Unknown Vendor")</f>
        <v>Harrell LLC</v>
      </c>
      <c r="D104" s="18" t="n">
        <f aca="false">Vendor_Invoices_AP!E101</f>
        <v>1618.39</v>
      </c>
      <c r="E104" s="16" t="n">
        <f aca="false">COUNTIF(Payment_Log_AP!$B$2:$B$753,A104)</f>
        <v>1</v>
      </c>
      <c r="F104" s="18" t="n">
        <f aca="false">SUMIFS(Payment_Log_AP!$E$2:$E$753,Payment_Log_AP!$B$2:$B$753,A104)</f>
        <v>1618.39</v>
      </c>
      <c r="G104" s="18" t="n">
        <f aca="false">MAX(F104-D104,0)</f>
        <v>0</v>
      </c>
      <c r="H104" s="16" t="str">
        <f aca="false">IF(E104&gt;1,"DUPLICATE - Review",IF(G104&gt;Assumptions!$B$6,"OVERPAID - Review","OK"))</f>
        <v>OK</v>
      </c>
    </row>
    <row r="105" customFormat="false" ht="15" hidden="false" customHeight="false" outlineLevel="0" collapsed="false">
      <c r="A105" s="16" t="str">
        <f aca="false">Vendor_Invoices_AP!A102</f>
        <v>INV30101</v>
      </c>
      <c r="B105" s="16" t="str">
        <f aca="false">Vendor_Invoices_AP!C102</f>
        <v>V1029</v>
      </c>
      <c r="C105" s="16" t="str">
        <f aca="false">IFERROR(INDEX(Vendor_Master!$B$2:$B$41,MATCH(B105,Vendor_Master!$A$2:$A$41,0)),"Unknown Vendor")</f>
        <v>Chavez Ltd</v>
      </c>
      <c r="D105" s="18" t="n">
        <f aca="false">Vendor_Invoices_AP!E102</f>
        <v>994</v>
      </c>
      <c r="E105" s="16" t="n">
        <f aca="false">COUNTIF(Payment_Log_AP!$B$2:$B$753,A105)</f>
        <v>1</v>
      </c>
      <c r="F105" s="18" t="n">
        <f aca="false">SUMIFS(Payment_Log_AP!$E$2:$E$753,Payment_Log_AP!$B$2:$B$753,A105)</f>
        <v>994</v>
      </c>
      <c r="G105" s="18" t="n">
        <f aca="false">MAX(F105-D105,0)</f>
        <v>0</v>
      </c>
      <c r="H105" s="16" t="str">
        <f aca="false">IF(E105&gt;1,"DUPLICATE - Review",IF(G105&gt;Assumptions!$B$6,"OVERPAID - Review","OK"))</f>
        <v>OK</v>
      </c>
    </row>
    <row r="106" customFormat="false" ht="15" hidden="false" customHeight="false" outlineLevel="0" collapsed="false">
      <c r="A106" s="16" t="str">
        <f aca="false">Vendor_Invoices_AP!A103</f>
        <v>INV30102</v>
      </c>
      <c r="B106" s="16" t="str">
        <f aca="false">Vendor_Invoices_AP!C103</f>
        <v>V1009</v>
      </c>
      <c r="C106" s="16" t="str">
        <f aca="false">IFERROR(INDEX(Vendor_Master!$B$2:$B$41,MATCH(B106,Vendor_Master!$A$2:$A$41,0)),"Unknown Vendor")</f>
        <v>Munoz-Roman</v>
      </c>
      <c r="D106" s="18" t="n">
        <f aca="false">Vendor_Invoices_AP!E103</f>
        <v>456.94</v>
      </c>
      <c r="E106" s="16" t="n">
        <f aca="false">COUNTIF(Payment_Log_AP!$B$2:$B$753,A106)</f>
        <v>1</v>
      </c>
      <c r="F106" s="18" t="n">
        <f aca="false">SUMIFS(Payment_Log_AP!$E$2:$E$753,Payment_Log_AP!$B$2:$B$753,A106)</f>
        <v>456.94</v>
      </c>
      <c r="G106" s="18" t="n">
        <f aca="false">MAX(F106-D106,0)</f>
        <v>0</v>
      </c>
      <c r="H106" s="16" t="str">
        <f aca="false">IF(E106&gt;1,"DUPLICATE - Review",IF(G106&gt;Assumptions!$B$6,"OVERPAID - Review","OK"))</f>
        <v>OK</v>
      </c>
    </row>
    <row r="107" customFormat="false" ht="15" hidden="false" customHeight="false" outlineLevel="0" collapsed="false">
      <c r="A107" s="16" t="str">
        <f aca="false">Vendor_Invoices_AP!A104</f>
        <v>INV30103</v>
      </c>
      <c r="B107" s="16" t="str">
        <f aca="false">Vendor_Invoices_AP!C104</f>
        <v>V1006</v>
      </c>
      <c r="C107" s="16" t="str">
        <f aca="false">IFERROR(INDEX(Vendor_Master!$B$2:$B$41,MATCH(B107,Vendor_Master!$A$2:$A$41,0)),"Unknown Vendor")</f>
        <v>Blake and Sons</v>
      </c>
      <c r="D107" s="18" t="n">
        <f aca="false">Vendor_Invoices_AP!E104</f>
        <v>3515.6</v>
      </c>
      <c r="E107" s="16" t="n">
        <f aca="false">COUNTIF(Payment_Log_AP!$B$2:$B$753,A107)</f>
        <v>1</v>
      </c>
      <c r="F107" s="18" t="n">
        <f aca="false">SUMIFS(Payment_Log_AP!$E$2:$E$753,Payment_Log_AP!$B$2:$B$753,A107)</f>
        <v>3515.6</v>
      </c>
      <c r="G107" s="18" t="n">
        <f aca="false">MAX(F107-D107,0)</f>
        <v>0</v>
      </c>
      <c r="H107" s="16" t="str">
        <f aca="false">IF(E107&gt;1,"DUPLICATE - Review",IF(G107&gt;Assumptions!$B$6,"OVERPAID - Review","OK"))</f>
        <v>OK</v>
      </c>
    </row>
    <row r="108" customFormat="false" ht="15" hidden="false" customHeight="false" outlineLevel="0" collapsed="false">
      <c r="A108" s="16" t="str">
        <f aca="false">Vendor_Invoices_AP!A105</f>
        <v>INV30104</v>
      </c>
      <c r="B108" s="16" t="str">
        <f aca="false">Vendor_Invoices_AP!C105</f>
        <v>V1018</v>
      </c>
      <c r="C108" s="16" t="str">
        <f aca="false">IFERROR(INDEX(Vendor_Master!$B$2:$B$41,MATCH(B108,Vendor_Master!$A$2:$A$41,0)),"Unknown Vendor")</f>
        <v>Underwood LLC</v>
      </c>
      <c r="D108" s="18" t="n">
        <f aca="false">Vendor_Invoices_AP!E105</f>
        <v>702.04</v>
      </c>
      <c r="E108" s="16" t="n">
        <f aca="false">COUNTIF(Payment_Log_AP!$B$2:$B$753,A108)</f>
        <v>0</v>
      </c>
      <c r="F108" s="18" t="n">
        <f aca="false">SUMIFS(Payment_Log_AP!$E$2:$E$753,Payment_Log_AP!$B$2:$B$753,A108)</f>
        <v>0</v>
      </c>
      <c r="G108" s="18" t="n">
        <f aca="false">MAX(F108-D108,0)</f>
        <v>0</v>
      </c>
      <c r="H108" s="16" t="str">
        <f aca="false">IF(E108&gt;1,"DUPLICATE - Review",IF(G108&gt;Assumptions!$B$6,"OVERPAID - Review","OK"))</f>
        <v>OK</v>
      </c>
    </row>
    <row r="109" customFormat="false" ht="15" hidden="false" customHeight="false" outlineLevel="0" collapsed="false">
      <c r="A109" s="16" t="str">
        <f aca="false">Vendor_Invoices_AP!A106</f>
        <v>INV30105</v>
      </c>
      <c r="B109" s="16" t="str">
        <f aca="false">Vendor_Invoices_AP!C106</f>
        <v>V1023</v>
      </c>
      <c r="C109" s="16" t="str">
        <f aca="false">IFERROR(INDEX(Vendor_Master!$B$2:$B$41,MATCH(B109,Vendor_Master!$A$2:$A$41,0)),"Unknown Vendor")</f>
        <v>Robinson-Bright</v>
      </c>
      <c r="D109" s="18" t="n">
        <f aca="false">Vendor_Invoices_AP!E106</f>
        <v>582.3</v>
      </c>
      <c r="E109" s="16" t="n">
        <f aca="false">COUNTIF(Payment_Log_AP!$B$2:$B$753,A109)</f>
        <v>0</v>
      </c>
      <c r="F109" s="18" t="n">
        <f aca="false">SUMIFS(Payment_Log_AP!$E$2:$E$753,Payment_Log_AP!$B$2:$B$753,A109)</f>
        <v>0</v>
      </c>
      <c r="G109" s="18" t="n">
        <f aca="false">MAX(F109-D109,0)</f>
        <v>0</v>
      </c>
      <c r="H109" s="16" t="str">
        <f aca="false">IF(E109&gt;1,"DUPLICATE - Review",IF(G109&gt;Assumptions!$B$6,"OVERPAID - Review","OK"))</f>
        <v>OK</v>
      </c>
    </row>
    <row r="110" customFormat="false" ht="15" hidden="false" customHeight="false" outlineLevel="0" collapsed="false">
      <c r="A110" s="16" t="str">
        <f aca="false">Vendor_Invoices_AP!A107</f>
        <v>INV30106</v>
      </c>
      <c r="B110" s="16" t="str">
        <f aca="false">Vendor_Invoices_AP!C107</f>
        <v>V1006</v>
      </c>
      <c r="C110" s="16" t="str">
        <f aca="false">IFERROR(INDEX(Vendor_Master!$B$2:$B$41,MATCH(B110,Vendor_Master!$A$2:$A$41,0)),"Unknown Vendor")</f>
        <v>Blake and Sons</v>
      </c>
      <c r="D110" s="18" t="n">
        <f aca="false">Vendor_Invoices_AP!E107</f>
        <v>2184.66</v>
      </c>
      <c r="E110" s="16" t="n">
        <f aca="false">COUNTIF(Payment_Log_AP!$B$2:$B$753,A110)</f>
        <v>1</v>
      </c>
      <c r="F110" s="18" t="n">
        <f aca="false">SUMIFS(Payment_Log_AP!$E$2:$E$753,Payment_Log_AP!$B$2:$B$753,A110)</f>
        <v>2184.66</v>
      </c>
      <c r="G110" s="18" t="n">
        <f aca="false">MAX(F110-D110,0)</f>
        <v>0</v>
      </c>
      <c r="H110" s="16" t="str">
        <f aca="false">IF(E110&gt;1,"DUPLICATE - Review",IF(G110&gt;Assumptions!$B$6,"OVERPAID - Review","OK"))</f>
        <v>OK</v>
      </c>
    </row>
    <row r="111" customFormat="false" ht="15" hidden="false" customHeight="false" outlineLevel="0" collapsed="false">
      <c r="A111" s="16" t="str">
        <f aca="false">Vendor_Invoices_AP!A108</f>
        <v>INV30107</v>
      </c>
      <c r="B111" s="16" t="str">
        <f aca="false">Vendor_Invoices_AP!C108</f>
        <v>V1005</v>
      </c>
      <c r="C111" s="16" t="str">
        <f aca="false">IFERROR(INDEX(Vendor_Master!$B$2:$B$41,MATCH(B111,Vendor_Master!$A$2:$A$41,0)),"Unknown Vendor")</f>
        <v>Cole LLC</v>
      </c>
      <c r="D111" s="18" t="n">
        <f aca="false">Vendor_Invoices_AP!E108</f>
        <v>563.83</v>
      </c>
      <c r="E111" s="16" t="n">
        <f aca="false">COUNTIF(Payment_Log_AP!$B$2:$B$753,A111)</f>
        <v>0</v>
      </c>
      <c r="F111" s="18" t="n">
        <f aca="false">SUMIFS(Payment_Log_AP!$E$2:$E$753,Payment_Log_AP!$B$2:$B$753,A111)</f>
        <v>0</v>
      </c>
      <c r="G111" s="18" t="n">
        <f aca="false">MAX(F111-D111,0)</f>
        <v>0</v>
      </c>
      <c r="H111" s="16" t="str">
        <f aca="false">IF(E111&gt;1,"DUPLICATE - Review",IF(G111&gt;Assumptions!$B$6,"OVERPAID - Review","OK"))</f>
        <v>OK</v>
      </c>
    </row>
    <row r="112" customFormat="false" ht="15" hidden="false" customHeight="false" outlineLevel="0" collapsed="false">
      <c r="A112" s="16" t="str">
        <f aca="false">Vendor_Invoices_AP!A109</f>
        <v>INV30108</v>
      </c>
      <c r="B112" s="16" t="str">
        <f aca="false">Vendor_Invoices_AP!C109</f>
        <v>V1023</v>
      </c>
      <c r="C112" s="16" t="str">
        <f aca="false">IFERROR(INDEX(Vendor_Master!$B$2:$B$41,MATCH(B112,Vendor_Master!$A$2:$A$41,0)),"Unknown Vendor")</f>
        <v>Robinson-Bright</v>
      </c>
      <c r="D112" s="18" t="n">
        <f aca="false">Vendor_Invoices_AP!E109</f>
        <v>3835.01</v>
      </c>
      <c r="E112" s="16" t="n">
        <f aca="false">COUNTIF(Payment_Log_AP!$B$2:$B$753,A112)</f>
        <v>1</v>
      </c>
      <c r="F112" s="18" t="n">
        <f aca="false">SUMIFS(Payment_Log_AP!$E$2:$E$753,Payment_Log_AP!$B$2:$B$753,A112)</f>
        <v>3835.01</v>
      </c>
      <c r="G112" s="18" t="n">
        <f aca="false">MAX(F112-D112,0)</f>
        <v>0</v>
      </c>
      <c r="H112" s="16" t="str">
        <f aca="false">IF(E112&gt;1,"DUPLICATE - Review",IF(G112&gt;Assumptions!$B$6,"OVERPAID - Review","OK"))</f>
        <v>OK</v>
      </c>
    </row>
    <row r="113" customFormat="false" ht="15" hidden="false" customHeight="false" outlineLevel="0" collapsed="false">
      <c r="A113" s="16" t="str">
        <f aca="false">Vendor_Invoices_AP!A110</f>
        <v>INV30109</v>
      </c>
      <c r="B113" s="16" t="str">
        <f aca="false">Vendor_Invoices_AP!C110</f>
        <v>V1035</v>
      </c>
      <c r="C113" s="16" t="str">
        <f aca="false">IFERROR(INDEX(Vendor_Master!$B$2:$B$41,MATCH(B113,Vendor_Master!$A$2:$A$41,0)),"Unknown Vendor")</f>
        <v>Allen PLC</v>
      </c>
      <c r="D113" s="18" t="n">
        <f aca="false">Vendor_Invoices_AP!E110</f>
        <v>402.4</v>
      </c>
      <c r="E113" s="16" t="n">
        <f aca="false">COUNTIF(Payment_Log_AP!$B$2:$B$753,A113)</f>
        <v>1</v>
      </c>
      <c r="F113" s="18" t="n">
        <f aca="false">SUMIFS(Payment_Log_AP!$E$2:$E$753,Payment_Log_AP!$B$2:$B$753,A113)</f>
        <v>402.4</v>
      </c>
      <c r="G113" s="18" t="n">
        <f aca="false">MAX(F113-D113,0)</f>
        <v>0</v>
      </c>
      <c r="H113" s="16" t="str">
        <f aca="false">IF(E113&gt;1,"DUPLICATE - Review",IF(G113&gt;Assumptions!$B$6,"OVERPAID - Review","OK"))</f>
        <v>OK</v>
      </c>
    </row>
    <row r="114" customFormat="false" ht="15" hidden="false" customHeight="false" outlineLevel="0" collapsed="false">
      <c r="A114" s="16" t="str">
        <f aca="false">Vendor_Invoices_AP!A111</f>
        <v>INV30110</v>
      </c>
      <c r="B114" s="16" t="str">
        <f aca="false">Vendor_Invoices_AP!C111</f>
        <v>V1004</v>
      </c>
      <c r="C114" s="16" t="str">
        <f aca="false">IFERROR(INDEX(Vendor_Master!$B$2:$B$41,MATCH(B114,Vendor_Master!$A$2:$A$41,0)),"Unknown Vendor")</f>
        <v>Johnson, Gonzalez and Santos</v>
      </c>
      <c r="D114" s="18" t="n">
        <f aca="false">Vendor_Invoices_AP!E111</f>
        <v>1590.35</v>
      </c>
      <c r="E114" s="16" t="n">
        <f aca="false">COUNTIF(Payment_Log_AP!$B$2:$B$753,A114)</f>
        <v>0</v>
      </c>
      <c r="F114" s="18" t="n">
        <f aca="false">SUMIFS(Payment_Log_AP!$E$2:$E$753,Payment_Log_AP!$B$2:$B$753,A114)</f>
        <v>0</v>
      </c>
      <c r="G114" s="18" t="n">
        <f aca="false">MAX(F114-D114,0)</f>
        <v>0</v>
      </c>
      <c r="H114" s="16" t="str">
        <f aca="false">IF(E114&gt;1,"DUPLICATE - Review",IF(G114&gt;Assumptions!$B$6,"OVERPAID - Review","OK"))</f>
        <v>OK</v>
      </c>
    </row>
    <row r="115" customFormat="false" ht="15" hidden="false" customHeight="false" outlineLevel="0" collapsed="false">
      <c r="A115" s="16" t="str">
        <f aca="false">Vendor_Invoices_AP!A112</f>
        <v>INV30111</v>
      </c>
      <c r="B115" s="16" t="str">
        <f aca="false">Vendor_Invoices_AP!C112</f>
        <v>V1004</v>
      </c>
      <c r="C115" s="16" t="str">
        <f aca="false">IFERROR(INDEX(Vendor_Master!$B$2:$B$41,MATCH(B115,Vendor_Master!$A$2:$A$41,0)),"Unknown Vendor")</f>
        <v>Johnson, Gonzalez and Santos</v>
      </c>
      <c r="D115" s="18" t="n">
        <f aca="false">Vendor_Invoices_AP!E112</f>
        <v>1590.35</v>
      </c>
      <c r="E115" s="16" t="n">
        <f aca="false">COUNTIF(Payment_Log_AP!$B$2:$B$753,A115)</f>
        <v>0</v>
      </c>
      <c r="F115" s="18" t="n">
        <f aca="false">SUMIFS(Payment_Log_AP!$E$2:$E$753,Payment_Log_AP!$B$2:$B$753,A115)</f>
        <v>0</v>
      </c>
      <c r="G115" s="18" t="n">
        <f aca="false">MAX(F115-D115,0)</f>
        <v>0</v>
      </c>
      <c r="H115" s="16" t="str">
        <f aca="false">IF(E115&gt;1,"DUPLICATE - Review",IF(G115&gt;Assumptions!$B$6,"OVERPAID - Review","OK"))</f>
        <v>OK</v>
      </c>
    </row>
    <row r="116" customFormat="false" ht="15" hidden="false" customHeight="false" outlineLevel="0" collapsed="false">
      <c r="A116" s="16" t="str">
        <f aca="false">Vendor_Invoices_AP!A113</f>
        <v>INV30112</v>
      </c>
      <c r="B116" s="16" t="str">
        <f aca="false">Vendor_Invoices_AP!C113</f>
        <v>V1012</v>
      </c>
      <c r="C116" s="16" t="str">
        <f aca="false">IFERROR(INDEX(Vendor_Master!$B$2:$B$41,MATCH(B116,Vendor_Master!$A$2:$A$41,0)),"Unknown Vendor")</f>
        <v>Stanley LLC</v>
      </c>
      <c r="D116" s="18" t="n">
        <f aca="false">Vendor_Invoices_AP!E113</f>
        <v>816.15</v>
      </c>
      <c r="E116" s="16" t="n">
        <f aca="false">COUNTIF(Payment_Log_AP!$B$2:$B$753,A116)</f>
        <v>1</v>
      </c>
      <c r="F116" s="18" t="n">
        <f aca="false">SUMIFS(Payment_Log_AP!$E$2:$E$753,Payment_Log_AP!$B$2:$B$753,A116)</f>
        <v>816.15</v>
      </c>
      <c r="G116" s="18" t="n">
        <f aca="false">MAX(F116-D116,0)</f>
        <v>0</v>
      </c>
      <c r="H116" s="16" t="str">
        <f aca="false">IF(E116&gt;1,"DUPLICATE - Review",IF(G116&gt;Assumptions!$B$6,"OVERPAID - Review","OK"))</f>
        <v>OK</v>
      </c>
    </row>
    <row r="117" customFormat="false" ht="15" hidden="false" customHeight="false" outlineLevel="0" collapsed="false">
      <c r="A117" s="16" t="str">
        <f aca="false">Vendor_Invoices_AP!A114</f>
        <v>INV30113</v>
      </c>
      <c r="B117" s="16" t="str">
        <f aca="false">Vendor_Invoices_AP!C114</f>
        <v>V1012</v>
      </c>
      <c r="C117" s="16" t="str">
        <f aca="false">IFERROR(INDEX(Vendor_Master!$B$2:$B$41,MATCH(B117,Vendor_Master!$A$2:$A$41,0)),"Unknown Vendor")</f>
        <v>Stanley LLC</v>
      </c>
      <c r="D117" s="18" t="n">
        <f aca="false">Vendor_Invoices_AP!E114</f>
        <v>5798.93</v>
      </c>
      <c r="E117" s="16" t="n">
        <f aca="false">COUNTIF(Payment_Log_AP!$B$2:$B$753,A117)</f>
        <v>1</v>
      </c>
      <c r="F117" s="18" t="n">
        <f aca="false">SUMIFS(Payment_Log_AP!$E$2:$E$753,Payment_Log_AP!$B$2:$B$753,A117)</f>
        <v>5798.93</v>
      </c>
      <c r="G117" s="18" t="n">
        <f aca="false">MAX(F117-D117,0)</f>
        <v>0</v>
      </c>
      <c r="H117" s="16" t="str">
        <f aca="false">IF(E117&gt;1,"DUPLICATE - Review",IF(G117&gt;Assumptions!$B$6,"OVERPAID - Review","OK"))</f>
        <v>OK</v>
      </c>
    </row>
    <row r="118" customFormat="false" ht="15" hidden="false" customHeight="false" outlineLevel="0" collapsed="false">
      <c r="A118" s="16" t="str">
        <f aca="false">Vendor_Invoices_AP!A115</f>
        <v>INV30114</v>
      </c>
      <c r="B118" s="16" t="str">
        <f aca="false">Vendor_Invoices_AP!C115</f>
        <v>V1028</v>
      </c>
      <c r="C118" s="16" t="str">
        <f aca="false">IFERROR(INDEX(Vendor_Master!$B$2:$B$41,MATCH(B118,Vendor_Master!$A$2:$A$41,0)),"Unknown Vendor")</f>
        <v>Potter, Mack and Peterson</v>
      </c>
      <c r="D118" s="18" t="n">
        <f aca="false">Vendor_Invoices_AP!E115</f>
        <v>3177.07</v>
      </c>
      <c r="E118" s="16" t="n">
        <f aca="false">COUNTIF(Payment_Log_AP!$B$2:$B$753,A118)</f>
        <v>1</v>
      </c>
      <c r="F118" s="18" t="n">
        <f aca="false">SUMIFS(Payment_Log_AP!$E$2:$E$753,Payment_Log_AP!$B$2:$B$753,A118)</f>
        <v>3177.07</v>
      </c>
      <c r="G118" s="18" t="n">
        <f aca="false">MAX(F118-D118,0)</f>
        <v>0</v>
      </c>
      <c r="H118" s="16" t="str">
        <f aca="false">IF(E118&gt;1,"DUPLICATE - Review",IF(G118&gt;Assumptions!$B$6,"OVERPAID - Review","OK"))</f>
        <v>OK</v>
      </c>
    </row>
    <row r="119" customFormat="false" ht="15" hidden="false" customHeight="false" outlineLevel="0" collapsed="false">
      <c r="A119" s="16" t="str">
        <f aca="false">Vendor_Invoices_AP!A116</f>
        <v>INV30115</v>
      </c>
      <c r="B119" s="16" t="str">
        <f aca="false">Vendor_Invoices_AP!C116</f>
        <v>V1017</v>
      </c>
      <c r="C119" s="16" t="str">
        <f aca="false">IFERROR(INDEX(Vendor_Master!$B$2:$B$41,MATCH(B119,Vendor_Master!$A$2:$A$41,0)),"Unknown Vendor")</f>
        <v>Hawkins, Cohen and Cameron</v>
      </c>
      <c r="D119" s="18" t="n">
        <f aca="false">Vendor_Invoices_AP!E116</f>
        <v>2099.16</v>
      </c>
      <c r="E119" s="16" t="n">
        <f aca="false">COUNTIF(Payment_Log_AP!$B$2:$B$753,A119)</f>
        <v>1</v>
      </c>
      <c r="F119" s="18" t="n">
        <f aca="false">SUMIFS(Payment_Log_AP!$E$2:$E$753,Payment_Log_AP!$B$2:$B$753,A119)</f>
        <v>2099.16</v>
      </c>
      <c r="G119" s="18" t="n">
        <f aca="false">MAX(F119-D119,0)</f>
        <v>0</v>
      </c>
      <c r="H119" s="16" t="str">
        <f aca="false">IF(E119&gt;1,"DUPLICATE - Review",IF(G119&gt;Assumptions!$B$6,"OVERPAID - Review","OK"))</f>
        <v>OK</v>
      </c>
    </row>
    <row r="120" customFormat="false" ht="15" hidden="false" customHeight="false" outlineLevel="0" collapsed="false">
      <c r="A120" s="16" t="str">
        <f aca="false">Vendor_Invoices_AP!A117</f>
        <v>INV30116</v>
      </c>
      <c r="B120" s="16" t="str">
        <f aca="false">Vendor_Invoices_AP!C117</f>
        <v>V1015</v>
      </c>
      <c r="C120" s="16" t="str">
        <f aca="false">IFERROR(INDEX(Vendor_Master!$B$2:$B$41,MATCH(B120,Vendor_Master!$A$2:$A$41,0)),"Unknown Vendor")</f>
        <v>Zuniga, Wong and Lynch</v>
      </c>
      <c r="D120" s="18" t="n">
        <f aca="false">Vendor_Invoices_AP!E117</f>
        <v>2167.65</v>
      </c>
      <c r="E120" s="16" t="n">
        <f aca="false">COUNTIF(Payment_Log_AP!$B$2:$B$753,A120)</f>
        <v>1</v>
      </c>
      <c r="F120" s="18" t="n">
        <f aca="false">SUMIFS(Payment_Log_AP!$E$2:$E$753,Payment_Log_AP!$B$2:$B$753,A120)</f>
        <v>2167.65</v>
      </c>
      <c r="G120" s="18" t="n">
        <f aca="false">MAX(F120-D120,0)</f>
        <v>0</v>
      </c>
      <c r="H120" s="16" t="str">
        <f aca="false">IF(E120&gt;1,"DUPLICATE - Review",IF(G120&gt;Assumptions!$B$6,"OVERPAID - Review","OK"))</f>
        <v>OK</v>
      </c>
    </row>
    <row r="121" customFormat="false" ht="15" hidden="false" customHeight="false" outlineLevel="0" collapsed="false">
      <c r="A121" s="16" t="str">
        <f aca="false">Vendor_Invoices_AP!A118</f>
        <v>INV30117</v>
      </c>
      <c r="B121" s="16" t="str">
        <f aca="false">Vendor_Invoices_AP!C118</f>
        <v>V1018</v>
      </c>
      <c r="C121" s="16" t="str">
        <f aca="false">IFERROR(INDEX(Vendor_Master!$B$2:$B$41,MATCH(B121,Vendor_Master!$A$2:$A$41,0)),"Unknown Vendor")</f>
        <v>Underwood LLC</v>
      </c>
      <c r="D121" s="18" t="n">
        <f aca="false">Vendor_Invoices_AP!E118</f>
        <v>865.82</v>
      </c>
      <c r="E121" s="16" t="n">
        <f aca="false">COUNTIF(Payment_Log_AP!$B$2:$B$753,A121)</f>
        <v>1</v>
      </c>
      <c r="F121" s="18" t="n">
        <f aca="false">SUMIFS(Payment_Log_AP!$E$2:$E$753,Payment_Log_AP!$B$2:$B$753,A121)</f>
        <v>865.82</v>
      </c>
      <c r="G121" s="18" t="n">
        <f aca="false">MAX(F121-D121,0)</f>
        <v>0</v>
      </c>
      <c r="H121" s="16" t="str">
        <f aca="false">IF(E121&gt;1,"DUPLICATE - Review",IF(G121&gt;Assumptions!$B$6,"OVERPAID - Review","OK"))</f>
        <v>OK</v>
      </c>
    </row>
    <row r="122" customFormat="false" ht="15" hidden="false" customHeight="false" outlineLevel="0" collapsed="false">
      <c r="A122" s="16" t="str">
        <f aca="false">Vendor_Invoices_AP!A119</f>
        <v>INV30118</v>
      </c>
      <c r="B122" s="16" t="str">
        <f aca="false">Vendor_Invoices_AP!C119</f>
        <v>V1006</v>
      </c>
      <c r="C122" s="16" t="str">
        <f aca="false">IFERROR(INDEX(Vendor_Master!$B$2:$B$41,MATCH(B122,Vendor_Master!$A$2:$A$41,0)),"Unknown Vendor")</f>
        <v>Blake and Sons</v>
      </c>
      <c r="D122" s="18" t="n">
        <f aca="false">Vendor_Invoices_AP!E119</f>
        <v>588.49</v>
      </c>
      <c r="E122" s="16" t="n">
        <f aca="false">COUNTIF(Payment_Log_AP!$B$2:$B$753,A122)</f>
        <v>1</v>
      </c>
      <c r="F122" s="18" t="n">
        <f aca="false">SUMIFS(Payment_Log_AP!$E$2:$E$753,Payment_Log_AP!$B$2:$B$753,A122)</f>
        <v>588.49</v>
      </c>
      <c r="G122" s="18" t="n">
        <f aca="false">MAX(F122-D122,0)</f>
        <v>0</v>
      </c>
      <c r="H122" s="16" t="str">
        <f aca="false">IF(E122&gt;1,"DUPLICATE - Review",IF(G122&gt;Assumptions!$B$6,"OVERPAID - Review","OK"))</f>
        <v>OK</v>
      </c>
    </row>
    <row r="123" customFormat="false" ht="15" hidden="false" customHeight="false" outlineLevel="0" collapsed="false">
      <c r="A123" s="16" t="str">
        <f aca="false">Vendor_Invoices_AP!A120</f>
        <v>INV30119</v>
      </c>
      <c r="B123" s="16" t="str">
        <f aca="false">Vendor_Invoices_AP!C120</f>
        <v>V1038</v>
      </c>
      <c r="C123" s="16" t="str">
        <f aca="false">IFERROR(INDEX(Vendor_Master!$B$2:$B$41,MATCH(B123,Vendor_Master!$A$2:$A$41,0)),"Unknown Vendor")</f>
        <v>Rose-Obrien</v>
      </c>
      <c r="D123" s="18" t="n">
        <f aca="false">Vendor_Invoices_AP!E120</f>
        <v>1755.83</v>
      </c>
      <c r="E123" s="16" t="n">
        <f aca="false">COUNTIF(Payment_Log_AP!$B$2:$B$753,A123)</f>
        <v>1</v>
      </c>
      <c r="F123" s="18" t="n">
        <f aca="false">SUMIFS(Payment_Log_AP!$E$2:$E$753,Payment_Log_AP!$B$2:$B$753,A123)</f>
        <v>1755.83</v>
      </c>
      <c r="G123" s="18" t="n">
        <f aca="false">MAX(F123-D123,0)</f>
        <v>0</v>
      </c>
      <c r="H123" s="16" t="str">
        <f aca="false">IF(E123&gt;1,"DUPLICATE - Review",IF(G123&gt;Assumptions!$B$6,"OVERPAID - Review","OK"))</f>
        <v>OK</v>
      </c>
    </row>
    <row r="124" customFormat="false" ht="15" hidden="false" customHeight="false" outlineLevel="0" collapsed="false">
      <c r="A124" s="16" t="str">
        <f aca="false">Vendor_Invoices_AP!A121</f>
        <v>INV30120</v>
      </c>
      <c r="B124" s="16" t="str">
        <f aca="false">Vendor_Invoices_AP!C121</f>
        <v>V1026</v>
      </c>
      <c r="C124" s="16" t="str">
        <f aca="false">IFERROR(INDEX(Vendor_Master!$B$2:$B$41,MATCH(B124,Vendor_Master!$A$2:$A$41,0)),"Unknown Vendor")</f>
        <v>James-Ferrell</v>
      </c>
      <c r="D124" s="18" t="n">
        <f aca="false">Vendor_Invoices_AP!E121</f>
        <v>946.66</v>
      </c>
      <c r="E124" s="16" t="n">
        <f aca="false">COUNTIF(Payment_Log_AP!$B$2:$B$753,A124)</f>
        <v>1</v>
      </c>
      <c r="F124" s="18" t="n">
        <f aca="false">SUMIFS(Payment_Log_AP!$E$2:$E$753,Payment_Log_AP!$B$2:$B$753,A124)</f>
        <v>946.66</v>
      </c>
      <c r="G124" s="18" t="n">
        <f aca="false">MAX(F124-D124,0)</f>
        <v>0</v>
      </c>
      <c r="H124" s="16" t="str">
        <f aca="false">IF(E124&gt;1,"DUPLICATE - Review",IF(G124&gt;Assumptions!$B$6,"OVERPAID - Review","OK"))</f>
        <v>OK</v>
      </c>
    </row>
    <row r="125" customFormat="false" ht="15" hidden="false" customHeight="false" outlineLevel="0" collapsed="false">
      <c r="A125" s="16" t="str">
        <f aca="false">Vendor_Invoices_AP!A122</f>
        <v>INV30121</v>
      </c>
      <c r="B125" s="16" t="str">
        <f aca="false">Vendor_Invoices_AP!C122</f>
        <v>V1027</v>
      </c>
      <c r="C125" s="16" t="str">
        <f aca="false">IFERROR(INDEX(Vendor_Master!$B$2:$B$41,MATCH(B125,Vendor_Master!$A$2:$A$41,0)),"Unknown Vendor")</f>
        <v>Valencia, Smith and Le</v>
      </c>
      <c r="D125" s="18" t="n">
        <f aca="false">Vendor_Invoices_AP!E122</f>
        <v>17767.35</v>
      </c>
      <c r="E125" s="16" t="n">
        <f aca="false">COUNTIF(Payment_Log_AP!$B$2:$B$753,A125)</f>
        <v>1</v>
      </c>
      <c r="F125" s="18" t="n">
        <f aca="false">SUMIFS(Payment_Log_AP!$E$2:$E$753,Payment_Log_AP!$B$2:$B$753,A125)</f>
        <v>17767.35</v>
      </c>
      <c r="G125" s="18" t="n">
        <f aca="false">MAX(F125-D125,0)</f>
        <v>0</v>
      </c>
      <c r="H125" s="16" t="str">
        <f aca="false">IF(E125&gt;1,"DUPLICATE - Review",IF(G125&gt;Assumptions!$B$6,"OVERPAID - Review","OK"))</f>
        <v>OK</v>
      </c>
    </row>
    <row r="126" customFormat="false" ht="15" hidden="false" customHeight="false" outlineLevel="0" collapsed="false">
      <c r="A126" s="16" t="str">
        <f aca="false">Vendor_Invoices_AP!A123</f>
        <v>INV30122</v>
      </c>
      <c r="B126" s="16" t="str">
        <f aca="false">Vendor_Invoices_AP!C123</f>
        <v>V1002</v>
      </c>
      <c r="C126" s="16" t="str">
        <f aca="false">IFERROR(INDEX(Vendor_Master!$B$2:$B$41,MATCH(B126,Vendor_Master!$A$2:$A$41,0)),"Unknown Vendor")</f>
        <v>Garcia, Yang and Gardner</v>
      </c>
      <c r="D126" s="18" t="n">
        <f aca="false">Vendor_Invoices_AP!E123</f>
        <v>8633.55</v>
      </c>
      <c r="E126" s="16" t="n">
        <f aca="false">COUNTIF(Payment_Log_AP!$B$2:$B$753,A126)</f>
        <v>1</v>
      </c>
      <c r="F126" s="18" t="n">
        <f aca="false">SUMIFS(Payment_Log_AP!$E$2:$E$753,Payment_Log_AP!$B$2:$B$753,A126)</f>
        <v>8633.55</v>
      </c>
      <c r="G126" s="18" t="n">
        <f aca="false">MAX(F126-D126,0)</f>
        <v>0</v>
      </c>
      <c r="H126" s="16" t="str">
        <f aca="false">IF(E126&gt;1,"DUPLICATE - Review",IF(G126&gt;Assumptions!$B$6,"OVERPAID - Review","OK"))</f>
        <v>OK</v>
      </c>
    </row>
    <row r="127" customFormat="false" ht="15" hidden="false" customHeight="false" outlineLevel="0" collapsed="false">
      <c r="A127" s="16" t="str">
        <f aca="false">Vendor_Invoices_AP!A124</f>
        <v>INV30123</v>
      </c>
      <c r="B127" s="16" t="str">
        <f aca="false">Vendor_Invoices_AP!C124</f>
        <v>V1038</v>
      </c>
      <c r="C127" s="16" t="str">
        <f aca="false">IFERROR(INDEX(Vendor_Master!$B$2:$B$41,MATCH(B127,Vendor_Master!$A$2:$A$41,0)),"Unknown Vendor")</f>
        <v>Rose-Obrien</v>
      </c>
      <c r="D127" s="18" t="n">
        <f aca="false">Vendor_Invoices_AP!E124</f>
        <v>1731.53</v>
      </c>
      <c r="E127" s="16" t="n">
        <f aca="false">COUNTIF(Payment_Log_AP!$B$2:$B$753,A127)</f>
        <v>1</v>
      </c>
      <c r="F127" s="18" t="n">
        <f aca="false">SUMIFS(Payment_Log_AP!$E$2:$E$753,Payment_Log_AP!$B$2:$B$753,A127)</f>
        <v>1731.53</v>
      </c>
      <c r="G127" s="18" t="n">
        <f aca="false">MAX(F127-D127,0)</f>
        <v>0</v>
      </c>
      <c r="H127" s="16" t="str">
        <f aca="false">IF(E127&gt;1,"DUPLICATE - Review",IF(G127&gt;Assumptions!$B$6,"OVERPAID - Review","OK"))</f>
        <v>OK</v>
      </c>
    </row>
    <row r="128" customFormat="false" ht="15" hidden="false" customHeight="false" outlineLevel="0" collapsed="false">
      <c r="A128" s="16" t="str">
        <f aca="false">Vendor_Invoices_AP!A125</f>
        <v>INV30124</v>
      </c>
      <c r="B128" s="16" t="str">
        <f aca="false">Vendor_Invoices_AP!C125</f>
        <v>V1025</v>
      </c>
      <c r="C128" s="16" t="str">
        <f aca="false">IFERROR(INDEX(Vendor_Master!$B$2:$B$41,MATCH(B128,Vendor_Master!$A$2:$A$41,0)),"Unknown Vendor")</f>
        <v>Conner Group</v>
      </c>
      <c r="D128" s="18" t="n">
        <f aca="false">Vendor_Invoices_AP!E125</f>
        <v>1559.4</v>
      </c>
      <c r="E128" s="16" t="n">
        <f aca="false">COUNTIF(Payment_Log_AP!$B$2:$B$753,A128)</f>
        <v>1</v>
      </c>
      <c r="F128" s="18" t="n">
        <f aca="false">SUMIFS(Payment_Log_AP!$E$2:$E$753,Payment_Log_AP!$B$2:$B$753,A128)</f>
        <v>1559.4</v>
      </c>
      <c r="G128" s="18" t="n">
        <f aca="false">MAX(F128-D128,0)</f>
        <v>0</v>
      </c>
      <c r="H128" s="16" t="str">
        <f aca="false">IF(E128&gt;1,"DUPLICATE - Review",IF(G128&gt;Assumptions!$B$6,"OVERPAID - Review","OK"))</f>
        <v>OK</v>
      </c>
    </row>
    <row r="129" customFormat="false" ht="15" hidden="false" customHeight="false" outlineLevel="0" collapsed="false">
      <c r="A129" s="16" t="str">
        <f aca="false">Vendor_Invoices_AP!A126</f>
        <v>INV30125</v>
      </c>
      <c r="B129" s="16" t="str">
        <f aca="false">Vendor_Invoices_AP!C126</f>
        <v>V1019</v>
      </c>
      <c r="C129" s="16" t="str">
        <f aca="false">IFERROR(INDEX(Vendor_Master!$B$2:$B$41,MATCH(B129,Vendor_Master!$A$2:$A$41,0)),"Unknown Vendor")</f>
        <v>Clark PLC</v>
      </c>
      <c r="D129" s="18" t="n">
        <f aca="false">Vendor_Invoices_AP!E126</f>
        <v>1484.65</v>
      </c>
      <c r="E129" s="16" t="n">
        <f aca="false">COUNTIF(Payment_Log_AP!$B$2:$B$753,A129)</f>
        <v>1</v>
      </c>
      <c r="F129" s="18" t="n">
        <f aca="false">SUMIFS(Payment_Log_AP!$E$2:$E$753,Payment_Log_AP!$B$2:$B$753,A129)</f>
        <v>1484.65</v>
      </c>
      <c r="G129" s="18" t="n">
        <f aca="false">MAX(F129-D129,0)</f>
        <v>0</v>
      </c>
      <c r="H129" s="16" t="str">
        <f aca="false">IF(E129&gt;1,"DUPLICATE - Review",IF(G129&gt;Assumptions!$B$6,"OVERPAID - Review","OK"))</f>
        <v>OK</v>
      </c>
    </row>
    <row r="130" customFormat="false" ht="15" hidden="false" customHeight="false" outlineLevel="0" collapsed="false">
      <c r="A130" s="16" t="str">
        <f aca="false">Vendor_Invoices_AP!A127</f>
        <v>INV30126</v>
      </c>
      <c r="B130" s="16" t="str">
        <f aca="false">Vendor_Invoices_AP!C127</f>
        <v>V1014</v>
      </c>
      <c r="C130" s="16" t="str">
        <f aca="false">IFERROR(INDEX(Vendor_Master!$B$2:$B$41,MATCH(B130,Vendor_Master!$A$2:$A$41,0)),"Unknown Vendor")</f>
        <v>Flowers, Martin and Kelly</v>
      </c>
      <c r="D130" s="18" t="n">
        <f aca="false">Vendor_Invoices_AP!E127</f>
        <v>448.18</v>
      </c>
      <c r="E130" s="16" t="n">
        <f aca="false">COUNTIF(Payment_Log_AP!$B$2:$B$753,A130)</f>
        <v>1</v>
      </c>
      <c r="F130" s="18" t="n">
        <f aca="false">SUMIFS(Payment_Log_AP!$E$2:$E$753,Payment_Log_AP!$B$2:$B$753,A130)</f>
        <v>448.18</v>
      </c>
      <c r="G130" s="18" t="n">
        <f aca="false">MAX(F130-D130,0)</f>
        <v>0</v>
      </c>
      <c r="H130" s="16" t="str">
        <f aca="false">IF(E130&gt;1,"DUPLICATE - Review",IF(G130&gt;Assumptions!$B$6,"OVERPAID - Review","OK"))</f>
        <v>OK</v>
      </c>
    </row>
    <row r="131" customFormat="false" ht="15" hidden="false" customHeight="false" outlineLevel="0" collapsed="false">
      <c r="A131" s="16" t="str">
        <f aca="false">Vendor_Invoices_AP!A128</f>
        <v>INV30127</v>
      </c>
      <c r="B131" s="16" t="str">
        <f aca="false">Vendor_Invoices_AP!C128</f>
        <v>V1028</v>
      </c>
      <c r="C131" s="16" t="str">
        <f aca="false">IFERROR(INDEX(Vendor_Master!$B$2:$B$41,MATCH(B131,Vendor_Master!$A$2:$A$41,0)),"Unknown Vendor")</f>
        <v>Potter, Mack and Peterson</v>
      </c>
      <c r="D131" s="18" t="n">
        <f aca="false">Vendor_Invoices_AP!E128</f>
        <v>381.28</v>
      </c>
      <c r="E131" s="16" t="n">
        <f aca="false">COUNTIF(Payment_Log_AP!$B$2:$B$753,A131)</f>
        <v>1</v>
      </c>
      <c r="F131" s="18" t="n">
        <f aca="false">SUMIFS(Payment_Log_AP!$E$2:$E$753,Payment_Log_AP!$B$2:$B$753,A131)</f>
        <v>381.28</v>
      </c>
      <c r="G131" s="18" t="n">
        <f aca="false">MAX(F131-D131,0)</f>
        <v>0</v>
      </c>
      <c r="H131" s="16" t="str">
        <f aca="false">IF(E131&gt;1,"DUPLICATE - Review",IF(G131&gt;Assumptions!$B$6,"OVERPAID - Review","OK"))</f>
        <v>OK</v>
      </c>
    </row>
    <row r="132" customFormat="false" ht="15" hidden="false" customHeight="false" outlineLevel="0" collapsed="false">
      <c r="A132" s="16" t="str">
        <f aca="false">Vendor_Invoices_AP!A129</f>
        <v>INV30128</v>
      </c>
      <c r="B132" s="16" t="str">
        <f aca="false">Vendor_Invoices_AP!C129</f>
        <v>V1017</v>
      </c>
      <c r="C132" s="16" t="str">
        <f aca="false">IFERROR(INDEX(Vendor_Master!$B$2:$B$41,MATCH(B132,Vendor_Master!$A$2:$A$41,0)),"Unknown Vendor")</f>
        <v>Hawkins, Cohen and Cameron</v>
      </c>
      <c r="D132" s="18" t="n">
        <f aca="false">Vendor_Invoices_AP!E129</f>
        <v>432.73</v>
      </c>
      <c r="E132" s="16" t="n">
        <f aca="false">COUNTIF(Payment_Log_AP!$B$2:$B$753,A132)</f>
        <v>1</v>
      </c>
      <c r="F132" s="18" t="n">
        <f aca="false">SUMIFS(Payment_Log_AP!$E$2:$E$753,Payment_Log_AP!$B$2:$B$753,A132)</f>
        <v>432.73</v>
      </c>
      <c r="G132" s="18" t="n">
        <f aca="false">MAX(F132-D132,0)</f>
        <v>0</v>
      </c>
      <c r="H132" s="16" t="str">
        <f aca="false">IF(E132&gt;1,"DUPLICATE - Review",IF(G132&gt;Assumptions!$B$6,"OVERPAID - Review","OK"))</f>
        <v>OK</v>
      </c>
    </row>
    <row r="133" customFormat="false" ht="15" hidden="false" customHeight="false" outlineLevel="0" collapsed="false">
      <c r="A133" s="16" t="str">
        <f aca="false">Vendor_Invoices_AP!A130</f>
        <v>INV30129</v>
      </c>
      <c r="B133" s="16" t="str">
        <f aca="false">Vendor_Invoices_AP!C130</f>
        <v>V1032</v>
      </c>
      <c r="C133" s="16" t="str">
        <f aca="false">IFERROR(INDEX(Vendor_Master!$B$2:$B$41,MATCH(B133,Vendor_Master!$A$2:$A$41,0)),"Unknown Vendor")</f>
        <v>Lynch, Hernandez and Farmer</v>
      </c>
      <c r="D133" s="18" t="n">
        <f aca="false">Vendor_Invoices_AP!E130</f>
        <v>2005.68</v>
      </c>
      <c r="E133" s="16" t="n">
        <f aca="false">COUNTIF(Payment_Log_AP!$B$2:$B$753,A133)</f>
        <v>1</v>
      </c>
      <c r="F133" s="18" t="n">
        <f aca="false">SUMIFS(Payment_Log_AP!$E$2:$E$753,Payment_Log_AP!$B$2:$B$753,A133)</f>
        <v>2005.68</v>
      </c>
      <c r="G133" s="18" t="n">
        <f aca="false">MAX(F133-D133,0)</f>
        <v>0</v>
      </c>
      <c r="H133" s="16" t="str">
        <f aca="false">IF(E133&gt;1,"DUPLICATE - Review",IF(G133&gt;Assumptions!$B$6,"OVERPAID - Review","OK"))</f>
        <v>OK</v>
      </c>
    </row>
    <row r="134" customFormat="false" ht="15" hidden="false" customHeight="false" outlineLevel="0" collapsed="false">
      <c r="A134" s="16" t="str">
        <f aca="false">Vendor_Invoices_AP!A131</f>
        <v>INV30130</v>
      </c>
      <c r="B134" s="16" t="str">
        <f aca="false">Vendor_Invoices_AP!C131</f>
        <v>V1009</v>
      </c>
      <c r="C134" s="16" t="str">
        <f aca="false">IFERROR(INDEX(Vendor_Master!$B$2:$B$41,MATCH(B134,Vendor_Master!$A$2:$A$41,0)),"Unknown Vendor")</f>
        <v>Munoz-Roman</v>
      </c>
      <c r="D134" s="18" t="n">
        <f aca="false">Vendor_Invoices_AP!E131</f>
        <v>12091.17</v>
      </c>
      <c r="E134" s="16" t="n">
        <f aca="false">COUNTIF(Payment_Log_AP!$B$2:$B$753,A134)</f>
        <v>1</v>
      </c>
      <c r="F134" s="18" t="n">
        <f aca="false">SUMIFS(Payment_Log_AP!$E$2:$E$753,Payment_Log_AP!$B$2:$B$753,A134)</f>
        <v>12091.17</v>
      </c>
      <c r="G134" s="18" t="n">
        <f aca="false">MAX(F134-D134,0)</f>
        <v>0</v>
      </c>
      <c r="H134" s="16" t="str">
        <f aca="false">IF(E134&gt;1,"DUPLICATE - Review",IF(G134&gt;Assumptions!$B$6,"OVERPAID - Review","OK"))</f>
        <v>OK</v>
      </c>
    </row>
    <row r="135" customFormat="false" ht="15" hidden="false" customHeight="false" outlineLevel="0" collapsed="false">
      <c r="A135" s="16" t="str">
        <f aca="false">Vendor_Invoices_AP!A132</f>
        <v>INV30131</v>
      </c>
      <c r="B135" s="16" t="str">
        <f aca="false">Vendor_Invoices_AP!C132</f>
        <v>V1003</v>
      </c>
      <c r="C135" s="16" t="str">
        <f aca="false">IFERROR(INDEX(Vendor_Master!$B$2:$B$41,MATCH(B135,Vendor_Master!$A$2:$A$41,0)),"Unknown Vendor")</f>
        <v>Johnson and Sons</v>
      </c>
      <c r="D135" s="18" t="n">
        <f aca="false">Vendor_Invoices_AP!E132</f>
        <v>1425.03</v>
      </c>
      <c r="E135" s="16" t="n">
        <f aca="false">COUNTIF(Payment_Log_AP!$B$2:$B$753,A135)</f>
        <v>1</v>
      </c>
      <c r="F135" s="18" t="n">
        <f aca="false">SUMIFS(Payment_Log_AP!$E$2:$E$753,Payment_Log_AP!$B$2:$B$753,A135)</f>
        <v>1425.03</v>
      </c>
      <c r="G135" s="18" t="n">
        <f aca="false">MAX(F135-D135,0)</f>
        <v>0</v>
      </c>
      <c r="H135" s="16" t="str">
        <f aca="false">IF(E135&gt;1,"DUPLICATE - Review",IF(G135&gt;Assumptions!$B$6,"OVERPAID - Review","OK"))</f>
        <v>OK</v>
      </c>
    </row>
    <row r="136" customFormat="false" ht="15" hidden="false" customHeight="false" outlineLevel="0" collapsed="false">
      <c r="A136" s="16" t="str">
        <f aca="false">Vendor_Invoices_AP!A133</f>
        <v>INV30132</v>
      </c>
      <c r="B136" s="16" t="str">
        <f aca="false">Vendor_Invoices_AP!C133</f>
        <v>V1005</v>
      </c>
      <c r="C136" s="16" t="str">
        <f aca="false">IFERROR(INDEX(Vendor_Master!$B$2:$B$41,MATCH(B136,Vendor_Master!$A$2:$A$41,0)),"Unknown Vendor")</f>
        <v>Cole LLC</v>
      </c>
      <c r="D136" s="18" t="n">
        <f aca="false">Vendor_Invoices_AP!E133</f>
        <v>13874.68</v>
      </c>
      <c r="E136" s="16" t="n">
        <f aca="false">COUNTIF(Payment_Log_AP!$B$2:$B$753,A136)</f>
        <v>1</v>
      </c>
      <c r="F136" s="18" t="n">
        <f aca="false">SUMIFS(Payment_Log_AP!$E$2:$E$753,Payment_Log_AP!$B$2:$B$753,A136)</f>
        <v>13874.68</v>
      </c>
      <c r="G136" s="18" t="n">
        <f aca="false">MAX(F136-D136,0)</f>
        <v>0</v>
      </c>
      <c r="H136" s="16" t="str">
        <f aca="false">IF(E136&gt;1,"DUPLICATE - Review",IF(G136&gt;Assumptions!$B$6,"OVERPAID - Review","OK"))</f>
        <v>OK</v>
      </c>
    </row>
    <row r="137" customFormat="false" ht="15" hidden="false" customHeight="false" outlineLevel="0" collapsed="false">
      <c r="A137" s="16" t="str">
        <f aca="false">Vendor_Invoices_AP!A134</f>
        <v>INV30133</v>
      </c>
      <c r="B137" s="16" t="str">
        <f aca="false">Vendor_Invoices_AP!C134</f>
        <v>V1025</v>
      </c>
      <c r="C137" s="16" t="str">
        <f aca="false">IFERROR(INDEX(Vendor_Master!$B$2:$B$41,MATCH(B137,Vendor_Master!$A$2:$A$41,0)),"Unknown Vendor")</f>
        <v>Conner Group</v>
      </c>
      <c r="D137" s="18" t="n">
        <f aca="false">Vendor_Invoices_AP!E134</f>
        <v>2603.15</v>
      </c>
      <c r="E137" s="16" t="n">
        <f aca="false">COUNTIF(Payment_Log_AP!$B$2:$B$753,A137)</f>
        <v>1</v>
      </c>
      <c r="F137" s="18" t="n">
        <f aca="false">SUMIFS(Payment_Log_AP!$E$2:$E$753,Payment_Log_AP!$B$2:$B$753,A137)</f>
        <v>2603.15</v>
      </c>
      <c r="G137" s="18" t="n">
        <f aca="false">MAX(F137-D137,0)</f>
        <v>0</v>
      </c>
      <c r="H137" s="16" t="str">
        <f aca="false">IF(E137&gt;1,"DUPLICATE - Review",IF(G137&gt;Assumptions!$B$6,"OVERPAID - Review","OK"))</f>
        <v>OK</v>
      </c>
    </row>
    <row r="138" customFormat="false" ht="15" hidden="false" customHeight="false" outlineLevel="0" collapsed="false">
      <c r="A138" s="16" t="str">
        <f aca="false">Vendor_Invoices_AP!A135</f>
        <v>INV30134</v>
      </c>
      <c r="B138" s="16" t="str">
        <f aca="false">Vendor_Invoices_AP!C135</f>
        <v>V1037</v>
      </c>
      <c r="C138" s="16" t="str">
        <f aca="false">IFERROR(INDEX(Vendor_Master!$B$2:$B$41,MATCH(B138,Vendor_Master!$A$2:$A$41,0)),"Unknown Vendor")</f>
        <v>Cannon, Anderson and Alvarez</v>
      </c>
      <c r="D138" s="18" t="n">
        <f aca="false">Vendor_Invoices_AP!E135</f>
        <v>3419.39</v>
      </c>
      <c r="E138" s="16" t="n">
        <f aca="false">COUNTIF(Payment_Log_AP!$B$2:$B$753,A138)</f>
        <v>0</v>
      </c>
      <c r="F138" s="18" t="n">
        <f aca="false">SUMIFS(Payment_Log_AP!$E$2:$E$753,Payment_Log_AP!$B$2:$B$753,A138)</f>
        <v>0</v>
      </c>
      <c r="G138" s="18" t="n">
        <f aca="false">MAX(F138-D138,0)</f>
        <v>0</v>
      </c>
      <c r="H138" s="16" t="str">
        <f aca="false">IF(E138&gt;1,"DUPLICATE - Review",IF(G138&gt;Assumptions!$B$6,"OVERPAID - Review","OK"))</f>
        <v>OK</v>
      </c>
    </row>
    <row r="139" customFormat="false" ht="15" hidden="false" customHeight="false" outlineLevel="0" collapsed="false">
      <c r="A139" s="16" t="str">
        <f aca="false">Vendor_Invoices_AP!A136</f>
        <v>INV30135</v>
      </c>
      <c r="B139" s="16" t="str">
        <f aca="false">Vendor_Invoices_AP!C136</f>
        <v>V1007</v>
      </c>
      <c r="C139" s="16" t="str">
        <f aca="false">IFERROR(INDEX(Vendor_Master!$B$2:$B$41,MATCH(B139,Vendor_Master!$A$2:$A$41,0)),"Unknown Vendor")</f>
        <v>Ramirez-Lewis</v>
      </c>
      <c r="D139" s="18" t="n">
        <f aca="false">Vendor_Invoices_AP!E136</f>
        <v>4244.35</v>
      </c>
      <c r="E139" s="16" t="n">
        <f aca="false">COUNTIF(Payment_Log_AP!$B$2:$B$753,A139)</f>
        <v>1</v>
      </c>
      <c r="F139" s="18" t="n">
        <f aca="false">SUMIFS(Payment_Log_AP!$E$2:$E$753,Payment_Log_AP!$B$2:$B$753,A139)</f>
        <v>4244.35</v>
      </c>
      <c r="G139" s="18" t="n">
        <f aca="false">MAX(F139-D139,0)</f>
        <v>0</v>
      </c>
      <c r="H139" s="16" t="str">
        <f aca="false">IF(E139&gt;1,"DUPLICATE - Review",IF(G139&gt;Assumptions!$B$6,"OVERPAID - Review","OK"))</f>
        <v>OK</v>
      </c>
    </row>
    <row r="140" customFormat="false" ht="15" hidden="false" customHeight="false" outlineLevel="0" collapsed="false">
      <c r="A140" s="16" t="str">
        <f aca="false">Vendor_Invoices_AP!A137</f>
        <v>INV30136</v>
      </c>
      <c r="B140" s="16" t="str">
        <f aca="false">Vendor_Invoices_AP!C137</f>
        <v>V1015</v>
      </c>
      <c r="C140" s="16" t="str">
        <f aca="false">IFERROR(INDEX(Vendor_Master!$B$2:$B$41,MATCH(B140,Vendor_Master!$A$2:$A$41,0)),"Unknown Vendor")</f>
        <v>Zuniga, Wong and Lynch</v>
      </c>
      <c r="D140" s="18" t="n">
        <f aca="false">Vendor_Invoices_AP!E137</f>
        <v>8178.53</v>
      </c>
      <c r="E140" s="16" t="n">
        <f aca="false">COUNTIF(Payment_Log_AP!$B$2:$B$753,A140)</f>
        <v>0</v>
      </c>
      <c r="F140" s="18" t="n">
        <f aca="false">SUMIFS(Payment_Log_AP!$E$2:$E$753,Payment_Log_AP!$B$2:$B$753,A140)</f>
        <v>0</v>
      </c>
      <c r="G140" s="18" t="n">
        <f aca="false">MAX(F140-D140,0)</f>
        <v>0</v>
      </c>
      <c r="H140" s="16" t="str">
        <f aca="false">IF(E140&gt;1,"DUPLICATE - Review",IF(G140&gt;Assumptions!$B$6,"OVERPAID - Review","OK"))</f>
        <v>OK</v>
      </c>
    </row>
    <row r="141" customFormat="false" ht="15" hidden="false" customHeight="false" outlineLevel="0" collapsed="false">
      <c r="A141" s="16" t="str">
        <f aca="false">Vendor_Invoices_AP!A138</f>
        <v>INV30137</v>
      </c>
      <c r="B141" s="16" t="str">
        <f aca="false">Vendor_Invoices_AP!C138</f>
        <v>V1007</v>
      </c>
      <c r="C141" s="16" t="str">
        <f aca="false">IFERROR(INDEX(Vendor_Master!$B$2:$B$41,MATCH(B141,Vendor_Master!$A$2:$A$41,0)),"Unknown Vendor")</f>
        <v>Ramirez-Lewis</v>
      </c>
      <c r="D141" s="18" t="n">
        <f aca="false">Vendor_Invoices_AP!E138</f>
        <v>1297.3</v>
      </c>
      <c r="E141" s="16" t="n">
        <f aca="false">COUNTIF(Payment_Log_AP!$B$2:$B$753,A141)</f>
        <v>1</v>
      </c>
      <c r="F141" s="18" t="n">
        <f aca="false">SUMIFS(Payment_Log_AP!$E$2:$E$753,Payment_Log_AP!$B$2:$B$753,A141)</f>
        <v>1297.3</v>
      </c>
      <c r="G141" s="18" t="n">
        <f aca="false">MAX(F141-D141,0)</f>
        <v>0</v>
      </c>
      <c r="H141" s="16" t="str">
        <f aca="false">IF(E141&gt;1,"DUPLICATE - Review",IF(G141&gt;Assumptions!$B$6,"OVERPAID - Review","OK"))</f>
        <v>OK</v>
      </c>
    </row>
    <row r="142" customFormat="false" ht="15" hidden="false" customHeight="false" outlineLevel="0" collapsed="false">
      <c r="A142" s="16" t="str">
        <f aca="false">Vendor_Invoices_AP!A139</f>
        <v>INV30138</v>
      </c>
      <c r="B142" s="16" t="str">
        <f aca="false">Vendor_Invoices_AP!C139</f>
        <v>V1009</v>
      </c>
      <c r="C142" s="16" t="str">
        <f aca="false">IFERROR(INDEX(Vendor_Master!$B$2:$B$41,MATCH(B142,Vendor_Master!$A$2:$A$41,0)),"Unknown Vendor")</f>
        <v>Munoz-Roman</v>
      </c>
      <c r="D142" s="18" t="n">
        <f aca="false">Vendor_Invoices_AP!E139</f>
        <v>1349.8</v>
      </c>
      <c r="E142" s="16" t="n">
        <f aca="false">COUNTIF(Payment_Log_AP!$B$2:$B$753,A142)</f>
        <v>1</v>
      </c>
      <c r="F142" s="18" t="n">
        <f aca="false">SUMIFS(Payment_Log_AP!$E$2:$E$753,Payment_Log_AP!$B$2:$B$753,A142)</f>
        <v>1349.8</v>
      </c>
      <c r="G142" s="18" t="n">
        <f aca="false">MAX(F142-D142,0)</f>
        <v>0</v>
      </c>
      <c r="H142" s="16" t="str">
        <f aca="false">IF(E142&gt;1,"DUPLICATE - Review",IF(G142&gt;Assumptions!$B$6,"OVERPAID - Review","OK"))</f>
        <v>OK</v>
      </c>
    </row>
    <row r="143" customFormat="false" ht="15" hidden="false" customHeight="false" outlineLevel="0" collapsed="false">
      <c r="A143" s="16" t="str">
        <f aca="false">Vendor_Invoices_AP!A140</f>
        <v>INV30139</v>
      </c>
      <c r="B143" s="16" t="str">
        <f aca="false">Vendor_Invoices_AP!C140</f>
        <v>V1022</v>
      </c>
      <c r="C143" s="16" t="str">
        <f aca="false">IFERROR(INDEX(Vendor_Master!$B$2:$B$41,MATCH(B143,Vendor_Master!$A$2:$A$41,0)),"Unknown Vendor")</f>
        <v>Burgess-Patterson</v>
      </c>
      <c r="D143" s="18" t="n">
        <f aca="false">Vendor_Invoices_AP!E140</f>
        <v>9053.44</v>
      </c>
      <c r="E143" s="16" t="n">
        <f aca="false">COUNTIF(Payment_Log_AP!$B$2:$B$753,A143)</f>
        <v>1</v>
      </c>
      <c r="F143" s="18" t="n">
        <f aca="false">SUMIFS(Payment_Log_AP!$E$2:$E$753,Payment_Log_AP!$B$2:$B$753,A143)</f>
        <v>9053.44</v>
      </c>
      <c r="G143" s="18" t="n">
        <f aca="false">MAX(F143-D143,0)</f>
        <v>0</v>
      </c>
      <c r="H143" s="16" t="str">
        <f aca="false">IF(E143&gt;1,"DUPLICATE - Review",IF(G143&gt;Assumptions!$B$6,"OVERPAID - Review","OK"))</f>
        <v>OK</v>
      </c>
    </row>
    <row r="144" customFormat="false" ht="15" hidden="false" customHeight="false" outlineLevel="0" collapsed="false">
      <c r="A144" s="16" t="str">
        <f aca="false">Vendor_Invoices_AP!A141</f>
        <v>INV30140</v>
      </c>
      <c r="B144" s="16" t="str">
        <f aca="false">Vendor_Invoices_AP!C141</f>
        <v>V1022</v>
      </c>
      <c r="C144" s="16" t="str">
        <f aca="false">IFERROR(INDEX(Vendor_Master!$B$2:$B$41,MATCH(B144,Vendor_Master!$A$2:$A$41,0)),"Unknown Vendor")</f>
        <v>Burgess-Patterson</v>
      </c>
      <c r="D144" s="18" t="n">
        <f aca="false">Vendor_Invoices_AP!E141</f>
        <v>974.82</v>
      </c>
      <c r="E144" s="16" t="n">
        <f aca="false">COUNTIF(Payment_Log_AP!$B$2:$B$753,A144)</f>
        <v>1</v>
      </c>
      <c r="F144" s="18" t="n">
        <f aca="false">SUMIFS(Payment_Log_AP!$E$2:$E$753,Payment_Log_AP!$B$2:$B$753,A144)</f>
        <v>974.82</v>
      </c>
      <c r="G144" s="18" t="n">
        <f aca="false">MAX(F144-D144,0)</f>
        <v>0</v>
      </c>
      <c r="H144" s="16" t="str">
        <f aca="false">IF(E144&gt;1,"DUPLICATE - Review",IF(G144&gt;Assumptions!$B$6,"OVERPAID - Review","OK"))</f>
        <v>OK</v>
      </c>
    </row>
    <row r="145" customFormat="false" ht="15" hidden="false" customHeight="false" outlineLevel="0" collapsed="false">
      <c r="A145" s="16" t="str">
        <f aca="false">Vendor_Invoices_AP!A142</f>
        <v>INV30141</v>
      </c>
      <c r="B145" s="16" t="str">
        <f aca="false">Vendor_Invoices_AP!C142</f>
        <v>V1034</v>
      </c>
      <c r="C145" s="16" t="str">
        <f aca="false">IFERROR(INDEX(Vendor_Master!$B$2:$B$41,MATCH(B145,Vendor_Master!$A$2:$A$41,0)),"Unknown Vendor")</f>
        <v>Koch-Decker</v>
      </c>
      <c r="D145" s="18" t="n">
        <f aca="false">Vendor_Invoices_AP!E142</f>
        <v>5730.61</v>
      </c>
      <c r="E145" s="16" t="n">
        <f aca="false">COUNTIF(Payment_Log_AP!$B$2:$B$753,A145)</f>
        <v>1</v>
      </c>
      <c r="F145" s="18" t="n">
        <f aca="false">SUMIFS(Payment_Log_AP!$E$2:$E$753,Payment_Log_AP!$B$2:$B$753,A145)</f>
        <v>5730.61</v>
      </c>
      <c r="G145" s="18" t="n">
        <f aca="false">MAX(F145-D145,0)</f>
        <v>0</v>
      </c>
      <c r="H145" s="16" t="str">
        <f aca="false">IF(E145&gt;1,"DUPLICATE - Review",IF(G145&gt;Assumptions!$B$6,"OVERPAID - Review","OK"))</f>
        <v>OK</v>
      </c>
    </row>
    <row r="146" customFormat="false" ht="15" hidden="false" customHeight="false" outlineLevel="0" collapsed="false">
      <c r="A146" s="16" t="str">
        <f aca="false">Vendor_Invoices_AP!A143</f>
        <v>INV30142</v>
      </c>
      <c r="B146" s="16" t="str">
        <f aca="false">Vendor_Invoices_AP!C143</f>
        <v>V1040</v>
      </c>
      <c r="C146" s="16" t="str">
        <f aca="false">IFERROR(INDEX(Vendor_Master!$B$2:$B$41,MATCH(B146,Vendor_Master!$A$2:$A$41,0)),"Unknown Vendor")</f>
        <v>Santos, Kim and Holmes</v>
      </c>
      <c r="D146" s="18" t="n">
        <f aca="false">Vendor_Invoices_AP!E143</f>
        <v>11169.56</v>
      </c>
      <c r="E146" s="16" t="n">
        <f aca="false">COUNTIF(Payment_Log_AP!$B$2:$B$753,A146)</f>
        <v>1</v>
      </c>
      <c r="F146" s="18" t="n">
        <f aca="false">SUMIFS(Payment_Log_AP!$E$2:$E$753,Payment_Log_AP!$B$2:$B$753,A146)</f>
        <v>11169.56</v>
      </c>
      <c r="G146" s="18" t="n">
        <f aca="false">MAX(F146-D146,0)</f>
        <v>0</v>
      </c>
      <c r="H146" s="16" t="str">
        <f aca="false">IF(E146&gt;1,"DUPLICATE - Review",IF(G146&gt;Assumptions!$B$6,"OVERPAID - Review","OK"))</f>
        <v>OK</v>
      </c>
    </row>
    <row r="147" customFormat="false" ht="15" hidden="false" customHeight="false" outlineLevel="0" collapsed="false">
      <c r="A147" s="16" t="str">
        <f aca="false">Vendor_Invoices_AP!A144</f>
        <v>INV30143</v>
      </c>
      <c r="B147" s="16" t="str">
        <f aca="false">Vendor_Invoices_AP!C144</f>
        <v>V1032</v>
      </c>
      <c r="C147" s="16" t="str">
        <f aca="false">IFERROR(INDEX(Vendor_Master!$B$2:$B$41,MATCH(B147,Vendor_Master!$A$2:$A$41,0)),"Unknown Vendor")</f>
        <v>Lynch, Hernandez and Farmer</v>
      </c>
      <c r="D147" s="18" t="n">
        <f aca="false">Vendor_Invoices_AP!E144</f>
        <v>573.05</v>
      </c>
      <c r="E147" s="16" t="n">
        <f aca="false">COUNTIF(Payment_Log_AP!$B$2:$B$753,A147)</f>
        <v>1</v>
      </c>
      <c r="F147" s="18" t="n">
        <f aca="false">SUMIFS(Payment_Log_AP!$E$2:$E$753,Payment_Log_AP!$B$2:$B$753,A147)</f>
        <v>573.05</v>
      </c>
      <c r="G147" s="18" t="n">
        <f aca="false">MAX(F147-D147,0)</f>
        <v>0</v>
      </c>
      <c r="H147" s="16" t="str">
        <f aca="false">IF(E147&gt;1,"DUPLICATE - Review",IF(G147&gt;Assumptions!$B$6,"OVERPAID - Review","OK"))</f>
        <v>OK</v>
      </c>
    </row>
    <row r="148" customFormat="false" ht="15" hidden="false" customHeight="false" outlineLevel="0" collapsed="false">
      <c r="A148" s="16" t="str">
        <f aca="false">Vendor_Invoices_AP!A145</f>
        <v>INV30144</v>
      </c>
      <c r="B148" s="16" t="str">
        <f aca="false">Vendor_Invoices_AP!C145</f>
        <v>V1021</v>
      </c>
      <c r="C148" s="16" t="str">
        <f aca="false">IFERROR(INDEX(Vendor_Master!$B$2:$B$41,MATCH(B148,Vendor_Master!$A$2:$A$41,0)),"Unknown Vendor")</f>
        <v>Ellis, Baker and Wright</v>
      </c>
      <c r="D148" s="18" t="n">
        <f aca="false">Vendor_Invoices_AP!E145</f>
        <v>267.6</v>
      </c>
      <c r="E148" s="16" t="n">
        <f aca="false">COUNTIF(Payment_Log_AP!$B$2:$B$753,A148)</f>
        <v>1</v>
      </c>
      <c r="F148" s="18" t="n">
        <f aca="false">SUMIFS(Payment_Log_AP!$E$2:$E$753,Payment_Log_AP!$B$2:$B$753,A148)</f>
        <v>267.6</v>
      </c>
      <c r="G148" s="18" t="n">
        <f aca="false">MAX(F148-D148,0)</f>
        <v>0</v>
      </c>
      <c r="H148" s="16" t="str">
        <f aca="false">IF(E148&gt;1,"DUPLICATE - Review",IF(G148&gt;Assumptions!$B$6,"OVERPAID - Review","OK"))</f>
        <v>OK</v>
      </c>
    </row>
    <row r="149" customFormat="false" ht="15" hidden="false" customHeight="false" outlineLevel="0" collapsed="false">
      <c r="A149" s="16" t="str">
        <f aca="false">Vendor_Invoices_AP!A146</f>
        <v>INV30145</v>
      </c>
      <c r="B149" s="16" t="str">
        <f aca="false">Vendor_Invoices_AP!C146</f>
        <v>V1036</v>
      </c>
      <c r="C149" s="16" t="str">
        <f aca="false">IFERROR(INDEX(Vendor_Master!$B$2:$B$41,MATCH(B149,Vendor_Master!$A$2:$A$41,0)),"Unknown Vendor")</f>
        <v>Dennis Inc</v>
      </c>
      <c r="D149" s="18" t="n">
        <f aca="false">Vendor_Invoices_AP!E146</f>
        <v>634.26</v>
      </c>
      <c r="E149" s="16" t="n">
        <f aca="false">COUNTIF(Payment_Log_AP!$B$2:$B$753,A149)</f>
        <v>1</v>
      </c>
      <c r="F149" s="18" t="n">
        <f aca="false">SUMIFS(Payment_Log_AP!$E$2:$E$753,Payment_Log_AP!$B$2:$B$753,A149)</f>
        <v>634.26</v>
      </c>
      <c r="G149" s="18" t="n">
        <f aca="false">MAX(F149-D149,0)</f>
        <v>0</v>
      </c>
      <c r="H149" s="16" t="str">
        <f aca="false">IF(E149&gt;1,"DUPLICATE - Review",IF(G149&gt;Assumptions!$B$6,"OVERPAID - Review","OK"))</f>
        <v>OK</v>
      </c>
    </row>
    <row r="150" customFormat="false" ht="15" hidden="false" customHeight="false" outlineLevel="0" collapsed="false">
      <c r="A150" s="16" t="str">
        <f aca="false">Vendor_Invoices_AP!A147</f>
        <v>INV30146</v>
      </c>
      <c r="B150" s="16" t="str">
        <f aca="false">Vendor_Invoices_AP!C147</f>
        <v>V1029</v>
      </c>
      <c r="C150" s="16" t="str">
        <f aca="false">IFERROR(INDEX(Vendor_Master!$B$2:$B$41,MATCH(B150,Vendor_Master!$A$2:$A$41,0)),"Unknown Vendor")</f>
        <v>Chavez Ltd</v>
      </c>
      <c r="D150" s="18" t="n">
        <f aca="false">Vendor_Invoices_AP!E147</f>
        <v>858.6</v>
      </c>
      <c r="E150" s="16" t="n">
        <f aca="false">COUNTIF(Payment_Log_AP!$B$2:$B$753,A150)</f>
        <v>1</v>
      </c>
      <c r="F150" s="18" t="n">
        <f aca="false">SUMIFS(Payment_Log_AP!$E$2:$E$753,Payment_Log_AP!$B$2:$B$753,A150)</f>
        <v>858.6</v>
      </c>
      <c r="G150" s="18" t="n">
        <f aca="false">MAX(F150-D150,0)</f>
        <v>0</v>
      </c>
      <c r="H150" s="16" t="str">
        <f aca="false">IF(E150&gt;1,"DUPLICATE - Review",IF(G150&gt;Assumptions!$B$6,"OVERPAID - Review","OK"))</f>
        <v>OK</v>
      </c>
    </row>
    <row r="151" customFormat="false" ht="15" hidden="false" customHeight="false" outlineLevel="0" collapsed="false">
      <c r="A151" s="16" t="str">
        <f aca="false">Vendor_Invoices_AP!A148</f>
        <v>INV30147</v>
      </c>
      <c r="B151" s="16" t="str">
        <f aca="false">Vendor_Invoices_AP!C148</f>
        <v>V1023</v>
      </c>
      <c r="C151" s="16" t="str">
        <f aca="false">IFERROR(INDEX(Vendor_Master!$B$2:$B$41,MATCH(B151,Vendor_Master!$A$2:$A$41,0)),"Unknown Vendor")</f>
        <v>Robinson-Bright</v>
      </c>
      <c r="D151" s="18" t="n">
        <f aca="false">Vendor_Invoices_AP!E148</f>
        <v>1495.05</v>
      </c>
      <c r="E151" s="16" t="n">
        <f aca="false">COUNTIF(Payment_Log_AP!$B$2:$B$753,A151)</f>
        <v>1</v>
      </c>
      <c r="F151" s="18" t="n">
        <f aca="false">SUMIFS(Payment_Log_AP!$E$2:$E$753,Payment_Log_AP!$B$2:$B$753,A151)</f>
        <v>1495.05</v>
      </c>
      <c r="G151" s="18" t="n">
        <f aca="false">MAX(F151-D151,0)</f>
        <v>0</v>
      </c>
      <c r="H151" s="16" t="str">
        <f aca="false">IF(E151&gt;1,"DUPLICATE - Review",IF(G151&gt;Assumptions!$B$6,"OVERPAID - Review","OK"))</f>
        <v>OK</v>
      </c>
    </row>
    <row r="152" customFormat="false" ht="15" hidden="false" customHeight="false" outlineLevel="0" collapsed="false">
      <c r="A152" s="16" t="str">
        <f aca="false">Vendor_Invoices_AP!A149</f>
        <v>INV30148</v>
      </c>
      <c r="B152" s="16" t="str">
        <f aca="false">Vendor_Invoices_AP!C149</f>
        <v>V1037</v>
      </c>
      <c r="C152" s="16" t="str">
        <f aca="false">IFERROR(INDEX(Vendor_Master!$B$2:$B$41,MATCH(B152,Vendor_Master!$A$2:$A$41,0)),"Unknown Vendor")</f>
        <v>Cannon, Anderson and Alvarez</v>
      </c>
      <c r="D152" s="18" t="n">
        <f aca="false">Vendor_Invoices_AP!E149</f>
        <v>4226.43</v>
      </c>
      <c r="E152" s="16" t="n">
        <f aca="false">COUNTIF(Payment_Log_AP!$B$2:$B$753,A152)</f>
        <v>1</v>
      </c>
      <c r="F152" s="18" t="n">
        <f aca="false">SUMIFS(Payment_Log_AP!$E$2:$E$753,Payment_Log_AP!$B$2:$B$753,A152)</f>
        <v>4226.43</v>
      </c>
      <c r="G152" s="18" t="n">
        <f aca="false">MAX(F152-D152,0)</f>
        <v>0</v>
      </c>
      <c r="H152" s="16" t="str">
        <f aca="false">IF(E152&gt;1,"DUPLICATE - Review",IF(G152&gt;Assumptions!$B$6,"OVERPAID - Review","OK"))</f>
        <v>OK</v>
      </c>
    </row>
    <row r="153" customFormat="false" ht="15" hidden="false" customHeight="false" outlineLevel="0" collapsed="false">
      <c r="A153" s="16" t="str">
        <f aca="false">Vendor_Invoices_AP!A150</f>
        <v>INV30149</v>
      </c>
      <c r="B153" s="16" t="str">
        <f aca="false">Vendor_Invoices_AP!C150</f>
        <v>V1029</v>
      </c>
      <c r="C153" s="16" t="str">
        <f aca="false">IFERROR(INDEX(Vendor_Master!$B$2:$B$41,MATCH(B153,Vendor_Master!$A$2:$A$41,0)),"Unknown Vendor")</f>
        <v>Chavez Ltd</v>
      </c>
      <c r="D153" s="18" t="n">
        <f aca="false">Vendor_Invoices_AP!E150</f>
        <v>203.15</v>
      </c>
      <c r="E153" s="16" t="n">
        <f aca="false">COUNTIF(Payment_Log_AP!$B$2:$B$753,A153)</f>
        <v>1</v>
      </c>
      <c r="F153" s="18" t="n">
        <f aca="false">SUMIFS(Payment_Log_AP!$E$2:$E$753,Payment_Log_AP!$B$2:$B$753,A153)</f>
        <v>203.15</v>
      </c>
      <c r="G153" s="18" t="n">
        <f aca="false">MAX(F153-D153,0)</f>
        <v>0</v>
      </c>
      <c r="H153" s="16" t="str">
        <f aca="false">IF(E153&gt;1,"DUPLICATE - Review",IF(G153&gt;Assumptions!$B$6,"OVERPAID - Review","OK"))</f>
        <v>OK</v>
      </c>
    </row>
    <row r="154" customFormat="false" ht="15" hidden="false" customHeight="false" outlineLevel="0" collapsed="false">
      <c r="A154" s="16" t="str">
        <f aca="false">Vendor_Invoices_AP!A151</f>
        <v>INV30150</v>
      </c>
      <c r="B154" s="16" t="str">
        <f aca="false">Vendor_Invoices_AP!C151</f>
        <v>V1001</v>
      </c>
      <c r="C154" s="16" t="str">
        <f aca="false">IFERROR(INDEX(Vendor_Master!$B$2:$B$41,MATCH(B154,Vendor_Master!$A$2:$A$41,0)),"Unknown Vendor")</f>
        <v>Figueroa and Sons</v>
      </c>
      <c r="D154" s="18" t="n">
        <f aca="false">Vendor_Invoices_AP!E151</f>
        <v>1362.11</v>
      </c>
      <c r="E154" s="16" t="n">
        <f aca="false">COUNTIF(Payment_Log_AP!$B$2:$B$753,A154)</f>
        <v>0</v>
      </c>
      <c r="F154" s="18" t="n">
        <f aca="false">SUMIFS(Payment_Log_AP!$E$2:$E$753,Payment_Log_AP!$B$2:$B$753,A154)</f>
        <v>0</v>
      </c>
      <c r="G154" s="18" t="n">
        <f aca="false">MAX(F154-D154,0)</f>
        <v>0</v>
      </c>
      <c r="H154" s="16" t="str">
        <f aca="false">IF(E154&gt;1,"DUPLICATE - Review",IF(G154&gt;Assumptions!$B$6,"OVERPAID - Review","OK"))</f>
        <v>OK</v>
      </c>
    </row>
    <row r="155" customFormat="false" ht="15" hidden="false" customHeight="false" outlineLevel="0" collapsed="false">
      <c r="A155" s="16" t="str">
        <f aca="false">Vendor_Invoices_AP!A152</f>
        <v>INV30151</v>
      </c>
      <c r="B155" s="16" t="str">
        <f aca="false">Vendor_Invoices_AP!C152</f>
        <v>V1036</v>
      </c>
      <c r="C155" s="16" t="str">
        <f aca="false">IFERROR(INDEX(Vendor_Master!$B$2:$B$41,MATCH(B155,Vendor_Master!$A$2:$A$41,0)),"Unknown Vendor")</f>
        <v>Dennis Inc</v>
      </c>
      <c r="D155" s="18" t="n">
        <f aca="false">Vendor_Invoices_AP!E152</f>
        <v>3143.41</v>
      </c>
      <c r="E155" s="16" t="n">
        <f aca="false">COUNTIF(Payment_Log_AP!$B$2:$B$753,A155)</f>
        <v>1</v>
      </c>
      <c r="F155" s="18" t="n">
        <f aca="false">SUMIFS(Payment_Log_AP!$E$2:$E$753,Payment_Log_AP!$B$2:$B$753,A155)</f>
        <v>3143.41</v>
      </c>
      <c r="G155" s="18" t="n">
        <f aca="false">MAX(F155-D155,0)</f>
        <v>0</v>
      </c>
      <c r="H155" s="16" t="str">
        <f aca="false">IF(E155&gt;1,"DUPLICATE - Review",IF(G155&gt;Assumptions!$B$6,"OVERPAID - Review","OK"))</f>
        <v>OK</v>
      </c>
    </row>
    <row r="156" customFormat="false" ht="15" hidden="false" customHeight="false" outlineLevel="0" collapsed="false">
      <c r="A156" s="16" t="str">
        <f aca="false">Vendor_Invoices_AP!A153</f>
        <v>INV30152</v>
      </c>
      <c r="B156" s="16" t="str">
        <f aca="false">Vendor_Invoices_AP!C153</f>
        <v>V1005</v>
      </c>
      <c r="C156" s="16" t="str">
        <f aca="false">IFERROR(INDEX(Vendor_Master!$B$2:$B$41,MATCH(B156,Vendor_Master!$A$2:$A$41,0)),"Unknown Vendor")</f>
        <v>Cole LLC</v>
      </c>
      <c r="D156" s="18" t="n">
        <f aca="false">Vendor_Invoices_AP!E153</f>
        <v>13042.87</v>
      </c>
      <c r="E156" s="16" t="n">
        <f aca="false">COUNTIF(Payment_Log_AP!$B$2:$B$753,A156)</f>
        <v>1</v>
      </c>
      <c r="F156" s="18" t="n">
        <f aca="false">SUMIFS(Payment_Log_AP!$E$2:$E$753,Payment_Log_AP!$B$2:$B$753,A156)</f>
        <v>13042.87</v>
      </c>
      <c r="G156" s="18" t="n">
        <f aca="false">MAX(F156-D156,0)</f>
        <v>0</v>
      </c>
      <c r="H156" s="16" t="str">
        <f aca="false">IF(E156&gt;1,"DUPLICATE - Review",IF(G156&gt;Assumptions!$B$6,"OVERPAID - Review","OK"))</f>
        <v>OK</v>
      </c>
    </row>
    <row r="157" customFormat="false" ht="15" hidden="false" customHeight="false" outlineLevel="0" collapsed="false">
      <c r="A157" s="16" t="str">
        <f aca="false">Vendor_Invoices_AP!A154</f>
        <v>INV30153</v>
      </c>
      <c r="B157" s="16" t="str">
        <f aca="false">Vendor_Invoices_AP!C154</f>
        <v>V1039</v>
      </c>
      <c r="C157" s="16" t="str">
        <f aca="false">IFERROR(INDEX(Vendor_Master!$B$2:$B$41,MATCH(B157,Vendor_Master!$A$2:$A$41,0)),"Unknown Vendor")</f>
        <v>Campos, Vaughn and Marquez</v>
      </c>
      <c r="D157" s="18" t="n">
        <f aca="false">Vendor_Invoices_AP!E154</f>
        <v>4664.8</v>
      </c>
      <c r="E157" s="16" t="n">
        <f aca="false">COUNTIF(Payment_Log_AP!$B$2:$B$753,A157)</f>
        <v>1</v>
      </c>
      <c r="F157" s="18" t="n">
        <f aca="false">SUMIFS(Payment_Log_AP!$E$2:$E$753,Payment_Log_AP!$B$2:$B$753,A157)</f>
        <v>4664.8</v>
      </c>
      <c r="G157" s="18" t="n">
        <f aca="false">MAX(F157-D157,0)</f>
        <v>0</v>
      </c>
      <c r="H157" s="16" t="str">
        <f aca="false">IF(E157&gt;1,"DUPLICATE - Review",IF(G157&gt;Assumptions!$B$6,"OVERPAID - Review","OK"))</f>
        <v>OK</v>
      </c>
    </row>
    <row r="158" customFormat="false" ht="15" hidden="false" customHeight="false" outlineLevel="0" collapsed="false">
      <c r="A158" s="16" t="str">
        <f aca="false">Vendor_Invoices_AP!A155</f>
        <v>INV30154</v>
      </c>
      <c r="B158" s="16" t="str">
        <f aca="false">Vendor_Invoices_AP!C155</f>
        <v>V1015</v>
      </c>
      <c r="C158" s="16" t="str">
        <f aca="false">IFERROR(INDEX(Vendor_Master!$B$2:$B$41,MATCH(B158,Vendor_Master!$A$2:$A$41,0)),"Unknown Vendor")</f>
        <v>Zuniga, Wong and Lynch</v>
      </c>
      <c r="D158" s="18" t="n">
        <f aca="false">Vendor_Invoices_AP!E155</f>
        <v>2106.89</v>
      </c>
      <c r="E158" s="16" t="n">
        <f aca="false">COUNTIF(Payment_Log_AP!$B$2:$B$753,A158)</f>
        <v>1</v>
      </c>
      <c r="F158" s="18" t="n">
        <f aca="false">SUMIFS(Payment_Log_AP!$E$2:$E$753,Payment_Log_AP!$B$2:$B$753,A158)</f>
        <v>2106.89</v>
      </c>
      <c r="G158" s="18" t="n">
        <f aca="false">MAX(F158-D158,0)</f>
        <v>0</v>
      </c>
      <c r="H158" s="16" t="str">
        <f aca="false">IF(E158&gt;1,"DUPLICATE - Review",IF(G158&gt;Assumptions!$B$6,"OVERPAID - Review","OK"))</f>
        <v>OK</v>
      </c>
    </row>
    <row r="159" customFormat="false" ht="15" hidden="false" customHeight="false" outlineLevel="0" collapsed="false">
      <c r="A159" s="16" t="str">
        <f aca="false">Vendor_Invoices_AP!A156</f>
        <v>INV30155</v>
      </c>
      <c r="B159" s="16" t="str">
        <f aca="false">Vendor_Invoices_AP!C156</f>
        <v>V1008</v>
      </c>
      <c r="C159" s="16" t="str">
        <f aca="false">IFERROR(INDEX(Vendor_Master!$B$2:$B$41,MATCH(B159,Vendor_Master!$A$2:$A$41,0)),"Unknown Vendor")</f>
        <v>Davis Inc</v>
      </c>
      <c r="D159" s="18" t="n">
        <f aca="false">Vendor_Invoices_AP!E156</f>
        <v>7303.36</v>
      </c>
      <c r="E159" s="16" t="n">
        <f aca="false">COUNTIF(Payment_Log_AP!$B$2:$B$753,A159)</f>
        <v>1</v>
      </c>
      <c r="F159" s="18" t="n">
        <f aca="false">SUMIFS(Payment_Log_AP!$E$2:$E$753,Payment_Log_AP!$B$2:$B$753,A159)</f>
        <v>7303.36</v>
      </c>
      <c r="G159" s="18" t="n">
        <f aca="false">MAX(F159-D159,0)</f>
        <v>0</v>
      </c>
      <c r="H159" s="16" t="str">
        <f aca="false">IF(E159&gt;1,"DUPLICATE - Review",IF(G159&gt;Assumptions!$B$6,"OVERPAID - Review","OK"))</f>
        <v>OK</v>
      </c>
    </row>
    <row r="160" customFormat="false" ht="15" hidden="false" customHeight="false" outlineLevel="0" collapsed="false">
      <c r="A160" s="16" t="str">
        <f aca="false">Vendor_Invoices_AP!A157</f>
        <v>INV30156</v>
      </c>
      <c r="B160" s="16" t="str">
        <f aca="false">Vendor_Invoices_AP!C157</f>
        <v>V1001</v>
      </c>
      <c r="C160" s="16" t="str">
        <f aca="false">IFERROR(INDEX(Vendor_Master!$B$2:$B$41,MATCH(B160,Vendor_Master!$A$2:$A$41,0)),"Unknown Vendor")</f>
        <v>Figueroa and Sons</v>
      </c>
      <c r="D160" s="18" t="n">
        <f aca="false">Vendor_Invoices_AP!E157</f>
        <v>2285.28</v>
      </c>
      <c r="E160" s="16" t="n">
        <f aca="false">COUNTIF(Payment_Log_AP!$B$2:$B$753,A160)</f>
        <v>1</v>
      </c>
      <c r="F160" s="18" t="n">
        <f aca="false">SUMIFS(Payment_Log_AP!$E$2:$E$753,Payment_Log_AP!$B$2:$B$753,A160)</f>
        <v>2285.28</v>
      </c>
      <c r="G160" s="18" t="n">
        <f aca="false">MAX(F160-D160,0)</f>
        <v>0</v>
      </c>
      <c r="H160" s="16" t="str">
        <f aca="false">IF(E160&gt;1,"DUPLICATE - Review",IF(G160&gt;Assumptions!$B$6,"OVERPAID - Review","OK"))</f>
        <v>OK</v>
      </c>
    </row>
    <row r="161" customFormat="false" ht="15" hidden="false" customHeight="false" outlineLevel="0" collapsed="false">
      <c r="A161" s="16" t="str">
        <f aca="false">Vendor_Invoices_AP!A158</f>
        <v>INV30157</v>
      </c>
      <c r="B161" s="16" t="str">
        <f aca="false">Vendor_Invoices_AP!C158</f>
        <v>V1018</v>
      </c>
      <c r="C161" s="16" t="str">
        <f aca="false">IFERROR(INDEX(Vendor_Master!$B$2:$B$41,MATCH(B161,Vendor_Master!$A$2:$A$41,0)),"Unknown Vendor")</f>
        <v>Underwood LLC</v>
      </c>
      <c r="D161" s="18" t="n">
        <f aca="false">Vendor_Invoices_AP!E158</f>
        <v>358.03</v>
      </c>
      <c r="E161" s="16" t="n">
        <f aca="false">COUNTIF(Payment_Log_AP!$B$2:$B$753,A161)</f>
        <v>1</v>
      </c>
      <c r="F161" s="18" t="n">
        <f aca="false">SUMIFS(Payment_Log_AP!$E$2:$E$753,Payment_Log_AP!$B$2:$B$753,A161)</f>
        <v>358.03</v>
      </c>
      <c r="G161" s="18" t="n">
        <f aca="false">MAX(F161-D161,0)</f>
        <v>0</v>
      </c>
      <c r="H161" s="16" t="str">
        <f aca="false">IF(E161&gt;1,"DUPLICATE - Review",IF(G161&gt;Assumptions!$B$6,"OVERPAID - Review","OK"))</f>
        <v>OK</v>
      </c>
    </row>
    <row r="162" customFormat="false" ht="15" hidden="false" customHeight="false" outlineLevel="0" collapsed="false">
      <c r="A162" s="16" t="str">
        <f aca="false">Vendor_Invoices_AP!A159</f>
        <v>INV30158</v>
      </c>
      <c r="B162" s="16" t="str">
        <f aca="false">Vendor_Invoices_AP!C159</f>
        <v>V1017</v>
      </c>
      <c r="C162" s="16" t="str">
        <f aca="false">IFERROR(INDEX(Vendor_Master!$B$2:$B$41,MATCH(B162,Vendor_Master!$A$2:$A$41,0)),"Unknown Vendor")</f>
        <v>Hawkins, Cohen and Cameron</v>
      </c>
      <c r="D162" s="18" t="n">
        <f aca="false">Vendor_Invoices_AP!E159</f>
        <v>2062.27</v>
      </c>
      <c r="E162" s="16" t="n">
        <f aca="false">COUNTIF(Payment_Log_AP!$B$2:$B$753,A162)</f>
        <v>1</v>
      </c>
      <c r="F162" s="18" t="n">
        <f aca="false">SUMIFS(Payment_Log_AP!$E$2:$E$753,Payment_Log_AP!$B$2:$B$753,A162)</f>
        <v>2062.27</v>
      </c>
      <c r="G162" s="18" t="n">
        <f aca="false">MAX(F162-D162,0)</f>
        <v>0</v>
      </c>
      <c r="H162" s="16" t="str">
        <f aca="false">IF(E162&gt;1,"DUPLICATE - Review",IF(G162&gt;Assumptions!$B$6,"OVERPAID - Review","OK"))</f>
        <v>OK</v>
      </c>
    </row>
    <row r="163" customFormat="false" ht="15" hidden="false" customHeight="false" outlineLevel="0" collapsed="false">
      <c r="A163" s="16" t="str">
        <f aca="false">Vendor_Invoices_AP!A160</f>
        <v>INV30159</v>
      </c>
      <c r="B163" s="16" t="str">
        <f aca="false">Vendor_Invoices_AP!C160</f>
        <v>V1025</v>
      </c>
      <c r="C163" s="16" t="str">
        <f aca="false">IFERROR(INDEX(Vendor_Master!$B$2:$B$41,MATCH(B163,Vendor_Master!$A$2:$A$41,0)),"Unknown Vendor")</f>
        <v>Conner Group</v>
      </c>
      <c r="D163" s="18" t="n">
        <f aca="false">Vendor_Invoices_AP!E160</f>
        <v>8142.95</v>
      </c>
      <c r="E163" s="16" t="n">
        <f aca="false">COUNTIF(Payment_Log_AP!$B$2:$B$753,A163)</f>
        <v>1</v>
      </c>
      <c r="F163" s="18" t="n">
        <f aca="false">SUMIFS(Payment_Log_AP!$E$2:$E$753,Payment_Log_AP!$B$2:$B$753,A163)</f>
        <v>8142.95</v>
      </c>
      <c r="G163" s="18" t="n">
        <f aca="false">MAX(F163-D163,0)</f>
        <v>0</v>
      </c>
      <c r="H163" s="16" t="str">
        <f aca="false">IF(E163&gt;1,"DUPLICATE - Review",IF(G163&gt;Assumptions!$B$6,"OVERPAID - Review","OK"))</f>
        <v>OK</v>
      </c>
    </row>
    <row r="164" customFormat="false" ht="15" hidden="false" customHeight="false" outlineLevel="0" collapsed="false">
      <c r="A164" s="16" t="str">
        <f aca="false">Vendor_Invoices_AP!A161</f>
        <v>INV30160</v>
      </c>
      <c r="B164" s="16" t="str">
        <f aca="false">Vendor_Invoices_AP!C161</f>
        <v>V1017</v>
      </c>
      <c r="C164" s="16" t="str">
        <f aca="false">IFERROR(INDEX(Vendor_Master!$B$2:$B$41,MATCH(B164,Vendor_Master!$A$2:$A$41,0)),"Unknown Vendor")</f>
        <v>Hawkins, Cohen and Cameron</v>
      </c>
      <c r="D164" s="18" t="n">
        <f aca="false">Vendor_Invoices_AP!E161</f>
        <v>499.89</v>
      </c>
      <c r="E164" s="16" t="n">
        <f aca="false">COUNTIF(Payment_Log_AP!$B$2:$B$753,A164)</f>
        <v>1</v>
      </c>
      <c r="F164" s="18" t="n">
        <f aca="false">SUMIFS(Payment_Log_AP!$E$2:$E$753,Payment_Log_AP!$B$2:$B$753,A164)</f>
        <v>499.89</v>
      </c>
      <c r="G164" s="18" t="n">
        <f aca="false">MAX(F164-D164,0)</f>
        <v>0</v>
      </c>
      <c r="H164" s="16" t="str">
        <f aca="false">IF(E164&gt;1,"DUPLICATE - Review",IF(G164&gt;Assumptions!$B$6,"OVERPAID - Review","OK"))</f>
        <v>OK</v>
      </c>
    </row>
    <row r="165" customFormat="false" ht="15" hidden="false" customHeight="false" outlineLevel="0" collapsed="false">
      <c r="A165" s="16" t="str">
        <f aca="false">Vendor_Invoices_AP!A162</f>
        <v>INV30161</v>
      </c>
      <c r="B165" s="16" t="str">
        <f aca="false">Vendor_Invoices_AP!C162</f>
        <v>V1007</v>
      </c>
      <c r="C165" s="16" t="str">
        <f aca="false">IFERROR(INDEX(Vendor_Master!$B$2:$B$41,MATCH(B165,Vendor_Master!$A$2:$A$41,0)),"Unknown Vendor")</f>
        <v>Ramirez-Lewis</v>
      </c>
      <c r="D165" s="18" t="n">
        <f aca="false">Vendor_Invoices_AP!E162</f>
        <v>2573.09</v>
      </c>
      <c r="E165" s="16" t="n">
        <f aca="false">COUNTIF(Payment_Log_AP!$B$2:$B$753,A165)</f>
        <v>1</v>
      </c>
      <c r="F165" s="18" t="n">
        <f aca="false">SUMIFS(Payment_Log_AP!$E$2:$E$753,Payment_Log_AP!$B$2:$B$753,A165)</f>
        <v>2573.09</v>
      </c>
      <c r="G165" s="18" t="n">
        <f aca="false">MAX(F165-D165,0)</f>
        <v>0</v>
      </c>
      <c r="H165" s="16" t="str">
        <f aca="false">IF(E165&gt;1,"DUPLICATE - Review",IF(G165&gt;Assumptions!$B$6,"OVERPAID - Review","OK"))</f>
        <v>OK</v>
      </c>
    </row>
    <row r="166" customFormat="false" ht="15" hidden="false" customHeight="false" outlineLevel="0" collapsed="false">
      <c r="A166" s="16" t="str">
        <f aca="false">Vendor_Invoices_AP!A163</f>
        <v>INV30162</v>
      </c>
      <c r="B166" s="16" t="str">
        <f aca="false">Vendor_Invoices_AP!C163</f>
        <v>V1002</v>
      </c>
      <c r="C166" s="16" t="str">
        <f aca="false">IFERROR(INDEX(Vendor_Master!$B$2:$B$41,MATCH(B166,Vendor_Master!$A$2:$A$41,0)),"Unknown Vendor")</f>
        <v>Garcia, Yang and Gardner</v>
      </c>
      <c r="D166" s="18" t="n">
        <f aca="false">Vendor_Invoices_AP!E163</f>
        <v>2632.16</v>
      </c>
      <c r="E166" s="16" t="n">
        <f aca="false">COUNTIF(Payment_Log_AP!$B$2:$B$753,A166)</f>
        <v>1</v>
      </c>
      <c r="F166" s="18" t="n">
        <f aca="false">SUMIFS(Payment_Log_AP!$E$2:$E$753,Payment_Log_AP!$B$2:$B$753,A166)</f>
        <v>2632.16</v>
      </c>
      <c r="G166" s="18" t="n">
        <f aca="false">MAX(F166-D166,0)</f>
        <v>0</v>
      </c>
      <c r="H166" s="16" t="str">
        <f aca="false">IF(E166&gt;1,"DUPLICATE - Review",IF(G166&gt;Assumptions!$B$6,"OVERPAID - Review","OK"))</f>
        <v>OK</v>
      </c>
    </row>
    <row r="167" customFormat="false" ht="15" hidden="false" customHeight="false" outlineLevel="0" collapsed="false">
      <c r="A167" s="16" t="str">
        <f aca="false">Vendor_Invoices_AP!A164</f>
        <v>INV30163</v>
      </c>
      <c r="B167" s="16" t="str">
        <f aca="false">Vendor_Invoices_AP!C164</f>
        <v>V1001</v>
      </c>
      <c r="C167" s="16" t="str">
        <f aca="false">IFERROR(INDEX(Vendor_Master!$B$2:$B$41,MATCH(B167,Vendor_Master!$A$2:$A$41,0)),"Unknown Vendor")</f>
        <v>Figueroa and Sons</v>
      </c>
      <c r="D167" s="18" t="n">
        <f aca="false">Vendor_Invoices_AP!E164</f>
        <v>332.16</v>
      </c>
      <c r="E167" s="16" t="n">
        <f aca="false">COUNTIF(Payment_Log_AP!$B$2:$B$753,A167)</f>
        <v>1</v>
      </c>
      <c r="F167" s="18" t="n">
        <f aca="false">SUMIFS(Payment_Log_AP!$E$2:$E$753,Payment_Log_AP!$B$2:$B$753,A167)</f>
        <v>332.16</v>
      </c>
      <c r="G167" s="18" t="n">
        <f aca="false">MAX(F167-D167,0)</f>
        <v>0</v>
      </c>
      <c r="H167" s="16" t="str">
        <f aca="false">IF(E167&gt;1,"DUPLICATE - Review",IF(G167&gt;Assumptions!$B$6,"OVERPAID - Review","OK"))</f>
        <v>OK</v>
      </c>
    </row>
    <row r="168" customFormat="false" ht="15" hidden="false" customHeight="false" outlineLevel="0" collapsed="false">
      <c r="A168" s="16" t="str">
        <f aca="false">Vendor_Invoices_AP!A165</f>
        <v>INV30164</v>
      </c>
      <c r="B168" s="16" t="str">
        <f aca="false">Vendor_Invoices_AP!C165</f>
        <v>V1021</v>
      </c>
      <c r="C168" s="16" t="str">
        <f aca="false">IFERROR(INDEX(Vendor_Master!$B$2:$B$41,MATCH(B168,Vendor_Master!$A$2:$A$41,0)),"Unknown Vendor")</f>
        <v>Ellis, Baker and Wright</v>
      </c>
      <c r="D168" s="18" t="n">
        <f aca="false">Vendor_Invoices_AP!E165</f>
        <v>390.27</v>
      </c>
      <c r="E168" s="16" t="n">
        <f aca="false">COUNTIF(Payment_Log_AP!$B$2:$B$753,A168)</f>
        <v>0</v>
      </c>
      <c r="F168" s="18" t="n">
        <f aca="false">SUMIFS(Payment_Log_AP!$E$2:$E$753,Payment_Log_AP!$B$2:$B$753,A168)</f>
        <v>0</v>
      </c>
      <c r="G168" s="18" t="n">
        <f aca="false">MAX(F168-D168,0)</f>
        <v>0</v>
      </c>
      <c r="H168" s="16" t="str">
        <f aca="false">IF(E168&gt;1,"DUPLICATE - Review",IF(G168&gt;Assumptions!$B$6,"OVERPAID - Review","OK"))</f>
        <v>OK</v>
      </c>
    </row>
    <row r="169" customFormat="false" ht="15" hidden="false" customHeight="false" outlineLevel="0" collapsed="false">
      <c r="A169" s="16" t="str">
        <f aca="false">Vendor_Invoices_AP!A166</f>
        <v>INV30165</v>
      </c>
      <c r="B169" s="16" t="str">
        <f aca="false">Vendor_Invoices_AP!C166</f>
        <v>V1035</v>
      </c>
      <c r="C169" s="16" t="str">
        <f aca="false">IFERROR(INDEX(Vendor_Master!$B$2:$B$41,MATCH(B169,Vendor_Master!$A$2:$A$41,0)),"Unknown Vendor")</f>
        <v>Allen PLC</v>
      </c>
      <c r="D169" s="18" t="n">
        <f aca="false">Vendor_Invoices_AP!E166</f>
        <v>783.53</v>
      </c>
      <c r="E169" s="16" t="n">
        <f aca="false">COUNTIF(Payment_Log_AP!$B$2:$B$753,A169)</f>
        <v>1</v>
      </c>
      <c r="F169" s="18" t="n">
        <f aca="false">SUMIFS(Payment_Log_AP!$E$2:$E$753,Payment_Log_AP!$B$2:$B$753,A169)</f>
        <v>783.53</v>
      </c>
      <c r="G169" s="18" t="n">
        <f aca="false">MAX(F169-D169,0)</f>
        <v>0</v>
      </c>
      <c r="H169" s="16" t="str">
        <f aca="false">IF(E169&gt;1,"DUPLICATE - Review",IF(G169&gt;Assumptions!$B$6,"OVERPAID - Review","OK"))</f>
        <v>OK</v>
      </c>
    </row>
    <row r="170" customFormat="false" ht="15" hidden="false" customHeight="false" outlineLevel="0" collapsed="false">
      <c r="A170" s="16" t="str">
        <f aca="false">Vendor_Invoices_AP!A167</f>
        <v>INV30166</v>
      </c>
      <c r="B170" s="16" t="str">
        <f aca="false">Vendor_Invoices_AP!C167</f>
        <v>V1025</v>
      </c>
      <c r="C170" s="16" t="str">
        <f aca="false">IFERROR(INDEX(Vendor_Master!$B$2:$B$41,MATCH(B170,Vendor_Master!$A$2:$A$41,0)),"Unknown Vendor")</f>
        <v>Conner Group</v>
      </c>
      <c r="D170" s="18" t="n">
        <f aca="false">Vendor_Invoices_AP!E167</f>
        <v>2198.89</v>
      </c>
      <c r="E170" s="16" t="n">
        <f aca="false">COUNTIF(Payment_Log_AP!$B$2:$B$753,A170)</f>
        <v>0</v>
      </c>
      <c r="F170" s="18" t="n">
        <f aca="false">SUMIFS(Payment_Log_AP!$E$2:$E$753,Payment_Log_AP!$B$2:$B$753,A170)</f>
        <v>0</v>
      </c>
      <c r="G170" s="18" t="n">
        <f aca="false">MAX(F170-D170,0)</f>
        <v>0</v>
      </c>
      <c r="H170" s="16" t="str">
        <f aca="false">IF(E170&gt;1,"DUPLICATE - Review",IF(G170&gt;Assumptions!$B$6,"OVERPAID - Review","OK"))</f>
        <v>OK</v>
      </c>
    </row>
    <row r="171" customFormat="false" ht="15" hidden="false" customHeight="false" outlineLevel="0" collapsed="false">
      <c r="A171" s="16" t="str">
        <f aca="false">Vendor_Invoices_AP!A168</f>
        <v>INV30167</v>
      </c>
      <c r="B171" s="16" t="str">
        <f aca="false">Vendor_Invoices_AP!C168</f>
        <v>V1011</v>
      </c>
      <c r="C171" s="16" t="str">
        <f aca="false">IFERROR(INDEX(Vendor_Master!$B$2:$B$41,MATCH(B171,Vendor_Master!$A$2:$A$41,0)),"Unknown Vendor")</f>
        <v>Montgomery, Hensley and Ray</v>
      </c>
      <c r="D171" s="18" t="n">
        <f aca="false">Vendor_Invoices_AP!E168</f>
        <v>327.42</v>
      </c>
      <c r="E171" s="16" t="n">
        <f aca="false">COUNTIF(Payment_Log_AP!$B$2:$B$753,A171)</f>
        <v>1</v>
      </c>
      <c r="F171" s="18" t="n">
        <f aca="false">SUMIFS(Payment_Log_AP!$E$2:$E$753,Payment_Log_AP!$B$2:$B$753,A171)</f>
        <v>327.42</v>
      </c>
      <c r="G171" s="18" t="n">
        <f aca="false">MAX(F171-D171,0)</f>
        <v>0</v>
      </c>
      <c r="H171" s="16" t="str">
        <f aca="false">IF(E171&gt;1,"DUPLICATE - Review",IF(G171&gt;Assumptions!$B$6,"OVERPAID - Review","OK"))</f>
        <v>OK</v>
      </c>
    </row>
    <row r="172" customFormat="false" ht="15" hidden="false" customHeight="false" outlineLevel="0" collapsed="false">
      <c r="A172" s="16" t="str">
        <f aca="false">Vendor_Invoices_AP!A169</f>
        <v>INV30168</v>
      </c>
      <c r="B172" s="16" t="str">
        <f aca="false">Vendor_Invoices_AP!C169</f>
        <v>V1014</v>
      </c>
      <c r="C172" s="16" t="str">
        <f aca="false">IFERROR(INDEX(Vendor_Master!$B$2:$B$41,MATCH(B172,Vendor_Master!$A$2:$A$41,0)),"Unknown Vendor")</f>
        <v>Flowers, Martin and Kelly</v>
      </c>
      <c r="D172" s="18" t="n">
        <f aca="false">Vendor_Invoices_AP!E169</f>
        <v>12338.24</v>
      </c>
      <c r="E172" s="16" t="n">
        <f aca="false">COUNTIF(Payment_Log_AP!$B$2:$B$753,A172)</f>
        <v>1</v>
      </c>
      <c r="F172" s="18" t="n">
        <f aca="false">SUMIFS(Payment_Log_AP!$E$2:$E$753,Payment_Log_AP!$B$2:$B$753,A172)</f>
        <v>12338.24</v>
      </c>
      <c r="G172" s="18" t="n">
        <f aca="false">MAX(F172-D172,0)</f>
        <v>0</v>
      </c>
      <c r="H172" s="16" t="str">
        <f aca="false">IF(E172&gt;1,"DUPLICATE - Review",IF(G172&gt;Assumptions!$B$6,"OVERPAID - Review","OK"))</f>
        <v>OK</v>
      </c>
    </row>
    <row r="173" customFormat="false" ht="15" hidden="false" customHeight="false" outlineLevel="0" collapsed="false">
      <c r="A173" s="16" t="str">
        <f aca="false">Vendor_Invoices_AP!A170</f>
        <v>INV30169</v>
      </c>
      <c r="B173" s="16" t="str">
        <f aca="false">Vendor_Invoices_AP!C170</f>
        <v>V1022</v>
      </c>
      <c r="C173" s="16" t="str">
        <f aca="false">IFERROR(INDEX(Vendor_Master!$B$2:$B$41,MATCH(B173,Vendor_Master!$A$2:$A$41,0)),"Unknown Vendor")</f>
        <v>Burgess-Patterson</v>
      </c>
      <c r="D173" s="18" t="n">
        <f aca="false">Vendor_Invoices_AP!E170</f>
        <v>1431.29</v>
      </c>
      <c r="E173" s="16" t="n">
        <f aca="false">COUNTIF(Payment_Log_AP!$B$2:$B$753,A173)</f>
        <v>1</v>
      </c>
      <c r="F173" s="18" t="n">
        <f aca="false">SUMIFS(Payment_Log_AP!$E$2:$E$753,Payment_Log_AP!$B$2:$B$753,A173)</f>
        <v>1431.29</v>
      </c>
      <c r="G173" s="18" t="n">
        <f aca="false">MAX(F173-D173,0)</f>
        <v>0</v>
      </c>
      <c r="H173" s="16" t="str">
        <f aca="false">IF(E173&gt;1,"DUPLICATE - Review",IF(G173&gt;Assumptions!$B$6,"OVERPAID - Review","OK"))</f>
        <v>OK</v>
      </c>
    </row>
    <row r="174" customFormat="false" ht="15" hidden="false" customHeight="false" outlineLevel="0" collapsed="false">
      <c r="A174" s="16" t="str">
        <f aca="false">Vendor_Invoices_AP!A171</f>
        <v>INV30170</v>
      </c>
      <c r="B174" s="16" t="str">
        <f aca="false">Vendor_Invoices_AP!C171</f>
        <v>V1028</v>
      </c>
      <c r="C174" s="16" t="str">
        <f aca="false">IFERROR(INDEX(Vendor_Master!$B$2:$B$41,MATCH(B174,Vendor_Master!$A$2:$A$41,0)),"Unknown Vendor")</f>
        <v>Potter, Mack and Peterson</v>
      </c>
      <c r="D174" s="18" t="n">
        <f aca="false">Vendor_Invoices_AP!E171</f>
        <v>9458.18</v>
      </c>
      <c r="E174" s="16" t="n">
        <f aca="false">COUNTIF(Payment_Log_AP!$B$2:$B$753,A174)</f>
        <v>1</v>
      </c>
      <c r="F174" s="18" t="n">
        <f aca="false">SUMIFS(Payment_Log_AP!$E$2:$E$753,Payment_Log_AP!$B$2:$B$753,A174)</f>
        <v>9458.18</v>
      </c>
      <c r="G174" s="18" t="n">
        <f aca="false">MAX(F174-D174,0)</f>
        <v>0</v>
      </c>
      <c r="H174" s="16" t="str">
        <f aca="false">IF(E174&gt;1,"DUPLICATE - Review",IF(G174&gt;Assumptions!$B$6,"OVERPAID - Review","OK"))</f>
        <v>OK</v>
      </c>
    </row>
    <row r="175" customFormat="false" ht="15" hidden="false" customHeight="false" outlineLevel="0" collapsed="false">
      <c r="A175" s="16" t="str">
        <f aca="false">Vendor_Invoices_AP!A172</f>
        <v>INV30171</v>
      </c>
      <c r="B175" s="16" t="str">
        <f aca="false">Vendor_Invoices_AP!C172</f>
        <v>V1033</v>
      </c>
      <c r="C175" s="16" t="str">
        <f aca="false">IFERROR(INDEX(Vendor_Master!$B$2:$B$41,MATCH(B175,Vendor_Master!$A$2:$A$41,0)),"Unknown Vendor")</f>
        <v>Sellers, George and Burns</v>
      </c>
      <c r="D175" s="18" t="n">
        <f aca="false">Vendor_Invoices_AP!E172</f>
        <v>354.26</v>
      </c>
      <c r="E175" s="16" t="n">
        <f aca="false">COUNTIF(Payment_Log_AP!$B$2:$B$753,A175)</f>
        <v>1</v>
      </c>
      <c r="F175" s="18" t="n">
        <f aca="false">SUMIFS(Payment_Log_AP!$E$2:$E$753,Payment_Log_AP!$B$2:$B$753,A175)</f>
        <v>354.26</v>
      </c>
      <c r="G175" s="18" t="n">
        <f aca="false">MAX(F175-D175,0)</f>
        <v>0</v>
      </c>
      <c r="H175" s="16" t="str">
        <f aca="false">IF(E175&gt;1,"DUPLICATE - Review",IF(G175&gt;Assumptions!$B$6,"OVERPAID - Review","OK"))</f>
        <v>OK</v>
      </c>
    </row>
    <row r="176" customFormat="false" ht="15" hidden="false" customHeight="false" outlineLevel="0" collapsed="false">
      <c r="A176" s="16" t="str">
        <f aca="false">Vendor_Invoices_AP!A173</f>
        <v>INV30172</v>
      </c>
      <c r="B176" s="16" t="str">
        <f aca="false">Vendor_Invoices_AP!C173</f>
        <v>V1024</v>
      </c>
      <c r="C176" s="16" t="str">
        <f aca="false">IFERROR(INDEX(Vendor_Master!$B$2:$B$41,MATCH(B176,Vendor_Master!$A$2:$A$41,0)),"Unknown Vendor")</f>
        <v>Campos Inc</v>
      </c>
      <c r="D176" s="18" t="n">
        <f aca="false">Vendor_Invoices_AP!E173</f>
        <v>1640.65</v>
      </c>
      <c r="E176" s="16" t="n">
        <f aca="false">COUNTIF(Payment_Log_AP!$B$2:$B$753,A176)</f>
        <v>1</v>
      </c>
      <c r="F176" s="18" t="n">
        <f aca="false">SUMIFS(Payment_Log_AP!$E$2:$E$753,Payment_Log_AP!$B$2:$B$753,A176)</f>
        <v>1640.65</v>
      </c>
      <c r="G176" s="18" t="n">
        <f aca="false">MAX(F176-D176,0)</f>
        <v>0</v>
      </c>
      <c r="H176" s="16" t="str">
        <f aca="false">IF(E176&gt;1,"DUPLICATE - Review",IF(G176&gt;Assumptions!$B$6,"OVERPAID - Review","OK"))</f>
        <v>OK</v>
      </c>
    </row>
    <row r="177" customFormat="false" ht="15" hidden="false" customHeight="false" outlineLevel="0" collapsed="false">
      <c r="A177" s="16" t="str">
        <f aca="false">Vendor_Invoices_AP!A174</f>
        <v>INV30173</v>
      </c>
      <c r="B177" s="16" t="str">
        <f aca="false">Vendor_Invoices_AP!C174</f>
        <v>V1024</v>
      </c>
      <c r="C177" s="16" t="str">
        <f aca="false">IFERROR(INDEX(Vendor_Master!$B$2:$B$41,MATCH(B177,Vendor_Master!$A$2:$A$41,0)),"Unknown Vendor")</f>
        <v>Campos Inc</v>
      </c>
      <c r="D177" s="18" t="n">
        <f aca="false">Vendor_Invoices_AP!E174</f>
        <v>1640.65</v>
      </c>
      <c r="E177" s="16" t="n">
        <f aca="false">COUNTIF(Payment_Log_AP!$B$2:$B$753,A177)</f>
        <v>1</v>
      </c>
      <c r="F177" s="18" t="n">
        <f aca="false">SUMIFS(Payment_Log_AP!$E$2:$E$753,Payment_Log_AP!$B$2:$B$753,A177)</f>
        <v>1640.65</v>
      </c>
      <c r="G177" s="18" t="n">
        <f aca="false">MAX(F177-D177,0)</f>
        <v>0</v>
      </c>
      <c r="H177" s="16" t="str">
        <f aca="false">IF(E177&gt;1,"DUPLICATE - Review",IF(G177&gt;Assumptions!$B$6,"OVERPAID - Review","OK"))</f>
        <v>OK</v>
      </c>
    </row>
    <row r="178" customFormat="false" ht="15" hidden="false" customHeight="false" outlineLevel="0" collapsed="false">
      <c r="A178" s="16" t="str">
        <f aca="false">Vendor_Invoices_AP!A175</f>
        <v>INV30174</v>
      </c>
      <c r="B178" s="16" t="str">
        <f aca="false">Vendor_Invoices_AP!C175</f>
        <v>V1011</v>
      </c>
      <c r="C178" s="16" t="str">
        <f aca="false">IFERROR(INDEX(Vendor_Master!$B$2:$B$41,MATCH(B178,Vendor_Master!$A$2:$A$41,0)),"Unknown Vendor")</f>
        <v>Montgomery, Hensley and Ray</v>
      </c>
      <c r="D178" s="18" t="n">
        <f aca="false">Vendor_Invoices_AP!E175</f>
        <v>14457.87</v>
      </c>
      <c r="E178" s="16" t="n">
        <f aca="false">COUNTIF(Payment_Log_AP!$B$2:$B$753,A178)</f>
        <v>1</v>
      </c>
      <c r="F178" s="18" t="n">
        <f aca="false">SUMIFS(Payment_Log_AP!$E$2:$E$753,Payment_Log_AP!$B$2:$B$753,A178)</f>
        <v>14457.87</v>
      </c>
      <c r="G178" s="18" t="n">
        <f aca="false">MAX(F178-D178,0)</f>
        <v>0</v>
      </c>
      <c r="H178" s="16" t="str">
        <f aca="false">IF(E178&gt;1,"DUPLICATE - Review",IF(G178&gt;Assumptions!$B$6,"OVERPAID - Review","OK"))</f>
        <v>OK</v>
      </c>
    </row>
    <row r="179" customFormat="false" ht="15" hidden="false" customHeight="false" outlineLevel="0" collapsed="false">
      <c r="A179" s="16" t="str">
        <f aca="false">Vendor_Invoices_AP!A176</f>
        <v>INV30175</v>
      </c>
      <c r="B179" s="16" t="str">
        <f aca="false">Vendor_Invoices_AP!C176</f>
        <v>V1011</v>
      </c>
      <c r="C179" s="16" t="str">
        <f aca="false">IFERROR(INDEX(Vendor_Master!$B$2:$B$41,MATCH(B179,Vendor_Master!$A$2:$A$41,0)),"Unknown Vendor")</f>
        <v>Montgomery, Hensley and Ray</v>
      </c>
      <c r="D179" s="18" t="n">
        <f aca="false">Vendor_Invoices_AP!E176</f>
        <v>3828.96</v>
      </c>
      <c r="E179" s="16" t="n">
        <f aca="false">COUNTIF(Payment_Log_AP!$B$2:$B$753,A179)</f>
        <v>1</v>
      </c>
      <c r="F179" s="18" t="n">
        <f aca="false">SUMIFS(Payment_Log_AP!$E$2:$E$753,Payment_Log_AP!$B$2:$B$753,A179)</f>
        <v>3828.96</v>
      </c>
      <c r="G179" s="18" t="n">
        <f aca="false">MAX(F179-D179,0)</f>
        <v>0</v>
      </c>
      <c r="H179" s="16" t="str">
        <f aca="false">IF(E179&gt;1,"DUPLICATE - Review",IF(G179&gt;Assumptions!$B$6,"OVERPAID - Review","OK"))</f>
        <v>OK</v>
      </c>
    </row>
    <row r="180" customFormat="false" ht="15" hidden="false" customHeight="false" outlineLevel="0" collapsed="false">
      <c r="A180" s="16" t="str">
        <f aca="false">Vendor_Invoices_AP!A177</f>
        <v>INV30176</v>
      </c>
      <c r="B180" s="16" t="str">
        <f aca="false">Vendor_Invoices_AP!C177</f>
        <v>V1025</v>
      </c>
      <c r="C180" s="16" t="str">
        <f aca="false">IFERROR(INDEX(Vendor_Master!$B$2:$B$41,MATCH(B180,Vendor_Master!$A$2:$A$41,0)),"Unknown Vendor")</f>
        <v>Conner Group</v>
      </c>
      <c r="D180" s="18" t="n">
        <f aca="false">Vendor_Invoices_AP!E177</f>
        <v>1542.51</v>
      </c>
      <c r="E180" s="16" t="n">
        <f aca="false">COUNTIF(Payment_Log_AP!$B$2:$B$753,A180)</f>
        <v>1</v>
      </c>
      <c r="F180" s="18" t="n">
        <f aca="false">SUMIFS(Payment_Log_AP!$E$2:$E$753,Payment_Log_AP!$B$2:$B$753,A180)</f>
        <v>1542.51</v>
      </c>
      <c r="G180" s="18" t="n">
        <f aca="false">MAX(F180-D180,0)</f>
        <v>0</v>
      </c>
      <c r="H180" s="16" t="str">
        <f aca="false">IF(E180&gt;1,"DUPLICATE - Review",IF(G180&gt;Assumptions!$B$6,"OVERPAID - Review","OK"))</f>
        <v>OK</v>
      </c>
    </row>
    <row r="181" customFormat="false" ht="15" hidden="false" customHeight="false" outlineLevel="0" collapsed="false">
      <c r="A181" s="16" t="str">
        <f aca="false">Vendor_Invoices_AP!A178</f>
        <v>INV30177</v>
      </c>
      <c r="B181" s="16" t="str">
        <f aca="false">Vendor_Invoices_AP!C178</f>
        <v>V1020</v>
      </c>
      <c r="C181" s="16" t="str">
        <f aca="false">IFERROR(INDEX(Vendor_Master!$B$2:$B$41,MATCH(B181,Vendor_Master!$A$2:$A$41,0)),"Unknown Vendor")</f>
        <v>Lewis-Porter</v>
      </c>
      <c r="D181" s="18" t="n">
        <f aca="false">Vendor_Invoices_AP!E178</f>
        <v>1235.82</v>
      </c>
      <c r="E181" s="16" t="n">
        <f aca="false">COUNTIF(Payment_Log_AP!$B$2:$B$753,A181)</f>
        <v>1</v>
      </c>
      <c r="F181" s="18" t="n">
        <f aca="false">SUMIFS(Payment_Log_AP!$E$2:$E$753,Payment_Log_AP!$B$2:$B$753,A181)</f>
        <v>1235.82</v>
      </c>
      <c r="G181" s="18" t="n">
        <f aca="false">MAX(F181-D181,0)</f>
        <v>0</v>
      </c>
      <c r="H181" s="16" t="str">
        <f aca="false">IF(E181&gt;1,"DUPLICATE - Review",IF(G181&gt;Assumptions!$B$6,"OVERPAID - Review","OK"))</f>
        <v>OK</v>
      </c>
    </row>
    <row r="182" customFormat="false" ht="15" hidden="false" customHeight="false" outlineLevel="0" collapsed="false">
      <c r="A182" s="16" t="str">
        <f aca="false">Vendor_Invoices_AP!A179</f>
        <v>INV30178</v>
      </c>
      <c r="B182" s="16" t="str">
        <f aca="false">Vendor_Invoices_AP!C179</f>
        <v>V1005</v>
      </c>
      <c r="C182" s="16" t="str">
        <f aca="false">IFERROR(INDEX(Vendor_Master!$B$2:$B$41,MATCH(B182,Vendor_Master!$A$2:$A$41,0)),"Unknown Vendor")</f>
        <v>Cole LLC</v>
      </c>
      <c r="D182" s="18" t="n">
        <f aca="false">Vendor_Invoices_AP!E179</f>
        <v>21822.22</v>
      </c>
      <c r="E182" s="16" t="n">
        <f aca="false">COUNTIF(Payment_Log_AP!$B$2:$B$753,A182)</f>
        <v>1</v>
      </c>
      <c r="F182" s="18" t="n">
        <f aca="false">SUMIFS(Payment_Log_AP!$E$2:$E$753,Payment_Log_AP!$B$2:$B$753,A182)</f>
        <v>21822.22</v>
      </c>
      <c r="G182" s="18" t="n">
        <f aca="false">MAX(F182-D182,0)</f>
        <v>0</v>
      </c>
      <c r="H182" s="16" t="str">
        <f aca="false">IF(E182&gt;1,"DUPLICATE - Review",IF(G182&gt;Assumptions!$B$6,"OVERPAID - Review","OK"))</f>
        <v>OK</v>
      </c>
    </row>
    <row r="183" customFormat="false" ht="15" hidden="false" customHeight="false" outlineLevel="0" collapsed="false">
      <c r="A183" s="16" t="str">
        <f aca="false">Vendor_Invoices_AP!A180</f>
        <v>INV30179</v>
      </c>
      <c r="B183" s="16" t="str">
        <f aca="false">Vendor_Invoices_AP!C180</f>
        <v>V1001</v>
      </c>
      <c r="C183" s="16" t="str">
        <f aca="false">IFERROR(INDEX(Vendor_Master!$B$2:$B$41,MATCH(B183,Vendor_Master!$A$2:$A$41,0)),"Unknown Vendor")</f>
        <v>Figueroa and Sons</v>
      </c>
      <c r="D183" s="18" t="n">
        <f aca="false">Vendor_Invoices_AP!E180</f>
        <v>3828.8</v>
      </c>
      <c r="E183" s="16" t="n">
        <f aca="false">COUNTIF(Payment_Log_AP!$B$2:$B$753,A183)</f>
        <v>1</v>
      </c>
      <c r="F183" s="18" t="n">
        <f aca="false">SUMIFS(Payment_Log_AP!$E$2:$E$753,Payment_Log_AP!$B$2:$B$753,A183)</f>
        <v>3828.8</v>
      </c>
      <c r="G183" s="18" t="n">
        <f aca="false">MAX(F183-D183,0)</f>
        <v>0</v>
      </c>
      <c r="H183" s="16" t="str">
        <f aca="false">IF(E183&gt;1,"DUPLICATE - Review",IF(G183&gt;Assumptions!$B$6,"OVERPAID - Review","OK"))</f>
        <v>OK</v>
      </c>
    </row>
    <row r="184" customFormat="false" ht="15" hidden="false" customHeight="false" outlineLevel="0" collapsed="false">
      <c r="A184" s="16" t="str">
        <f aca="false">Vendor_Invoices_AP!A181</f>
        <v>INV30180</v>
      </c>
      <c r="B184" s="16" t="str">
        <f aca="false">Vendor_Invoices_AP!C181</f>
        <v>V1024</v>
      </c>
      <c r="C184" s="16" t="str">
        <f aca="false">IFERROR(INDEX(Vendor_Master!$B$2:$B$41,MATCH(B184,Vendor_Master!$A$2:$A$41,0)),"Unknown Vendor")</f>
        <v>Campos Inc</v>
      </c>
      <c r="D184" s="18" t="n">
        <f aca="false">Vendor_Invoices_AP!E181</f>
        <v>2084.01</v>
      </c>
      <c r="E184" s="16" t="n">
        <f aca="false">COUNTIF(Payment_Log_AP!$B$2:$B$753,A184)</f>
        <v>1</v>
      </c>
      <c r="F184" s="18" t="n">
        <f aca="false">SUMIFS(Payment_Log_AP!$E$2:$E$753,Payment_Log_AP!$B$2:$B$753,A184)</f>
        <v>2084.01</v>
      </c>
      <c r="G184" s="18" t="n">
        <f aca="false">MAX(F184-D184,0)</f>
        <v>0</v>
      </c>
      <c r="H184" s="16" t="str">
        <f aca="false">IF(E184&gt;1,"DUPLICATE - Review",IF(G184&gt;Assumptions!$B$6,"OVERPAID - Review","OK"))</f>
        <v>OK</v>
      </c>
    </row>
    <row r="185" customFormat="false" ht="15" hidden="false" customHeight="false" outlineLevel="0" collapsed="false">
      <c r="A185" s="16" t="str">
        <f aca="false">Vendor_Invoices_AP!A182</f>
        <v>INV30181</v>
      </c>
      <c r="B185" s="16" t="str">
        <f aca="false">Vendor_Invoices_AP!C182</f>
        <v>V1003</v>
      </c>
      <c r="C185" s="16" t="str">
        <f aca="false">IFERROR(INDEX(Vendor_Master!$B$2:$B$41,MATCH(B185,Vendor_Master!$A$2:$A$41,0)),"Unknown Vendor")</f>
        <v>Johnson and Sons</v>
      </c>
      <c r="D185" s="18" t="n">
        <f aca="false">Vendor_Invoices_AP!E182</f>
        <v>1489.22</v>
      </c>
      <c r="E185" s="16" t="n">
        <f aca="false">COUNTIF(Payment_Log_AP!$B$2:$B$753,A185)</f>
        <v>1</v>
      </c>
      <c r="F185" s="18" t="n">
        <f aca="false">SUMIFS(Payment_Log_AP!$E$2:$E$753,Payment_Log_AP!$B$2:$B$753,A185)</f>
        <v>1489.22</v>
      </c>
      <c r="G185" s="18" t="n">
        <f aca="false">MAX(F185-D185,0)</f>
        <v>0</v>
      </c>
      <c r="H185" s="16" t="str">
        <f aca="false">IF(E185&gt;1,"DUPLICATE - Review",IF(G185&gt;Assumptions!$B$6,"OVERPAID - Review","OK"))</f>
        <v>OK</v>
      </c>
    </row>
    <row r="186" customFormat="false" ht="15" hidden="false" customHeight="false" outlineLevel="0" collapsed="false">
      <c r="A186" s="16" t="str">
        <f aca="false">Vendor_Invoices_AP!A183</f>
        <v>INV30182</v>
      </c>
      <c r="B186" s="16" t="str">
        <f aca="false">Vendor_Invoices_AP!C183</f>
        <v>V1035</v>
      </c>
      <c r="C186" s="16" t="str">
        <f aca="false">IFERROR(INDEX(Vendor_Master!$B$2:$B$41,MATCH(B186,Vendor_Master!$A$2:$A$41,0)),"Unknown Vendor")</f>
        <v>Allen PLC</v>
      </c>
      <c r="D186" s="18" t="n">
        <f aca="false">Vendor_Invoices_AP!E183</f>
        <v>1056.69</v>
      </c>
      <c r="E186" s="16" t="n">
        <f aca="false">COUNTIF(Payment_Log_AP!$B$2:$B$753,A186)</f>
        <v>1</v>
      </c>
      <c r="F186" s="18" t="n">
        <f aca="false">SUMIFS(Payment_Log_AP!$E$2:$E$753,Payment_Log_AP!$B$2:$B$753,A186)</f>
        <v>1056.69</v>
      </c>
      <c r="G186" s="18" t="n">
        <f aca="false">MAX(F186-D186,0)</f>
        <v>0</v>
      </c>
      <c r="H186" s="16" t="str">
        <f aca="false">IF(E186&gt;1,"DUPLICATE - Review",IF(G186&gt;Assumptions!$B$6,"OVERPAID - Review","OK"))</f>
        <v>OK</v>
      </c>
    </row>
    <row r="187" customFormat="false" ht="15" hidden="false" customHeight="false" outlineLevel="0" collapsed="false">
      <c r="A187" s="16" t="str">
        <f aca="false">Vendor_Invoices_AP!A184</f>
        <v>INV30183</v>
      </c>
      <c r="B187" s="16" t="str">
        <f aca="false">Vendor_Invoices_AP!C184</f>
        <v>V1009</v>
      </c>
      <c r="C187" s="16" t="str">
        <f aca="false">IFERROR(INDEX(Vendor_Master!$B$2:$B$41,MATCH(B187,Vendor_Master!$A$2:$A$41,0)),"Unknown Vendor")</f>
        <v>Munoz-Roman</v>
      </c>
      <c r="D187" s="18" t="n">
        <f aca="false">Vendor_Invoices_AP!E184</f>
        <v>3628.81</v>
      </c>
      <c r="E187" s="16" t="n">
        <f aca="false">COUNTIF(Payment_Log_AP!$B$2:$B$753,A187)</f>
        <v>1</v>
      </c>
      <c r="F187" s="18" t="n">
        <f aca="false">SUMIFS(Payment_Log_AP!$E$2:$E$753,Payment_Log_AP!$B$2:$B$753,A187)</f>
        <v>3628.81</v>
      </c>
      <c r="G187" s="18" t="n">
        <f aca="false">MAX(F187-D187,0)</f>
        <v>0</v>
      </c>
      <c r="H187" s="16" t="str">
        <f aca="false">IF(E187&gt;1,"DUPLICATE - Review",IF(G187&gt;Assumptions!$B$6,"OVERPAID - Review","OK"))</f>
        <v>OK</v>
      </c>
    </row>
    <row r="188" customFormat="false" ht="15" hidden="false" customHeight="false" outlineLevel="0" collapsed="false">
      <c r="A188" s="16" t="str">
        <f aca="false">Vendor_Invoices_AP!A185</f>
        <v>INV30184</v>
      </c>
      <c r="B188" s="16" t="str">
        <f aca="false">Vendor_Invoices_AP!C185</f>
        <v>V1034</v>
      </c>
      <c r="C188" s="16" t="str">
        <f aca="false">IFERROR(INDEX(Vendor_Master!$B$2:$B$41,MATCH(B188,Vendor_Master!$A$2:$A$41,0)),"Unknown Vendor")</f>
        <v>Koch-Decker</v>
      </c>
      <c r="D188" s="18" t="n">
        <f aca="false">Vendor_Invoices_AP!E185</f>
        <v>588.95</v>
      </c>
      <c r="E188" s="16" t="n">
        <f aca="false">COUNTIF(Payment_Log_AP!$B$2:$B$753,A188)</f>
        <v>1</v>
      </c>
      <c r="F188" s="18" t="n">
        <f aca="false">SUMIFS(Payment_Log_AP!$E$2:$E$753,Payment_Log_AP!$B$2:$B$753,A188)</f>
        <v>588.95</v>
      </c>
      <c r="G188" s="18" t="n">
        <f aca="false">MAX(F188-D188,0)</f>
        <v>0</v>
      </c>
      <c r="H188" s="16" t="str">
        <f aca="false">IF(E188&gt;1,"DUPLICATE - Review",IF(G188&gt;Assumptions!$B$6,"OVERPAID - Review","OK"))</f>
        <v>OK</v>
      </c>
    </row>
    <row r="189" customFormat="false" ht="15" hidden="false" customHeight="false" outlineLevel="0" collapsed="false">
      <c r="A189" s="16" t="str">
        <f aca="false">Vendor_Invoices_AP!A186</f>
        <v>INV30185</v>
      </c>
      <c r="B189" s="16" t="str">
        <f aca="false">Vendor_Invoices_AP!C186</f>
        <v>V1017</v>
      </c>
      <c r="C189" s="16" t="str">
        <f aca="false">IFERROR(INDEX(Vendor_Master!$B$2:$B$41,MATCH(B189,Vendor_Master!$A$2:$A$41,0)),"Unknown Vendor")</f>
        <v>Hawkins, Cohen and Cameron</v>
      </c>
      <c r="D189" s="18" t="n">
        <f aca="false">Vendor_Invoices_AP!E186</f>
        <v>2268.78</v>
      </c>
      <c r="E189" s="16" t="n">
        <f aca="false">COUNTIF(Payment_Log_AP!$B$2:$B$753,A189)</f>
        <v>1</v>
      </c>
      <c r="F189" s="18" t="n">
        <f aca="false">SUMIFS(Payment_Log_AP!$E$2:$E$753,Payment_Log_AP!$B$2:$B$753,A189)</f>
        <v>2268.78</v>
      </c>
      <c r="G189" s="18" t="n">
        <f aca="false">MAX(F189-D189,0)</f>
        <v>0</v>
      </c>
      <c r="H189" s="16" t="str">
        <f aca="false">IF(E189&gt;1,"DUPLICATE - Review",IF(G189&gt;Assumptions!$B$6,"OVERPAID - Review","OK"))</f>
        <v>OK</v>
      </c>
    </row>
    <row r="190" customFormat="false" ht="15" hidden="false" customHeight="false" outlineLevel="0" collapsed="false">
      <c r="A190" s="16" t="str">
        <f aca="false">Vendor_Invoices_AP!A187</f>
        <v>INV30186</v>
      </c>
      <c r="B190" s="16" t="str">
        <f aca="false">Vendor_Invoices_AP!C187</f>
        <v>V1021</v>
      </c>
      <c r="C190" s="16" t="str">
        <f aca="false">IFERROR(INDEX(Vendor_Master!$B$2:$B$41,MATCH(B190,Vendor_Master!$A$2:$A$41,0)),"Unknown Vendor")</f>
        <v>Ellis, Baker and Wright</v>
      </c>
      <c r="D190" s="18" t="n">
        <f aca="false">Vendor_Invoices_AP!E187</f>
        <v>780.2</v>
      </c>
      <c r="E190" s="16" t="n">
        <f aca="false">COUNTIF(Payment_Log_AP!$B$2:$B$753,A190)</f>
        <v>0</v>
      </c>
      <c r="F190" s="18" t="n">
        <f aca="false">SUMIFS(Payment_Log_AP!$E$2:$E$753,Payment_Log_AP!$B$2:$B$753,A190)</f>
        <v>0</v>
      </c>
      <c r="G190" s="18" t="n">
        <f aca="false">MAX(F190-D190,0)</f>
        <v>0</v>
      </c>
      <c r="H190" s="16" t="str">
        <f aca="false">IF(E190&gt;1,"DUPLICATE - Review",IF(G190&gt;Assumptions!$B$6,"OVERPAID - Review","OK"))</f>
        <v>OK</v>
      </c>
    </row>
    <row r="191" customFormat="false" ht="15" hidden="false" customHeight="false" outlineLevel="0" collapsed="false">
      <c r="A191" s="16" t="str">
        <f aca="false">Vendor_Invoices_AP!A188</f>
        <v>INV30187</v>
      </c>
      <c r="B191" s="16" t="str">
        <f aca="false">Vendor_Invoices_AP!C188</f>
        <v>V1033</v>
      </c>
      <c r="C191" s="16" t="str">
        <f aca="false">IFERROR(INDEX(Vendor_Master!$B$2:$B$41,MATCH(B191,Vendor_Master!$A$2:$A$41,0)),"Unknown Vendor")</f>
        <v>Sellers, George and Burns</v>
      </c>
      <c r="D191" s="18" t="n">
        <f aca="false">Vendor_Invoices_AP!E188</f>
        <v>560.32</v>
      </c>
      <c r="E191" s="16" t="n">
        <f aca="false">COUNTIF(Payment_Log_AP!$B$2:$B$753,A191)</f>
        <v>1</v>
      </c>
      <c r="F191" s="18" t="n">
        <f aca="false">SUMIFS(Payment_Log_AP!$E$2:$E$753,Payment_Log_AP!$B$2:$B$753,A191)</f>
        <v>560.32</v>
      </c>
      <c r="G191" s="18" t="n">
        <f aca="false">MAX(F191-D191,0)</f>
        <v>0</v>
      </c>
      <c r="H191" s="16" t="str">
        <f aca="false">IF(E191&gt;1,"DUPLICATE - Review",IF(G191&gt;Assumptions!$B$6,"OVERPAID - Review","OK"))</f>
        <v>OK</v>
      </c>
    </row>
    <row r="192" customFormat="false" ht="15" hidden="false" customHeight="false" outlineLevel="0" collapsed="false">
      <c r="A192" s="16" t="str">
        <f aca="false">Vendor_Invoices_AP!A189</f>
        <v>INV30188</v>
      </c>
      <c r="B192" s="16" t="str">
        <f aca="false">Vendor_Invoices_AP!C189</f>
        <v>V1005</v>
      </c>
      <c r="C192" s="16" t="str">
        <f aca="false">IFERROR(INDEX(Vendor_Master!$B$2:$B$41,MATCH(B192,Vendor_Master!$A$2:$A$41,0)),"Unknown Vendor")</f>
        <v>Cole LLC</v>
      </c>
      <c r="D192" s="18" t="n">
        <f aca="false">Vendor_Invoices_AP!E189</f>
        <v>2281.25</v>
      </c>
      <c r="E192" s="16" t="n">
        <f aca="false">COUNTIF(Payment_Log_AP!$B$2:$B$753,A192)</f>
        <v>1</v>
      </c>
      <c r="F192" s="18" t="n">
        <f aca="false">SUMIFS(Payment_Log_AP!$E$2:$E$753,Payment_Log_AP!$B$2:$B$753,A192)</f>
        <v>2281.25</v>
      </c>
      <c r="G192" s="18" t="n">
        <f aca="false">MAX(F192-D192,0)</f>
        <v>0</v>
      </c>
      <c r="H192" s="16" t="str">
        <f aca="false">IF(E192&gt;1,"DUPLICATE - Review",IF(G192&gt;Assumptions!$B$6,"OVERPAID - Review","OK"))</f>
        <v>OK</v>
      </c>
    </row>
    <row r="193" customFormat="false" ht="15" hidden="false" customHeight="false" outlineLevel="0" collapsed="false">
      <c r="A193" s="16" t="str">
        <f aca="false">Vendor_Invoices_AP!A190</f>
        <v>INV30189</v>
      </c>
      <c r="B193" s="16" t="str">
        <f aca="false">Vendor_Invoices_AP!C190</f>
        <v>V1008</v>
      </c>
      <c r="C193" s="16" t="str">
        <f aca="false">IFERROR(INDEX(Vendor_Master!$B$2:$B$41,MATCH(B193,Vendor_Master!$A$2:$A$41,0)),"Unknown Vendor")</f>
        <v>Davis Inc</v>
      </c>
      <c r="D193" s="18" t="n">
        <f aca="false">Vendor_Invoices_AP!E190</f>
        <v>795.03</v>
      </c>
      <c r="E193" s="16" t="n">
        <f aca="false">COUNTIF(Payment_Log_AP!$B$2:$B$753,A193)</f>
        <v>1</v>
      </c>
      <c r="F193" s="18" t="n">
        <f aca="false">SUMIFS(Payment_Log_AP!$E$2:$E$753,Payment_Log_AP!$B$2:$B$753,A193)</f>
        <v>795.03</v>
      </c>
      <c r="G193" s="18" t="n">
        <f aca="false">MAX(F193-D193,0)</f>
        <v>0</v>
      </c>
      <c r="H193" s="16" t="str">
        <f aca="false">IF(E193&gt;1,"DUPLICATE - Review",IF(G193&gt;Assumptions!$B$6,"OVERPAID - Review","OK"))</f>
        <v>OK</v>
      </c>
    </row>
    <row r="194" customFormat="false" ht="15" hidden="false" customHeight="false" outlineLevel="0" collapsed="false">
      <c r="A194" s="16" t="str">
        <f aca="false">Vendor_Invoices_AP!A191</f>
        <v>INV30190</v>
      </c>
      <c r="B194" s="16" t="str">
        <f aca="false">Vendor_Invoices_AP!C191</f>
        <v>V1038</v>
      </c>
      <c r="C194" s="16" t="str">
        <f aca="false">IFERROR(INDEX(Vendor_Master!$B$2:$B$41,MATCH(B194,Vendor_Master!$A$2:$A$41,0)),"Unknown Vendor")</f>
        <v>Rose-Obrien</v>
      </c>
      <c r="D194" s="18" t="n">
        <f aca="false">Vendor_Invoices_AP!E191</f>
        <v>1829.81</v>
      </c>
      <c r="E194" s="16" t="n">
        <f aca="false">COUNTIF(Payment_Log_AP!$B$2:$B$753,A194)</f>
        <v>1</v>
      </c>
      <c r="F194" s="18" t="n">
        <f aca="false">SUMIFS(Payment_Log_AP!$E$2:$E$753,Payment_Log_AP!$B$2:$B$753,A194)</f>
        <v>1829.81</v>
      </c>
      <c r="G194" s="18" t="n">
        <f aca="false">MAX(F194-D194,0)</f>
        <v>0</v>
      </c>
      <c r="H194" s="16" t="str">
        <f aca="false">IF(E194&gt;1,"DUPLICATE - Review",IF(G194&gt;Assumptions!$B$6,"OVERPAID - Review","OK"))</f>
        <v>OK</v>
      </c>
    </row>
    <row r="195" customFormat="false" ht="15" hidden="false" customHeight="false" outlineLevel="0" collapsed="false">
      <c r="A195" s="16" t="str">
        <f aca="false">Vendor_Invoices_AP!A192</f>
        <v>INV30191</v>
      </c>
      <c r="B195" s="16" t="str">
        <f aca="false">Vendor_Invoices_AP!C192</f>
        <v>V1017</v>
      </c>
      <c r="C195" s="16" t="str">
        <f aca="false">IFERROR(INDEX(Vendor_Master!$B$2:$B$41,MATCH(B195,Vendor_Master!$A$2:$A$41,0)),"Unknown Vendor")</f>
        <v>Hawkins, Cohen and Cameron</v>
      </c>
      <c r="D195" s="18" t="n">
        <f aca="false">Vendor_Invoices_AP!E192</f>
        <v>3612.23</v>
      </c>
      <c r="E195" s="16" t="n">
        <f aca="false">COUNTIF(Payment_Log_AP!$B$2:$B$753,A195)</f>
        <v>1</v>
      </c>
      <c r="F195" s="18" t="n">
        <f aca="false">SUMIFS(Payment_Log_AP!$E$2:$E$753,Payment_Log_AP!$B$2:$B$753,A195)</f>
        <v>3612.23</v>
      </c>
      <c r="G195" s="18" t="n">
        <f aca="false">MAX(F195-D195,0)</f>
        <v>0</v>
      </c>
      <c r="H195" s="16" t="str">
        <f aca="false">IF(E195&gt;1,"DUPLICATE - Review",IF(G195&gt;Assumptions!$B$6,"OVERPAID - Review","OK"))</f>
        <v>OK</v>
      </c>
    </row>
    <row r="196" customFormat="false" ht="15" hidden="false" customHeight="false" outlineLevel="0" collapsed="false">
      <c r="A196" s="16" t="str">
        <f aca="false">Vendor_Invoices_AP!A193</f>
        <v>INV30192</v>
      </c>
      <c r="B196" s="16" t="str">
        <f aca="false">Vendor_Invoices_AP!C193</f>
        <v>V1012</v>
      </c>
      <c r="C196" s="16" t="str">
        <f aca="false">IFERROR(INDEX(Vendor_Master!$B$2:$B$41,MATCH(B196,Vendor_Master!$A$2:$A$41,0)),"Unknown Vendor")</f>
        <v>Stanley LLC</v>
      </c>
      <c r="D196" s="18" t="n">
        <f aca="false">Vendor_Invoices_AP!E193</f>
        <v>2450.97</v>
      </c>
      <c r="E196" s="16" t="n">
        <f aca="false">COUNTIF(Payment_Log_AP!$B$2:$B$753,A196)</f>
        <v>0</v>
      </c>
      <c r="F196" s="18" t="n">
        <f aca="false">SUMIFS(Payment_Log_AP!$E$2:$E$753,Payment_Log_AP!$B$2:$B$753,A196)</f>
        <v>0</v>
      </c>
      <c r="G196" s="18" t="n">
        <f aca="false">MAX(F196-D196,0)</f>
        <v>0</v>
      </c>
      <c r="H196" s="16" t="str">
        <f aca="false">IF(E196&gt;1,"DUPLICATE - Review",IF(G196&gt;Assumptions!$B$6,"OVERPAID - Review","OK"))</f>
        <v>OK</v>
      </c>
    </row>
    <row r="197" customFormat="false" ht="15" hidden="false" customHeight="false" outlineLevel="0" collapsed="false">
      <c r="A197" s="16" t="str">
        <f aca="false">Vendor_Invoices_AP!A194</f>
        <v>INV30193</v>
      </c>
      <c r="B197" s="16" t="str">
        <f aca="false">Vendor_Invoices_AP!C194</f>
        <v>V1008</v>
      </c>
      <c r="C197" s="16" t="str">
        <f aca="false">IFERROR(INDEX(Vendor_Master!$B$2:$B$41,MATCH(B197,Vendor_Master!$A$2:$A$41,0)),"Unknown Vendor")</f>
        <v>Davis Inc</v>
      </c>
      <c r="D197" s="18" t="n">
        <f aca="false">Vendor_Invoices_AP!E194</f>
        <v>1825.14</v>
      </c>
      <c r="E197" s="16" t="n">
        <f aca="false">COUNTIF(Payment_Log_AP!$B$2:$B$753,A197)</f>
        <v>1</v>
      </c>
      <c r="F197" s="18" t="n">
        <f aca="false">SUMIFS(Payment_Log_AP!$E$2:$E$753,Payment_Log_AP!$B$2:$B$753,A197)</f>
        <v>1825.14</v>
      </c>
      <c r="G197" s="18" t="n">
        <f aca="false">MAX(F197-D197,0)</f>
        <v>0</v>
      </c>
      <c r="H197" s="16" t="str">
        <f aca="false">IF(E197&gt;1,"DUPLICATE - Review",IF(G197&gt;Assumptions!$B$6,"OVERPAID - Review","OK"))</f>
        <v>OK</v>
      </c>
    </row>
    <row r="198" customFormat="false" ht="15" hidden="false" customHeight="false" outlineLevel="0" collapsed="false">
      <c r="A198" s="16" t="str">
        <f aca="false">Vendor_Invoices_AP!A195</f>
        <v>INV30194</v>
      </c>
      <c r="B198" s="16" t="str">
        <f aca="false">Vendor_Invoices_AP!C195</f>
        <v>V1022</v>
      </c>
      <c r="C198" s="16" t="str">
        <f aca="false">IFERROR(INDEX(Vendor_Master!$B$2:$B$41,MATCH(B198,Vendor_Master!$A$2:$A$41,0)),"Unknown Vendor")</f>
        <v>Burgess-Patterson</v>
      </c>
      <c r="D198" s="18" t="n">
        <f aca="false">Vendor_Invoices_AP!E195</f>
        <v>21706.69</v>
      </c>
      <c r="E198" s="16" t="n">
        <f aca="false">COUNTIF(Payment_Log_AP!$B$2:$B$753,A198)</f>
        <v>1</v>
      </c>
      <c r="F198" s="18" t="n">
        <f aca="false">SUMIFS(Payment_Log_AP!$E$2:$E$753,Payment_Log_AP!$B$2:$B$753,A198)</f>
        <v>21706.69</v>
      </c>
      <c r="G198" s="18" t="n">
        <f aca="false">MAX(F198-D198,0)</f>
        <v>0</v>
      </c>
      <c r="H198" s="16" t="str">
        <f aca="false">IF(E198&gt;1,"DUPLICATE - Review",IF(G198&gt;Assumptions!$B$6,"OVERPAID - Review","OK"))</f>
        <v>OK</v>
      </c>
    </row>
    <row r="199" customFormat="false" ht="15" hidden="false" customHeight="false" outlineLevel="0" collapsed="false">
      <c r="A199" s="16" t="str">
        <f aca="false">Vendor_Invoices_AP!A196</f>
        <v>INV30195</v>
      </c>
      <c r="B199" s="16" t="str">
        <f aca="false">Vendor_Invoices_AP!C196</f>
        <v>V1011</v>
      </c>
      <c r="C199" s="16" t="str">
        <f aca="false">IFERROR(INDEX(Vendor_Master!$B$2:$B$41,MATCH(B199,Vendor_Master!$A$2:$A$41,0)),"Unknown Vendor")</f>
        <v>Montgomery, Hensley and Ray</v>
      </c>
      <c r="D199" s="18" t="n">
        <f aca="false">Vendor_Invoices_AP!E196</f>
        <v>342.72</v>
      </c>
      <c r="E199" s="16" t="n">
        <f aca="false">COUNTIF(Payment_Log_AP!$B$2:$B$753,A199)</f>
        <v>1</v>
      </c>
      <c r="F199" s="18" t="n">
        <f aca="false">SUMIFS(Payment_Log_AP!$E$2:$E$753,Payment_Log_AP!$B$2:$B$753,A199)</f>
        <v>342.72</v>
      </c>
      <c r="G199" s="18" t="n">
        <f aca="false">MAX(F199-D199,0)</f>
        <v>0</v>
      </c>
      <c r="H199" s="16" t="str">
        <f aca="false">IF(E199&gt;1,"DUPLICATE - Review",IF(G199&gt;Assumptions!$B$6,"OVERPAID - Review","OK"))</f>
        <v>OK</v>
      </c>
    </row>
    <row r="200" customFormat="false" ht="15" hidden="false" customHeight="false" outlineLevel="0" collapsed="false">
      <c r="A200" s="16" t="str">
        <f aca="false">Vendor_Invoices_AP!A197</f>
        <v>INV30196</v>
      </c>
      <c r="B200" s="16" t="str">
        <f aca="false">Vendor_Invoices_AP!C197</f>
        <v>V1007</v>
      </c>
      <c r="C200" s="16" t="str">
        <f aca="false">IFERROR(INDEX(Vendor_Master!$B$2:$B$41,MATCH(B200,Vendor_Master!$A$2:$A$41,0)),"Unknown Vendor")</f>
        <v>Ramirez-Lewis</v>
      </c>
      <c r="D200" s="18" t="n">
        <f aca="false">Vendor_Invoices_AP!E197</f>
        <v>781.51</v>
      </c>
      <c r="E200" s="16" t="n">
        <f aca="false">COUNTIF(Payment_Log_AP!$B$2:$B$753,A200)</f>
        <v>1</v>
      </c>
      <c r="F200" s="18" t="n">
        <f aca="false">SUMIFS(Payment_Log_AP!$E$2:$E$753,Payment_Log_AP!$B$2:$B$753,A200)</f>
        <v>781.51</v>
      </c>
      <c r="G200" s="18" t="n">
        <f aca="false">MAX(F200-D200,0)</f>
        <v>0</v>
      </c>
      <c r="H200" s="16" t="str">
        <f aca="false">IF(E200&gt;1,"DUPLICATE - Review",IF(G200&gt;Assumptions!$B$6,"OVERPAID - Review","OK"))</f>
        <v>OK</v>
      </c>
    </row>
    <row r="201" customFormat="false" ht="15" hidden="false" customHeight="false" outlineLevel="0" collapsed="false">
      <c r="A201" s="16" t="str">
        <f aca="false">Vendor_Invoices_AP!A198</f>
        <v>INV30197</v>
      </c>
      <c r="B201" s="16" t="str">
        <f aca="false">Vendor_Invoices_AP!C198</f>
        <v>V1021</v>
      </c>
      <c r="C201" s="16" t="str">
        <f aca="false">IFERROR(INDEX(Vendor_Master!$B$2:$B$41,MATCH(B201,Vendor_Master!$A$2:$A$41,0)),"Unknown Vendor")</f>
        <v>Ellis, Baker and Wright</v>
      </c>
      <c r="D201" s="18" t="n">
        <f aca="false">Vendor_Invoices_AP!E198</f>
        <v>5652.95</v>
      </c>
      <c r="E201" s="16" t="n">
        <f aca="false">COUNTIF(Payment_Log_AP!$B$2:$B$753,A201)</f>
        <v>1</v>
      </c>
      <c r="F201" s="18" t="n">
        <f aca="false">SUMIFS(Payment_Log_AP!$E$2:$E$753,Payment_Log_AP!$B$2:$B$753,A201)</f>
        <v>5652.95</v>
      </c>
      <c r="G201" s="18" t="n">
        <f aca="false">MAX(F201-D201,0)</f>
        <v>0</v>
      </c>
      <c r="H201" s="16" t="str">
        <f aca="false">IF(E201&gt;1,"DUPLICATE - Review",IF(G201&gt;Assumptions!$B$6,"OVERPAID - Review","OK"))</f>
        <v>OK</v>
      </c>
    </row>
    <row r="202" customFormat="false" ht="15" hidden="false" customHeight="false" outlineLevel="0" collapsed="false">
      <c r="A202" s="16" t="str">
        <f aca="false">Vendor_Invoices_AP!A199</f>
        <v>INV30198</v>
      </c>
      <c r="B202" s="16" t="str">
        <f aca="false">Vendor_Invoices_AP!C199</f>
        <v>V1010</v>
      </c>
      <c r="C202" s="16" t="str">
        <f aca="false">IFERROR(INDEX(Vendor_Master!$B$2:$B$41,MATCH(B202,Vendor_Master!$A$2:$A$41,0)),"Unknown Vendor")</f>
        <v>Martinez, Nielsen and Miller</v>
      </c>
      <c r="D202" s="18" t="n">
        <f aca="false">Vendor_Invoices_AP!E199</f>
        <v>133.11</v>
      </c>
      <c r="E202" s="16" t="n">
        <f aca="false">COUNTIF(Payment_Log_AP!$B$2:$B$753,A202)</f>
        <v>1</v>
      </c>
      <c r="F202" s="18" t="n">
        <f aca="false">SUMIFS(Payment_Log_AP!$E$2:$E$753,Payment_Log_AP!$B$2:$B$753,A202)</f>
        <v>133.11</v>
      </c>
      <c r="G202" s="18" t="n">
        <f aca="false">MAX(F202-D202,0)</f>
        <v>0</v>
      </c>
      <c r="H202" s="16" t="str">
        <f aca="false">IF(E202&gt;1,"DUPLICATE - Review",IF(G202&gt;Assumptions!$B$6,"OVERPAID - Review","OK"))</f>
        <v>OK</v>
      </c>
    </row>
    <row r="203" customFormat="false" ht="15" hidden="false" customHeight="false" outlineLevel="0" collapsed="false">
      <c r="A203" s="16" t="str">
        <f aca="false">Vendor_Invoices_AP!A200</f>
        <v>INV30199</v>
      </c>
      <c r="B203" s="16" t="str">
        <f aca="false">Vendor_Invoices_AP!C200</f>
        <v>V1013</v>
      </c>
      <c r="C203" s="16" t="str">
        <f aca="false">IFERROR(INDEX(Vendor_Master!$B$2:$B$41,MATCH(B203,Vendor_Master!$A$2:$A$41,0)),"Unknown Vendor")</f>
        <v>Delacruz Group</v>
      </c>
      <c r="D203" s="18" t="n">
        <f aca="false">Vendor_Invoices_AP!E200</f>
        <v>17090.48</v>
      </c>
      <c r="E203" s="16" t="n">
        <f aca="false">COUNTIF(Payment_Log_AP!$B$2:$B$753,A203)</f>
        <v>1</v>
      </c>
      <c r="F203" s="18" t="n">
        <f aca="false">SUMIFS(Payment_Log_AP!$E$2:$E$753,Payment_Log_AP!$B$2:$B$753,A203)</f>
        <v>17090.48</v>
      </c>
      <c r="G203" s="18" t="n">
        <f aca="false">MAX(F203-D203,0)</f>
        <v>0</v>
      </c>
      <c r="H203" s="16" t="str">
        <f aca="false">IF(E203&gt;1,"DUPLICATE - Review",IF(G203&gt;Assumptions!$B$6,"OVERPAID - Review","OK"))</f>
        <v>OK</v>
      </c>
    </row>
    <row r="204" customFormat="false" ht="15" hidden="false" customHeight="false" outlineLevel="0" collapsed="false">
      <c r="A204" s="16" t="str">
        <f aca="false">Vendor_Invoices_AP!A201</f>
        <v>INV30200</v>
      </c>
      <c r="B204" s="16" t="str">
        <f aca="false">Vendor_Invoices_AP!C201</f>
        <v>V1015</v>
      </c>
      <c r="C204" s="16" t="str">
        <f aca="false">IFERROR(INDEX(Vendor_Master!$B$2:$B$41,MATCH(B204,Vendor_Master!$A$2:$A$41,0)),"Unknown Vendor")</f>
        <v>Zuniga, Wong and Lynch</v>
      </c>
      <c r="D204" s="18" t="n">
        <f aca="false">Vendor_Invoices_AP!E201</f>
        <v>8157.32</v>
      </c>
      <c r="E204" s="16" t="n">
        <f aca="false">COUNTIF(Payment_Log_AP!$B$2:$B$753,A204)</f>
        <v>1</v>
      </c>
      <c r="F204" s="18" t="n">
        <f aca="false">SUMIFS(Payment_Log_AP!$E$2:$E$753,Payment_Log_AP!$B$2:$B$753,A204)</f>
        <v>8157.32</v>
      </c>
      <c r="G204" s="18" t="n">
        <f aca="false">MAX(F204-D204,0)</f>
        <v>0</v>
      </c>
      <c r="H204" s="16" t="str">
        <f aca="false">IF(E204&gt;1,"DUPLICATE - Review",IF(G204&gt;Assumptions!$B$6,"OVERPAID - Review","OK"))</f>
        <v>OK</v>
      </c>
    </row>
    <row r="205" customFormat="false" ht="15" hidden="false" customHeight="false" outlineLevel="0" collapsed="false">
      <c r="A205" s="16" t="str">
        <f aca="false">Vendor_Invoices_AP!A202</f>
        <v>INV30201</v>
      </c>
      <c r="B205" s="16" t="str">
        <f aca="false">Vendor_Invoices_AP!C202</f>
        <v>V1018</v>
      </c>
      <c r="C205" s="16" t="str">
        <f aca="false">IFERROR(INDEX(Vendor_Master!$B$2:$B$41,MATCH(B205,Vendor_Master!$A$2:$A$41,0)),"Unknown Vendor")</f>
        <v>Underwood LLC</v>
      </c>
      <c r="D205" s="18" t="n">
        <f aca="false">Vendor_Invoices_AP!E202</f>
        <v>547.49</v>
      </c>
      <c r="E205" s="16" t="n">
        <f aca="false">COUNTIF(Payment_Log_AP!$B$2:$B$753,A205)</f>
        <v>1</v>
      </c>
      <c r="F205" s="18" t="n">
        <f aca="false">SUMIFS(Payment_Log_AP!$E$2:$E$753,Payment_Log_AP!$B$2:$B$753,A205)</f>
        <v>547.49</v>
      </c>
      <c r="G205" s="18" t="n">
        <f aca="false">MAX(F205-D205,0)</f>
        <v>0</v>
      </c>
      <c r="H205" s="16" t="str">
        <f aca="false">IF(E205&gt;1,"DUPLICATE - Review",IF(G205&gt;Assumptions!$B$6,"OVERPAID - Review","OK"))</f>
        <v>OK</v>
      </c>
    </row>
    <row r="206" customFormat="false" ht="15" hidden="false" customHeight="false" outlineLevel="0" collapsed="false">
      <c r="A206" s="16" t="str">
        <f aca="false">Vendor_Invoices_AP!A203</f>
        <v>INV30202</v>
      </c>
      <c r="B206" s="16" t="str">
        <f aca="false">Vendor_Invoices_AP!C203</f>
        <v>V1036</v>
      </c>
      <c r="C206" s="16" t="str">
        <f aca="false">IFERROR(INDEX(Vendor_Master!$B$2:$B$41,MATCH(B206,Vendor_Master!$A$2:$A$41,0)),"Unknown Vendor")</f>
        <v>Dennis Inc</v>
      </c>
      <c r="D206" s="18" t="n">
        <f aca="false">Vendor_Invoices_AP!E203</f>
        <v>10027.78</v>
      </c>
      <c r="E206" s="16" t="n">
        <f aca="false">COUNTIF(Payment_Log_AP!$B$2:$B$753,A206)</f>
        <v>1</v>
      </c>
      <c r="F206" s="18" t="n">
        <f aca="false">SUMIFS(Payment_Log_AP!$E$2:$E$753,Payment_Log_AP!$B$2:$B$753,A206)</f>
        <v>10027.78</v>
      </c>
      <c r="G206" s="18" t="n">
        <f aca="false">MAX(F206-D206,0)</f>
        <v>0</v>
      </c>
      <c r="H206" s="16" t="str">
        <f aca="false">IF(E206&gt;1,"DUPLICATE - Review",IF(G206&gt;Assumptions!$B$6,"OVERPAID - Review","OK"))</f>
        <v>OK</v>
      </c>
    </row>
    <row r="207" customFormat="false" ht="15" hidden="false" customHeight="false" outlineLevel="0" collapsed="false">
      <c r="A207" s="16" t="str">
        <f aca="false">Vendor_Invoices_AP!A204</f>
        <v>INV30203</v>
      </c>
      <c r="B207" s="16" t="str">
        <f aca="false">Vendor_Invoices_AP!C204</f>
        <v>V1031</v>
      </c>
      <c r="C207" s="16" t="str">
        <f aca="false">IFERROR(INDEX(Vendor_Master!$B$2:$B$41,MATCH(B207,Vendor_Master!$A$2:$A$41,0)),"Unknown Vendor")</f>
        <v>Harrell LLC</v>
      </c>
      <c r="D207" s="18" t="n">
        <f aca="false">Vendor_Invoices_AP!E204</f>
        <v>3961.93</v>
      </c>
      <c r="E207" s="16" t="n">
        <f aca="false">COUNTIF(Payment_Log_AP!$B$2:$B$753,A207)</f>
        <v>1</v>
      </c>
      <c r="F207" s="18" t="n">
        <f aca="false">SUMIFS(Payment_Log_AP!$E$2:$E$753,Payment_Log_AP!$B$2:$B$753,A207)</f>
        <v>3961.93</v>
      </c>
      <c r="G207" s="18" t="n">
        <f aca="false">MAX(F207-D207,0)</f>
        <v>0</v>
      </c>
      <c r="H207" s="16" t="str">
        <f aca="false">IF(E207&gt;1,"DUPLICATE - Review",IF(G207&gt;Assumptions!$B$6,"OVERPAID - Review","OK"))</f>
        <v>OK</v>
      </c>
    </row>
    <row r="208" customFormat="false" ht="15" hidden="false" customHeight="false" outlineLevel="0" collapsed="false">
      <c r="A208" s="16" t="str">
        <f aca="false">Vendor_Invoices_AP!A205</f>
        <v>INV30204</v>
      </c>
      <c r="B208" s="16" t="str">
        <f aca="false">Vendor_Invoices_AP!C205</f>
        <v>V1036</v>
      </c>
      <c r="C208" s="16" t="str">
        <f aca="false">IFERROR(INDEX(Vendor_Master!$B$2:$B$41,MATCH(B208,Vendor_Master!$A$2:$A$41,0)),"Unknown Vendor")</f>
        <v>Dennis Inc</v>
      </c>
      <c r="D208" s="18" t="n">
        <f aca="false">Vendor_Invoices_AP!E205</f>
        <v>2554.75</v>
      </c>
      <c r="E208" s="16" t="n">
        <f aca="false">COUNTIF(Payment_Log_AP!$B$2:$B$753,A208)</f>
        <v>1</v>
      </c>
      <c r="F208" s="18" t="n">
        <f aca="false">SUMIFS(Payment_Log_AP!$E$2:$E$753,Payment_Log_AP!$B$2:$B$753,A208)</f>
        <v>2554.75</v>
      </c>
      <c r="G208" s="18" t="n">
        <f aca="false">MAX(F208-D208,0)</f>
        <v>0</v>
      </c>
      <c r="H208" s="16" t="str">
        <f aca="false">IF(E208&gt;1,"DUPLICATE - Review",IF(G208&gt;Assumptions!$B$6,"OVERPAID - Review","OK"))</f>
        <v>OK</v>
      </c>
    </row>
    <row r="209" customFormat="false" ht="15" hidden="false" customHeight="false" outlineLevel="0" collapsed="false">
      <c r="A209" s="16" t="str">
        <f aca="false">Vendor_Invoices_AP!A206</f>
        <v>INV30205</v>
      </c>
      <c r="B209" s="16" t="str">
        <f aca="false">Vendor_Invoices_AP!C206</f>
        <v>V1036</v>
      </c>
      <c r="C209" s="16" t="str">
        <f aca="false">IFERROR(INDEX(Vendor_Master!$B$2:$B$41,MATCH(B209,Vendor_Master!$A$2:$A$41,0)),"Unknown Vendor")</f>
        <v>Dennis Inc</v>
      </c>
      <c r="D209" s="18" t="n">
        <f aca="false">Vendor_Invoices_AP!E206</f>
        <v>1471.18</v>
      </c>
      <c r="E209" s="16" t="n">
        <f aca="false">COUNTIF(Payment_Log_AP!$B$2:$B$753,A209)</f>
        <v>1</v>
      </c>
      <c r="F209" s="18" t="n">
        <f aca="false">SUMIFS(Payment_Log_AP!$E$2:$E$753,Payment_Log_AP!$B$2:$B$753,A209)</f>
        <v>1471.18</v>
      </c>
      <c r="G209" s="18" t="n">
        <f aca="false">MAX(F209-D209,0)</f>
        <v>0</v>
      </c>
      <c r="H209" s="16" t="str">
        <f aca="false">IF(E209&gt;1,"DUPLICATE - Review",IF(G209&gt;Assumptions!$B$6,"OVERPAID - Review","OK"))</f>
        <v>OK</v>
      </c>
    </row>
    <row r="210" customFormat="false" ht="15" hidden="false" customHeight="false" outlineLevel="0" collapsed="false">
      <c r="A210" s="16" t="str">
        <f aca="false">Vendor_Invoices_AP!A207</f>
        <v>INV30206</v>
      </c>
      <c r="B210" s="16" t="str">
        <f aca="false">Vendor_Invoices_AP!C207</f>
        <v>V1006</v>
      </c>
      <c r="C210" s="16" t="str">
        <f aca="false">IFERROR(INDEX(Vendor_Master!$B$2:$B$41,MATCH(B210,Vendor_Master!$A$2:$A$41,0)),"Unknown Vendor")</f>
        <v>Blake and Sons</v>
      </c>
      <c r="D210" s="18" t="n">
        <f aca="false">Vendor_Invoices_AP!E207</f>
        <v>682.63</v>
      </c>
      <c r="E210" s="16" t="n">
        <f aca="false">COUNTIF(Payment_Log_AP!$B$2:$B$753,A210)</f>
        <v>1</v>
      </c>
      <c r="F210" s="18" t="n">
        <f aca="false">SUMIFS(Payment_Log_AP!$E$2:$E$753,Payment_Log_AP!$B$2:$B$753,A210)</f>
        <v>682.63</v>
      </c>
      <c r="G210" s="18" t="n">
        <f aca="false">MAX(F210-D210,0)</f>
        <v>0</v>
      </c>
      <c r="H210" s="16" t="str">
        <f aca="false">IF(E210&gt;1,"DUPLICATE - Review",IF(G210&gt;Assumptions!$B$6,"OVERPAID - Review","OK"))</f>
        <v>OK</v>
      </c>
    </row>
    <row r="211" customFormat="false" ht="15" hidden="false" customHeight="false" outlineLevel="0" collapsed="false">
      <c r="A211" s="16" t="str">
        <f aca="false">Vendor_Invoices_AP!A208</f>
        <v>INV30207</v>
      </c>
      <c r="B211" s="16" t="str">
        <f aca="false">Vendor_Invoices_AP!C208</f>
        <v>V1001</v>
      </c>
      <c r="C211" s="16" t="str">
        <f aca="false">IFERROR(INDEX(Vendor_Master!$B$2:$B$41,MATCH(B211,Vendor_Master!$A$2:$A$41,0)),"Unknown Vendor")</f>
        <v>Figueroa and Sons</v>
      </c>
      <c r="D211" s="18" t="n">
        <f aca="false">Vendor_Invoices_AP!E208</f>
        <v>2160.46</v>
      </c>
      <c r="E211" s="16" t="n">
        <f aca="false">COUNTIF(Payment_Log_AP!$B$2:$B$753,A211)</f>
        <v>0</v>
      </c>
      <c r="F211" s="18" t="n">
        <f aca="false">SUMIFS(Payment_Log_AP!$E$2:$E$753,Payment_Log_AP!$B$2:$B$753,A211)</f>
        <v>0</v>
      </c>
      <c r="G211" s="18" t="n">
        <f aca="false">MAX(F211-D211,0)</f>
        <v>0</v>
      </c>
      <c r="H211" s="16" t="str">
        <f aca="false">IF(E211&gt;1,"DUPLICATE - Review",IF(G211&gt;Assumptions!$B$6,"OVERPAID - Review","OK"))</f>
        <v>OK</v>
      </c>
    </row>
    <row r="212" customFormat="false" ht="15" hidden="false" customHeight="false" outlineLevel="0" collapsed="false">
      <c r="A212" s="16" t="str">
        <f aca="false">Vendor_Invoices_AP!A209</f>
        <v>INV30208</v>
      </c>
      <c r="B212" s="16" t="str">
        <f aca="false">Vendor_Invoices_AP!C209</f>
        <v>V1020</v>
      </c>
      <c r="C212" s="16" t="str">
        <f aca="false">IFERROR(INDEX(Vendor_Master!$B$2:$B$41,MATCH(B212,Vendor_Master!$A$2:$A$41,0)),"Unknown Vendor")</f>
        <v>Lewis-Porter</v>
      </c>
      <c r="D212" s="18" t="n">
        <f aca="false">Vendor_Invoices_AP!E209</f>
        <v>7251.89</v>
      </c>
      <c r="E212" s="16" t="n">
        <f aca="false">COUNTIF(Payment_Log_AP!$B$2:$B$753,A212)</f>
        <v>1</v>
      </c>
      <c r="F212" s="18" t="n">
        <f aca="false">SUMIFS(Payment_Log_AP!$E$2:$E$753,Payment_Log_AP!$B$2:$B$753,A212)</f>
        <v>7251.89</v>
      </c>
      <c r="G212" s="18" t="n">
        <f aca="false">MAX(F212-D212,0)</f>
        <v>0</v>
      </c>
      <c r="H212" s="16" t="str">
        <f aca="false">IF(E212&gt;1,"DUPLICATE - Review",IF(G212&gt;Assumptions!$B$6,"OVERPAID - Review","OK"))</f>
        <v>OK</v>
      </c>
    </row>
    <row r="213" customFormat="false" ht="15" hidden="false" customHeight="false" outlineLevel="0" collapsed="false">
      <c r="A213" s="16" t="str">
        <f aca="false">Vendor_Invoices_AP!A210</f>
        <v>INV30209</v>
      </c>
      <c r="B213" s="16" t="str">
        <f aca="false">Vendor_Invoices_AP!C210</f>
        <v>V1009</v>
      </c>
      <c r="C213" s="16" t="str">
        <f aca="false">IFERROR(INDEX(Vendor_Master!$B$2:$B$41,MATCH(B213,Vendor_Master!$A$2:$A$41,0)),"Unknown Vendor")</f>
        <v>Munoz-Roman</v>
      </c>
      <c r="D213" s="18" t="n">
        <f aca="false">Vendor_Invoices_AP!E210</f>
        <v>4929.33</v>
      </c>
      <c r="E213" s="16" t="n">
        <f aca="false">COUNTIF(Payment_Log_AP!$B$2:$B$753,A213)</f>
        <v>1</v>
      </c>
      <c r="F213" s="18" t="n">
        <f aca="false">SUMIFS(Payment_Log_AP!$E$2:$E$753,Payment_Log_AP!$B$2:$B$753,A213)</f>
        <v>4929.33</v>
      </c>
      <c r="G213" s="18" t="n">
        <f aca="false">MAX(F213-D213,0)</f>
        <v>0</v>
      </c>
      <c r="H213" s="16" t="str">
        <f aca="false">IF(E213&gt;1,"DUPLICATE - Review",IF(G213&gt;Assumptions!$B$6,"OVERPAID - Review","OK"))</f>
        <v>OK</v>
      </c>
    </row>
    <row r="214" customFormat="false" ht="15" hidden="false" customHeight="false" outlineLevel="0" collapsed="false">
      <c r="A214" s="16" t="str">
        <f aca="false">Vendor_Invoices_AP!A211</f>
        <v>INV30210</v>
      </c>
      <c r="B214" s="16" t="str">
        <f aca="false">Vendor_Invoices_AP!C211</f>
        <v>V1004</v>
      </c>
      <c r="C214" s="16" t="str">
        <f aca="false">IFERROR(INDEX(Vendor_Master!$B$2:$B$41,MATCH(B214,Vendor_Master!$A$2:$A$41,0)),"Unknown Vendor")</f>
        <v>Johnson, Gonzalez and Santos</v>
      </c>
      <c r="D214" s="18" t="n">
        <f aca="false">Vendor_Invoices_AP!E211</f>
        <v>1892.29</v>
      </c>
      <c r="E214" s="16" t="n">
        <f aca="false">COUNTIF(Payment_Log_AP!$B$2:$B$753,A214)</f>
        <v>0</v>
      </c>
      <c r="F214" s="18" t="n">
        <f aca="false">SUMIFS(Payment_Log_AP!$E$2:$E$753,Payment_Log_AP!$B$2:$B$753,A214)</f>
        <v>0</v>
      </c>
      <c r="G214" s="18" t="n">
        <f aca="false">MAX(F214-D214,0)</f>
        <v>0</v>
      </c>
      <c r="H214" s="16" t="str">
        <f aca="false">IF(E214&gt;1,"DUPLICATE - Review",IF(G214&gt;Assumptions!$B$6,"OVERPAID - Review","OK"))</f>
        <v>OK</v>
      </c>
    </row>
    <row r="215" customFormat="false" ht="15" hidden="false" customHeight="false" outlineLevel="0" collapsed="false">
      <c r="A215" s="16" t="str">
        <f aca="false">Vendor_Invoices_AP!A212</f>
        <v>INV30211</v>
      </c>
      <c r="B215" s="16" t="str">
        <f aca="false">Vendor_Invoices_AP!C212</f>
        <v>V1005</v>
      </c>
      <c r="C215" s="16" t="str">
        <f aca="false">IFERROR(INDEX(Vendor_Master!$B$2:$B$41,MATCH(B215,Vendor_Master!$A$2:$A$41,0)),"Unknown Vendor")</f>
        <v>Cole LLC</v>
      </c>
      <c r="D215" s="18" t="n">
        <f aca="false">Vendor_Invoices_AP!E212</f>
        <v>1074.95</v>
      </c>
      <c r="E215" s="16" t="n">
        <f aca="false">COUNTIF(Payment_Log_AP!$B$2:$B$753,A215)</f>
        <v>1</v>
      </c>
      <c r="F215" s="18" t="n">
        <f aca="false">SUMIFS(Payment_Log_AP!$E$2:$E$753,Payment_Log_AP!$B$2:$B$753,A215)</f>
        <v>1074.95</v>
      </c>
      <c r="G215" s="18" t="n">
        <f aca="false">MAX(F215-D215,0)</f>
        <v>0</v>
      </c>
      <c r="H215" s="16" t="str">
        <f aca="false">IF(E215&gt;1,"DUPLICATE - Review",IF(G215&gt;Assumptions!$B$6,"OVERPAID - Review","OK"))</f>
        <v>OK</v>
      </c>
    </row>
    <row r="216" customFormat="false" ht="15" hidden="false" customHeight="false" outlineLevel="0" collapsed="false">
      <c r="A216" s="16" t="str">
        <f aca="false">Vendor_Invoices_AP!A213</f>
        <v>INV30212</v>
      </c>
      <c r="B216" s="16" t="str">
        <f aca="false">Vendor_Invoices_AP!C213</f>
        <v>V1027</v>
      </c>
      <c r="C216" s="16" t="str">
        <f aca="false">IFERROR(INDEX(Vendor_Master!$B$2:$B$41,MATCH(B216,Vendor_Master!$A$2:$A$41,0)),"Unknown Vendor")</f>
        <v>Valencia, Smith and Le</v>
      </c>
      <c r="D216" s="18" t="n">
        <f aca="false">Vendor_Invoices_AP!E213</f>
        <v>496.96</v>
      </c>
      <c r="E216" s="16" t="n">
        <f aca="false">COUNTIF(Payment_Log_AP!$B$2:$B$753,A216)</f>
        <v>0</v>
      </c>
      <c r="F216" s="18" t="n">
        <f aca="false">SUMIFS(Payment_Log_AP!$E$2:$E$753,Payment_Log_AP!$B$2:$B$753,A216)</f>
        <v>0</v>
      </c>
      <c r="G216" s="18" t="n">
        <f aca="false">MAX(F216-D216,0)</f>
        <v>0</v>
      </c>
      <c r="H216" s="16" t="str">
        <f aca="false">IF(E216&gt;1,"DUPLICATE - Review",IF(G216&gt;Assumptions!$B$6,"OVERPAID - Review","OK"))</f>
        <v>OK</v>
      </c>
    </row>
    <row r="217" customFormat="false" ht="15" hidden="false" customHeight="false" outlineLevel="0" collapsed="false">
      <c r="A217" s="16" t="str">
        <f aca="false">Vendor_Invoices_AP!A214</f>
        <v>INV30213</v>
      </c>
      <c r="B217" s="16" t="str">
        <f aca="false">Vendor_Invoices_AP!C214</f>
        <v>V1034</v>
      </c>
      <c r="C217" s="16" t="str">
        <f aca="false">IFERROR(INDEX(Vendor_Master!$B$2:$B$41,MATCH(B217,Vendor_Master!$A$2:$A$41,0)),"Unknown Vendor")</f>
        <v>Koch-Decker</v>
      </c>
      <c r="D217" s="18" t="n">
        <f aca="false">Vendor_Invoices_AP!E214</f>
        <v>759.35</v>
      </c>
      <c r="E217" s="16" t="n">
        <f aca="false">COUNTIF(Payment_Log_AP!$B$2:$B$753,A217)</f>
        <v>1</v>
      </c>
      <c r="F217" s="18" t="n">
        <f aca="false">SUMIFS(Payment_Log_AP!$E$2:$E$753,Payment_Log_AP!$B$2:$B$753,A217)</f>
        <v>759.35</v>
      </c>
      <c r="G217" s="18" t="n">
        <f aca="false">MAX(F217-D217,0)</f>
        <v>0</v>
      </c>
      <c r="H217" s="16" t="str">
        <f aca="false">IF(E217&gt;1,"DUPLICATE - Review",IF(G217&gt;Assumptions!$B$6,"OVERPAID - Review","OK"))</f>
        <v>OK</v>
      </c>
    </row>
    <row r="218" customFormat="false" ht="15" hidden="false" customHeight="false" outlineLevel="0" collapsed="false">
      <c r="A218" s="16" t="str">
        <f aca="false">Vendor_Invoices_AP!A215</f>
        <v>INV30214</v>
      </c>
      <c r="B218" s="16" t="str">
        <f aca="false">Vendor_Invoices_AP!C215</f>
        <v>V1030</v>
      </c>
      <c r="C218" s="16" t="str">
        <f aca="false">IFERROR(INDEX(Vendor_Master!$B$2:$B$41,MATCH(B218,Vendor_Master!$A$2:$A$41,0)),"Unknown Vendor")</f>
        <v>Stanton-Gill</v>
      </c>
      <c r="D218" s="18" t="n">
        <f aca="false">Vendor_Invoices_AP!E215</f>
        <v>2745.78</v>
      </c>
      <c r="E218" s="16" t="n">
        <f aca="false">COUNTIF(Payment_Log_AP!$B$2:$B$753,A218)</f>
        <v>1</v>
      </c>
      <c r="F218" s="18" t="n">
        <f aca="false">SUMIFS(Payment_Log_AP!$E$2:$E$753,Payment_Log_AP!$B$2:$B$753,A218)</f>
        <v>2745.78</v>
      </c>
      <c r="G218" s="18" t="n">
        <f aca="false">MAX(F218-D218,0)</f>
        <v>0</v>
      </c>
      <c r="H218" s="16" t="str">
        <f aca="false">IF(E218&gt;1,"DUPLICATE - Review",IF(G218&gt;Assumptions!$B$6,"OVERPAID - Review","OK"))</f>
        <v>OK</v>
      </c>
    </row>
    <row r="219" customFormat="false" ht="15" hidden="false" customHeight="false" outlineLevel="0" collapsed="false">
      <c r="A219" s="16" t="str">
        <f aca="false">Vendor_Invoices_AP!A216</f>
        <v>INV30215</v>
      </c>
      <c r="B219" s="16" t="str">
        <f aca="false">Vendor_Invoices_AP!C216</f>
        <v>V1011</v>
      </c>
      <c r="C219" s="16" t="str">
        <f aca="false">IFERROR(INDEX(Vendor_Master!$B$2:$B$41,MATCH(B219,Vendor_Master!$A$2:$A$41,0)),"Unknown Vendor")</f>
        <v>Montgomery, Hensley and Ray</v>
      </c>
      <c r="D219" s="18" t="n">
        <f aca="false">Vendor_Invoices_AP!E216</f>
        <v>1562.55</v>
      </c>
      <c r="E219" s="16" t="n">
        <f aca="false">COUNTIF(Payment_Log_AP!$B$2:$B$753,A219)</f>
        <v>1</v>
      </c>
      <c r="F219" s="18" t="n">
        <f aca="false">SUMIFS(Payment_Log_AP!$E$2:$E$753,Payment_Log_AP!$B$2:$B$753,A219)</f>
        <v>1562.55</v>
      </c>
      <c r="G219" s="18" t="n">
        <f aca="false">MAX(F219-D219,0)</f>
        <v>0</v>
      </c>
      <c r="H219" s="16" t="str">
        <f aca="false">IF(E219&gt;1,"DUPLICATE - Review",IF(G219&gt;Assumptions!$B$6,"OVERPAID - Review","OK"))</f>
        <v>OK</v>
      </c>
    </row>
    <row r="220" customFormat="false" ht="15" hidden="false" customHeight="false" outlineLevel="0" collapsed="false">
      <c r="A220" s="16" t="str">
        <f aca="false">Vendor_Invoices_AP!A217</f>
        <v>INV30216</v>
      </c>
      <c r="B220" s="16" t="str">
        <f aca="false">Vendor_Invoices_AP!C217</f>
        <v>V1020</v>
      </c>
      <c r="C220" s="16" t="str">
        <f aca="false">IFERROR(INDEX(Vendor_Master!$B$2:$B$41,MATCH(B220,Vendor_Master!$A$2:$A$41,0)),"Unknown Vendor")</f>
        <v>Lewis-Porter</v>
      </c>
      <c r="D220" s="18" t="n">
        <f aca="false">Vendor_Invoices_AP!E217</f>
        <v>1854.08</v>
      </c>
      <c r="E220" s="16" t="n">
        <f aca="false">COUNTIF(Payment_Log_AP!$B$2:$B$753,A220)</f>
        <v>1</v>
      </c>
      <c r="F220" s="18" t="n">
        <f aca="false">SUMIFS(Payment_Log_AP!$E$2:$E$753,Payment_Log_AP!$B$2:$B$753,A220)</f>
        <v>1854.08</v>
      </c>
      <c r="G220" s="18" t="n">
        <f aca="false">MAX(F220-D220,0)</f>
        <v>0</v>
      </c>
      <c r="H220" s="16" t="str">
        <f aca="false">IF(E220&gt;1,"DUPLICATE - Review",IF(G220&gt;Assumptions!$B$6,"OVERPAID - Review","OK"))</f>
        <v>OK</v>
      </c>
    </row>
    <row r="221" customFormat="false" ht="15" hidden="false" customHeight="false" outlineLevel="0" collapsed="false">
      <c r="A221" s="16" t="str">
        <f aca="false">Vendor_Invoices_AP!A218</f>
        <v>INV30217</v>
      </c>
      <c r="B221" s="16" t="str">
        <f aca="false">Vendor_Invoices_AP!C218</f>
        <v>V1015</v>
      </c>
      <c r="C221" s="16" t="str">
        <f aca="false">IFERROR(INDEX(Vendor_Master!$B$2:$B$41,MATCH(B221,Vendor_Master!$A$2:$A$41,0)),"Unknown Vendor")</f>
        <v>Zuniga, Wong and Lynch</v>
      </c>
      <c r="D221" s="18" t="n">
        <f aca="false">Vendor_Invoices_AP!E218</f>
        <v>4069.45</v>
      </c>
      <c r="E221" s="16" t="n">
        <f aca="false">COUNTIF(Payment_Log_AP!$B$2:$B$753,A221)</f>
        <v>1</v>
      </c>
      <c r="F221" s="18" t="n">
        <f aca="false">SUMIFS(Payment_Log_AP!$E$2:$E$753,Payment_Log_AP!$B$2:$B$753,A221)</f>
        <v>4069.45</v>
      </c>
      <c r="G221" s="18" t="n">
        <f aca="false">MAX(F221-D221,0)</f>
        <v>0</v>
      </c>
      <c r="H221" s="16" t="str">
        <f aca="false">IF(E221&gt;1,"DUPLICATE - Review",IF(G221&gt;Assumptions!$B$6,"OVERPAID - Review","OK"))</f>
        <v>OK</v>
      </c>
    </row>
    <row r="222" customFormat="false" ht="15" hidden="false" customHeight="false" outlineLevel="0" collapsed="false">
      <c r="A222" s="16" t="str">
        <f aca="false">Vendor_Invoices_AP!A219</f>
        <v>INV30218</v>
      </c>
      <c r="B222" s="16" t="str">
        <f aca="false">Vendor_Invoices_AP!C219</f>
        <v>V1004</v>
      </c>
      <c r="C222" s="16" t="str">
        <f aca="false">IFERROR(INDEX(Vendor_Master!$B$2:$B$41,MATCH(B222,Vendor_Master!$A$2:$A$41,0)),"Unknown Vendor")</f>
        <v>Johnson, Gonzalez and Santos</v>
      </c>
      <c r="D222" s="18" t="n">
        <f aca="false">Vendor_Invoices_AP!E219</f>
        <v>2117.88</v>
      </c>
      <c r="E222" s="16" t="n">
        <f aca="false">COUNTIF(Payment_Log_AP!$B$2:$B$753,A222)</f>
        <v>1</v>
      </c>
      <c r="F222" s="18" t="n">
        <f aca="false">SUMIFS(Payment_Log_AP!$E$2:$E$753,Payment_Log_AP!$B$2:$B$753,A222)</f>
        <v>2117.88</v>
      </c>
      <c r="G222" s="18" t="n">
        <f aca="false">MAX(F222-D222,0)</f>
        <v>0</v>
      </c>
      <c r="H222" s="16" t="str">
        <f aca="false">IF(E222&gt;1,"DUPLICATE - Review",IF(G222&gt;Assumptions!$B$6,"OVERPAID - Review","OK"))</f>
        <v>OK</v>
      </c>
    </row>
    <row r="223" customFormat="false" ht="15" hidden="false" customHeight="false" outlineLevel="0" collapsed="false">
      <c r="A223" s="16" t="str">
        <f aca="false">Vendor_Invoices_AP!A220</f>
        <v>INV30219</v>
      </c>
      <c r="B223" s="16" t="str">
        <f aca="false">Vendor_Invoices_AP!C220</f>
        <v>V1004</v>
      </c>
      <c r="C223" s="16" t="str">
        <f aca="false">IFERROR(INDEX(Vendor_Master!$B$2:$B$41,MATCH(B223,Vendor_Master!$A$2:$A$41,0)),"Unknown Vendor")</f>
        <v>Johnson, Gonzalez and Santos</v>
      </c>
      <c r="D223" s="18" t="n">
        <f aca="false">Vendor_Invoices_AP!E220</f>
        <v>2117.88</v>
      </c>
      <c r="E223" s="16" t="n">
        <f aca="false">COUNTIF(Payment_Log_AP!$B$2:$B$753,A223)</f>
        <v>1</v>
      </c>
      <c r="F223" s="18" t="n">
        <f aca="false">SUMIFS(Payment_Log_AP!$E$2:$E$753,Payment_Log_AP!$B$2:$B$753,A223)</f>
        <v>2117.88</v>
      </c>
      <c r="G223" s="18" t="n">
        <f aca="false">MAX(F223-D223,0)</f>
        <v>0</v>
      </c>
      <c r="H223" s="16" t="str">
        <f aca="false">IF(E223&gt;1,"DUPLICATE - Review",IF(G223&gt;Assumptions!$B$6,"OVERPAID - Review","OK"))</f>
        <v>OK</v>
      </c>
    </row>
    <row r="224" customFormat="false" ht="15" hidden="false" customHeight="false" outlineLevel="0" collapsed="false">
      <c r="A224" s="16" t="str">
        <f aca="false">Vendor_Invoices_AP!A221</f>
        <v>INV30220</v>
      </c>
      <c r="B224" s="16" t="str">
        <f aca="false">Vendor_Invoices_AP!C221</f>
        <v>V1001</v>
      </c>
      <c r="C224" s="16" t="str">
        <f aca="false">IFERROR(INDEX(Vendor_Master!$B$2:$B$41,MATCH(B224,Vendor_Master!$A$2:$A$41,0)),"Unknown Vendor")</f>
        <v>Figueroa and Sons</v>
      </c>
      <c r="D224" s="18" t="n">
        <f aca="false">Vendor_Invoices_AP!E221</f>
        <v>266.54</v>
      </c>
      <c r="E224" s="16" t="n">
        <f aca="false">COUNTIF(Payment_Log_AP!$B$2:$B$753,A224)</f>
        <v>1</v>
      </c>
      <c r="F224" s="18" t="n">
        <f aca="false">SUMIFS(Payment_Log_AP!$E$2:$E$753,Payment_Log_AP!$B$2:$B$753,A224)</f>
        <v>266.54</v>
      </c>
      <c r="G224" s="18" t="n">
        <f aca="false">MAX(F224-D224,0)</f>
        <v>0</v>
      </c>
      <c r="H224" s="16" t="str">
        <f aca="false">IF(E224&gt;1,"DUPLICATE - Review",IF(G224&gt;Assumptions!$B$6,"OVERPAID - Review","OK"))</f>
        <v>OK</v>
      </c>
    </row>
    <row r="225" customFormat="false" ht="15" hidden="false" customHeight="false" outlineLevel="0" collapsed="false">
      <c r="A225" s="16" t="str">
        <f aca="false">Vendor_Invoices_AP!A222</f>
        <v>INV30221</v>
      </c>
      <c r="B225" s="16" t="str">
        <f aca="false">Vendor_Invoices_AP!C222</f>
        <v>V1001</v>
      </c>
      <c r="C225" s="16" t="str">
        <f aca="false">IFERROR(INDEX(Vendor_Master!$B$2:$B$41,MATCH(B225,Vendor_Master!$A$2:$A$41,0)),"Unknown Vendor")</f>
        <v>Figueroa and Sons</v>
      </c>
      <c r="D225" s="18" t="n">
        <f aca="false">Vendor_Invoices_AP!E222</f>
        <v>266.54</v>
      </c>
      <c r="E225" s="16" t="n">
        <f aca="false">COUNTIF(Payment_Log_AP!$B$2:$B$753,A225)</f>
        <v>1</v>
      </c>
      <c r="F225" s="18" t="n">
        <f aca="false">SUMIFS(Payment_Log_AP!$E$2:$E$753,Payment_Log_AP!$B$2:$B$753,A225)</f>
        <v>266.54</v>
      </c>
      <c r="G225" s="18" t="n">
        <f aca="false">MAX(F225-D225,0)</f>
        <v>0</v>
      </c>
      <c r="H225" s="16" t="str">
        <f aca="false">IF(E225&gt;1,"DUPLICATE - Review",IF(G225&gt;Assumptions!$B$6,"OVERPAID - Review","OK"))</f>
        <v>OK</v>
      </c>
    </row>
    <row r="226" customFormat="false" ht="15" hidden="false" customHeight="false" outlineLevel="0" collapsed="false">
      <c r="A226" s="16" t="str">
        <f aca="false">Vendor_Invoices_AP!A223</f>
        <v>INV30222</v>
      </c>
      <c r="B226" s="16" t="str">
        <f aca="false">Vendor_Invoices_AP!C223</f>
        <v>V1016</v>
      </c>
      <c r="C226" s="16" t="str">
        <f aca="false">IFERROR(INDEX(Vendor_Master!$B$2:$B$41,MATCH(B226,Vendor_Master!$A$2:$A$41,0)),"Unknown Vendor")</f>
        <v>Sanchez, Ford and Nelson</v>
      </c>
      <c r="D226" s="18" t="n">
        <f aca="false">Vendor_Invoices_AP!E223</f>
        <v>1071.3</v>
      </c>
      <c r="E226" s="16" t="n">
        <f aca="false">COUNTIF(Payment_Log_AP!$B$2:$B$753,A226)</f>
        <v>1</v>
      </c>
      <c r="F226" s="18" t="n">
        <f aca="false">SUMIFS(Payment_Log_AP!$E$2:$E$753,Payment_Log_AP!$B$2:$B$753,A226)</f>
        <v>1071.3</v>
      </c>
      <c r="G226" s="18" t="n">
        <f aca="false">MAX(F226-D226,0)</f>
        <v>0</v>
      </c>
      <c r="H226" s="16" t="str">
        <f aca="false">IF(E226&gt;1,"DUPLICATE - Review",IF(G226&gt;Assumptions!$B$6,"OVERPAID - Review","OK"))</f>
        <v>OK</v>
      </c>
    </row>
    <row r="227" customFormat="false" ht="15" hidden="false" customHeight="false" outlineLevel="0" collapsed="false">
      <c r="A227" s="16" t="str">
        <f aca="false">Vendor_Invoices_AP!A224</f>
        <v>INV30223</v>
      </c>
      <c r="B227" s="16" t="str">
        <f aca="false">Vendor_Invoices_AP!C224</f>
        <v>V1016</v>
      </c>
      <c r="C227" s="16" t="str">
        <f aca="false">IFERROR(INDEX(Vendor_Master!$B$2:$B$41,MATCH(B227,Vendor_Master!$A$2:$A$41,0)),"Unknown Vendor")</f>
        <v>Sanchez, Ford and Nelson</v>
      </c>
      <c r="D227" s="18" t="n">
        <f aca="false">Vendor_Invoices_AP!E224</f>
        <v>728.71</v>
      </c>
      <c r="E227" s="16" t="n">
        <f aca="false">COUNTIF(Payment_Log_AP!$B$2:$B$753,A227)</f>
        <v>1</v>
      </c>
      <c r="F227" s="18" t="n">
        <f aca="false">SUMIFS(Payment_Log_AP!$E$2:$E$753,Payment_Log_AP!$B$2:$B$753,A227)</f>
        <v>728.71</v>
      </c>
      <c r="G227" s="18" t="n">
        <f aca="false">MAX(F227-D227,0)</f>
        <v>0</v>
      </c>
      <c r="H227" s="16" t="str">
        <f aca="false">IF(E227&gt;1,"DUPLICATE - Review",IF(G227&gt;Assumptions!$B$6,"OVERPAID - Review","OK"))</f>
        <v>OK</v>
      </c>
    </row>
    <row r="228" customFormat="false" ht="15" hidden="false" customHeight="false" outlineLevel="0" collapsed="false">
      <c r="A228" s="16" t="str">
        <f aca="false">Vendor_Invoices_AP!A225</f>
        <v>INV30224</v>
      </c>
      <c r="B228" s="16" t="str">
        <f aca="false">Vendor_Invoices_AP!C225</f>
        <v>V1023</v>
      </c>
      <c r="C228" s="16" t="str">
        <f aca="false">IFERROR(INDEX(Vendor_Master!$B$2:$B$41,MATCH(B228,Vendor_Master!$A$2:$A$41,0)),"Unknown Vendor")</f>
        <v>Robinson-Bright</v>
      </c>
      <c r="D228" s="18" t="n">
        <f aca="false">Vendor_Invoices_AP!E225</f>
        <v>3728.38</v>
      </c>
      <c r="E228" s="16" t="n">
        <f aca="false">COUNTIF(Payment_Log_AP!$B$2:$B$753,A228)</f>
        <v>1</v>
      </c>
      <c r="F228" s="18" t="n">
        <f aca="false">SUMIFS(Payment_Log_AP!$E$2:$E$753,Payment_Log_AP!$B$2:$B$753,A228)</f>
        <v>3728.38</v>
      </c>
      <c r="G228" s="18" t="n">
        <f aca="false">MAX(F228-D228,0)</f>
        <v>0</v>
      </c>
      <c r="H228" s="16" t="str">
        <f aca="false">IF(E228&gt;1,"DUPLICATE - Review",IF(G228&gt;Assumptions!$B$6,"OVERPAID - Review","OK"))</f>
        <v>OK</v>
      </c>
    </row>
    <row r="229" customFormat="false" ht="15" hidden="false" customHeight="false" outlineLevel="0" collapsed="false">
      <c r="A229" s="16" t="str">
        <f aca="false">Vendor_Invoices_AP!A226</f>
        <v>INV30225</v>
      </c>
      <c r="B229" s="16" t="str">
        <f aca="false">Vendor_Invoices_AP!C226</f>
        <v>V1016</v>
      </c>
      <c r="C229" s="16" t="str">
        <f aca="false">IFERROR(INDEX(Vendor_Master!$B$2:$B$41,MATCH(B229,Vendor_Master!$A$2:$A$41,0)),"Unknown Vendor")</f>
        <v>Sanchez, Ford and Nelson</v>
      </c>
      <c r="D229" s="18" t="n">
        <f aca="false">Vendor_Invoices_AP!E226</f>
        <v>5712.19</v>
      </c>
      <c r="E229" s="16" t="n">
        <f aca="false">COUNTIF(Payment_Log_AP!$B$2:$B$753,A229)</f>
        <v>1</v>
      </c>
      <c r="F229" s="18" t="n">
        <f aca="false">SUMIFS(Payment_Log_AP!$E$2:$E$753,Payment_Log_AP!$B$2:$B$753,A229)</f>
        <v>5712.19</v>
      </c>
      <c r="G229" s="18" t="n">
        <f aca="false">MAX(F229-D229,0)</f>
        <v>0</v>
      </c>
      <c r="H229" s="16" t="str">
        <f aca="false">IF(E229&gt;1,"DUPLICATE - Review",IF(G229&gt;Assumptions!$B$6,"OVERPAID - Review","OK"))</f>
        <v>OK</v>
      </c>
    </row>
    <row r="230" customFormat="false" ht="15" hidden="false" customHeight="false" outlineLevel="0" collapsed="false">
      <c r="A230" s="16" t="str">
        <f aca="false">Vendor_Invoices_AP!A227</f>
        <v>INV30226</v>
      </c>
      <c r="B230" s="16" t="str">
        <f aca="false">Vendor_Invoices_AP!C227</f>
        <v>V1031</v>
      </c>
      <c r="C230" s="16" t="str">
        <f aca="false">IFERROR(INDEX(Vendor_Master!$B$2:$B$41,MATCH(B230,Vendor_Master!$A$2:$A$41,0)),"Unknown Vendor")</f>
        <v>Harrell LLC</v>
      </c>
      <c r="D230" s="18" t="n">
        <f aca="false">Vendor_Invoices_AP!E227</f>
        <v>3449.51</v>
      </c>
      <c r="E230" s="16" t="n">
        <f aca="false">COUNTIF(Payment_Log_AP!$B$2:$B$753,A230)</f>
        <v>0</v>
      </c>
      <c r="F230" s="18" t="n">
        <f aca="false">SUMIFS(Payment_Log_AP!$E$2:$E$753,Payment_Log_AP!$B$2:$B$753,A230)</f>
        <v>0</v>
      </c>
      <c r="G230" s="18" t="n">
        <f aca="false">MAX(F230-D230,0)</f>
        <v>0</v>
      </c>
      <c r="H230" s="16" t="str">
        <f aca="false">IF(E230&gt;1,"DUPLICATE - Review",IF(G230&gt;Assumptions!$B$6,"OVERPAID - Review","OK"))</f>
        <v>OK</v>
      </c>
    </row>
    <row r="231" customFormat="false" ht="15" hidden="false" customHeight="false" outlineLevel="0" collapsed="false">
      <c r="A231" s="16" t="str">
        <f aca="false">Vendor_Invoices_AP!A228</f>
        <v>INV30227</v>
      </c>
      <c r="B231" s="16" t="str">
        <f aca="false">Vendor_Invoices_AP!C228</f>
        <v>V1018</v>
      </c>
      <c r="C231" s="16" t="str">
        <f aca="false">IFERROR(INDEX(Vendor_Master!$B$2:$B$41,MATCH(B231,Vendor_Master!$A$2:$A$41,0)),"Unknown Vendor")</f>
        <v>Underwood LLC</v>
      </c>
      <c r="D231" s="18" t="n">
        <f aca="false">Vendor_Invoices_AP!E228</f>
        <v>1442.03</v>
      </c>
      <c r="E231" s="16" t="n">
        <f aca="false">COUNTIF(Payment_Log_AP!$B$2:$B$753,A231)</f>
        <v>1</v>
      </c>
      <c r="F231" s="18" t="n">
        <f aca="false">SUMIFS(Payment_Log_AP!$E$2:$E$753,Payment_Log_AP!$B$2:$B$753,A231)</f>
        <v>1442.03</v>
      </c>
      <c r="G231" s="18" t="n">
        <f aca="false">MAX(F231-D231,0)</f>
        <v>0</v>
      </c>
      <c r="H231" s="16" t="str">
        <f aca="false">IF(E231&gt;1,"DUPLICATE - Review",IF(G231&gt;Assumptions!$B$6,"OVERPAID - Review","OK"))</f>
        <v>OK</v>
      </c>
    </row>
    <row r="232" customFormat="false" ht="15" hidden="false" customHeight="false" outlineLevel="0" collapsed="false">
      <c r="A232" s="16" t="str">
        <f aca="false">Vendor_Invoices_AP!A229</f>
        <v>INV30228</v>
      </c>
      <c r="B232" s="16" t="str">
        <f aca="false">Vendor_Invoices_AP!C229</f>
        <v>V1007</v>
      </c>
      <c r="C232" s="16" t="str">
        <f aca="false">IFERROR(INDEX(Vendor_Master!$B$2:$B$41,MATCH(B232,Vendor_Master!$A$2:$A$41,0)),"Unknown Vendor")</f>
        <v>Ramirez-Lewis</v>
      </c>
      <c r="D232" s="18" t="n">
        <f aca="false">Vendor_Invoices_AP!E229</f>
        <v>14974.83</v>
      </c>
      <c r="E232" s="16" t="n">
        <f aca="false">COUNTIF(Payment_Log_AP!$B$2:$B$753,A232)</f>
        <v>1</v>
      </c>
      <c r="F232" s="18" t="n">
        <f aca="false">SUMIFS(Payment_Log_AP!$E$2:$E$753,Payment_Log_AP!$B$2:$B$753,A232)</f>
        <v>14974.83</v>
      </c>
      <c r="G232" s="18" t="n">
        <f aca="false">MAX(F232-D232,0)</f>
        <v>0</v>
      </c>
      <c r="H232" s="16" t="str">
        <f aca="false">IF(E232&gt;1,"DUPLICATE - Review",IF(G232&gt;Assumptions!$B$6,"OVERPAID - Review","OK"))</f>
        <v>OK</v>
      </c>
    </row>
    <row r="233" customFormat="false" ht="15" hidden="false" customHeight="false" outlineLevel="0" collapsed="false">
      <c r="A233" s="16" t="str">
        <f aca="false">Vendor_Invoices_AP!A230</f>
        <v>INV30229</v>
      </c>
      <c r="B233" s="16" t="str">
        <f aca="false">Vendor_Invoices_AP!C230</f>
        <v>V1032</v>
      </c>
      <c r="C233" s="16" t="str">
        <f aca="false">IFERROR(INDEX(Vendor_Master!$B$2:$B$41,MATCH(B233,Vendor_Master!$A$2:$A$41,0)),"Unknown Vendor")</f>
        <v>Lynch, Hernandez and Farmer</v>
      </c>
      <c r="D233" s="18" t="n">
        <f aca="false">Vendor_Invoices_AP!E230</f>
        <v>877.63</v>
      </c>
      <c r="E233" s="16" t="n">
        <f aca="false">COUNTIF(Payment_Log_AP!$B$2:$B$753,A233)</f>
        <v>1</v>
      </c>
      <c r="F233" s="18" t="n">
        <f aca="false">SUMIFS(Payment_Log_AP!$E$2:$E$753,Payment_Log_AP!$B$2:$B$753,A233)</f>
        <v>877.63</v>
      </c>
      <c r="G233" s="18" t="n">
        <f aca="false">MAX(F233-D233,0)</f>
        <v>0</v>
      </c>
      <c r="H233" s="16" t="str">
        <f aca="false">IF(E233&gt;1,"DUPLICATE - Review",IF(G233&gt;Assumptions!$B$6,"OVERPAID - Review","OK"))</f>
        <v>OK</v>
      </c>
    </row>
    <row r="234" customFormat="false" ht="15" hidden="false" customHeight="false" outlineLevel="0" collapsed="false">
      <c r="A234" s="16" t="str">
        <f aca="false">Vendor_Invoices_AP!A231</f>
        <v>INV30230</v>
      </c>
      <c r="B234" s="16" t="str">
        <f aca="false">Vendor_Invoices_AP!C231</f>
        <v>V1033</v>
      </c>
      <c r="C234" s="16" t="str">
        <f aca="false">IFERROR(INDEX(Vendor_Master!$B$2:$B$41,MATCH(B234,Vendor_Master!$A$2:$A$41,0)),"Unknown Vendor")</f>
        <v>Sellers, George and Burns</v>
      </c>
      <c r="D234" s="18" t="n">
        <f aca="false">Vendor_Invoices_AP!E231</f>
        <v>2542.66</v>
      </c>
      <c r="E234" s="16" t="n">
        <f aca="false">COUNTIF(Payment_Log_AP!$B$2:$B$753,A234)</f>
        <v>1</v>
      </c>
      <c r="F234" s="18" t="n">
        <f aca="false">SUMIFS(Payment_Log_AP!$E$2:$E$753,Payment_Log_AP!$B$2:$B$753,A234)</f>
        <v>2542.66</v>
      </c>
      <c r="G234" s="18" t="n">
        <f aca="false">MAX(F234-D234,0)</f>
        <v>0</v>
      </c>
      <c r="H234" s="16" t="str">
        <f aca="false">IF(E234&gt;1,"DUPLICATE - Review",IF(G234&gt;Assumptions!$B$6,"OVERPAID - Review","OK"))</f>
        <v>OK</v>
      </c>
    </row>
    <row r="235" customFormat="false" ht="15" hidden="false" customHeight="false" outlineLevel="0" collapsed="false">
      <c r="A235" s="16" t="str">
        <f aca="false">Vendor_Invoices_AP!A232</f>
        <v>INV30231</v>
      </c>
      <c r="B235" s="16" t="str">
        <f aca="false">Vendor_Invoices_AP!C232</f>
        <v>V1007</v>
      </c>
      <c r="C235" s="16" t="str">
        <f aca="false">IFERROR(INDEX(Vendor_Master!$B$2:$B$41,MATCH(B235,Vendor_Master!$A$2:$A$41,0)),"Unknown Vendor")</f>
        <v>Ramirez-Lewis</v>
      </c>
      <c r="D235" s="18" t="n">
        <f aca="false">Vendor_Invoices_AP!E232</f>
        <v>3210.01</v>
      </c>
      <c r="E235" s="16" t="n">
        <f aca="false">COUNTIF(Payment_Log_AP!$B$2:$B$753,A235)</f>
        <v>1</v>
      </c>
      <c r="F235" s="18" t="n">
        <f aca="false">SUMIFS(Payment_Log_AP!$E$2:$E$753,Payment_Log_AP!$B$2:$B$753,A235)</f>
        <v>3210.01</v>
      </c>
      <c r="G235" s="18" t="n">
        <f aca="false">MAX(F235-D235,0)</f>
        <v>0</v>
      </c>
      <c r="H235" s="16" t="str">
        <f aca="false">IF(E235&gt;1,"DUPLICATE - Review",IF(G235&gt;Assumptions!$B$6,"OVERPAID - Review","OK"))</f>
        <v>OK</v>
      </c>
    </row>
    <row r="236" customFormat="false" ht="15" hidden="false" customHeight="false" outlineLevel="0" collapsed="false">
      <c r="A236" s="16" t="str">
        <f aca="false">Vendor_Invoices_AP!A233</f>
        <v>INV30232</v>
      </c>
      <c r="B236" s="16" t="str">
        <f aca="false">Vendor_Invoices_AP!C233</f>
        <v>V1017</v>
      </c>
      <c r="C236" s="16" t="str">
        <f aca="false">IFERROR(INDEX(Vendor_Master!$B$2:$B$41,MATCH(B236,Vendor_Master!$A$2:$A$41,0)),"Unknown Vendor")</f>
        <v>Hawkins, Cohen and Cameron</v>
      </c>
      <c r="D236" s="18" t="n">
        <f aca="false">Vendor_Invoices_AP!E233</f>
        <v>610.78</v>
      </c>
      <c r="E236" s="16" t="n">
        <f aca="false">COUNTIF(Payment_Log_AP!$B$2:$B$753,A236)</f>
        <v>0</v>
      </c>
      <c r="F236" s="18" t="n">
        <f aca="false">SUMIFS(Payment_Log_AP!$E$2:$E$753,Payment_Log_AP!$B$2:$B$753,A236)</f>
        <v>0</v>
      </c>
      <c r="G236" s="18" t="n">
        <f aca="false">MAX(F236-D236,0)</f>
        <v>0</v>
      </c>
      <c r="H236" s="16" t="str">
        <f aca="false">IF(E236&gt;1,"DUPLICATE - Review",IF(G236&gt;Assumptions!$B$6,"OVERPAID - Review","OK"))</f>
        <v>OK</v>
      </c>
    </row>
    <row r="237" customFormat="false" ht="15" hidden="false" customHeight="false" outlineLevel="0" collapsed="false">
      <c r="A237" s="16" t="str">
        <f aca="false">Vendor_Invoices_AP!A234</f>
        <v>INV30233</v>
      </c>
      <c r="B237" s="16" t="str">
        <f aca="false">Vendor_Invoices_AP!C234</f>
        <v>V1005</v>
      </c>
      <c r="C237" s="16" t="str">
        <f aca="false">IFERROR(INDEX(Vendor_Master!$B$2:$B$41,MATCH(B237,Vendor_Master!$A$2:$A$41,0)),"Unknown Vendor")</f>
        <v>Cole LLC</v>
      </c>
      <c r="D237" s="18" t="n">
        <f aca="false">Vendor_Invoices_AP!E234</f>
        <v>4612.25</v>
      </c>
      <c r="E237" s="16" t="n">
        <f aca="false">COUNTIF(Payment_Log_AP!$B$2:$B$753,A237)</f>
        <v>1</v>
      </c>
      <c r="F237" s="18" t="n">
        <f aca="false">SUMIFS(Payment_Log_AP!$E$2:$E$753,Payment_Log_AP!$B$2:$B$753,A237)</f>
        <v>4612.25</v>
      </c>
      <c r="G237" s="18" t="n">
        <f aca="false">MAX(F237-D237,0)</f>
        <v>0</v>
      </c>
      <c r="H237" s="16" t="str">
        <f aca="false">IF(E237&gt;1,"DUPLICATE - Review",IF(G237&gt;Assumptions!$B$6,"OVERPAID - Review","OK"))</f>
        <v>OK</v>
      </c>
    </row>
    <row r="238" customFormat="false" ht="15" hidden="false" customHeight="false" outlineLevel="0" collapsed="false">
      <c r="A238" s="16" t="str">
        <f aca="false">Vendor_Invoices_AP!A235</f>
        <v>INV30234</v>
      </c>
      <c r="B238" s="16" t="str">
        <f aca="false">Vendor_Invoices_AP!C235</f>
        <v>V1031</v>
      </c>
      <c r="C238" s="16" t="str">
        <f aca="false">IFERROR(INDEX(Vendor_Master!$B$2:$B$41,MATCH(B238,Vendor_Master!$A$2:$A$41,0)),"Unknown Vendor")</f>
        <v>Harrell LLC</v>
      </c>
      <c r="D238" s="18" t="n">
        <f aca="false">Vendor_Invoices_AP!E235</f>
        <v>884.17</v>
      </c>
      <c r="E238" s="16" t="n">
        <f aca="false">COUNTIF(Payment_Log_AP!$B$2:$B$753,A238)</f>
        <v>1</v>
      </c>
      <c r="F238" s="18" t="n">
        <f aca="false">SUMIFS(Payment_Log_AP!$E$2:$E$753,Payment_Log_AP!$B$2:$B$753,A238)</f>
        <v>884.17</v>
      </c>
      <c r="G238" s="18" t="n">
        <f aca="false">MAX(F238-D238,0)</f>
        <v>0</v>
      </c>
      <c r="H238" s="16" t="str">
        <f aca="false">IF(E238&gt;1,"DUPLICATE - Review",IF(G238&gt;Assumptions!$B$6,"OVERPAID - Review","OK"))</f>
        <v>OK</v>
      </c>
    </row>
    <row r="239" customFormat="false" ht="15" hidden="false" customHeight="false" outlineLevel="0" collapsed="false">
      <c r="A239" s="16" t="str">
        <f aca="false">Vendor_Invoices_AP!A236</f>
        <v>INV30235</v>
      </c>
      <c r="B239" s="16" t="str">
        <f aca="false">Vendor_Invoices_AP!C236</f>
        <v>V1003</v>
      </c>
      <c r="C239" s="16" t="str">
        <f aca="false">IFERROR(INDEX(Vendor_Master!$B$2:$B$41,MATCH(B239,Vendor_Master!$A$2:$A$41,0)),"Unknown Vendor")</f>
        <v>Johnson and Sons</v>
      </c>
      <c r="D239" s="18" t="n">
        <f aca="false">Vendor_Invoices_AP!E236</f>
        <v>3538.33</v>
      </c>
      <c r="E239" s="16" t="n">
        <f aca="false">COUNTIF(Payment_Log_AP!$B$2:$B$753,A239)</f>
        <v>0</v>
      </c>
      <c r="F239" s="18" t="n">
        <f aca="false">SUMIFS(Payment_Log_AP!$E$2:$E$753,Payment_Log_AP!$B$2:$B$753,A239)</f>
        <v>0</v>
      </c>
      <c r="G239" s="18" t="n">
        <f aca="false">MAX(F239-D239,0)</f>
        <v>0</v>
      </c>
      <c r="H239" s="16" t="str">
        <f aca="false">IF(E239&gt;1,"DUPLICATE - Review",IF(G239&gt;Assumptions!$B$6,"OVERPAID - Review","OK"))</f>
        <v>OK</v>
      </c>
    </row>
    <row r="240" customFormat="false" ht="15" hidden="false" customHeight="false" outlineLevel="0" collapsed="false">
      <c r="A240" s="16" t="str">
        <f aca="false">Vendor_Invoices_AP!A237</f>
        <v>INV30236</v>
      </c>
      <c r="B240" s="16" t="str">
        <f aca="false">Vendor_Invoices_AP!C237</f>
        <v>V1020</v>
      </c>
      <c r="C240" s="16" t="str">
        <f aca="false">IFERROR(INDEX(Vendor_Master!$B$2:$B$41,MATCH(B240,Vendor_Master!$A$2:$A$41,0)),"Unknown Vendor")</f>
        <v>Lewis-Porter</v>
      </c>
      <c r="D240" s="18" t="n">
        <f aca="false">Vendor_Invoices_AP!E237</f>
        <v>1486.84</v>
      </c>
      <c r="E240" s="16" t="n">
        <f aca="false">COUNTIF(Payment_Log_AP!$B$2:$B$753,A240)</f>
        <v>1</v>
      </c>
      <c r="F240" s="18" t="n">
        <f aca="false">SUMIFS(Payment_Log_AP!$E$2:$E$753,Payment_Log_AP!$B$2:$B$753,A240)</f>
        <v>1486.84</v>
      </c>
      <c r="G240" s="18" t="n">
        <f aca="false">MAX(F240-D240,0)</f>
        <v>0</v>
      </c>
      <c r="H240" s="16" t="str">
        <f aca="false">IF(E240&gt;1,"DUPLICATE - Review",IF(G240&gt;Assumptions!$B$6,"OVERPAID - Review","OK"))</f>
        <v>OK</v>
      </c>
    </row>
    <row r="241" customFormat="false" ht="15" hidden="false" customHeight="false" outlineLevel="0" collapsed="false">
      <c r="A241" s="16" t="str">
        <f aca="false">Vendor_Invoices_AP!A238</f>
        <v>INV30237</v>
      </c>
      <c r="B241" s="16" t="str">
        <f aca="false">Vendor_Invoices_AP!C238</f>
        <v>V1020</v>
      </c>
      <c r="C241" s="16" t="str">
        <f aca="false">IFERROR(INDEX(Vendor_Master!$B$2:$B$41,MATCH(B241,Vendor_Master!$A$2:$A$41,0)),"Unknown Vendor")</f>
        <v>Lewis-Porter</v>
      </c>
      <c r="D241" s="18" t="n">
        <f aca="false">Vendor_Invoices_AP!E238</f>
        <v>1741.37</v>
      </c>
      <c r="E241" s="16" t="n">
        <f aca="false">COUNTIF(Payment_Log_AP!$B$2:$B$753,A241)</f>
        <v>1</v>
      </c>
      <c r="F241" s="18" t="n">
        <f aca="false">SUMIFS(Payment_Log_AP!$E$2:$E$753,Payment_Log_AP!$B$2:$B$753,A241)</f>
        <v>1741.37</v>
      </c>
      <c r="G241" s="18" t="n">
        <f aca="false">MAX(F241-D241,0)</f>
        <v>0</v>
      </c>
      <c r="H241" s="16" t="str">
        <f aca="false">IF(E241&gt;1,"DUPLICATE - Review",IF(G241&gt;Assumptions!$B$6,"OVERPAID - Review","OK"))</f>
        <v>OK</v>
      </c>
    </row>
    <row r="242" customFormat="false" ht="15" hidden="false" customHeight="false" outlineLevel="0" collapsed="false">
      <c r="A242" s="16" t="str">
        <f aca="false">Vendor_Invoices_AP!A239</f>
        <v>INV30238</v>
      </c>
      <c r="B242" s="16" t="str">
        <f aca="false">Vendor_Invoices_AP!C239</f>
        <v>V1030</v>
      </c>
      <c r="C242" s="16" t="str">
        <f aca="false">IFERROR(INDEX(Vendor_Master!$B$2:$B$41,MATCH(B242,Vendor_Master!$A$2:$A$41,0)),"Unknown Vendor")</f>
        <v>Stanton-Gill</v>
      </c>
      <c r="D242" s="18" t="n">
        <f aca="false">Vendor_Invoices_AP!E239</f>
        <v>201.48</v>
      </c>
      <c r="E242" s="16" t="n">
        <f aca="false">COUNTIF(Payment_Log_AP!$B$2:$B$753,A242)</f>
        <v>1</v>
      </c>
      <c r="F242" s="18" t="n">
        <f aca="false">SUMIFS(Payment_Log_AP!$E$2:$E$753,Payment_Log_AP!$B$2:$B$753,A242)</f>
        <v>201.48</v>
      </c>
      <c r="G242" s="18" t="n">
        <f aca="false">MAX(F242-D242,0)</f>
        <v>0</v>
      </c>
      <c r="H242" s="16" t="str">
        <f aca="false">IF(E242&gt;1,"DUPLICATE - Review",IF(G242&gt;Assumptions!$B$6,"OVERPAID - Review","OK"))</f>
        <v>OK</v>
      </c>
    </row>
    <row r="243" customFormat="false" ht="15" hidden="false" customHeight="false" outlineLevel="0" collapsed="false">
      <c r="A243" s="16" t="str">
        <f aca="false">Vendor_Invoices_AP!A240</f>
        <v>INV30239</v>
      </c>
      <c r="B243" s="16" t="str">
        <f aca="false">Vendor_Invoices_AP!C240</f>
        <v>V1035</v>
      </c>
      <c r="C243" s="16" t="str">
        <f aca="false">IFERROR(INDEX(Vendor_Master!$B$2:$B$41,MATCH(B243,Vendor_Master!$A$2:$A$41,0)),"Unknown Vendor")</f>
        <v>Allen PLC</v>
      </c>
      <c r="D243" s="18" t="n">
        <f aca="false">Vendor_Invoices_AP!E240</f>
        <v>4326.08</v>
      </c>
      <c r="E243" s="16" t="n">
        <f aca="false">COUNTIF(Payment_Log_AP!$B$2:$B$753,A243)</f>
        <v>1</v>
      </c>
      <c r="F243" s="18" t="n">
        <f aca="false">SUMIFS(Payment_Log_AP!$E$2:$E$753,Payment_Log_AP!$B$2:$B$753,A243)</f>
        <v>4326.08</v>
      </c>
      <c r="G243" s="18" t="n">
        <f aca="false">MAX(F243-D243,0)</f>
        <v>0</v>
      </c>
      <c r="H243" s="16" t="str">
        <f aca="false">IF(E243&gt;1,"DUPLICATE - Review",IF(G243&gt;Assumptions!$B$6,"OVERPAID - Review","OK"))</f>
        <v>OK</v>
      </c>
    </row>
    <row r="244" customFormat="false" ht="15" hidden="false" customHeight="false" outlineLevel="0" collapsed="false">
      <c r="A244" s="16" t="str">
        <f aca="false">Vendor_Invoices_AP!A241</f>
        <v>INV30240</v>
      </c>
      <c r="B244" s="16" t="str">
        <f aca="false">Vendor_Invoices_AP!C241</f>
        <v>V1013</v>
      </c>
      <c r="C244" s="16" t="str">
        <f aca="false">IFERROR(INDEX(Vendor_Master!$B$2:$B$41,MATCH(B244,Vendor_Master!$A$2:$A$41,0)),"Unknown Vendor")</f>
        <v>Delacruz Group</v>
      </c>
      <c r="D244" s="18" t="n">
        <f aca="false">Vendor_Invoices_AP!E241</f>
        <v>1933.86</v>
      </c>
      <c r="E244" s="16" t="n">
        <f aca="false">COUNTIF(Payment_Log_AP!$B$2:$B$753,A244)</f>
        <v>1</v>
      </c>
      <c r="F244" s="18" t="n">
        <f aca="false">SUMIFS(Payment_Log_AP!$E$2:$E$753,Payment_Log_AP!$B$2:$B$753,A244)</f>
        <v>1933.86</v>
      </c>
      <c r="G244" s="18" t="n">
        <f aca="false">MAX(F244-D244,0)</f>
        <v>0</v>
      </c>
      <c r="H244" s="16" t="str">
        <f aca="false">IF(E244&gt;1,"DUPLICATE - Review",IF(G244&gt;Assumptions!$B$6,"OVERPAID - Review","OK"))</f>
        <v>OK</v>
      </c>
    </row>
    <row r="245" customFormat="false" ht="15" hidden="false" customHeight="false" outlineLevel="0" collapsed="false">
      <c r="A245" s="16" t="str">
        <f aca="false">Vendor_Invoices_AP!A242</f>
        <v>INV30241</v>
      </c>
      <c r="B245" s="16" t="str">
        <f aca="false">Vendor_Invoices_AP!C242</f>
        <v>V1005</v>
      </c>
      <c r="C245" s="16" t="str">
        <f aca="false">IFERROR(INDEX(Vendor_Master!$B$2:$B$41,MATCH(B245,Vendor_Master!$A$2:$A$41,0)),"Unknown Vendor")</f>
        <v>Cole LLC</v>
      </c>
      <c r="D245" s="18" t="n">
        <f aca="false">Vendor_Invoices_AP!E242</f>
        <v>301.96</v>
      </c>
      <c r="E245" s="16" t="n">
        <f aca="false">COUNTIF(Payment_Log_AP!$B$2:$B$753,A245)</f>
        <v>1</v>
      </c>
      <c r="F245" s="18" t="n">
        <f aca="false">SUMIFS(Payment_Log_AP!$E$2:$E$753,Payment_Log_AP!$B$2:$B$753,A245)</f>
        <v>301.96</v>
      </c>
      <c r="G245" s="18" t="n">
        <f aca="false">MAX(F245-D245,0)</f>
        <v>0</v>
      </c>
      <c r="H245" s="16" t="str">
        <f aca="false">IF(E245&gt;1,"DUPLICATE - Review",IF(G245&gt;Assumptions!$B$6,"OVERPAID - Review","OK"))</f>
        <v>OK</v>
      </c>
    </row>
    <row r="246" customFormat="false" ht="15" hidden="false" customHeight="false" outlineLevel="0" collapsed="false">
      <c r="A246" s="16" t="str">
        <f aca="false">Vendor_Invoices_AP!A243</f>
        <v>INV30242</v>
      </c>
      <c r="B246" s="16" t="str">
        <f aca="false">Vendor_Invoices_AP!C243</f>
        <v>V1007</v>
      </c>
      <c r="C246" s="16" t="str">
        <f aca="false">IFERROR(INDEX(Vendor_Master!$B$2:$B$41,MATCH(B246,Vendor_Master!$A$2:$A$41,0)),"Unknown Vendor")</f>
        <v>Ramirez-Lewis</v>
      </c>
      <c r="D246" s="18" t="n">
        <f aca="false">Vendor_Invoices_AP!E243</f>
        <v>16728.17</v>
      </c>
      <c r="E246" s="16" t="n">
        <f aca="false">COUNTIF(Payment_Log_AP!$B$2:$B$753,A246)</f>
        <v>0</v>
      </c>
      <c r="F246" s="18" t="n">
        <f aca="false">SUMIFS(Payment_Log_AP!$E$2:$E$753,Payment_Log_AP!$B$2:$B$753,A246)</f>
        <v>0</v>
      </c>
      <c r="G246" s="18" t="n">
        <f aca="false">MAX(F246-D246,0)</f>
        <v>0</v>
      </c>
      <c r="H246" s="16" t="str">
        <f aca="false">IF(E246&gt;1,"DUPLICATE - Review",IF(G246&gt;Assumptions!$B$6,"OVERPAID - Review","OK"))</f>
        <v>OK</v>
      </c>
    </row>
    <row r="247" customFormat="false" ht="15" hidden="false" customHeight="false" outlineLevel="0" collapsed="false">
      <c r="A247" s="16" t="str">
        <f aca="false">Vendor_Invoices_AP!A244</f>
        <v>INV30243</v>
      </c>
      <c r="B247" s="16" t="str">
        <f aca="false">Vendor_Invoices_AP!C244</f>
        <v>V1038</v>
      </c>
      <c r="C247" s="16" t="str">
        <f aca="false">IFERROR(INDEX(Vendor_Master!$B$2:$B$41,MATCH(B247,Vendor_Master!$A$2:$A$41,0)),"Unknown Vendor")</f>
        <v>Rose-Obrien</v>
      </c>
      <c r="D247" s="18" t="n">
        <f aca="false">Vendor_Invoices_AP!E244</f>
        <v>594.08</v>
      </c>
      <c r="E247" s="16" t="n">
        <f aca="false">COUNTIF(Payment_Log_AP!$B$2:$B$753,A247)</f>
        <v>1</v>
      </c>
      <c r="F247" s="18" t="n">
        <f aca="false">SUMIFS(Payment_Log_AP!$E$2:$E$753,Payment_Log_AP!$B$2:$B$753,A247)</f>
        <v>594.08</v>
      </c>
      <c r="G247" s="18" t="n">
        <f aca="false">MAX(F247-D247,0)</f>
        <v>0</v>
      </c>
      <c r="H247" s="16" t="str">
        <f aca="false">IF(E247&gt;1,"DUPLICATE - Review",IF(G247&gt;Assumptions!$B$6,"OVERPAID - Review","OK"))</f>
        <v>OK</v>
      </c>
    </row>
    <row r="248" customFormat="false" ht="15" hidden="false" customHeight="false" outlineLevel="0" collapsed="false">
      <c r="A248" s="16" t="str">
        <f aca="false">Vendor_Invoices_AP!A245</f>
        <v>INV30244</v>
      </c>
      <c r="B248" s="16" t="str">
        <f aca="false">Vendor_Invoices_AP!C245</f>
        <v>V1007</v>
      </c>
      <c r="C248" s="16" t="str">
        <f aca="false">IFERROR(INDEX(Vendor_Master!$B$2:$B$41,MATCH(B248,Vendor_Master!$A$2:$A$41,0)),"Unknown Vendor")</f>
        <v>Ramirez-Lewis</v>
      </c>
      <c r="D248" s="18" t="n">
        <f aca="false">Vendor_Invoices_AP!E245</f>
        <v>4409.64</v>
      </c>
      <c r="E248" s="16" t="n">
        <f aca="false">COUNTIF(Payment_Log_AP!$B$2:$B$753,A248)</f>
        <v>1</v>
      </c>
      <c r="F248" s="18" t="n">
        <f aca="false">SUMIFS(Payment_Log_AP!$E$2:$E$753,Payment_Log_AP!$B$2:$B$753,A248)</f>
        <v>4409.64</v>
      </c>
      <c r="G248" s="18" t="n">
        <f aca="false">MAX(F248-D248,0)</f>
        <v>0</v>
      </c>
      <c r="H248" s="16" t="str">
        <f aca="false">IF(E248&gt;1,"DUPLICATE - Review",IF(G248&gt;Assumptions!$B$6,"OVERPAID - Review","OK"))</f>
        <v>OK</v>
      </c>
    </row>
    <row r="249" customFormat="false" ht="15" hidden="false" customHeight="false" outlineLevel="0" collapsed="false">
      <c r="A249" s="16" t="str">
        <f aca="false">Vendor_Invoices_AP!A246</f>
        <v>INV30245</v>
      </c>
      <c r="B249" s="16" t="str">
        <f aca="false">Vendor_Invoices_AP!C246</f>
        <v>V1020</v>
      </c>
      <c r="C249" s="16" t="str">
        <f aca="false">IFERROR(INDEX(Vendor_Master!$B$2:$B$41,MATCH(B249,Vendor_Master!$A$2:$A$41,0)),"Unknown Vendor")</f>
        <v>Lewis-Porter</v>
      </c>
      <c r="D249" s="18" t="n">
        <f aca="false">Vendor_Invoices_AP!E246</f>
        <v>1370.36</v>
      </c>
      <c r="E249" s="16" t="n">
        <f aca="false">COUNTIF(Payment_Log_AP!$B$2:$B$753,A249)</f>
        <v>1</v>
      </c>
      <c r="F249" s="18" t="n">
        <f aca="false">SUMIFS(Payment_Log_AP!$E$2:$E$753,Payment_Log_AP!$B$2:$B$753,A249)</f>
        <v>1370.36</v>
      </c>
      <c r="G249" s="18" t="n">
        <f aca="false">MAX(F249-D249,0)</f>
        <v>0</v>
      </c>
      <c r="H249" s="16" t="str">
        <f aca="false">IF(E249&gt;1,"DUPLICATE - Review",IF(G249&gt;Assumptions!$B$6,"OVERPAID - Review","OK"))</f>
        <v>OK</v>
      </c>
    </row>
    <row r="250" customFormat="false" ht="15" hidden="false" customHeight="false" outlineLevel="0" collapsed="false">
      <c r="A250" s="16" t="str">
        <f aca="false">Vendor_Invoices_AP!A247</f>
        <v>INV30246</v>
      </c>
      <c r="B250" s="16" t="str">
        <f aca="false">Vendor_Invoices_AP!C247</f>
        <v>V1031</v>
      </c>
      <c r="C250" s="16" t="str">
        <f aca="false">IFERROR(INDEX(Vendor_Master!$B$2:$B$41,MATCH(B250,Vendor_Master!$A$2:$A$41,0)),"Unknown Vendor")</f>
        <v>Harrell LLC</v>
      </c>
      <c r="D250" s="18" t="n">
        <f aca="false">Vendor_Invoices_AP!E247</f>
        <v>480.9</v>
      </c>
      <c r="E250" s="16" t="n">
        <f aca="false">COUNTIF(Payment_Log_AP!$B$2:$B$753,A250)</f>
        <v>1</v>
      </c>
      <c r="F250" s="18" t="n">
        <f aca="false">SUMIFS(Payment_Log_AP!$E$2:$E$753,Payment_Log_AP!$B$2:$B$753,A250)</f>
        <v>480.9</v>
      </c>
      <c r="G250" s="18" t="n">
        <f aca="false">MAX(F250-D250,0)</f>
        <v>0</v>
      </c>
      <c r="H250" s="16" t="str">
        <f aca="false">IF(E250&gt;1,"DUPLICATE - Review",IF(G250&gt;Assumptions!$B$6,"OVERPAID - Review","OK"))</f>
        <v>OK</v>
      </c>
    </row>
    <row r="251" customFormat="false" ht="15" hidden="false" customHeight="false" outlineLevel="0" collapsed="false">
      <c r="A251" s="16" t="str">
        <f aca="false">Vendor_Invoices_AP!A248</f>
        <v>INV30247</v>
      </c>
      <c r="B251" s="16" t="str">
        <f aca="false">Vendor_Invoices_AP!C248</f>
        <v>V1024</v>
      </c>
      <c r="C251" s="16" t="str">
        <f aca="false">IFERROR(INDEX(Vendor_Master!$B$2:$B$41,MATCH(B251,Vendor_Master!$A$2:$A$41,0)),"Unknown Vendor")</f>
        <v>Campos Inc</v>
      </c>
      <c r="D251" s="18" t="n">
        <f aca="false">Vendor_Invoices_AP!E248</f>
        <v>728.26</v>
      </c>
      <c r="E251" s="16" t="n">
        <f aca="false">COUNTIF(Payment_Log_AP!$B$2:$B$753,A251)</f>
        <v>1</v>
      </c>
      <c r="F251" s="18" t="n">
        <f aca="false">SUMIFS(Payment_Log_AP!$E$2:$E$753,Payment_Log_AP!$B$2:$B$753,A251)</f>
        <v>728.26</v>
      </c>
      <c r="G251" s="18" t="n">
        <f aca="false">MAX(F251-D251,0)</f>
        <v>0</v>
      </c>
      <c r="H251" s="16" t="str">
        <f aca="false">IF(E251&gt;1,"DUPLICATE - Review",IF(G251&gt;Assumptions!$B$6,"OVERPAID - Review","OK"))</f>
        <v>OK</v>
      </c>
    </row>
    <row r="252" customFormat="false" ht="15" hidden="false" customHeight="false" outlineLevel="0" collapsed="false">
      <c r="A252" s="16" t="str">
        <f aca="false">Vendor_Invoices_AP!A249</f>
        <v>INV30248</v>
      </c>
      <c r="B252" s="16" t="str">
        <f aca="false">Vendor_Invoices_AP!C249</f>
        <v>V1035</v>
      </c>
      <c r="C252" s="16" t="str">
        <f aca="false">IFERROR(INDEX(Vendor_Master!$B$2:$B$41,MATCH(B252,Vendor_Master!$A$2:$A$41,0)),"Unknown Vendor")</f>
        <v>Allen PLC</v>
      </c>
      <c r="D252" s="18" t="n">
        <f aca="false">Vendor_Invoices_AP!E249</f>
        <v>4217.99</v>
      </c>
      <c r="E252" s="16" t="n">
        <f aca="false">COUNTIF(Payment_Log_AP!$B$2:$B$753,A252)</f>
        <v>1</v>
      </c>
      <c r="F252" s="18" t="n">
        <f aca="false">SUMIFS(Payment_Log_AP!$E$2:$E$753,Payment_Log_AP!$B$2:$B$753,A252)</f>
        <v>4217.99</v>
      </c>
      <c r="G252" s="18" t="n">
        <f aca="false">MAX(F252-D252,0)</f>
        <v>0</v>
      </c>
      <c r="H252" s="16" t="str">
        <f aca="false">IF(E252&gt;1,"DUPLICATE - Review",IF(G252&gt;Assumptions!$B$6,"OVERPAID - Review","OK"))</f>
        <v>OK</v>
      </c>
    </row>
    <row r="253" customFormat="false" ht="15" hidden="false" customHeight="false" outlineLevel="0" collapsed="false">
      <c r="A253" s="16" t="str">
        <f aca="false">Vendor_Invoices_AP!A250</f>
        <v>INV30249</v>
      </c>
      <c r="B253" s="16" t="str">
        <f aca="false">Vendor_Invoices_AP!C250</f>
        <v>V1033</v>
      </c>
      <c r="C253" s="16" t="str">
        <f aca="false">IFERROR(INDEX(Vendor_Master!$B$2:$B$41,MATCH(B253,Vendor_Master!$A$2:$A$41,0)),"Unknown Vendor")</f>
        <v>Sellers, George and Burns</v>
      </c>
      <c r="D253" s="18" t="n">
        <f aca="false">Vendor_Invoices_AP!E250</f>
        <v>6467.02</v>
      </c>
      <c r="E253" s="16" t="n">
        <f aca="false">COUNTIF(Payment_Log_AP!$B$2:$B$753,A253)</f>
        <v>0</v>
      </c>
      <c r="F253" s="18" t="n">
        <f aca="false">SUMIFS(Payment_Log_AP!$E$2:$E$753,Payment_Log_AP!$B$2:$B$753,A253)</f>
        <v>0</v>
      </c>
      <c r="G253" s="18" t="n">
        <f aca="false">MAX(F253-D253,0)</f>
        <v>0</v>
      </c>
      <c r="H253" s="16" t="str">
        <f aca="false">IF(E253&gt;1,"DUPLICATE - Review",IF(G253&gt;Assumptions!$B$6,"OVERPAID - Review","OK"))</f>
        <v>OK</v>
      </c>
    </row>
    <row r="254" customFormat="false" ht="15" hidden="false" customHeight="false" outlineLevel="0" collapsed="false">
      <c r="A254" s="16" t="str">
        <f aca="false">Vendor_Invoices_AP!A251</f>
        <v>INV30250</v>
      </c>
      <c r="B254" s="16" t="str">
        <f aca="false">Vendor_Invoices_AP!C251</f>
        <v>V1007</v>
      </c>
      <c r="C254" s="16" t="str">
        <f aca="false">IFERROR(INDEX(Vendor_Master!$B$2:$B$41,MATCH(B254,Vendor_Master!$A$2:$A$41,0)),"Unknown Vendor")</f>
        <v>Ramirez-Lewis</v>
      </c>
      <c r="D254" s="18" t="n">
        <f aca="false">Vendor_Invoices_AP!E251</f>
        <v>2055.39</v>
      </c>
      <c r="E254" s="16" t="n">
        <f aca="false">COUNTIF(Payment_Log_AP!$B$2:$B$753,A254)</f>
        <v>1</v>
      </c>
      <c r="F254" s="18" t="n">
        <f aca="false">SUMIFS(Payment_Log_AP!$E$2:$E$753,Payment_Log_AP!$B$2:$B$753,A254)</f>
        <v>2055.39</v>
      </c>
      <c r="G254" s="18" t="n">
        <f aca="false">MAX(F254-D254,0)</f>
        <v>0</v>
      </c>
      <c r="H254" s="16" t="str">
        <f aca="false">IF(E254&gt;1,"DUPLICATE - Review",IF(G254&gt;Assumptions!$B$6,"OVERPAID - Review","OK"))</f>
        <v>OK</v>
      </c>
    </row>
    <row r="255" customFormat="false" ht="15" hidden="false" customHeight="false" outlineLevel="0" collapsed="false">
      <c r="A255" s="16" t="str">
        <f aca="false">Vendor_Invoices_AP!A252</f>
        <v>INV30251</v>
      </c>
      <c r="B255" s="16" t="str">
        <f aca="false">Vendor_Invoices_AP!C252</f>
        <v>V1019</v>
      </c>
      <c r="C255" s="16" t="str">
        <f aca="false">IFERROR(INDEX(Vendor_Master!$B$2:$B$41,MATCH(B255,Vendor_Master!$A$2:$A$41,0)),"Unknown Vendor")</f>
        <v>Clark PLC</v>
      </c>
      <c r="D255" s="18" t="n">
        <f aca="false">Vendor_Invoices_AP!E252</f>
        <v>207.67</v>
      </c>
      <c r="E255" s="16" t="n">
        <f aca="false">COUNTIF(Payment_Log_AP!$B$2:$B$753,A255)</f>
        <v>1</v>
      </c>
      <c r="F255" s="18" t="n">
        <f aca="false">SUMIFS(Payment_Log_AP!$E$2:$E$753,Payment_Log_AP!$B$2:$B$753,A255)</f>
        <v>207.67</v>
      </c>
      <c r="G255" s="18" t="n">
        <f aca="false">MAX(F255-D255,0)</f>
        <v>0</v>
      </c>
      <c r="H255" s="16" t="str">
        <f aca="false">IF(E255&gt;1,"DUPLICATE - Review",IF(G255&gt;Assumptions!$B$6,"OVERPAID - Review","OK"))</f>
        <v>OK</v>
      </c>
    </row>
    <row r="256" customFormat="false" ht="15" hidden="false" customHeight="false" outlineLevel="0" collapsed="false">
      <c r="A256" s="16" t="str">
        <f aca="false">Vendor_Invoices_AP!A253</f>
        <v>INV30252</v>
      </c>
      <c r="B256" s="16" t="str">
        <f aca="false">Vendor_Invoices_AP!C253</f>
        <v>V1023</v>
      </c>
      <c r="C256" s="16" t="str">
        <f aca="false">IFERROR(INDEX(Vendor_Master!$B$2:$B$41,MATCH(B256,Vendor_Master!$A$2:$A$41,0)),"Unknown Vendor")</f>
        <v>Robinson-Bright</v>
      </c>
      <c r="D256" s="18" t="n">
        <f aca="false">Vendor_Invoices_AP!E253</f>
        <v>1766.28</v>
      </c>
      <c r="E256" s="16" t="n">
        <f aca="false">COUNTIF(Payment_Log_AP!$B$2:$B$753,A256)</f>
        <v>1</v>
      </c>
      <c r="F256" s="18" t="n">
        <f aca="false">SUMIFS(Payment_Log_AP!$E$2:$E$753,Payment_Log_AP!$B$2:$B$753,A256)</f>
        <v>1766.28</v>
      </c>
      <c r="G256" s="18" t="n">
        <f aca="false">MAX(F256-D256,0)</f>
        <v>0</v>
      </c>
      <c r="H256" s="16" t="str">
        <f aca="false">IF(E256&gt;1,"DUPLICATE - Review",IF(G256&gt;Assumptions!$B$6,"OVERPAID - Review","OK"))</f>
        <v>OK</v>
      </c>
    </row>
    <row r="257" customFormat="false" ht="15" hidden="false" customHeight="false" outlineLevel="0" collapsed="false">
      <c r="A257" s="16" t="str">
        <f aca="false">Vendor_Invoices_AP!A254</f>
        <v>INV30253</v>
      </c>
      <c r="B257" s="16" t="str">
        <f aca="false">Vendor_Invoices_AP!C254</f>
        <v>V1036</v>
      </c>
      <c r="C257" s="16" t="str">
        <f aca="false">IFERROR(INDEX(Vendor_Master!$B$2:$B$41,MATCH(B257,Vendor_Master!$A$2:$A$41,0)),"Unknown Vendor")</f>
        <v>Dennis Inc</v>
      </c>
      <c r="D257" s="18" t="n">
        <f aca="false">Vendor_Invoices_AP!E254</f>
        <v>1408.36</v>
      </c>
      <c r="E257" s="16" t="n">
        <f aca="false">COUNTIF(Payment_Log_AP!$B$2:$B$753,A257)</f>
        <v>1</v>
      </c>
      <c r="F257" s="18" t="n">
        <f aca="false">SUMIFS(Payment_Log_AP!$E$2:$E$753,Payment_Log_AP!$B$2:$B$753,A257)</f>
        <v>1408.36</v>
      </c>
      <c r="G257" s="18" t="n">
        <f aca="false">MAX(F257-D257,0)</f>
        <v>0</v>
      </c>
      <c r="H257" s="16" t="str">
        <f aca="false">IF(E257&gt;1,"DUPLICATE - Review",IF(G257&gt;Assumptions!$B$6,"OVERPAID - Review","OK"))</f>
        <v>OK</v>
      </c>
    </row>
    <row r="258" customFormat="false" ht="15" hidden="false" customHeight="false" outlineLevel="0" collapsed="false">
      <c r="A258" s="16" t="str">
        <f aca="false">Vendor_Invoices_AP!A255</f>
        <v>INV30254</v>
      </c>
      <c r="B258" s="16" t="str">
        <f aca="false">Vendor_Invoices_AP!C255</f>
        <v>V1030</v>
      </c>
      <c r="C258" s="16" t="str">
        <f aca="false">IFERROR(INDEX(Vendor_Master!$B$2:$B$41,MATCH(B258,Vendor_Master!$A$2:$A$41,0)),"Unknown Vendor")</f>
        <v>Stanton-Gill</v>
      </c>
      <c r="D258" s="18" t="n">
        <f aca="false">Vendor_Invoices_AP!E255</f>
        <v>1546.99</v>
      </c>
      <c r="E258" s="16" t="n">
        <f aca="false">COUNTIF(Payment_Log_AP!$B$2:$B$753,A258)</f>
        <v>2</v>
      </c>
      <c r="F258" s="18" t="n">
        <f aca="false">SUMIFS(Payment_Log_AP!$E$2:$E$753,Payment_Log_AP!$B$2:$B$753,A258)</f>
        <v>3093.98</v>
      </c>
      <c r="G258" s="18" t="n">
        <f aca="false">MAX(F258-D258,0)</f>
        <v>1546.99</v>
      </c>
      <c r="H258" s="16" t="str">
        <f aca="false">IF(E258&gt;1,"DUPLICATE - Review",IF(G258&gt;Assumptions!$B$6,"OVERPAID - Review","OK"))</f>
        <v>DUPLICATE - Review</v>
      </c>
    </row>
    <row r="259" customFormat="false" ht="15" hidden="false" customHeight="false" outlineLevel="0" collapsed="false">
      <c r="A259" s="16" t="str">
        <f aca="false">Vendor_Invoices_AP!A256</f>
        <v>INV30255</v>
      </c>
      <c r="B259" s="16" t="str">
        <f aca="false">Vendor_Invoices_AP!C256</f>
        <v>V1040</v>
      </c>
      <c r="C259" s="16" t="str">
        <f aca="false">IFERROR(INDEX(Vendor_Master!$B$2:$B$41,MATCH(B259,Vendor_Master!$A$2:$A$41,0)),"Unknown Vendor")</f>
        <v>Santos, Kim and Holmes</v>
      </c>
      <c r="D259" s="18" t="n">
        <f aca="false">Vendor_Invoices_AP!E256</f>
        <v>5615.74</v>
      </c>
      <c r="E259" s="16" t="n">
        <f aca="false">COUNTIF(Payment_Log_AP!$B$2:$B$753,A259)</f>
        <v>1</v>
      </c>
      <c r="F259" s="18" t="n">
        <f aca="false">SUMIFS(Payment_Log_AP!$E$2:$E$753,Payment_Log_AP!$B$2:$B$753,A259)</f>
        <v>5615.74</v>
      </c>
      <c r="G259" s="18" t="n">
        <f aca="false">MAX(F259-D259,0)</f>
        <v>0</v>
      </c>
      <c r="H259" s="16" t="str">
        <f aca="false">IF(E259&gt;1,"DUPLICATE - Review",IF(G259&gt;Assumptions!$B$6,"OVERPAID - Review","OK"))</f>
        <v>OK</v>
      </c>
    </row>
    <row r="260" customFormat="false" ht="15" hidden="false" customHeight="false" outlineLevel="0" collapsed="false">
      <c r="A260" s="16" t="str">
        <f aca="false">Vendor_Invoices_AP!A257</f>
        <v>INV30256</v>
      </c>
      <c r="B260" s="16" t="str">
        <f aca="false">Vendor_Invoices_AP!C257</f>
        <v>V1034</v>
      </c>
      <c r="C260" s="16" t="str">
        <f aca="false">IFERROR(INDEX(Vendor_Master!$B$2:$B$41,MATCH(B260,Vendor_Master!$A$2:$A$41,0)),"Unknown Vendor")</f>
        <v>Koch-Decker</v>
      </c>
      <c r="D260" s="18" t="n">
        <f aca="false">Vendor_Invoices_AP!E257</f>
        <v>3821.71</v>
      </c>
      <c r="E260" s="16" t="n">
        <f aca="false">COUNTIF(Payment_Log_AP!$B$2:$B$753,A260)</f>
        <v>1</v>
      </c>
      <c r="F260" s="18" t="n">
        <f aca="false">SUMIFS(Payment_Log_AP!$E$2:$E$753,Payment_Log_AP!$B$2:$B$753,A260)</f>
        <v>3821.71</v>
      </c>
      <c r="G260" s="18" t="n">
        <f aca="false">MAX(F260-D260,0)</f>
        <v>0</v>
      </c>
      <c r="H260" s="16" t="str">
        <f aca="false">IF(E260&gt;1,"DUPLICATE - Review",IF(G260&gt;Assumptions!$B$6,"OVERPAID - Review","OK"))</f>
        <v>OK</v>
      </c>
    </row>
    <row r="261" customFormat="false" ht="15" hidden="false" customHeight="false" outlineLevel="0" collapsed="false">
      <c r="A261" s="16" t="str">
        <f aca="false">Vendor_Invoices_AP!A258</f>
        <v>INV30257</v>
      </c>
      <c r="B261" s="16" t="str">
        <f aca="false">Vendor_Invoices_AP!C258</f>
        <v>V1008</v>
      </c>
      <c r="C261" s="16" t="str">
        <f aca="false">IFERROR(INDEX(Vendor_Master!$B$2:$B$41,MATCH(B261,Vendor_Master!$A$2:$A$41,0)),"Unknown Vendor")</f>
        <v>Davis Inc</v>
      </c>
      <c r="D261" s="18" t="n">
        <f aca="false">Vendor_Invoices_AP!E258</f>
        <v>943.22</v>
      </c>
      <c r="E261" s="16" t="n">
        <f aca="false">COUNTIF(Payment_Log_AP!$B$2:$B$753,A261)</f>
        <v>1</v>
      </c>
      <c r="F261" s="18" t="n">
        <f aca="false">SUMIFS(Payment_Log_AP!$E$2:$E$753,Payment_Log_AP!$B$2:$B$753,A261)</f>
        <v>943.22</v>
      </c>
      <c r="G261" s="18" t="n">
        <f aca="false">MAX(F261-D261,0)</f>
        <v>0</v>
      </c>
      <c r="H261" s="16" t="str">
        <f aca="false">IF(E261&gt;1,"DUPLICATE - Review",IF(G261&gt;Assumptions!$B$6,"OVERPAID - Review","OK"))</f>
        <v>OK</v>
      </c>
    </row>
    <row r="262" customFormat="false" ht="15" hidden="false" customHeight="false" outlineLevel="0" collapsed="false">
      <c r="A262" s="16" t="str">
        <f aca="false">Vendor_Invoices_AP!A259</f>
        <v>INV30258</v>
      </c>
      <c r="B262" s="16" t="str">
        <f aca="false">Vendor_Invoices_AP!C259</f>
        <v>V1031</v>
      </c>
      <c r="C262" s="16" t="str">
        <f aca="false">IFERROR(INDEX(Vendor_Master!$B$2:$B$41,MATCH(B262,Vendor_Master!$A$2:$A$41,0)),"Unknown Vendor")</f>
        <v>Harrell LLC</v>
      </c>
      <c r="D262" s="18" t="n">
        <f aca="false">Vendor_Invoices_AP!E259</f>
        <v>618.31</v>
      </c>
      <c r="E262" s="16" t="n">
        <f aca="false">COUNTIF(Payment_Log_AP!$B$2:$B$753,A262)</f>
        <v>1</v>
      </c>
      <c r="F262" s="18" t="n">
        <f aca="false">SUMIFS(Payment_Log_AP!$E$2:$E$753,Payment_Log_AP!$B$2:$B$753,A262)</f>
        <v>618.31</v>
      </c>
      <c r="G262" s="18" t="n">
        <f aca="false">MAX(F262-D262,0)</f>
        <v>0</v>
      </c>
      <c r="H262" s="16" t="str">
        <f aca="false">IF(E262&gt;1,"DUPLICATE - Review",IF(G262&gt;Assumptions!$B$6,"OVERPAID - Review","OK"))</f>
        <v>OK</v>
      </c>
    </row>
    <row r="263" customFormat="false" ht="15" hidden="false" customHeight="false" outlineLevel="0" collapsed="false">
      <c r="A263" s="16" t="str">
        <f aca="false">Vendor_Invoices_AP!A260</f>
        <v>INV30259</v>
      </c>
      <c r="B263" s="16" t="str">
        <f aca="false">Vendor_Invoices_AP!C260</f>
        <v>V1038</v>
      </c>
      <c r="C263" s="16" t="str">
        <f aca="false">IFERROR(INDEX(Vendor_Master!$B$2:$B$41,MATCH(B263,Vendor_Master!$A$2:$A$41,0)),"Unknown Vendor")</f>
        <v>Rose-Obrien</v>
      </c>
      <c r="D263" s="18" t="n">
        <f aca="false">Vendor_Invoices_AP!E260</f>
        <v>17214.28</v>
      </c>
      <c r="E263" s="16" t="n">
        <f aca="false">COUNTIF(Payment_Log_AP!$B$2:$B$753,A263)</f>
        <v>1</v>
      </c>
      <c r="F263" s="18" t="n">
        <f aca="false">SUMIFS(Payment_Log_AP!$E$2:$E$753,Payment_Log_AP!$B$2:$B$753,A263)</f>
        <v>17214.28</v>
      </c>
      <c r="G263" s="18" t="n">
        <f aca="false">MAX(F263-D263,0)</f>
        <v>0</v>
      </c>
      <c r="H263" s="16" t="str">
        <f aca="false">IF(E263&gt;1,"DUPLICATE - Review",IF(G263&gt;Assumptions!$B$6,"OVERPAID - Review","OK"))</f>
        <v>OK</v>
      </c>
    </row>
    <row r="264" customFormat="false" ht="15" hidden="false" customHeight="false" outlineLevel="0" collapsed="false">
      <c r="A264" s="16" t="str">
        <f aca="false">Vendor_Invoices_AP!A261</f>
        <v>INV30260</v>
      </c>
      <c r="B264" s="16" t="str">
        <f aca="false">Vendor_Invoices_AP!C261</f>
        <v>V1005</v>
      </c>
      <c r="C264" s="16" t="str">
        <f aca="false">IFERROR(INDEX(Vendor_Master!$B$2:$B$41,MATCH(B264,Vendor_Master!$A$2:$A$41,0)),"Unknown Vendor")</f>
        <v>Cole LLC</v>
      </c>
      <c r="D264" s="18" t="n">
        <f aca="false">Vendor_Invoices_AP!E261</f>
        <v>518.98</v>
      </c>
      <c r="E264" s="16" t="n">
        <f aca="false">COUNTIF(Payment_Log_AP!$B$2:$B$753,A264)</f>
        <v>0</v>
      </c>
      <c r="F264" s="18" t="n">
        <f aca="false">SUMIFS(Payment_Log_AP!$E$2:$E$753,Payment_Log_AP!$B$2:$B$753,A264)</f>
        <v>0</v>
      </c>
      <c r="G264" s="18" t="n">
        <f aca="false">MAX(F264-D264,0)</f>
        <v>0</v>
      </c>
      <c r="H264" s="16" t="str">
        <f aca="false">IF(E264&gt;1,"DUPLICATE - Review",IF(G264&gt;Assumptions!$B$6,"OVERPAID - Review","OK"))</f>
        <v>OK</v>
      </c>
    </row>
    <row r="265" customFormat="false" ht="15" hidden="false" customHeight="false" outlineLevel="0" collapsed="false">
      <c r="A265" s="16" t="str">
        <f aca="false">Vendor_Invoices_AP!A262</f>
        <v>INV30261</v>
      </c>
      <c r="B265" s="16" t="str">
        <f aca="false">Vendor_Invoices_AP!C262</f>
        <v>V1020</v>
      </c>
      <c r="C265" s="16" t="str">
        <f aca="false">IFERROR(INDEX(Vendor_Master!$B$2:$B$41,MATCH(B265,Vendor_Master!$A$2:$A$41,0)),"Unknown Vendor")</f>
        <v>Lewis-Porter</v>
      </c>
      <c r="D265" s="18" t="n">
        <f aca="false">Vendor_Invoices_AP!E262</f>
        <v>1164.57</v>
      </c>
      <c r="E265" s="16" t="n">
        <f aca="false">COUNTIF(Payment_Log_AP!$B$2:$B$753,A265)</f>
        <v>1</v>
      </c>
      <c r="F265" s="18" t="n">
        <f aca="false">SUMIFS(Payment_Log_AP!$E$2:$E$753,Payment_Log_AP!$B$2:$B$753,A265)</f>
        <v>1164.57</v>
      </c>
      <c r="G265" s="18" t="n">
        <f aca="false">MAX(F265-D265,0)</f>
        <v>0</v>
      </c>
      <c r="H265" s="16" t="str">
        <f aca="false">IF(E265&gt;1,"DUPLICATE - Review",IF(G265&gt;Assumptions!$B$6,"OVERPAID - Review","OK"))</f>
        <v>OK</v>
      </c>
    </row>
    <row r="266" customFormat="false" ht="15" hidden="false" customHeight="false" outlineLevel="0" collapsed="false">
      <c r="A266" s="16" t="str">
        <f aca="false">Vendor_Invoices_AP!A263</f>
        <v>INV30262</v>
      </c>
      <c r="B266" s="16" t="str">
        <f aca="false">Vendor_Invoices_AP!C263</f>
        <v>V1031</v>
      </c>
      <c r="C266" s="16" t="str">
        <f aca="false">IFERROR(INDEX(Vendor_Master!$B$2:$B$41,MATCH(B266,Vendor_Master!$A$2:$A$41,0)),"Unknown Vendor")</f>
        <v>Harrell LLC</v>
      </c>
      <c r="D266" s="18" t="n">
        <f aca="false">Vendor_Invoices_AP!E263</f>
        <v>796.57</v>
      </c>
      <c r="E266" s="16" t="n">
        <f aca="false">COUNTIF(Payment_Log_AP!$B$2:$B$753,A266)</f>
        <v>0</v>
      </c>
      <c r="F266" s="18" t="n">
        <f aca="false">SUMIFS(Payment_Log_AP!$E$2:$E$753,Payment_Log_AP!$B$2:$B$753,A266)</f>
        <v>0</v>
      </c>
      <c r="G266" s="18" t="n">
        <f aca="false">MAX(F266-D266,0)</f>
        <v>0</v>
      </c>
      <c r="H266" s="16" t="str">
        <f aca="false">IF(E266&gt;1,"DUPLICATE - Review",IF(G266&gt;Assumptions!$B$6,"OVERPAID - Review","OK"))</f>
        <v>OK</v>
      </c>
    </row>
    <row r="267" customFormat="false" ht="15" hidden="false" customHeight="false" outlineLevel="0" collapsed="false">
      <c r="A267" s="16" t="str">
        <f aca="false">Vendor_Invoices_AP!A264</f>
        <v>INV30263</v>
      </c>
      <c r="B267" s="16" t="str">
        <f aca="false">Vendor_Invoices_AP!C264</f>
        <v>V1030</v>
      </c>
      <c r="C267" s="16" t="str">
        <f aca="false">IFERROR(INDEX(Vendor_Master!$B$2:$B$41,MATCH(B267,Vendor_Master!$A$2:$A$41,0)),"Unknown Vendor")</f>
        <v>Stanton-Gill</v>
      </c>
      <c r="D267" s="18" t="n">
        <f aca="false">Vendor_Invoices_AP!E264</f>
        <v>1150.99</v>
      </c>
      <c r="E267" s="16" t="n">
        <f aca="false">COUNTIF(Payment_Log_AP!$B$2:$B$753,A267)</f>
        <v>1</v>
      </c>
      <c r="F267" s="18" t="n">
        <f aca="false">SUMIFS(Payment_Log_AP!$E$2:$E$753,Payment_Log_AP!$B$2:$B$753,A267)</f>
        <v>1150.99</v>
      </c>
      <c r="G267" s="18" t="n">
        <f aca="false">MAX(F267-D267,0)</f>
        <v>0</v>
      </c>
      <c r="H267" s="16" t="str">
        <f aca="false">IF(E267&gt;1,"DUPLICATE - Review",IF(G267&gt;Assumptions!$B$6,"OVERPAID - Review","OK"))</f>
        <v>OK</v>
      </c>
    </row>
    <row r="268" customFormat="false" ht="15" hidden="false" customHeight="false" outlineLevel="0" collapsed="false">
      <c r="A268" s="16" t="str">
        <f aca="false">Vendor_Invoices_AP!A265</f>
        <v>INV30264</v>
      </c>
      <c r="B268" s="16" t="str">
        <f aca="false">Vendor_Invoices_AP!C265</f>
        <v>V1030</v>
      </c>
      <c r="C268" s="16" t="str">
        <f aca="false">IFERROR(INDEX(Vendor_Master!$B$2:$B$41,MATCH(B268,Vendor_Master!$A$2:$A$41,0)),"Unknown Vendor")</f>
        <v>Stanton-Gill</v>
      </c>
      <c r="D268" s="18" t="n">
        <f aca="false">Vendor_Invoices_AP!E265</f>
        <v>1219.73</v>
      </c>
      <c r="E268" s="16" t="n">
        <f aca="false">COUNTIF(Payment_Log_AP!$B$2:$B$753,A268)</f>
        <v>2</v>
      </c>
      <c r="F268" s="18" t="n">
        <f aca="false">SUMIFS(Payment_Log_AP!$E$2:$E$753,Payment_Log_AP!$B$2:$B$753,A268)</f>
        <v>2439.46</v>
      </c>
      <c r="G268" s="18" t="n">
        <f aca="false">MAX(F268-D268,0)</f>
        <v>1219.73</v>
      </c>
      <c r="H268" s="16" t="str">
        <f aca="false">IF(E268&gt;1,"DUPLICATE - Review",IF(G268&gt;Assumptions!$B$6,"OVERPAID - Review","OK"))</f>
        <v>DUPLICATE - Review</v>
      </c>
    </row>
    <row r="269" customFormat="false" ht="15" hidden="false" customHeight="false" outlineLevel="0" collapsed="false">
      <c r="A269" s="16" t="str">
        <f aca="false">Vendor_Invoices_AP!A266</f>
        <v>INV30265</v>
      </c>
      <c r="B269" s="16" t="str">
        <f aca="false">Vendor_Invoices_AP!C266</f>
        <v>V1007</v>
      </c>
      <c r="C269" s="16" t="str">
        <f aca="false">IFERROR(INDEX(Vendor_Master!$B$2:$B$41,MATCH(B269,Vendor_Master!$A$2:$A$41,0)),"Unknown Vendor")</f>
        <v>Ramirez-Lewis</v>
      </c>
      <c r="D269" s="18" t="n">
        <f aca="false">Vendor_Invoices_AP!E266</f>
        <v>2121.27</v>
      </c>
      <c r="E269" s="16" t="n">
        <f aca="false">COUNTIF(Payment_Log_AP!$B$2:$B$753,A269)</f>
        <v>1</v>
      </c>
      <c r="F269" s="18" t="n">
        <f aca="false">SUMIFS(Payment_Log_AP!$E$2:$E$753,Payment_Log_AP!$B$2:$B$753,A269)</f>
        <v>2121.27</v>
      </c>
      <c r="G269" s="18" t="n">
        <f aca="false">MAX(F269-D269,0)</f>
        <v>0</v>
      </c>
      <c r="H269" s="16" t="str">
        <f aca="false">IF(E269&gt;1,"DUPLICATE - Review",IF(G269&gt;Assumptions!$B$6,"OVERPAID - Review","OK"))</f>
        <v>OK</v>
      </c>
    </row>
    <row r="270" customFormat="false" ht="15" hidden="false" customHeight="false" outlineLevel="0" collapsed="false">
      <c r="A270" s="16" t="str">
        <f aca="false">Vendor_Invoices_AP!A267</f>
        <v>INV30266</v>
      </c>
      <c r="B270" s="16" t="str">
        <f aca="false">Vendor_Invoices_AP!C267</f>
        <v>V1008</v>
      </c>
      <c r="C270" s="16" t="str">
        <f aca="false">IFERROR(INDEX(Vendor_Master!$B$2:$B$41,MATCH(B270,Vendor_Master!$A$2:$A$41,0)),"Unknown Vendor")</f>
        <v>Davis Inc</v>
      </c>
      <c r="D270" s="18" t="n">
        <f aca="false">Vendor_Invoices_AP!E267</f>
        <v>782.81</v>
      </c>
      <c r="E270" s="16" t="n">
        <f aca="false">COUNTIF(Payment_Log_AP!$B$2:$B$753,A270)</f>
        <v>1</v>
      </c>
      <c r="F270" s="18" t="n">
        <f aca="false">SUMIFS(Payment_Log_AP!$E$2:$E$753,Payment_Log_AP!$B$2:$B$753,A270)</f>
        <v>782.81</v>
      </c>
      <c r="G270" s="18" t="n">
        <f aca="false">MAX(F270-D270,0)</f>
        <v>0</v>
      </c>
      <c r="H270" s="16" t="str">
        <f aca="false">IF(E270&gt;1,"DUPLICATE - Review",IF(G270&gt;Assumptions!$B$6,"OVERPAID - Review","OK"))</f>
        <v>OK</v>
      </c>
    </row>
    <row r="271" customFormat="false" ht="15" hidden="false" customHeight="false" outlineLevel="0" collapsed="false">
      <c r="A271" s="16" t="str">
        <f aca="false">Vendor_Invoices_AP!A268</f>
        <v>INV30267</v>
      </c>
      <c r="B271" s="16" t="str">
        <f aca="false">Vendor_Invoices_AP!C268</f>
        <v>V1007</v>
      </c>
      <c r="C271" s="16" t="str">
        <f aca="false">IFERROR(INDEX(Vendor_Master!$B$2:$B$41,MATCH(B271,Vendor_Master!$A$2:$A$41,0)),"Unknown Vendor")</f>
        <v>Ramirez-Lewis</v>
      </c>
      <c r="D271" s="18" t="n">
        <f aca="false">Vendor_Invoices_AP!E268</f>
        <v>231.64</v>
      </c>
      <c r="E271" s="16" t="n">
        <f aca="false">COUNTIF(Payment_Log_AP!$B$2:$B$753,A271)</f>
        <v>1</v>
      </c>
      <c r="F271" s="18" t="n">
        <f aca="false">SUMIFS(Payment_Log_AP!$E$2:$E$753,Payment_Log_AP!$B$2:$B$753,A271)</f>
        <v>231.64</v>
      </c>
      <c r="G271" s="18" t="n">
        <f aca="false">MAX(F271-D271,0)</f>
        <v>0</v>
      </c>
      <c r="H271" s="16" t="str">
        <f aca="false">IF(E271&gt;1,"DUPLICATE - Review",IF(G271&gt;Assumptions!$B$6,"OVERPAID - Review","OK"))</f>
        <v>OK</v>
      </c>
    </row>
    <row r="272" customFormat="false" ht="15" hidden="false" customHeight="false" outlineLevel="0" collapsed="false">
      <c r="A272" s="16" t="str">
        <f aca="false">Vendor_Invoices_AP!A269</f>
        <v>INV30268</v>
      </c>
      <c r="B272" s="16" t="str">
        <f aca="false">Vendor_Invoices_AP!C269</f>
        <v>V1021</v>
      </c>
      <c r="C272" s="16" t="str">
        <f aca="false">IFERROR(INDEX(Vendor_Master!$B$2:$B$41,MATCH(B272,Vendor_Master!$A$2:$A$41,0)),"Unknown Vendor")</f>
        <v>Ellis, Baker and Wright</v>
      </c>
      <c r="D272" s="18" t="n">
        <f aca="false">Vendor_Invoices_AP!E269</f>
        <v>585.14</v>
      </c>
      <c r="E272" s="16" t="n">
        <f aca="false">COUNTIF(Payment_Log_AP!$B$2:$B$753,A272)</f>
        <v>1</v>
      </c>
      <c r="F272" s="18" t="n">
        <f aca="false">SUMIFS(Payment_Log_AP!$E$2:$E$753,Payment_Log_AP!$B$2:$B$753,A272)</f>
        <v>585.14</v>
      </c>
      <c r="G272" s="18" t="n">
        <f aca="false">MAX(F272-D272,0)</f>
        <v>0</v>
      </c>
      <c r="H272" s="16" t="str">
        <f aca="false">IF(E272&gt;1,"DUPLICATE - Review",IF(G272&gt;Assumptions!$B$6,"OVERPAID - Review","OK"))</f>
        <v>OK</v>
      </c>
    </row>
    <row r="273" customFormat="false" ht="15" hidden="false" customHeight="false" outlineLevel="0" collapsed="false">
      <c r="A273" s="16" t="str">
        <f aca="false">Vendor_Invoices_AP!A270</f>
        <v>INV30269</v>
      </c>
      <c r="B273" s="16" t="str">
        <f aca="false">Vendor_Invoices_AP!C270</f>
        <v>V1022</v>
      </c>
      <c r="C273" s="16" t="str">
        <f aca="false">IFERROR(INDEX(Vendor_Master!$B$2:$B$41,MATCH(B273,Vendor_Master!$A$2:$A$41,0)),"Unknown Vendor")</f>
        <v>Burgess-Patterson</v>
      </c>
      <c r="D273" s="18" t="n">
        <f aca="false">Vendor_Invoices_AP!E270</f>
        <v>2715.46</v>
      </c>
      <c r="E273" s="16" t="n">
        <f aca="false">COUNTIF(Payment_Log_AP!$B$2:$B$753,A273)</f>
        <v>1</v>
      </c>
      <c r="F273" s="18" t="n">
        <f aca="false">SUMIFS(Payment_Log_AP!$E$2:$E$753,Payment_Log_AP!$B$2:$B$753,A273)</f>
        <v>2715.46</v>
      </c>
      <c r="G273" s="18" t="n">
        <f aca="false">MAX(F273-D273,0)</f>
        <v>0</v>
      </c>
      <c r="H273" s="16" t="str">
        <f aca="false">IF(E273&gt;1,"DUPLICATE - Review",IF(G273&gt;Assumptions!$B$6,"OVERPAID - Review","OK"))</f>
        <v>OK</v>
      </c>
    </row>
    <row r="274" customFormat="false" ht="15" hidden="false" customHeight="false" outlineLevel="0" collapsed="false">
      <c r="A274" s="16" t="str">
        <f aca="false">Vendor_Invoices_AP!A271</f>
        <v>INV30270</v>
      </c>
      <c r="B274" s="16" t="str">
        <f aca="false">Vendor_Invoices_AP!C271</f>
        <v>V1008</v>
      </c>
      <c r="C274" s="16" t="str">
        <f aca="false">IFERROR(INDEX(Vendor_Master!$B$2:$B$41,MATCH(B274,Vendor_Master!$A$2:$A$41,0)),"Unknown Vendor")</f>
        <v>Davis Inc</v>
      </c>
      <c r="D274" s="18" t="n">
        <f aca="false">Vendor_Invoices_AP!E271</f>
        <v>2645.79</v>
      </c>
      <c r="E274" s="16" t="n">
        <f aca="false">COUNTIF(Payment_Log_AP!$B$2:$B$753,A274)</f>
        <v>0</v>
      </c>
      <c r="F274" s="18" t="n">
        <f aca="false">SUMIFS(Payment_Log_AP!$E$2:$E$753,Payment_Log_AP!$B$2:$B$753,A274)</f>
        <v>0</v>
      </c>
      <c r="G274" s="18" t="n">
        <f aca="false">MAX(F274-D274,0)</f>
        <v>0</v>
      </c>
      <c r="H274" s="16" t="str">
        <f aca="false">IF(E274&gt;1,"DUPLICATE - Review",IF(G274&gt;Assumptions!$B$6,"OVERPAID - Review","OK"))</f>
        <v>OK</v>
      </c>
    </row>
    <row r="275" customFormat="false" ht="15" hidden="false" customHeight="false" outlineLevel="0" collapsed="false">
      <c r="A275" s="16" t="str">
        <f aca="false">Vendor_Invoices_AP!A272</f>
        <v>INV30271</v>
      </c>
      <c r="B275" s="16" t="str">
        <f aca="false">Vendor_Invoices_AP!C272</f>
        <v>V1022</v>
      </c>
      <c r="C275" s="16" t="str">
        <f aca="false">IFERROR(INDEX(Vendor_Master!$B$2:$B$41,MATCH(B275,Vendor_Master!$A$2:$A$41,0)),"Unknown Vendor")</f>
        <v>Burgess-Patterson</v>
      </c>
      <c r="D275" s="18" t="n">
        <f aca="false">Vendor_Invoices_AP!E272</f>
        <v>5917.43</v>
      </c>
      <c r="E275" s="16" t="n">
        <f aca="false">COUNTIF(Payment_Log_AP!$B$2:$B$753,A275)</f>
        <v>1</v>
      </c>
      <c r="F275" s="18" t="n">
        <f aca="false">SUMIFS(Payment_Log_AP!$E$2:$E$753,Payment_Log_AP!$B$2:$B$753,A275)</f>
        <v>5917.43</v>
      </c>
      <c r="G275" s="18" t="n">
        <f aca="false">MAX(F275-D275,0)</f>
        <v>0</v>
      </c>
      <c r="H275" s="16" t="str">
        <f aca="false">IF(E275&gt;1,"DUPLICATE - Review",IF(G275&gt;Assumptions!$B$6,"OVERPAID - Review","OK"))</f>
        <v>OK</v>
      </c>
    </row>
    <row r="276" customFormat="false" ht="15" hidden="false" customHeight="false" outlineLevel="0" collapsed="false">
      <c r="A276" s="16" t="str">
        <f aca="false">Vendor_Invoices_AP!A273</f>
        <v>INV30272</v>
      </c>
      <c r="B276" s="16" t="str">
        <f aca="false">Vendor_Invoices_AP!C273</f>
        <v>V1003</v>
      </c>
      <c r="C276" s="16" t="str">
        <f aca="false">IFERROR(INDEX(Vendor_Master!$B$2:$B$41,MATCH(B276,Vendor_Master!$A$2:$A$41,0)),"Unknown Vendor")</f>
        <v>Johnson and Sons</v>
      </c>
      <c r="D276" s="18" t="n">
        <f aca="false">Vendor_Invoices_AP!E273</f>
        <v>866.85</v>
      </c>
      <c r="E276" s="16" t="n">
        <f aca="false">COUNTIF(Payment_Log_AP!$B$2:$B$753,A276)</f>
        <v>1</v>
      </c>
      <c r="F276" s="18" t="n">
        <f aca="false">SUMIFS(Payment_Log_AP!$E$2:$E$753,Payment_Log_AP!$B$2:$B$753,A276)</f>
        <v>866.85</v>
      </c>
      <c r="G276" s="18" t="n">
        <f aca="false">MAX(F276-D276,0)</f>
        <v>0</v>
      </c>
      <c r="H276" s="16" t="str">
        <f aca="false">IF(E276&gt;1,"DUPLICATE - Review",IF(G276&gt;Assumptions!$B$6,"OVERPAID - Review","OK"))</f>
        <v>OK</v>
      </c>
    </row>
    <row r="277" customFormat="false" ht="15" hidden="false" customHeight="false" outlineLevel="0" collapsed="false">
      <c r="A277" s="16" t="str">
        <f aca="false">Vendor_Invoices_AP!A274</f>
        <v>INV30273</v>
      </c>
      <c r="B277" s="16" t="str">
        <f aca="false">Vendor_Invoices_AP!C274</f>
        <v>V1017</v>
      </c>
      <c r="C277" s="16" t="str">
        <f aca="false">IFERROR(INDEX(Vendor_Master!$B$2:$B$41,MATCH(B277,Vendor_Master!$A$2:$A$41,0)),"Unknown Vendor")</f>
        <v>Hawkins, Cohen and Cameron</v>
      </c>
      <c r="D277" s="18" t="n">
        <f aca="false">Vendor_Invoices_AP!E274</f>
        <v>5943.52</v>
      </c>
      <c r="E277" s="16" t="n">
        <f aca="false">COUNTIF(Payment_Log_AP!$B$2:$B$753,A277)</f>
        <v>1</v>
      </c>
      <c r="F277" s="18" t="n">
        <f aca="false">SUMIFS(Payment_Log_AP!$E$2:$E$753,Payment_Log_AP!$B$2:$B$753,A277)</f>
        <v>5943.52</v>
      </c>
      <c r="G277" s="18" t="n">
        <f aca="false">MAX(F277-D277,0)</f>
        <v>0</v>
      </c>
      <c r="H277" s="16" t="str">
        <f aca="false">IF(E277&gt;1,"DUPLICATE - Review",IF(G277&gt;Assumptions!$B$6,"OVERPAID - Review","OK"))</f>
        <v>OK</v>
      </c>
    </row>
    <row r="278" customFormat="false" ht="15" hidden="false" customHeight="false" outlineLevel="0" collapsed="false">
      <c r="A278" s="16" t="str">
        <f aca="false">Vendor_Invoices_AP!A275</f>
        <v>INV30274</v>
      </c>
      <c r="B278" s="16" t="str">
        <f aca="false">Vendor_Invoices_AP!C275</f>
        <v>V1016</v>
      </c>
      <c r="C278" s="16" t="str">
        <f aca="false">IFERROR(INDEX(Vendor_Master!$B$2:$B$41,MATCH(B278,Vendor_Master!$A$2:$A$41,0)),"Unknown Vendor")</f>
        <v>Sanchez, Ford and Nelson</v>
      </c>
      <c r="D278" s="18" t="n">
        <f aca="false">Vendor_Invoices_AP!E275</f>
        <v>2495.51</v>
      </c>
      <c r="E278" s="16" t="n">
        <f aca="false">COUNTIF(Payment_Log_AP!$B$2:$B$753,A278)</f>
        <v>1</v>
      </c>
      <c r="F278" s="18" t="n">
        <f aca="false">SUMIFS(Payment_Log_AP!$E$2:$E$753,Payment_Log_AP!$B$2:$B$753,A278)</f>
        <v>2495.51</v>
      </c>
      <c r="G278" s="18" t="n">
        <f aca="false">MAX(F278-D278,0)</f>
        <v>0</v>
      </c>
      <c r="H278" s="16" t="str">
        <f aca="false">IF(E278&gt;1,"DUPLICATE - Review",IF(G278&gt;Assumptions!$B$6,"OVERPAID - Review","OK"))</f>
        <v>OK</v>
      </c>
    </row>
    <row r="279" customFormat="false" ht="15" hidden="false" customHeight="false" outlineLevel="0" collapsed="false">
      <c r="A279" s="16" t="str">
        <f aca="false">Vendor_Invoices_AP!A276</f>
        <v>INV30275</v>
      </c>
      <c r="B279" s="16" t="str">
        <f aca="false">Vendor_Invoices_AP!C276</f>
        <v>V1004</v>
      </c>
      <c r="C279" s="16" t="str">
        <f aca="false">IFERROR(INDEX(Vendor_Master!$B$2:$B$41,MATCH(B279,Vendor_Master!$A$2:$A$41,0)),"Unknown Vendor")</f>
        <v>Johnson, Gonzalez and Santos</v>
      </c>
      <c r="D279" s="18" t="n">
        <f aca="false">Vendor_Invoices_AP!E276</f>
        <v>482.15</v>
      </c>
      <c r="E279" s="16" t="n">
        <f aca="false">COUNTIF(Payment_Log_AP!$B$2:$B$753,A279)</f>
        <v>0</v>
      </c>
      <c r="F279" s="18" t="n">
        <f aca="false">SUMIFS(Payment_Log_AP!$E$2:$E$753,Payment_Log_AP!$B$2:$B$753,A279)</f>
        <v>0</v>
      </c>
      <c r="G279" s="18" t="n">
        <f aca="false">MAX(F279-D279,0)</f>
        <v>0</v>
      </c>
      <c r="H279" s="16" t="str">
        <f aca="false">IF(E279&gt;1,"DUPLICATE - Review",IF(G279&gt;Assumptions!$B$6,"OVERPAID - Review","OK"))</f>
        <v>OK</v>
      </c>
    </row>
    <row r="280" customFormat="false" ht="15" hidden="false" customHeight="false" outlineLevel="0" collapsed="false">
      <c r="A280" s="16" t="str">
        <f aca="false">Vendor_Invoices_AP!A277</f>
        <v>INV30276</v>
      </c>
      <c r="B280" s="16" t="str">
        <f aca="false">Vendor_Invoices_AP!C277</f>
        <v>V1035</v>
      </c>
      <c r="C280" s="16" t="str">
        <f aca="false">IFERROR(INDEX(Vendor_Master!$B$2:$B$41,MATCH(B280,Vendor_Master!$A$2:$A$41,0)),"Unknown Vendor")</f>
        <v>Allen PLC</v>
      </c>
      <c r="D280" s="18" t="n">
        <f aca="false">Vendor_Invoices_AP!E277</f>
        <v>1274.7</v>
      </c>
      <c r="E280" s="16" t="n">
        <f aca="false">COUNTIF(Payment_Log_AP!$B$2:$B$753,A280)</f>
        <v>1</v>
      </c>
      <c r="F280" s="18" t="n">
        <f aca="false">SUMIFS(Payment_Log_AP!$E$2:$E$753,Payment_Log_AP!$B$2:$B$753,A280)</f>
        <v>1274.7</v>
      </c>
      <c r="G280" s="18" t="n">
        <f aca="false">MAX(F280-D280,0)</f>
        <v>0</v>
      </c>
      <c r="H280" s="16" t="str">
        <f aca="false">IF(E280&gt;1,"DUPLICATE - Review",IF(G280&gt;Assumptions!$B$6,"OVERPAID - Review","OK"))</f>
        <v>OK</v>
      </c>
    </row>
    <row r="281" customFormat="false" ht="15" hidden="false" customHeight="false" outlineLevel="0" collapsed="false">
      <c r="A281" s="16" t="str">
        <f aca="false">Vendor_Invoices_AP!A278</f>
        <v>INV30277</v>
      </c>
      <c r="B281" s="16" t="str">
        <f aca="false">Vendor_Invoices_AP!C278</f>
        <v>V1003</v>
      </c>
      <c r="C281" s="16" t="str">
        <f aca="false">IFERROR(INDEX(Vendor_Master!$B$2:$B$41,MATCH(B281,Vendor_Master!$A$2:$A$41,0)),"Unknown Vendor")</f>
        <v>Johnson and Sons</v>
      </c>
      <c r="D281" s="18" t="n">
        <f aca="false">Vendor_Invoices_AP!E278</f>
        <v>2055.42</v>
      </c>
      <c r="E281" s="16" t="n">
        <f aca="false">COUNTIF(Payment_Log_AP!$B$2:$B$753,A281)</f>
        <v>1</v>
      </c>
      <c r="F281" s="18" t="n">
        <f aca="false">SUMIFS(Payment_Log_AP!$E$2:$E$753,Payment_Log_AP!$B$2:$B$753,A281)</f>
        <v>2055.42</v>
      </c>
      <c r="G281" s="18" t="n">
        <f aca="false">MAX(F281-D281,0)</f>
        <v>0</v>
      </c>
      <c r="H281" s="16" t="str">
        <f aca="false">IF(E281&gt;1,"DUPLICATE - Review",IF(G281&gt;Assumptions!$B$6,"OVERPAID - Review","OK"))</f>
        <v>OK</v>
      </c>
    </row>
    <row r="282" customFormat="false" ht="15" hidden="false" customHeight="false" outlineLevel="0" collapsed="false">
      <c r="A282" s="16" t="str">
        <f aca="false">Vendor_Invoices_AP!A279</f>
        <v>INV30278</v>
      </c>
      <c r="B282" s="16" t="str">
        <f aca="false">Vendor_Invoices_AP!C279</f>
        <v>V1012</v>
      </c>
      <c r="C282" s="16" t="str">
        <f aca="false">IFERROR(INDEX(Vendor_Master!$B$2:$B$41,MATCH(B282,Vendor_Master!$A$2:$A$41,0)),"Unknown Vendor")</f>
        <v>Stanley LLC</v>
      </c>
      <c r="D282" s="18" t="n">
        <f aca="false">Vendor_Invoices_AP!E279</f>
        <v>8984.32</v>
      </c>
      <c r="E282" s="16" t="n">
        <f aca="false">COUNTIF(Payment_Log_AP!$B$2:$B$753,A282)</f>
        <v>1</v>
      </c>
      <c r="F282" s="18" t="n">
        <f aca="false">SUMIFS(Payment_Log_AP!$E$2:$E$753,Payment_Log_AP!$B$2:$B$753,A282)</f>
        <v>8984.32</v>
      </c>
      <c r="G282" s="18" t="n">
        <f aca="false">MAX(F282-D282,0)</f>
        <v>0</v>
      </c>
      <c r="H282" s="16" t="str">
        <f aca="false">IF(E282&gt;1,"DUPLICATE - Review",IF(G282&gt;Assumptions!$B$6,"OVERPAID - Review","OK"))</f>
        <v>OK</v>
      </c>
    </row>
    <row r="283" customFormat="false" ht="15" hidden="false" customHeight="false" outlineLevel="0" collapsed="false">
      <c r="A283" s="16" t="str">
        <f aca="false">Vendor_Invoices_AP!A280</f>
        <v>INV30279</v>
      </c>
      <c r="B283" s="16" t="str">
        <f aca="false">Vendor_Invoices_AP!C280</f>
        <v>V1022</v>
      </c>
      <c r="C283" s="16" t="str">
        <f aca="false">IFERROR(INDEX(Vendor_Master!$B$2:$B$41,MATCH(B283,Vendor_Master!$A$2:$A$41,0)),"Unknown Vendor")</f>
        <v>Burgess-Patterson</v>
      </c>
      <c r="D283" s="18" t="n">
        <f aca="false">Vendor_Invoices_AP!E280</f>
        <v>4378.74</v>
      </c>
      <c r="E283" s="16" t="n">
        <f aca="false">COUNTIF(Payment_Log_AP!$B$2:$B$753,A283)</f>
        <v>1</v>
      </c>
      <c r="F283" s="18" t="n">
        <f aca="false">SUMIFS(Payment_Log_AP!$E$2:$E$753,Payment_Log_AP!$B$2:$B$753,A283)</f>
        <v>4378.74</v>
      </c>
      <c r="G283" s="18" t="n">
        <f aca="false">MAX(F283-D283,0)</f>
        <v>0</v>
      </c>
      <c r="H283" s="16" t="str">
        <f aca="false">IF(E283&gt;1,"DUPLICATE - Review",IF(G283&gt;Assumptions!$B$6,"OVERPAID - Review","OK"))</f>
        <v>OK</v>
      </c>
    </row>
    <row r="284" customFormat="false" ht="15" hidden="false" customHeight="false" outlineLevel="0" collapsed="false">
      <c r="A284" s="16" t="str">
        <f aca="false">Vendor_Invoices_AP!A281</f>
        <v>INV30280</v>
      </c>
      <c r="B284" s="16" t="str">
        <f aca="false">Vendor_Invoices_AP!C281</f>
        <v>V1030</v>
      </c>
      <c r="C284" s="16" t="str">
        <f aca="false">IFERROR(INDEX(Vendor_Master!$B$2:$B$41,MATCH(B284,Vendor_Master!$A$2:$A$41,0)),"Unknown Vendor")</f>
        <v>Stanton-Gill</v>
      </c>
      <c r="D284" s="18" t="n">
        <f aca="false">Vendor_Invoices_AP!E281</f>
        <v>519.69</v>
      </c>
      <c r="E284" s="16" t="n">
        <f aca="false">COUNTIF(Payment_Log_AP!$B$2:$B$753,A284)</f>
        <v>1</v>
      </c>
      <c r="F284" s="18" t="n">
        <f aca="false">SUMIFS(Payment_Log_AP!$E$2:$E$753,Payment_Log_AP!$B$2:$B$753,A284)</f>
        <v>519.69</v>
      </c>
      <c r="G284" s="18" t="n">
        <f aca="false">MAX(F284-D284,0)</f>
        <v>0</v>
      </c>
      <c r="H284" s="16" t="str">
        <f aca="false">IF(E284&gt;1,"DUPLICATE - Review",IF(G284&gt;Assumptions!$B$6,"OVERPAID - Review","OK"))</f>
        <v>OK</v>
      </c>
    </row>
    <row r="285" customFormat="false" ht="15" hidden="false" customHeight="false" outlineLevel="0" collapsed="false">
      <c r="A285" s="16" t="str">
        <f aca="false">Vendor_Invoices_AP!A282</f>
        <v>INV30281</v>
      </c>
      <c r="B285" s="16" t="str">
        <f aca="false">Vendor_Invoices_AP!C282</f>
        <v>V1017</v>
      </c>
      <c r="C285" s="16" t="str">
        <f aca="false">IFERROR(INDEX(Vendor_Master!$B$2:$B$41,MATCH(B285,Vendor_Master!$A$2:$A$41,0)),"Unknown Vendor")</f>
        <v>Hawkins, Cohen and Cameron</v>
      </c>
      <c r="D285" s="18" t="n">
        <f aca="false">Vendor_Invoices_AP!E282</f>
        <v>2656.9</v>
      </c>
      <c r="E285" s="16" t="n">
        <f aca="false">COUNTIF(Payment_Log_AP!$B$2:$B$753,A285)</f>
        <v>1</v>
      </c>
      <c r="F285" s="18" t="n">
        <f aca="false">SUMIFS(Payment_Log_AP!$E$2:$E$753,Payment_Log_AP!$B$2:$B$753,A285)</f>
        <v>2656.9</v>
      </c>
      <c r="G285" s="18" t="n">
        <f aca="false">MAX(F285-D285,0)</f>
        <v>0</v>
      </c>
      <c r="H285" s="16" t="str">
        <f aca="false">IF(E285&gt;1,"DUPLICATE - Review",IF(G285&gt;Assumptions!$B$6,"OVERPAID - Review","OK"))</f>
        <v>OK</v>
      </c>
    </row>
    <row r="286" customFormat="false" ht="15" hidden="false" customHeight="false" outlineLevel="0" collapsed="false">
      <c r="A286" s="16" t="str">
        <f aca="false">Vendor_Invoices_AP!A283</f>
        <v>INV30282</v>
      </c>
      <c r="B286" s="16" t="str">
        <f aca="false">Vendor_Invoices_AP!C283</f>
        <v>V1016</v>
      </c>
      <c r="C286" s="16" t="str">
        <f aca="false">IFERROR(INDEX(Vendor_Master!$B$2:$B$41,MATCH(B286,Vendor_Master!$A$2:$A$41,0)),"Unknown Vendor")</f>
        <v>Sanchez, Ford and Nelson</v>
      </c>
      <c r="D286" s="18" t="n">
        <f aca="false">Vendor_Invoices_AP!E283</f>
        <v>611.97</v>
      </c>
      <c r="E286" s="16" t="n">
        <f aca="false">COUNTIF(Payment_Log_AP!$B$2:$B$753,A286)</f>
        <v>1</v>
      </c>
      <c r="F286" s="18" t="n">
        <f aca="false">SUMIFS(Payment_Log_AP!$E$2:$E$753,Payment_Log_AP!$B$2:$B$753,A286)</f>
        <v>611.97</v>
      </c>
      <c r="G286" s="18" t="n">
        <f aca="false">MAX(F286-D286,0)</f>
        <v>0</v>
      </c>
      <c r="H286" s="16" t="str">
        <f aca="false">IF(E286&gt;1,"DUPLICATE - Review",IF(G286&gt;Assumptions!$B$6,"OVERPAID - Review","OK"))</f>
        <v>OK</v>
      </c>
    </row>
    <row r="287" customFormat="false" ht="15" hidden="false" customHeight="false" outlineLevel="0" collapsed="false">
      <c r="A287" s="16" t="str">
        <f aca="false">Vendor_Invoices_AP!A284</f>
        <v>INV30283</v>
      </c>
      <c r="B287" s="16" t="str">
        <f aca="false">Vendor_Invoices_AP!C284</f>
        <v>V1015</v>
      </c>
      <c r="C287" s="16" t="str">
        <f aca="false">IFERROR(INDEX(Vendor_Master!$B$2:$B$41,MATCH(B287,Vendor_Master!$A$2:$A$41,0)),"Unknown Vendor")</f>
        <v>Zuniga, Wong and Lynch</v>
      </c>
      <c r="D287" s="18" t="n">
        <f aca="false">Vendor_Invoices_AP!E284</f>
        <v>3378.98</v>
      </c>
      <c r="E287" s="16" t="n">
        <f aca="false">COUNTIF(Payment_Log_AP!$B$2:$B$753,A287)</f>
        <v>1</v>
      </c>
      <c r="F287" s="18" t="n">
        <f aca="false">SUMIFS(Payment_Log_AP!$E$2:$E$753,Payment_Log_AP!$B$2:$B$753,A287)</f>
        <v>3378.98</v>
      </c>
      <c r="G287" s="18" t="n">
        <f aca="false">MAX(F287-D287,0)</f>
        <v>0</v>
      </c>
      <c r="H287" s="16" t="str">
        <f aca="false">IF(E287&gt;1,"DUPLICATE - Review",IF(G287&gt;Assumptions!$B$6,"OVERPAID - Review","OK"))</f>
        <v>OK</v>
      </c>
    </row>
    <row r="288" customFormat="false" ht="15" hidden="false" customHeight="false" outlineLevel="0" collapsed="false">
      <c r="A288" s="16" t="str">
        <f aca="false">Vendor_Invoices_AP!A285</f>
        <v>INV30284</v>
      </c>
      <c r="B288" s="16" t="str">
        <f aca="false">Vendor_Invoices_AP!C285</f>
        <v>V1026</v>
      </c>
      <c r="C288" s="16" t="str">
        <f aca="false">IFERROR(INDEX(Vendor_Master!$B$2:$B$41,MATCH(B288,Vendor_Master!$A$2:$A$41,0)),"Unknown Vendor")</f>
        <v>James-Ferrell</v>
      </c>
      <c r="D288" s="18" t="n">
        <f aca="false">Vendor_Invoices_AP!E285</f>
        <v>1729.73</v>
      </c>
      <c r="E288" s="16" t="n">
        <f aca="false">COUNTIF(Payment_Log_AP!$B$2:$B$753,A288)</f>
        <v>0</v>
      </c>
      <c r="F288" s="18" t="n">
        <f aca="false">SUMIFS(Payment_Log_AP!$E$2:$E$753,Payment_Log_AP!$B$2:$B$753,A288)</f>
        <v>0</v>
      </c>
      <c r="G288" s="18" t="n">
        <f aca="false">MAX(F288-D288,0)</f>
        <v>0</v>
      </c>
      <c r="H288" s="16" t="str">
        <f aca="false">IF(E288&gt;1,"DUPLICATE - Review",IF(G288&gt;Assumptions!$B$6,"OVERPAID - Review","OK"))</f>
        <v>OK</v>
      </c>
    </row>
    <row r="289" customFormat="false" ht="15" hidden="false" customHeight="false" outlineLevel="0" collapsed="false">
      <c r="A289" s="16" t="str">
        <f aca="false">Vendor_Invoices_AP!A286</f>
        <v>INV30285</v>
      </c>
      <c r="B289" s="16" t="str">
        <f aca="false">Vendor_Invoices_AP!C286</f>
        <v>V1005</v>
      </c>
      <c r="C289" s="16" t="str">
        <f aca="false">IFERROR(INDEX(Vendor_Master!$B$2:$B$41,MATCH(B289,Vendor_Master!$A$2:$A$41,0)),"Unknown Vendor")</f>
        <v>Cole LLC</v>
      </c>
      <c r="D289" s="18" t="n">
        <f aca="false">Vendor_Invoices_AP!E286</f>
        <v>225.68</v>
      </c>
      <c r="E289" s="16" t="n">
        <f aca="false">COUNTIF(Payment_Log_AP!$B$2:$B$753,A289)</f>
        <v>1</v>
      </c>
      <c r="F289" s="18" t="n">
        <f aca="false">SUMIFS(Payment_Log_AP!$E$2:$E$753,Payment_Log_AP!$B$2:$B$753,A289)</f>
        <v>225.68</v>
      </c>
      <c r="G289" s="18" t="n">
        <f aca="false">MAX(F289-D289,0)</f>
        <v>0</v>
      </c>
      <c r="H289" s="16" t="str">
        <f aca="false">IF(E289&gt;1,"DUPLICATE - Review",IF(G289&gt;Assumptions!$B$6,"OVERPAID - Review","OK"))</f>
        <v>OK</v>
      </c>
    </row>
    <row r="290" customFormat="false" ht="15" hidden="false" customHeight="false" outlineLevel="0" collapsed="false">
      <c r="A290" s="16" t="str">
        <f aca="false">Vendor_Invoices_AP!A287</f>
        <v>INV30286</v>
      </c>
      <c r="B290" s="16" t="str">
        <f aca="false">Vendor_Invoices_AP!C287</f>
        <v>V1004</v>
      </c>
      <c r="C290" s="16" t="str">
        <f aca="false">IFERROR(INDEX(Vendor_Master!$B$2:$B$41,MATCH(B290,Vendor_Master!$A$2:$A$41,0)),"Unknown Vendor")</f>
        <v>Johnson, Gonzalez and Santos</v>
      </c>
      <c r="D290" s="18" t="n">
        <f aca="false">Vendor_Invoices_AP!E287</f>
        <v>1424.85</v>
      </c>
      <c r="E290" s="16" t="n">
        <f aca="false">COUNTIF(Payment_Log_AP!$B$2:$B$753,A290)</f>
        <v>1</v>
      </c>
      <c r="F290" s="18" t="n">
        <f aca="false">SUMIFS(Payment_Log_AP!$E$2:$E$753,Payment_Log_AP!$B$2:$B$753,A290)</f>
        <v>1424.85</v>
      </c>
      <c r="G290" s="18" t="n">
        <f aca="false">MAX(F290-D290,0)</f>
        <v>0</v>
      </c>
      <c r="H290" s="16" t="str">
        <f aca="false">IF(E290&gt;1,"DUPLICATE - Review",IF(G290&gt;Assumptions!$B$6,"OVERPAID - Review","OK"))</f>
        <v>OK</v>
      </c>
    </row>
    <row r="291" customFormat="false" ht="15" hidden="false" customHeight="false" outlineLevel="0" collapsed="false">
      <c r="A291" s="16" t="str">
        <f aca="false">Vendor_Invoices_AP!A288</f>
        <v>INV30287</v>
      </c>
      <c r="B291" s="16" t="str">
        <f aca="false">Vendor_Invoices_AP!C288</f>
        <v>V1040</v>
      </c>
      <c r="C291" s="16" t="str">
        <f aca="false">IFERROR(INDEX(Vendor_Master!$B$2:$B$41,MATCH(B291,Vendor_Master!$A$2:$A$41,0)),"Unknown Vendor")</f>
        <v>Santos, Kim and Holmes</v>
      </c>
      <c r="D291" s="18" t="n">
        <f aca="false">Vendor_Invoices_AP!E288</f>
        <v>643.44</v>
      </c>
      <c r="E291" s="16" t="n">
        <f aca="false">COUNTIF(Payment_Log_AP!$B$2:$B$753,A291)</f>
        <v>1</v>
      </c>
      <c r="F291" s="18" t="n">
        <f aca="false">SUMIFS(Payment_Log_AP!$E$2:$E$753,Payment_Log_AP!$B$2:$B$753,A291)</f>
        <v>643.44</v>
      </c>
      <c r="G291" s="18" t="n">
        <f aca="false">MAX(F291-D291,0)</f>
        <v>0</v>
      </c>
      <c r="H291" s="16" t="str">
        <f aca="false">IF(E291&gt;1,"DUPLICATE - Review",IF(G291&gt;Assumptions!$B$6,"OVERPAID - Review","OK"))</f>
        <v>OK</v>
      </c>
    </row>
    <row r="292" customFormat="false" ht="15" hidden="false" customHeight="false" outlineLevel="0" collapsed="false">
      <c r="A292" s="16" t="str">
        <f aca="false">Vendor_Invoices_AP!A289</f>
        <v>INV30288</v>
      </c>
      <c r="B292" s="16" t="str">
        <f aca="false">Vendor_Invoices_AP!C289</f>
        <v>V1018</v>
      </c>
      <c r="C292" s="16" t="str">
        <f aca="false">IFERROR(INDEX(Vendor_Master!$B$2:$B$41,MATCH(B292,Vendor_Master!$A$2:$A$41,0)),"Unknown Vendor")</f>
        <v>Underwood LLC</v>
      </c>
      <c r="D292" s="18" t="n">
        <f aca="false">Vendor_Invoices_AP!E289</f>
        <v>560.8</v>
      </c>
      <c r="E292" s="16" t="n">
        <f aca="false">COUNTIF(Payment_Log_AP!$B$2:$B$753,A292)</f>
        <v>0</v>
      </c>
      <c r="F292" s="18" t="n">
        <f aca="false">SUMIFS(Payment_Log_AP!$E$2:$E$753,Payment_Log_AP!$B$2:$B$753,A292)</f>
        <v>0</v>
      </c>
      <c r="G292" s="18" t="n">
        <f aca="false">MAX(F292-D292,0)</f>
        <v>0</v>
      </c>
      <c r="H292" s="16" t="str">
        <f aca="false">IF(E292&gt;1,"DUPLICATE - Review",IF(G292&gt;Assumptions!$B$6,"OVERPAID - Review","OK"))</f>
        <v>OK</v>
      </c>
    </row>
    <row r="293" customFormat="false" ht="15" hidden="false" customHeight="false" outlineLevel="0" collapsed="false">
      <c r="A293" s="16" t="str">
        <f aca="false">Vendor_Invoices_AP!A290</f>
        <v>INV30289</v>
      </c>
      <c r="B293" s="16" t="str">
        <f aca="false">Vendor_Invoices_AP!C290</f>
        <v>V1038</v>
      </c>
      <c r="C293" s="16" t="str">
        <f aca="false">IFERROR(INDEX(Vendor_Master!$B$2:$B$41,MATCH(B293,Vendor_Master!$A$2:$A$41,0)),"Unknown Vendor")</f>
        <v>Rose-Obrien</v>
      </c>
      <c r="D293" s="18" t="n">
        <f aca="false">Vendor_Invoices_AP!E290</f>
        <v>289.77</v>
      </c>
      <c r="E293" s="16" t="n">
        <f aca="false">COUNTIF(Payment_Log_AP!$B$2:$B$753,A293)</f>
        <v>1</v>
      </c>
      <c r="F293" s="18" t="n">
        <f aca="false">SUMIFS(Payment_Log_AP!$E$2:$E$753,Payment_Log_AP!$B$2:$B$753,A293)</f>
        <v>289.77</v>
      </c>
      <c r="G293" s="18" t="n">
        <f aca="false">MAX(F293-D293,0)</f>
        <v>0</v>
      </c>
      <c r="H293" s="16" t="str">
        <f aca="false">IF(E293&gt;1,"DUPLICATE - Review",IF(G293&gt;Assumptions!$B$6,"OVERPAID - Review","OK"))</f>
        <v>OK</v>
      </c>
    </row>
    <row r="294" customFormat="false" ht="15" hidden="false" customHeight="false" outlineLevel="0" collapsed="false">
      <c r="A294" s="16" t="str">
        <f aca="false">Vendor_Invoices_AP!A291</f>
        <v>INV30290</v>
      </c>
      <c r="B294" s="16" t="str">
        <f aca="false">Vendor_Invoices_AP!C291</f>
        <v>V1011</v>
      </c>
      <c r="C294" s="16" t="str">
        <f aca="false">IFERROR(INDEX(Vendor_Master!$B$2:$B$41,MATCH(B294,Vendor_Master!$A$2:$A$41,0)),"Unknown Vendor")</f>
        <v>Montgomery, Hensley and Ray</v>
      </c>
      <c r="D294" s="18" t="n">
        <f aca="false">Vendor_Invoices_AP!E291</f>
        <v>325.7</v>
      </c>
      <c r="E294" s="16" t="n">
        <f aca="false">COUNTIF(Payment_Log_AP!$B$2:$B$753,A294)</f>
        <v>1</v>
      </c>
      <c r="F294" s="18" t="n">
        <f aca="false">SUMIFS(Payment_Log_AP!$E$2:$E$753,Payment_Log_AP!$B$2:$B$753,A294)</f>
        <v>325.7</v>
      </c>
      <c r="G294" s="18" t="n">
        <f aca="false">MAX(F294-D294,0)</f>
        <v>0</v>
      </c>
      <c r="H294" s="16" t="str">
        <f aca="false">IF(E294&gt;1,"DUPLICATE - Review",IF(G294&gt;Assumptions!$B$6,"OVERPAID - Review","OK"))</f>
        <v>OK</v>
      </c>
    </row>
    <row r="295" customFormat="false" ht="15" hidden="false" customHeight="false" outlineLevel="0" collapsed="false">
      <c r="A295" s="16" t="str">
        <f aca="false">Vendor_Invoices_AP!A292</f>
        <v>INV30291</v>
      </c>
      <c r="B295" s="16" t="str">
        <f aca="false">Vendor_Invoices_AP!C292</f>
        <v>V1031</v>
      </c>
      <c r="C295" s="16" t="str">
        <f aca="false">IFERROR(INDEX(Vendor_Master!$B$2:$B$41,MATCH(B295,Vendor_Master!$A$2:$A$41,0)),"Unknown Vendor")</f>
        <v>Harrell LLC</v>
      </c>
      <c r="D295" s="18" t="n">
        <f aca="false">Vendor_Invoices_AP!E292</f>
        <v>8611.23</v>
      </c>
      <c r="E295" s="16" t="n">
        <f aca="false">COUNTIF(Payment_Log_AP!$B$2:$B$753,A295)</f>
        <v>1</v>
      </c>
      <c r="F295" s="18" t="n">
        <f aca="false">SUMIFS(Payment_Log_AP!$E$2:$E$753,Payment_Log_AP!$B$2:$B$753,A295)</f>
        <v>8611.23</v>
      </c>
      <c r="G295" s="18" t="n">
        <f aca="false">MAX(F295-D295,0)</f>
        <v>0</v>
      </c>
      <c r="H295" s="16" t="str">
        <f aca="false">IF(E295&gt;1,"DUPLICATE - Review",IF(G295&gt;Assumptions!$B$6,"OVERPAID - Review","OK"))</f>
        <v>OK</v>
      </c>
    </row>
    <row r="296" customFormat="false" ht="15" hidden="false" customHeight="false" outlineLevel="0" collapsed="false">
      <c r="A296" s="16" t="str">
        <f aca="false">Vendor_Invoices_AP!A293</f>
        <v>INV30292</v>
      </c>
      <c r="B296" s="16" t="str">
        <f aca="false">Vendor_Invoices_AP!C293</f>
        <v>V1005</v>
      </c>
      <c r="C296" s="16" t="str">
        <f aca="false">IFERROR(INDEX(Vendor_Master!$B$2:$B$41,MATCH(B296,Vendor_Master!$A$2:$A$41,0)),"Unknown Vendor")</f>
        <v>Cole LLC</v>
      </c>
      <c r="D296" s="18" t="n">
        <f aca="false">Vendor_Invoices_AP!E293</f>
        <v>1496.91</v>
      </c>
      <c r="E296" s="16" t="n">
        <f aca="false">COUNTIF(Payment_Log_AP!$B$2:$B$753,A296)</f>
        <v>1</v>
      </c>
      <c r="F296" s="18" t="n">
        <f aca="false">SUMIFS(Payment_Log_AP!$E$2:$E$753,Payment_Log_AP!$B$2:$B$753,A296)</f>
        <v>1496.91</v>
      </c>
      <c r="G296" s="18" t="n">
        <f aca="false">MAX(F296-D296,0)</f>
        <v>0</v>
      </c>
      <c r="H296" s="16" t="str">
        <f aca="false">IF(E296&gt;1,"DUPLICATE - Review",IF(G296&gt;Assumptions!$B$6,"OVERPAID - Review","OK"))</f>
        <v>OK</v>
      </c>
    </row>
    <row r="297" customFormat="false" ht="15" hidden="false" customHeight="false" outlineLevel="0" collapsed="false">
      <c r="A297" s="16" t="str">
        <f aca="false">Vendor_Invoices_AP!A294</f>
        <v>INV30293</v>
      </c>
      <c r="B297" s="16" t="str">
        <f aca="false">Vendor_Invoices_AP!C294</f>
        <v>V1031</v>
      </c>
      <c r="C297" s="16" t="str">
        <f aca="false">IFERROR(INDEX(Vendor_Master!$B$2:$B$41,MATCH(B297,Vendor_Master!$A$2:$A$41,0)),"Unknown Vendor")</f>
        <v>Harrell LLC</v>
      </c>
      <c r="D297" s="18" t="n">
        <f aca="false">Vendor_Invoices_AP!E294</f>
        <v>6053.15</v>
      </c>
      <c r="E297" s="16" t="n">
        <f aca="false">COUNTIF(Payment_Log_AP!$B$2:$B$753,A297)</f>
        <v>1</v>
      </c>
      <c r="F297" s="18" t="n">
        <f aca="false">SUMIFS(Payment_Log_AP!$E$2:$E$753,Payment_Log_AP!$B$2:$B$753,A297)</f>
        <v>6053.15</v>
      </c>
      <c r="G297" s="18" t="n">
        <f aca="false">MAX(F297-D297,0)</f>
        <v>0</v>
      </c>
      <c r="H297" s="16" t="str">
        <f aca="false">IF(E297&gt;1,"DUPLICATE - Review",IF(G297&gt;Assumptions!$B$6,"OVERPAID - Review","OK"))</f>
        <v>OK</v>
      </c>
    </row>
    <row r="298" customFormat="false" ht="15" hidden="false" customHeight="false" outlineLevel="0" collapsed="false">
      <c r="A298" s="16" t="str">
        <f aca="false">Vendor_Invoices_AP!A295</f>
        <v>INV30294</v>
      </c>
      <c r="B298" s="16" t="str">
        <f aca="false">Vendor_Invoices_AP!C295</f>
        <v>V1035</v>
      </c>
      <c r="C298" s="16" t="str">
        <f aca="false">IFERROR(INDEX(Vendor_Master!$B$2:$B$41,MATCH(B298,Vendor_Master!$A$2:$A$41,0)),"Unknown Vendor")</f>
        <v>Allen PLC</v>
      </c>
      <c r="D298" s="18" t="n">
        <f aca="false">Vendor_Invoices_AP!E295</f>
        <v>3104.44</v>
      </c>
      <c r="E298" s="16" t="n">
        <f aca="false">COUNTIF(Payment_Log_AP!$B$2:$B$753,A298)</f>
        <v>1</v>
      </c>
      <c r="F298" s="18" t="n">
        <f aca="false">SUMIFS(Payment_Log_AP!$E$2:$E$753,Payment_Log_AP!$B$2:$B$753,A298)</f>
        <v>3104.44</v>
      </c>
      <c r="G298" s="18" t="n">
        <f aca="false">MAX(F298-D298,0)</f>
        <v>0</v>
      </c>
      <c r="H298" s="16" t="str">
        <f aca="false">IF(E298&gt;1,"DUPLICATE - Review",IF(G298&gt;Assumptions!$B$6,"OVERPAID - Review","OK"))</f>
        <v>OK</v>
      </c>
    </row>
    <row r="299" customFormat="false" ht="15" hidden="false" customHeight="false" outlineLevel="0" collapsed="false">
      <c r="A299" s="16" t="str">
        <f aca="false">Vendor_Invoices_AP!A296</f>
        <v>INV30295</v>
      </c>
      <c r="B299" s="16" t="str">
        <f aca="false">Vendor_Invoices_AP!C296</f>
        <v>V1029</v>
      </c>
      <c r="C299" s="16" t="str">
        <f aca="false">IFERROR(INDEX(Vendor_Master!$B$2:$B$41,MATCH(B299,Vendor_Master!$A$2:$A$41,0)),"Unknown Vendor")</f>
        <v>Chavez Ltd</v>
      </c>
      <c r="D299" s="18" t="n">
        <f aca="false">Vendor_Invoices_AP!E296</f>
        <v>1405.31</v>
      </c>
      <c r="E299" s="16" t="n">
        <f aca="false">COUNTIF(Payment_Log_AP!$B$2:$B$753,A299)</f>
        <v>1</v>
      </c>
      <c r="F299" s="18" t="n">
        <f aca="false">SUMIFS(Payment_Log_AP!$E$2:$E$753,Payment_Log_AP!$B$2:$B$753,A299)</f>
        <v>1405.31</v>
      </c>
      <c r="G299" s="18" t="n">
        <f aca="false">MAX(F299-D299,0)</f>
        <v>0</v>
      </c>
      <c r="H299" s="16" t="str">
        <f aca="false">IF(E299&gt;1,"DUPLICATE - Review",IF(G299&gt;Assumptions!$B$6,"OVERPAID - Review","OK"))</f>
        <v>OK</v>
      </c>
    </row>
    <row r="300" customFormat="false" ht="15" hidden="false" customHeight="false" outlineLevel="0" collapsed="false">
      <c r="A300" s="16" t="str">
        <f aca="false">Vendor_Invoices_AP!A297</f>
        <v>INV30296</v>
      </c>
      <c r="B300" s="16" t="str">
        <f aca="false">Vendor_Invoices_AP!C297</f>
        <v>V1026</v>
      </c>
      <c r="C300" s="16" t="str">
        <f aca="false">IFERROR(INDEX(Vendor_Master!$B$2:$B$41,MATCH(B300,Vendor_Master!$A$2:$A$41,0)),"Unknown Vendor")</f>
        <v>James-Ferrell</v>
      </c>
      <c r="D300" s="18" t="n">
        <f aca="false">Vendor_Invoices_AP!E297</f>
        <v>3241.37</v>
      </c>
      <c r="E300" s="16" t="n">
        <f aca="false">COUNTIF(Payment_Log_AP!$B$2:$B$753,A300)</f>
        <v>1</v>
      </c>
      <c r="F300" s="18" t="n">
        <f aca="false">SUMIFS(Payment_Log_AP!$E$2:$E$753,Payment_Log_AP!$B$2:$B$753,A300)</f>
        <v>3241.37</v>
      </c>
      <c r="G300" s="18" t="n">
        <f aca="false">MAX(F300-D300,0)</f>
        <v>0</v>
      </c>
      <c r="H300" s="16" t="str">
        <f aca="false">IF(E300&gt;1,"DUPLICATE - Review",IF(G300&gt;Assumptions!$B$6,"OVERPAID - Review","OK"))</f>
        <v>OK</v>
      </c>
    </row>
    <row r="301" customFormat="false" ht="15" hidden="false" customHeight="false" outlineLevel="0" collapsed="false">
      <c r="A301" s="16" t="str">
        <f aca="false">Vendor_Invoices_AP!A298</f>
        <v>INV30297</v>
      </c>
      <c r="B301" s="16" t="str">
        <f aca="false">Vendor_Invoices_AP!C298</f>
        <v>V1036</v>
      </c>
      <c r="C301" s="16" t="str">
        <f aca="false">IFERROR(INDEX(Vendor_Master!$B$2:$B$41,MATCH(B301,Vendor_Master!$A$2:$A$41,0)),"Unknown Vendor")</f>
        <v>Dennis Inc</v>
      </c>
      <c r="D301" s="18" t="n">
        <f aca="false">Vendor_Invoices_AP!E298</f>
        <v>871.5</v>
      </c>
      <c r="E301" s="16" t="n">
        <f aca="false">COUNTIF(Payment_Log_AP!$B$2:$B$753,A301)</f>
        <v>1</v>
      </c>
      <c r="F301" s="18" t="n">
        <f aca="false">SUMIFS(Payment_Log_AP!$E$2:$E$753,Payment_Log_AP!$B$2:$B$753,A301)</f>
        <v>871.5</v>
      </c>
      <c r="G301" s="18" t="n">
        <f aca="false">MAX(F301-D301,0)</f>
        <v>0</v>
      </c>
      <c r="H301" s="16" t="str">
        <f aca="false">IF(E301&gt;1,"DUPLICATE - Review",IF(G301&gt;Assumptions!$B$6,"OVERPAID - Review","OK"))</f>
        <v>OK</v>
      </c>
    </row>
    <row r="302" customFormat="false" ht="15" hidden="false" customHeight="false" outlineLevel="0" collapsed="false">
      <c r="A302" s="16" t="str">
        <f aca="false">Vendor_Invoices_AP!A299</f>
        <v>INV30298</v>
      </c>
      <c r="B302" s="16" t="str">
        <f aca="false">Vendor_Invoices_AP!C299</f>
        <v>V1019</v>
      </c>
      <c r="C302" s="16" t="str">
        <f aca="false">IFERROR(INDEX(Vendor_Master!$B$2:$B$41,MATCH(B302,Vendor_Master!$A$2:$A$41,0)),"Unknown Vendor")</f>
        <v>Clark PLC</v>
      </c>
      <c r="D302" s="18" t="n">
        <f aca="false">Vendor_Invoices_AP!E299</f>
        <v>651.66</v>
      </c>
      <c r="E302" s="16" t="n">
        <f aca="false">COUNTIF(Payment_Log_AP!$B$2:$B$753,A302)</f>
        <v>1</v>
      </c>
      <c r="F302" s="18" t="n">
        <f aca="false">SUMIFS(Payment_Log_AP!$E$2:$E$753,Payment_Log_AP!$B$2:$B$753,A302)</f>
        <v>651.66</v>
      </c>
      <c r="G302" s="18" t="n">
        <f aca="false">MAX(F302-D302,0)</f>
        <v>0</v>
      </c>
      <c r="H302" s="16" t="str">
        <f aca="false">IF(E302&gt;1,"DUPLICATE - Review",IF(G302&gt;Assumptions!$B$6,"OVERPAID - Review","OK"))</f>
        <v>OK</v>
      </c>
    </row>
    <row r="303" customFormat="false" ht="15" hidden="false" customHeight="false" outlineLevel="0" collapsed="false">
      <c r="A303" s="16" t="str">
        <f aca="false">Vendor_Invoices_AP!A300</f>
        <v>INV30299</v>
      </c>
      <c r="B303" s="16" t="str">
        <f aca="false">Vendor_Invoices_AP!C300</f>
        <v>V1027</v>
      </c>
      <c r="C303" s="16" t="str">
        <f aca="false">IFERROR(INDEX(Vendor_Master!$B$2:$B$41,MATCH(B303,Vendor_Master!$A$2:$A$41,0)),"Unknown Vendor")</f>
        <v>Valencia, Smith and Le</v>
      </c>
      <c r="D303" s="18" t="n">
        <f aca="false">Vendor_Invoices_AP!E300</f>
        <v>2962.24</v>
      </c>
      <c r="E303" s="16" t="n">
        <f aca="false">COUNTIF(Payment_Log_AP!$B$2:$B$753,A303)</f>
        <v>1</v>
      </c>
      <c r="F303" s="18" t="n">
        <f aca="false">SUMIFS(Payment_Log_AP!$E$2:$E$753,Payment_Log_AP!$B$2:$B$753,A303)</f>
        <v>2962.24</v>
      </c>
      <c r="G303" s="18" t="n">
        <f aca="false">MAX(F303-D303,0)</f>
        <v>0</v>
      </c>
      <c r="H303" s="16" t="str">
        <f aca="false">IF(E303&gt;1,"DUPLICATE - Review",IF(G303&gt;Assumptions!$B$6,"OVERPAID - Review","OK"))</f>
        <v>OK</v>
      </c>
    </row>
    <row r="304" customFormat="false" ht="15" hidden="false" customHeight="false" outlineLevel="0" collapsed="false">
      <c r="A304" s="16" t="str">
        <f aca="false">Vendor_Invoices_AP!A301</f>
        <v>INV30300</v>
      </c>
      <c r="B304" s="16" t="str">
        <f aca="false">Vendor_Invoices_AP!C301</f>
        <v>V1029</v>
      </c>
      <c r="C304" s="16" t="str">
        <f aca="false">IFERROR(INDEX(Vendor_Master!$B$2:$B$41,MATCH(B304,Vendor_Master!$A$2:$A$41,0)),"Unknown Vendor")</f>
        <v>Chavez Ltd</v>
      </c>
      <c r="D304" s="18" t="n">
        <f aca="false">Vendor_Invoices_AP!E301</f>
        <v>201.83</v>
      </c>
      <c r="E304" s="16" t="n">
        <f aca="false">COUNTIF(Payment_Log_AP!$B$2:$B$753,A304)</f>
        <v>0</v>
      </c>
      <c r="F304" s="18" t="n">
        <f aca="false">SUMIFS(Payment_Log_AP!$E$2:$E$753,Payment_Log_AP!$B$2:$B$753,A304)</f>
        <v>0</v>
      </c>
      <c r="G304" s="18" t="n">
        <f aca="false">MAX(F304-D304,0)</f>
        <v>0</v>
      </c>
      <c r="H304" s="16" t="str">
        <f aca="false">IF(E304&gt;1,"DUPLICATE - Review",IF(G304&gt;Assumptions!$B$6,"OVERPAID - Review","OK"))</f>
        <v>OK</v>
      </c>
    </row>
    <row r="305" customFormat="false" ht="15" hidden="false" customHeight="false" outlineLevel="0" collapsed="false">
      <c r="A305" s="16" t="str">
        <f aca="false">Vendor_Invoices_AP!A302</f>
        <v>INV30301</v>
      </c>
      <c r="B305" s="16" t="str">
        <f aca="false">Vendor_Invoices_AP!C302</f>
        <v>V1022</v>
      </c>
      <c r="C305" s="16" t="str">
        <f aca="false">IFERROR(INDEX(Vendor_Master!$B$2:$B$41,MATCH(B305,Vendor_Master!$A$2:$A$41,0)),"Unknown Vendor")</f>
        <v>Burgess-Patterson</v>
      </c>
      <c r="D305" s="18" t="n">
        <f aca="false">Vendor_Invoices_AP!E302</f>
        <v>7560.72</v>
      </c>
      <c r="E305" s="16" t="n">
        <f aca="false">COUNTIF(Payment_Log_AP!$B$2:$B$753,A305)</f>
        <v>1</v>
      </c>
      <c r="F305" s="18" t="n">
        <f aca="false">SUMIFS(Payment_Log_AP!$E$2:$E$753,Payment_Log_AP!$B$2:$B$753,A305)</f>
        <v>7560.72</v>
      </c>
      <c r="G305" s="18" t="n">
        <f aca="false">MAX(F305-D305,0)</f>
        <v>0</v>
      </c>
      <c r="H305" s="16" t="str">
        <f aca="false">IF(E305&gt;1,"DUPLICATE - Review",IF(G305&gt;Assumptions!$B$6,"OVERPAID - Review","OK"))</f>
        <v>OK</v>
      </c>
    </row>
    <row r="306" customFormat="false" ht="15" hidden="false" customHeight="false" outlineLevel="0" collapsed="false">
      <c r="A306" s="16" t="str">
        <f aca="false">Vendor_Invoices_AP!A303</f>
        <v>INV30302</v>
      </c>
      <c r="B306" s="16" t="str">
        <f aca="false">Vendor_Invoices_AP!C303</f>
        <v>V1032</v>
      </c>
      <c r="C306" s="16" t="str">
        <f aca="false">IFERROR(INDEX(Vendor_Master!$B$2:$B$41,MATCH(B306,Vendor_Master!$A$2:$A$41,0)),"Unknown Vendor")</f>
        <v>Lynch, Hernandez and Farmer</v>
      </c>
      <c r="D306" s="18" t="n">
        <f aca="false">Vendor_Invoices_AP!E303</f>
        <v>2957.14</v>
      </c>
      <c r="E306" s="16" t="n">
        <f aca="false">COUNTIF(Payment_Log_AP!$B$2:$B$753,A306)</f>
        <v>1</v>
      </c>
      <c r="F306" s="18" t="n">
        <f aca="false">SUMIFS(Payment_Log_AP!$E$2:$E$753,Payment_Log_AP!$B$2:$B$753,A306)</f>
        <v>2957.14</v>
      </c>
      <c r="G306" s="18" t="n">
        <f aca="false">MAX(F306-D306,0)</f>
        <v>0</v>
      </c>
      <c r="H306" s="16" t="str">
        <f aca="false">IF(E306&gt;1,"DUPLICATE - Review",IF(G306&gt;Assumptions!$B$6,"OVERPAID - Review","OK"))</f>
        <v>OK</v>
      </c>
    </row>
    <row r="307" customFormat="false" ht="15" hidden="false" customHeight="false" outlineLevel="0" collapsed="false">
      <c r="A307" s="16" t="str">
        <f aca="false">Vendor_Invoices_AP!A304</f>
        <v>INV30303</v>
      </c>
      <c r="B307" s="16" t="str">
        <f aca="false">Vendor_Invoices_AP!C304</f>
        <v>V1023</v>
      </c>
      <c r="C307" s="16" t="str">
        <f aca="false">IFERROR(INDEX(Vendor_Master!$B$2:$B$41,MATCH(B307,Vendor_Master!$A$2:$A$41,0)),"Unknown Vendor")</f>
        <v>Robinson-Bright</v>
      </c>
      <c r="D307" s="18" t="n">
        <f aca="false">Vendor_Invoices_AP!E304</f>
        <v>1792.24</v>
      </c>
      <c r="E307" s="16" t="n">
        <f aca="false">COUNTIF(Payment_Log_AP!$B$2:$B$753,A307)</f>
        <v>1</v>
      </c>
      <c r="F307" s="18" t="n">
        <f aca="false">SUMIFS(Payment_Log_AP!$E$2:$E$753,Payment_Log_AP!$B$2:$B$753,A307)</f>
        <v>1792.24</v>
      </c>
      <c r="G307" s="18" t="n">
        <f aca="false">MAX(F307-D307,0)</f>
        <v>0</v>
      </c>
      <c r="H307" s="16" t="str">
        <f aca="false">IF(E307&gt;1,"DUPLICATE - Review",IF(G307&gt;Assumptions!$B$6,"OVERPAID - Review","OK"))</f>
        <v>OK</v>
      </c>
    </row>
    <row r="308" customFormat="false" ht="15" hidden="false" customHeight="false" outlineLevel="0" collapsed="false">
      <c r="A308" s="16" t="str">
        <f aca="false">Vendor_Invoices_AP!A305</f>
        <v>INV30304</v>
      </c>
      <c r="B308" s="16" t="str">
        <f aca="false">Vendor_Invoices_AP!C305</f>
        <v>V1034</v>
      </c>
      <c r="C308" s="16" t="str">
        <f aca="false">IFERROR(INDEX(Vendor_Master!$B$2:$B$41,MATCH(B308,Vendor_Master!$A$2:$A$41,0)),"Unknown Vendor")</f>
        <v>Koch-Decker</v>
      </c>
      <c r="D308" s="18" t="n">
        <f aca="false">Vendor_Invoices_AP!E305</f>
        <v>3587.55</v>
      </c>
      <c r="E308" s="16" t="n">
        <f aca="false">COUNTIF(Payment_Log_AP!$B$2:$B$753,A308)</f>
        <v>1</v>
      </c>
      <c r="F308" s="18" t="n">
        <f aca="false">SUMIFS(Payment_Log_AP!$E$2:$E$753,Payment_Log_AP!$B$2:$B$753,A308)</f>
        <v>3587.55</v>
      </c>
      <c r="G308" s="18" t="n">
        <f aca="false">MAX(F308-D308,0)</f>
        <v>0</v>
      </c>
      <c r="H308" s="16" t="str">
        <f aca="false">IF(E308&gt;1,"DUPLICATE - Review",IF(G308&gt;Assumptions!$B$6,"OVERPAID - Review","OK"))</f>
        <v>OK</v>
      </c>
    </row>
    <row r="309" customFormat="false" ht="15" hidden="false" customHeight="false" outlineLevel="0" collapsed="false">
      <c r="A309" s="16" t="str">
        <f aca="false">Vendor_Invoices_AP!A306</f>
        <v>INV30305</v>
      </c>
      <c r="B309" s="16" t="str">
        <f aca="false">Vendor_Invoices_AP!C306</f>
        <v>V1027</v>
      </c>
      <c r="C309" s="16" t="str">
        <f aca="false">IFERROR(INDEX(Vendor_Master!$B$2:$B$41,MATCH(B309,Vendor_Master!$A$2:$A$41,0)),"Unknown Vendor")</f>
        <v>Valencia, Smith and Le</v>
      </c>
      <c r="D309" s="18" t="n">
        <f aca="false">Vendor_Invoices_AP!E306</f>
        <v>13244.8</v>
      </c>
      <c r="E309" s="16" t="n">
        <f aca="false">COUNTIF(Payment_Log_AP!$B$2:$B$753,A309)</f>
        <v>1</v>
      </c>
      <c r="F309" s="18" t="n">
        <f aca="false">SUMIFS(Payment_Log_AP!$E$2:$E$753,Payment_Log_AP!$B$2:$B$753,A309)</f>
        <v>13244.8</v>
      </c>
      <c r="G309" s="18" t="n">
        <f aca="false">MAX(F309-D309,0)</f>
        <v>0</v>
      </c>
      <c r="H309" s="16" t="str">
        <f aca="false">IF(E309&gt;1,"DUPLICATE - Review",IF(G309&gt;Assumptions!$B$6,"OVERPAID - Review","OK"))</f>
        <v>OK</v>
      </c>
    </row>
    <row r="310" customFormat="false" ht="15" hidden="false" customHeight="false" outlineLevel="0" collapsed="false">
      <c r="A310" s="16" t="str">
        <f aca="false">Vendor_Invoices_AP!A307</f>
        <v>INV30306</v>
      </c>
      <c r="B310" s="16" t="str">
        <f aca="false">Vendor_Invoices_AP!C307</f>
        <v>V1035</v>
      </c>
      <c r="C310" s="16" t="str">
        <f aca="false">IFERROR(INDEX(Vendor_Master!$B$2:$B$41,MATCH(B310,Vendor_Master!$A$2:$A$41,0)),"Unknown Vendor")</f>
        <v>Allen PLC</v>
      </c>
      <c r="D310" s="18" t="n">
        <f aca="false">Vendor_Invoices_AP!E307</f>
        <v>810.36</v>
      </c>
      <c r="E310" s="16" t="n">
        <f aca="false">COUNTIF(Payment_Log_AP!$B$2:$B$753,A310)</f>
        <v>2</v>
      </c>
      <c r="F310" s="18" t="n">
        <f aca="false">SUMIFS(Payment_Log_AP!$E$2:$E$753,Payment_Log_AP!$B$2:$B$753,A310)</f>
        <v>1620.72</v>
      </c>
      <c r="G310" s="18" t="n">
        <f aca="false">MAX(F310-D310,0)</f>
        <v>810.36</v>
      </c>
      <c r="H310" s="16" t="str">
        <f aca="false">IF(E310&gt;1,"DUPLICATE - Review",IF(G310&gt;Assumptions!$B$6,"OVERPAID - Review","OK"))</f>
        <v>DUPLICATE - Review</v>
      </c>
    </row>
    <row r="311" customFormat="false" ht="15" hidden="false" customHeight="false" outlineLevel="0" collapsed="false">
      <c r="A311" s="16" t="str">
        <f aca="false">Vendor_Invoices_AP!A308</f>
        <v>INV30307</v>
      </c>
      <c r="B311" s="16" t="str">
        <f aca="false">Vendor_Invoices_AP!C308</f>
        <v>V1009</v>
      </c>
      <c r="C311" s="16" t="str">
        <f aca="false">IFERROR(INDEX(Vendor_Master!$B$2:$B$41,MATCH(B311,Vendor_Master!$A$2:$A$41,0)),"Unknown Vendor")</f>
        <v>Munoz-Roman</v>
      </c>
      <c r="D311" s="18" t="n">
        <f aca="false">Vendor_Invoices_AP!E308</f>
        <v>256.08</v>
      </c>
      <c r="E311" s="16" t="n">
        <f aca="false">COUNTIF(Payment_Log_AP!$B$2:$B$753,A311)</f>
        <v>0</v>
      </c>
      <c r="F311" s="18" t="n">
        <f aca="false">SUMIFS(Payment_Log_AP!$E$2:$E$753,Payment_Log_AP!$B$2:$B$753,A311)</f>
        <v>0</v>
      </c>
      <c r="G311" s="18" t="n">
        <f aca="false">MAX(F311-D311,0)</f>
        <v>0</v>
      </c>
      <c r="H311" s="16" t="str">
        <f aca="false">IF(E311&gt;1,"DUPLICATE - Review",IF(G311&gt;Assumptions!$B$6,"OVERPAID - Review","OK"))</f>
        <v>OK</v>
      </c>
    </row>
    <row r="312" customFormat="false" ht="15" hidden="false" customHeight="false" outlineLevel="0" collapsed="false">
      <c r="A312" s="16" t="str">
        <f aca="false">Vendor_Invoices_AP!A309</f>
        <v>INV30308</v>
      </c>
      <c r="B312" s="16" t="str">
        <f aca="false">Vendor_Invoices_AP!C309</f>
        <v>V1009</v>
      </c>
      <c r="C312" s="16" t="str">
        <f aca="false">IFERROR(INDEX(Vendor_Master!$B$2:$B$41,MATCH(B312,Vendor_Master!$A$2:$A$41,0)),"Unknown Vendor")</f>
        <v>Munoz-Roman</v>
      </c>
      <c r="D312" s="18" t="n">
        <f aca="false">Vendor_Invoices_AP!E309</f>
        <v>256.08</v>
      </c>
      <c r="E312" s="16" t="n">
        <f aca="false">COUNTIF(Payment_Log_AP!$B$2:$B$753,A312)</f>
        <v>1</v>
      </c>
      <c r="F312" s="18" t="n">
        <f aca="false">SUMIFS(Payment_Log_AP!$E$2:$E$753,Payment_Log_AP!$B$2:$B$753,A312)</f>
        <v>256.08</v>
      </c>
      <c r="G312" s="18" t="n">
        <f aca="false">MAX(F312-D312,0)</f>
        <v>0</v>
      </c>
      <c r="H312" s="16" t="str">
        <f aca="false">IF(E312&gt;1,"DUPLICATE - Review",IF(G312&gt;Assumptions!$B$6,"OVERPAID - Review","OK"))</f>
        <v>OK</v>
      </c>
    </row>
    <row r="313" customFormat="false" ht="15" hidden="false" customHeight="false" outlineLevel="0" collapsed="false">
      <c r="A313" s="16" t="str">
        <f aca="false">Vendor_Invoices_AP!A310</f>
        <v>INV30309</v>
      </c>
      <c r="B313" s="16" t="str">
        <f aca="false">Vendor_Invoices_AP!C310</f>
        <v>V1010</v>
      </c>
      <c r="C313" s="16" t="str">
        <f aca="false">IFERROR(INDEX(Vendor_Master!$B$2:$B$41,MATCH(B313,Vendor_Master!$A$2:$A$41,0)),"Unknown Vendor")</f>
        <v>Martinez, Nielsen and Miller</v>
      </c>
      <c r="D313" s="18" t="n">
        <f aca="false">Vendor_Invoices_AP!E310</f>
        <v>8486.94</v>
      </c>
      <c r="E313" s="16" t="n">
        <f aca="false">COUNTIF(Payment_Log_AP!$B$2:$B$753,A313)</f>
        <v>1</v>
      </c>
      <c r="F313" s="18" t="n">
        <f aca="false">SUMIFS(Payment_Log_AP!$E$2:$E$753,Payment_Log_AP!$B$2:$B$753,A313)</f>
        <v>8486.94</v>
      </c>
      <c r="G313" s="18" t="n">
        <f aca="false">MAX(F313-D313,0)</f>
        <v>0</v>
      </c>
      <c r="H313" s="16" t="str">
        <f aca="false">IF(E313&gt;1,"DUPLICATE - Review",IF(G313&gt;Assumptions!$B$6,"OVERPAID - Review","OK"))</f>
        <v>OK</v>
      </c>
    </row>
    <row r="314" customFormat="false" ht="15" hidden="false" customHeight="false" outlineLevel="0" collapsed="false">
      <c r="A314" s="16" t="str">
        <f aca="false">Vendor_Invoices_AP!A311</f>
        <v>INV30310</v>
      </c>
      <c r="B314" s="16" t="str">
        <f aca="false">Vendor_Invoices_AP!C311</f>
        <v>V1013</v>
      </c>
      <c r="C314" s="16" t="str">
        <f aca="false">IFERROR(INDEX(Vendor_Master!$B$2:$B$41,MATCH(B314,Vendor_Master!$A$2:$A$41,0)),"Unknown Vendor")</f>
        <v>Delacruz Group</v>
      </c>
      <c r="D314" s="18" t="n">
        <f aca="false">Vendor_Invoices_AP!E311</f>
        <v>3079.87</v>
      </c>
      <c r="E314" s="16" t="n">
        <f aca="false">COUNTIF(Payment_Log_AP!$B$2:$B$753,A314)</f>
        <v>1</v>
      </c>
      <c r="F314" s="18" t="n">
        <f aca="false">SUMIFS(Payment_Log_AP!$E$2:$E$753,Payment_Log_AP!$B$2:$B$753,A314)</f>
        <v>3079.87</v>
      </c>
      <c r="G314" s="18" t="n">
        <f aca="false">MAX(F314-D314,0)</f>
        <v>0</v>
      </c>
      <c r="H314" s="16" t="str">
        <f aca="false">IF(E314&gt;1,"DUPLICATE - Review",IF(G314&gt;Assumptions!$B$6,"OVERPAID - Review","OK"))</f>
        <v>OK</v>
      </c>
    </row>
    <row r="315" customFormat="false" ht="15" hidden="false" customHeight="false" outlineLevel="0" collapsed="false">
      <c r="A315" s="16" t="str">
        <f aca="false">Vendor_Invoices_AP!A312</f>
        <v>INV30311</v>
      </c>
      <c r="B315" s="16" t="str">
        <f aca="false">Vendor_Invoices_AP!C312</f>
        <v>V1018</v>
      </c>
      <c r="C315" s="16" t="str">
        <f aca="false">IFERROR(INDEX(Vendor_Master!$B$2:$B$41,MATCH(B315,Vendor_Master!$A$2:$A$41,0)),"Unknown Vendor")</f>
        <v>Underwood LLC</v>
      </c>
      <c r="D315" s="18" t="n">
        <f aca="false">Vendor_Invoices_AP!E312</f>
        <v>1424.65</v>
      </c>
      <c r="E315" s="16" t="n">
        <f aca="false">COUNTIF(Payment_Log_AP!$B$2:$B$753,A315)</f>
        <v>0</v>
      </c>
      <c r="F315" s="18" t="n">
        <f aca="false">SUMIFS(Payment_Log_AP!$E$2:$E$753,Payment_Log_AP!$B$2:$B$753,A315)</f>
        <v>0</v>
      </c>
      <c r="G315" s="18" t="n">
        <f aca="false">MAX(F315-D315,0)</f>
        <v>0</v>
      </c>
      <c r="H315" s="16" t="str">
        <f aca="false">IF(E315&gt;1,"DUPLICATE - Review",IF(G315&gt;Assumptions!$B$6,"OVERPAID - Review","OK"))</f>
        <v>OK</v>
      </c>
    </row>
    <row r="316" customFormat="false" ht="15" hidden="false" customHeight="false" outlineLevel="0" collapsed="false">
      <c r="A316" s="16" t="str">
        <f aca="false">Vendor_Invoices_AP!A313</f>
        <v>INV30312</v>
      </c>
      <c r="B316" s="16" t="str">
        <f aca="false">Vendor_Invoices_AP!C313</f>
        <v>V1037</v>
      </c>
      <c r="C316" s="16" t="str">
        <f aca="false">IFERROR(INDEX(Vendor_Master!$B$2:$B$41,MATCH(B316,Vendor_Master!$A$2:$A$41,0)),"Unknown Vendor")</f>
        <v>Cannon, Anderson and Alvarez</v>
      </c>
      <c r="D316" s="18" t="n">
        <f aca="false">Vendor_Invoices_AP!E313</f>
        <v>4491.48</v>
      </c>
      <c r="E316" s="16" t="n">
        <f aca="false">COUNTIF(Payment_Log_AP!$B$2:$B$753,A316)</f>
        <v>1</v>
      </c>
      <c r="F316" s="18" t="n">
        <f aca="false">SUMIFS(Payment_Log_AP!$E$2:$E$753,Payment_Log_AP!$B$2:$B$753,A316)</f>
        <v>4491.48</v>
      </c>
      <c r="G316" s="18" t="n">
        <f aca="false">MAX(F316-D316,0)</f>
        <v>0</v>
      </c>
      <c r="H316" s="16" t="str">
        <f aca="false">IF(E316&gt;1,"DUPLICATE - Review",IF(G316&gt;Assumptions!$B$6,"OVERPAID - Review","OK"))</f>
        <v>OK</v>
      </c>
    </row>
    <row r="317" customFormat="false" ht="15" hidden="false" customHeight="false" outlineLevel="0" collapsed="false">
      <c r="A317" s="16" t="str">
        <f aca="false">Vendor_Invoices_AP!A314</f>
        <v>INV30313</v>
      </c>
      <c r="B317" s="16" t="str">
        <f aca="false">Vendor_Invoices_AP!C314</f>
        <v>V1005</v>
      </c>
      <c r="C317" s="16" t="str">
        <f aca="false">IFERROR(INDEX(Vendor_Master!$B$2:$B$41,MATCH(B317,Vendor_Master!$A$2:$A$41,0)),"Unknown Vendor")</f>
        <v>Cole LLC</v>
      </c>
      <c r="D317" s="18" t="n">
        <f aca="false">Vendor_Invoices_AP!E314</f>
        <v>1494.98</v>
      </c>
      <c r="E317" s="16" t="n">
        <f aca="false">COUNTIF(Payment_Log_AP!$B$2:$B$753,A317)</f>
        <v>1</v>
      </c>
      <c r="F317" s="18" t="n">
        <f aca="false">SUMIFS(Payment_Log_AP!$E$2:$E$753,Payment_Log_AP!$B$2:$B$753,A317)</f>
        <v>1494.98</v>
      </c>
      <c r="G317" s="18" t="n">
        <f aca="false">MAX(F317-D317,0)</f>
        <v>0</v>
      </c>
      <c r="H317" s="16" t="str">
        <f aca="false">IF(E317&gt;1,"DUPLICATE - Review",IF(G317&gt;Assumptions!$B$6,"OVERPAID - Review","OK"))</f>
        <v>OK</v>
      </c>
    </row>
    <row r="318" customFormat="false" ht="15" hidden="false" customHeight="false" outlineLevel="0" collapsed="false">
      <c r="A318" s="16" t="str">
        <f aca="false">Vendor_Invoices_AP!A315</f>
        <v>INV30314</v>
      </c>
      <c r="B318" s="16" t="str">
        <f aca="false">Vendor_Invoices_AP!C315</f>
        <v>V1033</v>
      </c>
      <c r="C318" s="16" t="str">
        <f aca="false">IFERROR(INDEX(Vendor_Master!$B$2:$B$41,MATCH(B318,Vendor_Master!$A$2:$A$41,0)),"Unknown Vendor")</f>
        <v>Sellers, George and Burns</v>
      </c>
      <c r="D318" s="18" t="n">
        <f aca="false">Vendor_Invoices_AP!E315</f>
        <v>1119.52</v>
      </c>
      <c r="E318" s="16" t="n">
        <f aca="false">COUNTIF(Payment_Log_AP!$B$2:$B$753,A318)</f>
        <v>1</v>
      </c>
      <c r="F318" s="18" t="n">
        <f aca="false">SUMIFS(Payment_Log_AP!$E$2:$E$753,Payment_Log_AP!$B$2:$B$753,A318)</f>
        <v>1119.52</v>
      </c>
      <c r="G318" s="18" t="n">
        <f aca="false">MAX(F318-D318,0)</f>
        <v>0</v>
      </c>
      <c r="H318" s="16" t="str">
        <f aca="false">IF(E318&gt;1,"DUPLICATE - Review",IF(G318&gt;Assumptions!$B$6,"OVERPAID - Review","OK"))</f>
        <v>OK</v>
      </c>
    </row>
    <row r="319" customFormat="false" ht="15" hidden="false" customHeight="false" outlineLevel="0" collapsed="false">
      <c r="A319" s="16" t="str">
        <f aca="false">Vendor_Invoices_AP!A316</f>
        <v>INV30315</v>
      </c>
      <c r="B319" s="16" t="str">
        <f aca="false">Vendor_Invoices_AP!C316</f>
        <v>V1006</v>
      </c>
      <c r="C319" s="16" t="str">
        <f aca="false">IFERROR(INDEX(Vendor_Master!$B$2:$B$41,MATCH(B319,Vendor_Master!$A$2:$A$41,0)),"Unknown Vendor")</f>
        <v>Blake and Sons</v>
      </c>
      <c r="D319" s="18" t="n">
        <f aca="false">Vendor_Invoices_AP!E316</f>
        <v>531.72</v>
      </c>
      <c r="E319" s="16" t="n">
        <f aca="false">COUNTIF(Payment_Log_AP!$B$2:$B$753,A319)</f>
        <v>1</v>
      </c>
      <c r="F319" s="18" t="n">
        <f aca="false">SUMIFS(Payment_Log_AP!$E$2:$E$753,Payment_Log_AP!$B$2:$B$753,A319)</f>
        <v>531.72</v>
      </c>
      <c r="G319" s="18" t="n">
        <f aca="false">MAX(F319-D319,0)</f>
        <v>0</v>
      </c>
      <c r="H319" s="16" t="str">
        <f aca="false">IF(E319&gt;1,"DUPLICATE - Review",IF(G319&gt;Assumptions!$B$6,"OVERPAID - Review","OK"))</f>
        <v>OK</v>
      </c>
    </row>
    <row r="320" customFormat="false" ht="15" hidden="false" customHeight="false" outlineLevel="0" collapsed="false">
      <c r="A320" s="16" t="str">
        <f aca="false">Vendor_Invoices_AP!A317</f>
        <v>INV30316</v>
      </c>
      <c r="B320" s="16" t="str">
        <f aca="false">Vendor_Invoices_AP!C317</f>
        <v>V1038</v>
      </c>
      <c r="C320" s="16" t="str">
        <f aca="false">IFERROR(INDEX(Vendor_Master!$B$2:$B$41,MATCH(B320,Vendor_Master!$A$2:$A$41,0)),"Unknown Vendor")</f>
        <v>Rose-Obrien</v>
      </c>
      <c r="D320" s="18" t="n">
        <f aca="false">Vendor_Invoices_AP!E317</f>
        <v>3672.05</v>
      </c>
      <c r="E320" s="16" t="n">
        <f aca="false">COUNTIF(Payment_Log_AP!$B$2:$B$753,A320)</f>
        <v>0</v>
      </c>
      <c r="F320" s="18" t="n">
        <f aca="false">SUMIFS(Payment_Log_AP!$E$2:$E$753,Payment_Log_AP!$B$2:$B$753,A320)</f>
        <v>0</v>
      </c>
      <c r="G320" s="18" t="n">
        <f aca="false">MAX(F320-D320,0)</f>
        <v>0</v>
      </c>
      <c r="H320" s="16" t="str">
        <f aca="false">IF(E320&gt;1,"DUPLICATE - Review",IF(G320&gt;Assumptions!$B$6,"OVERPAID - Review","OK"))</f>
        <v>OK</v>
      </c>
    </row>
    <row r="321" customFormat="false" ht="15" hidden="false" customHeight="false" outlineLevel="0" collapsed="false">
      <c r="A321" s="16" t="str">
        <f aca="false">Vendor_Invoices_AP!A318</f>
        <v>INV30317</v>
      </c>
      <c r="B321" s="16" t="str">
        <f aca="false">Vendor_Invoices_AP!C318</f>
        <v>V1019</v>
      </c>
      <c r="C321" s="16" t="str">
        <f aca="false">IFERROR(INDEX(Vendor_Master!$B$2:$B$41,MATCH(B321,Vendor_Master!$A$2:$A$41,0)),"Unknown Vendor")</f>
        <v>Clark PLC</v>
      </c>
      <c r="D321" s="18" t="n">
        <f aca="false">Vendor_Invoices_AP!E318</f>
        <v>6043.12</v>
      </c>
      <c r="E321" s="16" t="n">
        <f aca="false">COUNTIF(Payment_Log_AP!$B$2:$B$753,A321)</f>
        <v>1</v>
      </c>
      <c r="F321" s="18" t="n">
        <f aca="false">SUMIFS(Payment_Log_AP!$E$2:$E$753,Payment_Log_AP!$B$2:$B$753,A321)</f>
        <v>6043.12</v>
      </c>
      <c r="G321" s="18" t="n">
        <f aca="false">MAX(F321-D321,0)</f>
        <v>0</v>
      </c>
      <c r="H321" s="16" t="str">
        <f aca="false">IF(E321&gt;1,"DUPLICATE - Review",IF(G321&gt;Assumptions!$B$6,"OVERPAID - Review","OK"))</f>
        <v>OK</v>
      </c>
    </row>
    <row r="322" customFormat="false" ht="15" hidden="false" customHeight="false" outlineLevel="0" collapsed="false">
      <c r="A322" s="16" t="str">
        <f aca="false">Vendor_Invoices_AP!A319</f>
        <v>INV30318</v>
      </c>
      <c r="B322" s="16" t="str">
        <f aca="false">Vendor_Invoices_AP!C319</f>
        <v>V1014</v>
      </c>
      <c r="C322" s="16" t="str">
        <f aca="false">IFERROR(INDEX(Vendor_Master!$B$2:$B$41,MATCH(B322,Vendor_Master!$A$2:$A$41,0)),"Unknown Vendor")</f>
        <v>Flowers, Martin and Kelly</v>
      </c>
      <c r="D322" s="18" t="n">
        <f aca="false">Vendor_Invoices_AP!E319</f>
        <v>1017.03</v>
      </c>
      <c r="E322" s="16" t="n">
        <f aca="false">COUNTIF(Payment_Log_AP!$B$2:$B$753,A322)</f>
        <v>1</v>
      </c>
      <c r="F322" s="18" t="n">
        <f aca="false">SUMIFS(Payment_Log_AP!$E$2:$E$753,Payment_Log_AP!$B$2:$B$753,A322)</f>
        <v>1017.03</v>
      </c>
      <c r="G322" s="18" t="n">
        <f aca="false">MAX(F322-D322,0)</f>
        <v>0</v>
      </c>
      <c r="H322" s="16" t="str">
        <f aca="false">IF(E322&gt;1,"DUPLICATE - Review",IF(G322&gt;Assumptions!$B$6,"OVERPAID - Review","OK"))</f>
        <v>OK</v>
      </c>
    </row>
    <row r="323" customFormat="false" ht="15" hidden="false" customHeight="false" outlineLevel="0" collapsed="false">
      <c r="A323" s="16" t="str">
        <f aca="false">Vendor_Invoices_AP!A320</f>
        <v>INV30319</v>
      </c>
      <c r="B323" s="16" t="str">
        <f aca="false">Vendor_Invoices_AP!C320</f>
        <v>V1017</v>
      </c>
      <c r="C323" s="16" t="str">
        <f aca="false">IFERROR(INDEX(Vendor_Master!$B$2:$B$41,MATCH(B323,Vendor_Master!$A$2:$A$41,0)),"Unknown Vendor")</f>
        <v>Hawkins, Cohen and Cameron</v>
      </c>
      <c r="D323" s="18" t="n">
        <f aca="false">Vendor_Invoices_AP!E320</f>
        <v>33982.32</v>
      </c>
      <c r="E323" s="16" t="n">
        <f aca="false">COUNTIF(Payment_Log_AP!$B$2:$B$753,A323)</f>
        <v>1</v>
      </c>
      <c r="F323" s="18" t="n">
        <f aca="false">SUMIFS(Payment_Log_AP!$E$2:$E$753,Payment_Log_AP!$B$2:$B$753,A323)</f>
        <v>33982.32</v>
      </c>
      <c r="G323" s="18" t="n">
        <f aca="false">MAX(F323-D323,0)</f>
        <v>0</v>
      </c>
      <c r="H323" s="16" t="str">
        <f aca="false">IF(E323&gt;1,"DUPLICATE - Review",IF(G323&gt;Assumptions!$B$6,"OVERPAID - Review","OK"))</f>
        <v>OK</v>
      </c>
    </row>
    <row r="324" customFormat="false" ht="15" hidden="false" customHeight="false" outlineLevel="0" collapsed="false">
      <c r="A324" s="16" t="str">
        <f aca="false">Vendor_Invoices_AP!A321</f>
        <v>INV30320</v>
      </c>
      <c r="B324" s="16" t="str">
        <f aca="false">Vendor_Invoices_AP!C321</f>
        <v>V1026</v>
      </c>
      <c r="C324" s="16" t="str">
        <f aca="false">IFERROR(INDEX(Vendor_Master!$B$2:$B$41,MATCH(B324,Vendor_Master!$A$2:$A$41,0)),"Unknown Vendor")</f>
        <v>James-Ferrell</v>
      </c>
      <c r="D324" s="18" t="n">
        <f aca="false">Vendor_Invoices_AP!E321</f>
        <v>2011.97</v>
      </c>
      <c r="E324" s="16" t="n">
        <f aca="false">COUNTIF(Payment_Log_AP!$B$2:$B$753,A324)</f>
        <v>1</v>
      </c>
      <c r="F324" s="18" t="n">
        <f aca="false">SUMIFS(Payment_Log_AP!$E$2:$E$753,Payment_Log_AP!$B$2:$B$753,A324)</f>
        <v>2011.97</v>
      </c>
      <c r="G324" s="18" t="n">
        <f aca="false">MAX(F324-D324,0)</f>
        <v>0</v>
      </c>
      <c r="H324" s="16" t="str">
        <f aca="false">IF(E324&gt;1,"DUPLICATE - Review",IF(G324&gt;Assumptions!$B$6,"OVERPAID - Review","OK"))</f>
        <v>OK</v>
      </c>
    </row>
    <row r="325" customFormat="false" ht="15" hidden="false" customHeight="false" outlineLevel="0" collapsed="false">
      <c r="A325" s="16" t="str">
        <f aca="false">Vendor_Invoices_AP!A322</f>
        <v>INV30321</v>
      </c>
      <c r="B325" s="16" t="str">
        <f aca="false">Vendor_Invoices_AP!C322</f>
        <v>V1016</v>
      </c>
      <c r="C325" s="16" t="str">
        <f aca="false">IFERROR(INDEX(Vendor_Master!$B$2:$B$41,MATCH(B325,Vendor_Master!$A$2:$A$41,0)),"Unknown Vendor")</f>
        <v>Sanchez, Ford and Nelson</v>
      </c>
      <c r="D325" s="18" t="n">
        <f aca="false">Vendor_Invoices_AP!E322</f>
        <v>1329.7</v>
      </c>
      <c r="E325" s="16" t="n">
        <f aca="false">COUNTIF(Payment_Log_AP!$B$2:$B$753,A325)</f>
        <v>0</v>
      </c>
      <c r="F325" s="18" t="n">
        <f aca="false">SUMIFS(Payment_Log_AP!$E$2:$E$753,Payment_Log_AP!$B$2:$B$753,A325)</f>
        <v>0</v>
      </c>
      <c r="G325" s="18" t="n">
        <f aca="false">MAX(F325-D325,0)</f>
        <v>0</v>
      </c>
      <c r="H325" s="16" t="str">
        <f aca="false">IF(E325&gt;1,"DUPLICATE - Review",IF(G325&gt;Assumptions!$B$6,"OVERPAID - Review","OK"))</f>
        <v>OK</v>
      </c>
    </row>
    <row r="326" customFormat="false" ht="15" hidden="false" customHeight="false" outlineLevel="0" collapsed="false">
      <c r="A326" s="16" t="str">
        <f aca="false">Vendor_Invoices_AP!A323</f>
        <v>INV30322</v>
      </c>
      <c r="B326" s="16" t="str">
        <f aca="false">Vendor_Invoices_AP!C323</f>
        <v>V1026</v>
      </c>
      <c r="C326" s="16" t="str">
        <f aca="false">IFERROR(INDEX(Vendor_Master!$B$2:$B$41,MATCH(B326,Vendor_Master!$A$2:$A$41,0)),"Unknown Vendor")</f>
        <v>James-Ferrell</v>
      </c>
      <c r="D326" s="18" t="n">
        <f aca="false">Vendor_Invoices_AP!E323</f>
        <v>1953.14</v>
      </c>
      <c r="E326" s="16" t="n">
        <f aca="false">COUNTIF(Payment_Log_AP!$B$2:$B$753,A326)</f>
        <v>1</v>
      </c>
      <c r="F326" s="18" t="n">
        <f aca="false">SUMIFS(Payment_Log_AP!$E$2:$E$753,Payment_Log_AP!$B$2:$B$753,A326)</f>
        <v>1953.14</v>
      </c>
      <c r="G326" s="18" t="n">
        <f aca="false">MAX(F326-D326,0)</f>
        <v>0</v>
      </c>
      <c r="H326" s="16" t="str">
        <f aca="false">IF(E326&gt;1,"DUPLICATE - Review",IF(G326&gt;Assumptions!$B$6,"OVERPAID - Review","OK"))</f>
        <v>OK</v>
      </c>
    </row>
    <row r="327" customFormat="false" ht="15" hidden="false" customHeight="false" outlineLevel="0" collapsed="false">
      <c r="A327" s="16" t="str">
        <f aca="false">Vendor_Invoices_AP!A324</f>
        <v>INV30323</v>
      </c>
      <c r="B327" s="16" t="str">
        <f aca="false">Vendor_Invoices_AP!C324</f>
        <v>V1031</v>
      </c>
      <c r="C327" s="16" t="str">
        <f aca="false">IFERROR(INDEX(Vendor_Master!$B$2:$B$41,MATCH(B327,Vendor_Master!$A$2:$A$41,0)),"Unknown Vendor")</f>
        <v>Harrell LLC</v>
      </c>
      <c r="D327" s="18" t="n">
        <f aca="false">Vendor_Invoices_AP!E324</f>
        <v>275.18</v>
      </c>
      <c r="E327" s="16" t="n">
        <f aca="false">COUNTIF(Payment_Log_AP!$B$2:$B$753,A327)</f>
        <v>1</v>
      </c>
      <c r="F327" s="18" t="n">
        <f aca="false">SUMIFS(Payment_Log_AP!$E$2:$E$753,Payment_Log_AP!$B$2:$B$753,A327)</f>
        <v>275.18</v>
      </c>
      <c r="G327" s="18" t="n">
        <f aca="false">MAX(F327-D327,0)</f>
        <v>0</v>
      </c>
      <c r="H327" s="16" t="str">
        <f aca="false">IF(E327&gt;1,"DUPLICATE - Review",IF(G327&gt;Assumptions!$B$6,"OVERPAID - Review","OK"))</f>
        <v>OK</v>
      </c>
    </row>
    <row r="328" customFormat="false" ht="15" hidden="false" customHeight="false" outlineLevel="0" collapsed="false">
      <c r="A328" s="16" t="str">
        <f aca="false">Vendor_Invoices_AP!A325</f>
        <v>INV30324</v>
      </c>
      <c r="B328" s="16" t="str">
        <f aca="false">Vendor_Invoices_AP!C325</f>
        <v>V1002</v>
      </c>
      <c r="C328" s="16" t="str">
        <f aca="false">IFERROR(INDEX(Vendor_Master!$B$2:$B$41,MATCH(B328,Vendor_Master!$A$2:$A$41,0)),"Unknown Vendor")</f>
        <v>Garcia, Yang and Gardner</v>
      </c>
      <c r="D328" s="18" t="n">
        <f aca="false">Vendor_Invoices_AP!E325</f>
        <v>2929.12</v>
      </c>
      <c r="E328" s="16" t="n">
        <f aca="false">COUNTIF(Payment_Log_AP!$B$2:$B$753,A328)</f>
        <v>2</v>
      </c>
      <c r="F328" s="18" t="n">
        <f aca="false">SUMIFS(Payment_Log_AP!$E$2:$E$753,Payment_Log_AP!$B$2:$B$753,A328)</f>
        <v>5858.24</v>
      </c>
      <c r="G328" s="18" t="n">
        <f aca="false">MAX(F328-D328,0)</f>
        <v>2929.12</v>
      </c>
      <c r="H328" s="16" t="str">
        <f aca="false">IF(E328&gt;1,"DUPLICATE - Review",IF(G328&gt;Assumptions!$B$6,"OVERPAID - Review","OK"))</f>
        <v>DUPLICATE - Review</v>
      </c>
    </row>
    <row r="329" customFormat="false" ht="15" hidden="false" customHeight="false" outlineLevel="0" collapsed="false">
      <c r="A329" s="16" t="str">
        <f aca="false">Vendor_Invoices_AP!A326</f>
        <v>INV30325</v>
      </c>
      <c r="B329" s="16" t="str">
        <f aca="false">Vendor_Invoices_AP!C326</f>
        <v>V1015</v>
      </c>
      <c r="C329" s="16" t="str">
        <f aca="false">IFERROR(INDEX(Vendor_Master!$B$2:$B$41,MATCH(B329,Vendor_Master!$A$2:$A$41,0)),"Unknown Vendor")</f>
        <v>Zuniga, Wong and Lynch</v>
      </c>
      <c r="D329" s="18" t="n">
        <f aca="false">Vendor_Invoices_AP!E326</f>
        <v>2560.65</v>
      </c>
      <c r="E329" s="16" t="n">
        <f aca="false">COUNTIF(Payment_Log_AP!$B$2:$B$753,A329)</f>
        <v>1</v>
      </c>
      <c r="F329" s="18" t="n">
        <f aca="false">SUMIFS(Payment_Log_AP!$E$2:$E$753,Payment_Log_AP!$B$2:$B$753,A329)</f>
        <v>2560.65</v>
      </c>
      <c r="G329" s="18" t="n">
        <f aca="false">MAX(F329-D329,0)</f>
        <v>0</v>
      </c>
      <c r="H329" s="16" t="str">
        <f aca="false">IF(E329&gt;1,"DUPLICATE - Review",IF(G329&gt;Assumptions!$B$6,"OVERPAID - Review","OK"))</f>
        <v>OK</v>
      </c>
    </row>
    <row r="330" customFormat="false" ht="15" hidden="false" customHeight="false" outlineLevel="0" collapsed="false">
      <c r="A330" s="16" t="str">
        <f aca="false">Vendor_Invoices_AP!A327</f>
        <v>INV30326</v>
      </c>
      <c r="B330" s="16" t="str">
        <f aca="false">Vendor_Invoices_AP!C327</f>
        <v>V1016</v>
      </c>
      <c r="C330" s="16" t="str">
        <f aca="false">IFERROR(INDEX(Vendor_Master!$B$2:$B$41,MATCH(B330,Vendor_Master!$A$2:$A$41,0)),"Unknown Vendor")</f>
        <v>Sanchez, Ford and Nelson</v>
      </c>
      <c r="D330" s="18" t="n">
        <f aca="false">Vendor_Invoices_AP!E327</f>
        <v>1086.25</v>
      </c>
      <c r="E330" s="16" t="n">
        <f aca="false">COUNTIF(Payment_Log_AP!$B$2:$B$753,A330)</f>
        <v>1</v>
      </c>
      <c r="F330" s="18" t="n">
        <f aca="false">SUMIFS(Payment_Log_AP!$E$2:$E$753,Payment_Log_AP!$B$2:$B$753,A330)</f>
        <v>1086.25</v>
      </c>
      <c r="G330" s="18" t="n">
        <f aca="false">MAX(F330-D330,0)</f>
        <v>0</v>
      </c>
      <c r="H330" s="16" t="str">
        <f aca="false">IF(E330&gt;1,"DUPLICATE - Review",IF(G330&gt;Assumptions!$B$6,"OVERPAID - Review","OK"))</f>
        <v>OK</v>
      </c>
    </row>
    <row r="331" customFormat="false" ht="15" hidden="false" customHeight="false" outlineLevel="0" collapsed="false">
      <c r="A331" s="16" t="str">
        <f aca="false">Vendor_Invoices_AP!A328</f>
        <v>INV30327</v>
      </c>
      <c r="B331" s="16" t="str">
        <f aca="false">Vendor_Invoices_AP!C328</f>
        <v>V1039</v>
      </c>
      <c r="C331" s="16" t="str">
        <f aca="false">IFERROR(INDEX(Vendor_Master!$B$2:$B$41,MATCH(B331,Vendor_Master!$A$2:$A$41,0)),"Unknown Vendor")</f>
        <v>Campos, Vaughn and Marquez</v>
      </c>
      <c r="D331" s="18" t="n">
        <f aca="false">Vendor_Invoices_AP!E328</f>
        <v>3484.24</v>
      </c>
      <c r="E331" s="16" t="n">
        <f aca="false">COUNTIF(Payment_Log_AP!$B$2:$B$753,A331)</f>
        <v>1</v>
      </c>
      <c r="F331" s="18" t="n">
        <f aca="false">SUMIFS(Payment_Log_AP!$E$2:$E$753,Payment_Log_AP!$B$2:$B$753,A331)</f>
        <v>3484.24</v>
      </c>
      <c r="G331" s="18" t="n">
        <f aca="false">MAX(F331-D331,0)</f>
        <v>0</v>
      </c>
      <c r="H331" s="16" t="str">
        <f aca="false">IF(E331&gt;1,"DUPLICATE - Review",IF(G331&gt;Assumptions!$B$6,"OVERPAID - Review","OK"))</f>
        <v>OK</v>
      </c>
    </row>
    <row r="332" customFormat="false" ht="15" hidden="false" customHeight="false" outlineLevel="0" collapsed="false">
      <c r="A332" s="16" t="str">
        <f aca="false">Vendor_Invoices_AP!A329</f>
        <v>INV30328</v>
      </c>
      <c r="B332" s="16" t="str">
        <f aca="false">Vendor_Invoices_AP!C329</f>
        <v>V1025</v>
      </c>
      <c r="C332" s="16" t="str">
        <f aca="false">IFERROR(INDEX(Vendor_Master!$B$2:$B$41,MATCH(B332,Vendor_Master!$A$2:$A$41,0)),"Unknown Vendor")</f>
        <v>Conner Group</v>
      </c>
      <c r="D332" s="18" t="n">
        <f aca="false">Vendor_Invoices_AP!E329</f>
        <v>4212.6</v>
      </c>
      <c r="E332" s="16" t="n">
        <f aca="false">COUNTIF(Payment_Log_AP!$B$2:$B$753,A332)</f>
        <v>1</v>
      </c>
      <c r="F332" s="18" t="n">
        <f aca="false">SUMIFS(Payment_Log_AP!$E$2:$E$753,Payment_Log_AP!$B$2:$B$753,A332)</f>
        <v>4212.6</v>
      </c>
      <c r="G332" s="18" t="n">
        <f aca="false">MAX(F332-D332,0)</f>
        <v>0</v>
      </c>
      <c r="H332" s="16" t="str">
        <f aca="false">IF(E332&gt;1,"DUPLICATE - Review",IF(G332&gt;Assumptions!$B$6,"OVERPAID - Review","OK"))</f>
        <v>OK</v>
      </c>
    </row>
    <row r="333" customFormat="false" ht="15" hidden="false" customHeight="false" outlineLevel="0" collapsed="false">
      <c r="A333" s="16" t="str">
        <f aca="false">Vendor_Invoices_AP!A330</f>
        <v>INV30329</v>
      </c>
      <c r="B333" s="16" t="str">
        <f aca="false">Vendor_Invoices_AP!C330</f>
        <v>V1032</v>
      </c>
      <c r="C333" s="16" t="str">
        <f aca="false">IFERROR(INDEX(Vendor_Master!$B$2:$B$41,MATCH(B333,Vendor_Master!$A$2:$A$41,0)),"Unknown Vendor")</f>
        <v>Lynch, Hernandez and Farmer</v>
      </c>
      <c r="D333" s="18" t="n">
        <f aca="false">Vendor_Invoices_AP!E330</f>
        <v>2560.27</v>
      </c>
      <c r="E333" s="16" t="n">
        <f aca="false">COUNTIF(Payment_Log_AP!$B$2:$B$753,A333)</f>
        <v>1</v>
      </c>
      <c r="F333" s="18" t="n">
        <f aca="false">SUMIFS(Payment_Log_AP!$E$2:$E$753,Payment_Log_AP!$B$2:$B$753,A333)</f>
        <v>2560.27</v>
      </c>
      <c r="G333" s="18" t="n">
        <f aca="false">MAX(F333-D333,0)</f>
        <v>0</v>
      </c>
      <c r="H333" s="16" t="str">
        <f aca="false">IF(E333&gt;1,"DUPLICATE - Review",IF(G333&gt;Assumptions!$B$6,"OVERPAID - Review","OK"))</f>
        <v>OK</v>
      </c>
    </row>
    <row r="334" customFormat="false" ht="15" hidden="false" customHeight="false" outlineLevel="0" collapsed="false">
      <c r="A334" s="16" t="str">
        <f aca="false">Vendor_Invoices_AP!A331</f>
        <v>INV30330</v>
      </c>
      <c r="B334" s="16" t="str">
        <f aca="false">Vendor_Invoices_AP!C331</f>
        <v>V1025</v>
      </c>
      <c r="C334" s="16" t="str">
        <f aca="false">IFERROR(INDEX(Vendor_Master!$B$2:$B$41,MATCH(B334,Vendor_Master!$A$2:$A$41,0)),"Unknown Vendor")</f>
        <v>Conner Group</v>
      </c>
      <c r="D334" s="18" t="n">
        <f aca="false">Vendor_Invoices_AP!E331</f>
        <v>3373.65</v>
      </c>
      <c r="E334" s="16" t="n">
        <f aca="false">COUNTIF(Payment_Log_AP!$B$2:$B$753,A334)</f>
        <v>1</v>
      </c>
      <c r="F334" s="18" t="n">
        <f aca="false">SUMIFS(Payment_Log_AP!$E$2:$E$753,Payment_Log_AP!$B$2:$B$753,A334)</f>
        <v>3373.65</v>
      </c>
      <c r="G334" s="18" t="n">
        <f aca="false">MAX(F334-D334,0)</f>
        <v>0</v>
      </c>
      <c r="H334" s="16" t="str">
        <f aca="false">IF(E334&gt;1,"DUPLICATE - Review",IF(G334&gt;Assumptions!$B$6,"OVERPAID - Review","OK"))</f>
        <v>OK</v>
      </c>
    </row>
    <row r="335" customFormat="false" ht="15" hidden="false" customHeight="false" outlineLevel="0" collapsed="false">
      <c r="A335" s="16" t="str">
        <f aca="false">Vendor_Invoices_AP!A332</f>
        <v>INV30331</v>
      </c>
      <c r="B335" s="16" t="str">
        <f aca="false">Vendor_Invoices_AP!C332</f>
        <v>V1031</v>
      </c>
      <c r="C335" s="16" t="str">
        <f aca="false">IFERROR(INDEX(Vendor_Master!$B$2:$B$41,MATCH(B335,Vendor_Master!$A$2:$A$41,0)),"Unknown Vendor")</f>
        <v>Harrell LLC</v>
      </c>
      <c r="D335" s="18" t="n">
        <f aca="false">Vendor_Invoices_AP!E332</f>
        <v>1093.64</v>
      </c>
      <c r="E335" s="16" t="n">
        <f aca="false">COUNTIF(Payment_Log_AP!$B$2:$B$753,A335)</f>
        <v>1</v>
      </c>
      <c r="F335" s="18" t="n">
        <f aca="false">SUMIFS(Payment_Log_AP!$E$2:$E$753,Payment_Log_AP!$B$2:$B$753,A335)</f>
        <v>1093.64</v>
      </c>
      <c r="G335" s="18" t="n">
        <f aca="false">MAX(F335-D335,0)</f>
        <v>0</v>
      </c>
      <c r="H335" s="16" t="str">
        <f aca="false">IF(E335&gt;1,"DUPLICATE - Review",IF(G335&gt;Assumptions!$B$6,"OVERPAID - Review","OK"))</f>
        <v>OK</v>
      </c>
    </row>
    <row r="336" customFormat="false" ht="15" hidden="false" customHeight="false" outlineLevel="0" collapsed="false">
      <c r="A336" s="16" t="str">
        <f aca="false">Vendor_Invoices_AP!A333</f>
        <v>INV30332</v>
      </c>
      <c r="B336" s="16" t="str">
        <f aca="false">Vendor_Invoices_AP!C333</f>
        <v>V1038</v>
      </c>
      <c r="C336" s="16" t="str">
        <f aca="false">IFERROR(INDEX(Vendor_Master!$B$2:$B$41,MATCH(B336,Vendor_Master!$A$2:$A$41,0)),"Unknown Vendor")</f>
        <v>Rose-Obrien</v>
      </c>
      <c r="D336" s="18" t="n">
        <f aca="false">Vendor_Invoices_AP!E333</f>
        <v>1134.36</v>
      </c>
      <c r="E336" s="16" t="n">
        <f aca="false">COUNTIF(Payment_Log_AP!$B$2:$B$753,A336)</f>
        <v>1</v>
      </c>
      <c r="F336" s="18" t="n">
        <f aca="false">SUMIFS(Payment_Log_AP!$E$2:$E$753,Payment_Log_AP!$B$2:$B$753,A336)</f>
        <v>1134.36</v>
      </c>
      <c r="G336" s="18" t="n">
        <f aca="false">MAX(F336-D336,0)</f>
        <v>0</v>
      </c>
      <c r="H336" s="16" t="str">
        <f aca="false">IF(E336&gt;1,"DUPLICATE - Review",IF(G336&gt;Assumptions!$B$6,"OVERPAID - Review","OK"))</f>
        <v>OK</v>
      </c>
    </row>
    <row r="337" customFormat="false" ht="15" hidden="false" customHeight="false" outlineLevel="0" collapsed="false">
      <c r="A337" s="16" t="str">
        <f aca="false">Vendor_Invoices_AP!A334</f>
        <v>INV30333</v>
      </c>
      <c r="B337" s="16" t="str">
        <f aca="false">Vendor_Invoices_AP!C334</f>
        <v>V1034</v>
      </c>
      <c r="C337" s="16" t="str">
        <f aca="false">IFERROR(INDEX(Vendor_Master!$B$2:$B$41,MATCH(B337,Vendor_Master!$A$2:$A$41,0)),"Unknown Vendor")</f>
        <v>Koch-Decker</v>
      </c>
      <c r="D337" s="18" t="n">
        <f aca="false">Vendor_Invoices_AP!E334</f>
        <v>15734.46</v>
      </c>
      <c r="E337" s="16" t="n">
        <f aca="false">COUNTIF(Payment_Log_AP!$B$2:$B$753,A337)</f>
        <v>0</v>
      </c>
      <c r="F337" s="18" t="n">
        <f aca="false">SUMIFS(Payment_Log_AP!$E$2:$E$753,Payment_Log_AP!$B$2:$B$753,A337)</f>
        <v>0</v>
      </c>
      <c r="G337" s="18" t="n">
        <f aca="false">MAX(F337-D337,0)</f>
        <v>0</v>
      </c>
      <c r="H337" s="16" t="str">
        <f aca="false">IF(E337&gt;1,"DUPLICATE - Review",IF(G337&gt;Assumptions!$B$6,"OVERPAID - Review","OK"))</f>
        <v>OK</v>
      </c>
    </row>
    <row r="338" customFormat="false" ht="15" hidden="false" customHeight="false" outlineLevel="0" collapsed="false">
      <c r="A338" s="16" t="str">
        <f aca="false">Vendor_Invoices_AP!A335</f>
        <v>INV30334</v>
      </c>
      <c r="B338" s="16" t="str">
        <f aca="false">Vendor_Invoices_AP!C335</f>
        <v>V1016</v>
      </c>
      <c r="C338" s="16" t="str">
        <f aca="false">IFERROR(INDEX(Vendor_Master!$B$2:$B$41,MATCH(B338,Vendor_Master!$A$2:$A$41,0)),"Unknown Vendor")</f>
        <v>Sanchez, Ford and Nelson</v>
      </c>
      <c r="D338" s="18" t="n">
        <f aca="false">Vendor_Invoices_AP!E335</f>
        <v>1731.84</v>
      </c>
      <c r="E338" s="16" t="n">
        <f aca="false">COUNTIF(Payment_Log_AP!$B$2:$B$753,A338)</f>
        <v>0</v>
      </c>
      <c r="F338" s="18" t="n">
        <f aca="false">SUMIFS(Payment_Log_AP!$E$2:$E$753,Payment_Log_AP!$B$2:$B$753,A338)</f>
        <v>0</v>
      </c>
      <c r="G338" s="18" t="n">
        <f aca="false">MAX(F338-D338,0)</f>
        <v>0</v>
      </c>
      <c r="H338" s="16" t="str">
        <f aca="false">IF(E338&gt;1,"DUPLICATE - Review",IF(G338&gt;Assumptions!$B$6,"OVERPAID - Review","OK"))</f>
        <v>OK</v>
      </c>
    </row>
    <row r="339" customFormat="false" ht="15" hidden="false" customHeight="false" outlineLevel="0" collapsed="false">
      <c r="A339" s="16" t="str">
        <f aca="false">Vendor_Invoices_AP!A336</f>
        <v>INV30335</v>
      </c>
      <c r="B339" s="16" t="str">
        <f aca="false">Vendor_Invoices_AP!C336</f>
        <v>V1022</v>
      </c>
      <c r="C339" s="16" t="str">
        <f aca="false">IFERROR(INDEX(Vendor_Master!$B$2:$B$41,MATCH(B339,Vendor_Master!$A$2:$A$41,0)),"Unknown Vendor")</f>
        <v>Burgess-Patterson</v>
      </c>
      <c r="D339" s="18" t="n">
        <f aca="false">Vendor_Invoices_AP!E336</f>
        <v>861.14</v>
      </c>
      <c r="E339" s="16" t="n">
        <f aca="false">COUNTIF(Payment_Log_AP!$B$2:$B$753,A339)</f>
        <v>0</v>
      </c>
      <c r="F339" s="18" t="n">
        <f aca="false">SUMIFS(Payment_Log_AP!$E$2:$E$753,Payment_Log_AP!$B$2:$B$753,A339)</f>
        <v>0</v>
      </c>
      <c r="G339" s="18" t="n">
        <f aca="false">MAX(F339-D339,0)</f>
        <v>0</v>
      </c>
      <c r="H339" s="16" t="str">
        <f aca="false">IF(E339&gt;1,"DUPLICATE - Review",IF(G339&gt;Assumptions!$B$6,"OVERPAID - Review","OK"))</f>
        <v>OK</v>
      </c>
    </row>
    <row r="340" customFormat="false" ht="15" hidden="false" customHeight="false" outlineLevel="0" collapsed="false">
      <c r="A340" s="16" t="str">
        <f aca="false">Vendor_Invoices_AP!A337</f>
        <v>INV30336</v>
      </c>
      <c r="B340" s="16" t="str">
        <f aca="false">Vendor_Invoices_AP!C337</f>
        <v>V1009</v>
      </c>
      <c r="C340" s="16" t="str">
        <f aca="false">IFERROR(INDEX(Vendor_Master!$B$2:$B$41,MATCH(B340,Vendor_Master!$A$2:$A$41,0)),"Unknown Vendor")</f>
        <v>Munoz-Roman</v>
      </c>
      <c r="D340" s="18" t="n">
        <f aca="false">Vendor_Invoices_AP!E337</f>
        <v>4424.59</v>
      </c>
      <c r="E340" s="16" t="n">
        <f aca="false">COUNTIF(Payment_Log_AP!$B$2:$B$753,A340)</f>
        <v>1</v>
      </c>
      <c r="F340" s="18" t="n">
        <f aca="false">SUMIFS(Payment_Log_AP!$E$2:$E$753,Payment_Log_AP!$B$2:$B$753,A340)</f>
        <v>4424.59</v>
      </c>
      <c r="G340" s="18" t="n">
        <f aca="false">MAX(F340-D340,0)</f>
        <v>0</v>
      </c>
      <c r="H340" s="16" t="str">
        <f aca="false">IF(E340&gt;1,"DUPLICATE - Review",IF(G340&gt;Assumptions!$B$6,"OVERPAID - Review","OK"))</f>
        <v>OK</v>
      </c>
    </row>
    <row r="341" customFormat="false" ht="15" hidden="false" customHeight="false" outlineLevel="0" collapsed="false">
      <c r="A341" s="16" t="str">
        <f aca="false">Vendor_Invoices_AP!A338</f>
        <v>INV30337</v>
      </c>
      <c r="B341" s="16" t="str">
        <f aca="false">Vendor_Invoices_AP!C338</f>
        <v>V1014</v>
      </c>
      <c r="C341" s="16" t="str">
        <f aca="false">IFERROR(INDEX(Vendor_Master!$B$2:$B$41,MATCH(B341,Vendor_Master!$A$2:$A$41,0)),"Unknown Vendor")</f>
        <v>Flowers, Martin and Kelly</v>
      </c>
      <c r="D341" s="18" t="n">
        <f aca="false">Vendor_Invoices_AP!E338</f>
        <v>2063.03</v>
      </c>
      <c r="E341" s="16" t="n">
        <f aca="false">COUNTIF(Payment_Log_AP!$B$2:$B$753,A341)</f>
        <v>0</v>
      </c>
      <c r="F341" s="18" t="n">
        <f aca="false">SUMIFS(Payment_Log_AP!$E$2:$E$753,Payment_Log_AP!$B$2:$B$753,A341)</f>
        <v>0</v>
      </c>
      <c r="G341" s="18" t="n">
        <f aca="false">MAX(F341-D341,0)</f>
        <v>0</v>
      </c>
      <c r="H341" s="16" t="str">
        <f aca="false">IF(E341&gt;1,"DUPLICATE - Review",IF(G341&gt;Assumptions!$B$6,"OVERPAID - Review","OK"))</f>
        <v>OK</v>
      </c>
    </row>
    <row r="342" customFormat="false" ht="15" hidden="false" customHeight="false" outlineLevel="0" collapsed="false">
      <c r="A342" s="16" t="str">
        <f aca="false">Vendor_Invoices_AP!A339</f>
        <v>INV30338</v>
      </c>
      <c r="B342" s="16" t="str">
        <f aca="false">Vendor_Invoices_AP!C339</f>
        <v>V1006</v>
      </c>
      <c r="C342" s="16" t="str">
        <f aca="false">IFERROR(INDEX(Vendor_Master!$B$2:$B$41,MATCH(B342,Vendor_Master!$A$2:$A$41,0)),"Unknown Vendor")</f>
        <v>Blake and Sons</v>
      </c>
      <c r="D342" s="18" t="n">
        <f aca="false">Vendor_Invoices_AP!E339</f>
        <v>606.42</v>
      </c>
      <c r="E342" s="16" t="n">
        <f aca="false">COUNTIF(Payment_Log_AP!$B$2:$B$753,A342)</f>
        <v>1</v>
      </c>
      <c r="F342" s="18" t="n">
        <f aca="false">SUMIFS(Payment_Log_AP!$E$2:$E$753,Payment_Log_AP!$B$2:$B$753,A342)</f>
        <v>606.42</v>
      </c>
      <c r="G342" s="18" t="n">
        <f aca="false">MAX(F342-D342,0)</f>
        <v>0</v>
      </c>
      <c r="H342" s="16" t="str">
        <f aca="false">IF(E342&gt;1,"DUPLICATE - Review",IF(G342&gt;Assumptions!$B$6,"OVERPAID - Review","OK"))</f>
        <v>OK</v>
      </c>
    </row>
    <row r="343" customFormat="false" ht="15" hidden="false" customHeight="false" outlineLevel="0" collapsed="false">
      <c r="A343" s="16" t="str">
        <f aca="false">Vendor_Invoices_AP!A340</f>
        <v>INV30339</v>
      </c>
      <c r="B343" s="16" t="str">
        <f aca="false">Vendor_Invoices_AP!C340</f>
        <v>V1002</v>
      </c>
      <c r="C343" s="16" t="str">
        <f aca="false">IFERROR(INDEX(Vendor_Master!$B$2:$B$41,MATCH(B343,Vendor_Master!$A$2:$A$41,0)),"Unknown Vendor")</f>
        <v>Garcia, Yang and Gardner</v>
      </c>
      <c r="D343" s="18" t="n">
        <f aca="false">Vendor_Invoices_AP!E340</f>
        <v>1652.62</v>
      </c>
      <c r="E343" s="16" t="n">
        <f aca="false">COUNTIF(Payment_Log_AP!$B$2:$B$753,A343)</f>
        <v>1</v>
      </c>
      <c r="F343" s="18" t="n">
        <f aca="false">SUMIFS(Payment_Log_AP!$E$2:$E$753,Payment_Log_AP!$B$2:$B$753,A343)</f>
        <v>1652.62</v>
      </c>
      <c r="G343" s="18" t="n">
        <f aca="false">MAX(F343-D343,0)</f>
        <v>0</v>
      </c>
      <c r="H343" s="16" t="str">
        <f aca="false">IF(E343&gt;1,"DUPLICATE - Review",IF(G343&gt;Assumptions!$B$6,"OVERPAID - Review","OK"))</f>
        <v>OK</v>
      </c>
    </row>
    <row r="344" customFormat="false" ht="15" hidden="false" customHeight="false" outlineLevel="0" collapsed="false">
      <c r="A344" s="16" t="str">
        <f aca="false">Vendor_Invoices_AP!A341</f>
        <v>INV30340</v>
      </c>
      <c r="B344" s="16" t="str">
        <f aca="false">Vendor_Invoices_AP!C341</f>
        <v>V1012</v>
      </c>
      <c r="C344" s="16" t="str">
        <f aca="false">IFERROR(INDEX(Vendor_Master!$B$2:$B$41,MATCH(B344,Vendor_Master!$A$2:$A$41,0)),"Unknown Vendor")</f>
        <v>Stanley LLC</v>
      </c>
      <c r="D344" s="18" t="n">
        <f aca="false">Vendor_Invoices_AP!E341</f>
        <v>609.35</v>
      </c>
      <c r="E344" s="16" t="n">
        <f aca="false">COUNTIF(Payment_Log_AP!$B$2:$B$753,A344)</f>
        <v>1</v>
      </c>
      <c r="F344" s="18" t="n">
        <f aca="false">SUMIFS(Payment_Log_AP!$E$2:$E$753,Payment_Log_AP!$B$2:$B$753,A344)</f>
        <v>609.35</v>
      </c>
      <c r="G344" s="18" t="n">
        <f aca="false">MAX(F344-D344,0)</f>
        <v>0</v>
      </c>
      <c r="H344" s="16" t="str">
        <f aca="false">IF(E344&gt;1,"DUPLICATE - Review",IF(G344&gt;Assumptions!$B$6,"OVERPAID - Review","OK"))</f>
        <v>OK</v>
      </c>
    </row>
    <row r="345" customFormat="false" ht="15" hidden="false" customHeight="false" outlineLevel="0" collapsed="false">
      <c r="A345" s="16" t="str">
        <f aca="false">Vendor_Invoices_AP!A342</f>
        <v>INV30341</v>
      </c>
      <c r="B345" s="16" t="str">
        <f aca="false">Vendor_Invoices_AP!C342</f>
        <v>V1011</v>
      </c>
      <c r="C345" s="16" t="str">
        <f aca="false">IFERROR(INDEX(Vendor_Master!$B$2:$B$41,MATCH(B345,Vendor_Master!$A$2:$A$41,0)),"Unknown Vendor")</f>
        <v>Montgomery, Hensley and Ray</v>
      </c>
      <c r="D345" s="18" t="n">
        <f aca="false">Vendor_Invoices_AP!E342</f>
        <v>1216.45</v>
      </c>
      <c r="E345" s="16" t="n">
        <f aca="false">COUNTIF(Payment_Log_AP!$B$2:$B$753,A345)</f>
        <v>1</v>
      </c>
      <c r="F345" s="18" t="n">
        <f aca="false">SUMIFS(Payment_Log_AP!$E$2:$E$753,Payment_Log_AP!$B$2:$B$753,A345)</f>
        <v>1216.45</v>
      </c>
      <c r="G345" s="18" t="n">
        <f aca="false">MAX(F345-D345,0)</f>
        <v>0</v>
      </c>
      <c r="H345" s="16" t="str">
        <f aca="false">IF(E345&gt;1,"DUPLICATE - Review",IF(G345&gt;Assumptions!$B$6,"OVERPAID - Review","OK"))</f>
        <v>OK</v>
      </c>
    </row>
    <row r="346" customFormat="false" ht="15" hidden="false" customHeight="false" outlineLevel="0" collapsed="false">
      <c r="A346" s="16" t="str">
        <f aca="false">Vendor_Invoices_AP!A343</f>
        <v>INV30342</v>
      </c>
      <c r="B346" s="16" t="str">
        <f aca="false">Vendor_Invoices_AP!C343</f>
        <v>V1037</v>
      </c>
      <c r="C346" s="16" t="str">
        <f aca="false">IFERROR(INDEX(Vendor_Master!$B$2:$B$41,MATCH(B346,Vendor_Master!$A$2:$A$41,0)),"Unknown Vendor")</f>
        <v>Cannon, Anderson and Alvarez</v>
      </c>
      <c r="D346" s="18" t="n">
        <f aca="false">Vendor_Invoices_AP!E343</f>
        <v>3585.97</v>
      </c>
      <c r="E346" s="16" t="n">
        <f aca="false">COUNTIF(Payment_Log_AP!$B$2:$B$753,A346)</f>
        <v>1</v>
      </c>
      <c r="F346" s="18" t="n">
        <f aca="false">SUMIFS(Payment_Log_AP!$E$2:$E$753,Payment_Log_AP!$B$2:$B$753,A346)</f>
        <v>3585.97</v>
      </c>
      <c r="G346" s="18" t="n">
        <f aca="false">MAX(F346-D346,0)</f>
        <v>0</v>
      </c>
      <c r="H346" s="16" t="str">
        <f aca="false">IF(E346&gt;1,"DUPLICATE - Review",IF(G346&gt;Assumptions!$B$6,"OVERPAID - Review","OK"))</f>
        <v>OK</v>
      </c>
    </row>
    <row r="347" customFormat="false" ht="15" hidden="false" customHeight="false" outlineLevel="0" collapsed="false">
      <c r="A347" s="16" t="str">
        <f aca="false">Vendor_Invoices_AP!A344</f>
        <v>INV30343</v>
      </c>
      <c r="B347" s="16" t="str">
        <f aca="false">Vendor_Invoices_AP!C344</f>
        <v>V1037</v>
      </c>
      <c r="C347" s="16" t="str">
        <f aca="false">IFERROR(INDEX(Vendor_Master!$B$2:$B$41,MATCH(B347,Vendor_Master!$A$2:$A$41,0)),"Unknown Vendor")</f>
        <v>Cannon, Anderson and Alvarez</v>
      </c>
      <c r="D347" s="18" t="n">
        <f aca="false">Vendor_Invoices_AP!E344</f>
        <v>10917.62</v>
      </c>
      <c r="E347" s="16" t="n">
        <f aca="false">COUNTIF(Payment_Log_AP!$B$2:$B$753,A347)</f>
        <v>0</v>
      </c>
      <c r="F347" s="18" t="n">
        <f aca="false">SUMIFS(Payment_Log_AP!$E$2:$E$753,Payment_Log_AP!$B$2:$B$753,A347)</f>
        <v>0</v>
      </c>
      <c r="G347" s="18" t="n">
        <f aca="false">MAX(F347-D347,0)</f>
        <v>0</v>
      </c>
      <c r="H347" s="16" t="str">
        <f aca="false">IF(E347&gt;1,"DUPLICATE - Review",IF(G347&gt;Assumptions!$B$6,"OVERPAID - Review","OK"))</f>
        <v>OK</v>
      </c>
    </row>
    <row r="348" customFormat="false" ht="15" hidden="false" customHeight="false" outlineLevel="0" collapsed="false">
      <c r="A348" s="16" t="str">
        <f aca="false">Vendor_Invoices_AP!A345</f>
        <v>INV30344</v>
      </c>
      <c r="B348" s="16" t="str">
        <f aca="false">Vendor_Invoices_AP!C345</f>
        <v>V1006</v>
      </c>
      <c r="C348" s="16" t="str">
        <f aca="false">IFERROR(INDEX(Vendor_Master!$B$2:$B$41,MATCH(B348,Vendor_Master!$A$2:$A$41,0)),"Unknown Vendor")</f>
        <v>Blake and Sons</v>
      </c>
      <c r="D348" s="18" t="n">
        <f aca="false">Vendor_Invoices_AP!E345</f>
        <v>5413.88</v>
      </c>
      <c r="E348" s="16" t="n">
        <f aca="false">COUNTIF(Payment_Log_AP!$B$2:$B$753,A348)</f>
        <v>1</v>
      </c>
      <c r="F348" s="18" t="n">
        <f aca="false">SUMIFS(Payment_Log_AP!$E$2:$E$753,Payment_Log_AP!$B$2:$B$753,A348)</f>
        <v>5413.88</v>
      </c>
      <c r="G348" s="18" t="n">
        <f aca="false">MAX(F348-D348,0)</f>
        <v>0</v>
      </c>
      <c r="H348" s="16" t="str">
        <f aca="false">IF(E348&gt;1,"DUPLICATE - Review",IF(G348&gt;Assumptions!$B$6,"OVERPAID - Review","OK"))</f>
        <v>OK</v>
      </c>
    </row>
    <row r="349" customFormat="false" ht="15" hidden="false" customHeight="false" outlineLevel="0" collapsed="false">
      <c r="A349" s="16" t="str">
        <f aca="false">Vendor_Invoices_AP!A346</f>
        <v>INV30345</v>
      </c>
      <c r="B349" s="16" t="str">
        <f aca="false">Vendor_Invoices_AP!C346</f>
        <v>V1029</v>
      </c>
      <c r="C349" s="16" t="str">
        <f aca="false">IFERROR(INDEX(Vendor_Master!$B$2:$B$41,MATCH(B349,Vendor_Master!$A$2:$A$41,0)),"Unknown Vendor")</f>
        <v>Chavez Ltd</v>
      </c>
      <c r="D349" s="18" t="n">
        <f aca="false">Vendor_Invoices_AP!E346</f>
        <v>4075.62</v>
      </c>
      <c r="E349" s="16" t="n">
        <f aca="false">COUNTIF(Payment_Log_AP!$B$2:$B$753,A349)</f>
        <v>1</v>
      </c>
      <c r="F349" s="18" t="n">
        <f aca="false">SUMIFS(Payment_Log_AP!$E$2:$E$753,Payment_Log_AP!$B$2:$B$753,A349)</f>
        <v>4075.62</v>
      </c>
      <c r="G349" s="18" t="n">
        <f aca="false">MAX(F349-D349,0)</f>
        <v>0</v>
      </c>
      <c r="H349" s="16" t="str">
        <f aca="false">IF(E349&gt;1,"DUPLICATE - Review",IF(G349&gt;Assumptions!$B$6,"OVERPAID - Review","OK"))</f>
        <v>OK</v>
      </c>
    </row>
    <row r="350" customFormat="false" ht="15" hidden="false" customHeight="false" outlineLevel="0" collapsed="false">
      <c r="A350" s="16" t="str">
        <f aca="false">Vendor_Invoices_AP!A347</f>
        <v>INV30346</v>
      </c>
      <c r="B350" s="16" t="str">
        <f aca="false">Vendor_Invoices_AP!C347</f>
        <v>V1037</v>
      </c>
      <c r="C350" s="16" t="str">
        <f aca="false">IFERROR(INDEX(Vendor_Master!$B$2:$B$41,MATCH(B350,Vendor_Master!$A$2:$A$41,0)),"Unknown Vendor")</f>
        <v>Cannon, Anderson and Alvarez</v>
      </c>
      <c r="D350" s="18" t="n">
        <f aca="false">Vendor_Invoices_AP!E347</f>
        <v>674.21</v>
      </c>
      <c r="E350" s="16" t="n">
        <f aca="false">COUNTIF(Payment_Log_AP!$B$2:$B$753,A350)</f>
        <v>1</v>
      </c>
      <c r="F350" s="18" t="n">
        <f aca="false">SUMIFS(Payment_Log_AP!$E$2:$E$753,Payment_Log_AP!$B$2:$B$753,A350)</f>
        <v>674.21</v>
      </c>
      <c r="G350" s="18" t="n">
        <f aca="false">MAX(F350-D350,0)</f>
        <v>0</v>
      </c>
      <c r="H350" s="16" t="str">
        <f aca="false">IF(E350&gt;1,"DUPLICATE - Review",IF(G350&gt;Assumptions!$B$6,"OVERPAID - Review","OK"))</f>
        <v>OK</v>
      </c>
    </row>
    <row r="351" customFormat="false" ht="15" hidden="false" customHeight="false" outlineLevel="0" collapsed="false">
      <c r="A351" s="16" t="str">
        <f aca="false">Vendor_Invoices_AP!A348</f>
        <v>INV30347</v>
      </c>
      <c r="B351" s="16" t="str">
        <f aca="false">Vendor_Invoices_AP!C348</f>
        <v>V1007</v>
      </c>
      <c r="C351" s="16" t="str">
        <f aca="false">IFERROR(INDEX(Vendor_Master!$B$2:$B$41,MATCH(B351,Vendor_Master!$A$2:$A$41,0)),"Unknown Vendor")</f>
        <v>Ramirez-Lewis</v>
      </c>
      <c r="D351" s="18" t="n">
        <f aca="false">Vendor_Invoices_AP!E348</f>
        <v>1314.98</v>
      </c>
      <c r="E351" s="16" t="n">
        <f aca="false">COUNTIF(Payment_Log_AP!$B$2:$B$753,A351)</f>
        <v>1</v>
      </c>
      <c r="F351" s="18" t="n">
        <f aca="false">SUMIFS(Payment_Log_AP!$E$2:$E$753,Payment_Log_AP!$B$2:$B$753,A351)</f>
        <v>1314.98</v>
      </c>
      <c r="G351" s="18" t="n">
        <f aca="false">MAX(F351-D351,0)</f>
        <v>0</v>
      </c>
      <c r="H351" s="16" t="str">
        <f aca="false">IF(E351&gt;1,"DUPLICATE - Review",IF(G351&gt;Assumptions!$B$6,"OVERPAID - Review","OK"))</f>
        <v>OK</v>
      </c>
    </row>
    <row r="352" customFormat="false" ht="15" hidden="false" customHeight="false" outlineLevel="0" collapsed="false">
      <c r="A352" s="16" t="str">
        <f aca="false">Vendor_Invoices_AP!A349</f>
        <v>INV30348</v>
      </c>
      <c r="B352" s="16" t="str">
        <f aca="false">Vendor_Invoices_AP!C349</f>
        <v>V1007</v>
      </c>
      <c r="C352" s="16" t="str">
        <f aca="false">IFERROR(INDEX(Vendor_Master!$B$2:$B$41,MATCH(B352,Vendor_Master!$A$2:$A$41,0)),"Unknown Vendor")</f>
        <v>Ramirez-Lewis</v>
      </c>
      <c r="D352" s="18" t="n">
        <f aca="false">Vendor_Invoices_AP!E349</f>
        <v>1314.98</v>
      </c>
      <c r="E352" s="16" t="n">
        <f aca="false">COUNTIF(Payment_Log_AP!$B$2:$B$753,A352)</f>
        <v>1</v>
      </c>
      <c r="F352" s="18" t="n">
        <f aca="false">SUMIFS(Payment_Log_AP!$E$2:$E$753,Payment_Log_AP!$B$2:$B$753,A352)</f>
        <v>1314.98</v>
      </c>
      <c r="G352" s="18" t="n">
        <f aca="false">MAX(F352-D352,0)</f>
        <v>0</v>
      </c>
      <c r="H352" s="16" t="str">
        <f aca="false">IF(E352&gt;1,"DUPLICATE - Review",IF(G352&gt;Assumptions!$B$6,"OVERPAID - Review","OK"))</f>
        <v>OK</v>
      </c>
    </row>
    <row r="353" customFormat="false" ht="15" hidden="false" customHeight="false" outlineLevel="0" collapsed="false">
      <c r="A353" s="16" t="str">
        <f aca="false">Vendor_Invoices_AP!A350</f>
        <v>INV30349</v>
      </c>
      <c r="B353" s="16" t="str">
        <f aca="false">Vendor_Invoices_AP!C350</f>
        <v>V1040</v>
      </c>
      <c r="C353" s="16" t="str">
        <f aca="false">IFERROR(INDEX(Vendor_Master!$B$2:$B$41,MATCH(B353,Vendor_Master!$A$2:$A$41,0)),"Unknown Vendor")</f>
        <v>Santos, Kim and Holmes</v>
      </c>
      <c r="D353" s="18" t="n">
        <f aca="false">Vendor_Invoices_AP!E350</f>
        <v>499.83</v>
      </c>
      <c r="E353" s="16" t="n">
        <f aca="false">COUNTIF(Payment_Log_AP!$B$2:$B$753,A353)</f>
        <v>0</v>
      </c>
      <c r="F353" s="18" t="n">
        <f aca="false">SUMIFS(Payment_Log_AP!$E$2:$E$753,Payment_Log_AP!$B$2:$B$753,A353)</f>
        <v>0</v>
      </c>
      <c r="G353" s="18" t="n">
        <f aca="false">MAX(F353-D353,0)</f>
        <v>0</v>
      </c>
      <c r="H353" s="16" t="str">
        <f aca="false">IF(E353&gt;1,"DUPLICATE - Review",IF(G353&gt;Assumptions!$B$6,"OVERPAID - Review","OK"))</f>
        <v>OK</v>
      </c>
    </row>
    <row r="354" customFormat="false" ht="15" hidden="false" customHeight="false" outlineLevel="0" collapsed="false">
      <c r="A354" s="16" t="str">
        <f aca="false">Vendor_Invoices_AP!A351</f>
        <v>INV30350</v>
      </c>
      <c r="B354" s="16" t="str">
        <f aca="false">Vendor_Invoices_AP!C351</f>
        <v>V1040</v>
      </c>
      <c r="C354" s="16" t="str">
        <f aca="false">IFERROR(INDEX(Vendor_Master!$B$2:$B$41,MATCH(B354,Vendor_Master!$A$2:$A$41,0)),"Unknown Vendor")</f>
        <v>Santos, Kim and Holmes</v>
      </c>
      <c r="D354" s="18" t="n">
        <f aca="false">Vendor_Invoices_AP!E351</f>
        <v>427.04</v>
      </c>
      <c r="E354" s="16" t="n">
        <f aca="false">COUNTIF(Payment_Log_AP!$B$2:$B$753,A354)</f>
        <v>1</v>
      </c>
      <c r="F354" s="18" t="n">
        <f aca="false">SUMIFS(Payment_Log_AP!$E$2:$E$753,Payment_Log_AP!$B$2:$B$753,A354)</f>
        <v>427.04</v>
      </c>
      <c r="G354" s="18" t="n">
        <f aca="false">MAX(F354-D354,0)</f>
        <v>0</v>
      </c>
      <c r="H354" s="16" t="str">
        <f aca="false">IF(E354&gt;1,"DUPLICATE - Review",IF(G354&gt;Assumptions!$B$6,"OVERPAID - Review","OK"))</f>
        <v>OK</v>
      </c>
    </row>
    <row r="355" customFormat="false" ht="15" hidden="false" customHeight="false" outlineLevel="0" collapsed="false">
      <c r="A355" s="16" t="str">
        <f aca="false">Vendor_Invoices_AP!A352</f>
        <v>INV30351</v>
      </c>
      <c r="B355" s="16" t="str">
        <f aca="false">Vendor_Invoices_AP!C352</f>
        <v>V1040</v>
      </c>
      <c r="C355" s="16" t="str">
        <f aca="false">IFERROR(INDEX(Vendor_Master!$B$2:$B$41,MATCH(B355,Vendor_Master!$A$2:$A$41,0)),"Unknown Vendor")</f>
        <v>Santos, Kim and Holmes</v>
      </c>
      <c r="D355" s="18" t="n">
        <f aca="false">Vendor_Invoices_AP!E352</f>
        <v>427.04</v>
      </c>
      <c r="E355" s="16" t="n">
        <f aca="false">COUNTIF(Payment_Log_AP!$B$2:$B$753,A355)</f>
        <v>1</v>
      </c>
      <c r="F355" s="18" t="n">
        <f aca="false">SUMIFS(Payment_Log_AP!$E$2:$E$753,Payment_Log_AP!$B$2:$B$753,A355)</f>
        <v>427.04</v>
      </c>
      <c r="G355" s="18" t="n">
        <f aca="false">MAX(F355-D355,0)</f>
        <v>0</v>
      </c>
      <c r="H355" s="16" t="str">
        <f aca="false">IF(E355&gt;1,"DUPLICATE - Review",IF(G355&gt;Assumptions!$B$6,"OVERPAID - Review","OK"))</f>
        <v>OK</v>
      </c>
    </row>
    <row r="356" customFormat="false" ht="15" hidden="false" customHeight="false" outlineLevel="0" collapsed="false">
      <c r="A356" s="16" t="str">
        <f aca="false">Vendor_Invoices_AP!A353</f>
        <v>INV30352</v>
      </c>
      <c r="B356" s="16" t="str">
        <f aca="false">Vendor_Invoices_AP!C353</f>
        <v>V1003</v>
      </c>
      <c r="C356" s="16" t="str">
        <f aca="false">IFERROR(INDEX(Vendor_Master!$B$2:$B$41,MATCH(B356,Vendor_Master!$A$2:$A$41,0)),"Unknown Vendor")</f>
        <v>Johnson and Sons</v>
      </c>
      <c r="D356" s="18" t="n">
        <f aca="false">Vendor_Invoices_AP!E353</f>
        <v>1109.9</v>
      </c>
      <c r="E356" s="16" t="n">
        <f aca="false">COUNTIF(Payment_Log_AP!$B$2:$B$753,A356)</f>
        <v>1</v>
      </c>
      <c r="F356" s="18" t="n">
        <f aca="false">SUMIFS(Payment_Log_AP!$E$2:$E$753,Payment_Log_AP!$B$2:$B$753,A356)</f>
        <v>1109.9</v>
      </c>
      <c r="G356" s="18" t="n">
        <f aca="false">MAX(F356-D356,0)</f>
        <v>0</v>
      </c>
      <c r="H356" s="16" t="str">
        <f aca="false">IF(E356&gt;1,"DUPLICATE - Review",IF(G356&gt;Assumptions!$B$6,"OVERPAID - Review","OK"))</f>
        <v>OK</v>
      </c>
    </row>
    <row r="357" customFormat="false" ht="15" hidden="false" customHeight="false" outlineLevel="0" collapsed="false">
      <c r="A357" s="16" t="str">
        <f aca="false">Vendor_Invoices_AP!A354</f>
        <v>INV30353</v>
      </c>
      <c r="B357" s="16" t="str">
        <f aca="false">Vendor_Invoices_AP!C354</f>
        <v>V1001</v>
      </c>
      <c r="C357" s="16" t="str">
        <f aca="false">IFERROR(INDEX(Vendor_Master!$B$2:$B$41,MATCH(B357,Vendor_Master!$A$2:$A$41,0)),"Unknown Vendor")</f>
        <v>Figueroa and Sons</v>
      </c>
      <c r="D357" s="18" t="n">
        <f aca="false">Vendor_Invoices_AP!E354</f>
        <v>3284.61</v>
      </c>
      <c r="E357" s="16" t="n">
        <f aca="false">COUNTIF(Payment_Log_AP!$B$2:$B$753,A357)</f>
        <v>1</v>
      </c>
      <c r="F357" s="18" t="n">
        <f aca="false">SUMIFS(Payment_Log_AP!$E$2:$E$753,Payment_Log_AP!$B$2:$B$753,A357)</f>
        <v>3284.61</v>
      </c>
      <c r="G357" s="18" t="n">
        <f aca="false">MAX(F357-D357,0)</f>
        <v>0</v>
      </c>
      <c r="H357" s="16" t="str">
        <f aca="false">IF(E357&gt;1,"DUPLICATE - Review",IF(G357&gt;Assumptions!$B$6,"OVERPAID - Review","OK"))</f>
        <v>OK</v>
      </c>
    </row>
    <row r="358" customFormat="false" ht="15" hidden="false" customHeight="false" outlineLevel="0" collapsed="false">
      <c r="A358" s="16" t="str">
        <f aca="false">Vendor_Invoices_AP!A355</f>
        <v>INV30354</v>
      </c>
      <c r="B358" s="16" t="str">
        <f aca="false">Vendor_Invoices_AP!C355</f>
        <v>V1028</v>
      </c>
      <c r="C358" s="16" t="str">
        <f aca="false">IFERROR(INDEX(Vendor_Master!$B$2:$B$41,MATCH(B358,Vendor_Master!$A$2:$A$41,0)),"Unknown Vendor")</f>
        <v>Potter, Mack and Peterson</v>
      </c>
      <c r="D358" s="18" t="n">
        <f aca="false">Vendor_Invoices_AP!E355</f>
        <v>2187.07</v>
      </c>
      <c r="E358" s="16" t="n">
        <f aca="false">COUNTIF(Payment_Log_AP!$B$2:$B$753,A358)</f>
        <v>1</v>
      </c>
      <c r="F358" s="18" t="n">
        <f aca="false">SUMIFS(Payment_Log_AP!$E$2:$E$753,Payment_Log_AP!$B$2:$B$753,A358)</f>
        <v>2187.07</v>
      </c>
      <c r="G358" s="18" t="n">
        <f aca="false">MAX(F358-D358,0)</f>
        <v>0</v>
      </c>
      <c r="H358" s="16" t="str">
        <f aca="false">IF(E358&gt;1,"DUPLICATE - Review",IF(G358&gt;Assumptions!$B$6,"OVERPAID - Review","OK"))</f>
        <v>OK</v>
      </c>
    </row>
    <row r="359" customFormat="false" ht="15" hidden="false" customHeight="false" outlineLevel="0" collapsed="false">
      <c r="A359" s="16" t="str">
        <f aca="false">Vendor_Invoices_AP!A356</f>
        <v>INV30355</v>
      </c>
      <c r="B359" s="16" t="str">
        <f aca="false">Vendor_Invoices_AP!C356</f>
        <v>V1026</v>
      </c>
      <c r="C359" s="16" t="str">
        <f aca="false">IFERROR(INDEX(Vendor_Master!$B$2:$B$41,MATCH(B359,Vendor_Master!$A$2:$A$41,0)),"Unknown Vendor")</f>
        <v>James-Ferrell</v>
      </c>
      <c r="D359" s="18" t="n">
        <f aca="false">Vendor_Invoices_AP!E356</f>
        <v>4407.35</v>
      </c>
      <c r="E359" s="16" t="n">
        <f aca="false">COUNTIF(Payment_Log_AP!$B$2:$B$753,A359)</f>
        <v>1</v>
      </c>
      <c r="F359" s="18" t="n">
        <f aca="false">SUMIFS(Payment_Log_AP!$E$2:$E$753,Payment_Log_AP!$B$2:$B$753,A359)</f>
        <v>4407.35</v>
      </c>
      <c r="G359" s="18" t="n">
        <f aca="false">MAX(F359-D359,0)</f>
        <v>0</v>
      </c>
      <c r="H359" s="16" t="str">
        <f aca="false">IF(E359&gt;1,"DUPLICATE - Review",IF(G359&gt;Assumptions!$B$6,"OVERPAID - Review","OK"))</f>
        <v>OK</v>
      </c>
    </row>
    <row r="360" customFormat="false" ht="15" hidden="false" customHeight="false" outlineLevel="0" collapsed="false">
      <c r="A360" s="16" t="str">
        <f aca="false">Vendor_Invoices_AP!A357</f>
        <v>INV30356</v>
      </c>
      <c r="B360" s="16" t="str">
        <f aca="false">Vendor_Invoices_AP!C357</f>
        <v>V1024</v>
      </c>
      <c r="C360" s="16" t="str">
        <f aca="false">IFERROR(INDEX(Vendor_Master!$B$2:$B$41,MATCH(B360,Vendor_Master!$A$2:$A$41,0)),"Unknown Vendor")</f>
        <v>Campos Inc</v>
      </c>
      <c r="D360" s="18" t="n">
        <f aca="false">Vendor_Invoices_AP!E357</f>
        <v>814.56</v>
      </c>
      <c r="E360" s="16" t="n">
        <f aca="false">COUNTIF(Payment_Log_AP!$B$2:$B$753,A360)</f>
        <v>1</v>
      </c>
      <c r="F360" s="18" t="n">
        <f aca="false">SUMIFS(Payment_Log_AP!$E$2:$E$753,Payment_Log_AP!$B$2:$B$753,A360)</f>
        <v>814.56</v>
      </c>
      <c r="G360" s="18" t="n">
        <f aca="false">MAX(F360-D360,0)</f>
        <v>0</v>
      </c>
      <c r="H360" s="16" t="str">
        <f aca="false">IF(E360&gt;1,"DUPLICATE - Review",IF(G360&gt;Assumptions!$B$6,"OVERPAID - Review","OK"))</f>
        <v>OK</v>
      </c>
    </row>
    <row r="361" customFormat="false" ht="15" hidden="false" customHeight="false" outlineLevel="0" collapsed="false">
      <c r="A361" s="16" t="str">
        <f aca="false">Vendor_Invoices_AP!A358</f>
        <v>INV30357</v>
      </c>
      <c r="B361" s="16" t="str">
        <f aca="false">Vendor_Invoices_AP!C358</f>
        <v>V1003</v>
      </c>
      <c r="C361" s="16" t="str">
        <f aca="false">IFERROR(INDEX(Vendor_Master!$B$2:$B$41,MATCH(B361,Vendor_Master!$A$2:$A$41,0)),"Unknown Vendor")</f>
        <v>Johnson and Sons</v>
      </c>
      <c r="D361" s="18" t="n">
        <f aca="false">Vendor_Invoices_AP!E358</f>
        <v>988.16</v>
      </c>
      <c r="E361" s="16" t="n">
        <f aca="false">COUNTIF(Payment_Log_AP!$B$2:$B$753,A361)</f>
        <v>1</v>
      </c>
      <c r="F361" s="18" t="n">
        <f aca="false">SUMIFS(Payment_Log_AP!$E$2:$E$753,Payment_Log_AP!$B$2:$B$753,A361)</f>
        <v>988.16</v>
      </c>
      <c r="G361" s="18" t="n">
        <f aca="false">MAX(F361-D361,0)</f>
        <v>0</v>
      </c>
      <c r="H361" s="16" t="str">
        <f aca="false">IF(E361&gt;1,"DUPLICATE - Review",IF(G361&gt;Assumptions!$B$6,"OVERPAID - Review","OK"))</f>
        <v>OK</v>
      </c>
    </row>
    <row r="362" customFormat="false" ht="15" hidden="false" customHeight="false" outlineLevel="0" collapsed="false">
      <c r="A362" s="16" t="str">
        <f aca="false">Vendor_Invoices_AP!A359</f>
        <v>INV30358</v>
      </c>
      <c r="B362" s="16" t="str">
        <f aca="false">Vendor_Invoices_AP!C359</f>
        <v>V1003</v>
      </c>
      <c r="C362" s="16" t="str">
        <f aca="false">IFERROR(INDEX(Vendor_Master!$B$2:$B$41,MATCH(B362,Vendor_Master!$A$2:$A$41,0)),"Unknown Vendor")</f>
        <v>Johnson and Sons</v>
      </c>
      <c r="D362" s="18" t="n">
        <f aca="false">Vendor_Invoices_AP!E359</f>
        <v>721.3</v>
      </c>
      <c r="E362" s="16" t="n">
        <f aca="false">COUNTIF(Payment_Log_AP!$B$2:$B$753,A362)</f>
        <v>1</v>
      </c>
      <c r="F362" s="18" t="n">
        <f aca="false">SUMIFS(Payment_Log_AP!$E$2:$E$753,Payment_Log_AP!$B$2:$B$753,A362)</f>
        <v>721.3</v>
      </c>
      <c r="G362" s="18" t="n">
        <f aca="false">MAX(F362-D362,0)</f>
        <v>0</v>
      </c>
      <c r="H362" s="16" t="str">
        <f aca="false">IF(E362&gt;1,"DUPLICATE - Review",IF(G362&gt;Assumptions!$B$6,"OVERPAID - Review","OK"))</f>
        <v>OK</v>
      </c>
    </row>
    <row r="363" customFormat="false" ht="15" hidden="false" customHeight="false" outlineLevel="0" collapsed="false">
      <c r="A363" s="16" t="str">
        <f aca="false">Vendor_Invoices_AP!A360</f>
        <v>INV30359</v>
      </c>
      <c r="B363" s="16" t="str">
        <f aca="false">Vendor_Invoices_AP!C360</f>
        <v>V1004</v>
      </c>
      <c r="C363" s="16" t="str">
        <f aca="false">IFERROR(INDEX(Vendor_Master!$B$2:$B$41,MATCH(B363,Vendor_Master!$A$2:$A$41,0)),"Unknown Vendor")</f>
        <v>Johnson, Gonzalez and Santos</v>
      </c>
      <c r="D363" s="18" t="n">
        <f aca="false">Vendor_Invoices_AP!E360</f>
        <v>5762.48</v>
      </c>
      <c r="E363" s="16" t="n">
        <f aca="false">COUNTIF(Payment_Log_AP!$B$2:$B$753,A363)</f>
        <v>1</v>
      </c>
      <c r="F363" s="18" t="n">
        <f aca="false">SUMIFS(Payment_Log_AP!$E$2:$E$753,Payment_Log_AP!$B$2:$B$753,A363)</f>
        <v>5762.48</v>
      </c>
      <c r="G363" s="18" t="n">
        <f aca="false">MAX(F363-D363,0)</f>
        <v>0</v>
      </c>
      <c r="H363" s="16" t="str">
        <f aca="false">IF(E363&gt;1,"DUPLICATE - Review",IF(G363&gt;Assumptions!$B$6,"OVERPAID - Review","OK"))</f>
        <v>OK</v>
      </c>
    </row>
    <row r="364" customFormat="false" ht="15" hidden="false" customHeight="false" outlineLevel="0" collapsed="false">
      <c r="A364" s="16" t="str">
        <f aca="false">Vendor_Invoices_AP!A361</f>
        <v>INV30360</v>
      </c>
      <c r="B364" s="16" t="str">
        <f aca="false">Vendor_Invoices_AP!C361</f>
        <v>V1005</v>
      </c>
      <c r="C364" s="16" t="str">
        <f aca="false">IFERROR(INDEX(Vendor_Master!$B$2:$B$41,MATCH(B364,Vendor_Master!$A$2:$A$41,0)),"Unknown Vendor")</f>
        <v>Cole LLC</v>
      </c>
      <c r="D364" s="18" t="n">
        <f aca="false">Vendor_Invoices_AP!E361</f>
        <v>3958.91</v>
      </c>
      <c r="E364" s="16" t="n">
        <f aca="false">COUNTIF(Payment_Log_AP!$B$2:$B$753,A364)</f>
        <v>1</v>
      </c>
      <c r="F364" s="18" t="n">
        <f aca="false">SUMIFS(Payment_Log_AP!$E$2:$E$753,Payment_Log_AP!$B$2:$B$753,A364)</f>
        <v>3958.91</v>
      </c>
      <c r="G364" s="18" t="n">
        <f aca="false">MAX(F364-D364,0)</f>
        <v>0</v>
      </c>
      <c r="H364" s="16" t="str">
        <f aca="false">IF(E364&gt;1,"DUPLICATE - Review",IF(G364&gt;Assumptions!$B$6,"OVERPAID - Review","OK"))</f>
        <v>OK</v>
      </c>
    </row>
    <row r="365" customFormat="false" ht="15" hidden="false" customHeight="false" outlineLevel="0" collapsed="false">
      <c r="A365" s="16" t="str">
        <f aca="false">Vendor_Invoices_AP!A362</f>
        <v>INV30361</v>
      </c>
      <c r="B365" s="16" t="str">
        <f aca="false">Vendor_Invoices_AP!C362</f>
        <v>V1001</v>
      </c>
      <c r="C365" s="16" t="str">
        <f aca="false">IFERROR(INDEX(Vendor_Master!$B$2:$B$41,MATCH(B365,Vendor_Master!$A$2:$A$41,0)),"Unknown Vendor")</f>
        <v>Figueroa and Sons</v>
      </c>
      <c r="D365" s="18" t="n">
        <f aca="false">Vendor_Invoices_AP!E362</f>
        <v>3469.23</v>
      </c>
      <c r="E365" s="16" t="n">
        <f aca="false">COUNTIF(Payment_Log_AP!$B$2:$B$753,A365)</f>
        <v>0</v>
      </c>
      <c r="F365" s="18" t="n">
        <f aca="false">SUMIFS(Payment_Log_AP!$E$2:$E$753,Payment_Log_AP!$B$2:$B$753,A365)</f>
        <v>0</v>
      </c>
      <c r="G365" s="18" t="n">
        <f aca="false">MAX(F365-D365,0)</f>
        <v>0</v>
      </c>
      <c r="H365" s="16" t="str">
        <f aca="false">IF(E365&gt;1,"DUPLICATE - Review",IF(G365&gt;Assumptions!$B$6,"OVERPAID - Review","OK"))</f>
        <v>OK</v>
      </c>
    </row>
    <row r="366" customFormat="false" ht="15" hidden="false" customHeight="false" outlineLevel="0" collapsed="false">
      <c r="A366" s="16" t="str">
        <f aca="false">Vendor_Invoices_AP!A363</f>
        <v>INV30362</v>
      </c>
      <c r="B366" s="16" t="str">
        <f aca="false">Vendor_Invoices_AP!C363</f>
        <v>V1027</v>
      </c>
      <c r="C366" s="16" t="str">
        <f aca="false">IFERROR(INDEX(Vendor_Master!$B$2:$B$41,MATCH(B366,Vendor_Master!$A$2:$A$41,0)),"Unknown Vendor")</f>
        <v>Valencia, Smith and Le</v>
      </c>
      <c r="D366" s="18" t="n">
        <f aca="false">Vendor_Invoices_AP!E363</f>
        <v>1655.98</v>
      </c>
      <c r="E366" s="16" t="n">
        <f aca="false">COUNTIF(Payment_Log_AP!$B$2:$B$753,A366)</f>
        <v>0</v>
      </c>
      <c r="F366" s="18" t="n">
        <f aca="false">SUMIFS(Payment_Log_AP!$E$2:$E$753,Payment_Log_AP!$B$2:$B$753,A366)</f>
        <v>0</v>
      </c>
      <c r="G366" s="18" t="n">
        <f aca="false">MAX(F366-D366,0)</f>
        <v>0</v>
      </c>
      <c r="H366" s="16" t="str">
        <f aca="false">IF(E366&gt;1,"DUPLICATE - Review",IF(G366&gt;Assumptions!$B$6,"OVERPAID - Review","OK"))</f>
        <v>OK</v>
      </c>
    </row>
    <row r="367" customFormat="false" ht="15" hidden="false" customHeight="false" outlineLevel="0" collapsed="false">
      <c r="A367" s="16" t="str">
        <f aca="false">Vendor_Invoices_AP!A364</f>
        <v>INV30363</v>
      </c>
      <c r="B367" s="16" t="str">
        <f aca="false">Vendor_Invoices_AP!C364</f>
        <v>V1025</v>
      </c>
      <c r="C367" s="16" t="str">
        <f aca="false">IFERROR(INDEX(Vendor_Master!$B$2:$B$41,MATCH(B367,Vendor_Master!$A$2:$A$41,0)),"Unknown Vendor")</f>
        <v>Conner Group</v>
      </c>
      <c r="D367" s="18" t="n">
        <f aca="false">Vendor_Invoices_AP!E364</f>
        <v>1396.44</v>
      </c>
      <c r="E367" s="16" t="n">
        <f aca="false">COUNTIF(Payment_Log_AP!$B$2:$B$753,A367)</f>
        <v>2</v>
      </c>
      <c r="F367" s="18" t="n">
        <f aca="false">SUMIFS(Payment_Log_AP!$E$2:$E$753,Payment_Log_AP!$B$2:$B$753,A367)</f>
        <v>2792.88</v>
      </c>
      <c r="G367" s="18" t="n">
        <f aca="false">MAX(F367-D367,0)</f>
        <v>1396.44</v>
      </c>
      <c r="H367" s="16" t="str">
        <f aca="false">IF(E367&gt;1,"DUPLICATE - Review",IF(G367&gt;Assumptions!$B$6,"OVERPAID - Review","OK"))</f>
        <v>DUPLICATE - Review</v>
      </c>
    </row>
    <row r="368" customFormat="false" ht="15" hidden="false" customHeight="false" outlineLevel="0" collapsed="false">
      <c r="A368" s="16" t="str">
        <f aca="false">Vendor_Invoices_AP!A365</f>
        <v>INV30364</v>
      </c>
      <c r="B368" s="16" t="str">
        <f aca="false">Vendor_Invoices_AP!C365</f>
        <v>V1001</v>
      </c>
      <c r="C368" s="16" t="str">
        <f aca="false">IFERROR(INDEX(Vendor_Master!$B$2:$B$41,MATCH(B368,Vendor_Master!$A$2:$A$41,0)),"Unknown Vendor")</f>
        <v>Figueroa and Sons</v>
      </c>
      <c r="D368" s="18" t="n">
        <f aca="false">Vendor_Invoices_AP!E365</f>
        <v>1682.49</v>
      </c>
      <c r="E368" s="16" t="n">
        <f aca="false">COUNTIF(Payment_Log_AP!$B$2:$B$753,A368)</f>
        <v>1</v>
      </c>
      <c r="F368" s="18" t="n">
        <f aca="false">SUMIFS(Payment_Log_AP!$E$2:$E$753,Payment_Log_AP!$B$2:$B$753,A368)</f>
        <v>1682.49</v>
      </c>
      <c r="G368" s="18" t="n">
        <f aca="false">MAX(F368-D368,0)</f>
        <v>0</v>
      </c>
      <c r="H368" s="16" t="str">
        <f aca="false">IF(E368&gt;1,"DUPLICATE - Review",IF(G368&gt;Assumptions!$B$6,"OVERPAID - Review","OK"))</f>
        <v>OK</v>
      </c>
    </row>
    <row r="369" customFormat="false" ht="15" hidden="false" customHeight="false" outlineLevel="0" collapsed="false">
      <c r="A369" s="16" t="str">
        <f aca="false">Vendor_Invoices_AP!A366</f>
        <v>INV30365</v>
      </c>
      <c r="B369" s="16" t="str">
        <f aca="false">Vendor_Invoices_AP!C366</f>
        <v>V1037</v>
      </c>
      <c r="C369" s="16" t="str">
        <f aca="false">IFERROR(INDEX(Vendor_Master!$B$2:$B$41,MATCH(B369,Vendor_Master!$A$2:$A$41,0)),"Unknown Vendor")</f>
        <v>Cannon, Anderson and Alvarez</v>
      </c>
      <c r="D369" s="18" t="n">
        <f aca="false">Vendor_Invoices_AP!E366</f>
        <v>1974.18</v>
      </c>
      <c r="E369" s="16" t="n">
        <f aca="false">COUNTIF(Payment_Log_AP!$B$2:$B$753,A369)</f>
        <v>1</v>
      </c>
      <c r="F369" s="18" t="n">
        <f aca="false">SUMIFS(Payment_Log_AP!$E$2:$E$753,Payment_Log_AP!$B$2:$B$753,A369)</f>
        <v>1974.18</v>
      </c>
      <c r="G369" s="18" t="n">
        <f aca="false">MAX(F369-D369,0)</f>
        <v>0</v>
      </c>
      <c r="H369" s="16" t="str">
        <f aca="false">IF(E369&gt;1,"DUPLICATE - Review",IF(G369&gt;Assumptions!$B$6,"OVERPAID - Review","OK"))</f>
        <v>OK</v>
      </c>
    </row>
    <row r="370" customFormat="false" ht="15" hidden="false" customHeight="false" outlineLevel="0" collapsed="false">
      <c r="A370" s="16" t="str">
        <f aca="false">Vendor_Invoices_AP!A367</f>
        <v>INV30366</v>
      </c>
      <c r="B370" s="16" t="str">
        <f aca="false">Vendor_Invoices_AP!C367</f>
        <v>V1005</v>
      </c>
      <c r="C370" s="16" t="str">
        <f aca="false">IFERROR(INDEX(Vendor_Master!$B$2:$B$41,MATCH(B370,Vendor_Master!$A$2:$A$41,0)),"Unknown Vendor")</f>
        <v>Cole LLC</v>
      </c>
      <c r="D370" s="18" t="n">
        <f aca="false">Vendor_Invoices_AP!E367</f>
        <v>2573.5</v>
      </c>
      <c r="E370" s="16" t="n">
        <f aca="false">COUNTIF(Payment_Log_AP!$B$2:$B$753,A370)</f>
        <v>0</v>
      </c>
      <c r="F370" s="18" t="n">
        <f aca="false">SUMIFS(Payment_Log_AP!$E$2:$E$753,Payment_Log_AP!$B$2:$B$753,A370)</f>
        <v>0</v>
      </c>
      <c r="G370" s="18" t="n">
        <f aca="false">MAX(F370-D370,0)</f>
        <v>0</v>
      </c>
      <c r="H370" s="16" t="str">
        <f aca="false">IF(E370&gt;1,"DUPLICATE - Review",IF(G370&gt;Assumptions!$B$6,"OVERPAID - Review","OK"))</f>
        <v>OK</v>
      </c>
    </row>
    <row r="371" customFormat="false" ht="15" hidden="false" customHeight="false" outlineLevel="0" collapsed="false">
      <c r="A371" s="16" t="str">
        <f aca="false">Vendor_Invoices_AP!A368</f>
        <v>INV30367</v>
      </c>
      <c r="B371" s="16" t="str">
        <f aca="false">Vendor_Invoices_AP!C368</f>
        <v>V1033</v>
      </c>
      <c r="C371" s="16" t="str">
        <f aca="false">IFERROR(INDEX(Vendor_Master!$B$2:$B$41,MATCH(B371,Vendor_Master!$A$2:$A$41,0)),"Unknown Vendor")</f>
        <v>Sellers, George and Burns</v>
      </c>
      <c r="D371" s="18" t="n">
        <f aca="false">Vendor_Invoices_AP!E368</f>
        <v>3355.88</v>
      </c>
      <c r="E371" s="16" t="n">
        <f aca="false">COUNTIF(Payment_Log_AP!$B$2:$B$753,A371)</f>
        <v>0</v>
      </c>
      <c r="F371" s="18" t="n">
        <f aca="false">SUMIFS(Payment_Log_AP!$E$2:$E$753,Payment_Log_AP!$B$2:$B$753,A371)</f>
        <v>0</v>
      </c>
      <c r="G371" s="18" t="n">
        <f aca="false">MAX(F371-D371,0)</f>
        <v>0</v>
      </c>
      <c r="H371" s="16" t="str">
        <f aca="false">IF(E371&gt;1,"DUPLICATE - Review",IF(G371&gt;Assumptions!$B$6,"OVERPAID - Review","OK"))</f>
        <v>OK</v>
      </c>
    </row>
    <row r="372" customFormat="false" ht="15" hidden="false" customHeight="false" outlineLevel="0" collapsed="false">
      <c r="A372" s="16" t="str">
        <f aca="false">Vendor_Invoices_AP!A369</f>
        <v>INV30368</v>
      </c>
      <c r="B372" s="16" t="str">
        <f aca="false">Vendor_Invoices_AP!C369</f>
        <v>V1020</v>
      </c>
      <c r="C372" s="16" t="str">
        <f aca="false">IFERROR(INDEX(Vendor_Master!$B$2:$B$41,MATCH(B372,Vendor_Master!$A$2:$A$41,0)),"Unknown Vendor")</f>
        <v>Lewis-Porter</v>
      </c>
      <c r="D372" s="18" t="n">
        <f aca="false">Vendor_Invoices_AP!E369</f>
        <v>2928.06</v>
      </c>
      <c r="E372" s="16" t="n">
        <f aca="false">COUNTIF(Payment_Log_AP!$B$2:$B$753,A372)</f>
        <v>1</v>
      </c>
      <c r="F372" s="18" t="n">
        <f aca="false">SUMIFS(Payment_Log_AP!$E$2:$E$753,Payment_Log_AP!$B$2:$B$753,A372)</f>
        <v>2928.06</v>
      </c>
      <c r="G372" s="18" t="n">
        <f aca="false">MAX(F372-D372,0)</f>
        <v>0</v>
      </c>
      <c r="H372" s="16" t="str">
        <f aca="false">IF(E372&gt;1,"DUPLICATE - Review",IF(G372&gt;Assumptions!$B$6,"OVERPAID - Review","OK"))</f>
        <v>OK</v>
      </c>
    </row>
    <row r="373" customFormat="false" ht="15" hidden="false" customHeight="false" outlineLevel="0" collapsed="false">
      <c r="A373" s="16" t="str">
        <f aca="false">Vendor_Invoices_AP!A370</f>
        <v>INV30369</v>
      </c>
      <c r="B373" s="16" t="str">
        <f aca="false">Vendor_Invoices_AP!C370</f>
        <v>V1040</v>
      </c>
      <c r="C373" s="16" t="str">
        <f aca="false">IFERROR(INDEX(Vendor_Master!$B$2:$B$41,MATCH(B373,Vendor_Master!$A$2:$A$41,0)),"Unknown Vendor")</f>
        <v>Santos, Kim and Holmes</v>
      </c>
      <c r="D373" s="18" t="n">
        <f aca="false">Vendor_Invoices_AP!E370</f>
        <v>3306.72</v>
      </c>
      <c r="E373" s="16" t="n">
        <f aca="false">COUNTIF(Payment_Log_AP!$B$2:$B$753,A373)</f>
        <v>1</v>
      </c>
      <c r="F373" s="18" t="n">
        <f aca="false">SUMIFS(Payment_Log_AP!$E$2:$E$753,Payment_Log_AP!$B$2:$B$753,A373)</f>
        <v>3306.72</v>
      </c>
      <c r="G373" s="18" t="n">
        <f aca="false">MAX(F373-D373,0)</f>
        <v>0</v>
      </c>
      <c r="H373" s="16" t="str">
        <f aca="false">IF(E373&gt;1,"DUPLICATE - Review",IF(G373&gt;Assumptions!$B$6,"OVERPAID - Review","OK"))</f>
        <v>OK</v>
      </c>
    </row>
    <row r="374" customFormat="false" ht="15" hidden="false" customHeight="false" outlineLevel="0" collapsed="false">
      <c r="A374" s="16" t="str">
        <f aca="false">Vendor_Invoices_AP!A371</f>
        <v>INV30370</v>
      </c>
      <c r="B374" s="16" t="str">
        <f aca="false">Vendor_Invoices_AP!C371</f>
        <v>V1019</v>
      </c>
      <c r="C374" s="16" t="str">
        <f aca="false">IFERROR(INDEX(Vendor_Master!$B$2:$B$41,MATCH(B374,Vendor_Master!$A$2:$A$41,0)),"Unknown Vendor")</f>
        <v>Clark PLC</v>
      </c>
      <c r="D374" s="18" t="n">
        <f aca="false">Vendor_Invoices_AP!E371</f>
        <v>7330.11</v>
      </c>
      <c r="E374" s="16" t="n">
        <f aca="false">COUNTIF(Payment_Log_AP!$B$2:$B$753,A374)</f>
        <v>1</v>
      </c>
      <c r="F374" s="18" t="n">
        <f aca="false">SUMIFS(Payment_Log_AP!$E$2:$E$753,Payment_Log_AP!$B$2:$B$753,A374)</f>
        <v>7330.11</v>
      </c>
      <c r="G374" s="18" t="n">
        <f aca="false">MAX(F374-D374,0)</f>
        <v>0</v>
      </c>
      <c r="H374" s="16" t="str">
        <f aca="false">IF(E374&gt;1,"DUPLICATE - Review",IF(G374&gt;Assumptions!$B$6,"OVERPAID - Review","OK"))</f>
        <v>OK</v>
      </c>
    </row>
    <row r="375" customFormat="false" ht="15" hidden="false" customHeight="false" outlineLevel="0" collapsed="false">
      <c r="A375" s="16" t="str">
        <f aca="false">Vendor_Invoices_AP!A372</f>
        <v>INV30371</v>
      </c>
      <c r="B375" s="16" t="str">
        <f aca="false">Vendor_Invoices_AP!C372</f>
        <v>V1040</v>
      </c>
      <c r="C375" s="16" t="str">
        <f aca="false">IFERROR(INDEX(Vendor_Master!$B$2:$B$41,MATCH(B375,Vendor_Master!$A$2:$A$41,0)),"Unknown Vendor")</f>
        <v>Santos, Kim and Holmes</v>
      </c>
      <c r="D375" s="18" t="n">
        <f aca="false">Vendor_Invoices_AP!E372</f>
        <v>305.65</v>
      </c>
      <c r="E375" s="16" t="n">
        <f aca="false">COUNTIF(Payment_Log_AP!$B$2:$B$753,A375)</f>
        <v>1</v>
      </c>
      <c r="F375" s="18" t="n">
        <f aca="false">SUMIFS(Payment_Log_AP!$E$2:$E$753,Payment_Log_AP!$B$2:$B$753,A375)</f>
        <v>305.65</v>
      </c>
      <c r="G375" s="18" t="n">
        <f aca="false">MAX(F375-D375,0)</f>
        <v>0</v>
      </c>
      <c r="H375" s="16" t="str">
        <f aca="false">IF(E375&gt;1,"DUPLICATE - Review",IF(G375&gt;Assumptions!$B$6,"OVERPAID - Review","OK"))</f>
        <v>OK</v>
      </c>
    </row>
    <row r="376" customFormat="false" ht="15" hidden="false" customHeight="false" outlineLevel="0" collapsed="false">
      <c r="A376" s="16" t="str">
        <f aca="false">Vendor_Invoices_AP!A373</f>
        <v>INV30372</v>
      </c>
      <c r="B376" s="16" t="str">
        <f aca="false">Vendor_Invoices_AP!C373</f>
        <v>V1012</v>
      </c>
      <c r="C376" s="16" t="str">
        <f aca="false">IFERROR(INDEX(Vendor_Master!$B$2:$B$41,MATCH(B376,Vendor_Master!$A$2:$A$41,0)),"Unknown Vendor")</f>
        <v>Stanley LLC</v>
      </c>
      <c r="D376" s="18" t="n">
        <f aca="false">Vendor_Invoices_AP!E373</f>
        <v>695.44</v>
      </c>
      <c r="E376" s="16" t="n">
        <f aca="false">COUNTIF(Payment_Log_AP!$B$2:$B$753,A376)</f>
        <v>1</v>
      </c>
      <c r="F376" s="18" t="n">
        <f aca="false">SUMIFS(Payment_Log_AP!$E$2:$E$753,Payment_Log_AP!$B$2:$B$753,A376)</f>
        <v>695.44</v>
      </c>
      <c r="G376" s="18" t="n">
        <f aca="false">MAX(F376-D376,0)</f>
        <v>0</v>
      </c>
      <c r="H376" s="16" t="str">
        <f aca="false">IF(E376&gt;1,"DUPLICATE - Review",IF(G376&gt;Assumptions!$B$6,"OVERPAID - Review","OK"))</f>
        <v>OK</v>
      </c>
    </row>
    <row r="377" customFormat="false" ht="15" hidden="false" customHeight="false" outlineLevel="0" collapsed="false">
      <c r="A377" s="16" t="str">
        <f aca="false">Vendor_Invoices_AP!A374</f>
        <v>INV30373</v>
      </c>
      <c r="B377" s="16" t="str">
        <f aca="false">Vendor_Invoices_AP!C374</f>
        <v>V1004</v>
      </c>
      <c r="C377" s="16" t="str">
        <f aca="false">IFERROR(INDEX(Vendor_Master!$B$2:$B$41,MATCH(B377,Vendor_Master!$A$2:$A$41,0)),"Unknown Vendor")</f>
        <v>Johnson, Gonzalez and Santos</v>
      </c>
      <c r="D377" s="18" t="n">
        <f aca="false">Vendor_Invoices_AP!E374</f>
        <v>8378.51</v>
      </c>
      <c r="E377" s="16" t="n">
        <f aca="false">COUNTIF(Payment_Log_AP!$B$2:$B$753,A377)</f>
        <v>1</v>
      </c>
      <c r="F377" s="18" t="n">
        <f aca="false">SUMIFS(Payment_Log_AP!$E$2:$E$753,Payment_Log_AP!$B$2:$B$753,A377)</f>
        <v>8378.51</v>
      </c>
      <c r="G377" s="18" t="n">
        <f aca="false">MAX(F377-D377,0)</f>
        <v>0</v>
      </c>
      <c r="H377" s="16" t="str">
        <f aca="false">IF(E377&gt;1,"DUPLICATE - Review",IF(G377&gt;Assumptions!$B$6,"OVERPAID - Review","OK"))</f>
        <v>OK</v>
      </c>
    </row>
    <row r="378" customFormat="false" ht="15" hidden="false" customHeight="false" outlineLevel="0" collapsed="false">
      <c r="A378" s="16" t="str">
        <f aca="false">Vendor_Invoices_AP!A375</f>
        <v>INV30374</v>
      </c>
      <c r="B378" s="16" t="str">
        <f aca="false">Vendor_Invoices_AP!C375</f>
        <v>V1005</v>
      </c>
      <c r="C378" s="16" t="str">
        <f aca="false">IFERROR(INDEX(Vendor_Master!$B$2:$B$41,MATCH(B378,Vendor_Master!$A$2:$A$41,0)),"Unknown Vendor")</f>
        <v>Cole LLC</v>
      </c>
      <c r="D378" s="18" t="n">
        <f aca="false">Vendor_Invoices_AP!E375</f>
        <v>1194.11</v>
      </c>
      <c r="E378" s="16" t="n">
        <f aca="false">COUNTIF(Payment_Log_AP!$B$2:$B$753,A378)</f>
        <v>1</v>
      </c>
      <c r="F378" s="18" t="n">
        <f aca="false">SUMIFS(Payment_Log_AP!$E$2:$E$753,Payment_Log_AP!$B$2:$B$753,A378)</f>
        <v>1194.11</v>
      </c>
      <c r="G378" s="18" t="n">
        <f aca="false">MAX(F378-D378,0)</f>
        <v>0</v>
      </c>
      <c r="H378" s="16" t="str">
        <f aca="false">IF(E378&gt;1,"DUPLICATE - Review",IF(G378&gt;Assumptions!$B$6,"OVERPAID - Review","OK"))</f>
        <v>OK</v>
      </c>
    </row>
    <row r="379" customFormat="false" ht="15" hidden="false" customHeight="false" outlineLevel="0" collapsed="false">
      <c r="A379" s="16" t="str">
        <f aca="false">Vendor_Invoices_AP!A376</f>
        <v>INV30375</v>
      </c>
      <c r="B379" s="16" t="str">
        <f aca="false">Vendor_Invoices_AP!C376</f>
        <v>V1013</v>
      </c>
      <c r="C379" s="16" t="str">
        <f aca="false">IFERROR(INDEX(Vendor_Master!$B$2:$B$41,MATCH(B379,Vendor_Master!$A$2:$A$41,0)),"Unknown Vendor")</f>
        <v>Delacruz Group</v>
      </c>
      <c r="D379" s="18" t="n">
        <f aca="false">Vendor_Invoices_AP!E376</f>
        <v>755.76</v>
      </c>
      <c r="E379" s="16" t="n">
        <f aca="false">COUNTIF(Payment_Log_AP!$B$2:$B$753,A379)</f>
        <v>1</v>
      </c>
      <c r="F379" s="18" t="n">
        <f aca="false">SUMIFS(Payment_Log_AP!$E$2:$E$753,Payment_Log_AP!$B$2:$B$753,A379)</f>
        <v>755.76</v>
      </c>
      <c r="G379" s="18" t="n">
        <f aca="false">MAX(F379-D379,0)</f>
        <v>0</v>
      </c>
      <c r="H379" s="16" t="str">
        <f aca="false">IF(E379&gt;1,"DUPLICATE - Review",IF(G379&gt;Assumptions!$B$6,"OVERPAID - Review","OK"))</f>
        <v>OK</v>
      </c>
    </row>
    <row r="380" customFormat="false" ht="15" hidden="false" customHeight="false" outlineLevel="0" collapsed="false">
      <c r="A380" s="16" t="str">
        <f aca="false">Vendor_Invoices_AP!A377</f>
        <v>INV30376</v>
      </c>
      <c r="B380" s="16" t="str">
        <f aca="false">Vendor_Invoices_AP!C377</f>
        <v>V1033</v>
      </c>
      <c r="C380" s="16" t="str">
        <f aca="false">IFERROR(INDEX(Vendor_Master!$B$2:$B$41,MATCH(B380,Vendor_Master!$A$2:$A$41,0)),"Unknown Vendor")</f>
        <v>Sellers, George and Burns</v>
      </c>
      <c r="D380" s="18" t="n">
        <f aca="false">Vendor_Invoices_AP!E377</f>
        <v>14821.15</v>
      </c>
      <c r="E380" s="16" t="n">
        <f aca="false">COUNTIF(Payment_Log_AP!$B$2:$B$753,A380)</f>
        <v>1</v>
      </c>
      <c r="F380" s="18" t="n">
        <f aca="false">SUMIFS(Payment_Log_AP!$E$2:$E$753,Payment_Log_AP!$B$2:$B$753,A380)</f>
        <v>14821.15</v>
      </c>
      <c r="G380" s="18" t="n">
        <f aca="false">MAX(F380-D380,0)</f>
        <v>0</v>
      </c>
      <c r="H380" s="16" t="str">
        <f aca="false">IF(E380&gt;1,"DUPLICATE - Review",IF(G380&gt;Assumptions!$B$6,"OVERPAID - Review","OK"))</f>
        <v>OK</v>
      </c>
    </row>
    <row r="381" customFormat="false" ht="15" hidden="false" customHeight="false" outlineLevel="0" collapsed="false">
      <c r="A381" s="16" t="str">
        <f aca="false">Vendor_Invoices_AP!A378</f>
        <v>INV30377</v>
      </c>
      <c r="B381" s="16" t="str">
        <f aca="false">Vendor_Invoices_AP!C378</f>
        <v>V1014</v>
      </c>
      <c r="C381" s="16" t="str">
        <f aca="false">IFERROR(INDEX(Vendor_Master!$B$2:$B$41,MATCH(B381,Vendor_Master!$A$2:$A$41,0)),"Unknown Vendor")</f>
        <v>Flowers, Martin and Kelly</v>
      </c>
      <c r="D381" s="18" t="n">
        <f aca="false">Vendor_Invoices_AP!E378</f>
        <v>5777.41</v>
      </c>
      <c r="E381" s="16" t="n">
        <f aca="false">COUNTIF(Payment_Log_AP!$B$2:$B$753,A381)</f>
        <v>0</v>
      </c>
      <c r="F381" s="18" t="n">
        <f aca="false">SUMIFS(Payment_Log_AP!$E$2:$E$753,Payment_Log_AP!$B$2:$B$753,A381)</f>
        <v>0</v>
      </c>
      <c r="G381" s="18" t="n">
        <f aca="false">MAX(F381-D381,0)</f>
        <v>0</v>
      </c>
      <c r="H381" s="16" t="str">
        <f aca="false">IF(E381&gt;1,"DUPLICATE - Review",IF(G381&gt;Assumptions!$B$6,"OVERPAID - Review","OK"))</f>
        <v>OK</v>
      </c>
    </row>
    <row r="382" customFormat="false" ht="15" hidden="false" customHeight="false" outlineLevel="0" collapsed="false">
      <c r="A382" s="16" t="str">
        <f aca="false">Vendor_Invoices_AP!A379</f>
        <v>INV30378</v>
      </c>
      <c r="B382" s="16" t="str">
        <f aca="false">Vendor_Invoices_AP!C379</f>
        <v>V1037</v>
      </c>
      <c r="C382" s="16" t="str">
        <f aca="false">IFERROR(INDEX(Vendor_Master!$B$2:$B$41,MATCH(B382,Vendor_Master!$A$2:$A$41,0)),"Unknown Vendor")</f>
        <v>Cannon, Anderson and Alvarez</v>
      </c>
      <c r="D382" s="18" t="n">
        <f aca="false">Vendor_Invoices_AP!E379</f>
        <v>4303.23</v>
      </c>
      <c r="E382" s="16" t="n">
        <f aca="false">COUNTIF(Payment_Log_AP!$B$2:$B$753,A382)</f>
        <v>1</v>
      </c>
      <c r="F382" s="18" t="n">
        <f aca="false">SUMIFS(Payment_Log_AP!$E$2:$E$753,Payment_Log_AP!$B$2:$B$753,A382)</f>
        <v>4303.23</v>
      </c>
      <c r="G382" s="18" t="n">
        <f aca="false">MAX(F382-D382,0)</f>
        <v>0</v>
      </c>
      <c r="H382" s="16" t="str">
        <f aca="false">IF(E382&gt;1,"DUPLICATE - Review",IF(G382&gt;Assumptions!$B$6,"OVERPAID - Review","OK"))</f>
        <v>OK</v>
      </c>
    </row>
    <row r="383" customFormat="false" ht="15" hidden="false" customHeight="false" outlineLevel="0" collapsed="false">
      <c r="A383" s="16" t="str">
        <f aca="false">Vendor_Invoices_AP!A380</f>
        <v>INV30379</v>
      </c>
      <c r="B383" s="16" t="str">
        <f aca="false">Vendor_Invoices_AP!C380</f>
        <v>V1035</v>
      </c>
      <c r="C383" s="16" t="str">
        <f aca="false">IFERROR(INDEX(Vendor_Master!$B$2:$B$41,MATCH(B383,Vendor_Master!$A$2:$A$41,0)),"Unknown Vendor")</f>
        <v>Allen PLC</v>
      </c>
      <c r="D383" s="18" t="n">
        <f aca="false">Vendor_Invoices_AP!E380</f>
        <v>525.18</v>
      </c>
      <c r="E383" s="16" t="n">
        <f aca="false">COUNTIF(Payment_Log_AP!$B$2:$B$753,A383)</f>
        <v>1</v>
      </c>
      <c r="F383" s="18" t="n">
        <f aca="false">SUMIFS(Payment_Log_AP!$E$2:$E$753,Payment_Log_AP!$B$2:$B$753,A383)</f>
        <v>525.18</v>
      </c>
      <c r="G383" s="18" t="n">
        <f aca="false">MAX(F383-D383,0)</f>
        <v>0</v>
      </c>
      <c r="H383" s="16" t="str">
        <f aca="false">IF(E383&gt;1,"DUPLICATE - Review",IF(G383&gt;Assumptions!$B$6,"OVERPAID - Review","OK"))</f>
        <v>OK</v>
      </c>
    </row>
    <row r="384" customFormat="false" ht="15" hidden="false" customHeight="false" outlineLevel="0" collapsed="false">
      <c r="A384" s="16" t="str">
        <f aca="false">Vendor_Invoices_AP!A381</f>
        <v>INV30380</v>
      </c>
      <c r="B384" s="16" t="str">
        <f aca="false">Vendor_Invoices_AP!C381</f>
        <v>V1020</v>
      </c>
      <c r="C384" s="16" t="str">
        <f aca="false">IFERROR(INDEX(Vendor_Master!$B$2:$B$41,MATCH(B384,Vendor_Master!$A$2:$A$41,0)),"Unknown Vendor")</f>
        <v>Lewis-Porter</v>
      </c>
      <c r="D384" s="18" t="n">
        <f aca="false">Vendor_Invoices_AP!E381</f>
        <v>2740.38</v>
      </c>
      <c r="E384" s="16" t="n">
        <f aca="false">COUNTIF(Payment_Log_AP!$B$2:$B$753,A384)</f>
        <v>1</v>
      </c>
      <c r="F384" s="18" t="n">
        <f aca="false">SUMIFS(Payment_Log_AP!$E$2:$E$753,Payment_Log_AP!$B$2:$B$753,A384)</f>
        <v>2740.38</v>
      </c>
      <c r="G384" s="18" t="n">
        <f aca="false">MAX(F384-D384,0)</f>
        <v>0</v>
      </c>
      <c r="H384" s="16" t="str">
        <f aca="false">IF(E384&gt;1,"DUPLICATE - Review",IF(G384&gt;Assumptions!$B$6,"OVERPAID - Review","OK"))</f>
        <v>OK</v>
      </c>
    </row>
    <row r="385" customFormat="false" ht="15" hidden="false" customHeight="false" outlineLevel="0" collapsed="false">
      <c r="A385" s="16" t="str">
        <f aca="false">Vendor_Invoices_AP!A382</f>
        <v>INV30381</v>
      </c>
      <c r="B385" s="16" t="str">
        <f aca="false">Vendor_Invoices_AP!C382</f>
        <v>V1008</v>
      </c>
      <c r="C385" s="16" t="str">
        <f aca="false">IFERROR(INDEX(Vendor_Master!$B$2:$B$41,MATCH(B385,Vendor_Master!$A$2:$A$41,0)),"Unknown Vendor")</f>
        <v>Davis Inc</v>
      </c>
      <c r="D385" s="18" t="n">
        <f aca="false">Vendor_Invoices_AP!E382</f>
        <v>9606.11</v>
      </c>
      <c r="E385" s="16" t="n">
        <f aca="false">COUNTIF(Payment_Log_AP!$B$2:$B$753,A385)</f>
        <v>1</v>
      </c>
      <c r="F385" s="18" t="n">
        <f aca="false">SUMIFS(Payment_Log_AP!$E$2:$E$753,Payment_Log_AP!$B$2:$B$753,A385)</f>
        <v>9606.11</v>
      </c>
      <c r="G385" s="18" t="n">
        <f aca="false">MAX(F385-D385,0)</f>
        <v>0</v>
      </c>
      <c r="H385" s="16" t="str">
        <f aca="false">IF(E385&gt;1,"DUPLICATE - Review",IF(G385&gt;Assumptions!$B$6,"OVERPAID - Review","OK"))</f>
        <v>OK</v>
      </c>
    </row>
    <row r="386" customFormat="false" ht="15" hidden="false" customHeight="false" outlineLevel="0" collapsed="false">
      <c r="A386" s="16" t="str">
        <f aca="false">Vendor_Invoices_AP!A383</f>
        <v>INV30382</v>
      </c>
      <c r="B386" s="16" t="str">
        <f aca="false">Vendor_Invoices_AP!C383</f>
        <v>V1021</v>
      </c>
      <c r="C386" s="16" t="str">
        <f aca="false">IFERROR(INDEX(Vendor_Master!$B$2:$B$41,MATCH(B386,Vendor_Master!$A$2:$A$41,0)),"Unknown Vendor")</f>
        <v>Ellis, Baker and Wright</v>
      </c>
      <c r="D386" s="18" t="n">
        <f aca="false">Vendor_Invoices_AP!E383</f>
        <v>3156.13</v>
      </c>
      <c r="E386" s="16" t="n">
        <f aca="false">COUNTIF(Payment_Log_AP!$B$2:$B$753,A386)</f>
        <v>1</v>
      </c>
      <c r="F386" s="18" t="n">
        <f aca="false">SUMIFS(Payment_Log_AP!$E$2:$E$753,Payment_Log_AP!$B$2:$B$753,A386)</f>
        <v>3156.13</v>
      </c>
      <c r="G386" s="18" t="n">
        <f aca="false">MAX(F386-D386,0)</f>
        <v>0</v>
      </c>
      <c r="H386" s="16" t="str">
        <f aca="false">IF(E386&gt;1,"DUPLICATE - Review",IF(G386&gt;Assumptions!$B$6,"OVERPAID - Review","OK"))</f>
        <v>OK</v>
      </c>
    </row>
    <row r="387" customFormat="false" ht="15" hidden="false" customHeight="false" outlineLevel="0" collapsed="false">
      <c r="A387" s="16" t="str">
        <f aca="false">Vendor_Invoices_AP!A384</f>
        <v>INV30383</v>
      </c>
      <c r="B387" s="16" t="str">
        <f aca="false">Vendor_Invoices_AP!C384</f>
        <v>V1012</v>
      </c>
      <c r="C387" s="16" t="str">
        <f aca="false">IFERROR(INDEX(Vendor_Master!$B$2:$B$41,MATCH(B387,Vendor_Master!$A$2:$A$41,0)),"Unknown Vendor")</f>
        <v>Stanley LLC</v>
      </c>
      <c r="D387" s="18" t="n">
        <f aca="false">Vendor_Invoices_AP!E384</f>
        <v>1799.63</v>
      </c>
      <c r="E387" s="16" t="n">
        <f aca="false">COUNTIF(Payment_Log_AP!$B$2:$B$753,A387)</f>
        <v>0</v>
      </c>
      <c r="F387" s="18" t="n">
        <f aca="false">SUMIFS(Payment_Log_AP!$E$2:$E$753,Payment_Log_AP!$B$2:$B$753,A387)</f>
        <v>0</v>
      </c>
      <c r="G387" s="18" t="n">
        <f aca="false">MAX(F387-D387,0)</f>
        <v>0</v>
      </c>
      <c r="H387" s="16" t="str">
        <f aca="false">IF(E387&gt;1,"DUPLICATE - Review",IF(G387&gt;Assumptions!$B$6,"OVERPAID - Review","OK"))</f>
        <v>OK</v>
      </c>
    </row>
    <row r="388" customFormat="false" ht="15" hidden="false" customHeight="false" outlineLevel="0" collapsed="false">
      <c r="A388" s="16" t="str">
        <f aca="false">Vendor_Invoices_AP!A385</f>
        <v>INV30384</v>
      </c>
      <c r="B388" s="16" t="str">
        <f aca="false">Vendor_Invoices_AP!C385</f>
        <v>V1037</v>
      </c>
      <c r="C388" s="16" t="str">
        <f aca="false">IFERROR(INDEX(Vendor_Master!$B$2:$B$41,MATCH(B388,Vendor_Master!$A$2:$A$41,0)),"Unknown Vendor")</f>
        <v>Cannon, Anderson and Alvarez</v>
      </c>
      <c r="D388" s="18" t="n">
        <f aca="false">Vendor_Invoices_AP!E385</f>
        <v>4442.2</v>
      </c>
      <c r="E388" s="16" t="n">
        <f aca="false">COUNTIF(Payment_Log_AP!$B$2:$B$753,A388)</f>
        <v>1</v>
      </c>
      <c r="F388" s="18" t="n">
        <f aca="false">SUMIFS(Payment_Log_AP!$E$2:$E$753,Payment_Log_AP!$B$2:$B$753,A388)</f>
        <v>4442.2</v>
      </c>
      <c r="G388" s="18" t="n">
        <f aca="false">MAX(F388-D388,0)</f>
        <v>0</v>
      </c>
      <c r="H388" s="16" t="str">
        <f aca="false">IF(E388&gt;1,"DUPLICATE - Review",IF(G388&gt;Assumptions!$B$6,"OVERPAID - Review","OK"))</f>
        <v>OK</v>
      </c>
    </row>
    <row r="389" customFormat="false" ht="15" hidden="false" customHeight="false" outlineLevel="0" collapsed="false">
      <c r="A389" s="16" t="str">
        <f aca="false">Vendor_Invoices_AP!A386</f>
        <v>INV30385</v>
      </c>
      <c r="B389" s="16" t="str">
        <f aca="false">Vendor_Invoices_AP!C386</f>
        <v>V1004</v>
      </c>
      <c r="C389" s="16" t="str">
        <f aca="false">IFERROR(INDEX(Vendor_Master!$B$2:$B$41,MATCH(B389,Vendor_Master!$A$2:$A$41,0)),"Unknown Vendor")</f>
        <v>Johnson, Gonzalez and Santos</v>
      </c>
      <c r="D389" s="18" t="n">
        <f aca="false">Vendor_Invoices_AP!E386</f>
        <v>1683.7</v>
      </c>
      <c r="E389" s="16" t="n">
        <f aca="false">COUNTIF(Payment_Log_AP!$B$2:$B$753,A389)</f>
        <v>0</v>
      </c>
      <c r="F389" s="18" t="n">
        <f aca="false">SUMIFS(Payment_Log_AP!$E$2:$E$753,Payment_Log_AP!$B$2:$B$753,A389)</f>
        <v>0</v>
      </c>
      <c r="G389" s="18" t="n">
        <f aca="false">MAX(F389-D389,0)</f>
        <v>0</v>
      </c>
      <c r="H389" s="16" t="str">
        <f aca="false">IF(E389&gt;1,"DUPLICATE - Review",IF(G389&gt;Assumptions!$B$6,"OVERPAID - Review","OK"))</f>
        <v>OK</v>
      </c>
    </row>
    <row r="390" customFormat="false" ht="15" hidden="false" customHeight="false" outlineLevel="0" collapsed="false">
      <c r="A390" s="16" t="str">
        <f aca="false">Vendor_Invoices_AP!A387</f>
        <v>INV30386</v>
      </c>
      <c r="B390" s="16" t="str">
        <f aca="false">Vendor_Invoices_AP!C387</f>
        <v>V1004</v>
      </c>
      <c r="C390" s="16" t="str">
        <f aca="false">IFERROR(INDEX(Vendor_Master!$B$2:$B$41,MATCH(B390,Vendor_Master!$A$2:$A$41,0)),"Unknown Vendor")</f>
        <v>Johnson, Gonzalez and Santos</v>
      </c>
      <c r="D390" s="18" t="n">
        <f aca="false">Vendor_Invoices_AP!E387</f>
        <v>2002.66</v>
      </c>
      <c r="E390" s="16" t="n">
        <f aca="false">COUNTIF(Payment_Log_AP!$B$2:$B$753,A390)</f>
        <v>1</v>
      </c>
      <c r="F390" s="18" t="n">
        <f aca="false">SUMIFS(Payment_Log_AP!$E$2:$E$753,Payment_Log_AP!$B$2:$B$753,A390)</f>
        <v>2002.66</v>
      </c>
      <c r="G390" s="18" t="n">
        <f aca="false">MAX(F390-D390,0)</f>
        <v>0</v>
      </c>
      <c r="H390" s="16" t="str">
        <f aca="false">IF(E390&gt;1,"DUPLICATE - Review",IF(G390&gt;Assumptions!$B$6,"OVERPAID - Review","OK"))</f>
        <v>OK</v>
      </c>
    </row>
    <row r="391" customFormat="false" ht="15" hidden="false" customHeight="false" outlineLevel="0" collapsed="false">
      <c r="A391" s="16" t="str">
        <f aca="false">Vendor_Invoices_AP!A388</f>
        <v>INV30387</v>
      </c>
      <c r="B391" s="16" t="str">
        <f aca="false">Vendor_Invoices_AP!C388</f>
        <v>V1024</v>
      </c>
      <c r="C391" s="16" t="str">
        <f aca="false">IFERROR(INDEX(Vendor_Master!$B$2:$B$41,MATCH(B391,Vendor_Master!$A$2:$A$41,0)),"Unknown Vendor")</f>
        <v>Campos Inc</v>
      </c>
      <c r="D391" s="18" t="n">
        <f aca="false">Vendor_Invoices_AP!E388</f>
        <v>1387.72</v>
      </c>
      <c r="E391" s="16" t="n">
        <f aca="false">COUNTIF(Payment_Log_AP!$B$2:$B$753,A391)</f>
        <v>1</v>
      </c>
      <c r="F391" s="18" t="n">
        <f aca="false">SUMIFS(Payment_Log_AP!$E$2:$E$753,Payment_Log_AP!$B$2:$B$753,A391)</f>
        <v>1387.72</v>
      </c>
      <c r="G391" s="18" t="n">
        <f aca="false">MAX(F391-D391,0)</f>
        <v>0</v>
      </c>
      <c r="H391" s="16" t="str">
        <f aca="false">IF(E391&gt;1,"DUPLICATE - Review",IF(G391&gt;Assumptions!$B$6,"OVERPAID - Review","OK"))</f>
        <v>OK</v>
      </c>
    </row>
    <row r="392" customFormat="false" ht="15" hidden="false" customHeight="false" outlineLevel="0" collapsed="false">
      <c r="A392" s="16" t="str">
        <f aca="false">Vendor_Invoices_AP!A389</f>
        <v>INV30388</v>
      </c>
      <c r="B392" s="16" t="str">
        <f aca="false">Vendor_Invoices_AP!C389</f>
        <v>V1034</v>
      </c>
      <c r="C392" s="16" t="str">
        <f aca="false">IFERROR(INDEX(Vendor_Master!$B$2:$B$41,MATCH(B392,Vendor_Master!$A$2:$A$41,0)),"Unknown Vendor")</f>
        <v>Koch-Decker</v>
      </c>
      <c r="D392" s="18" t="n">
        <f aca="false">Vendor_Invoices_AP!E389</f>
        <v>2387.19</v>
      </c>
      <c r="E392" s="16" t="n">
        <f aca="false">COUNTIF(Payment_Log_AP!$B$2:$B$753,A392)</f>
        <v>1</v>
      </c>
      <c r="F392" s="18" t="n">
        <f aca="false">SUMIFS(Payment_Log_AP!$E$2:$E$753,Payment_Log_AP!$B$2:$B$753,A392)</f>
        <v>2387.19</v>
      </c>
      <c r="G392" s="18" t="n">
        <f aca="false">MAX(F392-D392,0)</f>
        <v>0</v>
      </c>
      <c r="H392" s="16" t="str">
        <f aca="false">IF(E392&gt;1,"DUPLICATE - Review",IF(G392&gt;Assumptions!$B$6,"OVERPAID - Review","OK"))</f>
        <v>OK</v>
      </c>
    </row>
    <row r="393" customFormat="false" ht="15" hidden="false" customHeight="false" outlineLevel="0" collapsed="false">
      <c r="A393" s="16" t="str">
        <f aca="false">Vendor_Invoices_AP!A390</f>
        <v>INV30389</v>
      </c>
      <c r="B393" s="16" t="str">
        <f aca="false">Vendor_Invoices_AP!C390</f>
        <v>V1015</v>
      </c>
      <c r="C393" s="16" t="str">
        <f aca="false">IFERROR(INDEX(Vendor_Master!$B$2:$B$41,MATCH(B393,Vendor_Master!$A$2:$A$41,0)),"Unknown Vendor")</f>
        <v>Zuniga, Wong and Lynch</v>
      </c>
      <c r="D393" s="18" t="n">
        <f aca="false">Vendor_Invoices_AP!E390</f>
        <v>4785.43</v>
      </c>
      <c r="E393" s="16" t="n">
        <f aca="false">COUNTIF(Payment_Log_AP!$B$2:$B$753,A393)</f>
        <v>1</v>
      </c>
      <c r="F393" s="18" t="n">
        <f aca="false">SUMIFS(Payment_Log_AP!$E$2:$E$753,Payment_Log_AP!$B$2:$B$753,A393)</f>
        <v>4785.43</v>
      </c>
      <c r="G393" s="18" t="n">
        <f aca="false">MAX(F393-D393,0)</f>
        <v>0</v>
      </c>
      <c r="H393" s="16" t="str">
        <f aca="false">IF(E393&gt;1,"DUPLICATE - Review",IF(G393&gt;Assumptions!$B$6,"OVERPAID - Review","OK"))</f>
        <v>OK</v>
      </c>
    </row>
    <row r="394" customFormat="false" ht="15" hidden="false" customHeight="false" outlineLevel="0" collapsed="false">
      <c r="A394" s="16" t="str">
        <f aca="false">Vendor_Invoices_AP!A391</f>
        <v>INV30390</v>
      </c>
      <c r="B394" s="16" t="str">
        <f aca="false">Vendor_Invoices_AP!C391</f>
        <v>V1004</v>
      </c>
      <c r="C394" s="16" t="str">
        <f aca="false">IFERROR(INDEX(Vendor_Master!$B$2:$B$41,MATCH(B394,Vendor_Master!$A$2:$A$41,0)),"Unknown Vendor")</f>
        <v>Johnson, Gonzalez and Santos</v>
      </c>
      <c r="D394" s="18" t="n">
        <f aca="false">Vendor_Invoices_AP!E391</f>
        <v>543.23</v>
      </c>
      <c r="E394" s="16" t="n">
        <f aca="false">COUNTIF(Payment_Log_AP!$B$2:$B$753,A394)</f>
        <v>1</v>
      </c>
      <c r="F394" s="18" t="n">
        <f aca="false">SUMIFS(Payment_Log_AP!$E$2:$E$753,Payment_Log_AP!$B$2:$B$753,A394)</f>
        <v>543.23</v>
      </c>
      <c r="G394" s="18" t="n">
        <f aca="false">MAX(F394-D394,0)</f>
        <v>0</v>
      </c>
      <c r="H394" s="16" t="str">
        <f aca="false">IF(E394&gt;1,"DUPLICATE - Review",IF(G394&gt;Assumptions!$B$6,"OVERPAID - Review","OK"))</f>
        <v>OK</v>
      </c>
    </row>
    <row r="395" customFormat="false" ht="15" hidden="false" customHeight="false" outlineLevel="0" collapsed="false">
      <c r="A395" s="16" t="str">
        <f aca="false">Vendor_Invoices_AP!A392</f>
        <v>INV30391</v>
      </c>
      <c r="B395" s="16" t="str">
        <f aca="false">Vendor_Invoices_AP!C392</f>
        <v>V1004</v>
      </c>
      <c r="C395" s="16" t="str">
        <f aca="false">IFERROR(INDEX(Vendor_Master!$B$2:$B$41,MATCH(B395,Vendor_Master!$A$2:$A$41,0)),"Unknown Vendor")</f>
        <v>Johnson, Gonzalez and Santos</v>
      </c>
      <c r="D395" s="18" t="n">
        <f aca="false">Vendor_Invoices_AP!E392</f>
        <v>476.74</v>
      </c>
      <c r="E395" s="16" t="n">
        <f aca="false">COUNTIF(Payment_Log_AP!$B$2:$B$753,A395)</f>
        <v>0</v>
      </c>
      <c r="F395" s="18" t="n">
        <f aca="false">SUMIFS(Payment_Log_AP!$E$2:$E$753,Payment_Log_AP!$B$2:$B$753,A395)</f>
        <v>0</v>
      </c>
      <c r="G395" s="18" t="n">
        <f aca="false">MAX(F395-D395,0)</f>
        <v>0</v>
      </c>
      <c r="H395" s="16" t="str">
        <f aca="false">IF(E395&gt;1,"DUPLICATE - Review",IF(G395&gt;Assumptions!$B$6,"OVERPAID - Review","OK"))</f>
        <v>OK</v>
      </c>
    </row>
    <row r="396" customFormat="false" ht="15" hidden="false" customHeight="false" outlineLevel="0" collapsed="false">
      <c r="A396" s="16" t="str">
        <f aca="false">Vendor_Invoices_AP!A393</f>
        <v>INV30392</v>
      </c>
      <c r="B396" s="16" t="str">
        <f aca="false">Vendor_Invoices_AP!C393</f>
        <v>V1027</v>
      </c>
      <c r="C396" s="16" t="str">
        <f aca="false">IFERROR(INDEX(Vendor_Master!$B$2:$B$41,MATCH(B396,Vendor_Master!$A$2:$A$41,0)),"Unknown Vendor")</f>
        <v>Valencia, Smith and Le</v>
      </c>
      <c r="D396" s="18" t="n">
        <f aca="false">Vendor_Invoices_AP!E393</f>
        <v>327.34</v>
      </c>
      <c r="E396" s="16" t="n">
        <f aca="false">COUNTIF(Payment_Log_AP!$B$2:$B$753,A396)</f>
        <v>1</v>
      </c>
      <c r="F396" s="18" t="n">
        <f aca="false">SUMIFS(Payment_Log_AP!$E$2:$E$753,Payment_Log_AP!$B$2:$B$753,A396)</f>
        <v>327.34</v>
      </c>
      <c r="G396" s="18" t="n">
        <f aca="false">MAX(F396-D396,0)</f>
        <v>0</v>
      </c>
      <c r="H396" s="16" t="str">
        <f aca="false">IF(E396&gt;1,"DUPLICATE - Review",IF(G396&gt;Assumptions!$B$6,"OVERPAID - Review","OK"))</f>
        <v>OK</v>
      </c>
    </row>
    <row r="397" customFormat="false" ht="15" hidden="false" customHeight="false" outlineLevel="0" collapsed="false">
      <c r="A397" s="16" t="str">
        <f aca="false">Vendor_Invoices_AP!A394</f>
        <v>INV30393</v>
      </c>
      <c r="B397" s="16" t="str">
        <f aca="false">Vendor_Invoices_AP!C394</f>
        <v>V1027</v>
      </c>
      <c r="C397" s="16" t="str">
        <f aca="false">IFERROR(INDEX(Vendor_Master!$B$2:$B$41,MATCH(B397,Vendor_Master!$A$2:$A$41,0)),"Unknown Vendor")</f>
        <v>Valencia, Smith and Le</v>
      </c>
      <c r="D397" s="18" t="n">
        <f aca="false">Vendor_Invoices_AP!E394</f>
        <v>327.34</v>
      </c>
      <c r="E397" s="16" t="n">
        <f aca="false">COUNTIF(Payment_Log_AP!$B$2:$B$753,A397)</f>
        <v>1</v>
      </c>
      <c r="F397" s="18" t="n">
        <f aca="false">SUMIFS(Payment_Log_AP!$E$2:$E$753,Payment_Log_AP!$B$2:$B$753,A397)</f>
        <v>327.34</v>
      </c>
      <c r="G397" s="18" t="n">
        <f aca="false">MAX(F397-D397,0)</f>
        <v>0</v>
      </c>
      <c r="H397" s="16" t="str">
        <f aca="false">IF(E397&gt;1,"DUPLICATE - Review",IF(G397&gt;Assumptions!$B$6,"OVERPAID - Review","OK"))</f>
        <v>OK</v>
      </c>
    </row>
    <row r="398" customFormat="false" ht="15" hidden="false" customHeight="false" outlineLevel="0" collapsed="false">
      <c r="A398" s="16" t="str">
        <f aca="false">Vendor_Invoices_AP!A395</f>
        <v>INV30394</v>
      </c>
      <c r="B398" s="16" t="str">
        <f aca="false">Vendor_Invoices_AP!C395</f>
        <v>V1004</v>
      </c>
      <c r="C398" s="16" t="str">
        <f aca="false">IFERROR(INDEX(Vendor_Master!$B$2:$B$41,MATCH(B398,Vendor_Master!$A$2:$A$41,0)),"Unknown Vendor")</f>
        <v>Johnson, Gonzalez and Santos</v>
      </c>
      <c r="D398" s="18" t="n">
        <f aca="false">Vendor_Invoices_AP!E395</f>
        <v>2106.84</v>
      </c>
      <c r="E398" s="16" t="n">
        <f aca="false">COUNTIF(Payment_Log_AP!$B$2:$B$753,A398)</f>
        <v>1</v>
      </c>
      <c r="F398" s="18" t="n">
        <f aca="false">SUMIFS(Payment_Log_AP!$E$2:$E$753,Payment_Log_AP!$B$2:$B$753,A398)</f>
        <v>2106.84</v>
      </c>
      <c r="G398" s="18" t="n">
        <f aca="false">MAX(F398-D398,0)</f>
        <v>0</v>
      </c>
      <c r="H398" s="16" t="str">
        <f aca="false">IF(E398&gt;1,"DUPLICATE - Review",IF(G398&gt;Assumptions!$B$6,"OVERPAID - Review","OK"))</f>
        <v>OK</v>
      </c>
    </row>
    <row r="399" customFormat="false" ht="15" hidden="false" customHeight="false" outlineLevel="0" collapsed="false">
      <c r="A399" s="16" t="str">
        <f aca="false">Vendor_Invoices_AP!A396</f>
        <v>INV30395</v>
      </c>
      <c r="B399" s="16" t="str">
        <f aca="false">Vendor_Invoices_AP!C396</f>
        <v>V1020</v>
      </c>
      <c r="C399" s="16" t="str">
        <f aca="false">IFERROR(INDEX(Vendor_Master!$B$2:$B$41,MATCH(B399,Vendor_Master!$A$2:$A$41,0)),"Unknown Vendor")</f>
        <v>Lewis-Porter</v>
      </c>
      <c r="D399" s="18" t="n">
        <f aca="false">Vendor_Invoices_AP!E396</f>
        <v>175.5</v>
      </c>
      <c r="E399" s="16" t="n">
        <f aca="false">COUNTIF(Payment_Log_AP!$B$2:$B$753,A399)</f>
        <v>1</v>
      </c>
      <c r="F399" s="18" t="n">
        <f aca="false">SUMIFS(Payment_Log_AP!$E$2:$E$753,Payment_Log_AP!$B$2:$B$753,A399)</f>
        <v>175.5</v>
      </c>
      <c r="G399" s="18" t="n">
        <f aca="false">MAX(F399-D399,0)</f>
        <v>0</v>
      </c>
      <c r="H399" s="16" t="str">
        <f aca="false">IF(E399&gt;1,"DUPLICATE - Review",IF(G399&gt;Assumptions!$B$6,"OVERPAID - Review","OK"))</f>
        <v>OK</v>
      </c>
    </row>
    <row r="400" customFormat="false" ht="15" hidden="false" customHeight="false" outlineLevel="0" collapsed="false">
      <c r="A400" s="16" t="str">
        <f aca="false">Vendor_Invoices_AP!A397</f>
        <v>INV30396</v>
      </c>
      <c r="B400" s="16" t="str">
        <f aca="false">Vendor_Invoices_AP!C397</f>
        <v>V1011</v>
      </c>
      <c r="C400" s="16" t="str">
        <f aca="false">IFERROR(INDEX(Vendor_Master!$B$2:$B$41,MATCH(B400,Vendor_Master!$A$2:$A$41,0)),"Unknown Vendor")</f>
        <v>Montgomery, Hensley and Ray</v>
      </c>
      <c r="D400" s="18" t="n">
        <f aca="false">Vendor_Invoices_AP!E397</f>
        <v>7138.19</v>
      </c>
      <c r="E400" s="16" t="n">
        <f aca="false">COUNTIF(Payment_Log_AP!$B$2:$B$753,A400)</f>
        <v>0</v>
      </c>
      <c r="F400" s="18" t="n">
        <f aca="false">SUMIFS(Payment_Log_AP!$E$2:$E$753,Payment_Log_AP!$B$2:$B$753,A400)</f>
        <v>0</v>
      </c>
      <c r="G400" s="18" t="n">
        <f aca="false">MAX(F400-D400,0)</f>
        <v>0</v>
      </c>
      <c r="H400" s="16" t="str">
        <f aca="false">IF(E400&gt;1,"DUPLICATE - Review",IF(G400&gt;Assumptions!$B$6,"OVERPAID - Review","OK"))</f>
        <v>OK</v>
      </c>
    </row>
    <row r="401" customFormat="false" ht="15" hidden="false" customHeight="false" outlineLevel="0" collapsed="false">
      <c r="A401" s="16" t="str">
        <f aca="false">Vendor_Invoices_AP!A398</f>
        <v>INV30397</v>
      </c>
      <c r="B401" s="16" t="str">
        <f aca="false">Vendor_Invoices_AP!C398</f>
        <v>V1024</v>
      </c>
      <c r="C401" s="16" t="str">
        <f aca="false">IFERROR(INDEX(Vendor_Master!$B$2:$B$41,MATCH(B401,Vendor_Master!$A$2:$A$41,0)),"Unknown Vendor")</f>
        <v>Campos Inc</v>
      </c>
      <c r="D401" s="18" t="n">
        <f aca="false">Vendor_Invoices_AP!E398</f>
        <v>3683.41</v>
      </c>
      <c r="E401" s="16" t="n">
        <f aca="false">COUNTIF(Payment_Log_AP!$B$2:$B$753,A401)</f>
        <v>1</v>
      </c>
      <c r="F401" s="18" t="n">
        <f aca="false">SUMIFS(Payment_Log_AP!$E$2:$E$753,Payment_Log_AP!$B$2:$B$753,A401)</f>
        <v>3683.41</v>
      </c>
      <c r="G401" s="18" t="n">
        <f aca="false">MAX(F401-D401,0)</f>
        <v>0</v>
      </c>
      <c r="H401" s="16" t="str">
        <f aca="false">IF(E401&gt;1,"DUPLICATE - Review",IF(G401&gt;Assumptions!$B$6,"OVERPAID - Review","OK"))</f>
        <v>OK</v>
      </c>
    </row>
    <row r="402" customFormat="false" ht="15" hidden="false" customHeight="false" outlineLevel="0" collapsed="false">
      <c r="A402" s="16" t="str">
        <f aca="false">Vendor_Invoices_AP!A399</f>
        <v>INV30398</v>
      </c>
      <c r="B402" s="16" t="str">
        <f aca="false">Vendor_Invoices_AP!C399</f>
        <v>V1038</v>
      </c>
      <c r="C402" s="16" t="str">
        <f aca="false">IFERROR(INDEX(Vendor_Master!$B$2:$B$41,MATCH(B402,Vendor_Master!$A$2:$A$41,0)),"Unknown Vendor")</f>
        <v>Rose-Obrien</v>
      </c>
      <c r="D402" s="18" t="n">
        <f aca="false">Vendor_Invoices_AP!E399</f>
        <v>1037.11</v>
      </c>
      <c r="E402" s="16" t="n">
        <f aca="false">COUNTIF(Payment_Log_AP!$B$2:$B$753,A402)</f>
        <v>1</v>
      </c>
      <c r="F402" s="18" t="n">
        <f aca="false">SUMIFS(Payment_Log_AP!$E$2:$E$753,Payment_Log_AP!$B$2:$B$753,A402)</f>
        <v>1037.11</v>
      </c>
      <c r="G402" s="18" t="n">
        <f aca="false">MAX(F402-D402,0)</f>
        <v>0</v>
      </c>
      <c r="H402" s="16" t="str">
        <f aca="false">IF(E402&gt;1,"DUPLICATE - Review",IF(G402&gt;Assumptions!$B$6,"OVERPAID - Review","OK"))</f>
        <v>OK</v>
      </c>
    </row>
    <row r="403" customFormat="false" ht="15" hidden="false" customHeight="false" outlineLevel="0" collapsed="false">
      <c r="A403" s="16" t="str">
        <f aca="false">Vendor_Invoices_AP!A400</f>
        <v>INV30399</v>
      </c>
      <c r="B403" s="16" t="str">
        <f aca="false">Vendor_Invoices_AP!C400</f>
        <v>V1001</v>
      </c>
      <c r="C403" s="16" t="str">
        <f aca="false">IFERROR(INDEX(Vendor_Master!$B$2:$B$41,MATCH(B403,Vendor_Master!$A$2:$A$41,0)),"Unknown Vendor")</f>
        <v>Figueroa and Sons</v>
      </c>
      <c r="D403" s="18" t="n">
        <f aca="false">Vendor_Invoices_AP!E400</f>
        <v>321.55</v>
      </c>
      <c r="E403" s="16" t="n">
        <f aca="false">COUNTIF(Payment_Log_AP!$B$2:$B$753,A403)</f>
        <v>0</v>
      </c>
      <c r="F403" s="18" t="n">
        <f aca="false">SUMIFS(Payment_Log_AP!$E$2:$E$753,Payment_Log_AP!$B$2:$B$753,A403)</f>
        <v>0</v>
      </c>
      <c r="G403" s="18" t="n">
        <f aca="false">MAX(F403-D403,0)</f>
        <v>0</v>
      </c>
      <c r="H403" s="16" t="str">
        <f aca="false">IF(E403&gt;1,"DUPLICATE - Review",IF(G403&gt;Assumptions!$B$6,"OVERPAID - Review","OK"))</f>
        <v>OK</v>
      </c>
    </row>
    <row r="404" customFormat="false" ht="15" hidden="false" customHeight="false" outlineLevel="0" collapsed="false">
      <c r="A404" s="16" t="str">
        <f aca="false">Vendor_Invoices_AP!A401</f>
        <v>INV30400</v>
      </c>
      <c r="B404" s="16" t="str">
        <f aca="false">Vendor_Invoices_AP!C401</f>
        <v>V1016</v>
      </c>
      <c r="C404" s="16" t="str">
        <f aca="false">IFERROR(INDEX(Vendor_Master!$B$2:$B$41,MATCH(B404,Vendor_Master!$A$2:$A$41,0)),"Unknown Vendor")</f>
        <v>Sanchez, Ford and Nelson</v>
      </c>
      <c r="D404" s="18" t="n">
        <f aca="false">Vendor_Invoices_AP!E401</f>
        <v>2982.17</v>
      </c>
      <c r="E404" s="16" t="n">
        <f aca="false">COUNTIF(Payment_Log_AP!$B$2:$B$753,A404)</f>
        <v>0</v>
      </c>
      <c r="F404" s="18" t="n">
        <f aca="false">SUMIFS(Payment_Log_AP!$E$2:$E$753,Payment_Log_AP!$B$2:$B$753,A404)</f>
        <v>0</v>
      </c>
      <c r="G404" s="18" t="n">
        <f aca="false">MAX(F404-D404,0)</f>
        <v>0</v>
      </c>
      <c r="H404" s="16" t="str">
        <f aca="false">IF(E404&gt;1,"DUPLICATE - Review",IF(G404&gt;Assumptions!$B$6,"OVERPAID - Review","OK"))</f>
        <v>OK</v>
      </c>
    </row>
    <row r="405" customFormat="false" ht="15" hidden="false" customHeight="false" outlineLevel="0" collapsed="false">
      <c r="A405" s="16" t="str">
        <f aca="false">Vendor_Invoices_AP!A402</f>
        <v>INV30401</v>
      </c>
      <c r="B405" s="16" t="str">
        <f aca="false">Vendor_Invoices_AP!C402</f>
        <v>V1008</v>
      </c>
      <c r="C405" s="16" t="str">
        <f aca="false">IFERROR(INDEX(Vendor_Master!$B$2:$B$41,MATCH(B405,Vendor_Master!$A$2:$A$41,0)),"Unknown Vendor")</f>
        <v>Davis Inc</v>
      </c>
      <c r="D405" s="18" t="n">
        <f aca="false">Vendor_Invoices_AP!E402</f>
        <v>688.7</v>
      </c>
      <c r="E405" s="16" t="n">
        <f aca="false">COUNTIF(Payment_Log_AP!$B$2:$B$753,A405)</f>
        <v>1</v>
      </c>
      <c r="F405" s="18" t="n">
        <f aca="false">SUMIFS(Payment_Log_AP!$E$2:$E$753,Payment_Log_AP!$B$2:$B$753,A405)</f>
        <v>688.7</v>
      </c>
      <c r="G405" s="18" t="n">
        <f aca="false">MAX(F405-D405,0)</f>
        <v>0</v>
      </c>
      <c r="H405" s="16" t="str">
        <f aca="false">IF(E405&gt;1,"DUPLICATE - Review",IF(G405&gt;Assumptions!$B$6,"OVERPAID - Review","OK"))</f>
        <v>OK</v>
      </c>
    </row>
    <row r="406" customFormat="false" ht="15" hidden="false" customHeight="false" outlineLevel="0" collapsed="false">
      <c r="A406" s="16" t="str">
        <f aca="false">Vendor_Invoices_AP!A403</f>
        <v>INV30402</v>
      </c>
      <c r="B406" s="16" t="str">
        <f aca="false">Vendor_Invoices_AP!C403</f>
        <v>V1025</v>
      </c>
      <c r="C406" s="16" t="str">
        <f aca="false">IFERROR(INDEX(Vendor_Master!$B$2:$B$41,MATCH(B406,Vendor_Master!$A$2:$A$41,0)),"Unknown Vendor")</f>
        <v>Conner Group</v>
      </c>
      <c r="D406" s="18" t="n">
        <f aca="false">Vendor_Invoices_AP!E403</f>
        <v>8582.35</v>
      </c>
      <c r="E406" s="16" t="n">
        <f aca="false">COUNTIF(Payment_Log_AP!$B$2:$B$753,A406)</f>
        <v>1</v>
      </c>
      <c r="F406" s="18" t="n">
        <f aca="false">SUMIFS(Payment_Log_AP!$E$2:$E$753,Payment_Log_AP!$B$2:$B$753,A406)</f>
        <v>8582.35</v>
      </c>
      <c r="G406" s="18" t="n">
        <f aca="false">MAX(F406-D406,0)</f>
        <v>0</v>
      </c>
      <c r="H406" s="16" t="str">
        <f aca="false">IF(E406&gt;1,"DUPLICATE - Review",IF(G406&gt;Assumptions!$B$6,"OVERPAID - Review","OK"))</f>
        <v>OK</v>
      </c>
    </row>
    <row r="407" customFormat="false" ht="15" hidden="false" customHeight="false" outlineLevel="0" collapsed="false">
      <c r="A407" s="16" t="str">
        <f aca="false">Vendor_Invoices_AP!A404</f>
        <v>INV30403</v>
      </c>
      <c r="B407" s="16" t="str">
        <f aca="false">Vendor_Invoices_AP!C404</f>
        <v>V1011</v>
      </c>
      <c r="C407" s="16" t="str">
        <f aca="false">IFERROR(INDEX(Vendor_Master!$B$2:$B$41,MATCH(B407,Vendor_Master!$A$2:$A$41,0)),"Unknown Vendor")</f>
        <v>Montgomery, Hensley and Ray</v>
      </c>
      <c r="D407" s="18" t="n">
        <f aca="false">Vendor_Invoices_AP!E404</f>
        <v>4765.55</v>
      </c>
      <c r="E407" s="16" t="n">
        <f aca="false">COUNTIF(Payment_Log_AP!$B$2:$B$753,A407)</f>
        <v>1</v>
      </c>
      <c r="F407" s="18" t="n">
        <f aca="false">SUMIFS(Payment_Log_AP!$E$2:$E$753,Payment_Log_AP!$B$2:$B$753,A407)</f>
        <v>4765.55</v>
      </c>
      <c r="G407" s="18" t="n">
        <f aca="false">MAX(F407-D407,0)</f>
        <v>0</v>
      </c>
      <c r="H407" s="16" t="str">
        <f aca="false">IF(E407&gt;1,"DUPLICATE - Review",IF(G407&gt;Assumptions!$B$6,"OVERPAID - Review","OK"))</f>
        <v>OK</v>
      </c>
    </row>
    <row r="408" customFormat="false" ht="15" hidden="false" customHeight="false" outlineLevel="0" collapsed="false">
      <c r="A408" s="16" t="str">
        <f aca="false">Vendor_Invoices_AP!A405</f>
        <v>INV30404</v>
      </c>
      <c r="B408" s="16" t="str">
        <f aca="false">Vendor_Invoices_AP!C405</f>
        <v>V1002</v>
      </c>
      <c r="C408" s="16" t="str">
        <f aca="false">IFERROR(INDEX(Vendor_Master!$B$2:$B$41,MATCH(B408,Vendor_Master!$A$2:$A$41,0)),"Unknown Vendor")</f>
        <v>Garcia, Yang and Gardner</v>
      </c>
      <c r="D408" s="18" t="n">
        <f aca="false">Vendor_Invoices_AP!E405</f>
        <v>3276.88</v>
      </c>
      <c r="E408" s="16" t="n">
        <f aca="false">COUNTIF(Payment_Log_AP!$B$2:$B$753,A408)</f>
        <v>1</v>
      </c>
      <c r="F408" s="18" t="n">
        <f aca="false">SUMIFS(Payment_Log_AP!$E$2:$E$753,Payment_Log_AP!$B$2:$B$753,A408)</f>
        <v>3276.88</v>
      </c>
      <c r="G408" s="18" t="n">
        <f aca="false">MAX(F408-D408,0)</f>
        <v>0</v>
      </c>
      <c r="H408" s="16" t="str">
        <f aca="false">IF(E408&gt;1,"DUPLICATE - Review",IF(G408&gt;Assumptions!$B$6,"OVERPAID - Review","OK"))</f>
        <v>OK</v>
      </c>
    </row>
    <row r="409" customFormat="false" ht="15" hidden="false" customHeight="false" outlineLevel="0" collapsed="false">
      <c r="A409" s="16" t="str">
        <f aca="false">Vendor_Invoices_AP!A406</f>
        <v>INV30405</v>
      </c>
      <c r="B409" s="16" t="str">
        <f aca="false">Vendor_Invoices_AP!C406</f>
        <v>V1033</v>
      </c>
      <c r="C409" s="16" t="str">
        <f aca="false">IFERROR(INDEX(Vendor_Master!$B$2:$B$41,MATCH(B409,Vendor_Master!$A$2:$A$41,0)),"Unknown Vendor")</f>
        <v>Sellers, George and Burns</v>
      </c>
      <c r="D409" s="18" t="n">
        <f aca="false">Vendor_Invoices_AP!E406</f>
        <v>1027.11</v>
      </c>
      <c r="E409" s="16" t="n">
        <f aca="false">COUNTIF(Payment_Log_AP!$B$2:$B$753,A409)</f>
        <v>1</v>
      </c>
      <c r="F409" s="18" t="n">
        <f aca="false">SUMIFS(Payment_Log_AP!$E$2:$E$753,Payment_Log_AP!$B$2:$B$753,A409)</f>
        <v>1027.11</v>
      </c>
      <c r="G409" s="18" t="n">
        <f aca="false">MAX(F409-D409,0)</f>
        <v>0</v>
      </c>
      <c r="H409" s="16" t="str">
        <f aca="false">IF(E409&gt;1,"DUPLICATE - Review",IF(G409&gt;Assumptions!$B$6,"OVERPAID - Review","OK"))</f>
        <v>OK</v>
      </c>
    </row>
    <row r="410" customFormat="false" ht="15" hidden="false" customHeight="false" outlineLevel="0" collapsed="false">
      <c r="A410" s="16" t="str">
        <f aca="false">Vendor_Invoices_AP!A407</f>
        <v>INV30406</v>
      </c>
      <c r="B410" s="16" t="str">
        <f aca="false">Vendor_Invoices_AP!C407</f>
        <v>V1033</v>
      </c>
      <c r="C410" s="16" t="str">
        <f aca="false">IFERROR(INDEX(Vendor_Master!$B$2:$B$41,MATCH(B410,Vendor_Master!$A$2:$A$41,0)),"Unknown Vendor")</f>
        <v>Sellers, George and Burns</v>
      </c>
      <c r="D410" s="18" t="n">
        <f aca="false">Vendor_Invoices_AP!E407</f>
        <v>1027.11</v>
      </c>
      <c r="E410" s="16" t="n">
        <f aca="false">COUNTIF(Payment_Log_AP!$B$2:$B$753,A410)</f>
        <v>1</v>
      </c>
      <c r="F410" s="18" t="n">
        <f aca="false">SUMIFS(Payment_Log_AP!$E$2:$E$753,Payment_Log_AP!$B$2:$B$753,A410)</f>
        <v>1027.11</v>
      </c>
      <c r="G410" s="18" t="n">
        <f aca="false">MAX(F410-D410,0)</f>
        <v>0</v>
      </c>
      <c r="H410" s="16" t="str">
        <f aca="false">IF(E410&gt;1,"DUPLICATE - Review",IF(G410&gt;Assumptions!$B$6,"OVERPAID - Review","OK"))</f>
        <v>OK</v>
      </c>
    </row>
    <row r="411" customFormat="false" ht="15" hidden="false" customHeight="false" outlineLevel="0" collapsed="false">
      <c r="A411" s="16" t="str">
        <f aca="false">Vendor_Invoices_AP!A408</f>
        <v>INV30407</v>
      </c>
      <c r="B411" s="16" t="str">
        <f aca="false">Vendor_Invoices_AP!C408</f>
        <v>V1030</v>
      </c>
      <c r="C411" s="16" t="str">
        <f aca="false">IFERROR(INDEX(Vendor_Master!$B$2:$B$41,MATCH(B411,Vendor_Master!$A$2:$A$41,0)),"Unknown Vendor")</f>
        <v>Stanton-Gill</v>
      </c>
      <c r="D411" s="18" t="n">
        <f aca="false">Vendor_Invoices_AP!E408</f>
        <v>4853.33</v>
      </c>
      <c r="E411" s="16" t="n">
        <f aca="false">COUNTIF(Payment_Log_AP!$B$2:$B$753,A411)</f>
        <v>1</v>
      </c>
      <c r="F411" s="18" t="n">
        <f aca="false">SUMIFS(Payment_Log_AP!$E$2:$E$753,Payment_Log_AP!$B$2:$B$753,A411)</f>
        <v>4853.33</v>
      </c>
      <c r="G411" s="18" t="n">
        <f aca="false">MAX(F411-D411,0)</f>
        <v>0</v>
      </c>
      <c r="H411" s="16" t="str">
        <f aca="false">IF(E411&gt;1,"DUPLICATE - Review",IF(G411&gt;Assumptions!$B$6,"OVERPAID - Review","OK"))</f>
        <v>OK</v>
      </c>
    </row>
    <row r="412" customFormat="false" ht="15" hidden="false" customHeight="false" outlineLevel="0" collapsed="false">
      <c r="A412" s="16" t="str">
        <f aca="false">Vendor_Invoices_AP!A409</f>
        <v>INV30408</v>
      </c>
      <c r="B412" s="16" t="str">
        <f aca="false">Vendor_Invoices_AP!C409</f>
        <v>V1017</v>
      </c>
      <c r="C412" s="16" t="str">
        <f aca="false">IFERROR(INDEX(Vendor_Master!$B$2:$B$41,MATCH(B412,Vendor_Master!$A$2:$A$41,0)),"Unknown Vendor")</f>
        <v>Hawkins, Cohen and Cameron</v>
      </c>
      <c r="D412" s="18" t="n">
        <f aca="false">Vendor_Invoices_AP!E409</f>
        <v>4213.88</v>
      </c>
      <c r="E412" s="16" t="n">
        <f aca="false">COUNTIF(Payment_Log_AP!$B$2:$B$753,A412)</f>
        <v>1</v>
      </c>
      <c r="F412" s="18" t="n">
        <f aca="false">SUMIFS(Payment_Log_AP!$E$2:$E$753,Payment_Log_AP!$B$2:$B$753,A412)</f>
        <v>4213.88</v>
      </c>
      <c r="G412" s="18" t="n">
        <f aca="false">MAX(F412-D412,0)</f>
        <v>0</v>
      </c>
      <c r="H412" s="16" t="str">
        <f aca="false">IF(E412&gt;1,"DUPLICATE - Review",IF(G412&gt;Assumptions!$B$6,"OVERPAID - Review","OK"))</f>
        <v>OK</v>
      </c>
    </row>
    <row r="413" customFormat="false" ht="15" hidden="false" customHeight="false" outlineLevel="0" collapsed="false">
      <c r="A413" s="16" t="str">
        <f aca="false">Vendor_Invoices_AP!A410</f>
        <v>INV30409</v>
      </c>
      <c r="B413" s="16" t="str">
        <f aca="false">Vendor_Invoices_AP!C410</f>
        <v>V1018</v>
      </c>
      <c r="C413" s="16" t="str">
        <f aca="false">IFERROR(INDEX(Vendor_Master!$B$2:$B$41,MATCH(B413,Vendor_Master!$A$2:$A$41,0)),"Unknown Vendor")</f>
        <v>Underwood LLC</v>
      </c>
      <c r="D413" s="18" t="n">
        <f aca="false">Vendor_Invoices_AP!E410</f>
        <v>1024.13</v>
      </c>
      <c r="E413" s="16" t="n">
        <f aca="false">COUNTIF(Payment_Log_AP!$B$2:$B$753,A413)</f>
        <v>1</v>
      </c>
      <c r="F413" s="18" t="n">
        <f aca="false">SUMIFS(Payment_Log_AP!$E$2:$E$753,Payment_Log_AP!$B$2:$B$753,A413)</f>
        <v>1024.13</v>
      </c>
      <c r="G413" s="18" t="n">
        <f aca="false">MAX(F413-D413,0)</f>
        <v>0</v>
      </c>
      <c r="H413" s="16" t="str">
        <f aca="false">IF(E413&gt;1,"DUPLICATE - Review",IF(G413&gt;Assumptions!$B$6,"OVERPAID - Review","OK"))</f>
        <v>OK</v>
      </c>
    </row>
    <row r="414" customFormat="false" ht="15" hidden="false" customHeight="false" outlineLevel="0" collapsed="false">
      <c r="A414" s="16" t="str">
        <f aca="false">Vendor_Invoices_AP!A411</f>
        <v>INV30410</v>
      </c>
      <c r="B414" s="16" t="str">
        <f aca="false">Vendor_Invoices_AP!C411</f>
        <v>V1002</v>
      </c>
      <c r="C414" s="16" t="str">
        <f aca="false">IFERROR(INDEX(Vendor_Master!$B$2:$B$41,MATCH(B414,Vendor_Master!$A$2:$A$41,0)),"Unknown Vendor")</f>
        <v>Garcia, Yang and Gardner</v>
      </c>
      <c r="D414" s="18" t="n">
        <f aca="false">Vendor_Invoices_AP!E411</f>
        <v>6836.7</v>
      </c>
      <c r="E414" s="16" t="n">
        <f aca="false">COUNTIF(Payment_Log_AP!$B$2:$B$753,A414)</f>
        <v>1</v>
      </c>
      <c r="F414" s="18" t="n">
        <f aca="false">SUMIFS(Payment_Log_AP!$E$2:$E$753,Payment_Log_AP!$B$2:$B$753,A414)</f>
        <v>6836.7</v>
      </c>
      <c r="G414" s="18" t="n">
        <f aca="false">MAX(F414-D414,0)</f>
        <v>0</v>
      </c>
      <c r="H414" s="16" t="str">
        <f aca="false">IF(E414&gt;1,"DUPLICATE - Review",IF(G414&gt;Assumptions!$B$6,"OVERPAID - Review","OK"))</f>
        <v>OK</v>
      </c>
    </row>
    <row r="415" customFormat="false" ht="15" hidden="false" customHeight="false" outlineLevel="0" collapsed="false">
      <c r="A415" s="16" t="str">
        <f aca="false">Vendor_Invoices_AP!A412</f>
        <v>INV30411</v>
      </c>
      <c r="B415" s="16" t="str">
        <f aca="false">Vendor_Invoices_AP!C412</f>
        <v>V1029</v>
      </c>
      <c r="C415" s="16" t="str">
        <f aca="false">IFERROR(INDEX(Vendor_Master!$B$2:$B$41,MATCH(B415,Vendor_Master!$A$2:$A$41,0)),"Unknown Vendor")</f>
        <v>Chavez Ltd</v>
      </c>
      <c r="D415" s="18" t="n">
        <f aca="false">Vendor_Invoices_AP!E412</f>
        <v>2800.96</v>
      </c>
      <c r="E415" s="16" t="n">
        <f aca="false">COUNTIF(Payment_Log_AP!$B$2:$B$753,A415)</f>
        <v>1</v>
      </c>
      <c r="F415" s="18" t="n">
        <f aca="false">SUMIFS(Payment_Log_AP!$E$2:$E$753,Payment_Log_AP!$B$2:$B$753,A415)</f>
        <v>2800.96</v>
      </c>
      <c r="G415" s="18" t="n">
        <f aca="false">MAX(F415-D415,0)</f>
        <v>0</v>
      </c>
      <c r="H415" s="16" t="str">
        <f aca="false">IF(E415&gt;1,"DUPLICATE - Review",IF(G415&gt;Assumptions!$B$6,"OVERPAID - Review","OK"))</f>
        <v>OK</v>
      </c>
    </row>
    <row r="416" customFormat="false" ht="15" hidden="false" customHeight="false" outlineLevel="0" collapsed="false">
      <c r="A416" s="16" t="str">
        <f aca="false">Vendor_Invoices_AP!A413</f>
        <v>INV30412</v>
      </c>
      <c r="B416" s="16" t="str">
        <f aca="false">Vendor_Invoices_AP!C413</f>
        <v>V1004</v>
      </c>
      <c r="C416" s="16" t="str">
        <f aca="false">IFERROR(INDEX(Vendor_Master!$B$2:$B$41,MATCH(B416,Vendor_Master!$A$2:$A$41,0)),"Unknown Vendor")</f>
        <v>Johnson, Gonzalez and Santos</v>
      </c>
      <c r="D416" s="18" t="n">
        <f aca="false">Vendor_Invoices_AP!E413</f>
        <v>2607.21</v>
      </c>
      <c r="E416" s="16" t="n">
        <f aca="false">COUNTIF(Payment_Log_AP!$B$2:$B$753,A416)</f>
        <v>1</v>
      </c>
      <c r="F416" s="18" t="n">
        <f aca="false">SUMIFS(Payment_Log_AP!$E$2:$E$753,Payment_Log_AP!$B$2:$B$753,A416)</f>
        <v>2607.21</v>
      </c>
      <c r="G416" s="18" t="n">
        <f aca="false">MAX(F416-D416,0)</f>
        <v>0</v>
      </c>
      <c r="H416" s="16" t="str">
        <f aca="false">IF(E416&gt;1,"DUPLICATE - Review",IF(G416&gt;Assumptions!$B$6,"OVERPAID - Review","OK"))</f>
        <v>OK</v>
      </c>
    </row>
    <row r="417" customFormat="false" ht="15" hidden="false" customHeight="false" outlineLevel="0" collapsed="false">
      <c r="A417" s="16" t="str">
        <f aca="false">Vendor_Invoices_AP!A414</f>
        <v>INV30413</v>
      </c>
      <c r="B417" s="16" t="str">
        <f aca="false">Vendor_Invoices_AP!C414</f>
        <v>V1014</v>
      </c>
      <c r="C417" s="16" t="str">
        <f aca="false">IFERROR(INDEX(Vendor_Master!$B$2:$B$41,MATCH(B417,Vendor_Master!$A$2:$A$41,0)),"Unknown Vendor")</f>
        <v>Flowers, Martin and Kelly</v>
      </c>
      <c r="D417" s="18" t="n">
        <f aca="false">Vendor_Invoices_AP!E414</f>
        <v>3346.97</v>
      </c>
      <c r="E417" s="16" t="n">
        <f aca="false">COUNTIF(Payment_Log_AP!$B$2:$B$753,A417)</f>
        <v>1</v>
      </c>
      <c r="F417" s="18" t="n">
        <f aca="false">SUMIFS(Payment_Log_AP!$E$2:$E$753,Payment_Log_AP!$B$2:$B$753,A417)</f>
        <v>3346.97</v>
      </c>
      <c r="G417" s="18" t="n">
        <f aca="false">MAX(F417-D417,0)</f>
        <v>0</v>
      </c>
      <c r="H417" s="16" t="str">
        <f aca="false">IF(E417&gt;1,"DUPLICATE - Review",IF(G417&gt;Assumptions!$B$6,"OVERPAID - Review","OK"))</f>
        <v>OK</v>
      </c>
    </row>
    <row r="418" customFormat="false" ht="15" hidden="false" customHeight="false" outlineLevel="0" collapsed="false">
      <c r="A418" s="16" t="str">
        <f aca="false">Vendor_Invoices_AP!A415</f>
        <v>INV30414</v>
      </c>
      <c r="B418" s="16" t="str">
        <f aca="false">Vendor_Invoices_AP!C415</f>
        <v>V1028</v>
      </c>
      <c r="C418" s="16" t="str">
        <f aca="false">IFERROR(INDEX(Vendor_Master!$B$2:$B$41,MATCH(B418,Vendor_Master!$A$2:$A$41,0)),"Unknown Vendor")</f>
        <v>Potter, Mack and Peterson</v>
      </c>
      <c r="D418" s="18" t="n">
        <f aca="false">Vendor_Invoices_AP!E415</f>
        <v>927.7</v>
      </c>
      <c r="E418" s="16" t="n">
        <f aca="false">COUNTIF(Payment_Log_AP!$B$2:$B$753,A418)</f>
        <v>1</v>
      </c>
      <c r="F418" s="18" t="n">
        <f aca="false">SUMIFS(Payment_Log_AP!$E$2:$E$753,Payment_Log_AP!$B$2:$B$753,A418)</f>
        <v>927.7</v>
      </c>
      <c r="G418" s="18" t="n">
        <f aca="false">MAX(F418-D418,0)</f>
        <v>0</v>
      </c>
      <c r="H418" s="16" t="str">
        <f aca="false">IF(E418&gt;1,"DUPLICATE - Review",IF(G418&gt;Assumptions!$B$6,"OVERPAID - Review","OK"))</f>
        <v>OK</v>
      </c>
    </row>
    <row r="419" customFormat="false" ht="15" hidden="false" customHeight="false" outlineLevel="0" collapsed="false">
      <c r="A419" s="16" t="str">
        <f aca="false">Vendor_Invoices_AP!A416</f>
        <v>INV30415</v>
      </c>
      <c r="B419" s="16" t="str">
        <f aca="false">Vendor_Invoices_AP!C416</f>
        <v>V1018</v>
      </c>
      <c r="C419" s="16" t="str">
        <f aca="false">IFERROR(INDEX(Vendor_Master!$B$2:$B$41,MATCH(B419,Vendor_Master!$A$2:$A$41,0)),"Unknown Vendor")</f>
        <v>Underwood LLC</v>
      </c>
      <c r="D419" s="18" t="n">
        <f aca="false">Vendor_Invoices_AP!E416</f>
        <v>1759.54</v>
      </c>
      <c r="E419" s="16" t="n">
        <f aca="false">COUNTIF(Payment_Log_AP!$B$2:$B$753,A419)</f>
        <v>1</v>
      </c>
      <c r="F419" s="18" t="n">
        <f aca="false">SUMIFS(Payment_Log_AP!$E$2:$E$753,Payment_Log_AP!$B$2:$B$753,A419)</f>
        <v>1759.54</v>
      </c>
      <c r="G419" s="18" t="n">
        <f aca="false">MAX(F419-D419,0)</f>
        <v>0</v>
      </c>
      <c r="H419" s="16" t="str">
        <f aca="false">IF(E419&gt;1,"DUPLICATE - Review",IF(G419&gt;Assumptions!$B$6,"OVERPAID - Review","OK"))</f>
        <v>OK</v>
      </c>
    </row>
    <row r="420" customFormat="false" ht="15" hidden="false" customHeight="false" outlineLevel="0" collapsed="false">
      <c r="A420" s="16" t="str">
        <f aca="false">Vendor_Invoices_AP!A417</f>
        <v>INV30416</v>
      </c>
      <c r="B420" s="16" t="str">
        <f aca="false">Vendor_Invoices_AP!C417</f>
        <v>V1029</v>
      </c>
      <c r="C420" s="16" t="str">
        <f aca="false">IFERROR(INDEX(Vendor_Master!$B$2:$B$41,MATCH(B420,Vendor_Master!$A$2:$A$41,0)),"Unknown Vendor")</f>
        <v>Chavez Ltd</v>
      </c>
      <c r="D420" s="18" t="n">
        <f aca="false">Vendor_Invoices_AP!E417</f>
        <v>1478.45</v>
      </c>
      <c r="E420" s="16" t="n">
        <f aca="false">COUNTIF(Payment_Log_AP!$B$2:$B$753,A420)</f>
        <v>1</v>
      </c>
      <c r="F420" s="18" t="n">
        <f aca="false">SUMIFS(Payment_Log_AP!$E$2:$E$753,Payment_Log_AP!$B$2:$B$753,A420)</f>
        <v>1478.45</v>
      </c>
      <c r="G420" s="18" t="n">
        <f aca="false">MAX(F420-D420,0)</f>
        <v>0</v>
      </c>
      <c r="H420" s="16" t="str">
        <f aca="false">IF(E420&gt;1,"DUPLICATE - Review",IF(G420&gt;Assumptions!$B$6,"OVERPAID - Review","OK"))</f>
        <v>OK</v>
      </c>
    </row>
    <row r="421" customFormat="false" ht="15" hidden="false" customHeight="false" outlineLevel="0" collapsed="false">
      <c r="A421" s="16" t="str">
        <f aca="false">Vendor_Invoices_AP!A418</f>
        <v>INV30417</v>
      </c>
      <c r="B421" s="16" t="str">
        <f aca="false">Vendor_Invoices_AP!C418</f>
        <v>V1026</v>
      </c>
      <c r="C421" s="16" t="str">
        <f aca="false">IFERROR(INDEX(Vendor_Master!$B$2:$B$41,MATCH(B421,Vendor_Master!$A$2:$A$41,0)),"Unknown Vendor")</f>
        <v>James-Ferrell</v>
      </c>
      <c r="D421" s="18" t="n">
        <f aca="false">Vendor_Invoices_AP!E418</f>
        <v>5195.5</v>
      </c>
      <c r="E421" s="16" t="n">
        <f aca="false">COUNTIF(Payment_Log_AP!$B$2:$B$753,A421)</f>
        <v>1</v>
      </c>
      <c r="F421" s="18" t="n">
        <f aca="false">SUMIFS(Payment_Log_AP!$E$2:$E$753,Payment_Log_AP!$B$2:$B$753,A421)</f>
        <v>5195.5</v>
      </c>
      <c r="G421" s="18" t="n">
        <f aca="false">MAX(F421-D421,0)</f>
        <v>0</v>
      </c>
      <c r="H421" s="16" t="str">
        <f aca="false">IF(E421&gt;1,"DUPLICATE - Review",IF(G421&gt;Assumptions!$B$6,"OVERPAID - Review","OK"))</f>
        <v>OK</v>
      </c>
    </row>
    <row r="422" customFormat="false" ht="15" hidden="false" customHeight="false" outlineLevel="0" collapsed="false">
      <c r="A422" s="16" t="str">
        <f aca="false">Vendor_Invoices_AP!A419</f>
        <v>INV30418</v>
      </c>
      <c r="B422" s="16" t="str">
        <f aca="false">Vendor_Invoices_AP!C419</f>
        <v>V1025</v>
      </c>
      <c r="C422" s="16" t="str">
        <f aca="false">IFERROR(INDEX(Vendor_Master!$B$2:$B$41,MATCH(B422,Vendor_Master!$A$2:$A$41,0)),"Unknown Vendor")</f>
        <v>Conner Group</v>
      </c>
      <c r="D422" s="18" t="n">
        <f aca="false">Vendor_Invoices_AP!E419</f>
        <v>3949.44</v>
      </c>
      <c r="E422" s="16" t="n">
        <f aca="false">COUNTIF(Payment_Log_AP!$B$2:$B$753,A422)</f>
        <v>1</v>
      </c>
      <c r="F422" s="18" t="n">
        <f aca="false">SUMIFS(Payment_Log_AP!$E$2:$E$753,Payment_Log_AP!$B$2:$B$753,A422)</f>
        <v>3949.44</v>
      </c>
      <c r="G422" s="18" t="n">
        <f aca="false">MAX(F422-D422,0)</f>
        <v>0</v>
      </c>
      <c r="H422" s="16" t="str">
        <f aca="false">IF(E422&gt;1,"DUPLICATE - Review",IF(G422&gt;Assumptions!$B$6,"OVERPAID - Review","OK"))</f>
        <v>OK</v>
      </c>
    </row>
    <row r="423" customFormat="false" ht="15" hidden="false" customHeight="false" outlineLevel="0" collapsed="false">
      <c r="A423" s="16" t="str">
        <f aca="false">Vendor_Invoices_AP!A420</f>
        <v>INV30419</v>
      </c>
      <c r="B423" s="16" t="str">
        <f aca="false">Vendor_Invoices_AP!C420</f>
        <v>V1031</v>
      </c>
      <c r="C423" s="16" t="str">
        <f aca="false">IFERROR(INDEX(Vendor_Master!$B$2:$B$41,MATCH(B423,Vendor_Master!$A$2:$A$41,0)),"Unknown Vendor")</f>
        <v>Harrell LLC</v>
      </c>
      <c r="D423" s="18" t="n">
        <f aca="false">Vendor_Invoices_AP!E420</f>
        <v>1814.72</v>
      </c>
      <c r="E423" s="16" t="n">
        <f aca="false">COUNTIF(Payment_Log_AP!$B$2:$B$753,A423)</f>
        <v>1</v>
      </c>
      <c r="F423" s="18" t="n">
        <f aca="false">SUMIFS(Payment_Log_AP!$E$2:$E$753,Payment_Log_AP!$B$2:$B$753,A423)</f>
        <v>1814.72</v>
      </c>
      <c r="G423" s="18" t="n">
        <f aca="false">MAX(F423-D423,0)</f>
        <v>0</v>
      </c>
      <c r="H423" s="16" t="str">
        <f aca="false">IF(E423&gt;1,"DUPLICATE - Review",IF(G423&gt;Assumptions!$B$6,"OVERPAID - Review","OK"))</f>
        <v>OK</v>
      </c>
    </row>
    <row r="424" customFormat="false" ht="15" hidden="false" customHeight="false" outlineLevel="0" collapsed="false">
      <c r="A424" s="16" t="str">
        <f aca="false">Vendor_Invoices_AP!A421</f>
        <v>INV30420</v>
      </c>
      <c r="B424" s="16" t="str">
        <f aca="false">Vendor_Invoices_AP!C421</f>
        <v>V1003</v>
      </c>
      <c r="C424" s="16" t="str">
        <f aca="false">IFERROR(INDEX(Vendor_Master!$B$2:$B$41,MATCH(B424,Vendor_Master!$A$2:$A$41,0)),"Unknown Vendor")</f>
        <v>Johnson and Sons</v>
      </c>
      <c r="D424" s="18" t="n">
        <f aca="false">Vendor_Invoices_AP!E421</f>
        <v>3826.85</v>
      </c>
      <c r="E424" s="16" t="n">
        <f aca="false">COUNTIF(Payment_Log_AP!$B$2:$B$753,A424)</f>
        <v>1</v>
      </c>
      <c r="F424" s="18" t="n">
        <f aca="false">SUMIFS(Payment_Log_AP!$E$2:$E$753,Payment_Log_AP!$B$2:$B$753,A424)</f>
        <v>3826.85</v>
      </c>
      <c r="G424" s="18" t="n">
        <f aca="false">MAX(F424-D424,0)</f>
        <v>0</v>
      </c>
      <c r="H424" s="16" t="str">
        <f aca="false">IF(E424&gt;1,"DUPLICATE - Review",IF(G424&gt;Assumptions!$B$6,"OVERPAID - Review","OK"))</f>
        <v>OK</v>
      </c>
    </row>
    <row r="425" customFormat="false" ht="15" hidden="false" customHeight="false" outlineLevel="0" collapsed="false">
      <c r="A425" s="16" t="str">
        <f aca="false">Vendor_Invoices_AP!A422</f>
        <v>INV30421</v>
      </c>
      <c r="B425" s="16" t="str">
        <f aca="false">Vendor_Invoices_AP!C422</f>
        <v>V1013</v>
      </c>
      <c r="C425" s="16" t="str">
        <f aca="false">IFERROR(INDEX(Vendor_Master!$B$2:$B$41,MATCH(B425,Vendor_Master!$A$2:$A$41,0)),"Unknown Vendor")</f>
        <v>Delacruz Group</v>
      </c>
      <c r="D425" s="18" t="n">
        <f aca="false">Vendor_Invoices_AP!E422</f>
        <v>1836.32</v>
      </c>
      <c r="E425" s="16" t="n">
        <f aca="false">COUNTIF(Payment_Log_AP!$B$2:$B$753,A425)</f>
        <v>1</v>
      </c>
      <c r="F425" s="18" t="n">
        <f aca="false">SUMIFS(Payment_Log_AP!$E$2:$E$753,Payment_Log_AP!$B$2:$B$753,A425)</f>
        <v>1836.32</v>
      </c>
      <c r="G425" s="18" t="n">
        <f aca="false">MAX(F425-D425,0)</f>
        <v>0</v>
      </c>
      <c r="H425" s="16" t="str">
        <f aca="false">IF(E425&gt;1,"DUPLICATE - Review",IF(G425&gt;Assumptions!$B$6,"OVERPAID - Review","OK"))</f>
        <v>OK</v>
      </c>
    </row>
    <row r="426" customFormat="false" ht="15" hidden="false" customHeight="false" outlineLevel="0" collapsed="false">
      <c r="A426" s="16" t="str">
        <f aca="false">Vendor_Invoices_AP!A423</f>
        <v>INV30422</v>
      </c>
      <c r="B426" s="16" t="str">
        <f aca="false">Vendor_Invoices_AP!C423</f>
        <v>V1019</v>
      </c>
      <c r="C426" s="16" t="str">
        <f aca="false">IFERROR(INDEX(Vendor_Master!$B$2:$B$41,MATCH(B426,Vendor_Master!$A$2:$A$41,0)),"Unknown Vendor")</f>
        <v>Clark PLC</v>
      </c>
      <c r="D426" s="18" t="n">
        <f aca="false">Vendor_Invoices_AP!E423</f>
        <v>933.1</v>
      </c>
      <c r="E426" s="16" t="n">
        <f aca="false">COUNTIF(Payment_Log_AP!$B$2:$B$753,A426)</f>
        <v>0</v>
      </c>
      <c r="F426" s="18" t="n">
        <f aca="false">SUMIFS(Payment_Log_AP!$E$2:$E$753,Payment_Log_AP!$B$2:$B$753,A426)</f>
        <v>0</v>
      </c>
      <c r="G426" s="18" t="n">
        <f aca="false">MAX(F426-D426,0)</f>
        <v>0</v>
      </c>
      <c r="H426" s="16" t="str">
        <f aca="false">IF(E426&gt;1,"DUPLICATE - Review",IF(G426&gt;Assumptions!$B$6,"OVERPAID - Review","OK"))</f>
        <v>OK</v>
      </c>
    </row>
    <row r="427" customFormat="false" ht="15" hidden="false" customHeight="false" outlineLevel="0" collapsed="false">
      <c r="A427" s="16" t="str">
        <f aca="false">Vendor_Invoices_AP!A424</f>
        <v>INV30423</v>
      </c>
      <c r="B427" s="16" t="str">
        <f aca="false">Vendor_Invoices_AP!C424</f>
        <v>V1012</v>
      </c>
      <c r="C427" s="16" t="str">
        <f aca="false">IFERROR(INDEX(Vendor_Master!$B$2:$B$41,MATCH(B427,Vendor_Master!$A$2:$A$41,0)),"Unknown Vendor")</f>
        <v>Stanley LLC</v>
      </c>
      <c r="D427" s="18" t="n">
        <f aca="false">Vendor_Invoices_AP!E424</f>
        <v>7023.92</v>
      </c>
      <c r="E427" s="16" t="n">
        <f aca="false">COUNTIF(Payment_Log_AP!$B$2:$B$753,A427)</f>
        <v>1</v>
      </c>
      <c r="F427" s="18" t="n">
        <f aca="false">SUMIFS(Payment_Log_AP!$E$2:$E$753,Payment_Log_AP!$B$2:$B$753,A427)</f>
        <v>7023.92</v>
      </c>
      <c r="G427" s="18" t="n">
        <f aca="false">MAX(F427-D427,0)</f>
        <v>0</v>
      </c>
      <c r="H427" s="16" t="str">
        <f aca="false">IF(E427&gt;1,"DUPLICATE - Review",IF(G427&gt;Assumptions!$B$6,"OVERPAID - Review","OK"))</f>
        <v>OK</v>
      </c>
    </row>
    <row r="428" customFormat="false" ht="15" hidden="false" customHeight="false" outlineLevel="0" collapsed="false">
      <c r="A428" s="16" t="str">
        <f aca="false">Vendor_Invoices_AP!A425</f>
        <v>INV30424</v>
      </c>
      <c r="B428" s="16" t="str">
        <f aca="false">Vendor_Invoices_AP!C425</f>
        <v>V1022</v>
      </c>
      <c r="C428" s="16" t="str">
        <f aca="false">IFERROR(INDEX(Vendor_Master!$B$2:$B$41,MATCH(B428,Vendor_Master!$A$2:$A$41,0)),"Unknown Vendor")</f>
        <v>Burgess-Patterson</v>
      </c>
      <c r="D428" s="18" t="n">
        <f aca="false">Vendor_Invoices_AP!E425</f>
        <v>3586.35</v>
      </c>
      <c r="E428" s="16" t="n">
        <f aca="false">COUNTIF(Payment_Log_AP!$B$2:$B$753,A428)</f>
        <v>1</v>
      </c>
      <c r="F428" s="18" t="n">
        <f aca="false">SUMIFS(Payment_Log_AP!$E$2:$E$753,Payment_Log_AP!$B$2:$B$753,A428)</f>
        <v>3586.35</v>
      </c>
      <c r="G428" s="18" t="n">
        <f aca="false">MAX(F428-D428,0)</f>
        <v>0</v>
      </c>
      <c r="H428" s="16" t="str">
        <f aca="false">IF(E428&gt;1,"DUPLICATE - Review",IF(G428&gt;Assumptions!$B$6,"OVERPAID - Review","OK"))</f>
        <v>OK</v>
      </c>
    </row>
    <row r="429" customFormat="false" ht="15" hidden="false" customHeight="false" outlineLevel="0" collapsed="false">
      <c r="A429" s="16" t="str">
        <f aca="false">Vendor_Invoices_AP!A426</f>
        <v>INV30425</v>
      </c>
      <c r="B429" s="16" t="str">
        <f aca="false">Vendor_Invoices_AP!C426</f>
        <v>V1029</v>
      </c>
      <c r="C429" s="16" t="str">
        <f aca="false">IFERROR(INDEX(Vendor_Master!$B$2:$B$41,MATCH(B429,Vendor_Master!$A$2:$A$41,0)),"Unknown Vendor")</f>
        <v>Chavez Ltd</v>
      </c>
      <c r="D429" s="18" t="n">
        <f aca="false">Vendor_Invoices_AP!E426</f>
        <v>3705.05</v>
      </c>
      <c r="E429" s="16" t="n">
        <f aca="false">COUNTIF(Payment_Log_AP!$B$2:$B$753,A429)</f>
        <v>1</v>
      </c>
      <c r="F429" s="18" t="n">
        <f aca="false">SUMIFS(Payment_Log_AP!$E$2:$E$753,Payment_Log_AP!$B$2:$B$753,A429)</f>
        <v>3705.05</v>
      </c>
      <c r="G429" s="18" t="n">
        <f aca="false">MAX(F429-D429,0)</f>
        <v>0</v>
      </c>
      <c r="H429" s="16" t="str">
        <f aca="false">IF(E429&gt;1,"DUPLICATE - Review",IF(G429&gt;Assumptions!$B$6,"OVERPAID - Review","OK"))</f>
        <v>OK</v>
      </c>
    </row>
    <row r="430" customFormat="false" ht="15" hidden="false" customHeight="false" outlineLevel="0" collapsed="false">
      <c r="A430" s="16" t="str">
        <f aca="false">Vendor_Invoices_AP!A427</f>
        <v>INV30426</v>
      </c>
      <c r="B430" s="16" t="str">
        <f aca="false">Vendor_Invoices_AP!C427</f>
        <v>V1005</v>
      </c>
      <c r="C430" s="16" t="str">
        <f aca="false">IFERROR(INDEX(Vendor_Master!$B$2:$B$41,MATCH(B430,Vendor_Master!$A$2:$A$41,0)),"Unknown Vendor")</f>
        <v>Cole LLC</v>
      </c>
      <c r="D430" s="18" t="n">
        <f aca="false">Vendor_Invoices_AP!E427</f>
        <v>4579.99</v>
      </c>
      <c r="E430" s="16" t="n">
        <f aca="false">COUNTIF(Payment_Log_AP!$B$2:$B$753,A430)</f>
        <v>1</v>
      </c>
      <c r="F430" s="18" t="n">
        <f aca="false">SUMIFS(Payment_Log_AP!$E$2:$E$753,Payment_Log_AP!$B$2:$B$753,A430)</f>
        <v>4579.99</v>
      </c>
      <c r="G430" s="18" t="n">
        <f aca="false">MAX(F430-D430,0)</f>
        <v>0</v>
      </c>
      <c r="H430" s="16" t="str">
        <f aca="false">IF(E430&gt;1,"DUPLICATE - Review",IF(G430&gt;Assumptions!$B$6,"OVERPAID - Review","OK"))</f>
        <v>OK</v>
      </c>
    </row>
    <row r="431" customFormat="false" ht="15" hidden="false" customHeight="false" outlineLevel="0" collapsed="false">
      <c r="A431" s="16" t="str">
        <f aca="false">Vendor_Invoices_AP!A428</f>
        <v>INV30427</v>
      </c>
      <c r="B431" s="16" t="str">
        <f aca="false">Vendor_Invoices_AP!C428</f>
        <v>V1015</v>
      </c>
      <c r="C431" s="16" t="str">
        <f aca="false">IFERROR(INDEX(Vendor_Master!$B$2:$B$41,MATCH(B431,Vendor_Master!$A$2:$A$41,0)),"Unknown Vendor")</f>
        <v>Zuniga, Wong and Lynch</v>
      </c>
      <c r="D431" s="18" t="n">
        <f aca="false">Vendor_Invoices_AP!E428</f>
        <v>439.82</v>
      </c>
      <c r="E431" s="16" t="n">
        <f aca="false">COUNTIF(Payment_Log_AP!$B$2:$B$753,A431)</f>
        <v>0</v>
      </c>
      <c r="F431" s="18" t="n">
        <f aca="false">SUMIFS(Payment_Log_AP!$E$2:$E$753,Payment_Log_AP!$B$2:$B$753,A431)</f>
        <v>0</v>
      </c>
      <c r="G431" s="18" t="n">
        <f aca="false">MAX(F431-D431,0)</f>
        <v>0</v>
      </c>
      <c r="H431" s="16" t="str">
        <f aca="false">IF(E431&gt;1,"DUPLICATE - Review",IF(G431&gt;Assumptions!$B$6,"OVERPAID - Review","OK"))</f>
        <v>OK</v>
      </c>
    </row>
    <row r="432" customFormat="false" ht="15" hidden="false" customHeight="false" outlineLevel="0" collapsed="false">
      <c r="A432" s="16" t="str">
        <f aca="false">Vendor_Invoices_AP!A429</f>
        <v>INV30428</v>
      </c>
      <c r="B432" s="16" t="str">
        <f aca="false">Vendor_Invoices_AP!C429</f>
        <v>V1010</v>
      </c>
      <c r="C432" s="16" t="str">
        <f aca="false">IFERROR(INDEX(Vendor_Master!$B$2:$B$41,MATCH(B432,Vendor_Master!$A$2:$A$41,0)),"Unknown Vendor")</f>
        <v>Martinez, Nielsen and Miller</v>
      </c>
      <c r="D432" s="18" t="n">
        <f aca="false">Vendor_Invoices_AP!E429</f>
        <v>1348.19</v>
      </c>
      <c r="E432" s="16" t="n">
        <f aca="false">COUNTIF(Payment_Log_AP!$B$2:$B$753,A432)</f>
        <v>2</v>
      </c>
      <c r="F432" s="18" t="n">
        <f aca="false">SUMIFS(Payment_Log_AP!$E$2:$E$753,Payment_Log_AP!$B$2:$B$753,A432)</f>
        <v>2696.38</v>
      </c>
      <c r="G432" s="18" t="n">
        <f aca="false">MAX(F432-D432,0)</f>
        <v>1348.19</v>
      </c>
      <c r="H432" s="16" t="str">
        <f aca="false">IF(E432&gt;1,"DUPLICATE - Review",IF(G432&gt;Assumptions!$B$6,"OVERPAID - Review","OK"))</f>
        <v>DUPLICATE - Review</v>
      </c>
    </row>
    <row r="433" customFormat="false" ht="15" hidden="false" customHeight="false" outlineLevel="0" collapsed="false">
      <c r="A433" s="16" t="str">
        <f aca="false">Vendor_Invoices_AP!A430</f>
        <v>INV30429</v>
      </c>
      <c r="B433" s="16" t="str">
        <f aca="false">Vendor_Invoices_AP!C430</f>
        <v>V1018</v>
      </c>
      <c r="C433" s="16" t="str">
        <f aca="false">IFERROR(INDEX(Vendor_Master!$B$2:$B$41,MATCH(B433,Vendor_Master!$A$2:$A$41,0)),"Unknown Vendor")</f>
        <v>Underwood LLC</v>
      </c>
      <c r="D433" s="18" t="n">
        <f aca="false">Vendor_Invoices_AP!E430</f>
        <v>2579.5</v>
      </c>
      <c r="E433" s="16" t="n">
        <f aca="false">COUNTIF(Payment_Log_AP!$B$2:$B$753,A433)</f>
        <v>1</v>
      </c>
      <c r="F433" s="18" t="n">
        <f aca="false">SUMIFS(Payment_Log_AP!$E$2:$E$753,Payment_Log_AP!$B$2:$B$753,A433)</f>
        <v>2579.5</v>
      </c>
      <c r="G433" s="18" t="n">
        <f aca="false">MAX(F433-D433,0)</f>
        <v>0</v>
      </c>
      <c r="H433" s="16" t="str">
        <f aca="false">IF(E433&gt;1,"DUPLICATE - Review",IF(G433&gt;Assumptions!$B$6,"OVERPAID - Review","OK"))</f>
        <v>OK</v>
      </c>
    </row>
    <row r="434" customFormat="false" ht="15" hidden="false" customHeight="false" outlineLevel="0" collapsed="false">
      <c r="A434" s="16" t="str">
        <f aca="false">Vendor_Invoices_AP!A431</f>
        <v>INV30430</v>
      </c>
      <c r="B434" s="16" t="str">
        <f aca="false">Vendor_Invoices_AP!C431</f>
        <v>V1001</v>
      </c>
      <c r="C434" s="16" t="str">
        <f aca="false">IFERROR(INDEX(Vendor_Master!$B$2:$B$41,MATCH(B434,Vendor_Master!$A$2:$A$41,0)),"Unknown Vendor")</f>
        <v>Figueroa and Sons</v>
      </c>
      <c r="D434" s="18" t="n">
        <f aca="false">Vendor_Invoices_AP!E431</f>
        <v>1874.41</v>
      </c>
      <c r="E434" s="16" t="n">
        <f aca="false">COUNTIF(Payment_Log_AP!$B$2:$B$753,A434)</f>
        <v>0</v>
      </c>
      <c r="F434" s="18" t="n">
        <f aca="false">SUMIFS(Payment_Log_AP!$E$2:$E$753,Payment_Log_AP!$B$2:$B$753,A434)</f>
        <v>0</v>
      </c>
      <c r="G434" s="18" t="n">
        <f aca="false">MAX(F434-D434,0)</f>
        <v>0</v>
      </c>
      <c r="H434" s="16" t="str">
        <f aca="false">IF(E434&gt;1,"DUPLICATE - Review",IF(G434&gt;Assumptions!$B$6,"OVERPAID - Review","OK"))</f>
        <v>OK</v>
      </c>
    </row>
    <row r="435" customFormat="false" ht="15" hidden="false" customHeight="false" outlineLevel="0" collapsed="false">
      <c r="A435" s="16" t="str">
        <f aca="false">Vendor_Invoices_AP!A432</f>
        <v>INV30431</v>
      </c>
      <c r="B435" s="16" t="str">
        <f aca="false">Vendor_Invoices_AP!C432</f>
        <v>V1034</v>
      </c>
      <c r="C435" s="16" t="str">
        <f aca="false">IFERROR(INDEX(Vendor_Master!$B$2:$B$41,MATCH(B435,Vendor_Master!$A$2:$A$41,0)),"Unknown Vendor")</f>
        <v>Koch-Decker</v>
      </c>
      <c r="D435" s="18" t="n">
        <f aca="false">Vendor_Invoices_AP!E432</f>
        <v>1850.75</v>
      </c>
      <c r="E435" s="16" t="n">
        <f aca="false">COUNTIF(Payment_Log_AP!$B$2:$B$753,A435)</f>
        <v>1</v>
      </c>
      <c r="F435" s="18" t="n">
        <f aca="false">SUMIFS(Payment_Log_AP!$E$2:$E$753,Payment_Log_AP!$B$2:$B$753,A435)</f>
        <v>1850.75</v>
      </c>
      <c r="G435" s="18" t="n">
        <f aca="false">MAX(F435-D435,0)</f>
        <v>0</v>
      </c>
      <c r="H435" s="16" t="str">
        <f aca="false">IF(E435&gt;1,"DUPLICATE - Review",IF(G435&gt;Assumptions!$B$6,"OVERPAID - Review","OK"))</f>
        <v>OK</v>
      </c>
    </row>
    <row r="436" customFormat="false" ht="15" hidden="false" customHeight="false" outlineLevel="0" collapsed="false">
      <c r="A436" s="16" t="str">
        <f aca="false">Vendor_Invoices_AP!A433</f>
        <v>INV30432</v>
      </c>
      <c r="B436" s="16" t="str">
        <f aca="false">Vendor_Invoices_AP!C433</f>
        <v>V1006</v>
      </c>
      <c r="C436" s="16" t="str">
        <f aca="false">IFERROR(INDEX(Vendor_Master!$B$2:$B$41,MATCH(B436,Vendor_Master!$A$2:$A$41,0)),"Unknown Vendor")</f>
        <v>Blake and Sons</v>
      </c>
      <c r="D436" s="18" t="n">
        <f aca="false">Vendor_Invoices_AP!E433</f>
        <v>1673.73</v>
      </c>
      <c r="E436" s="16" t="n">
        <f aca="false">COUNTIF(Payment_Log_AP!$B$2:$B$753,A436)</f>
        <v>1</v>
      </c>
      <c r="F436" s="18" t="n">
        <f aca="false">SUMIFS(Payment_Log_AP!$E$2:$E$753,Payment_Log_AP!$B$2:$B$753,A436)</f>
        <v>1673.73</v>
      </c>
      <c r="G436" s="18" t="n">
        <f aca="false">MAX(F436-D436,0)</f>
        <v>0</v>
      </c>
      <c r="H436" s="16" t="str">
        <f aca="false">IF(E436&gt;1,"DUPLICATE - Review",IF(G436&gt;Assumptions!$B$6,"OVERPAID - Review","OK"))</f>
        <v>OK</v>
      </c>
    </row>
    <row r="437" customFormat="false" ht="15" hidden="false" customHeight="false" outlineLevel="0" collapsed="false">
      <c r="A437" s="16" t="str">
        <f aca="false">Vendor_Invoices_AP!A434</f>
        <v>INV30433</v>
      </c>
      <c r="B437" s="16" t="str">
        <f aca="false">Vendor_Invoices_AP!C434</f>
        <v>V1002</v>
      </c>
      <c r="C437" s="16" t="str">
        <f aca="false">IFERROR(INDEX(Vendor_Master!$B$2:$B$41,MATCH(B437,Vendor_Master!$A$2:$A$41,0)),"Unknown Vendor")</f>
        <v>Garcia, Yang and Gardner</v>
      </c>
      <c r="D437" s="18" t="n">
        <f aca="false">Vendor_Invoices_AP!E434</f>
        <v>3809.51</v>
      </c>
      <c r="E437" s="16" t="n">
        <f aca="false">COUNTIF(Payment_Log_AP!$B$2:$B$753,A437)</f>
        <v>1</v>
      </c>
      <c r="F437" s="18" t="n">
        <f aca="false">SUMIFS(Payment_Log_AP!$E$2:$E$753,Payment_Log_AP!$B$2:$B$753,A437)</f>
        <v>3809.51</v>
      </c>
      <c r="G437" s="18" t="n">
        <f aca="false">MAX(F437-D437,0)</f>
        <v>0</v>
      </c>
      <c r="H437" s="16" t="str">
        <f aca="false">IF(E437&gt;1,"DUPLICATE - Review",IF(G437&gt;Assumptions!$B$6,"OVERPAID - Review","OK"))</f>
        <v>OK</v>
      </c>
    </row>
    <row r="438" customFormat="false" ht="15" hidden="false" customHeight="false" outlineLevel="0" collapsed="false">
      <c r="A438" s="16" t="str">
        <f aca="false">Vendor_Invoices_AP!A435</f>
        <v>INV30434</v>
      </c>
      <c r="B438" s="16" t="str">
        <f aca="false">Vendor_Invoices_AP!C435</f>
        <v>V1022</v>
      </c>
      <c r="C438" s="16" t="str">
        <f aca="false">IFERROR(INDEX(Vendor_Master!$B$2:$B$41,MATCH(B438,Vendor_Master!$A$2:$A$41,0)),"Unknown Vendor")</f>
        <v>Burgess-Patterson</v>
      </c>
      <c r="D438" s="18" t="n">
        <f aca="false">Vendor_Invoices_AP!E435</f>
        <v>537.31</v>
      </c>
      <c r="E438" s="16" t="n">
        <f aca="false">COUNTIF(Payment_Log_AP!$B$2:$B$753,A438)</f>
        <v>0</v>
      </c>
      <c r="F438" s="18" t="n">
        <f aca="false">SUMIFS(Payment_Log_AP!$E$2:$E$753,Payment_Log_AP!$B$2:$B$753,A438)</f>
        <v>0</v>
      </c>
      <c r="G438" s="18" t="n">
        <f aca="false">MAX(F438-D438,0)</f>
        <v>0</v>
      </c>
      <c r="H438" s="16" t="str">
        <f aca="false">IF(E438&gt;1,"DUPLICATE - Review",IF(G438&gt;Assumptions!$B$6,"OVERPAID - Review","OK"))</f>
        <v>OK</v>
      </c>
    </row>
    <row r="439" customFormat="false" ht="15" hidden="false" customHeight="false" outlineLevel="0" collapsed="false">
      <c r="A439" s="16" t="str">
        <f aca="false">Vendor_Invoices_AP!A436</f>
        <v>INV30435</v>
      </c>
      <c r="B439" s="16" t="str">
        <f aca="false">Vendor_Invoices_AP!C436</f>
        <v>V1007</v>
      </c>
      <c r="C439" s="16" t="str">
        <f aca="false">IFERROR(INDEX(Vendor_Master!$B$2:$B$41,MATCH(B439,Vendor_Master!$A$2:$A$41,0)),"Unknown Vendor")</f>
        <v>Ramirez-Lewis</v>
      </c>
      <c r="D439" s="18" t="n">
        <f aca="false">Vendor_Invoices_AP!E436</f>
        <v>1115.7</v>
      </c>
      <c r="E439" s="16" t="n">
        <f aca="false">COUNTIF(Payment_Log_AP!$B$2:$B$753,A439)</f>
        <v>1</v>
      </c>
      <c r="F439" s="18" t="n">
        <f aca="false">SUMIFS(Payment_Log_AP!$E$2:$E$753,Payment_Log_AP!$B$2:$B$753,A439)</f>
        <v>1115.7</v>
      </c>
      <c r="G439" s="18" t="n">
        <f aca="false">MAX(F439-D439,0)</f>
        <v>0</v>
      </c>
      <c r="H439" s="16" t="str">
        <f aca="false">IF(E439&gt;1,"DUPLICATE - Review",IF(G439&gt;Assumptions!$B$6,"OVERPAID - Review","OK"))</f>
        <v>OK</v>
      </c>
    </row>
    <row r="440" customFormat="false" ht="15" hidden="false" customHeight="false" outlineLevel="0" collapsed="false">
      <c r="A440" s="16" t="str">
        <f aca="false">Vendor_Invoices_AP!A437</f>
        <v>INV30436</v>
      </c>
      <c r="B440" s="16" t="str">
        <f aca="false">Vendor_Invoices_AP!C437</f>
        <v>V1019</v>
      </c>
      <c r="C440" s="16" t="str">
        <f aca="false">IFERROR(INDEX(Vendor_Master!$B$2:$B$41,MATCH(B440,Vendor_Master!$A$2:$A$41,0)),"Unknown Vendor")</f>
        <v>Clark PLC</v>
      </c>
      <c r="D440" s="18" t="n">
        <f aca="false">Vendor_Invoices_AP!E437</f>
        <v>1572.78</v>
      </c>
      <c r="E440" s="16" t="n">
        <f aca="false">COUNTIF(Payment_Log_AP!$B$2:$B$753,A440)</f>
        <v>1</v>
      </c>
      <c r="F440" s="18" t="n">
        <f aca="false">SUMIFS(Payment_Log_AP!$E$2:$E$753,Payment_Log_AP!$B$2:$B$753,A440)</f>
        <v>1572.78</v>
      </c>
      <c r="G440" s="18" t="n">
        <f aca="false">MAX(F440-D440,0)</f>
        <v>0</v>
      </c>
      <c r="H440" s="16" t="str">
        <f aca="false">IF(E440&gt;1,"DUPLICATE - Review",IF(G440&gt;Assumptions!$B$6,"OVERPAID - Review","OK"))</f>
        <v>OK</v>
      </c>
    </row>
    <row r="441" customFormat="false" ht="15" hidden="false" customHeight="false" outlineLevel="0" collapsed="false">
      <c r="A441" s="16" t="str">
        <f aca="false">Vendor_Invoices_AP!A438</f>
        <v>INV30437</v>
      </c>
      <c r="B441" s="16" t="str">
        <f aca="false">Vendor_Invoices_AP!C438</f>
        <v>V1025</v>
      </c>
      <c r="C441" s="16" t="str">
        <f aca="false">IFERROR(INDEX(Vendor_Master!$B$2:$B$41,MATCH(B441,Vendor_Master!$A$2:$A$41,0)),"Unknown Vendor")</f>
        <v>Conner Group</v>
      </c>
      <c r="D441" s="18" t="n">
        <f aca="false">Vendor_Invoices_AP!E438</f>
        <v>1440.58</v>
      </c>
      <c r="E441" s="16" t="n">
        <f aca="false">COUNTIF(Payment_Log_AP!$B$2:$B$753,A441)</f>
        <v>1</v>
      </c>
      <c r="F441" s="18" t="n">
        <f aca="false">SUMIFS(Payment_Log_AP!$E$2:$E$753,Payment_Log_AP!$B$2:$B$753,A441)</f>
        <v>1440.58</v>
      </c>
      <c r="G441" s="18" t="n">
        <f aca="false">MAX(F441-D441,0)</f>
        <v>0</v>
      </c>
      <c r="H441" s="16" t="str">
        <f aca="false">IF(E441&gt;1,"DUPLICATE - Review",IF(G441&gt;Assumptions!$B$6,"OVERPAID - Review","OK"))</f>
        <v>OK</v>
      </c>
    </row>
    <row r="442" customFormat="false" ht="15" hidden="false" customHeight="false" outlineLevel="0" collapsed="false">
      <c r="A442" s="16" t="str">
        <f aca="false">Vendor_Invoices_AP!A439</f>
        <v>INV30438</v>
      </c>
      <c r="B442" s="16" t="str">
        <f aca="false">Vendor_Invoices_AP!C439</f>
        <v>V1020</v>
      </c>
      <c r="C442" s="16" t="str">
        <f aca="false">IFERROR(INDEX(Vendor_Master!$B$2:$B$41,MATCH(B442,Vendor_Master!$A$2:$A$41,0)),"Unknown Vendor")</f>
        <v>Lewis-Porter</v>
      </c>
      <c r="D442" s="18" t="n">
        <f aca="false">Vendor_Invoices_AP!E439</f>
        <v>308.34</v>
      </c>
      <c r="E442" s="16" t="n">
        <f aca="false">COUNTIF(Payment_Log_AP!$B$2:$B$753,A442)</f>
        <v>1</v>
      </c>
      <c r="F442" s="18" t="n">
        <f aca="false">SUMIFS(Payment_Log_AP!$E$2:$E$753,Payment_Log_AP!$B$2:$B$753,A442)</f>
        <v>308.34</v>
      </c>
      <c r="G442" s="18" t="n">
        <f aca="false">MAX(F442-D442,0)</f>
        <v>0</v>
      </c>
      <c r="H442" s="16" t="str">
        <f aca="false">IF(E442&gt;1,"DUPLICATE - Review",IF(G442&gt;Assumptions!$B$6,"OVERPAID - Review","OK"))</f>
        <v>OK</v>
      </c>
    </row>
    <row r="443" customFormat="false" ht="15" hidden="false" customHeight="false" outlineLevel="0" collapsed="false">
      <c r="A443" s="16" t="str">
        <f aca="false">Vendor_Invoices_AP!A440</f>
        <v>INV30439</v>
      </c>
      <c r="B443" s="16" t="str">
        <f aca="false">Vendor_Invoices_AP!C440</f>
        <v>V1034</v>
      </c>
      <c r="C443" s="16" t="str">
        <f aca="false">IFERROR(INDEX(Vendor_Master!$B$2:$B$41,MATCH(B443,Vendor_Master!$A$2:$A$41,0)),"Unknown Vendor")</f>
        <v>Koch-Decker</v>
      </c>
      <c r="D443" s="18" t="n">
        <f aca="false">Vendor_Invoices_AP!E440</f>
        <v>303.89</v>
      </c>
      <c r="E443" s="16" t="n">
        <f aca="false">COUNTIF(Payment_Log_AP!$B$2:$B$753,A443)</f>
        <v>1</v>
      </c>
      <c r="F443" s="18" t="n">
        <f aca="false">SUMIFS(Payment_Log_AP!$E$2:$E$753,Payment_Log_AP!$B$2:$B$753,A443)</f>
        <v>303.89</v>
      </c>
      <c r="G443" s="18" t="n">
        <f aca="false">MAX(F443-D443,0)</f>
        <v>0</v>
      </c>
      <c r="H443" s="16" t="str">
        <f aca="false">IF(E443&gt;1,"DUPLICATE - Review",IF(G443&gt;Assumptions!$B$6,"OVERPAID - Review","OK"))</f>
        <v>OK</v>
      </c>
    </row>
    <row r="444" customFormat="false" ht="15" hidden="false" customHeight="false" outlineLevel="0" collapsed="false">
      <c r="A444" s="16" t="str">
        <f aca="false">Vendor_Invoices_AP!A441</f>
        <v>INV30440</v>
      </c>
      <c r="B444" s="16" t="str">
        <f aca="false">Vendor_Invoices_AP!C441</f>
        <v>V1023</v>
      </c>
      <c r="C444" s="16" t="str">
        <f aca="false">IFERROR(INDEX(Vendor_Master!$B$2:$B$41,MATCH(B444,Vendor_Master!$A$2:$A$41,0)),"Unknown Vendor")</f>
        <v>Robinson-Bright</v>
      </c>
      <c r="D444" s="18" t="n">
        <f aca="false">Vendor_Invoices_AP!E441</f>
        <v>4223.32</v>
      </c>
      <c r="E444" s="16" t="n">
        <f aca="false">COUNTIF(Payment_Log_AP!$B$2:$B$753,A444)</f>
        <v>1</v>
      </c>
      <c r="F444" s="18" t="n">
        <f aca="false">SUMIFS(Payment_Log_AP!$E$2:$E$753,Payment_Log_AP!$B$2:$B$753,A444)</f>
        <v>4223.32</v>
      </c>
      <c r="G444" s="18" t="n">
        <f aca="false">MAX(F444-D444,0)</f>
        <v>0</v>
      </c>
      <c r="H444" s="16" t="str">
        <f aca="false">IF(E444&gt;1,"DUPLICATE - Review",IF(G444&gt;Assumptions!$B$6,"OVERPAID - Review","OK"))</f>
        <v>OK</v>
      </c>
    </row>
    <row r="445" customFormat="false" ht="15" hidden="false" customHeight="false" outlineLevel="0" collapsed="false">
      <c r="A445" s="16" t="str">
        <f aca="false">Vendor_Invoices_AP!A442</f>
        <v>INV30441</v>
      </c>
      <c r="B445" s="16" t="str">
        <f aca="false">Vendor_Invoices_AP!C442</f>
        <v>V1015</v>
      </c>
      <c r="C445" s="16" t="str">
        <f aca="false">IFERROR(INDEX(Vendor_Master!$B$2:$B$41,MATCH(B445,Vendor_Master!$A$2:$A$41,0)),"Unknown Vendor")</f>
        <v>Zuniga, Wong and Lynch</v>
      </c>
      <c r="D445" s="18" t="n">
        <f aca="false">Vendor_Invoices_AP!E442</f>
        <v>1084.38</v>
      </c>
      <c r="E445" s="16" t="n">
        <f aca="false">COUNTIF(Payment_Log_AP!$B$2:$B$753,A445)</f>
        <v>1</v>
      </c>
      <c r="F445" s="18" t="n">
        <f aca="false">SUMIFS(Payment_Log_AP!$E$2:$E$753,Payment_Log_AP!$B$2:$B$753,A445)</f>
        <v>1084.38</v>
      </c>
      <c r="G445" s="18" t="n">
        <f aca="false">MAX(F445-D445,0)</f>
        <v>0</v>
      </c>
      <c r="H445" s="16" t="str">
        <f aca="false">IF(E445&gt;1,"DUPLICATE - Review",IF(G445&gt;Assumptions!$B$6,"OVERPAID - Review","OK"))</f>
        <v>OK</v>
      </c>
    </row>
    <row r="446" customFormat="false" ht="15" hidden="false" customHeight="false" outlineLevel="0" collapsed="false">
      <c r="A446" s="16" t="str">
        <f aca="false">Vendor_Invoices_AP!A443</f>
        <v>INV30442</v>
      </c>
      <c r="B446" s="16" t="str">
        <f aca="false">Vendor_Invoices_AP!C443</f>
        <v>V1037</v>
      </c>
      <c r="C446" s="16" t="str">
        <f aca="false">IFERROR(INDEX(Vendor_Master!$B$2:$B$41,MATCH(B446,Vendor_Master!$A$2:$A$41,0)),"Unknown Vendor")</f>
        <v>Cannon, Anderson and Alvarez</v>
      </c>
      <c r="D446" s="18" t="n">
        <f aca="false">Vendor_Invoices_AP!E443</f>
        <v>3288.85</v>
      </c>
      <c r="E446" s="16" t="n">
        <f aca="false">COUNTIF(Payment_Log_AP!$B$2:$B$753,A446)</f>
        <v>1</v>
      </c>
      <c r="F446" s="18" t="n">
        <f aca="false">SUMIFS(Payment_Log_AP!$E$2:$E$753,Payment_Log_AP!$B$2:$B$753,A446)</f>
        <v>3288.85</v>
      </c>
      <c r="G446" s="18" t="n">
        <f aca="false">MAX(F446-D446,0)</f>
        <v>0</v>
      </c>
      <c r="H446" s="16" t="str">
        <f aca="false">IF(E446&gt;1,"DUPLICATE - Review",IF(G446&gt;Assumptions!$B$6,"OVERPAID - Review","OK"))</f>
        <v>OK</v>
      </c>
    </row>
    <row r="447" customFormat="false" ht="15" hidden="false" customHeight="false" outlineLevel="0" collapsed="false">
      <c r="A447" s="16" t="str">
        <f aca="false">Vendor_Invoices_AP!A444</f>
        <v>INV30443</v>
      </c>
      <c r="B447" s="16" t="str">
        <f aca="false">Vendor_Invoices_AP!C444</f>
        <v>V1002</v>
      </c>
      <c r="C447" s="16" t="str">
        <f aca="false">IFERROR(INDEX(Vendor_Master!$B$2:$B$41,MATCH(B447,Vendor_Master!$A$2:$A$41,0)),"Unknown Vendor")</f>
        <v>Garcia, Yang and Gardner</v>
      </c>
      <c r="D447" s="18" t="n">
        <f aca="false">Vendor_Invoices_AP!E444</f>
        <v>2979.58</v>
      </c>
      <c r="E447" s="16" t="n">
        <f aca="false">COUNTIF(Payment_Log_AP!$B$2:$B$753,A447)</f>
        <v>1</v>
      </c>
      <c r="F447" s="18" t="n">
        <f aca="false">SUMIFS(Payment_Log_AP!$E$2:$E$753,Payment_Log_AP!$B$2:$B$753,A447)</f>
        <v>2979.58</v>
      </c>
      <c r="G447" s="18" t="n">
        <f aca="false">MAX(F447-D447,0)</f>
        <v>0</v>
      </c>
      <c r="H447" s="16" t="str">
        <f aca="false">IF(E447&gt;1,"DUPLICATE - Review",IF(G447&gt;Assumptions!$B$6,"OVERPAID - Review","OK"))</f>
        <v>OK</v>
      </c>
    </row>
    <row r="448" customFormat="false" ht="15" hidden="false" customHeight="false" outlineLevel="0" collapsed="false">
      <c r="A448" s="16" t="str">
        <f aca="false">Vendor_Invoices_AP!A445</f>
        <v>INV30444</v>
      </c>
      <c r="B448" s="16" t="str">
        <f aca="false">Vendor_Invoices_AP!C445</f>
        <v>V1018</v>
      </c>
      <c r="C448" s="16" t="str">
        <f aca="false">IFERROR(INDEX(Vendor_Master!$B$2:$B$41,MATCH(B448,Vendor_Master!$A$2:$A$41,0)),"Unknown Vendor")</f>
        <v>Underwood LLC</v>
      </c>
      <c r="D448" s="18" t="n">
        <f aca="false">Vendor_Invoices_AP!E445</f>
        <v>209.66</v>
      </c>
      <c r="E448" s="16" t="n">
        <f aca="false">COUNTIF(Payment_Log_AP!$B$2:$B$753,A448)</f>
        <v>1</v>
      </c>
      <c r="F448" s="18" t="n">
        <f aca="false">SUMIFS(Payment_Log_AP!$E$2:$E$753,Payment_Log_AP!$B$2:$B$753,A448)</f>
        <v>209.66</v>
      </c>
      <c r="G448" s="18" t="n">
        <f aca="false">MAX(F448-D448,0)</f>
        <v>0</v>
      </c>
      <c r="H448" s="16" t="str">
        <f aca="false">IF(E448&gt;1,"DUPLICATE - Review",IF(G448&gt;Assumptions!$B$6,"OVERPAID - Review","OK"))</f>
        <v>OK</v>
      </c>
    </row>
    <row r="449" customFormat="false" ht="15" hidden="false" customHeight="false" outlineLevel="0" collapsed="false">
      <c r="A449" s="16" t="str">
        <f aca="false">Vendor_Invoices_AP!A446</f>
        <v>INV30445</v>
      </c>
      <c r="B449" s="16" t="str">
        <f aca="false">Vendor_Invoices_AP!C446</f>
        <v>V1037</v>
      </c>
      <c r="C449" s="16" t="str">
        <f aca="false">IFERROR(INDEX(Vendor_Master!$B$2:$B$41,MATCH(B449,Vendor_Master!$A$2:$A$41,0)),"Unknown Vendor")</f>
        <v>Cannon, Anderson and Alvarez</v>
      </c>
      <c r="D449" s="18" t="n">
        <f aca="false">Vendor_Invoices_AP!E446</f>
        <v>3415.67</v>
      </c>
      <c r="E449" s="16" t="n">
        <f aca="false">COUNTIF(Payment_Log_AP!$B$2:$B$753,A449)</f>
        <v>1</v>
      </c>
      <c r="F449" s="18" t="n">
        <f aca="false">SUMIFS(Payment_Log_AP!$E$2:$E$753,Payment_Log_AP!$B$2:$B$753,A449)</f>
        <v>3415.67</v>
      </c>
      <c r="G449" s="18" t="n">
        <f aca="false">MAX(F449-D449,0)</f>
        <v>0</v>
      </c>
      <c r="H449" s="16" t="str">
        <f aca="false">IF(E449&gt;1,"DUPLICATE - Review",IF(G449&gt;Assumptions!$B$6,"OVERPAID - Review","OK"))</f>
        <v>OK</v>
      </c>
    </row>
    <row r="450" customFormat="false" ht="15" hidden="false" customHeight="false" outlineLevel="0" collapsed="false">
      <c r="A450" s="16" t="str">
        <f aca="false">Vendor_Invoices_AP!A447</f>
        <v>INV30446</v>
      </c>
      <c r="B450" s="16" t="str">
        <f aca="false">Vendor_Invoices_AP!C447</f>
        <v>V1037</v>
      </c>
      <c r="C450" s="16" t="str">
        <f aca="false">IFERROR(INDEX(Vendor_Master!$B$2:$B$41,MATCH(B450,Vendor_Master!$A$2:$A$41,0)),"Unknown Vendor")</f>
        <v>Cannon, Anderson and Alvarez</v>
      </c>
      <c r="D450" s="18" t="n">
        <f aca="false">Vendor_Invoices_AP!E447</f>
        <v>3415.67</v>
      </c>
      <c r="E450" s="16" t="n">
        <f aca="false">COUNTIF(Payment_Log_AP!$B$2:$B$753,A450)</f>
        <v>0</v>
      </c>
      <c r="F450" s="18" t="n">
        <f aca="false">SUMIFS(Payment_Log_AP!$E$2:$E$753,Payment_Log_AP!$B$2:$B$753,A450)</f>
        <v>0</v>
      </c>
      <c r="G450" s="18" t="n">
        <f aca="false">MAX(F450-D450,0)</f>
        <v>0</v>
      </c>
      <c r="H450" s="16" t="str">
        <f aca="false">IF(E450&gt;1,"DUPLICATE - Review",IF(G450&gt;Assumptions!$B$6,"OVERPAID - Review","OK"))</f>
        <v>OK</v>
      </c>
    </row>
    <row r="451" customFormat="false" ht="15" hidden="false" customHeight="false" outlineLevel="0" collapsed="false">
      <c r="A451" s="16" t="str">
        <f aca="false">Vendor_Invoices_AP!A448</f>
        <v>INV30447</v>
      </c>
      <c r="B451" s="16" t="str">
        <f aca="false">Vendor_Invoices_AP!C448</f>
        <v>V1026</v>
      </c>
      <c r="C451" s="16" t="str">
        <f aca="false">IFERROR(INDEX(Vendor_Master!$B$2:$B$41,MATCH(B451,Vendor_Master!$A$2:$A$41,0)),"Unknown Vendor")</f>
        <v>James-Ferrell</v>
      </c>
      <c r="D451" s="18" t="n">
        <f aca="false">Vendor_Invoices_AP!E448</f>
        <v>1992.56</v>
      </c>
      <c r="E451" s="16" t="n">
        <f aca="false">COUNTIF(Payment_Log_AP!$B$2:$B$753,A451)</f>
        <v>1</v>
      </c>
      <c r="F451" s="18" t="n">
        <f aca="false">SUMIFS(Payment_Log_AP!$E$2:$E$753,Payment_Log_AP!$B$2:$B$753,A451)</f>
        <v>1992.56</v>
      </c>
      <c r="G451" s="18" t="n">
        <f aca="false">MAX(F451-D451,0)</f>
        <v>0</v>
      </c>
      <c r="H451" s="16" t="str">
        <f aca="false">IF(E451&gt;1,"DUPLICATE - Review",IF(G451&gt;Assumptions!$B$6,"OVERPAID - Review","OK"))</f>
        <v>OK</v>
      </c>
    </row>
    <row r="452" customFormat="false" ht="15" hidden="false" customHeight="false" outlineLevel="0" collapsed="false">
      <c r="A452" s="16" t="str">
        <f aca="false">Vendor_Invoices_AP!A449</f>
        <v>INV30448</v>
      </c>
      <c r="B452" s="16" t="str">
        <f aca="false">Vendor_Invoices_AP!C449</f>
        <v>V1001</v>
      </c>
      <c r="C452" s="16" t="str">
        <f aca="false">IFERROR(INDEX(Vendor_Master!$B$2:$B$41,MATCH(B452,Vendor_Master!$A$2:$A$41,0)),"Unknown Vendor")</f>
        <v>Figueroa and Sons</v>
      </c>
      <c r="D452" s="18" t="n">
        <f aca="false">Vendor_Invoices_AP!E449</f>
        <v>2035.46</v>
      </c>
      <c r="E452" s="16" t="n">
        <f aca="false">COUNTIF(Payment_Log_AP!$B$2:$B$753,A452)</f>
        <v>1</v>
      </c>
      <c r="F452" s="18" t="n">
        <f aca="false">SUMIFS(Payment_Log_AP!$E$2:$E$753,Payment_Log_AP!$B$2:$B$753,A452)</f>
        <v>2035.46</v>
      </c>
      <c r="G452" s="18" t="n">
        <f aca="false">MAX(F452-D452,0)</f>
        <v>0</v>
      </c>
      <c r="H452" s="16" t="str">
        <f aca="false">IF(E452&gt;1,"DUPLICATE - Review",IF(G452&gt;Assumptions!$B$6,"OVERPAID - Review","OK"))</f>
        <v>OK</v>
      </c>
    </row>
    <row r="453" customFormat="false" ht="15" hidden="false" customHeight="false" outlineLevel="0" collapsed="false">
      <c r="A453" s="16" t="str">
        <f aca="false">Vendor_Invoices_AP!A450</f>
        <v>INV30449</v>
      </c>
      <c r="B453" s="16" t="str">
        <f aca="false">Vendor_Invoices_AP!C450</f>
        <v>V1006</v>
      </c>
      <c r="C453" s="16" t="str">
        <f aca="false">IFERROR(INDEX(Vendor_Master!$B$2:$B$41,MATCH(B453,Vendor_Master!$A$2:$A$41,0)),"Unknown Vendor")</f>
        <v>Blake and Sons</v>
      </c>
      <c r="D453" s="18" t="n">
        <f aca="false">Vendor_Invoices_AP!E450</f>
        <v>9019.36</v>
      </c>
      <c r="E453" s="16" t="n">
        <f aca="false">COUNTIF(Payment_Log_AP!$B$2:$B$753,A453)</f>
        <v>1</v>
      </c>
      <c r="F453" s="18" t="n">
        <f aca="false">SUMIFS(Payment_Log_AP!$E$2:$E$753,Payment_Log_AP!$B$2:$B$753,A453)</f>
        <v>9019.36</v>
      </c>
      <c r="G453" s="18" t="n">
        <f aca="false">MAX(F453-D453,0)</f>
        <v>0</v>
      </c>
      <c r="H453" s="16" t="str">
        <f aca="false">IF(E453&gt;1,"DUPLICATE - Review",IF(G453&gt;Assumptions!$B$6,"OVERPAID - Review","OK"))</f>
        <v>OK</v>
      </c>
    </row>
    <row r="454" customFormat="false" ht="15" hidden="false" customHeight="false" outlineLevel="0" collapsed="false">
      <c r="A454" s="16" t="str">
        <f aca="false">Vendor_Invoices_AP!A451</f>
        <v>INV30450</v>
      </c>
      <c r="B454" s="16" t="str">
        <f aca="false">Vendor_Invoices_AP!C451</f>
        <v>V1016</v>
      </c>
      <c r="C454" s="16" t="str">
        <f aca="false">IFERROR(INDEX(Vendor_Master!$B$2:$B$41,MATCH(B454,Vendor_Master!$A$2:$A$41,0)),"Unknown Vendor")</f>
        <v>Sanchez, Ford and Nelson</v>
      </c>
      <c r="D454" s="18" t="n">
        <f aca="false">Vendor_Invoices_AP!E451</f>
        <v>1812.95</v>
      </c>
      <c r="E454" s="16" t="n">
        <f aca="false">COUNTIF(Payment_Log_AP!$B$2:$B$753,A454)</f>
        <v>1</v>
      </c>
      <c r="F454" s="18" t="n">
        <f aca="false">SUMIFS(Payment_Log_AP!$E$2:$E$753,Payment_Log_AP!$B$2:$B$753,A454)</f>
        <v>1812.95</v>
      </c>
      <c r="G454" s="18" t="n">
        <f aca="false">MAX(F454-D454,0)</f>
        <v>0</v>
      </c>
      <c r="H454" s="16" t="str">
        <f aca="false">IF(E454&gt;1,"DUPLICATE - Review",IF(G454&gt;Assumptions!$B$6,"OVERPAID - Review","OK"))</f>
        <v>OK</v>
      </c>
    </row>
    <row r="455" customFormat="false" ht="15" hidden="false" customHeight="false" outlineLevel="0" collapsed="false">
      <c r="A455" s="16" t="str">
        <f aca="false">Vendor_Invoices_AP!A452</f>
        <v>INV30451</v>
      </c>
      <c r="B455" s="16" t="str">
        <f aca="false">Vendor_Invoices_AP!C452</f>
        <v>V1023</v>
      </c>
      <c r="C455" s="16" t="str">
        <f aca="false">IFERROR(INDEX(Vendor_Master!$B$2:$B$41,MATCH(B455,Vendor_Master!$A$2:$A$41,0)),"Unknown Vendor")</f>
        <v>Robinson-Bright</v>
      </c>
      <c r="D455" s="18" t="n">
        <f aca="false">Vendor_Invoices_AP!E452</f>
        <v>1047.46</v>
      </c>
      <c r="E455" s="16" t="n">
        <f aca="false">COUNTIF(Payment_Log_AP!$B$2:$B$753,A455)</f>
        <v>1</v>
      </c>
      <c r="F455" s="18" t="n">
        <f aca="false">SUMIFS(Payment_Log_AP!$E$2:$E$753,Payment_Log_AP!$B$2:$B$753,A455)</f>
        <v>1047.46</v>
      </c>
      <c r="G455" s="18" t="n">
        <f aca="false">MAX(F455-D455,0)</f>
        <v>0</v>
      </c>
      <c r="H455" s="16" t="str">
        <f aca="false">IF(E455&gt;1,"DUPLICATE - Review",IF(G455&gt;Assumptions!$B$6,"OVERPAID - Review","OK"))</f>
        <v>OK</v>
      </c>
    </row>
    <row r="456" customFormat="false" ht="15" hidden="false" customHeight="false" outlineLevel="0" collapsed="false">
      <c r="A456" s="16" t="str">
        <f aca="false">Vendor_Invoices_AP!A453</f>
        <v>INV30452</v>
      </c>
      <c r="B456" s="16" t="str">
        <f aca="false">Vendor_Invoices_AP!C453</f>
        <v>V1009</v>
      </c>
      <c r="C456" s="16" t="str">
        <f aca="false">IFERROR(INDEX(Vendor_Master!$B$2:$B$41,MATCH(B456,Vendor_Master!$A$2:$A$41,0)),"Unknown Vendor")</f>
        <v>Munoz-Roman</v>
      </c>
      <c r="D456" s="18" t="n">
        <f aca="false">Vendor_Invoices_AP!E453</f>
        <v>3396.34</v>
      </c>
      <c r="E456" s="16" t="n">
        <f aca="false">COUNTIF(Payment_Log_AP!$B$2:$B$753,A456)</f>
        <v>1</v>
      </c>
      <c r="F456" s="18" t="n">
        <f aca="false">SUMIFS(Payment_Log_AP!$E$2:$E$753,Payment_Log_AP!$B$2:$B$753,A456)</f>
        <v>3396.34</v>
      </c>
      <c r="G456" s="18" t="n">
        <f aca="false">MAX(F456-D456,0)</f>
        <v>0</v>
      </c>
      <c r="H456" s="16" t="str">
        <f aca="false">IF(E456&gt;1,"DUPLICATE - Review",IF(G456&gt;Assumptions!$B$6,"OVERPAID - Review","OK"))</f>
        <v>OK</v>
      </c>
    </row>
    <row r="457" customFormat="false" ht="15" hidden="false" customHeight="false" outlineLevel="0" collapsed="false">
      <c r="A457" s="16" t="str">
        <f aca="false">Vendor_Invoices_AP!A454</f>
        <v>INV30453</v>
      </c>
      <c r="B457" s="16" t="str">
        <f aca="false">Vendor_Invoices_AP!C454</f>
        <v>V1017</v>
      </c>
      <c r="C457" s="16" t="str">
        <f aca="false">IFERROR(INDEX(Vendor_Master!$B$2:$B$41,MATCH(B457,Vendor_Master!$A$2:$A$41,0)),"Unknown Vendor")</f>
        <v>Hawkins, Cohen and Cameron</v>
      </c>
      <c r="D457" s="18" t="n">
        <f aca="false">Vendor_Invoices_AP!E454</f>
        <v>4037.07</v>
      </c>
      <c r="E457" s="16" t="n">
        <f aca="false">COUNTIF(Payment_Log_AP!$B$2:$B$753,A457)</f>
        <v>0</v>
      </c>
      <c r="F457" s="18" t="n">
        <f aca="false">SUMIFS(Payment_Log_AP!$E$2:$E$753,Payment_Log_AP!$B$2:$B$753,A457)</f>
        <v>0</v>
      </c>
      <c r="G457" s="18" t="n">
        <f aca="false">MAX(F457-D457,0)</f>
        <v>0</v>
      </c>
      <c r="H457" s="16" t="str">
        <f aca="false">IF(E457&gt;1,"DUPLICATE - Review",IF(G457&gt;Assumptions!$B$6,"OVERPAID - Review","OK"))</f>
        <v>OK</v>
      </c>
    </row>
    <row r="458" customFormat="false" ht="15" hidden="false" customHeight="false" outlineLevel="0" collapsed="false">
      <c r="A458" s="16" t="str">
        <f aca="false">Vendor_Invoices_AP!A455</f>
        <v>INV30454</v>
      </c>
      <c r="B458" s="16" t="str">
        <f aca="false">Vendor_Invoices_AP!C455</f>
        <v>V1013</v>
      </c>
      <c r="C458" s="16" t="str">
        <f aca="false">IFERROR(INDEX(Vendor_Master!$B$2:$B$41,MATCH(B458,Vendor_Master!$A$2:$A$41,0)),"Unknown Vendor")</f>
        <v>Delacruz Group</v>
      </c>
      <c r="D458" s="18" t="n">
        <f aca="false">Vendor_Invoices_AP!E455</f>
        <v>1201.82</v>
      </c>
      <c r="E458" s="16" t="n">
        <f aca="false">COUNTIF(Payment_Log_AP!$B$2:$B$753,A458)</f>
        <v>1</v>
      </c>
      <c r="F458" s="18" t="n">
        <f aca="false">SUMIFS(Payment_Log_AP!$E$2:$E$753,Payment_Log_AP!$B$2:$B$753,A458)</f>
        <v>1201.82</v>
      </c>
      <c r="G458" s="18" t="n">
        <f aca="false">MAX(F458-D458,0)</f>
        <v>0</v>
      </c>
      <c r="H458" s="16" t="str">
        <f aca="false">IF(E458&gt;1,"DUPLICATE - Review",IF(G458&gt;Assumptions!$B$6,"OVERPAID - Review","OK"))</f>
        <v>OK</v>
      </c>
    </row>
    <row r="459" customFormat="false" ht="15" hidden="false" customHeight="false" outlineLevel="0" collapsed="false">
      <c r="A459" s="16" t="str">
        <f aca="false">Vendor_Invoices_AP!A456</f>
        <v>INV30455</v>
      </c>
      <c r="B459" s="16" t="str">
        <f aca="false">Vendor_Invoices_AP!C456</f>
        <v>V1010</v>
      </c>
      <c r="C459" s="16" t="str">
        <f aca="false">IFERROR(INDEX(Vendor_Master!$B$2:$B$41,MATCH(B459,Vendor_Master!$A$2:$A$41,0)),"Unknown Vendor")</f>
        <v>Martinez, Nielsen and Miller</v>
      </c>
      <c r="D459" s="18" t="n">
        <f aca="false">Vendor_Invoices_AP!E456</f>
        <v>1494.41</v>
      </c>
      <c r="E459" s="16" t="n">
        <f aca="false">COUNTIF(Payment_Log_AP!$B$2:$B$753,A459)</f>
        <v>1</v>
      </c>
      <c r="F459" s="18" t="n">
        <f aca="false">SUMIFS(Payment_Log_AP!$E$2:$E$753,Payment_Log_AP!$B$2:$B$753,A459)</f>
        <v>1494.41</v>
      </c>
      <c r="G459" s="18" t="n">
        <f aca="false">MAX(F459-D459,0)</f>
        <v>0</v>
      </c>
      <c r="H459" s="16" t="str">
        <f aca="false">IF(E459&gt;1,"DUPLICATE - Review",IF(G459&gt;Assumptions!$B$6,"OVERPAID - Review","OK"))</f>
        <v>OK</v>
      </c>
    </row>
    <row r="460" customFormat="false" ht="15" hidden="false" customHeight="false" outlineLevel="0" collapsed="false">
      <c r="A460" s="16" t="str">
        <f aca="false">Vendor_Invoices_AP!A457</f>
        <v>INV30456</v>
      </c>
      <c r="B460" s="16" t="str">
        <f aca="false">Vendor_Invoices_AP!C457</f>
        <v>V1002</v>
      </c>
      <c r="C460" s="16" t="str">
        <f aca="false">IFERROR(INDEX(Vendor_Master!$B$2:$B$41,MATCH(B460,Vendor_Master!$A$2:$A$41,0)),"Unknown Vendor")</f>
        <v>Garcia, Yang and Gardner</v>
      </c>
      <c r="D460" s="18" t="n">
        <f aca="false">Vendor_Invoices_AP!E457</f>
        <v>791.01</v>
      </c>
      <c r="E460" s="16" t="n">
        <f aca="false">COUNTIF(Payment_Log_AP!$B$2:$B$753,A460)</f>
        <v>0</v>
      </c>
      <c r="F460" s="18" t="n">
        <f aca="false">SUMIFS(Payment_Log_AP!$E$2:$E$753,Payment_Log_AP!$B$2:$B$753,A460)</f>
        <v>0</v>
      </c>
      <c r="G460" s="18" t="n">
        <f aca="false">MAX(F460-D460,0)</f>
        <v>0</v>
      </c>
      <c r="H460" s="16" t="str">
        <f aca="false">IF(E460&gt;1,"DUPLICATE - Review",IF(G460&gt;Assumptions!$B$6,"OVERPAID - Review","OK"))</f>
        <v>OK</v>
      </c>
    </row>
    <row r="461" customFormat="false" ht="15" hidden="false" customHeight="false" outlineLevel="0" collapsed="false">
      <c r="A461" s="16" t="str">
        <f aca="false">Vendor_Invoices_AP!A458</f>
        <v>INV30457</v>
      </c>
      <c r="B461" s="16" t="str">
        <f aca="false">Vendor_Invoices_AP!C458</f>
        <v>V1018</v>
      </c>
      <c r="C461" s="16" t="str">
        <f aca="false">IFERROR(INDEX(Vendor_Master!$B$2:$B$41,MATCH(B461,Vendor_Master!$A$2:$A$41,0)),"Unknown Vendor")</f>
        <v>Underwood LLC</v>
      </c>
      <c r="D461" s="18" t="n">
        <f aca="false">Vendor_Invoices_AP!E458</f>
        <v>2064.66</v>
      </c>
      <c r="E461" s="16" t="n">
        <f aca="false">COUNTIF(Payment_Log_AP!$B$2:$B$753,A461)</f>
        <v>1</v>
      </c>
      <c r="F461" s="18" t="n">
        <f aca="false">SUMIFS(Payment_Log_AP!$E$2:$E$753,Payment_Log_AP!$B$2:$B$753,A461)</f>
        <v>2064.66</v>
      </c>
      <c r="G461" s="18" t="n">
        <f aca="false">MAX(F461-D461,0)</f>
        <v>0</v>
      </c>
      <c r="H461" s="16" t="str">
        <f aca="false">IF(E461&gt;1,"DUPLICATE - Review",IF(G461&gt;Assumptions!$B$6,"OVERPAID - Review","OK"))</f>
        <v>OK</v>
      </c>
    </row>
    <row r="462" customFormat="false" ht="15" hidden="false" customHeight="false" outlineLevel="0" collapsed="false">
      <c r="A462" s="16" t="str">
        <f aca="false">Vendor_Invoices_AP!A459</f>
        <v>INV30458</v>
      </c>
      <c r="B462" s="16" t="str">
        <f aca="false">Vendor_Invoices_AP!C459</f>
        <v>V1018</v>
      </c>
      <c r="C462" s="16" t="str">
        <f aca="false">IFERROR(INDEX(Vendor_Master!$B$2:$B$41,MATCH(B462,Vendor_Master!$A$2:$A$41,0)),"Unknown Vendor")</f>
        <v>Underwood LLC</v>
      </c>
      <c r="D462" s="18" t="n">
        <f aca="false">Vendor_Invoices_AP!E459</f>
        <v>882.52</v>
      </c>
      <c r="E462" s="16" t="n">
        <f aca="false">COUNTIF(Payment_Log_AP!$B$2:$B$753,A462)</f>
        <v>1</v>
      </c>
      <c r="F462" s="18" t="n">
        <f aca="false">SUMIFS(Payment_Log_AP!$E$2:$E$753,Payment_Log_AP!$B$2:$B$753,A462)</f>
        <v>882.52</v>
      </c>
      <c r="G462" s="18" t="n">
        <f aca="false">MAX(F462-D462,0)</f>
        <v>0</v>
      </c>
      <c r="H462" s="16" t="str">
        <f aca="false">IF(E462&gt;1,"DUPLICATE - Review",IF(G462&gt;Assumptions!$B$6,"OVERPAID - Review","OK"))</f>
        <v>OK</v>
      </c>
    </row>
    <row r="463" customFormat="false" ht="15" hidden="false" customHeight="false" outlineLevel="0" collapsed="false">
      <c r="A463" s="16" t="str">
        <f aca="false">Vendor_Invoices_AP!A460</f>
        <v>INV30459</v>
      </c>
      <c r="B463" s="16" t="str">
        <f aca="false">Vendor_Invoices_AP!C460</f>
        <v>V1028</v>
      </c>
      <c r="C463" s="16" t="str">
        <f aca="false">IFERROR(INDEX(Vendor_Master!$B$2:$B$41,MATCH(B463,Vendor_Master!$A$2:$A$41,0)),"Unknown Vendor")</f>
        <v>Potter, Mack and Peterson</v>
      </c>
      <c r="D463" s="18" t="n">
        <f aca="false">Vendor_Invoices_AP!E460</f>
        <v>3855.85</v>
      </c>
      <c r="E463" s="16" t="n">
        <f aca="false">COUNTIF(Payment_Log_AP!$B$2:$B$753,A463)</f>
        <v>1</v>
      </c>
      <c r="F463" s="18" t="n">
        <f aca="false">SUMIFS(Payment_Log_AP!$E$2:$E$753,Payment_Log_AP!$B$2:$B$753,A463)</f>
        <v>3855.85</v>
      </c>
      <c r="G463" s="18" t="n">
        <f aca="false">MAX(F463-D463,0)</f>
        <v>0</v>
      </c>
      <c r="H463" s="16" t="str">
        <f aca="false">IF(E463&gt;1,"DUPLICATE - Review",IF(G463&gt;Assumptions!$B$6,"OVERPAID - Review","OK"))</f>
        <v>OK</v>
      </c>
    </row>
    <row r="464" customFormat="false" ht="15" hidden="false" customHeight="false" outlineLevel="0" collapsed="false">
      <c r="A464" s="16" t="str">
        <f aca="false">Vendor_Invoices_AP!A461</f>
        <v>INV30460</v>
      </c>
      <c r="B464" s="16" t="str">
        <f aca="false">Vendor_Invoices_AP!C461</f>
        <v>V1027</v>
      </c>
      <c r="C464" s="16" t="str">
        <f aca="false">IFERROR(INDEX(Vendor_Master!$B$2:$B$41,MATCH(B464,Vendor_Master!$A$2:$A$41,0)),"Unknown Vendor")</f>
        <v>Valencia, Smith and Le</v>
      </c>
      <c r="D464" s="18" t="n">
        <f aca="false">Vendor_Invoices_AP!E461</f>
        <v>1396.94</v>
      </c>
      <c r="E464" s="16" t="n">
        <f aca="false">COUNTIF(Payment_Log_AP!$B$2:$B$753,A464)</f>
        <v>1</v>
      </c>
      <c r="F464" s="18" t="n">
        <f aca="false">SUMIFS(Payment_Log_AP!$E$2:$E$753,Payment_Log_AP!$B$2:$B$753,A464)</f>
        <v>1396.94</v>
      </c>
      <c r="G464" s="18" t="n">
        <f aca="false">MAX(F464-D464,0)</f>
        <v>0</v>
      </c>
      <c r="H464" s="16" t="str">
        <f aca="false">IF(E464&gt;1,"DUPLICATE - Review",IF(G464&gt;Assumptions!$B$6,"OVERPAID - Review","OK"))</f>
        <v>OK</v>
      </c>
    </row>
    <row r="465" customFormat="false" ht="15" hidden="false" customHeight="false" outlineLevel="0" collapsed="false">
      <c r="A465" s="16" t="str">
        <f aca="false">Vendor_Invoices_AP!A462</f>
        <v>INV30461</v>
      </c>
      <c r="B465" s="16" t="str">
        <f aca="false">Vendor_Invoices_AP!C462</f>
        <v>V1038</v>
      </c>
      <c r="C465" s="16" t="str">
        <f aca="false">IFERROR(INDEX(Vendor_Master!$B$2:$B$41,MATCH(B465,Vendor_Master!$A$2:$A$41,0)),"Unknown Vendor")</f>
        <v>Rose-Obrien</v>
      </c>
      <c r="D465" s="18" t="n">
        <f aca="false">Vendor_Invoices_AP!E462</f>
        <v>1284.51</v>
      </c>
      <c r="E465" s="16" t="n">
        <f aca="false">COUNTIF(Payment_Log_AP!$B$2:$B$753,A465)</f>
        <v>1</v>
      </c>
      <c r="F465" s="18" t="n">
        <f aca="false">SUMIFS(Payment_Log_AP!$E$2:$E$753,Payment_Log_AP!$B$2:$B$753,A465)</f>
        <v>1284.51</v>
      </c>
      <c r="G465" s="18" t="n">
        <f aca="false">MAX(F465-D465,0)</f>
        <v>0</v>
      </c>
      <c r="H465" s="16" t="str">
        <f aca="false">IF(E465&gt;1,"DUPLICATE - Review",IF(G465&gt;Assumptions!$B$6,"OVERPAID - Review","OK"))</f>
        <v>OK</v>
      </c>
    </row>
    <row r="466" customFormat="false" ht="15" hidden="false" customHeight="false" outlineLevel="0" collapsed="false">
      <c r="A466" s="16" t="str">
        <f aca="false">Vendor_Invoices_AP!A463</f>
        <v>INV30462</v>
      </c>
      <c r="B466" s="16" t="str">
        <f aca="false">Vendor_Invoices_AP!C463</f>
        <v>V1030</v>
      </c>
      <c r="C466" s="16" t="str">
        <f aca="false">IFERROR(INDEX(Vendor_Master!$B$2:$B$41,MATCH(B466,Vendor_Master!$A$2:$A$41,0)),"Unknown Vendor")</f>
        <v>Stanton-Gill</v>
      </c>
      <c r="D466" s="18" t="n">
        <f aca="false">Vendor_Invoices_AP!E463</f>
        <v>3088.46</v>
      </c>
      <c r="E466" s="16" t="n">
        <f aca="false">COUNTIF(Payment_Log_AP!$B$2:$B$753,A466)</f>
        <v>1</v>
      </c>
      <c r="F466" s="18" t="n">
        <f aca="false">SUMIFS(Payment_Log_AP!$E$2:$E$753,Payment_Log_AP!$B$2:$B$753,A466)</f>
        <v>3088.46</v>
      </c>
      <c r="G466" s="18" t="n">
        <f aca="false">MAX(F466-D466,0)</f>
        <v>0</v>
      </c>
      <c r="H466" s="16" t="str">
        <f aca="false">IF(E466&gt;1,"DUPLICATE - Review",IF(G466&gt;Assumptions!$B$6,"OVERPAID - Review","OK"))</f>
        <v>OK</v>
      </c>
    </row>
    <row r="467" customFormat="false" ht="15" hidden="false" customHeight="false" outlineLevel="0" collapsed="false">
      <c r="A467" s="16" t="str">
        <f aca="false">Vendor_Invoices_AP!A464</f>
        <v>INV30463</v>
      </c>
      <c r="B467" s="16" t="str">
        <f aca="false">Vendor_Invoices_AP!C464</f>
        <v>V1027</v>
      </c>
      <c r="C467" s="16" t="str">
        <f aca="false">IFERROR(INDEX(Vendor_Master!$B$2:$B$41,MATCH(B467,Vendor_Master!$A$2:$A$41,0)),"Unknown Vendor")</f>
        <v>Valencia, Smith and Le</v>
      </c>
      <c r="D467" s="18" t="n">
        <f aca="false">Vendor_Invoices_AP!E464</f>
        <v>10752.87</v>
      </c>
      <c r="E467" s="16" t="n">
        <f aca="false">COUNTIF(Payment_Log_AP!$B$2:$B$753,A467)</f>
        <v>0</v>
      </c>
      <c r="F467" s="18" t="n">
        <f aca="false">SUMIFS(Payment_Log_AP!$E$2:$E$753,Payment_Log_AP!$B$2:$B$753,A467)</f>
        <v>0</v>
      </c>
      <c r="G467" s="18" t="n">
        <f aca="false">MAX(F467-D467,0)</f>
        <v>0</v>
      </c>
      <c r="H467" s="16" t="str">
        <f aca="false">IF(E467&gt;1,"DUPLICATE - Review",IF(G467&gt;Assumptions!$B$6,"OVERPAID - Review","OK"))</f>
        <v>OK</v>
      </c>
    </row>
    <row r="468" customFormat="false" ht="15" hidden="false" customHeight="false" outlineLevel="0" collapsed="false">
      <c r="A468" s="16" t="str">
        <f aca="false">Vendor_Invoices_AP!A465</f>
        <v>INV30464</v>
      </c>
      <c r="B468" s="16" t="str">
        <f aca="false">Vendor_Invoices_AP!C465</f>
        <v>V1009</v>
      </c>
      <c r="C468" s="16" t="str">
        <f aca="false">IFERROR(INDEX(Vendor_Master!$B$2:$B$41,MATCH(B468,Vendor_Master!$A$2:$A$41,0)),"Unknown Vendor")</f>
        <v>Munoz-Roman</v>
      </c>
      <c r="D468" s="18" t="n">
        <f aca="false">Vendor_Invoices_AP!E465</f>
        <v>3083.99</v>
      </c>
      <c r="E468" s="16" t="n">
        <f aca="false">COUNTIF(Payment_Log_AP!$B$2:$B$753,A468)</f>
        <v>1</v>
      </c>
      <c r="F468" s="18" t="n">
        <f aca="false">SUMIFS(Payment_Log_AP!$E$2:$E$753,Payment_Log_AP!$B$2:$B$753,A468)</f>
        <v>3083.99</v>
      </c>
      <c r="G468" s="18" t="n">
        <f aca="false">MAX(F468-D468,0)</f>
        <v>0</v>
      </c>
      <c r="H468" s="16" t="str">
        <f aca="false">IF(E468&gt;1,"DUPLICATE - Review",IF(G468&gt;Assumptions!$B$6,"OVERPAID - Review","OK"))</f>
        <v>OK</v>
      </c>
    </row>
    <row r="469" customFormat="false" ht="15" hidden="false" customHeight="false" outlineLevel="0" collapsed="false">
      <c r="A469" s="16" t="str">
        <f aca="false">Vendor_Invoices_AP!A466</f>
        <v>INV30465</v>
      </c>
      <c r="B469" s="16" t="str">
        <f aca="false">Vendor_Invoices_AP!C466</f>
        <v>V1009</v>
      </c>
      <c r="C469" s="16" t="str">
        <f aca="false">IFERROR(INDEX(Vendor_Master!$B$2:$B$41,MATCH(B469,Vendor_Master!$A$2:$A$41,0)),"Unknown Vendor")</f>
        <v>Munoz-Roman</v>
      </c>
      <c r="D469" s="18" t="n">
        <f aca="false">Vendor_Invoices_AP!E466</f>
        <v>3006.22</v>
      </c>
      <c r="E469" s="16" t="n">
        <f aca="false">COUNTIF(Payment_Log_AP!$B$2:$B$753,A469)</f>
        <v>0</v>
      </c>
      <c r="F469" s="18" t="n">
        <f aca="false">SUMIFS(Payment_Log_AP!$E$2:$E$753,Payment_Log_AP!$B$2:$B$753,A469)</f>
        <v>0</v>
      </c>
      <c r="G469" s="18" t="n">
        <f aca="false">MAX(F469-D469,0)</f>
        <v>0</v>
      </c>
      <c r="H469" s="16" t="str">
        <f aca="false">IF(E469&gt;1,"DUPLICATE - Review",IF(G469&gt;Assumptions!$B$6,"OVERPAID - Review","OK"))</f>
        <v>OK</v>
      </c>
    </row>
    <row r="470" customFormat="false" ht="15" hidden="false" customHeight="false" outlineLevel="0" collapsed="false">
      <c r="A470" s="16" t="str">
        <f aca="false">Vendor_Invoices_AP!A467</f>
        <v>INV30466</v>
      </c>
      <c r="B470" s="16" t="str">
        <f aca="false">Vendor_Invoices_AP!C467</f>
        <v>V1019</v>
      </c>
      <c r="C470" s="16" t="str">
        <f aca="false">IFERROR(INDEX(Vendor_Master!$B$2:$B$41,MATCH(B470,Vendor_Master!$A$2:$A$41,0)),"Unknown Vendor")</f>
        <v>Clark PLC</v>
      </c>
      <c r="D470" s="18" t="n">
        <f aca="false">Vendor_Invoices_AP!E467</f>
        <v>1846.25</v>
      </c>
      <c r="E470" s="16" t="n">
        <f aca="false">COUNTIF(Payment_Log_AP!$B$2:$B$753,A470)</f>
        <v>1</v>
      </c>
      <c r="F470" s="18" t="n">
        <f aca="false">SUMIFS(Payment_Log_AP!$E$2:$E$753,Payment_Log_AP!$B$2:$B$753,A470)</f>
        <v>1846.25</v>
      </c>
      <c r="G470" s="18" t="n">
        <f aca="false">MAX(F470-D470,0)</f>
        <v>0</v>
      </c>
      <c r="H470" s="16" t="str">
        <f aca="false">IF(E470&gt;1,"DUPLICATE - Review",IF(G470&gt;Assumptions!$B$6,"OVERPAID - Review","OK"))</f>
        <v>OK</v>
      </c>
    </row>
    <row r="471" customFormat="false" ht="15" hidden="false" customHeight="false" outlineLevel="0" collapsed="false">
      <c r="A471" s="16" t="str">
        <f aca="false">Vendor_Invoices_AP!A468</f>
        <v>INV30467</v>
      </c>
      <c r="B471" s="16" t="str">
        <f aca="false">Vendor_Invoices_AP!C468</f>
        <v>V1011</v>
      </c>
      <c r="C471" s="16" t="str">
        <f aca="false">IFERROR(INDEX(Vendor_Master!$B$2:$B$41,MATCH(B471,Vendor_Master!$A$2:$A$41,0)),"Unknown Vendor")</f>
        <v>Montgomery, Hensley and Ray</v>
      </c>
      <c r="D471" s="18" t="n">
        <f aca="false">Vendor_Invoices_AP!E468</f>
        <v>1227.72</v>
      </c>
      <c r="E471" s="16" t="n">
        <f aca="false">COUNTIF(Payment_Log_AP!$B$2:$B$753,A471)</f>
        <v>0</v>
      </c>
      <c r="F471" s="18" t="n">
        <f aca="false">SUMIFS(Payment_Log_AP!$E$2:$E$753,Payment_Log_AP!$B$2:$B$753,A471)</f>
        <v>0</v>
      </c>
      <c r="G471" s="18" t="n">
        <f aca="false">MAX(F471-D471,0)</f>
        <v>0</v>
      </c>
      <c r="H471" s="16" t="str">
        <f aca="false">IF(E471&gt;1,"DUPLICATE - Review",IF(G471&gt;Assumptions!$B$6,"OVERPAID - Review","OK"))</f>
        <v>OK</v>
      </c>
    </row>
    <row r="472" customFormat="false" ht="15" hidden="false" customHeight="false" outlineLevel="0" collapsed="false">
      <c r="A472" s="16" t="str">
        <f aca="false">Vendor_Invoices_AP!A469</f>
        <v>INV30468</v>
      </c>
      <c r="B472" s="16" t="str">
        <f aca="false">Vendor_Invoices_AP!C469</f>
        <v>V1040</v>
      </c>
      <c r="C472" s="16" t="str">
        <f aca="false">IFERROR(INDEX(Vendor_Master!$B$2:$B$41,MATCH(B472,Vendor_Master!$A$2:$A$41,0)),"Unknown Vendor")</f>
        <v>Santos, Kim and Holmes</v>
      </c>
      <c r="D472" s="18" t="n">
        <f aca="false">Vendor_Invoices_AP!E469</f>
        <v>705.45</v>
      </c>
      <c r="E472" s="16" t="n">
        <f aca="false">COUNTIF(Payment_Log_AP!$B$2:$B$753,A472)</f>
        <v>0</v>
      </c>
      <c r="F472" s="18" t="n">
        <f aca="false">SUMIFS(Payment_Log_AP!$E$2:$E$753,Payment_Log_AP!$B$2:$B$753,A472)</f>
        <v>0</v>
      </c>
      <c r="G472" s="18" t="n">
        <f aca="false">MAX(F472-D472,0)</f>
        <v>0</v>
      </c>
      <c r="H472" s="16" t="str">
        <f aca="false">IF(E472&gt;1,"DUPLICATE - Review",IF(G472&gt;Assumptions!$B$6,"OVERPAID - Review","OK"))</f>
        <v>OK</v>
      </c>
    </row>
    <row r="473" customFormat="false" ht="15" hidden="false" customHeight="false" outlineLevel="0" collapsed="false">
      <c r="A473" s="16" t="str">
        <f aca="false">Vendor_Invoices_AP!A470</f>
        <v>INV30469</v>
      </c>
      <c r="B473" s="16" t="str">
        <f aca="false">Vendor_Invoices_AP!C470</f>
        <v>V1026</v>
      </c>
      <c r="C473" s="16" t="str">
        <f aca="false">IFERROR(INDEX(Vendor_Master!$B$2:$B$41,MATCH(B473,Vendor_Master!$A$2:$A$41,0)),"Unknown Vendor")</f>
        <v>James-Ferrell</v>
      </c>
      <c r="D473" s="18" t="n">
        <f aca="false">Vendor_Invoices_AP!E470</f>
        <v>12801.13</v>
      </c>
      <c r="E473" s="16" t="n">
        <f aca="false">COUNTIF(Payment_Log_AP!$B$2:$B$753,A473)</f>
        <v>0</v>
      </c>
      <c r="F473" s="18" t="n">
        <f aca="false">SUMIFS(Payment_Log_AP!$E$2:$E$753,Payment_Log_AP!$B$2:$B$753,A473)</f>
        <v>0</v>
      </c>
      <c r="G473" s="18" t="n">
        <f aca="false">MAX(F473-D473,0)</f>
        <v>0</v>
      </c>
      <c r="H473" s="16" t="str">
        <f aca="false">IF(E473&gt;1,"DUPLICATE - Review",IF(G473&gt;Assumptions!$B$6,"OVERPAID - Review","OK"))</f>
        <v>OK</v>
      </c>
    </row>
    <row r="474" customFormat="false" ht="15" hidden="false" customHeight="false" outlineLevel="0" collapsed="false">
      <c r="A474" s="16" t="str">
        <f aca="false">Vendor_Invoices_AP!A471</f>
        <v>INV30470</v>
      </c>
      <c r="B474" s="16" t="str">
        <f aca="false">Vendor_Invoices_AP!C471</f>
        <v>V1016</v>
      </c>
      <c r="C474" s="16" t="str">
        <f aca="false">IFERROR(INDEX(Vendor_Master!$B$2:$B$41,MATCH(B474,Vendor_Master!$A$2:$A$41,0)),"Unknown Vendor")</f>
        <v>Sanchez, Ford and Nelson</v>
      </c>
      <c r="D474" s="18" t="n">
        <f aca="false">Vendor_Invoices_AP!E471</f>
        <v>4660.66</v>
      </c>
      <c r="E474" s="16" t="n">
        <f aca="false">COUNTIF(Payment_Log_AP!$B$2:$B$753,A474)</f>
        <v>1</v>
      </c>
      <c r="F474" s="18" t="n">
        <f aca="false">SUMIFS(Payment_Log_AP!$E$2:$E$753,Payment_Log_AP!$B$2:$B$753,A474)</f>
        <v>4660.66</v>
      </c>
      <c r="G474" s="18" t="n">
        <f aca="false">MAX(F474-D474,0)</f>
        <v>0</v>
      </c>
      <c r="H474" s="16" t="str">
        <f aca="false">IF(E474&gt;1,"DUPLICATE - Review",IF(G474&gt;Assumptions!$B$6,"OVERPAID - Review","OK"))</f>
        <v>OK</v>
      </c>
    </row>
    <row r="475" customFormat="false" ht="15" hidden="false" customHeight="false" outlineLevel="0" collapsed="false">
      <c r="A475" s="16" t="str">
        <f aca="false">Vendor_Invoices_AP!A472</f>
        <v>INV30471</v>
      </c>
      <c r="B475" s="16" t="str">
        <f aca="false">Vendor_Invoices_AP!C472</f>
        <v>V1011</v>
      </c>
      <c r="C475" s="16" t="str">
        <f aca="false">IFERROR(INDEX(Vendor_Master!$B$2:$B$41,MATCH(B475,Vendor_Master!$A$2:$A$41,0)),"Unknown Vendor")</f>
        <v>Montgomery, Hensley and Ray</v>
      </c>
      <c r="D475" s="18" t="n">
        <f aca="false">Vendor_Invoices_AP!E472</f>
        <v>4354.54</v>
      </c>
      <c r="E475" s="16" t="n">
        <f aca="false">COUNTIF(Payment_Log_AP!$B$2:$B$753,A475)</f>
        <v>1</v>
      </c>
      <c r="F475" s="18" t="n">
        <f aca="false">SUMIFS(Payment_Log_AP!$E$2:$E$753,Payment_Log_AP!$B$2:$B$753,A475)</f>
        <v>4354.54</v>
      </c>
      <c r="G475" s="18" t="n">
        <f aca="false">MAX(F475-D475,0)</f>
        <v>0</v>
      </c>
      <c r="H475" s="16" t="str">
        <f aca="false">IF(E475&gt;1,"DUPLICATE - Review",IF(G475&gt;Assumptions!$B$6,"OVERPAID - Review","OK"))</f>
        <v>OK</v>
      </c>
    </row>
    <row r="476" customFormat="false" ht="15" hidden="false" customHeight="false" outlineLevel="0" collapsed="false">
      <c r="A476" s="16" t="str">
        <f aca="false">Vendor_Invoices_AP!A473</f>
        <v>INV30472</v>
      </c>
      <c r="B476" s="16" t="str">
        <f aca="false">Vendor_Invoices_AP!C473</f>
        <v>V1007</v>
      </c>
      <c r="C476" s="16" t="str">
        <f aca="false">IFERROR(INDEX(Vendor_Master!$B$2:$B$41,MATCH(B476,Vendor_Master!$A$2:$A$41,0)),"Unknown Vendor")</f>
        <v>Ramirez-Lewis</v>
      </c>
      <c r="D476" s="18" t="n">
        <f aca="false">Vendor_Invoices_AP!E473</f>
        <v>1820.28</v>
      </c>
      <c r="E476" s="16" t="n">
        <f aca="false">COUNTIF(Payment_Log_AP!$B$2:$B$753,A476)</f>
        <v>1</v>
      </c>
      <c r="F476" s="18" t="n">
        <f aca="false">SUMIFS(Payment_Log_AP!$E$2:$E$753,Payment_Log_AP!$B$2:$B$753,A476)</f>
        <v>1820.28</v>
      </c>
      <c r="G476" s="18" t="n">
        <f aca="false">MAX(F476-D476,0)</f>
        <v>0</v>
      </c>
      <c r="H476" s="16" t="str">
        <f aca="false">IF(E476&gt;1,"DUPLICATE - Review",IF(G476&gt;Assumptions!$B$6,"OVERPAID - Review","OK"))</f>
        <v>OK</v>
      </c>
    </row>
    <row r="477" customFormat="false" ht="15" hidden="false" customHeight="false" outlineLevel="0" collapsed="false">
      <c r="A477" s="16" t="str">
        <f aca="false">Vendor_Invoices_AP!A474</f>
        <v>INV30473</v>
      </c>
      <c r="B477" s="16" t="str">
        <f aca="false">Vendor_Invoices_AP!C474</f>
        <v>V1001</v>
      </c>
      <c r="C477" s="16" t="str">
        <f aca="false">IFERROR(INDEX(Vendor_Master!$B$2:$B$41,MATCH(B477,Vendor_Master!$A$2:$A$41,0)),"Unknown Vendor")</f>
        <v>Figueroa and Sons</v>
      </c>
      <c r="D477" s="18" t="n">
        <f aca="false">Vendor_Invoices_AP!E474</f>
        <v>513.07</v>
      </c>
      <c r="E477" s="16" t="n">
        <f aca="false">COUNTIF(Payment_Log_AP!$B$2:$B$753,A477)</f>
        <v>0</v>
      </c>
      <c r="F477" s="18" t="n">
        <f aca="false">SUMIFS(Payment_Log_AP!$E$2:$E$753,Payment_Log_AP!$B$2:$B$753,A477)</f>
        <v>0</v>
      </c>
      <c r="G477" s="18" t="n">
        <f aca="false">MAX(F477-D477,0)</f>
        <v>0</v>
      </c>
      <c r="H477" s="16" t="str">
        <f aca="false">IF(E477&gt;1,"DUPLICATE - Review",IF(G477&gt;Assumptions!$B$6,"OVERPAID - Review","OK"))</f>
        <v>OK</v>
      </c>
    </row>
    <row r="478" customFormat="false" ht="15" hidden="false" customHeight="false" outlineLevel="0" collapsed="false">
      <c r="A478" s="16" t="str">
        <f aca="false">Vendor_Invoices_AP!A475</f>
        <v>INV30474</v>
      </c>
      <c r="B478" s="16" t="str">
        <f aca="false">Vendor_Invoices_AP!C475</f>
        <v>V1028</v>
      </c>
      <c r="C478" s="16" t="str">
        <f aca="false">IFERROR(INDEX(Vendor_Master!$B$2:$B$41,MATCH(B478,Vendor_Master!$A$2:$A$41,0)),"Unknown Vendor")</f>
        <v>Potter, Mack and Peterson</v>
      </c>
      <c r="D478" s="18" t="n">
        <f aca="false">Vendor_Invoices_AP!E475</f>
        <v>4649.2</v>
      </c>
      <c r="E478" s="16" t="n">
        <f aca="false">COUNTIF(Payment_Log_AP!$B$2:$B$753,A478)</f>
        <v>0</v>
      </c>
      <c r="F478" s="18" t="n">
        <f aca="false">SUMIFS(Payment_Log_AP!$E$2:$E$753,Payment_Log_AP!$B$2:$B$753,A478)</f>
        <v>0</v>
      </c>
      <c r="G478" s="18" t="n">
        <f aca="false">MAX(F478-D478,0)</f>
        <v>0</v>
      </c>
      <c r="H478" s="16" t="str">
        <f aca="false">IF(E478&gt;1,"DUPLICATE - Review",IF(G478&gt;Assumptions!$B$6,"OVERPAID - Review","OK"))</f>
        <v>OK</v>
      </c>
    </row>
    <row r="479" customFormat="false" ht="15" hidden="false" customHeight="false" outlineLevel="0" collapsed="false">
      <c r="A479" s="16" t="str">
        <f aca="false">Vendor_Invoices_AP!A476</f>
        <v>INV30475</v>
      </c>
      <c r="B479" s="16" t="str">
        <f aca="false">Vendor_Invoices_AP!C476</f>
        <v>V1013</v>
      </c>
      <c r="C479" s="16" t="str">
        <f aca="false">IFERROR(INDEX(Vendor_Master!$B$2:$B$41,MATCH(B479,Vendor_Master!$A$2:$A$41,0)),"Unknown Vendor")</f>
        <v>Delacruz Group</v>
      </c>
      <c r="D479" s="18" t="n">
        <f aca="false">Vendor_Invoices_AP!E476</f>
        <v>1334.13</v>
      </c>
      <c r="E479" s="16" t="n">
        <f aca="false">COUNTIF(Payment_Log_AP!$B$2:$B$753,A479)</f>
        <v>1</v>
      </c>
      <c r="F479" s="18" t="n">
        <f aca="false">SUMIFS(Payment_Log_AP!$E$2:$E$753,Payment_Log_AP!$B$2:$B$753,A479)</f>
        <v>1334.13</v>
      </c>
      <c r="G479" s="18" t="n">
        <f aca="false">MAX(F479-D479,0)</f>
        <v>0</v>
      </c>
      <c r="H479" s="16" t="str">
        <f aca="false">IF(E479&gt;1,"DUPLICATE - Review",IF(G479&gt;Assumptions!$B$6,"OVERPAID - Review","OK"))</f>
        <v>OK</v>
      </c>
    </row>
    <row r="480" customFormat="false" ht="15" hidden="false" customHeight="false" outlineLevel="0" collapsed="false">
      <c r="A480" s="16" t="str">
        <f aca="false">Vendor_Invoices_AP!A477</f>
        <v>INV30476</v>
      </c>
      <c r="B480" s="16" t="str">
        <f aca="false">Vendor_Invoices_AP!C477</f>
        <v>V1011</v>
      </c>
      <c r="C480" s="16" t="str">
        <f aca="false">IFERROR(INDEX(Vendor_Master!$B$2:$B$41,MATCH(B480,Vendor_Master!$A$2:$A$41,0)),"Unknown Vendor")</f>
        <v>Montgomery, Hensley and Ray</v>
      </c>
      <c r="D480" s="18" t="n">
        <f aca="false">Vendor_Invoices_AP!E477</f>
        <v>2328.91</v>
      </c>
      <c r="E480" s="16" t="n">
        <f aca="false">COUNTIF(Payment_Log_AP!$B$2:$B$753,A480)</f>
        <v>1</v>
      </c>
      <c r="F480" s="18" t="n">
        <f aca="false">SUMIFS(Payment_Log_AP!$E$2:$E$753,Payment_Log_AP!$B$2:$B$753,A480)</f>
        <v>2328.91</v>
      </c>
      <c r="G480" s="18" t="n">
        <f aca="false">MAX(F480-D480,0)</f>
        <v>0</v>
      </c>
      <c r="H480" s="16" t="str">
        <f aca="false">IF(E480&gt;1,"DUPLICATE - Review",IF(G480&gt;Assumptions!$B$6,"OVERPAID - Review","OK"))</f>
        <v>OK</v>
      </c>
    </row>
    <row r="481" customFormat="false" ht="15" hidden="false" customHeight="false" outlineLevel="0" collapsed="false">
      <c r="A481" s="16" t="str">
        <f aca="false">Vendor_Invoices_AP!A478</f>
        <v>INV30477</v>
      </c>
      <c r="B481" s="16" t="str">
        <f aca="false">Vendor_Invoices_AP!C478</f>
        <v>V1036</v>
      </c>
      <c r="C481" s="16" t="str">
        <f aca="false">IFERROR(INDEX(Vendor_Master!$B$2:$B$41,MATCH(B481,Vendor_Master!$A$2:$A$41,0)),"Unknown Vendor")</f>
        <v>Dennis Inc</v>
      </c>
      <c r="D481" s="18" t="n">
        <f aca="false">Vendor_Invoices_AP!E478</f>
        <v>460.42</v>
      </c>
      <c r="E481" s="16" t="n">
        <f aca="false">COUNTIF(Payment_Log_AP!$B$2:$B$753,A481)</f>
        <v>1</v>
      </c>
      <c r="F481" s="18" t="n">
        <f aca="false">SUMIFS(Payment_Log_AP!$E$2:$E$753,Payment_Log_AP!$B$2:$B$753,A481)</f>
        <v>460.42</v>
      </c>
      <c r="G481" s="18" t="n">
        <f aca="false">MAX(F481-D481,0)</f>
        <v>0</v>
      </c>
      <c r="H481" s="16" t="str">
        <f aca="false">IF(E481&gt;1,"DUPLICATE - Review",IF(G481&gt;Assumptions!$B$6,"OVERPAID - Review","OK"))</f>
        <v>OK</v>
      </c>
    </row>
    <row r="482" customFormat="false" ht="15" hidden="false" customHeight="false" outlineLevel="0" collapsed="false">
      <c r="A482" s="16" t="str">
        <f aca="false">Vendor_Invoices_AP!A479</f>
        <v>INV30478</v>
      </c>
      <c r="B482" s="16" t="str">
        <f aca="false">Vendor_Invoices_AP!C479</f>
        <v>V1030</v>
      </c>
      <c r="C482" s="16" t="str">
        <f aca="false">IFERROR(INDEX(Vendor_Master!$B$2:$B$41,MATCH(B482,Vendor_Master!$A$2:$A$41,0)),"Unknown Vendor")</f>
        <v>Stanton-Gill</v>
      </c>
      <c r="D482" s="18" t="n">
        <f aca="false">Vendor_Invoices_AP!E479</f>
        <v>820.42</v>
      </c>
      <c r="E482" s="16" t="n">
        <f aca="false">COUNTIF(Payment_Log_AP!$B$2:$B$753,A482)</f>
        <v>1</v>
      </c>
      <c r="F482" s="18" t="n">
        <f aca="false">SUMIFS(Payment_Log_AP!$E$2:$E$753,Payment_Log_AP!$B$2:$B$753,A482)</f>
        <v>820.42</v>
      </c>
      <c r="G482" s="18" t="n">
        <f aca="false">MAX(F482-D482,0)</f>
        <v>0</v>
      </c>
      <c r="H482" s="16" t="str">
        <f aca="false">IF(E482&gt;1,"DUPLICATE - Review",IF(G482&gt;Assumptions!$B$6,"OVERPAID - Review","OK"))</f>
        <v>OK</v>
      </c>
    </row>
    <row r="483" customFormat="false" ht="15" hidden="false" customHeight="false" outlineLevel="0" collapsed="false">
      <c r="A483" s="16" t="str">
        <f aca="false">Vendor_Invoices_AP!A480</f>
        <v>INV30479</v>
      </c>
      <c r="B483" s="16" t="str">
        <f aca="false">Vendor_Invoices_AP!C480</f>
        <v>V1028</v>
      </c>
      <c r="C483" s="16" t="str">
        <f aca="false">IFERROR(INDEX(Vendor_Master!$B$2:$B$41,MATCH(B483,Vendor_Master!$A$2:$A$41,0)),"Unknown Vendor")</f>
        <v>Potter, Mack and Peterson</v>
      </c>
      <c r="D483" s="18" t="n">
        <f aca="false">Vendor_Invoices_AP!E480</f>
        <v>1135.98</v>
      </c>
      <c r="E483" s="16" t="n">
        <f aca="false">COUNTIF(Payment_Log_AP!$B$2:$B$753,A483)</f>
        <v>2</v>
      </c>
      <c r="F483" s="18" t="n">
        <f aca="false">SUMIFS(Payment_Log_AP!$E$2:$E$753,Payment_Log_AP!$B$2:$B$753,A483)</f>
        <v>2271.96</v>
      </c>
      <c r="G483" s="18" t="n">
        <f aca="false">MAX(F483-D483,0)</f>
        <v>1135.98</v>
      </c>
      <c r="H483" s="16" t="str">
        <f aca="false">IF(E483&gt;1,"DUPLICATE - Review",IF(G483&gt;Assumptions!$B$6,"OVERPAID - Review","OK"))</f>
        <v>DUPLICATE - Review</v>
      </c>
    </row>
    <row r="484" customFormat="false" ht="15" hidden="false" customHeight="false" outlineLevel="0" collapsed="false">
      <c r="A484" s="16" t="str">
        <f aca="false">Vendor_Invoices_AP!A481</f>
        <v>INV30480</v>
      </c>
      <c r="B484" s="16" t="str">
        <f aca="false">Vendor_Invoices_AP!C481</f>
        <v>V1028</v>
      </c>
      <c r="C484" s="16" t="str">
        <f aca="false">IFERROR(INDEX(Vendor_Master!$B$2:$B$41,MATCH(B484,Vendor_Master!$A$2:$A$41,0)),"Unknown Vendor")</f>
        <v>Potter, Mack and Peterson</v>
      </c>
      <c r="D484" s="18" t="n">
        <f aca="false">Vendor_Invoices_AP!E481</f>
        <v>1135.98</v>
      </c>
      <c r="E484" s="16" t="n">
        <f aca="false">COUNTIF(Payment_Log_AP!$B$2:$B$753,A484)</f>
        <v>1</v>
      </c>
      <c r="F484" s="18" t="n">
        <f aca="false">SUMIFS(Payment_Log_AP!$E$2:$E$753,Payment_Log_AP!$B$2:$B$753,A484)</f>
        <v>1135.98</v>
      </c>
      <c r="G484" s="18" t="n">
        <f aca="false">MAX(F484-D484,0)</f>
        <v>0</v>
      </c>
      <c r="H484" s="16" t="str">
        <f aca="false">IF(E484&gt;1,"DUPLICATE - Review",IF(G484&gt;Assumptions!$B$6,"OVERPAID - Review","OK"))</f>
        <v>OK</v>
      </c>
    </row>
    <row r="485" customFormat="false" ht="15" hidden="false" customHeight="false" outlineLevel="0" collapsed="false">
      <c r="A485" s="16" t="str">
        <f aca="false">Vendor_Invoices_AP!A482</f>
        <v>INV30481</v>
      </c>
      <c r="B485" s="16" t="str">
        <f aca="false">Vendor_Invoices_AP!C482</f>
        <v>V1007</v>
      </c>
      <c r="C485" s="16" t="str">
        <f aca="false">IFERROR(INDEX(Vendor_Master!$B$2:$B$41,MATCH(B485,Vendor_Master!$A$2:$A$41,0)),"Unknown Vendor")</f>
        <v>Ramirez-Lewis</v>
      </c>
      <c r="D485" s="18" t="n">
        <f aca="false">Vendor_Invoices_AP!E482</f>
        <v>5599.82</v>
      </c>
      <c r="E485" s="16" t="n">
        <f aca="false">COUNTIF(Payment_Log_AP!$B$2:$B$753,A485)</f>
        <v>0</v>
      </c>
      <c r="F485" s="18" t="n">
        <f aca="false">SUMIFS(Payment_Log_AP!$E$2:$E$753,Payment_Log_AP!$B$2:$B$753,A485)</f>
        <v>0</v>
      </c>
      <c r="G485" s="18" t="n">
        <f aca="false">MAX(F485-D485,0)</f>
        <v>0</v>
      </c>
      <c r="H485" s="16" t="str">
        <f aca="false">IF(E485&gt;1,"DUPLICATE - Review",IF(G485&gt;Assumptions!$B$6,"OVERPAID - Review","OK"))</f>
        <v>OK</v>
      </c>
    </row>
    <row r="486" customFormat="false" ht="15" hidden="false" customHeight="false" outlineLevel="0" collapsed="false">
      <c r="A486" s="16" t="str">
        <f aca="false">Vendor_Invoices_AP!A483</f>
        <v>INV30482</v>
      </c>
      <c r="B486" s="16" t="str">
        <f aca="false">Vendor_Invoices_AP!C483</f>
        <v>V1001</v>
      </c>
      <c r="C486" s="16" t="str">
        <f aca="false">IFERROR(INDEX(Vendor_Master!$B$2:$B$41,MATCH(B486,Vendor_Master!$A$2:$A$41,0)),"Unknown Vendor")</f>
        <v>Figueroa and Sons</v>
      </c>
      <c r="D486" s="18" t="n">
        <f aca="false">Vendor_Invoices_AP!E483</f>
        <v>15313.53</v>
      </c>
      <c r="E486" s="16" t="n">
        <f aca="false">COUNTIF(Payment_Log_AP!$B$2:$B$753,A486)</f>
        <v>1</v>
      </c>
      <c r="F486" s="18" t="n">
        <f aca="false">SUMIFS(Payment_Log_AP!$E$2:$E$753,Payment_Log_AP!$B$2:$B$753,A486)</f>
        <v>15313.53</v>
      </c>
      <c r="G486" s="18" t="n">
        <f aca="false">MAX(F486-D486,0)</f>
        <v>0</v>
      </c>
      <c r="H486" s="16" t="str">
        <f aca="false">IF(E486&gt;1,"DUPLICATE - Review",IF(G486&gt;Assumptions!$B$6,"OVERPAID - Review","OK"))</f>
        <v>OK</v>
      </c>
    </row>
    <row r="487" customFormat="false" ht="15" hidden="false" customHeight="false" outlineLevel="0" collapsed="false">
      <c r="A487" s="16" t="str">
        <f aca="false">Vendor_Invoices_AP!A484</f>
        <v>INV30483</v>
      </c>
      <c r="B487" s="16" t="str">
        <f aca="false">Vendor_Invoices_AP!C484</f>
        <v>V1007</v>
      </c>
      <c r="C487" s="16" t="str">
        <f aca="false">IFERROR(INDEX(Vendor_Master!$B$2:$B$41,MATCH(B487,Vendor_Master!$A$2:$A$41,0)),"Unknown Vendor")</f>
        <v>Ramirez-Lewis</v>
      </c>
      <c r="D487" s="18" t="n">
        <f aca="false">Vendor_Invoices_AP!E484</f>
        <v>653.1</v>
      </c>
      <c r="E487" s="16" t="n">
        <f aca="false">COUNTIF(Payment_Log_AP!$B$2:$B$753,A487)</f>
        <v>1</v>
      </c>
      <c r="F487" s="18" t="n">
        <f aca="false">SUMIFS(Payment_Log_AP!$E$2:$E$753,Payment_Log_AP!$B$2:$B$753,A487)</f>
        <v>653.1</v>
      </c>
      <c r="G487" s="18" t="n">
        <f aca="false">MAX(F487-D487,0)</f>
        <v>0</v>
      </c>
      <c r="H487" s="16" t="str">
        <f aca="false">IF(E487&gt;1,"DUPLICATE - Review",IF(G487&gt;Assumptions!$B$6,"OVERPAID - Review","OK"))</f>
        <v>OK</v>
      </c>
    </row>
    <row r="488" customFormat="false" ht="15" hidden="false" customHeight="false" outlineLevel="0" collapsed="false">
      <c r="A488" s="16" t="str">
        <f aca="false">Vendor_Invoices_AP!A485</f>
        <v>INV30484</v>
      </c>
      <c r="B488" s="16" t="str">
        <f aca="false">Vendor_Invoices_AP!C485</f>
        <v>V1008</v>
      </c>
      <c r="C488" s="16" t="str">
        <f aca="false">IFERROR(INDEX(Vendor_Master!$B$2:$B$41,MATCH(B488,Vendor_Master!$A$2:$A$41,0)),"Unknown Vendor")</f>
        <v>Davis Inc</v>
      </c>
      <c r="D488" s="18" t="n">
        <f aca="false">Vendor_Invoices_AP!E485</f>
        <v>2324.66</v>
      </c>
      <c r="E488" s="16" t="n">
        <f aca="false">COUNTIF(Payment_Log_AP!$B$2:$B$753,A488)</f>
        <v>1</v>
      </c>
      <c r="F488" s="18" t="n">
        <f aca="false">SUMIFS(Payment_Log_AP!$E$2:$E$753,Payment_Log_AP!$B$2:$B$753,A488)</f>
        <v>2324.66</v>
      </c>
      <c r="G488" s="18" t="n">
        <f aca="false">MAX(F488-D488,0)</f>
        <v>0</v>
      </c>
      <c r="H488" s="16" t="str">
        <f aca="false">IF(E488&gt;1,"DUPLICATE - Review",IF(G488&gt;Assumptions!$B$6,"OVERPAID - Review","OK"))</f>
        <v>OK</v>
      </c>
    </row>
    <row r="489" customFormat="false" ht="15" hidden="false" customHeight="false" outlineLevel="0" collapsed="false">
      <c r="A489" s="16" t="str">
        <f aca="false">Vendor_Invoices_AP!A486</f>
        <v>INV30485</v>
      </c>
      <c r="B489" s="16" t="str">
        <f aca="false">Vendor_Invoices_AP!C486</f>
        <v>V1031</v>
      </c>
      <c r="C489" s="16" t="str">
        <f aca="false">IFERROR(INDEX(Vendor_Master!$B$2:$B$41,MATCH(B489,Vendor_Master!$A$2:$A$41,0)),"Unknown Vendor")</f>
        <v>Harrell LLC</v>
      </c>
      <c r="D489" s="18" t="n">
        <f aca="false">Vendor_Invoices_AP!E486</f>
        <v>1644.55</v>
      </c>
      <c r="E489" s="16" t="n">
        <f aca="false">COUNTIF(Payment_Log_AP!$B$2:$B$753,A489)</f>
        <v>2</v>
      </c>
      <c r="F489" s="18" t="n">
        <f aca="false">SUMIFS(Payment_Log_AP!$E$2:$E$753,Payment_Log_AP!$B$2:$B$753,A489)</f>
        <v>3289.1</v>
      </c>
      <c r="G489" s="18" t="n">
        <f aca="false">MAX(F489-D489,0)</f>
        <v>1644.55</v>
      </c>
      <c r="H489" s="16" t="str">
        <f aca="false">IF(E489&gt;1,"DUPLICATE - Review",IF(G489&gt;Assumptions!$B$6,"OVERPAID - Review","OK"))</f>
        <v>DUPLICATE - Review</v>
      </c>
    </row>
    <row r="490" customFormat="false" ht="15" hidden="false" customHeight="false" outlineLevel="0" collapsed="false">
      <c r="A490" s="16" t="str">
        <f aca="false">Vendor_Invoices_AP!A487</f>
        <v>INV30486</v>
      </c>
      <c r="B490" s="16" t="str">
        <f aca="false">Vendor_Invoices_AP!C487</f>
        <v>V1003</v>
      </c>
      <c r="C490" s="16" t="str">
        <f aca="false">IFERROR(INDEX(Vendor_Master!$B$2:$B$41,MATCH(B490,Vendor_Master!$A$2:$A$41,0)),"Unknown Vendor")</f>
        <v>Johnson and Sons</v>
      </c>
      <c r="D490" s="18" t="n">
        <f aca="false">Vendor_Invoices_AP!E487</f>
        <v>236.77</v>
      </c>
      <c r="E490" s="16" t="n">
        <f aca="false">COUNTIF(Payment_Log_AP!$B$2:$B$753,A490)</f>
        <v>1</v>
      </c>
      <c r="F490" s="18" t="n">
        <f aca="false">SUMIFS(Payment_Log_AP!$E$2:$E$753,Payment_Log_AP!$B$2:$B$753,A490)</f>
        <v>236.77</v>
      </c>
      <c r="G490" s="18" t="n">
        <f aca="false">MAX(F490-D490,0)</f>
        <v>0</v>
      </c>
      <c r="H490" s="16" t="str">
        <f aca="false">IF(E490&gt;1,"DUPLICATE - Review",IF(G490&gt;Assumptions!$B$6,"OVERPAID - Review","OK"))</f>
        <v>OK</v>
      </c>
    </row>
    <row r="491" customFormat="false" ht="15" hidden="false" customHeight="false" outlineLevel="0" collapsed="false">
      <c r="A491" s="16" t="str">
        <f aca="false">Vendor_Invoices_AP!A488</f>
        <v>INV30487</v>
      </c>
      <c r="B491" s="16" t="str">
        <f aca="false">Vendor_Invoices_AP!C488</f>
        <v>V1025</v>
      </c>
      <c r="C491" s="16" t="str">
        <f aca="false">IFERROR(INDEX(Vendor_Master!$B$2:$B$41,MATCH(B491,Vendor_Master!$A$2:$A$41,0)),"Unknown Vendor")</f>
        <v>Conner Group</v>
      </c>
      <c r="D491" s="18" t="n">
        <f aca="false">Vendor_Invoices_AP!E488</f>
        <v>1018.47</v>
      </c>
      <c r="E491" s="16" t="n">
        <f aca="false">COUNTIF(Payment_Log_AP!$B$2:$B$753,A491)</f>
        <v>1</v>
      </c>
      <c r="F491" s="18" t="n">
        <f aca="false">SUMIFS(Payment_Log_AP!$E$2:$E$753,Payment_Log_AP!$B$2:$B$753,A491)</f>
        <v>1018.47</v>
      </c>
      <c r="G491" s="18" t="n">
        <f aca="false">MAX(F491-D491,0)</f>
        <v>0</v>
      </c>
      <c r="H491" s="16" t="str">
        <f aca="false">IF(E491&gt;1,"DUPLICATE - Review",IF(G491&gt;Assumptions!$B$6,"OVERPAID - Review","OK"))</f>
        <v>OK</v>
      </c>
    </row>
    <row r="492" customFormat="false" ht="15" hidden="false" customHeight="false" outlineLevel="0" collapsed="false">
      <c r="A492" s="16" t="str">
        <f aca="false">Vendor_Invoices_AP!A489</f>
        <v>INV30488</v>
      </c>
      <c r="B492" s="16" t="str">
        <f aca="false">Vendor_Invoices_AP!C489</f>
        <v>V1024</v>
      </c>
      <c r="C492" s="16" t="str">
        <f aca="false">IFERROR(INDEX(Vendor_Master!$B$2:$B$41,MATCH(B492,Vendor_Master!$A$2:$A$41,0)),"Unknown Vendor")</f>
        <v>Campos Inc</v>
      </c>
      <c r="D492" s="18" t="n">
        <f aca="false">Vendor_Invoices_AP!E489</f>
        <v>3142.38</v>
      </c>
      <c r="E492" s="16" t="n">
        <f aca="false">COUNTIF(Payment_Log_AP!$B$2:$B$753,A492)</f>
        <v>1</v>
      </c>
      <c r="F492" s="18" t="n">
        <f aca="false">SUMIFS(Payment_Log_AP!$E$2:$E$753,Payment_Log_AP!$B$2:$B$753,A492)</f>
        <v>3142.38</v>
      </c>
      <c r="G492" s="18" t="n">
        <f aca="false">MAX(F492-D492,0)</f>
        <v>0</v>
      </c>
      <c r="H492" s="16" t="str">
        <f aca="false">IF(E492&gt;1,"DUPLICATE - Review",IF(G492&gt;Assumptions!$B$6,"OVERPAID - Review","OK"))</f>
        <v>OK</v>
      </c>
    </row>
    <row r="493" customFormat="false" ht="15" hidden="false" customHeight="false" outlineLevel="0" collapsed="false">
      <c r="A493" s="16" t="str">
        <f aca="false">Vendor_Invoices_AP!A490</f>
        <v>INV30489</v>
      </c>
      <c r="B493" s="16" t="str">
        <f aca="false">Vendor_Invoices_AP!C490</f>
        <v>V1034</v>
      </c>
      <c r="C493" s="16" t="str">
        <f aca="false">IFERROR(INDEX(Vendor_Master!$B$2:$B$41,MATCH(B493,Vendor_Master!$A$2:$A$41,0)),"Unknown Vendor")</f>
        <v>Koch-Decker</v>
      </c>
      <c r="D493" s="18" t="n">
        <f aca="false">Vendor_Invoices_AP!E490</f>
        <v>2788.31</v>
      </c>
      <c r="E493" s="16" t="n">
        <f aca="false">COUNTIF(Payment_Log_AP!$B$2:$B$753,A493)</f>
        <v>1</v>
      </c>
      <c r="F493" s="18" t="n">
        <f aca="false">SUMIFS(Payment_Log_AP!$E$2:$E$753,Payment_Log_AP!$B$2:$B$753,A493)</f>
        <v>2788.31</v>
      </c>
      <c r="G493" s="18" t="n">
        <f aca="false">MAX(F493-D493,0)</f>
        <v>0</v>
      </c>
      <c r="H493" s="16" t="str">
        <f aca="false">IF(E493&gt;1,"DUPLICATE - Review",IF(G493&gt;Assumptions!$B$6,"OVERPAID - Review","OK"))</f>
        <v>OK</v>
      </c>
    </row>
    <row r="494" customFormat="false" ht="15" hidden="false" customHeight="false" outlineLevel="0" collapsed="false">
      <c r="A494" s="16" t="str">
        <f aca="false">Vendor_Invoices_AP!A491</f>
        <v>INV30490</v>
      </c>
      <c r="B494" s="16" t="str">
        <f aca="false">Vendor_Invoices_AP!C491</f>
        <v>V1022</v>
      </c>
      <c r="C494" s="16" t="str">
        <f aca="false">IFERROR(INDEX(Vendor_Master!$B$2:$B$41,MATCH(B494,Vendor_Master!$A$2:$A$41,0)),"Unknown Vendor")</f>
        <v>Burgess-Patterson</v>
      </c>
      <c r="D494" s="18" t="n">
        <f aca="false">Vendor_Invoices_AP!E491</f>
        <v>12520.7</v>
      </c>
      <c r="E494" s="16" t="n">
        <f aca="false">COUNTIF(Payment_Log_AP!$B$2:$B$753,A494)</f>
        <v>1</v>
      </c>
      <c r="F494" s="18" t="n">
        <f aca="false">SUMIFS(Payment_Log_AP!$E$2:$E$753,Payment_Log_AP!$B$2:$B$753,A494)</f>
        <v>12520.7</v>
      </c>
      <c r="G494" s="18" t="n">
        <f aca="false">MAX(F494-D494,0)</f>
        <v>0</v>
      </c>
      <c r="H494" s="16" t="str">
        <f aca="false">IF(E494&gt;1,"DUPLICATE - Review",IF(G494&gt;Assumptions!$B$6,"OVERPAID - Review","OK"))</f>
        <v>OK</v>
      </c>
    </row>
    <row r="495" customFormat="false" ht="15" hidden="false" customHeight="false" outlineLevel="0" collapsed="false">
      <c r="A495" s="16" t="str">
        <f aca="false">Vendor_Invoices_AP!A492</f>
        <v>INV30491</v>
      </c>
      <c r="B495" s="16" t="str">
        <f aca="false">Vendor_Invoices_AP!C492</f>
        <v>V1019</v>
      </c>
      <c r="C495" s="16" t="str">
        <f aca="false">IFERROR(INDEX(Vendor_Master!$B$2:$B$41,MATCH(B495,Vendor_Master!$A$2:$A$41,0)),"Unknown Vendor")</f>
        <v>Clark PLC</v>
      </c>
      <c r="D495" s="18" t="n">
        <f aca="false">Vendor_Invoices_AP!E492</f>
        <v>1099.38</v>
      </c>
      <c r="E495" s="16" t="n">
        <f aca="false">COUNTIF(Payment_Log_AP!$B$2:$B$753,A495)</f>
        <v>1</v>
      </c>
      <c r="F495" s="18" t="n">
        <f aca="false">SUMIFS(Payment_Log_AP!$E$2:$E$753,Payment_Log_AP!$B$2:$B$753,A495)</f>
        <v>1099.38</v>
      </c>
      <c r="G495" s="18" t="n">
        <f aca="false">MAX(F495-D495,0)</f>
        <v>0</v>
      </c>
      <c r="H495" s="16" t="str">
        <f aca="false">IF(E495&gt;1,"DUPLICATE - Review",IF(G495&gt;Assumptions!$B$6,"OVERPAID - Review","OK"))</f>
        <v>OK</v>
      </c>
    </row>
    <row r="496" customFormat="false" ht="15" hidden="false" customHeight="false" outlineLevel="0" collapsed="false">
      <c r="A496" s="16" t="str">
        <f aca="false">Vendor_Invoices_AP!A493</f>
        <v>INV30492</v>
      </c>
      <c r="B496" s="16" t="str">
        <f aca="false">Vendor_Invoices_AP!C493</f>
        <v>V1023</v>
      </c>
      <c r="C496" s="16" t="str">
        <f aca="false">IFERROR(INDEX(Vendor_Master!$B$2:$B$41,MATCH(B496,Vendor_Master!$A$2:$A$41,0)),"Unknown Vendor")</f>
        <v>Robinson-Bright</v>
      </c>
      <c r="D496" s="18" t="n">
        <f aca="false">Vendor_Invoices_AP!E493</f>
        <v>3207.79</v>
      </c>
      <c r="E496" s="16" t="n">
        <f aca="false">COUNTIF(Payment_Log_AP!$B$2:$B$753,A496)</f>
        <v>1</v>
      </c>
      <c r="F496" s="18" t="n">
        <f aca="false">SUMIFS(Payment_Log_AP!$E$2:$E$753,Payment_Log_AP!$B$2:$B$753,A496)</f>
        <v>3207.79</v>
      </c>
      <c r="G496" s="18" t="n">
        <f aca="false">MAX(F496-D496,0)</f>
        <v>0</v>
      </c>
      <c r="H496" s="16" t="str">
        <f aca="false">IF(E496&gt;1,"DUPLICATE - Review",IF(G496&gt;Assumptions!$B$6,"OVERPAID - Review","OK"))</f>
        <v>OK</v>
      </c>
    </row>
    <row r="497" customFormat="false" ht="15" hidden="false" customHeight="false" outlineLevel="0" collapsed="false">
      <c r="A497" s="16" t="str">
        <f aca="false">Vendor_Invoices_AP!A494</f>
        <v>INV30493</v>
      </c>
      <c r="B497" s="16" t="str">
        <f aca="false">Vendor_Invoices_AP!C494</f>
        <v>V1001</v>
      </c>
      <c r="C497" s="16" t="str">
        <f aca="false">IFERROR(INDEX(Vendor_Master!$B$2:$B$41,MATCH(B497,Vendor_Master!$A$2:$A$41,0)),"Unknown Vendor")</f>
        <v>Figueroa and Sons</v>
      </c>
      <c r="D497" s="18" t="n">
        <f aca="false">Vendor_Invoices_AP!E494</f>
        <v>182.59</v>
      </c>
      <c r="E497" s="16" t="n">
        <f aca="false">COUNTIF(Payment_Log_AP!$B$2:$B$753,A497)</f>
        <v>1</v>
      </c>
      <c r="F497" s="18" t="n">
        <f aca="false">SUMIFS(Payment_Log_AP!$E$2:$E$753,Payment_Log_AP!$B$2:$B$753,A497)</f>
        <v>182.59</v>
      </c>
      <c r="G497" s="18" t="n">
        <f aca="false">MAX(F497-D497,0)</f>
        <v>0</v>
      </c>
      <c r="H497" s="16" t="str">
        <f aca="false">IF(E497&gt;1,"DUPLICATE - Review",IF(G497&gt;Assumptions!$B$6,"OVERPAID - Review","OK"))</f>
        <v>OK</v>
      </c>
    </row>
    <row r="498" customFormat="false" ht="15" hidden="false" customHeight="false" outlineLevel="0" collapsed="false">
      <c r="A498" s="16" t="str">
        <f aca="false">Vendor_Invoices_AP!A495</f>
        <v>INV30494</v>
      </c>
      <c r="B498" s="16" t="str">
        <f aca="false">Vendor_Invoices_AP!C495</f>
        <v>V1040</v>
      </c>
      <c r="C498" s="16" t="str">
        <f aca="false">IFERROR(INDEX(Vendor_Master!$B$2:$B$41,MATCH(B498,Vendor_Master!$A$2:$A$41,0)),"Unknown Vendor")</f>
        <v>Santos, Kim and Holmes</v>
      </c>
      <c r="D498" s="18" t="n">
        <f aca="false">Vendor_Invoices_AP!E495</f>
        <v>1223.73</v>
      </c>
      <c r="E498" s="16" t="n">
        <f aca="false">COUNTIF(Payment_Log_AP!$B$2:$B$753,A498)</f>
        <v>1</v>
      </c>
      <c r="F498" s="18" t="n">
        <f aca="false">SUMIFS(Payment_Log_AP!$E$2:$E$753,Payment_Log_AP!$B$2:$B$753,A498)</f>
        <v>1223.73</v>
      </c>
      <c r="G498" s="18" t="n">
        <f aca="false">MAX(F498-D498,0)</f>
        <v>0</v>
      </c>
      <c r="H498" s="16" t="str">
        <f aca="false">IF(E498&gt;1,"DUPLICATE - Review",IF(G498&gt;Assumptions!$B$6,"OVERPAID - Review","OK"))</f>
        <v>OK</v>
      </c>
    </row>
    <row r="499" customFormat="false" ht="15" hidden="false" customHeight="false" outlineLevel="0" collapsed="false">
      <c r="A499" s="16" t="str">
        <f aca="false">Vendor_Invoices_AP!A496</f>
        <v>INV30495</v>
      </c>
      <c r="B499" s="16" t="str">
        <f aca="false">Vendor_Invoices_AP!C496</f>
        <v>V1015</v>
      </c>
      <c r="C499" s="16" t="str">
        <f aca="false">IFERROR(INDEX(Vendor_Master!$B$2:$B$41,MATCH(B499,Vendor_Master!$A$2:$A$41,0)),"Unknown Vendor")</f>
        <v>Zuniga, Wong and Lynch</v>
      </c>
      <c r="D499" s="18" t="n">
        <f aca="false">Vendor_Invoices_AP!E496</f>
        <v>585.34</v>
      </c>
      <c r="E499" s="16" t="n">
        <f aca="false">COUNTIF(Payment_Log_AP!$B$2:$B$753,A499)</f>
        <v>1</v>
      </c>
      <c r="F499" s="18" t="n">
        <f aca="false">SUMIFS(Payment_Log_AP!$E$2:$E$753,Payment_Log_AP!$B$2:$B$753,A499)</f>
        <v>585.34</v>
      </c>
      <c r="G499" s="18" t="n">
        <f aca="false">MAX(F499-D499,0)</f>
        <v>0</v>
      </c>
      <c r="H499" s="16" t="str">
        <f aca="false">IF(E499&gt;1,"DUPLICATE - Review",IF(G499&gt;Assumptions!$B$6,"OVERPAID - Review","OK"))</f>
        <v>OK</v>
      </c>
    </row>
    <row r="500" customFormat="false" ht="15" hidden="false" customHeight="false" outlineLevel="0" collapsed="false">
      <c r="A500" s="16" t="str">
        <f aca="false">Vendor_Invoices_AP!A497</f>
        <v>INV30496</v>
      </c>
      <c r="B500" s="16" t="str">
        <f aca="false">Vendor_Invoices_AP!C497</f>
        <v>V1039</v>
      </c>
      <c r="C500" s="16" t="str">
        <f aca="false">IFERROR(INDEX(Vendor_Master!$B$2:$B$41,MATCH(B500,Vendor_Master!$A$2:$A$41,0)),"Unknown Vendor")</f>
        <v>Campos, Vaughn and Marquez</v>
      </c>
      <c r="D500" s="18" t="n">
        <f aca="false">Vendor_Invoices_AP!E497</f>
        <v>40497.91</v>
      </c>
      <c r="E500" s="16" t="n">
        <f aca="false">COUNTIF(Payment_Log_AP!$B$2:$B$753,A500)</f>
        <v>1</v>
      </c>
      <c r="F500" s="18" t="n">
        <f aca="false">SUMIFS(Payment_Log_AP!$E$2:$E$753,Payment_Log_AP!$B$2:$B$753,A500)</f>
        <v>40497.91</v>
      </c>
      <c r="G500" s="18" t="n">
        <f aca="false">MAX(F500-D500,0)</f>
        <v>0</v>
      </c>
      <c r="H500" s="16" t="str">
        <f aca="false">IF(E500&gt;1,"DUPLICATE - Review",IF(G500&gt;Assumptions!$B$6,"OVERPAID - Review","OK"))</f>
        <v>OK</v>
      </c>
    </row>
    <row r="501" customFormat="false" ht="15" hidden="false" customHeight="false" outlineLevel="0" collapsed="false">
      <c r="A501" s="16" t="str">
        <f aca="false">Vendor_Invoices_AP!A498</f>
        <v>INV30497</v>
      </c>
      <c r="B501" s="16" t="str">
        <f aca="false">Vendor_Invoices_AP!C498</f>
        <v>V1016</v>
      </c>
      <c r="C501" s="16" t="str">
        <f aca="false">IFERROR(INDEX(Vendor_Master!$B$2:$B$41,MATCH(B501,Vendor_Master!$A$2:$A$41,0)),"Unknown Vendor")</f>
        <v>Sanchez, Ford and Nelson</v>
      </c>
      <c r="D501" s="18" t="n">
        <f aca="false">Vendor_Invoices_AP!E498</f>
        <v>8071.8</v>
      </c>
      <c r="E501" s="16" t="n">
        <f aca="false">COUNTIF(Payment_Log_AP!$B$2:$B$753,A501)</f>
        <v>1</v>
      </c>
      <c r="F501" s="18" t="n">
        <f aca="false">SUMIFS(Payment_Log_AP!$E$2:$E$753,Payment_Log_AP!$B$2:$B$753,A501)</f>
        <v>8071.8</v>
      </c>
      <c r="G501" s="18" t="n">
        <f aca="false">MAX(F501-D501,0)</f>
        <v>0</v>
      </c>
      <c r="H501" s="16" t="str">
        <f aca="false">IF(E501&gt;1,"DUPLICATE - Review",IF(G501&gt;Assumptions!$B$6,"OVERPAID - Review","OK"))</f>
        <v>OK</v>
      </c>
    </row>
    <row r="502" customFormat="false" ht="15" hidden="false" customHeight="false" outlineLevel="0" collapsed="false">
      <c r="A502" s="16" t="str">
        <f aca="false">Vendor_Invoices_AP!A499</f>
        <v>INV30498</v>
      </c>
      <c r="B502" s="16" t="str">
        <f aca="false">Vendor_Invoices_AP!C499</f>
        <v>V1017</v>
      </c>
      <c r="C502" s="16" t="str">
        <f aca="false">IFERROR(INDEX(Vendor_Master!$B$2:$B$41,MATCH(B502,Vendor_Master!$A$2:$A$41,0)),"Unknown Vendor")</f>
        <v>Hawkins, Cohen and Cameron</v>
      </c>
      <c r="D502" s="18" t="n">
        <f aca="false">Vendor_Invoices_AP!E499</f>
        <v>11046.74</v>
      </c>
      <c r="E502" s="16" t="n">
        <f aca="false">COUNTIF(Payment_Log_AP!$B$2:$B$753,A502)</f>
        <v>0</v>
      </c>
      <c r="F502" s="18" t="n">
        <f aca="false">SUMIFS(Payment_Log_AP!$E$2:$E$753,Payment_Log_AP!$B$2:$B$753,A502)</f>
        <v>0</v>
      </c>
      <c r="G502" s="18" t="n">
        <f aca="false">MAX(F502-D502,0)</f>
        <v>0</v>
      </c>
      <c r="H502" s="16" t="str">
        <f aca="false">IF(E502&gt;1,"DUPLICATE - Review",IF(G502&gt;Assumptions!$B$6,"OVERPAID - Review","OK"))</f>
        <v>OK</v>
      </c>
    </row>
    <row r="503" customFormat="false" ht="15" hidden="false" customHeight="false" outlineLevel="0" collapsed="false">
      <c r="A503" s="16" t="str">
        <f aca="false">Vendor_Invoices_AP!A500</f>
        <v>INV30499</v>
      </c>
      <c r="B503" s="16" t="str">
        <f aca="false">Vendor_Invoices_AP!C500</f>
        <v>V1012</v>
      </c>
      <c r="C503" s="16" t="str">
        <f aca="false">IFERROR(INDEX(Vendor_Master!$B$2:$B$41,MATCH(B503,Vendor_Master!$A$2:$A$41,0)),"Unknown Vendor")</f>
        <v>Stanley LLC</v>
      </c>
      <c r="D503" s="18" t="n">
        <f aca="false">Vendor_Invoices_AP!E500</f>
        <v>1395.93</v>
      </c>
      <c r="E503" s="16" t="n">
        <f aca="false">COUNTIF(Payment_Log_AP!$B$2:$B$753,A503)</f>
        <v>1</v>
      </c>
      <c r="F503" s="18" t="n">
        <f aca="false">SUMIFS(Payment_Log_AP!$E$2:$E$753,Payment_Log_AP!$B$2:$B$753,A503)</f>
        <v>1395.93</v>
      </c>
      <c r="G503" s="18" t="n">
        <f aca="false">MAX(F503-D503,0)</f>
        <v>0</v>
      </c>
      <c r="H503" s="16" t="str">
        <f aca="false">IF(E503&gt;1,"DUPLICATE - Review",IF(G503&gt;Assumptions!$B$6,"OVERPAID - Review","OK"))</f>
        <v>OK</v>
      </c>
    </row>
    <row r="504" customFormat="false" ht="15" hidden="false" customHeight="false" outlineLevel="0" collapsed="false">
      <c r="A504" s="16" t="str">
        <f aca="false">Vendor_Invoices_AP!A501</f>
        <v>INV30500</v>
      </c>
      <c r="B504" s="16" t="str">
        <f aca="false">Vendor_Invoices_AP!C501</f>
        <v>V1019</v>
      </c>
      <c r="C504" s="16" t="str">
        <f aca="false">IFERROR(INDEX(Vendor_Master!$B$2:$B$41,MATCH(B504,Vendor_Master!$A$2:$A$41,0)),"Unknown Vendor")</f>
        <v>Clark PLC</v>
      </c>
      <c r="D504" s="18" t="n">
        <f aca="false">Vendor_Invoices_AP!E501</f>
        <v>2578.48</v>
      </c>
      <c r="E504" s="16" t="n">
        <f aca="false">COUNTIF(Payment_Log_AP!$B$2:$B$753,A504)</f>
        <v>1</v>
      </c>
      <c r="F504" s="18" t="n">
        <f aca="false">SUMIFS(Payment_Log_AP!$E$2:$E$753,Payment_Log_AP!$B$2:$B$753,A504)</f>
        <v>2578.48</v>
      </c>
      <c r="G504" s="18" t="n">
        <f aca="false">MAX(F504-D504,0)</f>
        <v>0</v>
      </c>
      <c r="H504" s="16" t="str">
        <f aca="false">IF(E504&gt;1,"DUPLICATE - Review",IF(G504&gt;Assumptions!$B$6,"OVERPAID - Review","OK"))</f>
        <v>OK</v>
      </c>
    </row>
    <row r="505" customFormat="false" ht="15" hidden="false" customHeight="false" outlineLevel="0" collapsed="false">
      <c r="A505" s="16" t="str">
        <f aca="false">Vendor_Invoices_AP!A502</f>
        <v>INV30501</v>
      </c>
      <c r="B505" s="16" t="str">
        <f aca="false">Vendor_Invoices_AP!C502</f>
        <v>V1004</v>
      </c>
      <c r="C505" s="16" t="str">
        <f aca="false">IFERROR(INDEX(Vendor_Master!$B$2:$B$41,MATCH(B505,Vendor_Master!$A$2:$A$41,0)),"Unknown Vendor")</f>
        <v>Johnson, Gonzalez and Santos</v>
      </c>
      <c r="D505" s="18" t="n">
        <f aca="false">Vendor_Invoices_AP!E502</f>
        <v>891.87</v>
      </c>
      <c r="E505" s="16" t="n">
        <f aca="false">COUNTIF(Payment_Log_AP!$B$2:$B$753,A505)</f>
        <v>1</v>
      </c>
      <c r="F505" s="18" t="n">
        <f aca="false">SUMIFS(Payment_Log_AP!$E$2:$E$753,Payment_Log_AP!$B$2:$B$753,A505)</f>
        <v>891.87</v>
      </c>
      <c r="G505" s="18" t="n">
        <f aca="false">MAX(F505-D505,0)</f>
        <v>0</v>
      </c>
      <c r="H505" s="16" t="str">
        <f aca="false">IF(E505&gt;1,"DUPLICATE - Review",IF(G505&gt;Assumptions!$B$6,"OVERPAID - Review","OK"))</f>
        <v>OK</v>
      </c>
    </row>
    <row r="506" customFormat="false" ht="15" hidden="false" customHeight="false" outlineLevel="0" collapsed="false">
      <c r="A506" s="16" t="str">
        <f aca="false">Vendor_Invoices_AP!A503</f>
        <v>INV30502</v>
      </c>
      <c r="B506" s="16" t="str">
        <f aca="false">Vendor_Invoices_AP!C503</f>
        <v>V1005</v>
      </c>
      <c r="C506" s="16" t="str">
        <f aca="false">IFERROR(INDEX(Vendor_Master!$B$2:$B$41,MATCH(B506,Vendor_Master!$A$2:$A$41,0)),"Unknown Vendor")</f>
        <v>Cole LLC</v>
      </c>
      <c r="D506" s="18" t="n">
        <f aca="false">Vendor_Invoices_AP!E503</f>
        <v>2408.27</v>
      </c>
      <c r="E506" s="16" t="n">
        <f aca="false">COUNTIF(Payment_Log_AP!$B$2:$B$753,A506)</f>
        <v>0</v>
      </c>
      <c r="F506" s="18" t="n">
        <f aca="false">SUMIFS(Payment_Log_AP!$E$2:$E$753,Payment_Log_AP!$B$2:$B$753,A506)</f>
        <v>0</v>
      </c>
      <c r="G506" s="18" t="n">
        <f aca="false">MAX(F506-D506,0)</f>
        <v>0</v>
      </c>
      <c r="H506" s="16" t="str">
        <f aca="false">IF(E506&gt;1,"DUPLICATE - Review",IF(G506&gt;Assumptions!$B$6,"OVERPAID - Review","OK"))</f>
        <v>OK</v>
      </c>
    </row>
    <row r="507" customFormat="false" ht="15" hidden="false" customHeight="false" outlineLevel="0" collapsed="false">
      <c r="A507" s="16" t="str">
        <f aca="false">Vendor_Invoices_AP!A504</f>
        <v>INV30503</v>
      </c>
      <c r="B507" s="16" t="str">
        <f aca="false">Vendor_Invoices_AP!C504</f>
        <v>V1006</v>
      </c>
      <c r="C507" s="16" t="str">
        <f aca="false">IFERROR(INDEX(Vendor_Master!$B$2:$B$41,MATCH(B507,Vendor_Master!$A$2:$A$41,0)),"Unknown Vendor")</f>
        <v>Blake and Sons</v>
      </c>
      <c r="D507" s="18" t="n">
        <f aca="false">Vendor_Invoices_AP!E504</f>
        <v>1155.61</v>
      </c>
      <c r="E507" s="16" t="n">
        <f aca="false">COUNTIF(Payment_Log_AP!$B$2:$B$753,A507)</f>
        <v>1</v>
      </c>
      <c r="F507" s="18" t="n">
        <f aca="false">SUMIFS(Payment_Log_AP!$E$2:$E$753,Payment_Log_AP!$B$2:$B$753,A507)</f>
        <v>1155.61</v>
      </c>
      <c r="G507" s="18" t="n">
        <f aca="false">MAX(F507-D507,0)</f>
        <v>0</v>
      </c>
      <c r="H507" s="16" t="str">
        <f aca="false">IF(E507&gt;1,"DUPLICATE - Review",IF(G507&gt;Assumptions!$B$6,"OVERPAID - Review","OK"))</f>
        <v>OK</v>
      </c>
    </row>
    <row r="508" customFormat="false" ht="15" hidden="false" customHeight="false" outlineLevel="0" collapsed="false">
      <c r="A508" s="16" t="str">
        <f aca="false">Vendor_Invoices_AP!A505</f>
        <v>INV30504</v>
      </c>
      <c r="B508" s="16" t="str">
        <f aca="false">Vendor_Invoices_AP!C505</f>
        <v>V1007</v>
      </c>
      <c r="C508" s="16" t="str">
        <f aca="false">IFERROR(INDEX(Vendor_Master!$B$2:$B$41,MATCH(B508,Vendor_Master!$A$2:$A$41,0)),"Unknown Vendor")</f>
        <v>Ramirez-Lewis</v>
      </c>
      <c r="D508" s="18" t="n">
        <f aca="false">Vendor_Invoices_AP!E505</f>
        <v>542.8</v>
      </c>
      <c r="E508" s="16" t="n">
        <f aca="false">COUNTIF(Payment_Log_AP!$B$2:$B$753,A508)</f>
        <v>1</v>
      </c>
      <c r="F508" s="18" t="n">
        <f aca="false">SUMIFS(Payment_Log_AP!$E$2:$E$753,Payment_Log_AP!$B$2:$B$753,A508)</f>
        <v>542.8</v>
      </c>
      <c r="G508" s="18" t="n">
        <f aca="false">MAX(F508-D508,0)</f>
        <v>0</v>
      </c>
      <c r="H508" s="16" t="str">
        <f aca="false">IF(E508&gt;1,"DUPLICATE - Review",IF(G508&gt;Assumptions!$B$6,"OVERPAID - Review","OK"))</f>
        <v>OK</v>
      </c>
    </row>
    <row r="509" customFormat="false" ht="15" hidden="false" customHeight="false" outlineLevel="0" collapsed="false">
      <c r="A509" s="16" t="str">
        <f aca="false">Vendor_Invoices_AP!A506</f>
        <v>INV30505</v>
      </c>
      <c r="B509" s="16" t="str">
        <f aca="false">Vendor_Invoices_AP!C506</f>
        <v>V1021</v>
      </c>
      <c r="C509" s="16" t="str">
        <f aca="false">IFERROR(INDEX(Vendor_Master!$B$2:$B$41,MATCH(B509,Vendor_Master!$A$2:$A$41,0)),"Unknown Vendor")</f>
        <v>Ellis, Baker and Wright</v>
      </c>
      <c r="D509" s="18" t="n">
        <f aca="false">Vendor_Invoices_AP!E506</f>
        <v>1208.25</v>
      </c>
      <c r="E509" s="16" t="n">
        <f aca="false">COUNTIF(Payment_Log_AP!$B$2:$B$753,A509)</f>
        <v>1</v>
      </c>
      <c r="F509" s="18" t="n">
        <f aca="false">SUMIFS(Payment_Log_AP!$E$2:$E$753,Payment_Log_AP!$B$2:$B$753,A509)</f>
        <v>1208.25</v>
      </c>
      <c r="G509" s="18" t="n">
        <f aca="false">MAX(F509-D509,0)</f>
        <v>0</v>
      </c>
      <c r="H509" s="16" t="str">
        <f aca="false">IF(E509&gt;1,"DUPLICATE - Review",IF(G509&gt;Assumptions!$B$6,"OVERPAID - Review","OK"))</f>
        <v>OK</v>
      </c>
    </row>
    <row r="510" customFormat="false" ht="15" hidden="false" customHeight="false" outlineLevel="0" collapsed="false">
      <c r="A510" s="16" t="str">
        <f aca="false">Vendor_Invoices_AP!A507</f>
        <v>INV30506</v>
      </c>
      <c r="B510" s="16" t="str">
        <f aca="false">Vendor_Invoices_AP!C507</f>
        <v>V1038</v>
      </c>
      <c r="C510" s="16" t="str">
        <f aca="false">IFERROR(INDEX(Vendor_Master!$B$2:$B$41,MATCH(B510,Vendor_Master!$A$2:$A$41,0)),"Unknown Vendor")</f>
        <v>Rose-Obrien</v>
      </c>
      <c r="D510" s="18" t="n">
        <f aca="false">Vendor_Invoices_AP!E507</f>
        <v>1492.36</v>
      </c>
      <c r="E510" s="16" t="n">
        <f aca="false">COUNTIF(Payment_Log_AP!$B$2:$B$753,A510)</f>
        <v>1</v>
      </c>
      <c r="F510" s="18" t="n">
        <f aca="false">SUMIFS(Payment_Log_AP!$E$2:$E$753,Payment_Log_AP!$B$2:$B$753,A510)</f>
        <v>1492.36</v>
      </c>
      <c r="G510" s="18" t="n">
        <f aca="false">MAX(F510-D510,0)</f>
        <v>0</v>
      </c>
      <c r="H510" s="16" t="str">
        <f aca="false">IF(E510&gt;1,"DUPLICATE - Review",IF(G510&gt;Assumptions!$B$6,"OVERPAID - Review","OK"))</f>
        <v>OK</v>
      </c>
    </row>
    <row r="511" customFormat="false" ht="15" hidden="false" customHeight="false" outlineLevel="0" collapsed="false">
      <c r="A511" s="16" t="str">
        <f aca="false">Vendor_Invoices_AP!A508</f>
        <v>INV30507</v>
      </c>
      <c r="B511" s="16" t="str">
        <f aca="false">Vendor_Invoices_AP!C508</f>
        <v>V1013</v>
      </c>
      <c r="C511" s="16" t="str">
        <f aca="false">IFERROR(INDEX(Vendor_Master!$B$2:$B$41,MATCH(B511,Vendor_Master!$A$2:$A$41,0)),"Unknown Vendor")</f>
        <v>Delacruz Group</v>
      </c>
      <c r="D511" s="18" t="n">
        <f aca="false">Vendor_Invoices_AP!E508</f>
        <v>916.33</v>
      </c>
      <c r="E511" s="16" t="n">
        <f aca="false">COUNTIF(Payment_Log_AP!$B$2:$B$753,A511)</f>
        <v>1</v>
      </c>
      <c r="F511" s="18" t="n">
        <f aca="false">SUMIFS(Payment_Log_AP!$E$2:$E$753,Payment_Log_AP!$B$2:$B$753,A511)</f>
        <v>916.33</v>
      </c>
      <c r="G511" s="18" t="n">
        <f aca="false">MAX(F511-D511,0)</f>
        <v>0</v>
      </c>
      <c r="H511" s="16" t="str">
        <f aca="false">IF(E511&gt;1,"DUPLICATE - Review",IF(G511&gt;Assumptions!$B$6,"OVERPAID - Review","OK"))</f>
        <v>OK</v>
      </c>
    </row>
    <row r="512" customFormat="false" ht="15" hidden="false" customHeight="false" outlineLevel="0" collapsed="false">
      <c r="A512" s="16" t="str">
        <f aca="false">Vendor_Invoices_AP!A509</f>
        <v>INV30508</v>
      </c>
      <c r="B512" s="16" t="str">
        <f aca="false">Vendor_Invoices_AP!C509</f>
        <v>V1016</v>
      </c>
      <c r="C512" s="16" t="str">
        <f aca="false">IFERROR(INDEX(Vendor_Master!$B$2:$B$41,MATCH(B512,Vendor_Master!$A$2:$A$41,0)),"Unknown Vendor")</f>
        <v>Sanchez, Ford and Nelson</v>
      </c>
      <c r="D512" s="18" t="n">
        <f aca="false">Vendor_Invoices_AP!E509</f>
        <v>13637.91</v>
      </c>
      <c r="E512" s="16" t="n">
        <f aca="false">COUNTIF(Payment_Log_AP!$B$2:$B$753,A512)</f>
        <v>1</v>
      </c>
      <c r="F512" s="18" t="n">
        <f aca="false">SUMIFS(Payment_Log_AP!$E$2:$E$753,Payment_Log_AP!$B$2:$B$753,A512)</f>
        <v>13637.91</v>
      </c>
      <c r="G512" s="18" t="n">
        <f aca="false">MAX(F512-D512,0)</f>
        <v>0</v>
      </c>
      <c r="H512" s="16" t="str">
        <f aca="false">IF(E512&gt;1,"DUPLICATE - Review",IF(G512&gt;Assumptions!$B$6,"OVERPAID - Review","OK"))</f>
        <v>OK</v>
      </c>
    </row>
    <row r="513" customFormat="false" ht="15" hidden="false" customHeight="false" outlineLevel="0" collapsed="false">
      <c r="A513" s="16" t="str">
        <f aca="false">Vendor_Invoices_AP!A510</f>
        <v>INV30509</v>
      </c>
      <c r="B513" s="16" t="str">
        <f aca="false">Vendor_Invoices_AP!C510</f>
        <v>V1004</v>
      </c>
      <c r="C513" s="16" t="str">
        <f aca="false">IFERROR(INDEX(Vendor_Master!$B$2:$B$41,MATCH(B513,Vendor_Master!$A$2:$A$41,0)),"Unknown Vendor")</f>
        <v>Johnson, Gonzalez and Santos</v>
      </c>
      <c r="D513" s="18" t="n">
        <f aca="false">Vendor_Invoices_AP!E510</f>
        <v>984.21</v>
      </c>
      <c r="E513" s="16" t="n">
        <f aca="false">COUNTIF(Payment_Log_AP!$B$2:$B$753,A513)</f>
        <v>1</v>
      </c>
      <c r="F513" s="18" t="n">
        <f aca="false">SUMIFS(Payment_Log_AP!$E$2:$E$753,Payment_Log_AP!$B$2:$B$753,A513)</f>
        <v>984.21</v>
      </c>
      <c r="G513" s="18" t="n">
        <f aca="false">MAX(F513-D513,0)</f>
        <v>0</v>
      </c>
      <c r="H513" s="16" t="str">
        <f aca="false">IF(E513&gt;1,"DUPLICATE - Review",IF(G513&gt;Assumptions!$B$6,"OVERPAID - Review","OK"))</f>
        <v>OK</v>
      </c>
    </row>
    <row r="514" customFormat="false" ht="15" hidden="false" customHeight="false" outlineLevel="0" collapsed="false">
      <c r="A514" s="16" t="str">
        <f aca="false">Vendor_Invoices_AP!A511</f>
        <v>INV30510</v>
      </c>
      <c r="B514" s="16" t="str">
        <f aca="false">Vendor_Invoices_AP!C511</f>
        <v>V1012</v>
      </c>
      <c r="C514" s="16" t="str">
        <f aca="false">IFERROR(INDEX(Vendor_Master!$B$2:$B$41,MATCH(B514,Vendor_Master!$A$2:$A$41,0)),"Unknown Vendor")</f>
        <v>Stanley LLC</v>
      </c>
      <c r="D514" s="18" t="n">
        <f aca="false">Vendor_Invoices_AP!E511</f>
        <v>2718.82</v>
      </c>
      <c r="E514" s="16" t="n">
        <f aca="false">COUNTIF(Payment_Log_AP!$B$2:$B$753,A514)</f>
        <v>1</v>
      </c>
      <c r="F514" s="18" t="n">
        <f aca="false">SUMIFS(Payment_Log_AP!$E$2:$E$753,Payment_Log_AP!$B$2:$B$753,A514)</f>
        <v>2718.82</v>
      </c>
      <c r="G514" s="18" t="n">
        <f aca="false">MAX(F514-D514,0)</f>
        <v>0</v>
      </c>
      <c r="H514" s="16" t="str">
        <f aca="false">IF(E514&gt;1,"DUPLICATE - Review",IF(G514&gt;Assumptions!$B$6,"OVERPAID - Review","OK"))</f>
        <v>OK</v>
      </c>
    </row>
    <row r="515" customFormat="false" ht="15" hidden="false" customHeight="false" outlineLevel="0" collapsed="false">
      <c r="A515" s="16" t="str">
        <f aca="false">Vendor_Invoices_AP!A512</f>
        <v>INV30511</v>
      </c>
      <c r="B515" s="16" t="str">
        <f aca="false">Vendor_Invoices_AP!C512</f>
        <v>V1027</v>
      </c>
      <c r="C515" s="16" t="str">
        <f aca="false">IFERROR(INDEX(Vendor_Master!$B$2:$B$41,MATCH(B515,Vendor_Master!$A$2:$A$41,0)),"Unknown Vendor")</f>
        <v>Valencia, Smith and Le</v>
      </c>
      <c r="D515" s="18" t="n">
        <f aca="false">Vendor_Invoices_AP!E512</f>
        <v>607.61</v>
      </c>
      <c r="E515" s="16" t="n">
        <f aca="false">COUNTIF(Payment_Log_AP!$B$2:$B$753,A515)</f>
        <v>0</v>
      </c>
      <c r="F515" s="18" t="n">
        <f aca="false">SUMIFS(Payment_Log_AP!$E$2:$E$753,Payment_Log_AP!$B$2:$B$753,A515)</f>
        <v>0</v>
      </c>
      <c r="G515" s="18" t="n">
        <f aca="false">MAX(F515-D515,0)</f>
        <v>0</v>
      </c>
      <c r="H515" s="16" t="str">
        <f aca="false">IF(E515&gt;1,"DUPLICATE - Review",IF(G515&gt;Assumptions!$B$6,"OVERPAID - Review","OK"))</f>
        <v>OK</v>
      </c>
    </row>
    <row r="516" customFormat="false" ht="15" hidden="false" customHeight="false" outlineLevel="0" collapsed="false">
      <c r="A516" s="16" t="str">
        <f aca="false">Vendor_Invoices_AP!A513</f>
        <v>INV30512</v>
      </c>
      <c r="B516" s="16" t="str">
        <f aca="false">Vendor_Invoices_AP!C513</f>
        <v>V1015</v>
      </c>
      <c r="C516" s="16" t="str">
        <f aca="false">IFERROR(INDEX(Vendor_Master!$B$2:$B$41,MATCH(B516,Vendor_Master!$A$2:$A$41,0)),"Unknown Vendor")</f>
        <v>Zuniga, Wong and Lynch</v>
      </c>
      <c r="D516" s="18" t="n">
        <f aca="false">Vendor_Invoices_AP!E513</f>
        <v>10927.52</v>
      </c>
      <c r="E516" s="16" t="n">
        <f aca="false">COUNTIF(Payment_Log_AP!$B$2:$B$753,A516)</f>
        <v>0</v>
      </c>
      <c r="F516" s="18" t="n">
        <f aca="false">SUMIFS(Payment_Log_AP!$E$2:$E$753,Payment_Log_AP!$B$2:$B$753,A516)</f>
        <v>0</v>
      </c>
      <c r="G516" s="18" t="n">
        <f aca="false">MAX(F516-D516,0)</f>
        <v>0</v>
      </c>
      <c r="H516" s="16" t="str">
        <f aca="false">IF(E516&gt;1,"DUPLICATE - Review",IF(G516&gt;Assumptions!$B$6,"OVERPAID - Review","OK"))</f>
        <v>OK</v>
      </c>
    </row>
    <row r="517" customFormat="false" ht="15" hidden="false" customHeight="false" outlineLevel="0" collapsed="false">
      <c r="A517" s="16" t="str">
        <f aca="false">Vendor_Invoices_AP!A514</f>
        <v>INV30513</v>
      </c>
      <c r="B517" s="16" t="str">
        <f aca="false">Vendor_Invoices_AP!C514</f>
        <v>V1021</v>
      </c>
      <c r="C517" s="16" t="str">
        <f aca="false">IFERROR(INDEX(Vendor_Master!$B$2:$B$41,MATCH(B517,Vendor_Master!$A$2:$A$41,0)),"Unknown Vendor")</f>
        <v>Ellis, Baker and Wright</v>
      </c>
      <c r="D517" s="18" t="n">
        <f aca="false">Vendor_Invoices_AP!E514</f>
        <v>1732.45</v>
      </c>
      <c r="E517" s="16" t="n">
        <f aca="false">COUNTIF(Payment_Log_AP!$B$2:$B$753,A517)</f>
        <v>0</v>
      </c>
      <c r="F517" s="18" t="n">
        <f aca="false">SUMIFS(Payment_Log_AP!$E$2:$E$753,Payment_Log_AP!$B$2:$B$753,A517)</f>
        <v>0</v>
      </c>
      <c r="G517" s="18" t="n">
        <f aca="false">MAX(F517-D517,0)</f>
        <v>0</v>
      </c>
      <c r="H517" s="16" t="str">
        <f aca="false">IF(E517&gt;1,"DUPLICATE - Review",IF(G517&gt;Assumptions!$B$6,"OVERPAID - Review","OK"))</f>
        <v>OK</v>
      </c>
    </row>
    <row r="518" customFormat="false" ht="15" hidden="false" customHeight="false" outlineLevel="0" collapsed="false">
      <c r="A518" s="16" t="str">
        <f aca="false">Vendor_Invoices_AP!A515</f>
        <v>INV30514</v>
      </c>
      <c r="B518" s="16" t="str">
        <f aca="false">Vendor_Invoices_AP!C515</f>
        <v>V1014</v>
      </c>
      <c r="C518" s="16" t="str">
        <f aca="false">IFERROR(INDEX(Vendor_Master!$B$2:$B$41,MATCH(B518,Vendor_Master!$A$2:$A$41,0)),"Unknown Vendor")</f>
        <v>Flowers, Martin and Kelly</v>
      </c>
      <c r="D518" s="18" t="n">
        <f aca="false">Vendor_Invoices_AP!E515</f>
        <v>790.15</v>
      </c>
      <c r="E518" s="16" t="n">
        <f aca="false">COUNTIF(Payment_Log_AP!$B$2:$B$753,A518)</f>
        <v>1</v>
      </c>
      <c r="F518" s="18" t="n">
        <f aca="false">SUMIFS(Payment_Log_AP!$E$2:$E$753,Payment_Log_AP!$B$2:$B$753,A518)</f>
        <v>790.15</v>
      </c>
      <c r="G518" s="18" t="n">
        <f aca="false">MAX(F518-D518,0)</f>
        <v>0</v>
      </c>
      <c r="H518" s="16" t="str">
        <f aca="false">IF(E518&gt;1,"DUPLICATE - Review",IF(G518&gt;Assumptions!$B$6,"OVERPAID - Review","OK"))</f>
        <v>OK</v>
      </c>
    </row>
    <row r="519" customFormat="false" ht="15" hidden="false" customHeight="false" outlineLevel="0" collapsed="false">
      <c r="A519" s="16" t="str">
        <f aca="false">Vendor_Invoices_AP!A516</f>
        <v>INV30515</v>
      </c>
      <c r="B519" s="16" t="str">
        <f aca="false">Vendor_Invoices_AP!C516</f>
        <v>V1009</v>
      </c>
      <c r="C519" s="16" t="str">
        <f aca="false">IFERROR(INDEX(Vendor_Master!$B$2:$B$41,MATCH(B519,Vendor_Master!$A$2:$A$41,0)),"Unknown Vendor")</f>
        <v>Munoz-Roman</v>
      </c>
      <c r="D519" s="18" t="n">
        <f aca="false">Vendor_Invoices_AP!E516</f>
        <v>2141.21</v>
      </c>
      <c r="E519" s="16" t="n">
        <f aca="false">COUNTIF(Payment_Log_AP!$B$2:$B$753,A519)</f>
        <v>1</v>
      </c>
      <c r="F519" s="18" t="n">
        <f aca="false">SUMIFS(Payment_Log_AP!$E$2:$E$753,Payment_Log_AP!$B$2:$B$753,A519)</f>
        <v>2141.21</v>
      </c>
      <c r="G519" s="18" t="n">
        <f aca="false">MAX(F519-D519,0)</f>
        <v>0</v>
      </c>
      <c r="H519" s="16" t="str">
        <f aca="false">IF(E519&gt;1,"DUPLICATE - Review",IF(G519&gt;Assumptions!$B$6,"OVERPAID - Review","OK"))</f>
        <v>OK</v>
      </c>
    </row>
    <row r="520" customFormat="false" ht="15" hidden="false" customHeight="false" outlineLevel="0" collapsed="false">
      <c r="A520" s="16" t="str">
        <f aca="false">Vendor_Invoices_AP!A517</f>
        <v>INV30516</v>
      </c>
      <c r="B520" s="16" t="str">
        <f aca="false">Vendor_Invoices_AP!C517</f>
        <v>V1010</v>
      </c>
      <c r="C520" s="16" t="str">
        <f aca="false">IFERROR(INDEX(Vendor_Master!$B$2:$B$41,MATCH(B520,Vendor_Master!$A$2:$A$41,0)),"Unknown Vendor")</f>
        <v>Martinez, Nielsen and Miller</v>
      </c>
      <c r="D520" s="18" t="n">
        <f aca="false">Vendor_Invoices_AP!E517</f>
        <v>506.73</v>
      </c>
      <c r="E520" s="16" t="n">
        <f aca="false">COUNTIF(Payment_Log_AP!$B$2:$B$753,A520)</f>
        <v>1</v>
      </c>
      <c r="F520" s="18" t="n">
        <f aca="false">SUMIFS(Payment_Log_AP!$E$2:$E$753,Payment_Log_AP!$B$2:$B$753,A520)</f>
        <v>506.73</v>
      </c>
      <c r="G520" s="18" t="n">
        <f aca="false">MAX(F520-D520,0)</f>
        <v>0</v>
      </c>
      <c r="H520" s="16" t="str">
        <f aca="false">IF(E520&gt;1,"DUPLICATE - Review",IF(G520&gt;Assumptions!$B$6,"OVERPAID - Review","OK"))</f>
        <v>OK</v>
      </c>
    </row>
    <row r="521" customFormat="false" ht="15" hidden="false" customHeight="false" outlineLevel="0" collapsed="false">
      <c r="A521" s="16" t="str">
        <f aca="false">Vendor_Invoices_AP!A518</f>
        <v>INV30517</v>
      </c>
      <c r="B521" s="16" t="str">
        <f aca="false">Vendor_Invoices_AP!C518</f>
        <v>V1010</v>
      </c>
      <c r="C521" s="16" t="str">
        <f aca="false">IFERROR(INDEX(Vendor_Master!$B$2:$B$41,MATCH(B521,Vendor_Master!$A$2:$A$41,0)),"Unknown Vendor")</f>
        <v>Martinez, Nielsen and Miller</v>
      </c>
      <c r="D521" s="18" t="n">
        <f aca="false">Vendor_Invoices_AP!E518</f>
        <v>426.29</v>
      </c>
      <c r="E521" s="16" t="n">
        <f aca="false">COUNTIF(Payment_Log_AP!$B$2:$B$753,A521)</f>
        <v>1</v>
      </c>
      <c r="F521" s="18" t="n">
        <f aca="false">SUMIFS(Payment_Log_AP!$E$2:$E$753,Payment_Log_AP!$B$2:$B$753,A521)</f>
        <v>426.29</v>
      </c>
      <c r="G521" s="18" t="n">
        <f aca="false">MAX(F521-D521,0)</f>
        <v>0</v>
      </c>
      <c r="H521" s="16" t="str">
        <f aca="false">IF(E521&gt;1,"DUPLICATE - Review",IF(G521&gt;Assumptions!$B$6,"OVERPAID - Review","OK"))</f>
        <v>OK</v>
      </c>
    </row>
    <row r="522" customFormat="false" ht="15" hidden="false" customHeight="false" outlineLevel="0" collapsed="false">
      <c r="A522" s="16" t="str">
        <f aca="false">Vendor_Invoices_AP!A519</f>
        <v>INV30518</v>
      </c>
      <c r="B522" s="16" t="str">
        <f aca="false">Vendor_Invoices_AP!C519</f>
        <v>V1016</v>
      </c>
      <c r="C522" s="16" t="str">
        <f aca="false">IFERROR(INDEX(Vendor_Master!$B$2:$B$41,MATCH(B522,Vendor_Master!$A$2:$A$41,0)),"Unknown Vendor")</f>
        <v>Sanchez, Ford and Nelson</v>
      </c>
      <c r="D522" s="18" t="n">
        <f aca="false">Vendor_Invoices_AP!E519</f>
        <v>1888.48</v>
      </c>
      <c r="E522" s="16" t="n">
        <f aca="false">COUNTIF(Payment_Log_AP!$B$2:$B$753,A522)</f>
        <v>0</v>
      </c>
      <c r="F522" s="18" t="n">
        <f aca="false">SUMIFS(Payment_Log_AP!$E$2:$E$753,Payment_Log_AP!$B$2:$B$753,A522)</f>
        <v>0</v>
      </c>
      <c r="G522" s="18" t="n">
        <f aca="false">MAX(F522-D522,0)</f>
        <v>0</v>
      </c>
      <c r="H522" s="16" t="str">
        <f aca="false">IF(E522&gt;1,"DUPLICATE - Review",IF(G522&gt;Assumptions!$B$6,"OVERPAID - Review","OK"))</f>
        <v>OK</v>
      </c>
    </row>
    <row r="523" customFormat="false" ht="15" hidden="false" customHeight="false" outlineLevel="0" collapsed="false">
      <c r="A523" s="16" t="str">
        <f aca="false">Vendor_Invoices_AP!A520</f>
        <v>INV30519</v>
      </c>
      <c r="B523" s="16" t="str">
        <f aca="false">Vendor_Invoices_AP!C520</f>
        <v>V1030</v>
      </c>
      <c r="C523" s="16" t="str">
        <f aca="false">IFERROR(INDEX(Vendor_Master!$B$2:$B$41,MATCH(B523,Vendor_Master!$A$2:$A$41,0)),"Unknown Vendor")</f>
        <v>Stanton-Gill</v>
      </c>
      <c r="D523" s="18" t="n">
        <f aca="false">Vendor_Invoices_AP!E520</f>
        <v>3958.3</v>
      </c>
      <c r="E523" s="16" t="n">
        <f aca="false">COUNTIF(Payment_Log_AP!$B$2:$B$753,A523)</f>
        <v>1</v>
      </c>
      <c r="F523" s="18" t="n">
        <f aca="false">SUMIFS(Payment_Log_AP!$E$2:$E$753,Payment_Log_AP!$B$2:$B$753,A523)</f>
        <v>3958.3</v>
      </c>
      <c r="G523" s="18" t="n">
        <f aca="false">MAX(F523-D523,0)</f>
        <v>0</v>
      </c>
      <c r="H523" s="16" t="str">
        <f aca="false">IF(E523&gt;1,"DUPLICATE - Review",IF(G523&gt;Assumptions!$B$6,"OVERPAID - Review","OK"))</f>
        <v>OK</v>
      </c>
    </row>
    <row r="524" customFormat="false" ht="15" hidden="false" customHeight="false" outlineLevel="0" collapsed="false">
      <c r="A524" s="16" t="str">
        <f aca="false">Vendor_Invoices_AP!A521</f>
        <v>INV30520</v>
      </c>
      <c r="B524" s="16" t="str">
        <f aca="false">Vendor_Invoices_AP!C521</f>
        <v>V1025</v>
      </c>
      <c r="C524" s="16" t="str">
        <f aca="false">IFERROR(INDEX(Vendor_Master!$B$2:$B$41,MATCH(B524,Vendor_Master!$A$2:$A$41,0)),"Unknown Vendor")</f>
        <v>Conner Group</v>
      </c>
      <c r="D524" s="18" t="n">
        <f aca="false">Vendor_Invoices_AP!E521</f>
        <v>3426.38</v>
      </c>
      <c r="E524" s="16" t="n">
        <f aca="false">COUNTIF(Payment_Log_AP!$B$2:$B$753,A524)</f>
        <v>1</v>
      </c>
      <c r="F524" s="18" t="n">
        <f aca="false">SUMIFS(Payment_Log_AP!$E$2:$E$753,Payment_Log_AP!$B$2:$B$753,A524)</f>
        <v>3426.38</v>
      </c>
      <c r="G524" s="18" t="n">
        <f aca="false">MAX(F524-D524,0)</f>
        <v>0</v>
      </c>
      <c r="H524" s="16" t="str">
        <f aca="false">IF(E524&gt;1,"DUPLICATE - Review",IF(G524&gt;Assumptions!$B$6,"OVERPAID - Review","OK"))</f>
        <v>OK</v>
      </c>
    </row>
    <row r="525" customFormat="false" ht="15" hidden="false" customHeight="false" outlineLevel="0" collapsed="false">
      <c r="A525" s="16" t="str">
        <f aca="false">Vendor_Invoices_AP!A522</f>
        <v>INV30521</v>
      </c>
      <c r="B525" s="16" t="str">
        <f aca="false">Vendor_Invoices_AP!C522</f>
        <v>V1033</v>
      </c>
      <c r="C525" s="16" t="str">
        <f aca="false">IFERROR(INDEX(Vendor_Master!$B$2:$B$41,MATCH(B525,Vendor_Master!$A$2:$A$41,0)),"Unknown Vendor")</f>
        <v>Sellers, George and Burns</v>
      </c>
      <c r="D525" s="18" t="n">
        <f aca="false">Vendor_Invoices_AP!E522</f>
        <v>663.66</v>
      </c>
      <c r="E525" s="16" t="n">
        <f aca="false">COUNTIF(Payment_Log_AP!$B$2:$B$753,A525)</f>
        <v>1</v>
      </c>
      <c r="F525" s="18" t="n">
        <f aca="false">SUMIFS(Payment_Log_AP!$E$2:$E$753,Payment_Log_AP!$B$2:$B$753,A525)</f>
        <v>663.66</v>
      </c>
      <c r="G525" s="18" t="n">
        <f aca="false">MAX(F525-D525,0)</f>
        <v>0</v>
      </c>
      <c r="H525" s="16" t="str">
        <f aca="false">IF(E525&gt;1,"DUPLICATE - Review",IF(G525&gt;Assumptions!$B$6,"OVERPAID - Review","OK"))</f>
        <v>OK</v>
      </c>
    </row>
    <row r="526" customFormat="false" ht="15" hidden="false" customHeight="false" outlineLevel="0" collapsed="false">
      <c r="A526" s="16" t="str">
        <f aca="false">Vendor_Invoices_AP!A523</f>
        <v>INV30522</v>
      </c>
      <c r="B526" s="16" t="str">
        <f aca="false">Vendor_Invoices_AP!C523</f>
        <v>V1024</v>
      </c>
      <c r="C526" s="16" t="str">
        <f aca="false">IFERROR(INDEX(Vendor_Master!$B$2:$B$41,MATCH(B526,Vendor_Master!$A$2:$A$41,0)),"Unknown Vendor")</f>
        <v>Campos Inc</v>
      </c>
      <c r="D526" s="18" t="n">
        <f aca="false">Vendor_Invoices_AP!E523</f>
        <v>1251.61</v>
      </c>
      <c r="E526" s="16" t="n">
        <f aca="false">COUNTIF(Payment_Log_AP!$B$2:$B$753,A526)</f>
        <v>0</v>
      </c>
      <c r="F526" s="18" t="n">
        <f aca="false">SUMIFS(Payment_Log_AP!$E$2:$E$753,Payment_Log_AP!$B$2:$B$753,A526)</f>
        <v>0</v>
      </c>
      <c r="G526" s="18" t="n">
        <f aca="false">MAX(F526-D526,0)</f>
        <v>0</v>
      </c>
      <c r="H526" s="16" t="str">
        <f aca="false">IF(E526&gt;1,"DUPLICATE - Review",IF(G526&gt;Assumptions!$B$6,"OVERPAID - Review","OK"))</f>
        <v>OK</v>
      </c>
    </row>
    <row r="527" customFormat="false" ht="15" hidden="false" customHeight="false" outlineLevel="0" collapsed="false">
      <c r="A527" s="16" t="str">
        <f aca="false">Vendor_Invoices_AP!A524</f>
        <v>INV30523</v>
      </c>
      <c r="B527" s="16" t="str">
        <f aca="false">Vendor_Invoices_AP!C524</f>
        <v>V1010</v>
      </c>
      <c r="C527" s="16" t="str">
        <f aca="false">IFERROR(INDEX(Vendor_Master!$B$2:$B$41,MATCH(B527,Vendor_Master!$A$2:$A$41,0)),"Unknown Vendor")</f>
        <v>Martinez, Nielsen and Miller</v>
      </c>
      <c r="D527" s="18" t="n">
        <f aca="false">Vendor_Invoices_AP!E524</f>
        <v>980.08</v>
      </c>
      <c r="E527" s="16" t="n">
        <f aca="false">COUNTIF(Payment_Log_AP!$B$2:$B$753,A527)</f>
        <v>1</v>
      </c>
      <c r="F527" s="18" t="n">
        <f aca="false">SUMIFS(Payment_Log_AP!$E$2:$E$753,Payment_Log_AP!$B$2:$B$753,A527)</f>
        <v>980.08</v>
      </c>
      <c r="G527" s="18" t="n">
        <f aca="false">MAX(F527-D527,0)</f>
        <v>0</v>
      </c>
      <c r="H527" s="16" t="str">
        <f aca="false">IF(E527&gt;1,"DUPLICATE - Review",IF(G527&gt;Assumptions!$B$6,"OVERPAID - Review","OK"))</f>
        <v>OK</v>
      </c>
    </row>
    <row r="528" customFormat="false" ht="15" hidden="false" customHeight="false" outlineLevel="0" collapsed="false">
      <c r="A528" s="16" t="str">
        <f aca="false">Vendor_Invoices_AP!A525</f>
        <v>INV30524</v>
      </c>
      <c r="B528" s="16" t="str">
        <f aca="false">Vendor_Invoices_AP!C525</f>
        <v>V1004</v>
      </c>
      <c r="C528" s="16" t="str">
        <f aca="false">IFERROR(INDEX(Vendor_Master!$B$2:$B$41,MATCH(B528,Vendor_Master!$A$2:$A$41,0)),"Unknown Vendor")</f>
        <v>Johnson, Gonzalez and Santos</v>
      </c>
      <c r="D528" s="18" t="n">
        <f aca="false">Vendor_Invoices_AP!E525</f>
        <v>2579.28</v>
      </c>
      <c r="E528" s="16" t="n">
        <f aca="false">COUNTIF(Payment_Log_AP!$B$2:$B$753,A528)</f>
        <v>1</v>
      </c>
      <c r="F528" s="18" t="n">
        <f aca="false">SUMIFS(Payment_Log_AP!$E$2:$E$753,Payment_Log_AP!$B$2:$B$753,A528)</f>
        <v>2579.28</v>
      </c>
      <c r="G528" s="18" t="n">
        <f aca="false">MAX(F528-D528,0)</f>
        <v>0</v>
      </c>
      <c r="H528" s="16" t="str">
        <f aca="false">IF(E528&gt;1,"DUPLICATE - Review",IF(G528&gt;Assumptions!$B$6,"OVERPAID - Review","OK"))</f>
        <v>OK</v>
      </c>
    </row>
    <row r="529" customFormat="false" ht="15" hidden="false" customHeight="false" outlineLevel="0" collapsed="false">
      <c r="A529" s="16" t="str">
        <f aca="false">Vendor_Invoices_AP!A526</f>
        <v>INV30525</v>
      </c>
      <c r="B529" s="16" t="str">
        <f aca="false">Vendor_Invoices_AP!C526</f>
        <v>V1029</v>
      </c>
      <c r="C529" s="16" t="str">
        <f aca="false">IFERROR(INDEX(Vendor_Master!$B$2:$B$41,MATCH(B529,Vendor_Master!$A$2:$A$41,0)),"Unknown Vendor")</f>
        <v>Chavez Ltd</v>
      </c>
      <c r="D529" s="18" t="n">
        <f aca="false">Vendor_Invoices_AP!E526</f>
        <v>3221.77</v>
      </c>
      <c r="E529" s="16" t="n">
        <f aca="false">COUNTIF(Payment_Log_AP!$B$2:$B$753,A529)</f>
        <v>1</v>
      </c>
      <c r="F529" s="18" t="n">
        <f aca="false">SUMIFS(Payment_Log_AP!$E$2:$E$753,Payment_Log_AP!$B$2:$B$753,A529)</f>
        <v>3221.77</v>
      </c>
      <c r="G529" s="18" t="n">
        <f aca="false">MAX(F529-D529,0)</f>
        <v>0</v>
      </c>
      <c r="H529" s="16" t="str">
        <f aca="false">IF(E529&gt;1,"DUPLICATE - Review",IF(G529&gt;Assumptions!$B$6,"OVERPAID - Review","OK"))</f>
        <v>OK</v>
      </c>
    </row>
    <row r="530" customFormat="false" ht="15" hidden="false" customHeight="false" outlineLevel="0" collapsed="false">
      <c r="A530" s="16" t="str">
        <f aca="false">Vendor_Invoices_AP!A527</f>
        <v>INV30526</v>
      </c>
      <c r="B530" s="16" t="str">
        <f aca="false">Vendor_Invoices_AP!C527</f>
        <v>V1029</v>
      </c>
      <c r="C530" s="16" t="str">
        <f aca="false">IFERROR(INDEX(Vendor_Master!$B$2:$B$41,MATCH(B530,Vendor_Master!$A$2:$A$41,0)),"Unknown Vendor")</f>
        <v>Chavez Ltd</v>
      </c>
      <c r="D530" s="18" t="n">
        <f aca="false">Vendor_Invoices_AP!E527</f>
        <v>130.66</v>
      </c>
      <c r="E530" s="16" t="n">
        <f aca="false">COUNTIF(Payment_Log_AP!$B$2:$B$753,A530)</f>
        <v>1</v>
      </c>
      <c r="F530" s="18" t="n">
        <f aca="false">SUMIFS(Payment_Log_AP!$E$2:$E$753,Payment_Log_AP!$B$2:$B$753,A530)</f>
        <v>130.66</v>
      </c>
      <c r="G530" s="18" t="n">
        <f aca="false">MAX(F530-D530,0)</f>
        <v>0</v>
      </c>
      <c r="H530" s="16" t="str">
        <f aca="false">IF(E530&gt;1,"DUPLICATE - Review",IF(G530&gt;Assumptions!$B$6,"OVERPAID - Review","OK"))</f>
        <v>OK</v>
      </c>
    </row>
    <row r="531" customFormat="false" ht="15" hidden="false" customHeight="false" outlineLevel="0" collapsed="false">
      <c r="A531" s="16" t="str">
        <f aca="false">Vendor_Invoices_AP!A528</f>
        <v>INV30527</v>
      </c>
      <c r="B531" s="16" t="str">
        <f aca="false">Vendor_Invoices_AP!C528</f>
        <v>V1014</v>
      </c>
      <c r="C531" s="16" t="str">
        <f aca="false">IFERROR(INDEX(Vendor_Master!$B$2:$B$41,MATCH(B531,Vendor_Master!$A$2:$A$41,0)),"Unknown Vendor")</f>
        <v>Flowers, Martin and Kelly</v>
      </c>
      <c r="D531" s="18" t="n">
        <f aca="false">Vendor_Invoices_AP!E528</f>
        <v>1768.65</v>
      </c>
      <c r="E531" s="16" t="n">
        <f aca="false">COUNTIF(Payment_Log_AP!$B$2:$B$753,A531)</f>
        <v>1</v>
      </c>
      <c r="F531" s="18" t="n">
        <f aca="false">SUMIFS(Payment_Log_AP!$E$2:$E$753,Payment_Log_AP!$B$2:$B$753,A531)</f>
        <v>1768.65</v>
      </c>
      <c r="G531" s="18" t="n">
        <f aca="false">MAX(F531-D531,0)</f>
        <v>0</v>
      </c>
      <c r="H531" s="16" t="str">
        <f aca="false">IF(E531&gt;1,"DUPLICATE - Review",IF(G531&gt;Assumptions!$B$6,"OVERPAID - Review","OK"))</f>
        <v>OK</v>
      </c>
    </row>
    <row r="532" customFormat="false" ht="15" hidden="false" customHeight="false" outlineLevel="0" collapsed="false">
      <c r="A532" s="16" t="str">
        <f aca="false">Vendor_Invoices_AP!A529</f>
        <v>INV30528</v>
      </c>
      <c r="B532" s="16" t="str">
        <f aca="false">Vendor_Invoices_AP!C529</f>
        <v>V1034</v>
      </c>
      <c r="C532" s="16" t="str">
        <f aca="false">IFERROR(INDEX(Vendor_Master!$B$2:$B$41,MATCH(B532,Vendor_Master!$A$2:$A$41,0)),"Unknown Vendor")</f>
        <v>Koch-Decker</v>
      </c>
      <c r="D532" s="18" t="n">
        <f aca="false">Vendor_Invoices_AP!E529</f>
        <v>359.03</v>
      </c>
      <c r="E532" s="16" t="n">
        <f aca="false">COUNTIF(Payment_Log_AP!$B$2:$B$753,A532)</f>
        <v>1</v>
      </c>
      <c r="F532" s="18" t="n">
        <f aca="false">SUMIFS(Payment_Log_AP!$E$2:$E$753,Payment_Log_AP!$B$2:$B$753,A532)</f>
        <v>359.03</v>
      </c>
      <c r="G532" s="18" t="n">
        <f aca="false">MAX(F532-D532,0)</f>
        <v>0</v>
      </c>
      <c r="H532" s="16" t="str">
        <f aca="false">IF(E532&gt;1,"DUPLICATE - Review",IF(G532&gt;Assumptions!$B$6,"OVERPAID - Review","OK"))</f>
        <v>OK</v>
      </c>
    </row>
    <row r="533" customFormat="false" ht="15" hidden="false" customHeight="false" outlineLevel="0" collapsed="false">
      <c r="A533" s="16" t="str">
        <f aca="false">Vendor_Invoices_AP!A530</f>
        <v>INV30529</v>
      </c>
      <c r="B533" s="16" t="str">
        <f aca="false">Vendor_Invoices_AP!C530</f>
        <v>V1017</v>
      </c>
      <c r="C533" s="16" t="str">
        <f aca="false">IFERROR(INDEX(Vendor_Master!$B$2:$B$41,MATCH(B533,Vendor_Master!$A$2:$A$41,0)),"Unknown Vendor")</f>
        <v>Hawkins, Cohen and Cameron</v>
      </c>
      <c r="D533" s="18" t="n">
        <f aca="false">Vendor_Invoices_AP!E530</f>
        <v>2508.58</v>
      </c>
      <c r="E533" s="16" t="n">
        <f aca="false">COUNTIF(Payment_Log_AP!$B$2:$B$753,A533)</f>
        <v>1</v>
      </c>
      <c r="F533" s="18" t="n">
        <f aca="false">SUMIFS(Payment_Log_AP!$E$2:$E$753,Payment_Log_AP!$B$2:$B$753,A533)</f>
        <v>2508.58</v>
      </c>
      <c r="G533" s="18" t="n">
        <f aca="false">MAX(F533-D533,0)</f>
        <v>0</v>
      </c>
      <c r="H533" s="16" t="str">
        <f aca="false">IF(E533&gt;1,"DUPLICATE - Review",IF(G533&gt;Assumptions!$B$6,"OVERPAID - Review","OK"))</f>
        <v>OK</v>
      </c>
    </row>
    <row r="534" customFormat="false" ht="15" hidden="false" customHeight="false" outlineLevel="0" collapsed="false">
      <c r="A534" s="16" t="str">
        <f aca="false">Vendor_Invoices_AP!A531</f>
        <v>INV30530</v>
      </c>
      <c r="B534" s="16" t="str">
        <f aca="false">Vendor_Invoices_AP!C531</f>
        <v>V1016</v>
      </c>
      <c r="C534" s="16" t="str">
        <f aca="false">IFERROR(INDEX(Vendor_Master!$B$2:$B$41,MATCH(B534,Vendor_Master!$A$2:$A$41,0)),"Unknown Vendor")</f>
        <v>Sanchez, Ford and Nelson</v>
      </c>
      <c r="D534" s="18" t="n">
        <f aca="false">Vendor_Invoices_AP!E531</f>
        <v>730.52</v>
      </c>
      <c r="E534" s="16" t="n">
        <f aca="false">COUNTIF(Payment_Log_AP!$B$2:$B$753,A534)</f>
        <v>0</v>
      </c>
      <c r="F534" s="18" t="n">
        <f aca="false">SUMIFS(Payment_Log_AP!$E$2:$E$753,Payment_Log_AP!$B$2:$B$753,A534)</f>
        <v>0</v>
      </c>
      <c r="G534" s="18" t="n">
        <f aca="false">MAX(F534-D534,0)</f>
        <v>0</v>
      </c>
      <c r="H534" s="16" t="str">
        <f aca="false">IF(E534&gt;1,"DUPLICATE - Review",IF(G534&gt;Assumptions!$B$6,"OVERPAID - Review","OK"))</f>
        <v>OK</v>
      </c>
    </row>
    <row r="535" customFormat="false" ht="15" hidden="false" customHeight="false" outlineLevel="0" collapsed="false">
      <c r="A535" s="16" t="str">
        <f aca="false">Vendor_Invoices_AP!A532</f>
        <v>INV30531</v>
      </c>
      <c r="B535" s="16" t="str">
        <f aca="false">Vendor_Invoices_AP!C532</f>
        <v>V1010</v>
      </c>
      <c r="C535" s="16" t="str">
        <f aca="false">IFERROR(INDEX(Vendor_Master!$B$2:$B$41,MATCH(B535,Vendor_Master!$A$2:$A$41,0)),"Unknown Vendor")</f>
        <v>Martinez, Nielsen and Miller</v>
      </c>
      <c r="D535" s="18" t="n">
        <f aca="false">Vendor_Invoices_AP!E532</f>
        <v>1846.15</v>
      </c>
      <c r="E535" s="16" t="n">
        <f aca="false">COUNTIF(Payment_Log_AP!$B$2:$B$753,A535)</f>
        <v>1</v>
      </c>
      <c r="F535" s="18" t="n">
        <f aca="false">SUMIFS(Payment_Log_AP!$E$2:$E$753,Payment_Log_AP!$B$2:$B$753,A535)</f>
        <v>1846.15</v>
      </c>
      <c r="G535" s="18" t="n">
        <f aca="false">MAX(F535-D535,0)</f>
        <v>0</v>
      </c>
      <c r="H535" s="16" t="str">
        <f aca="false">IF(E535&gt;1,"DUPLICATE - Review",IF(G535&gt;Assumptions!$B$6,"OVERPAID - Review","OK"))</f>
        <v>OK</v>
      </c>
    </row>
    <row r="536" customFormat="false" ht="15" hidden="false" customHeight="false" outlineLevel="0" collapsed="false">
      <c r="A536" s="16" t="str">
        <f aca="false">Vendor_Invoices_AP!A533</f>
        <v>INV30532</v>
      </c>
      <c r="B536" s="16" t="str">
        <f aca="false">Vendor_Invoices_AP!C533</f>
        <v>V1018</v>
      </c>
      <c r="C536" s="16" t="str">
        <f aca="false">IFERROR(INDEX(Vendor_Master!$B$2:$B$41,MATCH(B536,Vendor_Master!$A$2:$A$41,0)),"Unknown Vendor")</f>
        <v>Underwood LLC</v>
      </c>
      <c r="D536" s="18" t="n">
        <f aca="false">Vendor_Invoices_AP!E533</f>
        <v>1888.25</v>
      </c>
      <c r="E536" s="16" t="n">
        <f aca="false">COUNTIF(Payment_Log_AP!$B$2:$B$753,A536)</f>
        <v>1</v>
      </c>
      <c r="F536" s="18" t="n">
        <f aca="false">SUMIFS(Payment_Log_AP!$E$2:$E$753,Payment_Log_AP!$B$2:$B$753,A536)</f>
        <v>1888.25</v>
      </c>
      <c r="G536" s="18" t="n">
        <f aca="false">MAX(F536-D536,0)</f>
        <v>0</v>
      </c>
      <c r="H536" s="16" t="str">
        <f aca="false">IF(E536&gt;1,"DUPLICATE - Review",IF(G536&gt;Assumptions!$B$6,"OVERPAID - Review","OK"))</f>
        <v>OK</v>
      </c>
    </row>
    <row r="537" customFormat="false" ht="15" hidden="false" customHeight="false" outlineLevel="0" collapsed="false">
      <c r="A537" s="16" t="str">
        <f aca="false">Vendor_Invoices_AP!A534</f>
        <v>INV30533</v>
      </c>
      <c r="B537" s="16" t="str">
        <f aca="false">Vendor_Invoices_AP!C534</f>
        <v>V1032</v>
      </c>
      <c r="C537" s="16" t="str">
        <f aca="false">IFERROR(INDEX(Vendor_Master!$B$2:$B$41,MATCH(B537,Vendor_Master!$A$2:$A$41,0)),"Unknown Vendor")</f>
        <v>Lynch, Hernandez and Farmer</v>
      </c>
      <c r="D537" s="18" t="n">
        <f aca="false">Vendor_Invoices_AP!E534</f>
        <v>3364.21</v>
      </c>
      <c r="E537" s="16" t="n">
        <f aca="false">COUNTIF(Payment_Log_AP!$B$2:$B$753,A537)</f>
        <v>0</v>
      </c>
      <c r="F537" s="18" t="n">
        <f aca="false">SUMIFS(Payment_Log_AP!$E$2:$E$753,Payment_Log_AP!$B$2:$B$753,A537)</f>
        <v>0</v>
      </c>
      <c r="G537" s="18" t="n">
        <f aca="false">MAX(F537-D537,0)</f>
        <v>0</v>
      </c>
      <c r="H537" s="16" t="str">
        <f aca="false">IF(E537&gt;1,"DUPLICATE - Review",IF(G537&gt;Assumptions!$B$6,"OVERPAID - Review","OK"))</f>
        <v>OK</v>
      </c>
    </row>
    <row r="538" customFormat="false" ht="15" hidden="false" customHeight="false" outlineLevel="0" collapsed="false">
      <c r="A538" s="16" t="str">
        <f aca="false">Vendor_Invoices_AP!A535</f>
        <v>INV30534</v>
      </c>
      <c r="B538" s="16" t="str">
        <f aca="false">Vendor_Invoices_AP!C535</f>
        <v>V1032</v>
      </c>
      <c r="C538" s="16" t="str">
        <f aca="false">IFERROR(INDEX(Vendor_Master!$B$2:$B$41,MATCH(B538,Vendor_Master!$A$2:$A$41,0)),"Unknown Vendor")</f>
        <v>Lynch, Hernandez and Farmer</v>
      </c>
      <c r="D538" s="18" t="n">
        <f aca="false">Vendor_Invoices_AP!E535</f>
        <v>503.75</v>
      </c>
      <c r="E538" s="16" t="n">
        <f aca="false">COUNTIF(Payment_Log_AP!$B$2:$B$753,A538)</f>
        <v>0</v>
      </c>
      <c r="F538" s="18" t="n">
        <f aca="false">SUMIFS(Payment_Log_AP!$E$2:$E$753,Payment_Log_AP!$B$2:$B$753,A538)</f>
        <v>0</v>
      </c>
      <c r="G538" s="18" t="n">
        <f aca="false">MAX(F538-D538,0)</f>
        <v>0</v>
      </c>
      <c r="H538" s="16" t="str">
        <f aca="false">IF(E538&gt;1,"DUPLICATE - Review",IF(G538&gt;Assumptions!$B$6,"OVERPAID - Review","OK"))</f>
        <v>OK</v>
      </c>
    </row>
    <row r="539" customFormat="false" ht="15" hidden="false" customHeight="false" outlineLevel="0" collapsed="false">
      <c r="A539" s="16" t="str">
        <f aca="false">Vendor_Invoices_AP!A536</f>
        <v>INV30535</v>
      </c>
      <c r="B539" s="16" t="str">
        <f aca="false">Vendor_Invoices_AP!C536</f>
        <v>V1012</v>
      </c>
      <c r="C539" s="16" t="str">
        <f aca="false">IFERROR(INDEX(Vendor_Master!$B$2:$B$41,MATCH(B539,Vendor_Master!$A$2:$A$41,0)),"Unknown Vendor")</f>
        <v>Stanley LLC</v>
      </c>
      <c r="D539" s="18" t="n">
        <f aca="false">Vendor_Invoices_AP!E536</f>
        <v>28542.14</v>
      </c>
      <c r="E539" s="16" t="n">
        <f aca="false">COUNTIF(Payment_Log_AP!$B$2:$B$753,A539)</f>
        <v>1</v>
      </c>
      <c r="F539" s="18" t="n">
        <f aca="false">SUMIFS(Payment_Log_AP!$E$2:$E$753,Payment_Log_AP!$B$2:$B$753,A539)</f>
        <v>28542.14</v>
      </c>
      <c r="G539" s="18" t="n">
        <f aca="false">MAX(F539-D539,0)</f>
        <v>0</v>
      </c>
      <c r="H539" s="16" t="str">
        <f aca="false">IF(E539&gt;1,"DUPLICATE - Review",IF(G539&gt;Assumptions!$B$6,"OVERPAID - Review","OK"))</f>
        <v>OK</v>
      </c>
    </row>
    <row r="540" customFormat="false" ht="15" hidden="false" customHeight="false" outlineLevel="0" collapsed="false">
      <c r="A540" s="16" t="str">
        <f aca="false">Vendor_Invoices_AP!A537</f>
        <v>INV30536</v>
      </c>
      <c r="B540" s="16" t="str">
        <f aca="false">Vendor_Invoices_AP!C537</f>
        <v>V1033</v>
      </c>
      <c r="C540" s="16" t="str">
        <f aca="false">IFERROR(INDEX(Vendor_Master!$B$2:$B$41,MATCH(B540,Vendor_Master!$A$2:$A$41,0)),"Unknown Vendor")</f>
        <v>Sellers, George and Burns</v>
      </c>
      <c r="D540" s="18" t="n">
        <f aca="false">Vendor_Invoices_AP!E537</f>
        <v>13194.36</v>
      </c>
      <c r="E540" s="16" t="n">
        <f aca="false">COUNTIF(Payment_Log_AP!$B$2:$B$753,A540)</f>
        <v>1</v>
      </c>
      <c r="F540" s="18" t="n">
        <f aca="false">SUMIFS(Payment_Log_AP!$E$2:$E$753,Payment_Log_AP!$B$2:$B$753,A540)</f>
        <v>13194.36</v>
      </c>
      <c r="G540" s="18" t="n">
        <f aca="false">MAX(F540-D540,0)</f>
        <v>0</v>
      </c>
      <c r="H540" s="16" t="str">
        <f aca="false">IF(E540&gt;1,"DUPLICATE - Review",IF(G540&gt;Assumptions!$B$6,"OVERPAID - Review","OK"))</f>
        <v>OK</v>
      </c>
    </row>
    <row r="541" customFormat="false" ht="15" hidden="false" customHeight="false" outlineLevel="0" collapsed="false">
      <c r="A541" s="16" t="str">
        <f aca="false">Vendor_Invoices_AP!A538</f>
        <v>INV30537</v>
      </c>
      <c r="B541" s="16" t="str">
        <f aca="false">Vendor_Invoices_AP!C538</f>
        <v>V1019</v>
      </c>
      <c r="C541" s="16" t="str">
        <f aca="false">IFERROR(INDEX(Vendor_Master!$B$2:$B$41,MATCH(B541,Vendor_Master!$A$2:$A$41,0)),"Unknown Vendor")</f>
        <v>Clark PLC</v>
      </c>
      <c r="D541" s="18" t="n">
        <f aca="false">Vendor_Invoices_AP!E538</f>
        <v>4569.01</v>
      </c>
      <c r="E541" s="16" t="n">
        <f aca="false">COUNTIF(Payment_Log_AP!$B$2:$B$753,A541)</f>
        <v>0</v>
      </c>
      <c r="F541" s="18" t="n">
        <f aca="false">SUMIFS(Payment_Log_AP!$E$2:$E$753,Payment_Log_AP!$B$2:$B$753,A541)</f>
        <v>0</v>
      </c>
      <c r="G541" s="18" t="n">
        <f aca="false">MAX(F541-D541,0)</f>
        <v>0</v>
      </c>
      <c r="H541" s="16" t="str">
        <f aca="false">IF(E541&gt;1,"DUPLICATE - Review",IF(G541&gt;Assumptions!$B$6,"OVERPAID - Review","OK"))</f>
        <v>OK</v>
      </c>
    </row>
    <row r="542" customFormat="false" ht="15" hidden="false" customHeight="false" outlineLevel="0" collapsed="false">
      <c r="A542" s="16" t="str">
        <f aca="false">Vendor_Invoices_AP!A539</f>
        <v>INV30538</v>
      </c>
      <c r="B542" s="16" t="str">
        <f aca="false">Vendor_Invoices_AP!C539</f>
        <v>V1034</v>
      </c>
      <c r="C542" s="16" t="str">
        <f aca="false">IFERROR(INDEX(Vendor_Master!$B$2:$B$41,MATCH(B542,Vendor_Master!$A$2:$A$41,0)),"Unknown Vendor")</f>
        <v>Koch-Decker</v>
      </c>
      <c r="D542" s="18" t="n">
        <f aca="false">Vendor_Invoices_AP!E539</f>
        <v>999.65</v>
      </c>
      <c r="E542" s="16" t="n">
        <f aca="false">COUNTIF(Payment_Log_AP!$B$2:$B$753,A542)</f>
        <v>1</v>
      </c>
      <c r="F542" s="18" t="n">
        <f aca="false">SUMIFS(Payment_Log_AP!$E$2:$E$753,Payment_Log_AP!$B$2:$B$753,A542)</f>
        <v>999.65</v>
      </c>
      <c r="G542" s="18" t="n">
        <f aca="false">MAX(F542-D542,0)</f>
        <v>0</v>
      </c>
      <c r="H542" s="16" t="str">
        <f aca="false">IF(E542&gt;1,"DUPLICATE - Review",IF(G542&gt;Assumptions!$B$6,"OVERPAID - Review","OK"))</f>
        <v>OK</v>
      </c>
    </row>
    <row r="543" customFormat="false" ht="15" hidden="false" customHeight="false" outlineLevel="0" collapsed="false">
      <c r="A543" s="16" t="str">
        <f aca="false">Vendor_Invoices_AP!A540</f>
        <v>INV30539</v>
      </c>
      <c r="B543" s="16" t="str">
        <f aca="false">Vendor_Invoices_AP!C540</f>
        <v>V1010</v>
      </c>
      <c r="C543" s="16" t="str">
        <f aca="false">IFERROR(INDEX(Vendor_Master!$B$2:$B$41,MATCH(B543,Vendor_Master!$A$2:$A$41,0)),"Unknown Vendor")</f>
        <v>Martinez, Nielsen and Miller</v>
      </c>
      <c r="D543" s="18" t="n">
        <f aca="false">Vendor_Invoices_AP!E540</f>
        <v>2025.11</v>
      </c>
      <c r="E543" s="16" t="n">
        <f aca="false">COUNTIF(Payment_Log_AP!$B$2:$B$753,A543)</f>
        <v>1</v>
      </c>
      <c r="F543" s="18" t="n">
        <f aca="false">SUMIFS(Payment_Log_AP!$E$2:$E$753,Payment_Log_AP!$B$2:$B$753,A543)</f>
        <v>2025.11</v>
      </c>
      <c r="G543" s="18" t="n">
        <f aca="false">MAX(F543-D543,0)</f>
        <v>0</v>
      </c>
      <c r="H543" s="16" t="str">
        <f aca="false">IF(E543&gt;1,"DUPLICATE - Review",IF(G543&gt;Assumptions!$B$6,"OVERPAID - Review","OK"))</f>
        <v>OK</v>
      </c>
    </row>
    <row r="544" customFormat="false" ht="15" hidden="false" customHeight="false" outlineLevel="0" collapsed="false">
      <c r="A544" s="16" t="str">
        <f aca="false">Vendor_Invoices_AP!A541</f>
        <v>INV30540</v>
      </c>
      <c r="B544" s="16" t="str">
        <f aca="false">Vendor_Invoices_AP!C541</f>
        <v>V1010</v>
      </c>
      <c r="C544" s="16" t="str">
        <f aca="false">IFERROR(INDEX(Vendor_Master!$B$2:$B$41,MATCH(B544,Vendor_Master!$A$2:$A$41,0)),"Unknown Vendor")</f>
        <v>Martinez, Nielsen and Miller</v>
      </c>
      <c r="D544" s="18" t="n">
        <f aca="false">Vendor_Invoices_AP!E541</f>
        <v>2025.11</v>
      </c>
      <c r="E544" s="16" t="n">
        <f aca="false">COUNTIF(Payment_Log_AP!$B$2:$B$753,A544)</f>
        <v>1</v>
      </c>
      <c r="F544" s="18" t="n">
        <f aca="false">SUMIFS(Payment_Log_AP!$E$2:$E$753,Payment_Log_AP!$B$2:$B$753,A544)</f>
        <v>2025.11</v>
      </c>
      <c r="G544" s="18" t="n">
        <f aca="false">MAX(F544-D544,0)</f>
        <v>0</v>
      </c>
      <c r="H544" s="16" t="str">
        <f aca="false">IF(E544&gt;1,"DUPLICATE - Review",IF(G544&gt;Assumptions!$B$6,"OVERPAID - Review","OK"))</f>
        <v>OK</v>
      </c>
    </row>
    <row r="545" customFormat="false" ht="15" hidden="false" customHeight="false" outlineLevel="0" collapsed="false">
      <c r="A545" s="16" t="str">
        <f aca="false">Vendor_Invoices_AP!A542</f>
        <v>INV30541</v>
      </c>
      <c r="B545" s="16" t="str">
        <f aca="false">Vendor_Invoices_AP!C542</f>
        <v>V1013</v>
      </c>
      <c r="C545" s="16" t="str">
        <f aca="false">IFERROR(INDEX(Vendor_Master!$B$2:$B$41,MATCH(B545,Vendor_Master!$A$2:$A$41,0)),"Unknown Vendor")</f>
        <v>Delacruz Group</v>
      </c>
      <c r="D545" s="18" t="n">
        <f aca="false">Vendor_Invoices_AP!E542</f>
        <v>1346.34</v>
      </c>
      <c r="E545" s="16" t="n">
        <f aca="false">COUNTIF(Payment_Log_AP!$B$2:$B$753,A545)</f>
        <v>1</v>
      </c>
      <c r="F545" s="18" t="n">
        <f aca="false">SUMIFS(Payment_Log_AP!$E$2:$E$753,Payment_Log_AP!$B$2:$B$753,A545)</f>
        <v>1346.34</v>
      </c>
      <c r="G545" s="18" t="n">
        <f aca="false">MAX(F545-D545,0)</f>
        <v>0</v>
      </c>
      <c r="H545" s="16" t="str">
        <f aca="false">IF(E545&gt;1,"DUPLICATE - Review",IF(G545&gt;Assumptions!$B$6,"OVERPAID - Review","OK"))</f>
        <v>OK</v>
      </c>
    </row>
    <row r="546" customFormat="false" ht="15" hidden="false" customHeight="false" outlineLevel="0" collapsed="false">
      <c r="A546" s="16" t="str">
        <f aca="false">Vendor_Invoices_AP!A543</f>
        <v>INV30542</v>
      </c>
      <c r="B546" s="16" t="str">
        <f aca="false">Vendor_Invoices_AP!C543</f>
        <v>V1017</v>
      </c>
      <c r="C546" s="16" t="str">
        <f aca="false">IFERROR(INDEX(Vendor_Master!$B$2:$B$41,MATCH(B546,Vendor_Master!$A$2:$A$41,0)),"Unknown Vendor")</f>
        <v>Hawkins, Cohen and Cameron</v>
      </c>
      <c r="D546" s="18" t="n">
        <f aca="false">Vendor_Invoices_AP!E543</f>
        <v>473.72</v>
      </c>
      <c r="E546" s="16" t="n">
        <f aca="false">COUNTIF(Payment_Log_AP!$B$2:$B$753,A546)</f>
        <v>1</v>
      </c>
      <c r="F546" s="18" t="n">
        <f aca="false">SUMIFS(Payment_Log_AP!$E$2:$E$753,Payment_Log_AP!$B$2:$B$753,A546)</f>
        <v>473.72</v>
      </c>
      <c r="G546" s="18" t="n">
        <f aca="false">MAX(F546-D546,0)</f>
        <v>0</v>
      </c>
      <c r="H546" s="16" t="str">
        <f aca="false">IF(E546&gt;1,"DUPLICATE - Review",IF(G546&gt;Assumptions!$B$6,"OVERPAID - Review","OK"))</f>
        <v>OK</v>
      </c>
    </row>
    <row r="547" customFormat="false" ht="15" hidden="false" customHeight="false" outlineLevel="0" collapsed="false">
      <c r="A547" s="16" t="str">
        <f aca="false">Vendor_Invoices_AP!A544</f>
        <v>INV30543</v>
      </c>
      <c r="B547" s="16" t="str">
        <f aca="false">Vendor_Invoices_AP!C544</f>
        <v>V1031</v>
      </c>
      <c r="C547" s="16" t="str">
        <f aca="false">IFERROR(INDEX(Vendor_Master!$B$2:$B$41,MATCH(B547,Vendor_Master!$A$2:$A$41,0)),"Unknown Vendor")</f>
        <v>Harrell LLC</v>
      </c>
      <c r="D547" s="18" t="n">
        <f aca="false">Vendor_Invoices_AP!E544</f>
        <v>6567.49</v>
      </c>
      <c r="E547" s="16" t="n">
        <f aca="false">COUNTIF(Payment_Log_AP!$B$2:$B$753,A547)</f>
        <v>0</v>
      </c>
      <c r="F547" s="18" t="n">
        <f aca="false">SUMIFS(Payment_Log_AP!$E$2:$E$753,Payment_Log_AP!$B$2:$B$753,A547)</f>
        <v>0</v>
      </c>
      <c r="G547" s="18" t="n">
        <f aca="false">MAX(F547-D547,0)</f>
        <v>0</v>
      </c>
      <c r="H547" s="16" t="str">
        <f aca="false">IF(E547&gt;1,"DUPLICATE - Review",IF(G547&gt;Assumptions!$B$6,"OVERPAID - Review","OK"))</f>
        <v>OK</v>
      </c>
    </row>
    <row r="548" customFormat="false" ht="15" hidden="false" customHeight="false" outlineLevel="0" collapsed="false">
      <c r="A548" s="16" t="str">
        <f aca="false">Vendor_Invoices_AP!A545</f>
        <v>INV30544</v>
      </c>
      <c r="B548" s="16" t="str">
        <f aca="false">Vendor_Invoices_AP!C545</f>
        <v>V1017</v>
      </c>
      <c r="C548" s="16" t="str">
        <f aca="false">IFERROR(INDEX(Vendor_Master!$B$2:$B$41,MATCH(B548,Vendor_Master!$A$2:$A$41,0)),"Unknown Vendor")</f>
        <v>Hawkins, Cohen and Cameron</v>
      </c>
      <c r="D548" s="18" t="n">
        <f aca="false">Vendor_Invoices_AP!E545</f>
        <v>2503.97</v>
      </c>
      <c r="E548" s="16" t="n">
        <f aca="false">COUNTIF(Payment_Log_AP!$B$2:$B$753,A548)</f>
        <v>0</v>
      </c>
      <c r="F548" s="18" t="n">
        <f aca="false">SUMIFS(Payment_Log_AP!$E$2:$E$753,Payment_Log_AP!$B$2:$B$753,A548)</f>
        <v>0</v>
      </c>
      <c r="G548" s="18" t="n">
        <f aca="false">MAX(F548-D548,0)</f>
        <v>0</v>
      </c>
      <c r="H548" s="16" t="str">
        <f aca="false">IF(E548&gt;1,"DUPLICATE - Review",IF(G548&gt;Assumptions!$B$6,"OVERPAID - Review","OK"))</f>
        <v>OK</v>
      </c>
    </row>
    <row r="549" customFormat="false" ht="15" hidden="false" customHeight="false" outlineLevel="0" collapsed="false">
      <c r="A549" s="16" t="str">
        <f aca="false">Vendor_Invoices_AP!A546</f>
        <v>INV30545</v>
      </c>
      <c r="B549" s="16" t="str">
        <f aca="false">Vendor_Invoices_AP!C546</f>
        <v>V1029</v>
      </c>
      <c r="C549" s="16" t="str">
        <f aca="false">IFERROR(INDEX(Vendor_Master!$B$2:$B$41,MATCH(B549,Vendor_Master!$A$2:$A$41,0)),"Unknown Vendor")</f>
        <v>Chavez Ltd</v>
      </c>
      <c r="D549" s="18" t="n">
        <f aca="false">Vendor_Invoices_AP!E546</f>
        <v>4513.74</v>
      </c>
      <c r="E549" s="16" t="n">
        <f aca="false">COUNTIF(Payment_Log_AP!$B$2:$B$753,A549)</f>
        <v>1</v>
      </c>
      <c r="F549" s="18" t="n">
        <f aca="false">SUMIFS(Payment_Log_AP!$E$2:$E$753,Payment_Log_AP!$B$2:$B$753,A549)</f>
        <v>4513.74</v>
      </c>
      <c r="G549" s="18" t="n">
        <f aca="false">MAX(F549-D549,0)</f>
        <v>0</v>
      </c>
      <c r="H549" s="16" t="str">
        <f aca="false">IF(E549&gt;1,"DUPLICATE - Review",IF(G549&gt;Assumptions!$B$6,"OVERPAID - Review","OK"))</f>
        <v>OK</v>
      </c>
    </row>
    <row r="550" customFormat="false" ht="15" hidden="false" customHeight="false" outlineLevel="0" collapsed="false">
      <c r="A550" s="16" t="str">
        <f aca="false">Vendor_Invoices_AP!A547</f>
        <v>INV30546</v>
      </c>
      <c r="B550" s="16" t="str">
        <f aca="false">Vendor_Invoices_AP!C547</f>
        <v>V1028</v>
      </c>
      <c r="C550" s="16" t="str">
        <f aca="false">IFERROR(INDEX(Vendor_Master!$B$2:$B$41,MATCH(B550,Vendor_Master!$A$2:$A$41,0)),"Unknown Vendor")</f>
        <v>Potter, Mack and Peterson</v>
      </c>
      <c r="D550" s="18" t="n">
        <f aca="false">Vendor_Invoices_AP!E547</f>
        <v>1308.52</v>
      </c>
      <c r="E550" s="16" t="n">
        <f aca="false">COUNTIF(Payment_Log_AP!$B$2:$B$753,A550)</f>
        <v>1</v>
      </c>
      <c r="F550" s="18" t="n">
        <f aca="false">SUMIFS(Payment_Log_AP!$E$2:$E$753,Payment_Log_AP!$B$2:$B$753,A550)</f>
        <v>1308.52</v>
      </c>
      <c r="G550" s="18" t="n">
        <f aca="false">MAX(F550-D550,0)</f>
        <v>0</v>
      </c>
      <c r="H550" s="16" t="str">
        <f aca="false">IF(E550&gt;1,"DUPLICATE - Review",IF(G550&gt;Assumptions!$B$6,"OVERPAID - Review","OK"))</f>
        <v>OK</v>
      </c>
    </row>
    <row r="551" customFormat="false" ht="15" hidden="false" customHeight="false" outlineLevel="0" collapsed="false">
      <c r="A551" s="16" t="str">
        <f aca="false">Vendor_Invoices_AP!A548</f>
        <v>INV30547</v>
      </c>
      <c r="B551" s="16" t="str">
        <f aca="false">Vendor_Invoices_AP!C548</f>
        <v>V1028</v>
      </c>
      <c r="C551" s="16" t="str">
        <f aca="false">IFERROR(INDEX(Vendor_Master!$B$2:$B$41,MATCH(B551,Vendor_Master!$A$2:$A$41,0)),"Unknown Vendor")</f>
        <v>Potter, Mack and Peterson</v>
      </c>
      <c r="D551" s="18" t="n">
        <f aca="false">Vendor_Invoices_AP!E548</f>
        <v>2254.68</v>
      </c>
      <c r="E551" s="16" t="n">
        <f aca="false">COUNTIF(Payment_Log_AP!$B$2:$B$753,A551)</f>
        <v>1</v>
      </c>
      <c r="F551" s="18" t="n">
        <f aca="false">SUMIFS(Payment_Log_AP!$E$2:$E$753,Payment_Log_AP!$B$2:$B$753,A551)</f>
        <v>2254.68</v>
      </c>
      <c r="G551" s="18" t="n">
        <f aca="false">MAX(F551-D551,0)</f>
        <v>0</v>
      </c>
      <c r="H551" s="16" t="str">
        <f aca="false">IF(E551&gt;1,"DUPLICATE - Review",IF(G551&gt;Assumptions!$B$6,"OVERPAID - Review","OK"))</f>
        <v>OK</v>
      </c>
    </row>
    <row r="552" customFormat="false" ht="15" hidden="false" customHeight="false" outlineLevel="0" collapsed="false">
      <c r="A552" s="16" t="str">
        <f aca="false">Vendor_Invoices_AP!A549</f>
        <v>INV30548</v>
      </c>
      <c r="B552" s="16" t="str">
        <f aca="false">Vendor_Invoices_AP!C549</f>
        <v>V1028</v>
      </c>
      <c r="C552" s="16" t="str">
        <f aca="false">IFERROR(INDEX(Vendor_Master!$B$2:$B$41,MATCH(B552,Vendor_Master!$A$2:$A$41,0)),"Unknown Vendor")</f>
        <v>Potter, Mack and Peterson</v>
      </c>
      <c r="D552" s="18" t="n">
        <f aca="false">Vendor_Invoices_AP!E549</f>
        <v>2254.68</v>
      </c>
      <c r="E552" s="16" t="n">
        <f aca="false">COUNTIF(Payment_Log_AP!$B$2:$B$753,A552)</f>
        <v>1</v>
      </c>
      <c r="F552" s="18" t="n">
        <f aca="false">SUMIFS(Payment_Log_AP!$E$2:$E$753,Payment_Log_AP!$B$2:$B$753,A552)</f>
        <v>2254.68</v>
      </c>
      <c r="G552" s="18" t="n">
        <f aca="false">MAX(F552-D552,0)</f>
        <v>0</v>
      </c>
      <c r="H552" s="16" t="str">
        <f aca="false">IF(E552&gt;1,"DUPLICATE - Review",IF(G552&gt;Assumptions!$B$6,"OVERPAID - Review","OK"))</f>
        <v>OK</v>
      </c>
    </row>
    <row r="553" customFormat="false" ht="15" hidden="false" customHeight="false" outlineLevel="0" collapsed="false">
      <c r="A553" s="16" t="str">
        <f aca="false">Vendor_Invoices_AP!A550</f>
        <v>INV30549</v>
      </c>
      <c r="B553" s="16" t="str">
        <f aca="false">Vendor_Invoices_AP!C550</f>
        <v>V1023</v>
      </c>
      <c r="C553" s="16" t="str">
        <f aca="false">IFERROR(INDEX(Vendor_Master!$B$2:$B$41,MATCH(B553,Vendor_Master!$A$2:$A$41,0)),"Unknown Vendor")</f>
        <v>Robinson-Bright</v>
      </c>
      <c r="D553" s="18" t="n">
        <f aca="false">Vendor_Invoices_AP!E550</f>
        <v>5770.92</v>
      </c>
      <c r="E553" s="16" t="n">
        <f aca="false">COUNTIF(Payment_Log_AP!$B$2:$B$753,A553)</f>
        <v>1</v>
      </c>
      <c r="F553" s="18" t="n">
        <f aca="false">SUMIFS(Payment_Log_AP!$E$2:$E$753,Payment_Log_AP!$B$2:$B$753,A553)</f>
        <v>5770.92</v>
      </c>
      <c r="G553" s="18" t="n">
        <f aca="false">MAX(F553-D553,0)</f>
        <v>0</v>
      </c>
      <c r="H553" s="16" t="str">
        <f aca="false">IF(E553&gt;1,"DUPLICATE - Review",IF(G553&gt;Assumptions!$B$6,"OVERPAID - Review","OK"))</f>
        <v>OK</v>
      </c>
    </row>
    <row r="554" customFormat="false" ht="15" hidden="false" customHeight="false" outlineLevel="0" collapsed="false">
      <c r="A554" s="16" t="str">
        <f aca="false">Vendor_Invoices_AP!A551</f>
        <v>INV30550</v>
      </c>
      <c r="B554" s="16" t="str">
        <f aca="false">Vendor_Invoices_AP!C551</f>
        <v>V1016</v>
      </c>
      <c r="C554" s="16" t="str">
        <f aca="false">IFERROR(INDEX(Vendor_Master!$B$2:$B$41,MATCH(B554,Vendor_Master!$A$2:$A$41,0)),"Unknown Vendor")</f>
        <v>Sanchez, Ford and Nelson</v>
      </c>
      <c r="D554" s="18" t="n">
        <f aca="false">Vendor_Invoices_AP!E551</f>
        <v>2271.46</v>
      </c>
      <c r="E554" s="16" t="n">
        <f aca="false">COUNTIF(Payment_Log_AP!$B$2:$B$753,A554)</f>
        <v>1</v>
      </c>
      <c r="F554" s="18" t="n">
        <f aca="false">SUMIFS(Payment_Log_AP!$E$2:$E$753,Payment_Log_AP!$B$2:$B$753,A554)</f>
        <v>2271.46</v>
      </c>
      <c r="G554" s="18" t="n">
        <f aca="false">MAX(F554-D554,0)</f>
        <v>0</v>
      </c>
      <c r="H554" s="16" t="str">
        <f aca="false">IF(E554&gt;1,"DUPLICATE - Review",IF(G554&gt;Assumptions!$B$6,"OVERPAID - Review","OK"))</f>
        <v>OK</v>
      </c>
    </row>
    <row r="555" customFormat="false" ht="15" hidden="false" customHeight="false" outlineLevel="0" collapsed="false">
      <c r="A555" s="16" t="str">
        <f aca="false">Vendor_Invoices_AP!A552</f>
        <v>INV30551</v>
      </c>
      <c r="B555" s="16" t="str">
        <f aca="false">Vendor_Invoices_AP!C552</f>
        <v>V1012</v>
      </c>
      <c r="C555" s="16" t="str">
        <f aca="false">IFERROR(INDEX(Vendor_Master!$B$2:$B$41,MATCH(B555,Vendor_Master!$A$2:$A$41,0)),"Unknown Vendor")</f>
        <v>Stanley LLC</v>
      </c>
      <c r="D555" s="18" t="n">
        <f aca="false">Vendor_Invoices_AP!E552</f>
        <v>567.17</v>
      </c>
      <c r="E555" s="16" t="n">
        <f aca="false">COUNTIF(Payment_Log_AP!$B$2:$B$753,A555)</f>
        <v>1</v>
      </c>
      <c r="F555" s="18" t="n">
        <f aca="false">SUMIFS(Payment_Log_AP!$E$2:$E$753,Payment_Log_AP!$B$2:$B$753,A555)</f>
        <v>567.17</v>
      </c>
      <c r="G555" s="18" t="n">
        <f aca="false">MAX(F555-D555,0)</f>
        <v>0</v>
      </c>
      <c r="H555" s="16" t="str">
        <f aca="false">IF(E555&gt;1,"DUPLICATE - Review",IF(G555&gt;Assumptions!$B$6,"OVERPAID - Review","OK"))</f>
        <v>OK</v>
      </c>
    </row>
    <row r="556" customFormat="false" ht="15" hidden="false" customHeight="false" outlineLevel="0" collapsed="false">
      <c r="A556" s="16" t="str">
        <f aca="false">Vendor_Invoices_AP!A553</f>
        <v>INV30552</v>
      </c>
      <c r="B556" s="16" t="str">
        <f aca="false">Vendor_Invoices_AP!C553</f>
        <v>V1010</v>
      </c>
      <c r="C556" s="16" t="str">
        <f aca="false">IFERROR(INDEX(Vendor_Master!$B$2:$B$41,MATCH(B556,Vendor_Master!$A$2:$A$41,0)),"Unknown Vendor")</f>
        <v>Martinez, Nielsen and Miller</v>
      </c>
      <c r="D556" s="18" t="n">
        <f aca="false">Vendor_Invoices_AP!E553</f>
        <v>4021.66</v>
      </c>
      <c r="E556" s="16" t="n">
        <f aca="false">COUNTIF(Payment_Log_AP!$B$2:$B$753,A556)</f>
        <v>1</v>
      </c>
      <c r="F556" s="18" t="n">
        <f aca="false">SUMIFS(Payment_Log_AP!$E$2:$E$753,Payment_Log_AP!$B$2:$B$753,A556)</f>
        <v>4021.66</v>
      </c>
      <c r="G556" s="18" t="n">
        <f aca="false">MAX(F556-D556,0)</f>
        <v>0</v>
      </c>
      <c r="H556" s="16" t="str">
        <f aca="false">IF(E556&gt;1,"DUPLICATE - Review",IF(G556&gt;Assumptions!$B$6,"OVERPAID - Review","OK"))</f>
        <v>OK</v>
      </c>
    </row>
    <row r="557" customFormat="false" ht="15" hidden="false" customHeight="false" outlineLevel="0" collapsed="false">
      <c r="A557" s="16" t="str">
        <f aca="false">Vendor_Invoices_AP!A554</f>
        <v>INV30553</v>
      </c>
      <c r="B557" s="16" t="str">
        <f aca="false">Vendor_Invoices_AP!C554</f>
        <v>V1020</v>
      </c>
      <c r="C557" s="16" t="str">
        <f aca="false">IFERROR(INDEX(Vendor_Master!$B$2:$B$41,MATCH(B557,Vendor_Master!$A$2:$A$41,0)),"Unknown Vendor")</f>
        <v>Lewis-Porter</v>
      </c>
      <c r="D557" s="18" t="n">
        <f aca="false">Vendor_Invoices_AP!E554</f>
        <v>2676.69</v>
      </c>
      <c r="E557" s="16" t="n">
        <f aca="false">COUNTIF(Payment_Log_AP!$B$2:$B$753,A557)</f>
        <v>0</v>
      </c>
      <c r="F557" s="18" t="n">
        <f aca="false">SUMIFS(Payment_Log_AP!$E$2:$E$753,Payment_Log_AP!$B$2:$B$753,A557)</f>
        <v>0</v>
      </c>
      <c r="G557" s="18" t="n">
        <f aca="false">MAX(F557-D557,0)</f>
        <v>0</v>
      </c>
      <c r="H557" s="16" t="str">
        <f aca="false">IF(E557&gt;1,"DUPLICATE - Review",IF(G557&gt;Assumptions!$B$6,"OVERPAID - Review","OK"))</f>
        <v>OK</v>
      </c>
    </row>
    <row r="558" customFormat="false" ht="15" hidden="false" customHeight="false" outlineLevel="0" collapsed="false">
      <c r="A558" s="16" t="str">
        <f aca="false">Vendor_Invoices_AP!A555</f>
        <v>INV30554</v>
      </c>
      <c r="B558" s="16" t="str">
        <f aca="false">Vendor_Invoices_AP!C555</f>
        <v>V1002</v>
      </c>
      <c r="C558" s="16" t="str">
        <f aca="false">IFERROR(INDEX(Vendor_Master!$B$2:$B$41,MATCH(B558,Vendor_Master!$A$2:$A$41,0)),"Unknown Vendor")</f>
        <v>Garcia, Yang and Gardner</v>
      </c>
      <c r="D558" s="18" t="n">
        <f aca="false">Vendor_Invoices_AP!E555</f>
        <v>21176.94</v>
      </c>
      <c r="E558" s="16" t="n">
        <f aca="false">COUNTIF(Payment_Log_AP!$B$2:$B$753,A558)</f>
        <v>1</v>
      </c>
      <c r="F558" s="18" t="n">
        <f aca="false">SUMIFS(Payment_Log_AP!$E$2:$E$753,Payment_Log_AP!$B$2:$B$753,A558)</f>
        <v>21176.94</v>
      </c>
      <c r="G558" s="18" t="n">
        <f aca="false">MAX(F558-D558,0)</f>
        <v>0</v>
      </c>
      <c r="H558" s="16" t="str">
        <f aca="false">IF(E558&gt;1,"DUPLICATE - Review",IF(G558&gt;Assumptions!$B$6,"OVERPAID - Review","OK"))</f>
        <v>OK</v>
      </c>
    </row>
    <row r="559" customFormat="false" ht="15" hidden="false" customHeight="false" outlineLevel="0" collapsed="false">
      <c r="A559" s="16" t="str">
        <f aca="false">Vendor_Invoices_AP!A556</f>
        <v>INV30555</v>
      </c>
      <c r="B559" s="16" t="str">
        <f aca="false">Vendor_Invoices_AP!C556</f>
        <v>V1010</v>
      </c>
      <c r="C559" s="16" t="str">
        <f aca="false">IFERROR(INDEX(Vendor_Master!$B$2:$B$41,MATCH(B559,Vendor_Master!$A$2:$A$41,0)),"Unknown Vendor")</f>
        <v>Martinez, Nielsen and Miller</v>
      </c>
      <c r="D559" s="18" t="n">
        <f aca="false">Vendor_Invoices_AP!E556</f>
        <v>3298.58</v>
      </c>
      <c r="E559" s="16" t="n">
        <f aca="false">COUNTIF(Payment_Log_AP!$B$2:$B$753,A559)</f>
        <v>1</v>
      </c>
      <c r="F559" s="18" t="n">
        <f aca="false">SUMIFS(Payment_Log_AP!$E$2:$E$753,Payment_Log_AP!$B$2:$B$753,A559)</f>
        <v>3298.58</v>
      </c>
      <c r="G559" s="18" t="n">
        <f aca="false">MAX(F559-D559,0)</f>
        <v>0</v>
      </c>
      <c r="H559" s="16" t="str">
        <f aca="false">IF(E559&gt;1,"DUPLICATE - Review",IF(G559&gt;Assumptions!$B$6,"OVERPAID - Review","OK"))</f>
        <v>OK</v>
      </c>
    </row>
    <row r="560" customFormat="false" ht="15" hidden="false" customHeight="false" outlineLevel="0" collapsed="false">
      <c r="A560" s="16" t="str">
        <f aca="false">Vendor_Invoices_AP!A557</f>
        <v>INV30556</v>
      </c>
      <c r="B560" s="16" t="str">
        <f aca="false">Vendor_Invoices_AP!C557</f>
        <v>V1031</v>
      </c>
      <c r="C560" s="16" t="str">
        <f aca="false">IFERROR(INDEX(Vendor_Master!$B$2:$B$41,MATCH(B560,Vendor_Master!$A$2:$A$41,0)),"Unknown Vendor")</f>
        <v>Harrell LLC</v>
      </c>
      <c r="D560" s="18" t="n">
        <f aca="false">Vendor_Invoices_AP!E557</f>
        <v>6459.27</v>
      </c>
      <c r="E560" s="16" t="n">
        <f aca="false">COUNTIF(Payment_Log_AP!$B$2:$B$753,A560)</f>
        <v>1</v>
      </c>
      <c r="F560" s="18" t="n">
        <f aca="false">SUMIFS(Payment_Log_AP!$E$2:$E$753,Payment_Log_AP!$B$2:$B$753,A560)</f>
        <v>6459.27</v>
      </c>
      <c r="G560" s="18" t="n">
        <f aca="false">MAX(F560-D560,0)</f>
        <v>0</v>
      </c>
      <c r="H560" s="16" t="str">
        <f aca="false">IF(E560&gt;1,"DUPLICATE - Review",IF(G560&gt;Assumptions!$B$6,"OVERPAID - Review","OK"))</f>
        <v>OK</v>
      </c>
    </row>
    <row r="561" customFormat="false" ht="15" hidden="false" customHeight="false" outlineLevel="0" collapsed="false">
      <c r="A561" s="16" t="str">
        <f aca="false">Vendor_Invoices_AP!A558</f>
        <v>INV30557</v>
      </c>
      <c r="B561" s="16" t="str">
        <f aca="false">Vendor_Invoices_AP!C558</f>
        <v>V1012</v>
      </c>
      <c r="C561" s="16" t="str">
        <f aca="false">IFERROR(INDEX(Vendor_Master!$B$2:$B$41,MATCH(B561,Vendor_Master!$A$2:$A$41,0)),"Unknown Vendor")</f>
        <v>Stanley LLC</v>
      </c>
      <c r="D561" s="18" t="n">
        <f aca="false">Vendor_Invoices_AP!E558</f>
        <v>622.67</v>
      </c>
      <c r="E561" s="16" t="n">
        <f aca="false">COUNTIF(Payment_Log_AP!$B$2:$B$753,A561)</f>
        <v>1</v>
      </c>
      <c r="F561" s="18" t="n">
        <f aca="false">SUMIFS(Payment_Log_AP!$E$2:$E$753,Payment_Log_AP!$B$2:$B$753,A561)</f>
        <v>622.67</v>
      </c>
      <c r="G561" s="18" t="n">
        <f aca="false">MAX(F561-D561,0)</f>
        <v>0</v>
      </c>
      <c r="H561" s="16" t="str">
        <f aca="false">IF(E561&gt;1,"DUPLICATE - Review",IF(G561&gt;Assumptions!$B$6,"OVERPAID - Review","OK"))</f>
        <v>OK</v>
      </c>
    </row>
    <row r="562" customFormat="false" ht="15" hidden="false" customHeight="false" outlineLevel="0" collapsed="false">
      <c r="A562" s="16" t="str">
        <f aca="false">Vendor_Invoices_AP!A559</f>
        <v>INV30558</v>
      </c>
      <c r="B562" s="16" t="str">
        <f aca="false">Vendor_Invoices_AP!C559</f>
        <v>V1035</v>
      </c>
      <c r="C562" s="16" t="str">
        <f aca="false">IFERROR(INDEX(Vendor_Master!$B$2:$B$41,MATCH(B562,Vendor_Master!$A$2:$A$41,0)),"Unknown Vendor")</f>
        <v>Allen PLC</v>
      </c>
      <c r="D562" s="18" t="n">
        <f aca="false">Vendor_Invoices_AP!E559</f>
        <v>591.95</v>
      </c>
      <c r="E562" s="16" t="n">
        <f aca="false">COUNTIF(Payment_Log_AP!$B$2:$B$753,A562)</f>
        <v>0</v>
      </c>
      <c r="F562" s="18" t="n">
        <f aca="false">SUMIFS(Payment_Log_AP!$E$2:$E$753,Payment_Log_AP!$B$2:$B$753,A562)</f>
        <v>0</v>
      </c>
      <c r="G562" s="18" t="n">
        <f aca="false">MAX(F562-D562,0)</f>
        <v>0</v>
      </c>
      <c r="H562" s="16" t="str">
        <f aca="false">IF(E562&gt;1,"DUPLICATE - Review",IF(G562&gt;Assumptions!$B$6,"OVERPAID - Review","OK"))</f>
        <v>OK</v>
      </c>
    </row>
    <row r="563" customFormat="false" ht="15" hidden="false" customHeight="false" outlineLevel="0" collapsed="false">
      <c r="A563" s="16" t="str">
        <f aca="false">Vendor_Invoices_AP!A560</f>
        <v>INV30559</v>
      </c>
      <c r="B563" s="16" t="str">
        <f aca="false">Vendor_Invoices_AP!C560</f>
        <v>V1005</v>
      </c>
      <c r="C563" s="16" t="str">
        <f aca="false">IFERROR(INDEX(Vendor_Master!$B$2:$B$41,MATCH(B563,Vendor_Master!$A$2:$A$41,0)),"Unknown Vendor")</f>
        <v>Cole LLC</v>
      </c>
      <c r="D563" s="18" t="n">
        <f aca="false">Vendor_Invoices_AP!E560</f>
        <v>4894.13</v>
      </c>
      <c r="E563" s="16" t="n">
        <f aca="false">COUNTIF(Payment_Log_AP!$B$2:$B$753,A563)</f>
        <v>1</v>
      </c>
      <c r="F563" s="18" t="n">
        <f aca="false">SUMIFS(Payment_Log_AP!$E$2:$E$753,Payment_Log_AP!$B$2:$B$753,A563)</f>
        <v>4894.13</v>
      </c>
      <c r="G563" s="18" t="n">
        <f aca="false">MAX(F563-D563,0)</f>
        <v>0</v>
      </c>
      <c r="H563" s="16" t="str">
        <f aca="false">IF(E563&gt;1,"DUPLICATE - Review",IF(G563&gt;Assumptions!$B$6,"OVERPAID - Review","OK"))</f>
        <v>OK</v>
      </c>
    </row>
    <row r="564" customFormat="false" ht="15" hidden="false" customHeight="false" outlineLevel="0" collapsed="false">
      <c r="A564" s="16" t="str">
        <f aca="false">Vendor_Invoices_AP!A561</f>
        <v>INV30560</v>
      </c>
      <c r="B564" s="16" t="str">
        <f aca="false">Vendor_Invoices_AP!C561</f>
        <v>V1024</v>
      </c>
      <c r="C564" s="16" t="str">
        <f aca="false">IFERROR(INDEX(Vendor_Master!$B$2:$B$41,MATCH(B564,Vendor_Master!$A$2:$A$41,0)),"Unknown Vendor")</f>
        <v>Campos Inc</v>
      </c>
      <c r="D564" s="18" t="n">
        <f aca="false">Vendor_Invoices_AP!E561</f>
        <v>640.41</v>
      </c>
      <c r="E564" s="16" t="n">
        <f aca="false">COUNTIF(Payment_Log_AP!$B$2:$B$753,A564)</f>
        <v>1</v>
      </c>
      <c r="F564" s="18" t="n">
        <f aca="false">SUMIFS(Payment_Log_AP!$E$2:$E$753,Payment_Log_AP!$B$2:$B$753,A564)</f>
        <v>640.41</v>
      </c>
      <c r="G564" s="18" t="n">
        <f aca="false">MAX(F564-D564,0)</f>
        <v>0</v>
      </c>
      <c r="H564" s="16" t="str">
        <f aca="false">IF(E564&gt;1,"DUPLICATE - Review",IF(G564&gt;Assumptions!$B$6,"OVERPAID - Review","OK"))</f>
        <v>OK</v>
      </c>
    </row>
    <row r="565" customFormat="false" ht="15" hidden="false" customHeight="false" outlineLevel="0" collapsed="false">
      <c r="A565" s="16" t="str">
        <f aca="false">Vendor_Invoices_AP!A562</f>
        <v>INV30561</v>
      </c>
      <c r="B565" s="16" t="str">
        <f aca="false">Vendor_Invoices_AP!C562</f>
        <v>V1016</v>
      </c>
      <c r="C565" s="16" t="str">
        <f aca="false">IFERROR(INDEX(Vendor_Master!$B$2:$B$41,MATCH(B565,Vendor_Master!$A$2:$A$41,0)),"Unknown Vendor")</f>
        <v>Sanchez, Ford and Nelson</v>
      </c>
      <c r="D565" s="18" t="n">
        <f aca="false">Vendor_Invoices_AP!E562</f>
        <v>6607.07</v>
      </c>
      <c r="E565" s="16" t="n">
        <f aca="false">COUNTIF(Payment_Log_AP!$B$2:$B$753,A565)</f>
        <v>1</v>
      </c>
      <c r="F565" s="18" t="n">
        <f aca="false">SUMIFS(Payment_Log_AP!$E$2:$E$753,Payment_Log_AP!$B$2:$B$753,A565)</f>
        <v>6607.07</v>
      </c>
      <c r="G565" s="18" t="n">
        <f aca="false">MAX(F565-D565,0)</f>
        <v>0</v>
      </c>
      <c r="H565" s="16" t="str">
        <f aca="false">IF(E565&gt;1,"DUPLICATE - Review",IF(G565&gt;Assumptions!$B$6,"OVERPAID - Review","OK"))</f>
        <v>OK</v>
      </c>
    </row>
    <row r="566" customFormat="false" ht="15" hidden="false" customHeight="false" outlineLevel="0" collapsed="false">
      <c r="A566" s="16" t="str">
        <f aca="false">Vendor_Invoices_AP!A563</f>
        <v>INV30562</v>
      </c>
      <c r="B566" s="16" t="str">
        <f aca="false">Vendor_Invoices_AP!C563</f>
        <v>V1028</v>
      </c>
      <c r="C566" s="16" t="str">
        <f aca="false">IFERROR(INDEX(Vendor_Master!$B$2:$B$41,MATCH(B566,Vendor_Master!$A$2:$A$41,0)),"Unknown Vendor")</f>
        <v>Potter, Mack and Peterson</v>
      </c>
      <c r="D566" s="18" t="n">
        <f aca="false">Vendor_Invoices_AP!E563</f>
        <v>647.86</v>
      </c>
      <c r="E566" s="16" t="n">
        <f aca="false">COUNTIF(Payment_Log_AP!$B$2:$B$753,A566)</f>
        <v>1</v>
      </c>
      <c r="F566" s="18" t="n">
        <f aca="false">SUMIFS(Payment_Log_AP!$E$2:$E$753,Payment_Log_AP!$B$2:$B$753,A566)</f>
        <v>647.86</v>
      </c>
      <c r="G566" s="18" t="n">
        <f aca="false">MAX(F566-D566,0)</f>
        <v>0</v>
      </c>
      <c r="H566" s="16" t="str">
        <f aca="false">IF(E566&gt;1,"DUPLICATE - Review",IF(G566&gt;Assumptions!$B$6,"OVERPAID - Review","OK"))</f>
        <v>OK</v>
      </c>
    </row>
    <row r="567" customFormat="false" ht="15" hidden="false" customHeight="false" outlineLevel="0" collapsed="false">
      <c r="A567" s="16" t="str">
        <f aca="false">Vendor_Invoices_AP!A564</f>
        <v>INV30563</v>
      </c>
      <c r="B567" s="16" t="str">
        <f aca="false">Vendor_Invoices_AP!C564</f>
        <v>V1022</v>
      </c>
      <c r="C567" s="16" t="str">
        <f aca="false">IFERROR(INDEX(Vendor_Master!$B$2:$B$41,MATCH(B567,Vendor_Master!$A$2:$A$41,0)),"Unknown Vendor")</f>
        <v>Burgess-Patterson</v>
      </c>
      <c r="D567" s="18" t="n">
        <f aca="false">Vendor_Invoices_AP!E564</f>
        <v>517.06</v>
      </c>
      <c r="E567" s="16" t="n">
        <f aca="false">COUNTIF(Payment_Log_AP!$B$2:$B$753,A567)</f>
        <v>1</v>
      </c>
      <c r="F567" s="18" t="n">
        <f aca="false">SUMIFS(Payment_Log_AP!$E$2:$E$753,Payment_Log_AP!$B$2:$B$753,A567)</f>
        <v>517.06</v>
      </c>
      <c r="G567" s="18" t="n">
        <f aca="false">MAX(F567-D567,0)</f>
        <v>0</v>
      </c>
      <c r="H567" s="16" t="str">
        <f aca="false">IF(E567&gt;1,"DUPLICATE - Review",IF(G567&gt;Assumptions!$B$6,"OVERPAID - Review","OK"))</f>
        <v>OK</v>
      </c>
    </row>
    <row r="568" customFormat="false" ht="15" hidden="false" customHeight="false" outlineLevel="0" collapsed="false">
      <c r="A568" s="16" t="str">
        <f aca="false">Vendor_Invoices_AP!A565</f>
        <v>INV30564</v>
      </c>
      <c r="B568" s="16" t="str">
        <f aca="false">Vendor_Invoices_AP!C565</f>
        <v>V1011</v>
      </c>
      <c r="C568" s="16" t="str">
        <f aca="false">IFERROR(INDEX(Vendor_Master!$B$2:$B$41,MATCH(B568,Vendor_Master!$A$2:$A$41,0)),"Unknown Vendor")</f>
        <v>Montgomery, Hensley and Ray</v>
      </c>
      <c r="D568" s="18" t="n">
        <f aca="false">Vendor_Invoices_AP!E565</f>
        <v>316.1</v>
      </c>
      <c r="E568" s="16" t="n">
        <f aca="false">COUNTIF(Payment_Log_AP!$B$2:$B$753,A568)</f>
        <v>1</v>
      </c>
      <c r="F568" s="18" t="n">
        <f aca="false">SUMIFS(Payment_Log_AP!$E$2:$E$753,Payment_Log_AP!$B$2:$B$753,A568)</f>
        <v>316.1</v>
      </c>
      <c r="G568" s="18" t="n">
        <f aca="false">MAX(F568-D568,0)</f>
        <v>0</v>
      </c>
      <c r="H568" s="16" t="str">
        <f aca="false">IF(E568&gt;1,"DUPLICATE - Review",IF(G568&gt;Assumptions!$B$6,"OVERPAID - Review","OK"))</f>
        <v>OK</v>
      </c>
    </row>
    <row r="569" customFormat="false" ht="15" hidden="false" customHeight="false" outlineLevel="0" collapsed="false">
      <c r="A569" s="16" t="str">
        <f aca="false">Vendor_Invoices_AP!A566</f>
        <v>INV30565</v>
      </c>
      <c r="B569" s="16" t="str">
        <f aca="false">Vendor_Invoices_AP!C566</f>
        <v>V1034</v>
      </c>
      <c r="C569" s="16" t="str">
        <f aca="false">IFERROR(INDEX(Vendor_Master!$B$2:$B$41,MATCH(B569,Vendor_Master!$A$2:$A$41,0)),"Unknown Vendor")</f>
        <v>Koch-Decker</v>
      </c>
      <c r="D569" s="18" t="n">
        <f aca="false">Vendor_Invoices_AP!E566</f>
        <v>4436.8</v>
      </c>
      <c r="E569" s="16" t="n">
        <f aca="false">COUNTIF(Payment_Log_AP!$B$2:$B$753,A569)</f>
        <v>1</v>
      </c>
      <c r="F569" s="18" t="n">
        <f aca="false">SUMIFS(Payment_Log_AP!$E$2:$E$753,Payment_Log_AP!$B$2:$B$753,A569)</f>
        <v>4436.8</v>
      </c>
      <c r="G569" s="18" t="n">
        <f aca="false">MAX(F569-D569,0)</f>
        <v>0</v>
      </c>
      <c r="H569" s="16" t="str">
        <f aca="false">IF(E569&gt;1,"DUPLICATE - Review",IF(G569&gt;Assumptions!$B$6,"OVERPAID - Review","OK"))</f>
        <v>OK</v>
      </c>
    </row>
    <row r="570" customFormat="false" ht="15" hidden="false" customHeight="false" outlineLevel="0" collapsed="false">
      <c r="A570" s="16" t="str">
        <f aca="false">Vendor_Invoices_AP!A567</f>
        <v>INV30566</v>
      </c>
      <c r="B570" s="16" t="str">
        <f aca="false">Vendor_Invoices_AP!C567</f>
        <v>V1026</v>
      </c>
      <c r="C570" s="16" t="str">
        <f aca="false">IFERROR(INDEX(Vendor_Master!$B$2:$B$41,MATCH(B570,Vendor_Master!$A$2:$A$41,0)),"Unknown Vendor")</f>
        <v>James-Ferrell</v>
      </c>
      <c r="D570" s="18" t="n">
        <f aca="false">Vendor_Invoices_AP!E567</f>
        <v>6594.42</v>
      </c>
      <c r="E570" s="16" t="n">
        <f aca="false">COUNTIF(Payment_Log_AP!$B$2:$B$753,A570)</f>
        <v>1</v>
      </c>
      <c r="F570" s="18" t="n">
        <f aca="false">SUMIFS(Payment_Log_AP!$E$2:$E$753,Payment_Log_AP!$B$2:$B$753,A570)</f>
        <v>6594.42</v>
      </c>
      <c r="G570" s="18" t="n">
        <f aca="false">MAX(F570-D570,0)</f>
        <v>0</v>
      </c>
      <c r="H570" s="16" t="str">
        <f aca="false">IF(E570&gt;1,"DUPLICATE - Review",IF(G570&gt;Assumptions!$B$6,"OVERPAID - Review","OK"))</f>
        <v>OK</v>
      </c>
    </row>
    <row r="571" customFormat="false" ht="15" hidden="false" customHeight="false" outlineLevel="0" collapsed="false">
      <c r="A571" s="16" t="str">
        <f aca="false">Vendor_Invoices_AP!A568</f>
        <v>INV30567</v>
      </c>
      <c r="B571" s="16" t="str">
        <f aca="false">Vendor_Invoices_AP!C568</f>
        <v>V1027</v>
      </c>
      <c r="C571" s="16" t="str">
        <f aca="false">IFERROR(INDEX(Vendor_Master!$B$2:$B$41,MATCH(B571,Vendor_Master!$A$2:$A$41,0)),"Unknown Vendor")</f>
        <v>Valencia, Smith and Le</v>
      </c>
      <c r="D571" s="18" t="n">
        <f aca="false">Vendor_Invoices_AP!E568</f>
        <v>836.54</v>
      </c>
      <c r="E571" s="16" t="n">
        <f aca="false">COUNTIF(Payment_Log_AP!$B$2:$B$753,A571)</f>
        <v>1</v>
      </c>
      <c r="F571" s="18" t="n">
        <f aca="false">SUMIFS(Payment_Log_AP!$E$2:$E$753,Payment_Log_AP!$B$2:$B$753,A571)</f>
        <v>836.54</v>
      </c>
      <c r="G571" s="18" t="n">
        <f aca="false">MAX(F571-D571,0)</f>
        <v>0</v>
      </c>
      <c r="H571" s="16" t="str">
        <f aca="false">IF(E571&gt;1,"DUPLICATE - Review",IF(G571&gt;Assumptions!$B$6,"OVERPAID - Review","OK"))</f>
        <v>OK</v>
      </c>
    </row>
    <row r="572" customFormat="false" ht="15" hidden="false" customHeight="false" outlineLevel="0" collapsed="false">
      <c r="A572" s="16" t="str">
        <f aca="false">Vendor_Invoices_AP!A569</f>
        <v>INV30568</v>
      </c>
      <c r="B572" s="16" t="str">
        <f aca="false">Vendor_Invoices_AP!C569</f>
        <v>V1020</v>
      </c>
      <c r="C572" s="16" t="str">
        <f aca="false">IFERROR(INDEX(Vendor_Master!$B$2:$B$41,MATCH(B572,Vendor_Master!$A$2:$A$41,0)),"Unknown Vendor")</f>
        <v>Lewis-Porter</v>
      </c>
      <c r="D572" s="18" t="n">
        <f aca="false">Vendor_Invoices_AP!E569</f>
        <v>1170.71</v>
      </c>
      <c r="E572" s="16" t="n">
        <f aca="false">COUNTIF(Payment_Log_AP!$B$2:$B$753,A572)</f>
        <v>1</v>
      </c>
      <c r="F572" s="18" t="n">
        <f aca="false">SUMIFS(Payment_Log_AP!$E$2:$E$753,Payment_Log_AP!$B$2:$B$753,A572)</f>
        <v>1170.71</v>
      </c>
      <c r="G572" s="18" t="n">
        <f aca="false">MAX(F572-D572,0)</f>
        <v>0</v>
      </c>
      <c r="H572" s="16" t="str">
        <f aca="false">IF(E572&gt;1,"DUPLICATE - Review",IF(G572&gt;Assumptions!$B$6,"OVERPAID - Review","OK"))</f>
        <v>OK</v>
      </c>
    </row>
    <row r="573" customFormat="false" ht="15" hidden="false" customHeight="false" outlineLevel="0" collapsed="false">
      <c r="A573" s="16" t="str">
        <f aca="false">Vendor_Invoices_AP!A570</f>
        <v>INV30569</v>
      </c>
      <c r="B573" s="16" t="str">
        <f aca="false">Vendor_Invoices_AP!C570</f>
        <v>V1027</v>
      </c>
      <c r="C573" s="16" t="str">
        <f aca="false">IFERROR(INDEX(Vendor_Master!$B$2:$B$41,MATCH(B573,Vendor_Master!$A$2:$A$41,0)),"Unknown Vendor")</f>
        <v>Valencia, Smith and Le</v>
      </c>
      <c r="D573" s="18" t="n">
        <f aca="false">Vendor_Invoices_AP!E570</f>
        <v>4155.49</v>
      </c>
      <c r="E573" s="16" t="n">
        <f aca="false">COUNTIF(Payment_Log_AP!$B$2:$B$753,A573)</f>
        <v>1</v>
      </c>
      <c r="F573" s="18" t="n">
        <f aca="false">SUMIFS(Payment_Log_AP!$E$2:$E$753,Payment_Log_AP!$B$2:$B$753,A573)</f>
        <v>4155.49</v>
      </c>
      <c r="G573" s="18" t="n">
        <f aca="false">MAX(F573-D573,0)</f>
        <v>0</v>
      </c>
      <c r="H573" s="16" t="str">
        <f aca="false">IF(E573&gt;1,"DUPLICATE - Review",IF(G573&gt;Assumptions!$B$6,"OVERPAID - Review","OK"))</f>
        <v>OK</v>
      </c>
    </row>
    <row r="574" customFormat="false" ht="15" hidden="false" customHeight="false" outlineLevel="0" collapsed="false">
      <c r="A574" s="16" t="str">
        <f aca="false">Vendor_Invoices_AP!A571</f>
        <v>INV30570</v>
      </c>
      <c r="B574" s="16" t="str">
        <f aca="false">Vendor_Invoices_AP!C571</f>
        <v>V1028</v>
      </c>
      <c r="C574" s="16" t="str">
        <f aca="false">IFERROR(INDEX(Vendor_Master!$B$2:$B$41,MATCH(B574,Vendor_Master!$A$2:$A$41,0)),"Unknown Vendor")</f>
        <v>Potter, Mack and Peterson</v>
      </c>
      <c r="D574" s="18" t="n">
        <f aca="false">Vendor_Invoices_AP!E571</f>
        <v>813.95</v>
      </c>
      <c r="E574" s="16" t="n">
        <f aca="false">COUNTIF(Payment_Log_AP!$B$2:$B$753,A574)</f>
        <v>1</v>
      </c>
      <c r="F574" s="18" t="n">
        <f aca="false">SUMIFS(Payment_Log_AP!$E$2:$E$753,Payment_Log_AP!$B$2:$B$753,A574)</f>
        <v>813.95</v>
      </c>
      <c r="G574" s="18" t="n">
        <f aca="false">MAX(F574-D574,0)</f>
        <v>0</v>
      </c>
      <c r="H574" s="16" t="str">
        <f aca="false">IF(E574&gt;1,"DUPLICATE - Review",IF(G574&gt;Assumptions!$B$6,"OVERPAID - Review","OK"))</f>
        <v>OK</v>
      </c>
    </row>
    <row r="575" customFormat="false" ht="15" hidden="false" customHeight="false" outlineLevel="0" collapsed="false">
      <c r="A575" s="16" t="str">
        <f aca="false">Vendor_Invoices_AP!A572</f>
        <v>INV30571</v>
      </c>
      <c r="B575" s="16" t="str">
        <f aca="false">Vendor_Invoices_AP!C572</f>
        <v>V1021</v>
      </c>
      <c r="C575" s="16" t="str">
        <f aca="false">IFERROR(INDEX(Vendor_Master!$B$2:$B$41,MATCH(B575,Vendor_Master!$A$2:$A$41,0)),"Unknown Vendor")</f>
        <v>Ellis, Baker and Wright</v>
      </c>
      <c r="D575" s="18" t="n">
        <f aca="false">Vendor_Invoices_AP!E572</f>
        <v>219.09</v>
      </c>
      <c r="E575" s="16" t="n">
        <f aca="false">COUNTIF(Payment_Log_AP!$B$2:$B$753,A575)</f>
        <v>1</v>
      </c>
      <c r="F575" s="18" t="n">
        <f aca="false">SUMIFS(Payment_Log_AP!$E$2:$E$753,Payment_Log_AP!$B$2:$B$753,A575)</f>
        <v>219.09</v>
      </c>
      <c r="G575" s="18" t="n">
        <f aca="false">MAX(F575-D575,0)</f>
        <v>0</v>
      </c>
      <c r="H575" s="16" t="str">
        <f aca="false">IF(E575&gt;1,"DUPLICATE - Review",IF(G575&gt;Assumptions!$B$6,"OVERPAID - Review","OK"))</f>
        <v>OK</v>
      </c>
    </row>
    <row r="576" customFormat="false" ht="15" hidden="false" customHeight="false" outlineLevel="0" collapsed="false">
      <c r="A576" s="16" t="str">
        <f aca="false">Vendor_Invoices_AP!A573</f>
        <v>INV30572</v>
      </c>
      <c r="B576" s="16" t="str">
        <f aca="false">Vendor_Invoices_AP!C573</f>
        <v>V1018</v>
      </c>
      <c r="C576" s="16" t="str">
        <f aca="false">IFERROR(INDEX(Vendor_Master!$B$2:$B$41,MATCH(B576,Vendor_Master!$A$2:$A$41,0)),"Unknown Vendor")</f>
        <v>Underwood LLC</v>
      </c>
      <c r="D576" s="18" t="n">
        <f aca="false">Vendor_Invoices_AP!E573</f>
        <v>313.99</v>
      </c>
      <c r="E576" s="16" t="n">
        <f aca="false">COUNTIF(Payment_Log_AP!$B$2:$B$753,A576)</f>
        <v>1</v>
      </c>
      <c r="F576" s="18" t="n">
        <f aca="false">SUMIFS(Payment_Log_AP!$E$2:$E$753,Payment_Log_AP!$B$2:$B$753,A576)</f>
        <v>313.99</v>
      </c>
      <c r="G576" s="18" t="n">
        <f aca="false">MAX(F576-D576,0)</f>
        <v>0</v>
      </c>
      <c r="H576" s="16" t="str">
        <f aca="false">IF(E576&gt;1,"DUPLICATE - Review",IF(G576&gt;Assumptions!$B$6,"OVERPAID - Review","OK"))</f>
        <v>OK</v>
      </c>
    </row>
    <row r="577" customFormat="false" ht="15" hidden="false" customHeight="false" outlineLevel="0" collapsed="false">
      <c r="A577" s="16" t="str">
        <f aca="false">Vendor_Invoices_AP!A574</f>
        <v>INV30573</v>
      </c>
      <c r="B577" s="16" t="str">
        <f aca="false">Vendor_Invoices_AP!C574</f>
        <v>V1018</v>
      </c>
      <c r="C577" s="16" t="str">
        <f aca="false">IFERROR(INDEX(Vendor_Master!$B$2:$B$41,MATCH(B577,Vendor_Master!$A$2:$A$41,0)),"Unknown Vendor")</f>
        <v>Underwood LLC</v>
      </c>
      <c r="D577" s="18" t="n">
        <f aca="false">Vendor_Invoices_AP!E574</f>
        <v>313.99</v>
      </c>
      <c r="E577" s="16" t="n">
        <f aca="false">COUNTIF(Payment_Log_AP!$B$2:$B$753,A577)</f>
        <v>1</v>
      </c>
      <c r="F577" s="18" t="n">
        <f aca="false">SUMIFS(Payment_Log_AP!$E$2:$E$753,Payment_Log_AP!$B$2:$B$753,A577)</f>
        <v>313.99</v>
      </c>
      <c r="G577" s="18" t="n">
        <f aca="false">MAX(F577-D577,0)</f>
        <v>0</v>
      </c>
      <c r="H577" s="16" t="str">
        <f aca="false">IF(E577&gt;1,"DUPLICATE - Review",IF(G577&gt;Assumptions!$B$6,"OVERPAID - Review","OK"))</f>
        <v>OK</v>
      </c>
    </row>
    <row r="578" customFormat="false" ht="15" hidden="false" customHeight="false" outlineLevel="0" collapsed="false">
      <c r="A578" s="16" t="str">
        <f aca="false">Vendor_Invoices_AP!A575</f>
        <v>INV30574</v>
      </c>
      <c r="B578" s="16" t="str">
        <f aca="false">Vendor_Invoices_AP!C575</f>
        <v>V1005</v>
      </c>
      <c r="C578" s="16" t="str">
        <f aca="false">IFERROR(INDEX(Vendor_Master!$B$2:$B$41,MATCH(B578,Vendor_Master!$A$2:$A$41,0)),"Unknown Vendor")</f>
        <v>Cole LLC</v>
      </c>
      <c r="D578" s="18" t="n">
        <f aca="false">Vendor_Invoices_AP!E575</f>
        <v>7086.46</v>
      </c>
      <c r="E578" s="16" t="n">
        <f aca="false">COUNTIF(Payment_Log_AP!$B$2:$B$753,A578)</f>
        <v>1</v>
      </c>
      <c r="F578" s="18" t="n">
        <f aca="false">SUMIFS(Payment_Log_AP!$E$2:$E$753,Payment_Log_AP!$B$2:$B$753,A578)</f>
        <v>7086.46</v>
      </c>
      <c r="G578" s="18" t="n">
        <f aca="false">MAX(F578-D578,0)</f>
        <v>0</v>
      </c>
      <c r="H578" s="16" t="str">
        <f aca="false">IF(E578&gt;1,"DUPLICATE - Review",IF(G578&gt;Assumptions!$B$6,"OVERPAID - Review","OK"))</f>
        <v>OK</v>
      </c>
    </row>
    <row r="579" customFormat="false" ht="15" hidden="false" customHeight="false" outlineLevel="0" collapsed="false">
      <c r="A579" s="16" t="str">
        <f aca="false">Vendor_Invoices_AP!A576</f>
        <v>INV30575</v>
      </c>
      <c r="B579" s="16" t="str">
        <f aca="false">Vendor_Invoices_AP!C576</f>
        <v>V1021</v>
      </c>
      <c r="C579" s="16" t="str">
        <f aca="false">IFERROR(INDEX(Vendor_Master!$B$2:$B$41,MATCH(B579,Vendor_Master!$A$2:$A$41,0)),"Unknown Vendor")</f>
        <v>Ellis, Baker and Wright</v>
      </c>
      <c r="D579" s="18" t="n">
        <f aca="false">Vendor_Invoices_AP!E576</f>
        <v>5679.33</v>
      </c>
      <c r="E579" s="16" t="n">
        <f aca="false">COUNTIF(Payment_Log_AP!$B$2:$B$753,A579)</f>
        <v>0</v>
      </c>
      <c r="F579" s="18" t="n">
        <f aca="false">SUMIFS(Payment_Log_AP!$E$2:$E$753,Payment_Log_AP!$B$2:$B$753,A579)</f>
        <v>0</v>
      </c>
      <c r="G579" s="18" t="n">
        <f aca="false">MAX(F579-D579,0)</f>
        <v>0</v>
      </c>
      <c r="H579" s="16" t="str">
        <f aca="false">IF(E579&gt;1,"DUPLICATE - Review",IF(G579&gt;Assumptions!$B$6,"OVERPAID - Review","OK"))</f>
        <v>OK</v>
      </c>
    </row>
    <row r="580" customFormat="false" ht="15" hidden="false" customHeight="false" outlineLevel="0" collapsed="false">
      <c r="A580" s="16" t="str">
        <f aca="false">Vendor_Invoices_AP!A577</f>
        <v>INV30576</v>
      </c>
      <c r="B580" s="16" t="str">
        <f aca="false">Vendor_Invoices_AP!C577</f>
        <v>V1005</v>
      </c>
      <c r="C580" s="16" t="str">
        <f aca="false">IFERROR(INDEX(Vendor_Master!$B$2:$B$41,MATCH(B580,Vendor_Master!$A$2:$A$41,0)),"Unknown Vendor")</f>
        <v>Cole LLC</v>
      </c>
      <c r="D580" s="18" t="n">
        <f aca="false">Vendor_Invoices_AP!E577</f>
        <v>745.67</v>
      </c>
      <c r="E580" s="16" t="n">
        <f aca="false">COUNTIF(Payment_Log_AP!$B$2:$B$753,A580)</f>
        <v>1</v>
      </c>
      <c r="F580" s="18" t="n">
        <f aca="false">SUMIFS(Payment_Log_AP!$E$2:$E$753,Payment_Log_AP!$B$2:$B$753,A580)</f>
        <v>745.67</v>
      </c>
      <c r="G580" s="18" t="n">
        <f aca="false">MAX(F580-D580,0)</f>
        <v>0</v>
      </c>
      <c r="H580" s="16" t="str">
        <f aca="false">IF(E580&gt;1,"DUPLICATE - Review",IF(G580&gt;Assumptions!$B$6,"OVERPAID - Review","OK"))</f>
        <v>OK</v>
      </c>
    </row>
    <row r="581" customFormat="false" ht="15" hidden="false" customHeight="false" outlineLevel="0" collapsed="false">
      <c r="A581" s="16" t="str">
        <f aca="false">Vendor_Invoices_AP!A578</f>
        <v>INV30577</v>
      </c>
      <c r="B581" s="16" t="str">
        <f aca="false">Vendor_Invoices_AP!C578</f>
        <v>V1005</v>
      </c>
      <c r="C581" s="16" t="str">
        <f aca="false">IFERROR(INDEX(Vendor_Master!$B$2:$B$41,MATCH(B581,Vendor_Master!$A$2:$A$41,0)),"Unknown Vendor")</f>
        <v>Cole LLC</v>
      </c>
      <c r="D581" s="18" t="n">
        <f aca="false">Vendor_Invoices_AP!E578</f>
        <v>745.67</v>
      </c>
      <c r="E581" s="16" t="n">
        <f aca="false">COUNTIF(Payment_Log_AP!$B$2:$B$753,A581)</f>
        <v>1</v>
      </c>
      <c r="F581" s="18" t="n">
        <f aca="false">SUMIFS(Payment_Log_AP!$E$2:$E$753,Payment_Log_AP!$B$2:$B$753,A581)</f>
        <v>745.67</v>
      </c>
      <c r="G581" s="18" t="n">
        <f aca="false">MAX(F581-D581,0)</f>
        <v>0</v>
      </c>
      <c r="H581" s="16" t="str">
        <f aca="false">IF(E581&gt;1,"DUPLICATE - Review",IF(G581&gt;Assumptions!$B$6,"OVERPAID - Review","OK"))</f>
        <v>OK</v>
      </c>
    </row>
    <row r="582" customFormat="false" ht="15" hidden="false" customHeight="false" outlineLevel="0" collapsed="false">
      <c r="A582" s="16" t="str">
        <f aca="false">Vendor_Invoices_AP!A579</f>
        <v>INV30578</v>
      </c>
      <c r="B582" s="16" t="str">
        <f aca="false">Vendor_Invoices_AP!C579</f>
        <v>V1038</v>
      </c>
      <c r="C582" s="16" t="str">
        <f aca="false">IFERROR(INDEX(Vendor_Master!$B$2:$B$41,MATCH(B582,Vendor_Master!$A$2:$A$41,0)),"Unknown Vendor")</f>
        <v>Rose-Obrien</v>
      </c>
      <c r="D582" s="18" t="n">
        <f aca="false">Vendor_Invoices_AP!E579</f>
        <v>2119.2</v>
      </c>
      <c r="E582" s="16" t="n">
        <f aca="false">COUNTIF(Payment_Log_AP!$B$2:$B$753,A582)</f>
        <v>1</v>
      </c>
      <c r="F582" s="18" t="n">
        <f aca="false">SUMIFS(Payment_Log_AP!$E$2:$E$753,Payment_Log_AP!$B$2:$B$753,A582)</f>
        <v>2119.2</v>
      </c>
      <c r="G582" s="18" t="n">
        <f aca="false">MAX(F582-D582,0)</f>
        <v>0</v>
      </c>
      <c r="H582" s="16" t="str">
        <f aca="false">IF(E582&gt;1,"DUPLICATE - Review",IF(G582&gt;Assumptions!$B$6,"OVERPAID - Review","OK"))</f>
        <v>OK</v>
      </c>
    </row>
    <row r="583" customFormat="false" ht="15" hidden="false" customHeight="false" outlineLevel="0" collapsed="false">
      <c r="A583" s="16" t="str">
        <f aca="false">Vendor_Invoices_AP!A580</f>
        <v>INV30579</v>
      </c>
      <c r="B583" s="16" t="str">
        <f aca="false">Vendor_Invoices_AP!C580</f>
        <v>V1015</v>
      </c>
      <c r="C583" s="16" t="str">
        <f aca="false">IFERROR(INDEX(Vendor_Master!$B$2:$B$41,MATCH(B583,Vendor_Master!$A$2:$A$41,0)),"Unknown Vendor")</f>
        <v>Zuniga, Wong and Lynch</v>
      </c>
      <c r="D583" s="18" t="n">
        <f aca="false">Vendor_Invoices_AP!E580</f>
        <v>202.78</v>
      </c>
      <c r="E583" s="16" t="n">
        <f aca="false">COUNTIF(Payment_Log_AP!$B$2:$B$753,A583)</f>
        <v>1</v>
      </c>
      <c r="F583" s="18" t="n">
        <f aca="false">SUMIFS(Payment_Log_AP!$E$2:$E$753,Payment_Log_AP!$B$2:$B$753,A583)</f>
        <v>202.78</v>
      </c>
      <c r="G583" s="18" t="n">
        <f aca="false">MAX(F583-D583,0)</f>
        <v>0</v>
      </c>
      <c r="H583" s="16" t="str">
        <f aca="false">IF(E583&gt;1,"DUPLICATE - Review",IF(G583&gt;Assumptions!$B$6,"OVERPAID - Review","OK"))</f>
        <v>OK</v>
      </c>
    </row>
    <row r="584" customFormat="false" ht="15" hidden="false" customHeight="false" outlineLevel="0" collapsed="false">
      <c r="A584" s="16" t="str">
        <f aca="false">Vendor_Invoices_AP!A581</f>
        <v>INV30580</v>
      </c>
      <c r="B584" s="16" t="str">
        <f aca="false">Vendor_Invoices_AP!C581</f>
        <v>V1023</v>
      </c>
      <c r="C584" s="16" t="str">
        <f aca="false">IFERROR(INDEX(Vendor_Master!$B$2:$B$41,MATCH(B584,Vendor_Master!$A$2:$A$41,0)),"Unknown Vendor")</f>
        <v>Robinson-Bright</v>
      </c>
      <c r="D584" s="18" t="n">
        <f aca="false">Vendor_Invoices_AP!E581</f>
        <v>1869.57</v>
      </c>
      <c r="E584" s="16" t="n">
        <f aca="false">COUNTIF(Payment_Log_AP!$B$2:$B$753,A584)</f>
        <v>1</v>
      </c>
      <c r="F584" s="18" t="n">
        <f aca="false">SUMIFS(Payment_Log_AP!$E$2:$E$753,Payment_Log_AP!$B$2:$B$753,A584)</f>
        <v>1869.57</v>
      </c>
      <c r="G584" s="18" t="n">
        <f aca="false">MAX(F584-D584,0)</f>
        <v>0</v>
      </c>
      <c r="H584" s="16" t="str">
        <f aca="false">IF(E584&gt;1,"DUPLICATE - Review",IF(G584&gt;Assumptions!$B$6,"OVERPAID - Review","OK"))</f>
        <v>OK</v>
      </c>
    </row>
    <row r="585" customFormat="false" ht="15" hidden="false" customHeight="false" outlineLevel="0" collapsed="false">
      <c r="A585" s="16" t="str">
        <f aca="false">Vendor_Invoices_AP!A582</f>
        <v>INV30581</v>
      </c>
      <c r="B585" s="16" t="str">
        <f aca="false">Vendor_Invoices_AP!C582</f>
        <v>V1012</v>
      </c>
      <c r="C585" s="16" t="str">
        <f aca="false">IFERROR(INDEX(Vendor_Master!$B$2:$B$41,MATCH(B585,Vendor_Master!$A$2:$A$41,0)),"Unknown Vendor")</f>
        <v>Stanley LLC</v>
      </c>
      <c r="D585" s="18" t="n">
        <f aca="false">Vendor_Invoices_AP!E582</f>
        <v>1002.81</v>
      </c>
      <c r="E585" s="16" t="n">
        <f aca="false">COUNTIF(Payment_Log_AP!$B$2:$B$753,A585)</f>
        <v>1</v>
      </c>
      <c r="F585" s="18" t="n">
        <f aca="false">SUMIFS(Payment_Log_AP!$E$2:$E$753,Payment_Log_AP!$B$2:$B$753,A585)</f>
        <v>1002.81</v>
      </c>
      <c r="G585" s="18" t="n">
        <f aca="false">MAX(F585-D585,0)</f>
        <v>0</v>
      </c>
      <c r="H585" s="16" t="str">
        <f aca="false">IF(E585&gt;1,"DUPLICATE - Review",IF(G585&gt;Assumptions!$B$6,"OVERPAID - Review","OK"))</f>
        <v>OK</v>
      </c>
    </row>
    <row r="586" customFormat="false" ht="15" hidden="false" customHeight="false" outlineLevel="0" collapsed="false">
      <c r="A586" s="16" t="str">
        <f aca="false">Vendor_Invoices_AP!A583</f>
        <v>INV30582</v>
      </c>
      <c r="B586" s="16" t="str">
        <f aca="false">Vendor_Invoices_AP!C583</f>
        <v>V1019</v>
      </c>
      <c r="C586" s="16" t="str">
        <f aca="false">IFERROR(INDEX(Vendor_Master!$B$2:$B$41,MATCH(B586,Vendor_Master!$A$2:$A$41,0)),"Unknown Vendor")</f>
        <v>Clark PLC</v>
      </c>
      <c r="D586" s="18" t="n">
        <f aca="false">Vendor_Invoices_AP!E583</f>
        <v>829.86</v>
      </c>
      <c r="E586" s="16" t="n">
        <f aca="false">COUNTIF(Payment_Log_AP!$B$2:$B$753,A586)</f>
        <v>1</v>
      </c>
      <c r="F586" s="18" t="n">
        <f aca="false">SUMIFS(Payment_Log_AP!$E$2:$E$753,Payment_Log_AP!$B$2:$B$753,A586)</f>
        <v>829.86</v>
      </c>
      <c r="G586" s="18" t="n">
        <f aca="false">MAX(F586-D586,0)</f>
        <v>0</v>
      </c>
      <c r="H586" s="16" t="str">
        <f aca="false">IF(E586&gt;1,"DUPLICATE - Review",IF(G586&gt;Assumptions!$B$6,"OVERPAID - Review","OK"))</f>
        <v>OK</v>
      </c>
    </row>
    <row r="587" customFormat="false" ht="15" hidden="false" customHeight="false" outlineLevel="0" collapsed="false">
      <c r="A587" s="16" t="str">
        <f aca="false">Vendor_Invoices_AP!A584</f>
        <v>INV30583</v>
      </c>
      <c r="B587" s="16" t="str">
        <f aca="false">Vendor_Invoices_AP!C584</f>
        <v>V1038</v>
      </c>
      <c r="C587" s="16" t="str">
        <f aca="false">IFERROR(INDEX(Vendor_Master!$B$2:$B$41,MATCH(B587,Vendor_Master!$A$2:$A$41,0)),"Unknown Vendor")</f>
        <v>Rose-Obrien</v>
      </c>
      <c r="D587" s="18" t="n">
        <f aca="false">Vendor_Invoices_AP!E584</f>
        <v>1964.42</v>
      </c>
      <c r="E587" s="16" t="n">
        <f aca="false">COUNTIF(Payment_Log_AP!$B$2:$B$753,A587)</f>
        <v>0</v>
      </c>
      <c r="F587" s="18" t="n">
        <f aca="false">SUMIFS(Payment_Log_AP!$E$2:$E$753,Payment_Log_AP!$B$2:$B$753,A587)</f>
        <v>0</v>
      </c>
      <c r="G587" s="18" t="n">
        <f aca="false">MAX(F587-D587,0)</f>
        <v>0</v>
      </c>
      <c r="H587" s="16" t="str">
        <f aca="false">IF(E587&gt;1,"DUPLICATE - Review",IF(G587&gt;Assumptions!$B$6,"OVERPAID - Review","OK"))</f>
        <v>OK</v>
      </c>
    </row>
    <row r="588" customFormat="false" ht="15" hidden="false" customHeight="false" outlineLevel="0" collapsed="false">
      <c r="A588" s="16" t="str">
        <f aca="false">Vendor_Invoices_AP!A585</f>
        <v>INV30584</v>
      </c>
      <c r="B588" s="16" t="str">
        <f aca="false">Vendor_Invoices_AP!C585</f>
        <v>V1028</v>
      </c>
      <c r="C588" s="16" t="str">
        <f aca="false">IFERROR(INDEX(Vendor_Master!$B$2:$B$41,MATCH(B588,Vendor_Master!$A$2:$A$41,0)),"Unknown Vendor")</f>
        <v>Potter, Mack and Peterson</v>
      </c>
      <c r="D588" s="18" t="n">
        <f aca="false">Vendor_Invoices_AP!E585</f>
        <v>3096.07</v>
      </c>
      <c r="E588" s="16" t="n">
        <f aca="false">COUNTIF(Payment_Log_AP!$B$2:$B$753,A588)</f>
        <v>1</v>
      </c>
      <c r="F588" s="18" t="n">
        <f aca="false">SUMIFS(Payment_Log_AP!$E$2:$E$753,Payment_Log_AP!$B$2:$B$753,A588)</f>
        <v>3096.07</v>
      </c>
      <c r="G588" s="18" t="n">
        <f aca="false">MAX(F588-D588,0)</f>
        <v>0</v>
      </c>
      <c r="H588" s="16" t="str">
        <f aca="false">IF(E588&gt;1,"DUPLICATE - Review",IF(G588&gt;Assumptions!$B$6,"OVERPAID - Review","OK"))</f>
        <v>OK</v>
      </c>
    </row>
    <row r="589" customFormat="false" ht="15" hidden="false" customHeight="false" outlineLevel="0" collapsed="false">
      <c r="A589" s="16" t="str">
        <f aca="false">Vendor_Invoices_AP!A586</f>
        <v>INV30585</v>
      </c>
      <c r="B589" s="16" t="str">
        <f aca="false">Vendor_Invoices_AP!C586</f>
        <v>V1021</v>
      </c>
      <c r="C589" s="16" t="str">
        <f aca="false">IFERROR(INDEX(Vendor_Master!$B$2:$B$41,MATCH(B589,Vendor_Master!$A$2:$A$41,0)),"Unknown Vendor")</f>
        <v>Ellis, Baker and Wright</v>
      </c>
      <c r="D589" s="18" t="n">
        <f aca="false">Vendor_Invoices_AP!E586</f>
        <v>1700.5</v>
      </c>
      <c r="E589" s="16" t="n">
        <f aca="false">COUNTIF(Payment_Log_AP!$B$2:$B$753,A589)</f>
        <v>0</v>
      </c>
      <c r="F589" s="18" t="n">
        <f aca="false">SUMIFS(Payment_Log_AP!$E$2:$E$753,Payment_Log_AP!$B$2:$B$753,A589)</f>
        <v>0</v>
      </c>
      <c r="G589" s="18" t="n">
        <f aca="false">MAX(F589-D589,0)</f>
        <v>0</v>
      </c>
      <c r="H589" s="16" t="str">
        <f aca="false">IF(E589&gt;1,"DUPLICATE - Review",IF(G589&gt;Assumptions!$B$6,"OVERPAID - Review","OK"))</f>
        <v>OK</v>
      </c>
    </row>
    <row r="590" customFormat="false" ht="15" hidden="false" customHeight="false" outlineLevel="0" collapsed="false">
      <c r="A590" s="16" t="str">
        <f aca="false">Vendor_Invoices_AP!A587</f>
        <v>INV30586</v>
      </c>
      <c r="B590" s="16" t="str">
        <f aca="false">Vendor_Invoices_AP!C587</f>
        <v>V1003</v>
      </c>
      <c r="C590" s="16" t="str">
        <f aca="false">IFERROR(INDEX(Vendor_Master!$B$2:$B$41,MATCH(B590,Vendor_Master!$A$2:$A$41,0)),"Unknown Vendor")</f>
        <v>Johnson and Sons</v>
      </c>
      <c r="D590" s="18" t="n">
        <f aca="false">Vendor_Invoices_AP!E587</f>
        <v>1462.27</v>
      </c>
      <c r="E590" s="16" t="n">
        <f aca="false">COUNTIF(Payment_Log_AP!$B$2:$B$753,A590)</f>
        <v>1</v>
      </c>
      <c r="F590" s="18" t="n">
        <f aca="false">SUMIFS(Payment_Log_AP!$E$2:$E$753,Payment_Log_AP!$B$2:$B$753,A590)</f>
        <v>1462.27</v>
      </c>
      <c r="G590" s="18" t="n">
        <f aca="false">MAX(F590-D590,0)</f>
        <v>0</v>
      </c>
      <c r="H590" s="16" t="str">
        <f aca="false">IF(E590&gt;1,"DUPLICATE - Review",IF(G590&gt;Assumptions!$B$6,"OVERPAID - Review","OK"))</f>
        <v>OK</v>
      </c>
    </row>
    <row r="591" customFormat="false" ht="15" hidden="false" customHeight="false" outlineLevel="0" collapsed="false">
      <c r="A591" s="16" t="str">
        <f aca="false">Vendor_Invoices_AP!A588</f>
        <v>INV30587</v>
      </c>
      <c r="B591" s="16" t="str">
        <f aca="false">Vendor_Invoices_AP!C588</f>
        <v>V1023</v>
      </c>
      <c r="C591" s="16" t="str">
        <f aca="false">IFERROR(INDEX(Vendor_Master!$B$2:$B$41,MATCH(B591,Vendor_Master!$A$2:$A$41,0)),"Unknown Vendor")</f>
        <v>Robinson-Bright</v>
      </c>
      <c r="D591" s="18" t="n">
        <f aca="false">Vendor_Invoices_AP!E588</f>
        <v>1476.77</v>
      </c>
      <c r="E591" s="16" t="n">
        <f aca="false">COUNTIF(Payment_Log_AP!$B$2:$B$753,A591)</f>
        <v>1</v>
      </c>
      <c r="F591" s="18" t="n">
        <f aca="false">SUMIFS(Payment_Log_AP!$E$2:$E$753,Payment_Log_AP!$B$2:$B$753,A591)</f>
        <v>1476.77</v>
      </c>
      <c r="G591" s="18" t="n">
        <f aca="false">MAX(F591-D591,0)</f>
        <v>0</v>
      </c>
      <c r="H591" s="16" t="str">
        <f aca="false">IF(E591&gt;1,"DUPLICATE - Review",IF(G591&gt;Assumptions!$B$6,"OVERPAID - Review","OK"))</f>
        <v>OK</v>
      </c>
    </row>
    <row r="592" customFormat="false" ht="15" hidden="false" customHeight="false" outlineLevel="0" collapsed="false">
      <c r="A592" s="16" t="str">
        <f aca="false">Vendor_Invoices_AP!A589</f>
        <v>INV30588</v>
      </c>
      <c r="B592" s="16" t="str">
        <f aca="false">Vendor_Invoices_AP!C589</f>
        <v>V1036</v>
      </c>
      <c r="C592" s="16" t="str">
        <f aca="false">IFERROR(INDEX(Vendor_Master!$B$2:$B$41,MATCH(B592,Vendor_Master!$A$2:$A$41,0)),"Unknown Vendor")</f>
        <v>Dennis Inc</v>
      </c>
      <c r="D592" s="18" t="n">
        <f aca="false">Vendor_Invoices_AP!E589</f>
        <v>3152.95</v>
      </c>
      <c r="E592" s="16" t="n">
        <f aca="false">COUNTIF(Payment_Log_AP!$B$2:$B$753,A592)</f>
        <v>1</v>
      </c>
      <c r="F592" s="18" t="n">
        <f aca="false">SUMIFS(Payment_Log_AP!$E$2:$E$753,Payment_Log_AP!$B$2:$B$753,A592)</f>
        <v>3152.95</v>
      </c>
      <c r="G592" s="18" t="n">
        <f aca="false">MAX(F592-D592,0)</f>
        <v>0</v>
      </c>
      <c r="H592" s="16" t="str">
        <f aca="false">IF(E592&gt;1,"DUPLICATE - Review",IF(G592&gt;Assumptions!$B$6,"OVERPAID - Review","OK"))</f>
        <v>OK</v>
      </c>
    </row>
    <row r="593" customFormat="false" ht="15" hidden="false" customHeight="false" outlineLevel="0" collapsed="false">
      <c r="A593" s="16" t="str">
        <f aca="false">Vendor_Invoices_AP!A590</f>
        <v>INV30589</v>
      </c>
      <c r="B593" s="16" t="str">
        <f aca="false">Vendor_Invoices_AP!C590</f>
        <v>V1003</v>
      </c>
      <c r="C593" s="16" t="str">
        <f aca="false">IFERROR(INDEX(Vendor_Master!$B$2:$B$41,MATCH(B593,Vendor_Master!$A$2:$A$41,0)),"Unknown Vendor")</f>
        <v>Johnson and Sons</v>
      </c>
      <c r="D593" s="18" t="n">
        <f aca="false">Vendor_Invoices_AP!E590</f>
        <v>3405.2</v>
      </c>
      <c r="E593" s="16" t="n">
        <f aca="false">COUNTIF(Payment_Log_AP!$B$2:$B$753,A593)</f>
        <v>1</v>
      </c>
      <c r="F593" s="18" t="n">
        <f aca="false">SUMIFS(Payment_Log_AP!$E$2:$E$753,Payment_Log_AP!$B$2:$B$753,A593)</f>
        <v>3405.2</v>
      </c>
      <c r="G593" s="18" t="n">
        <f aca="false">MAX(F593-D593,0)</f>
        <v>0</v>
      </c>
      <c r="H593" s="16" t="str">
        <f aca="false">IF(E593&gt;1,"DUPLICATE - Review",IF(G593&gt;Assumptions!$B$6,"OVERPAID - Review","OK"))</f>
        <v>OK</v>
      </c>
    </row>
    <row r="594" customFormat="false" ht="15" hidden="false" customHeight="false" outlineLevel="0" collapsed="false">
      <c r="A594" s="16" t="str">
        <f aca="false">Vendor_Invoices_AP!A591</f>
        <v>INV30590</v>
      </c>
      <c r="B594" s="16" t="str">
        <f aca="false">Vendor_Invoices_AP!C591</f>
        <v>V1013</v>
      </c>
      <c r="C594" s="16" t="str">
        <f aca="false">IFERROR(INDEX(Vendor_Master!$B$2:$B$41,MATCH(B594,Vendor_Master!$A$2:$A$41,0)),"Unknown Vendor")</f>
        <v>Delacruz Group</v>
      </c>
      <c r="D594" s="18" t="n">
        <f aca="false">Vendor_Invoices_AP!E591</f>
        <v>290.16</v>
      </c>
      <c r="E594" s="16" t="n">
        <f aca="false">COUNTIF(Payment_Log_AP!$B$2:$B$753,A594)</f>
        <v>1</v>
      </c>
      <c r="F594" s="18" t="n">
        <f aca="false">SUMIFS(Payment_Log_AP!$E$2:$E$753,Payment_Log_AP!$B$2:$B$753,A594)</f>
        <v>290.16</v>
      </c>
      <c r="G594" s="18" t="n">
        <f aca="false">MAX(F594-D594,0)</f>
        <v>0</v>
      </c>
      <c r="H594" s="16" t="str">
        <f aca="false">IF(E594&gt;1,"DUPLICATE - Review",IF(G594&gt;Assumptions!$B$6,"OVERPAID - Review","OK"))</f>
        <v>OK</v>
      </c>
    </row>
    <row r="595" customFormat="false" ht="15" hidden="false" customHeight="false" outlineLevel="0" collapsed="false">
      <c r="A595" s="16" t="str">
        <f aca="false">Vendor_Invoices_AP!A592</f>
        <v>INV30591</v>
      </c>
      <c r="B595" s="16" t="str">
        <f aca="false">Vendor_Invoices_AP!C592</f>
        <v>V1030</v>
      </c>
      <c r="C595" s="16" t="str">
        <f aca="false">IFERROR(INDEX(Vendor_Master!$B$2:$B$41,MATCH(B595,Vendor_Master!$A$2:$A$41,0)),"Unknown Vendor")</f>
        <v>Stanton-Gill</v>
      </c>
      <c r="D595" s="18" t="n">
        <f aca="false">Vendor_Invoices_AP!E592</f>
        <v>3177.82</v>
      </c>
      <c r="E595" s="16" t="n">
        <f aca="false">COUNTIF(Payment_Log_AP!$B$2:$B$753,A595)</f>
        <v>1</v>
      </c>
      <c r="F595" s="18" t="n">
        <f aca="false">SUMIFS(Payment_Log_AP!$E$2:$E$753,Payment_Log_AP!$B$2:$B$753,A595)</f>
        <v>3177.82</v>
      </c>
      <c r="G595" s="18" t="n">
        <f aca="false">MAX(F595-D595,0)</f>
        <v>0</v>
      </c>
      <c r="H595" s="16" t="str">
        <f aca="false">IF(E595&gt;1,"DUPLICATE - Review",IF(G595&gt;Assumptions!$B$6,"OVERPAID - Review","OK"))</f>
        <v>OK</v>
      </c>
    </row>
    <row r="596" customFormat="false" ht="15" hidden="false" customHeight="false" outlineLevel="0" collapsed="false">
      <c r="A596" s="16" t="str">
        <f aca="false">Vendor_Invoices_AP!A593</f>
        <v>INV30592</v>
      </c>
      <c r="B596" s="16" t="str">
        <f aca="false">Vendor_Invoices_AP!C593</f>
        <v>V1012</v>
      </c>
      <c r="C596" s="16" t="str">
        <f aca="false">IFERROR(INDEX(Vendor_Master!$B$2:$B$41,MATCH(B596,Vendor_Master!$A$2:$A$41,0)),"Unknown Vendor")</f>
        <v>Stanley LLC</v>
      </c>
      <c r="D596" s="18" t="n">
        <f aca="false">Vendor_Invoices_AP!E593</f>
        <v>723.11</v>
      </c>
      <c r="E596" s="16" t="n">
        <f aca="false">COUNTIF(Payment_Log_AP!$B$2:$B$753,A596)</f>
        <v>0</v>
      </c>
      <c r="F596" s="18" t="n">
        <f aca="false">SUMIFS(Payment_Log_AP!$E$2:$E$753,Payment_Log_AP!$B$2:$B$753,A596)</f>
        <v>0</v>
      </c>
      <c r="G596" s="18" t="n">
        <f aca="false">MAX(F596-D596,0)</f>
        <v>0</v>
      </c>
      <c r="H596" s="16" t="str">
        <f aca="false">IF(E596&gt;1,"DUPLICATE - Review",IF(G596&gt;Assumptions!$B$6,"OVERPAID - Review","OK"))</f>
        <v>OK</v>
      </c>
    </row>
    <row r="597" customFormat="false" ht="15" hidden="false" customHeight="false" outlineLevel="0" collapsed="false">
      <c r="A597" s="16" t="str">
        <f aca="false">Vendor_Invoices_AP!A594</f>
        <v>INV30593</v>
      </c>
      <c r="B597" s="16" t="str">
        <f aca="false">Vendor_Invoices_AP!C594</f>
        <v>V1009</v>
      </c>
      <c r="C597" s="16" t="str">
        <f aca="false">IFERROR(INDEX(Vendor_Master!$B$2:$B$41,MATCH(B597,Vendor_Master!$A$2:$A$41,0)),"Unknown Vendor")</f>
        <v>Munoz-Roman</v>
      </c>
      <c r="D597" s="18" t="n">
        <f aca="false">Vendor_Invoices_AP!E594</f>
        <v>2363.54</v>
      </c>
      <c r="E597" s="16" t="n">
        <f aca="false">COUNTIF(Payment_Log_AP!$B$2:$B$753,A597)</f>
        <v>1</v>
      </c>
      <c r="F597" s="18" t="n">
        <f aca="false">SUMIFS(Payment_Log_AP!$E$2:$E$753,Payment_Log_AP!$B$2:$B$753,A597)</f>
        <v>2363.54</v>
      </c>
      <c r="G597" s="18" t="n">
        <f aca="false">MAX(F597-D597,0)</f>
        <v>0</v>
      </c>
      <c r="H597" s="16" t="str">
        <f aca="false">IF(E597&gt;1,"DUPLICATE - Review",IF(G597&gt;Assumptions!$B$6,"OVERPAID - Review","OK"))</f>
        <v>OK</v>
      </c>
    </row>
    <row r="598" customFormat="false" ht="15" hidden="false" customHeight="false" outlineLevel="0" collapsed="false">
      <c r="A598" s="16" t="str">
        <f aca="false">Vendor_Invoices_AP!A595</f>
        <v>INV30594</v>
      </c>
      <c r="B598" s="16" t="str">
        <f aca="false">Vendor_Invoices_AP!C595</f>
        <v>V1006</v>
      </c>
      <c r="C598" s="16" t="str">
        <f aca="false">IFERROR(INDEX(Vendor_Master!$B$2:$B$41,MATCH(B598,Vendor_Master!$A$2:$A$41,0)),"Unknown Vendor")</f>
        <v>Blake and Sons</v>
      </c>
      <c r="D598" s="18" t="n">
        <f aca="false">Vendor_Invoices_AP!E595</f>
        <v>1328.83</v>
      </c>
      <c r="E598" s="16" t="n">
        <f aca="false">COUNTIF(Payment_Log_AP!$B$2:$B$753,A598)</f>
        <v>1</v>
      </c>
      <c r="F598" s="18" t="n">
        <f aca="false">SUMIFS(Payment_Log_AP!$E$2:$E$753,Payment_Log_AP!$B$2:$B$753,A598)</f>
        <v>1328.83</v>
      </c>
      <c r="G598" s="18" t="n">
        <f aca="false">MAX(F598-D598,0)</f>
        <v>0</v>
      </c>
      <c r="H598" s="16" t="str">
        <f aca="false">IF(E598&gt;1,"DUPLICATE - Review",IF(G598&gt;Assumptions!$B$6,"OVERPAID - Review","OK"))</f>
        <v>OK</v>
      </c>
    </row>
    <row r="599" customFormat="false" ht="15" hidden="false" customHeight="false" outlineLevel="0" collapsed="false">
      <c r="A599" s="16" t="str">
        <f aca="false">Vendor_Invoices_AP!A596</f>
        <v>INV30595</v>
      </c>
      <c r="B599" s="16" t="str">
        <f aca="false">Vendor_Invoices_AP!C596</f>
        <v>V1020</v>
      </c>
      <c r="C599" s="16" t="str">
        <f aca="false">IFERROR(INDEX(Vendor_Master!$B$2:$B$41,MATCH(B599,Vendor_Master!$A$2:$A$41,0)),"Unknown Vendor")</f>
        <v>Lewis-Porter</v>
      </c>
      <c r="D599" s="18" t="n">
        <f aca="false">Vendor_Invoices_AP!E596</f>
        <v>940.45</v>
      </c>
      <c r="E599" s="16" t="n">
        <f aca="false">COUNTIF(Payment_Log_AP!$B$2:$B$753,A599)</f>
        <v>1</v>
      </c>
      <c r="F599" s="18" t="n">
        <f aca="false">SUMIFS(Payment_Log_AP!$E$2:$E$753,Payment_Log_AP!$B$2:$B$753,A599)</f>
        <v>940.45</v>
      </c>
      <c r="G599" s="18" t="n">
        <f aca="false">MAX(F599-D599,0)</f>
        <v>0</v>
      </c>
      <c r="H599" s="16" t="str">
        <f aca="false">IF(E599&gt;1,"DUPLICATE - Review",IF(G599&gt;Assumptions!$B$6,"OVERPAID - Review","OK"))</f>
        <v>OK</v>
      </c>
    </row>
    <row r="600" customFormat="false" ht="15" hidden="false" customHeight="false" outlineLevel="0" collapsed="false">
      <c r="A600" s="16" t="str">
        <f aca="false">Vendor_Invoices_AP!A597</f>
        <v>INV30596</v>
      </c>
      <c r="B600" s="16" t="str">
        <f aca="false">Vendor_Invoices_AP!C597</f>
        <v>V1036</v>
      </c>
      <c r="C600" s="16" t="str">
        <f aca="false">IFERROR(INDEX(Vendor_Master!$B$2:$B$41,MATCH(B600,Vendor_Master!$A$2:$A$41,0)),"Unknown Vendor")</f>
        <v>Dennis Inc</v>
      </c>
      <c r="D600" s="18" t="n">
        <f aca="false">Vendor_Invoices_AP!E597</f>
        <v>3318.83</v>
      </c>
      <c r="E600" s="16" t="n">
        <f aca="false">COUNTIF(Payment_Log_AP!$B$2:$B$753,A600)</f>
        <v>1</v>
      </c>
      <c r="F600" s="18" t="n">
        <f aca="false">SUMIFS(Payment_Log_AP!$E$2:$E$753,Payment_Log_AP!$B$2:$B$753,A600)</f>
        <v>3318.83</v>
      </c>
      <c r="G600" s="18" t="n">
        <f aca="false">MAX(F600-D600,0)</f>
        <v>0</v>
      </c>
      <c r="H600" s="16" t="str">
        <f aca="false">IF(E600&gt;1,"DUPLICATE - Review",IF(G600&gt;Assumptions!$B$6,"OVERPAID - Review","OK"))</f>
        <v>OK</v>
      </c>
    </row>
    <row r="601" customFormat="false" ht="15" hidden="false" customHeight="false" outlineLevel="0" collapsed="false">
      <c r="A601" s="16" t="str">
        <f aca="false">Vendor_Invoices_AP!A598</f>
        <v>INV30597</v>
      </c>
      <c r="B601" s="16" t="str">
        <f aca="false">Vendor_Invoices_AP!C598</f>
        <v>V1007</v>
      </c>
      <c r="C601" s="16" t="str">
        <f aca="false">IFERROR(INDEX(Vendor_Master!$B$2:$B$41,MATCH(B601,Vendor_Master!$A$2:$A$41,0)),"Unknown Vendor")</f>
        <v>Ramirez-Lewis</v>
      </c>
      <c r="D601" s="18" t="n">
        <f aca="false">Vendor_Invoices_AP!E598</f>
        <v>2949.36</v>
      </c>
      <c r="E601" s="16" t="n">
        <f aca="false">COUNTIF(Payment_Log_AP!$B$2:$B$753,A601)</f>
        <v>1</v>
      </c>
      <c r="F601" s="18" t="n">
        <f aca="false">SUMIFS(Payment_Log_AP!$E$2:$E$753,Payment_Log_AP!$B$2:$B$753,A601)</f>
        <v>2949.36</v>
      </c>
      <c r="G601" s="18" t="n">
        <f aca="false">MAX(F601-D601,0)</f>
        <v>0</v>
      </c>
      <c r="H601" s="16" t="str">
        <f aca="false">IF(E601&gt;1,"DUPLICATE - Review",IF(G601&gt;Assumptions!$B$6,"OVERPAID - Review","OK"))</f>
        <v>OK</v>
      </c>
    </row>
    <row r="602" customFormat="false" ht="15" hidden="false" customHeight="false" outlineLevel="0" collapsed="false">
      <c r="A602" s="16" t="str">
        <f aca="false">Vendor_Invoices_AP!A599</f>
        <v>INV30598</v>
      </c>
      <c r="B602" s="16" t="str">
        <f aca="false">Vendor_Invoices_AP!C599</f>
        <v>V1008</v>
      </c>
      <c r="C602" s="16" t="str">
        <f aca="false">IFERROR(INDEX(Vendor_Master!$B$2:$B$41,MATCH(B602,Vendor_Master!$A$2:$A$41,0)),"Unknown Vendor")</f>
        <v>Davis Inc</v>
      </c>
      <c r="D602" s="18" t="n">
        <f aca="false">Vendor_Invoices_AP!E599</f>
        <v>1733.53</v>
      </c>
      <c r="E602" s="16" t="n">
        <f aca="false">COUNTIF(Payment_Log_AP!$B$2:$B$753,A602)</f>
        <v>1</v>
      </c>
      <c r="F602" s="18" t="n">
        <f aca="false">SUMIFS(Payment_Log_AP!$E$2:$E$753,Payment_Log_AP!$B$2:$B$753,A602)</f>
        <v>1733.53</v>
      </c>
      <c r="G602" s="18" t="n">
        <f aca="false">MAX(F602-D602,0)</f>
        <v>0</v>
      </c>
      <c r="H602" s="16" t="str">
        <f aca="false">IF(E602&gt;1,"DUPLICATE - Review",IF(G602&gt;Assumptions!$B$6,"OVERPAID - Review","OK"))</f>
        <v>OK</v>
      </c>
    </row>
    <row r="603" customFormat="false" ht="15" hidden="false" customHeight="false" outlineLevel="0" collapsed="false">
      <c r="A603" s="16" t="str">
        <f aca="false">Vendor_Invoices_AP!A600</f>
        <v>INV30599</v>
      </c>
      <c r="B603" s="16" t="str">
        <f aca="false">Vendor_Invoices_AP!C600</f>
        <v>V1035</v>
      </c>
      <c r="C603" s="16" t="str">
        <f aca="false">IFERROR(INDEX(Vendor_Master!$B$2:$B$41,MATCH(B603,Vendor_Master!$A$2:$A$41,0)),"Unknown Vendor")</f>
        <v>Allen PLC</v>
      </c>
      <c r="D603" s="18" t="n">
        <f aca="false">Vendor_Invoices_AP!E600</f>
        <v>2308.67</v>
      </c>
      <c r="E603" s="16" t="n">
        <f aca="false">COUNTIF(Payment_Log_AP!$B$2:$B$753,A603)</f>
        <v>1</v>
      </c>
      <c r="F603" s="18" t="n">
        <f aca="false">SUMIFS(Payment_Log_AP!$E$2:$E$753,Payment_Log_AP!$B$2:$B$753,A603)</f>
        <v>2308.67</v>
      </c>
      <c r="G603" s="18" t="n">
        <f aca="false">MAX(F603-D603,0)</f>
        <v>0</v>
      </c>
      <c r="H603" s="16" t="str">
        <f aca="false">IF(E603&gt;1,"DUPLICATE - Review",IF(G603&gt;Assumptions!$B$6,"OVERPAID - Review","OK"))</f>
        <v>OK</v>
      </c>
    </row>
    <row r="604" customFormat="false" ht="15" hidden="false" customHeight="false" outlineLevel="0" collapsed="false">
      <c r="A604" s="16" t="str">
        <f aca="false">Vendor_Invoices_AP!A601</f>
        <v>INV30600</v>
      </c>
      <c r="B604" s="16" t="str">
        <f aca="false">Vendor_Invoices_AP!C601</f>
        <v>V1029</v>
      </c>
      <c r="C604" s="16" t="str">
        <f aca="false">IFERROR(INDEX(Vendor_Master!$B$2:$B$41,MATCH(B604,Vendor_Master!$A$2:$A$41,0)),"Unknown Vendor")</f>
        <v>Chavez Ltd</v>
      </c>
      <c r="D604" s="18" t="n">
        <f aca="false">Vendor_Invoices_AP!E601</f>
        <v>3697.76</v>
      </c>
      <c r="E604" s="16" t="n">
        <f aca="false">COUNTIF(Payment_Log_AP!$B$2:$B$753,A604)</f>
        <v>1</v>
      </c>
      <c r="F604" s="18" t="n">
        <f aca="false">SUMIFS(Payment_Log_AP!$E$2:$E$753,Payment_Log_AP!$B$2:$B$753,A604)</f>
        <v>3697.76</v>
      </c>
      <c r="G604" s="18" t="n">
        <f aca="false">MAX(F604-D604,0)</f>
        <v>0</v>
      </c>
      <c r="H604" s="16" t="str">
        <f aca="false">IF(E604&gt;1,"DUPLICATE - Review",IF(G604&gt;Assumptions!$B$6,"OVERPAID - Review","OK"))</f>
        <v>OK</v>
      </c>
    </row>
    <row r="605" customFormat="false" ht="15" hidden="false" customHeight="false" outlineLevel="0" collapsed="false">
      <c r="A605" s="16" t="str">
        <f aca="false">Vendor_Invoices_AP!A602</f>
        <v>INV30601</v>
      </c>
      <c r="B605" s="16" t="str">
        <f aca="false">Vendor_Invoices_AP!C602</f>
        <v>V1013</v>
      </c>
      <c r="C605" s="16" t="str">
        <f aca="false">IFERROR(INDEX(Vendor_Master!$B$2:$B$41,MATCH(B605,Vendor_Master!$A$2:$A$41,0)),"Unknown Vendor")</f>
        <v>Delacruz Group</v>
      </c>
      <c r="D605" s="18" t="n">
        <f aca="false">Vendor_Invoices_AP!E602</f>
        <v>1532.53</v>
      </c>
      <c r="E605" s="16" t="n">
        <f aca="false">COUNTIF(Payment_Log_AP!$B$2:$B$753,A605)</f>
        <v>1</v>
      </c>
      <c r="F605" s="18" t="n">
        <f aca="false">SUMIFS(Payment_Log_AP!$E$2:$E$753,Payment_Log_AP!$B$2:$B$753,A605)</f>
        <v>1532.53</v>
      </c>
      <c r="G605" s="18" t="n">
        <f aca="false">MAX(F605-D605,0)</f>
        <v>0</v>
      </c>
      <c r="H605" s="16" t="str">
        <f aca="false">IF(E605&gt;1,"DUPLICATE - Review",IF(G605&gt;Assumptions!$B$6,"OVERPAID - Review","OK"))</f>
        <v>OK</v>
      </c>
    </row>
    <row r="606" customFormat="false" ht="15" hidden="false" customHeight="false" outlineLevel="0" collapsed="false">
      <c r="A606" s="16" t="str">
        <f aca="false">Vendor_Invoices_AP!A603</f>
        <v>INV30602</v>
      </c>
      <c r="B606" s="16" t="str">
        <f aca="false">Vendor_Invoices_AP!C603</f>
        <v>V1018</v>
      </c>
      <c r="C606" s="16" t="str">
        <f aca="false">IFERROR(INDEX(Vendor_Master!$B$2:$B$41,MATCH(B606,Vendor_Master!$A$2:$A$41,0)),"Unknown Vendor")</f>
        <v>Underwood LLC</v>
      </c>
      <c r="D606" s="18" t="n">
        <f aca="false">Vendor_Invoices_AP!E603</f>
        <v>354.2</v>
      </c>
      <c r="E606" s="16" t="n">
        <f aca="false">COUNTIF(Payment_Log_AP!$B$2:$B$753,A606)</f>
        <v>1</v>
      </c>
      <c r="F606" s="18" t="n">
        <f aca="false">SUMIFS(Payment_Log_AP!$E$2:$E$753,Payment_Log_AP!$B$2:$B$753,A606)</f>
        <v>354.2</v>
      </c>
      <c r="G606" s="18" t="n">
        <f aca="false">MAX(F606-D606,0)</f>
        <v>0</v>
      </c>
      <c r="H606" s="16" t="str">
        <f aca="false">IF(E606&gt;1,"DUPLICATE - Review",IF(G606&gt;Assumptions!$B$6,"OVERPAID - Review","OK"))</f>
        <v>OK</v>
      </c>
    </row>
    <row r="607" customFormat="false" ht="15" hidden="false" customHeight="false" outlineLevel="0" collapsed="false">
      <c r="A607" s="16" t="str">
        <f aca="false">Vendor_Invoices_AP!A604</f>
        <v>INV30603</v>
      </c>
      <c r="B607" s="16" t="str">
        <f aca="false">Vendor_Invoices_AP!C604</f>
        <v>V1021</v>
      </c>
      <c r="C607" s="16" t="str">
        <f aca="false">IFERROR(INDEX(Vendor_Master!$B$2:$B$41,MATCH(B607,Vendor_Master!$A$2:$A$41,0)),"Unknown Vendor")</f>
        <v>Ellis, Baker and Wright</v>
      </c>
      <c r="D607" s="18" t="n">
        <f aca="false">Vendor_Invoices_AP!E604</f>
        <v>1077.17</v>
      </c>
      <c r="E607" s="16" t="n">
        <f aca="false">COUNTIF(Payment_Log_AP!$B$2:$B$753,A607)</f>
        <v>1</v>
      </c>
      <c r="F607" s="18" t="n">
        <f aca="false">SUMIFS(Payment_Log_AP!$E$2:$E$753,Payment_Log_AP!$B$2:$B$753,A607)</f>
        <v>1077.17</v>
      </c>
      <c r="G607" s="18" t="n">
        <f aca="false">MAX(F607-D607,0)</f>
        <v>0</v>
      </c>
      <c r="H607" s="16" t="str">
        <f aca="false">IF(E607&gt;1,"DUPLICATE - Review",IF(G607&gt;Assumptions!$B$6,"OVERPAID - Review","OK"))</f>
        <v>OK</v>
      </c>
    </row>
    <row r="608" customFormat="false" ht="15" hidden="false" customHeight="false" outlineLevel="0" collapsed="false">
      <c r="A608" s="16" t="str">
        <f aca="false">Vendor_Invoices_AP!A605</f>
        <v>INV30604</v>
      </c>
      <c r="B608" s="16" t="str">
        <f aca="false">Vendor_Invoices_AP!C605</f>
        <v>V1015</v>
      </c>
      <c r="C608" s="16" t="str">
        <f aca="false">IFERROR(INDEX(Vendor_Master!$B$2:$B$41,MATCH(B608,Vendor_Master!$A$2:$A$41,0)),"Unknown Vendor")</f>
        <v>Zuniga, Wong and Lynch</v>
      </c>
      <c r="D608" s="18" t="n">
        <f aca="false">Vendor_Invoices_AP!E605</f>
        <v>968.37</v>
      </c>
      <c r="E608" s="16" t="n">
        <f aca="false">COUNTIF(Payment_Log_AP!$B$2:$B$753,A608)</f>
        <v>1</v>
      </c>
      <c r="F608" s="18" t="n">
        <f aca="false">SUMIFS(Payment_Log_AP!$E$2:$E$753,Payment_Log_AP!$B$2:$B$753,A608)</f>
        <v>968.37</v>
      </c>
      <c r="G608" s="18" t="n">
        <f aca="false">MAX(F608-D608,0)</f>
        <v>0</v>
      </c>
      <c r="H608" s="16" t="str">
        <f aca="false">IF(E608&gt;1,"DUPLICATE - Review",IF(G608&gt;Assumptions!$B$6,"OVERPAID - Review","OK"))</f>
        <v>OK</v>
      </c>
    </row>
    <row r="609" customFormat="false" ht="15" hidden="false" customHeight="false" outlineLevel="0" collapsed="false">
      <c r="A609" s="16" t="str">
        <f aca="false">Vendor_Invoices_AP!A606</f>
        <v>INV30605</v>
      </c>
      <c r="B609" s="16" t="str">
        <f aca="false">Vendor_Invoices_AP!C606</f>
        <v>V1005</v>
      </c>
      <c r="C609" s="16" t="str">
        <f aca="false">IFERROR(INDEX(Vendor_Master!$B$2:$B$41,MATCH(B609,Vendor_Master!$A$2:$A$41,0)),"Unknown Vendor")</f>
        <v>Cole LLC</v>
      </c>
      <c r="D609" s="18" t="n">
        <f aca="false">Vendor_Invoices_AP!E606</f>
        <v>1370.11</v>
      </c>
      <c r="E609" s="16" t="n">
        <f aca="false">COUNTIF(Payment_Log_AP!$B$2:$B$753,A609)</f>
        <v>1</v>
      </c>
      <c r="F609" s="18" t="n">
        <f aca="false">SUMIFS(Payment_Log_AP!$E$2:$E$753,Payment_Log_AP!$B$2:$B$753,A609)</f>
        <v>1370.11</v>
      </c>
      <c r="G609" s="18" t="n">
        <f aca="false">MAX(F609-D609,0)</f>
        <v>0</v>
      </c>
      <c r="H609" s="16" t="str">
        <f aca="false">IF(E609&gt;1,"DUPLICATE - Review",IF(G609&gt;Assumptions!$B$6,"OVERPAID - Review","OK"))</f>
        <v>OK</v>
      </c>
    </row>
    <row r="610" customFormat="false" ht="15" hidden="false" customHeight="false" outlineLevel="0" collapsed="false">
      <c r="A610" s="16" t="str">
        <f aca="false">Vendor_Invoices_AP!A607</f>
        <v>INV30606</v>
      </c>
      <c r="B610" s="16" t="str">
        <f aca="false">Vendor_Invoices_AP!C607</f>
        <v>V1006</v>
      </c>
      <c r="C610" s="16" t="str">
        <f aca="false">IFERROR(INDEX(Vendor_Master!$B$2:$B$41,MATCH(B610,Vendor_Master!$A$2:$A$41,0)),"Unknown Vendor")</f>
        <v>Blake and Sons</v>
      </c>
      <c r="D610" s="18" t="n">
        <f aca="false">Vendor_Invoices_AP!E607</f>
        <v>27454.9</v>
      </c>
      <c r="E610" s="16" t="n">
        <f aca="false">COUNTIF(Payment_Log_AP!$B$2:$B$753,A610)</f>
        <v>0</v>
      </c>
      <c r="F610" s="18" t="n">
        <f aca="false">SUMIFS(Payment_Log_AP!$E$2:$E$753,Payment_Log_AP!$B$2:$B$753,A610)</f>
        <v>0</v>
      </c>
      <c r="G610" s="18" t="n">
        <f aca="false">MAX(F610-D610,0)</f>
        <v>0</v>
      </c>
      <c r="H610" s="16" t="str">
        <f aca="false">IF(E610&gt;1,"DUPLICATE - Review",IF(G610&gt;Assumptions!$B$6,"OVERPAID - Review","OK"))</f>
        <v>OK</v>
      </c>
    </row>
    <row r="611" customFormat="false" ht="15" hidden="false" customHeight="false" outlineLevel="0" collapsed="false">
      <c r="A611" s="16" t="str">
        <f aca="false">Vendor_Invoices_AP!A608</f>
        <v>INV30607</v>
      </c>
      <c r="B611" s="16" t="str">
        <f aca="false">Vendor_Invoices_AP!C608</f>
        <v>V1030</v>
      </c>
      <c r="C611" s="16" t="str">
        <f aca="false">IFERROR(INDEX(Vendor_Master!$B$2:$B$41,MATCH(B611,Vendor_Master!$A$2:$A$41,0)),"Unknown Vendor")</f>
        <v>Stanton-Gill</v>
      </c>
      <c r="D611" s="18" t="n">
        <f aca="false">Vendor_Invoices_AP!E608</f>
        <v>3138.5</v>
      </c>
      <c r="E611" s="16" t="n">
        <f aca="false">COUNTIF(Payment_Log_AP!$B$2:$B$753,A611)</f>
        <v>1</v>
      </c>
      <c r="F611" s="18" t="n">
        <f aca="false">SUMIFS(Payment_Log_AP!$E$2:$E$753,Payment_Log_AP!$B$2:$B$753,A611)</f>
        <v>3138.5</v>
      </c>
      <c r="G611" s="18" t="n">
        <f aca="false">MAX(F611-D611,0)</f>
        <v>0</v>
      </c>
      <c r="H611" s="16" t="str">
        <f aca="false">IF(E611&gt;1,"DUPLICATE - Review",IF(G611&gt;Assumptions!$B$6,"OVERPAID - Review","OK"))</f>
        <v>OK</v>
      </c>
    </row>
    <row r="612" customFormat="false" ht="15" hidden="false" customHeight="false" outlineLevel="0" collapsed="false">
      <c r="A612" s="16" t="str">
        <f aca="false">Vendor_Invoices_AP!A609</f>
        <v>INV30608</v>
      </c>
      <c r="B612" s="16" t="str">
        <f aca="false">Vendor_Invoices_AP!C609</f>
        <v>V1011</v>
      </c>
      <c r="C612" s="16" t="str">
        <f aca="false">IFERROR(INDEX(Vendor_Master!$B$2:$B$41,MATCH(B612,Vendor_Master!$A$2:$A$41,0)),"Unknown Vendor")</f>
        <v>Montgomery, Hensley and Ray</v>
      </c>
      <c r="D612" s="18" t="n">
        <f aca="false">Vendor_Invoices_AP!E609</f>
        <v>4085.56</v>
      </c>
      <c r="E612" s="16" t="n">
        <f aca="false">COUNTIF(Payment_Log_AP!$B$2:$B$753,A612)</f>
        <v>1</v>
      </c>
      <c r="F612" s="18" t="n">
        <f aca="false">SUMIFS(Payment_Log_AP!$E$2:$E$753,Payment_Log_AP!$B$2:$B$753,A612)</f>
        <v>4085.56</v>
      </c>
      <c r="G612" s="18" t="n">
        <f aca="false">MAX(F612-D612,0)</f>
        <v>0</v>
      </c>
      <c r="H612" s="16" t="str">
        <f aca="false">IF(E612&gt;1,"DUPLICATE - Review",IF(G612&gt;Assumptions!$B$6,"OVERPAID - Review","OK"))</f>
        <v>OK</v>
      </c>
    </row>
    <row r="613" customFormat="false" ht="15" hidden="false" customHeight="false" outlineLevel="0" collapsed="false">
      <c r="A613" s="16" t="str">
        <f aca="false">Vendor_Invoices_AP!A610</f>
        <v>INV30609</v>
      </c>
      <c r="B613" s="16" t="str">
        <f aca="false">Vendor_Invoices_AP!C610</f>
        <v>V1001</v>
      </c>
      <c r="C613" s="16" t="str">
        <f aca="false">IFERROR(INDEX(Vendor_Master!$B$2:$B$41,MATCH(B613,Vendor_Master!$A$2:$A$41,0)),"Unknown Vendor")</f>
        <v>Figueroa and Sons</v>
      </c>
      <c r="D613" s="18" t="n">
        <f aca="false">Vendor_Invoices_AP!E610</f>
        <v>2086.29</v>
      </c>
      <c r="E613" s="16" t="n">
        <f aca="false">COUNTIF(Payment_Log_AP!$B$2:$B$753,A613)</f>
        <v>1</v>
      </c>
      <c r="F613" s="18" t="n">
        <f aca="false">SUMIFS(Payment_Log_AP!$E$2:$E$753,Payment_Log_AP!$B$2:$B$753,A613)</f>
        <v>2086.29</v>
      </c>
      <c r="G613" s="18" t="n">
        <f aca="false">MAX(F613-D613,0)</f>
        <v>0</v>
      </c>
      <c r="H613" s="16" t="str">
        <f aca="false">IF(E613&gt;1,"DUPLICATE - Review",IF(G613&gt;Assumptions!$B$6,"OVERPAID - Review","OK"))</f>
        <v>OK</v>
      </c>
    </row>
    <row r="614" customFormat="false" ht="15" hidden="false" customHeight="false" outlineLevel="0" collapsed="false">
      <c r="A614" s="16" t="str">
        <f aca="false">Vendor_Invoices_AP!A611</f>
        <v>INV30610</v>
      </c>
      <c r="B614" s="16" t="str">
        <f aca="false">Vendor_Invoices_AP!C611</f>
        <v>V1027</v>
      </c>
      <c r="C614" s="16" t="str">
        <f aca="false">IFERROR(INDEX(Vendor_Master!$B$2:$B$41,MATCH(B614,Vendor_Master!$A$2:$A$41,0)),"Unknown Vendor")</f>
        <v>Valencia, Smith and Le</v>
      </c>
      <c r="D614" s="18" t="n">
        <f aca="false">Vendor_Invoices_AP!E611</f>
        <v>345.65</v>
      </c>
      <c r="E614" s="16" t="n">
        <f aca="false">COUNTIF(Payment_Log_AP!$B$2:$B$753,A614)</f>
        <v>1</v>
      </c>
      <c r="F614" s="18" t="n">
        <f aca="false">SUMIFS(Payment_Log_AP!$E$2:$E$753,Payment_Log_AP!$B$2:$B$753,A614)</f>
        <v>345.65</v>
      </c>
      <c r="G614" s="18" t="n">
        <f aca="false">MAX(F614-D614,0)</f>
        <v>0</v>
      </c>
      <c r="H614" s="16" t="str">
        <f aca="false">IF(E614&gt;1,"DUPLICATE - Review",IF(G614&gt;Assumptions!$B$6,"OVERPAID - Review","OK"))</f>
        <v>OK</v>
      </c>
    </row>
    <row r="615" customFormat="false" ht="15" hidden="false" customHeight="false" outlineLevel="0" collapsed="false">
      <c r="A615" s="16" t="str">
        <f aca="false">Vendor_Invoices_AP!A612</f>
        <v>INV30611</v>
      </c>
      <c r="B615" s="16" t="str">
        <f aca="false">Vendor_Invoices_AP!C612</f>
        <v>V1020</v>
      </c>
      <c r="C615" s="16" t="str">
        <f aca="false">IFERROR(INDEX(Vendor_Master!$B$2:$B$41,MATCH(B615,Vendor_Master!$A$2:$A$41,0)),"Unknown Vendor")</f>
        <v>Lewis-Porter</v>
      </c>
      <c r="D615" s="18" t="n">
        <f aca="false">Vendor_Invoices_AP!E612</f>
        <v>1516.39</v>
      </c>
      <c r="E615" s="16" t="n">
        <f aca="false">COUNTIF(Payment_Log_AP!$B$2:$B$753,A615)</f>
        <v>1</v>
      </c>
      <c r="F615" s="18" t="n">
        <f aca="false">SUMIFS(Payment_Log_AP!$E$2:$E$753,Payment_Log_AP!$B$2:$B$753,A615)</f>
        <v>1516.39</v>
      </c>
      <c r="G615" s="18" t="n">
        <f aca="false">MAX(F615-D615,0)</f>
        <v>0</v>
      </c>
      <c r="H615" s="16" t="str">
        <f aca="false">IF(E615&gt;1,"DUPLICATE - Review",IF(G615&gt;Assumptions!$B$6,"OVERPAID - Review","OK"))</f>
        <v>OK</v>
      </c>
    </row>
    <row r="616" customFormat="false" ht="15" hidden="false" customHeight="false" outlineLevel="0" collapsed="false">
      <c r="A616" s="16" t="str">
        <f aca="false">Vendor_Invoices_AP!A613</f>
        <v>INV30612</v>
      </c>
      <c r="B616" s="16" t="str">
        <f aca="false">Vendor_Invoices_AP!C613</f>
        <v>V1001</v>
      </c>
      <c r="C616" s="16" t="str">
        <f aca="false">IFERROR(INDEX(Vendor_Master!$B$2:$B$41,MATCH(B616,Vendor_Master!$A$2:$A$41,0)),"Unknown Vendor")</f>
        <v>Figueroa and Sons</v>
      </c>
      <c r="D616" s="18" t="n">
        <f aca="false">Vendor_Invoices_AP!E613</f>
        <v>19832.55</v>
      </c>
      <c r="E616" s="16" t="n">
        <f aca="false">COUNTIF(Payment_Log_AP!$B$2:$B$753,A616)</f>
        <v>1</v>
      </c>
      <c r="F616" s="18" t="n">
        <f aca="false">SUMIFS(Payment_Log_AP!$E$2:$E$753,Payment_Log_AP!$B$2:$B$753,A616)</f>
        <v>19832.55</v>
      </c>
      <c r="G616" s="18" t="n">
        <f aca="false">MAX(F616-D616,0)</f>
        <v>0</v>
      </c>
      <c r="H616" s="16" t="str">
        <f aca="false">IF(E616&gt;1,"DUPLICATE - Review",IF(G616&gt;Assumptions!$B$6,"OVERPAID - Review","OK"))</f>
        <v>OK</v>
      </c>
    </row>
    <row r="617" customFormat="false" ht="15" hidden="false" customHeight="false" outlineLevel="0" collapsed="false">
      <c r="A617" s="16" t="str">
        <f aca="false">Vendor_Invoices_AP!A614</f>
        <v>INV30613</v>
      </c>
      <c r="B617" s="16" t="str">
        <f aca="false">Vendor_Invoices_AP!C614</f>
        <v>V1012</v>
      </c>
      <c r="C617" s="16" t="str">
        <f aca="false">IFERROR(INDEX(Vendor_Master!$B$2:$B$41,MATCH(B617,Vendor_Master!$A$2:$A$41,0)),"Unknown Vendor")</f>
        <v>Stanley LLC</v>
      </c>
      <c r="D617" s="18" t="n">
        <f aca="false">Vendor_Invoices_AP!E614</f>
        <v>1703.61</v>
      </c>
      <c r="E617" s="16" t="n">
        <f aca="false">COUNTIF(Payment_Log_AP!$B$2:$B$753,A617)</f>
        <v>0</v>
      </c>
      <c r="F617" s="18" t="n">
        <f aca="false">SUMIFS(Payment_Log_AP!$E$2:$E$753,Payment_Log_AP!$B$2:$B$753,A617)</f>
        <v>0</v>
      </c>
      <c r="G617" s="18" t="n">
        <f aca="false">MAX(F617-D617,0)</f>
        <v>0</v>
      </c>
      <c r="H617" s="16" t="str">
        <f aca="false">IF(E617&gt;1,"DUPLICATE - Review",IF(G617&gt;Assumptions!$B$6,"OVERPAID - Review","OK"))</f>
        <v>OK</v>
      </c>
    </row>
    <row r="618" customFormat="false" ht="15" hidden="false" customHeight="false" outlineLevel="0" collapsed="false">
      <c r="A618" s="16" t="str">
        <f aca="false">Vendor_Invoices_AP!A615</f>
        <v>INV30614</v>
      </c>
      <c r="B618" s="16" t="str">
        <f aca="false">Vendor_Invoices_AP!C615</f>
        <v>V1009</v>
      </c>
      <c r="C618" s="16" t="str">
        <f aca="false">IFERROR(INDEX(Vendor_Master!$B$2:$B$41,MATCH(B618,Vendor_Master!$A$2:$A$41,0)),"Unknown Vendor")</f>
        <v>Munoz-Roman</v>
      </c>
      <c r="D618" s="18" t="n">
        <f aca="false">Vendor_Invoices_AP!E615</f>
        <v>2360.64</v>
      </c>
      <c r="E618" s="16" t="n">
        <f aca="false">COUNTIF(Payment_Log_AP!$B$2:$B$753,A618)</f>
        <v>1</v>
      </c>
      <c r="F618" s="18" t="n">
        <f aca="false">SUMIFS(Payment_Log_AP!$E$2:$E$753,Payment_Log_AP!$B$2:$B$753,A618)</f>
        <v>2360.64</v>
      </c>
      <c r="G618" s="18" t="n">
        <f aca="false">MAX(F618-D618,0)</f>
        <v>0</v>
      </c>
      <c r="H618" s="16" t="str">
        <f aca="false">IF(E618&gt;1,"DUPLICATE - Review",IF(G618&gt;Assumptions!$B$6,"OVERPAID - Review","OK"))</f>
        <v>OK</v>
      </c>
    </row>
    <row r="619" customFormat="false" ht="15" hidden="false" customHeight="false" outlineLevel="0" collapsed="false">
      <c r="A619" s="16" t="str">
        <f aca="false">Vendor_Invoices_AP!A616</f>
        <v>INV30615</v>
      </c>
      <c r="B619" s="16" t="str">
        <f aca="false">Vendor_Invoices_AP!C616</f>
        <v>V1009</v>
      </c>
      <c r="C619" s="16" t="str">
        <f aca="false">IFERROR(INDEX(Vendor_Master!$B$2:$B$41,MATCH(B619,Vendor_Master!$A$2:$A$41,0)),"Unknown Vendor")</f>
        <v>Munoz-Roman</v>
      </c>
      <c r="D619" s="18" t="n">
        <f aca="false">Vendor_Invoices_AP!E616</f>
        <v>1484.72</v>
      </c>
      <c r="E619" s="16" t="n">
        <f aca="false">COUNTIF(Payment_Log_AP!$B$2:$B$753,A619)</f>
        <v>1</v>
      </c>
      <c r="F619" s="18" t="n">
        <f aca="false">SUMIFS(Payment_Log_AP!$E$2:$E$753,Payment_Log_AP!$B$2:$B$753,A619)</f>
        <v>1484.72</v>
      </c>
      <c r="G619" s="18" t="n">
        <f aca="false">MAX(F619-D619,0)</f>
        <v>0</v>
      </c>
      <c r="H619" s="16" t="str">
        <f aca="false">IF(E619&gt;1,"DUPLICATE - Review",IF(G619&gt;Assumptions!$B$6,"OVERPAID - Review","OK"))</f>
        <v>OK</v>
      </c>
    </row>
    <row r="620" customFormat="false" ht="15" hidden="false" customHeight="false" outlineLevel="0" collapsed="false">
      <c r="A620" s="16" t="str">
        <f aca="false">Vendor_Invoices_AP!A617</f>
        <v>INV30616</v>
      </c>
      <c r="B620" s="16" t="str">
        <f aca="false">Vendor_Invoices_AP!C617</f>
        <v>V1018</v>
      </c>
      <c r="C620" s="16" t="str">
        <f aca="false">IFERROR(INDEX(Vendor_Master!$B$2:$B$41,MATCH(B620,Vendor_Master!$A$2:$A$41,0)),"Unknown Vendor")</f>
        <v>Underwood LLC</v>
      </c>
      <c r="D620" s="18" t="n">
        <f aca="false">Vendor_Invoices_AP!E617</f>
        <v>1627.91</v>
      </c>
      <c r="E620" s="16" t="n">
        <f aca="false">COUNTIF(Payment_Log_AP!$B$2:$B$753,A620)</f>
        <v>1</v>
      </c>
      <c r="F620" s="18" t="n">
        <f aca="false">SUMIFS(Payment_Log_AP!$E$2:$E$753,Payment_Log_AP!$B$2:$B$753,A620)</f>
        <v>1627.91</v>
      </c>
      <c r="G620" s="18" t="n">
        <f aca="false">MAX(F620-D620,0)</f>
        <v>0</v>
      </c>
      <c r="H620" s="16" t="str">
        <f aca="false">IF(E620&gt;1,"DUPLICATE - Review",IF(G620&gt;Assumptions!$B$6,"OVERPAID - Review","OK"))</f>
        <v>OK</v>
      </c>
    </row>
    <row r="621" customFormat="false" ht="15" hidden="false" customHeight="false" outlineLevel="0" collapsed="false">
      <c r="A621" s="16" t="str">
        <f aca="false">Vendor_Invoices_AP!A618</f>
        <v>INV30617</v>
      </c>
      <c r="B621" s="16" t="str">
        <f aca="false">Vendor_Invoices_AP!C618</f>
        <v>V1001</v>
      </c>
      <c r="C621" s="16" t="str">
        <f aca="false">IFERROR(INDEX(Vendor_Master!$B$2:$B$41,MATCH(B621,Vendor_Master!$A$2:$A$41,0)),"Unknown Vendor")</f>
        <v>Figueroa and Sons</v>
      </c>
      <c r="D621" s="18" t="n">
        <f aca="false">Vendor_Invoices_AP!E618</f>
        <v>1311.69</v>
      </c>
      <c r="E621" s="16" t="n">
        <f aca="false">COUNTIF(Payment_Log_AP!$B$2:$B$753,A621)</f>
        <v>1</v>
      </c>
      <c r="F621" s="18" t="n">
        <f aca="false">SUMIFS(Payment_Log_AP!$E$2:$E$753,Payment_Log_AP!$B$2:$B$753,A621)</f>
        <v>1311.69</v>
      </c>
      <c r="G621" s="18" t="n">
        <f aca="false">MAX(F621-D621,0)</f>
        <v>0</v>
      </c>
      <c r="H621" s="16" t="str">
        <f aca="false">IF(E621&gt;1,"DUPLICATE - Review",IF(G621&gt;Assumptions!$B$6,"OVERPAID - Review","OK"))</f>
        <v>OK</v>
      </c>
    </row>
    <row r="622" customFormat="false" ht="15" hidden="false" customHeight="false" outlineLevel="0" collapsed="false">
      <c r="A622" s="16" t="str">
        <f aca="false">Vendor_Invoices_AP!A619</f>
        <v>INV30618</v>
      </c>
      <c r="B622" s="16" t="str">
        <f aca="false">Vendor_Invoices_AP!C619</f>
        <v>V1001</v>
      </c>
      <c r="C622" s="16" t="str">
        <f aca="false">IFERROR(INDEX(Vendor_Master!$B$2:$B$41,MATCH(B622,Vendor_Master!$A$2:$A$41,0)),"Unknown Vendor")</f>
        <v>Figueroa and Sons</v>
      </c>
      <c r="D622" s="18" t="n">
        <f aca="false">Vendor_Invoices_AP!E619</f>
        <v>1090.07</v>
      </c>
      <c r="E622" s="16" t="n">
        <f aca="false">COUNTIF(Payment_Log_AP!$B$2:$B$753,A622)</f>
        <v>2</v>
      </c>
      <c r="F622" s="18" t="n">
        <f aca="false">SUMIFS(Payment_Log_AP!$E$2:$E$753,Payment_Log_AP!$B$2:$B$753,A622)</f>
        <v>2180.14</v>
      </c>
      <c r="G622" s="18" t="n">
        <f aca="false">MAX(F622-D622,0)</f>
        <v>1090.07</v>
      </c>
      <c r="H622" s="16" t="str">
        <f aca="false">IF(E622&gt;1,"DUPLICATE - Review",IF(G622&gt;Assumptions!$B$6,"OVERPAID - Review","OK"))</f>
        <v>DUPLICATE - Review</v>
      </c>
    </row>
    <row r="623" customFormat="false" ht="15" hidden="false" customHeight="false" outlineLevel="0" collapsed="false">
      <c r="A623" s="16" t="str">
        <f aca="false">Vendor_Invoices_AP!A620</f>
        <v>INV30619</v>
      </c>
      <c r="B623" s="16" t="str">
        <f aca="false">Vendor_Invoices_AP!C620</f>
        <v>V1036</v>
      </c>
      <c r="C623" s="16" t="str">
        <f aca="false">IFERROR(INDEX(Vendor_Master!$B$2:$B$41,MATCH(B623,Vendor_Master!$A$2:$A$41,0)),"Unknown Vendor")</f>
        <v>Dennis Inc</v>
      </c>
      <c r="D623" s="18" t="n">
        <f aca="false">Vendor_Invoices_AP!E620</f>
        <v>4290.25</v>
      </c>
      <c r="E623" s="16" t="n">
        <f aca="false">COUNTIF(Payment_Log_AP!$B$2:$B$753,A623)</f>
        <v>0</v>
      </c>
      <c r="F623" s="18" t="n">
        <f aca="false">SUMIFS(Payment_Log_AP!$E$2:$E$753,Payment_Log_AP!$B$2:$B$753,A623)</f>
        <v>0</v>
      </c>
      <c r="G623" s="18" t="n">
        <f aca="false">MAX(F623-D623,0)</f>
        <v>0</v>
      </c>
      <c r="H623" s="16" t="str">
        <f aca="false">IF(E623&gt;1,"DUPLICATE - Review",IF(G623&gt;Assumptions!$B$6,"OVERPAID - Review","OK"))</f>
        <v>OK</v>
      </c>
    </row>
    <row r="624" customFormat="false" ht="15" hidden="false" customHeight="false" outlineLevel="0" collapsed="false">
      <c r="A624" s="16" t="str">
        <f aca="false">Vendor_Invoices_AP!A621</f>
        <v>INV30620</v>
      </c>
      <c r="B624" s="16" t="str">
        <f aca="false">Vendor_Invoices_AP!C621</f>
        <v>V1025</v>
      </c>
      <c r="C624" s="16" t="str">
        <f aca="false">IFERROR(INDEX(Vendor_Master!$B$2:$B$41,MATCH(B624,Vendor_Master!$A$2:$A$41,0)),"Unknown Vendor")</f>
        <v>Conner Group</v>
      </c>
      <c r="D624" s="18" t="n">
        <f aca="false">Vendor_Invoices_AP!E621</f>
        <v>60188.25</v>
      </c>
      <c r="E624" s="16" t="n">
        <f aca="false">COUNTIF(Payment_Log_AP!$B$2:$B$753,A624)</f>
        <v>0</v>
      </c>
      <c r="F624" s="18" t="n">
        <f aca="false">SUMIFS(Payment_Log_AP!$E$2:$E$753,Payment_Log_AP!$B$2:$B$753,A624)</f>
        <v>0</v>
      </c>
      <c r="G624" s="18" t="n">
        <f aca="false">MAX(F624-D624,0)</f>
        <v>0</v>
      </c>
      <c r="H624" s="16" t="str">
        <f aca="false">IF(E624&gt;1,"DUPLICATE - Review",IF(G624&gt;Assumptions!$B$6,"OVERPAID - Review","OK"))</f>
        <v>OK</v>
      </c>
    </row>
    <row r="625" customFormat="false" ht="15" hidden="false" customHeight="false" outlineLevel="0" collapsed="false">
      <c r="A625" s="16" t="str">
        <f aca="false">Vendor_Invoices_AP!A622</f>
        <v>INV30621</v>
      </c>
      <c r="B625" s="16" t="str">
        <f aca="false">Vendor_Invoices_AP!C622</f>
        <v>V1034</v>
      </c>
      <c r="C625" s="16" t="str">
        <f aca="false">IFERROR(INDEX(Vendor_Master!$B$2:$B$41,MATCH(B625,Vendor_Master!$A$2:$A$41,0)),"Unknown Vendor")</f>
        <v>Koch-Decker</v>
      </c>
      <c r="D625" s="18" t="n">
        <f aca="false">Vendor_Invoices_AP!E622</f>
        <v>7933.72</v>
      </c>
      <c r="E625" s="16" t="n">
        <f aca="false">COUNTIF(Payment_Log_AP!$B$2:$B$753,A625)</f>
        <v>0</v>
      </c>
      <c r="F625" s="18" t="n">
        <f aca="false">SUMIFS(Payment_Log_AP!$E$2:$E$753,Payment_Log_AP!$B$2:$B$753,A625)</f>
        <v>0</v>
      </c>
      <c r="G625" s="18" t="n">
        <f aca="false">MAX(F625-D625,0)</f>
        <v>0</v>
      </c>
      <c r="H625" s="16" t="str">
        <f aca="false">IF(E625&gt;1,"DUPLICATE - Review",IF(G625&gt;Assumptions!$B$6,"OVERPAID - Review","OK"))</f>
        <v>OK</v>
      </c>
    </row>
    <row r="626" customFormat="false" ht="15" hidden="false" customHeight="false" outlineLevel="0" collapsed="false">
      <c r="A626" s="16" t="str">
        <f aca="false">Vendor_Invoices_AP!A623</f>
        <v>INV30622</v>
      </c>
      <c r="B626" s="16" t="str">
        <f aca="false">Vendor_Invoices_AP!C623</f>
        <v>V1024</v>
      </c>
      <c r="C626" s="16" t="str">
        <f aca="false">IFERROR(INDEX(Vendor_Master!$B$2:$B$41,MATCH(B626,Vendor_Master!$A$2:$A$41,0)),"Unknown Vendor")</f>
        <v>Campos Inc</v>
      </c>
      <c r="D626" s="18" t="n">
        <f aca="false">Vendor_Invoices_AP!E623</f>
        <v>2753.96</v>
      </c>
      <c r="E626" s="16" t="n">
        <f aca="false">COUNTIF(Payment_Log_AP!$B$2:$B$753,A626)</f>
        <v>1</v>
      </c>
      <c r="F626" s="18" t="n">
        <f aca="false">SUMIFS(Payment_Log_AP!$E$2:$E$753,Payment_Log_AP!$B$2:$B$753,A626)</f>
        <v>2753.96</v>
      </c>
      <c r="G626" s="18" t="n">
        <f aca="false">MAX(F626-D626,0)</f>
        <v>0</v>
      </c>
      <c r="H626" s="16" t="str">
        <f aca="false">IF(E626&gt;1,"DUPLICATE - Review",IF(G626&gt;Assumptions!$B$6,"OVERPAID - Review","OK"))</f>
        <v>OK</v>
      </c>
    </row>
    <row r="627" customFormat="false" ht="15" hidden="false" customHeight="false" outlineLevel="0" collapsed="false">
      <c r="A627" s="16" t="str">
        <f aca="false">Vendor_Invoices_AP!A624</f>
        <v>INV30623</v>
      </c>
      <c r="B627" s="16" t="str">
        <f aca="false">Vendor_Invoices_AP!C624</f>
        <v>V1013</v>
      </c>
      <c r="C627" s="16" t="str">
        <f aca="false">IFERROR(INDEX(Vendor_Master!$B$2:$B$41,MATCH(B627,Vendor_Master!$A$2:$A$41,0)),"Unknown Vendor")</f>
        <v>Delacruz Group</v>
      </c>
      <c r="D627" s="18" t="n">
        <f aca="false">Vendor_Invoices_AP!E624</f>
        <v>5478.24</v>
      </c>
      <c r="E627" s="16" t="n">
        <f aca="false">COUNTIF(Payment_Log_AP!$B$2:$B$753,A627)</f>
        <v>2</v>
      </c>
      <c r="F627" s="18" t="n">
        <f aca="false">SUMIFS(Payment_Log_AP!$E$2:$E$753,Payment_Log_AP!$B$2:$B$753,A627)</f>
        <v>10956.48</v>
      </c>
      <c r="G627" s="18" t="n">
        <f aca="false">MAX(F627-D627,0)</f>
        <v>5478.24</v>
      </c>
      <c r="H627" s="16" t="str">
        <f aca="false">IF(E627&gt;1,"DUPLICATE - Review",IF(G627&gt;Assumptions!$B$6,"OVERPAID - Review","OK"))</f>
        <v>DUPLICATE - Review</v>
      </c>
    </row>
    <row r="628" customFormat="false" ht="15" hidden="false" customHeight="false" outlineLevel="0" collapsed="false">
      <c r="A628" s="16" t="str">
        <f aca="false">Vendor_Invoices_AP!A625</f>
        <v>INV30624</v>
      </c>
      <c r="B628" s="16" t="str">
        <f aca="false">Vendor_Invoices_AP!C625</f>
        <v>V1009</v>
      </c>
      <c r="C628" s="16" t="str">
        <f aca="false">IFERROR(INDEX(Vendor_Master!$B$2:$B$41,MATCH(B628,Vendor_Master!$A$2:$A$41,0)),"Unknown Vendor")</f>
        <v>Munoz-Roman</v>
      </c>
      <c r="D628" s="18" t="n">
        <f aca="false">Vendor_Invoices_AP!E625</f>
        <v>581.73</v>
      </c>
      <c r="E628" s="16" t="n">
        <f aca="false">COUNTIF(Payment_Log_AP!$B$2:$B$753,A628)</f>
        <v>1</v>
      </c>
      <c r="F628" s="18" t="n">
        <f aca="false">SUMIFS(Payment_Log_AP!$E$2:$E$753,Payment_Log_AP!$B$2:$B$753,A628)</f>
        <v>581.73</v>
      </c>
      <c r="G628" s="18" t="n">
        <f aca="false">MAX(F628-D628,0)</f>
        <v>0</v>
      </c>
      <c r="H628" s="16" t="str">
        <f aca="false">IF(E628&gt;1,"DUPLICATE - Review",IF(G628&gt;Assumptions!$B$6,"OVERPAID - Review","OK"))</f>
        <v>OK</v>
      </c>
    </row>
    <row r="629" customFormat="false" ht="15" hidden="false" customHeight="false" outlineLevel="0" collapsed="false">
      <c r="A629" s="16" t="str">
        <f aca="false">Vendor_Invoices_AP!A626</f>
        <v>INV30625</v>
      </c>
      <c r="B629" s="16" t="str">
        <f aca="false">Vendor_Invoices_AP!C626</f>
        <v>V1005</v>
      </c>
      <c r="C629" s="16" t="str">
        <f aca="false">IFERROR(INDEX(Vendor_Master!$B$2:$B$41,MATCH(B629,Vendor_Master!$A$2:$A$41,0)),"Unknown Vendor")</f>
        <v>Cole LLC</v>
      </c>
      <c r="D629" s="18" t="n">
        <f aca="false">Vendor_Invoices_AP!E626</f>
        <v>2739.78</v>
      </c>
      <c r="E629" s="16" t="n">
        <f aca="false">COUNTIF(Payment_Log_AP!$B$2:$B$753,A629)</f>
        <v>2</v>
      </c>
      <c r="F629" s="18" t="n">
        <f aca="false">SUMIFS(Payment_Log_AP!$E$2:$E$753,Payment_Log_AP!$B$2:$B$753,A629)</f>
        <v>5479.56</v>
      </c>
      <c r="G629" s="18" t="n">
        <f aca="false">MAX(F629-D629,0)</f>
        <v>2739.78</v>
      </c>
      <c r="H629" s="16" t="str">
        <f aca="false">IF(E629&gt;1,"DUPLICATE - Review",IF(G629&gt;Assumptions!$B$6,"OVERPAID - Review","OK"))</f>
        <v>DUPLICATE - Review</v>
      </c>
    </row>
    <row r="630" customFormat="false" ht="15" hidden="false" customHeight="false" outlineLevel="0" collapsed="false">
      <c r="A630" s="16" t="str">
        <f aca="false">Vendor_Invoices_AP!A627</f>
        <v>INV30626</v>
      </c>
      <c r="B630" s="16" t="str">
        <f aca="false">Vendor_Invoices_AP!C627</f>
        <v>V1011</v>
      </c>
      <c r="C630" s="16" t="str">
        <f aca="false">IFERROR(INDEX(Vendor_Master!$B$2:$B$41,MATCH(B630,Vendor_Master!$A$2:$A$41,0)),"Unknown Vendor")</f>
        <v>Montgomery, Hensley and Ray</v>
      </c>
      <c r="D630" s="18" t="n">
        <f aca="false">Vendor_Invoices_AP!E627</f>
        <v>329.34</v>
      </c>
      <c r="E630" s="16" t="n">
        <f aca="false">COUNTIF(Payment_Log_AP!$B$2:$B$753,A630)</f>
        <v>1</v>
      </c>
      <c r="F630" s="18" t="n">
        <f aca="false">SUMIFS(Payment_Log_AP!$E$2:$E$753,Payment_Log_AP!$B$2:$B$753,A630)</f>
        <v>329.34</v>
      </c>
      <c r="G630" s="18" t="n">
        <f aca="false">MAX(F630-D630,0)</f>
        <v>0</v>
      </c>
      <c r="H630" s="16" t="str">
        <f aca="false">IF(E630&gt;1,"DUPLICATE - Review",IF(G630&gt;Assumptions!$B$6,"OVERPAID - Review","OK"))</f>
        <v>OK</v>
      </c>
    </row>
    <row r="631" customFormat="false" ht="15" hidden="false" customHeight="false" outlineLevel="0" collapsed="false">
      <c r="A631" s="16" t="str">
        <f aca="false">Vendor_Invoices_AP!A628</f>
        <v>INV30627</v>
      </c>
      <c r="B631" s="16" t="str">
        <f aca="false">Vendor_Invoices_AP!C628</f>
        <v>V1027</v>
      </c>
      <c r="C631" s="16" t="str">
        <f aca="false">IFERROR(INDEX(Vendor_Master!$B$2:$B$41,MATCH(B631,Vendor_Master!$A$2:$A$41,0)),"Unknown Vendor")</f>
        <v>Valencia, Smith and Le</v>
      </c>
      <c r="D631" s="18" t="n">
        <f aca="false">Vendor_Invoices_AP!E628</f>
        <v>1253.19</v>
      </c>
      <c r="E631" s="16" t="n">
        <f aca="false">COUNTIF(Payment_Log_AP!$B$2:$B$753,A631)</f>
        <v>0</v>
      </c>
      <c r="F631" s="18" t="n">
        <f aca="false">SUMIFS(Payment_Log_AP!$E$2:$E$753,Payment_Log_AP!$B$2:$B$753,A631)</f>
        <v>0</v>
      </c>
      <c r="G631" s="18" t="n">
        <f aca="false">MAX(F631-D631,0)</f>
        <v>0</v>
      </c>
      <c r="H631" s="16" t="str">
        <f aca="false">IF(E631&gt;1,"DUPLICATE - Review",IF(G631&gt;Assumptions!$B$6,"OVERPAID - Review","OK"))</f>
        <v>OK</v>
      </c>
    </row>
    <row r="632" customFormat="false" ht="15" hidden="false" customHeight="false" outlineLevel="0" collapsed="false">
      <c r="A632" s="16" t="str">
        <f aca="false">Vendor_Invoices_AP!A629</f>
        <v>INV30628</v>
      </c>
      <c r="B632" s="16" t="str">
        <f aca="false">Vendor_Invoices_AP!C629</f>
        <v>V1024</v>
      </c>
      <c r="C632" s="16" t="str">
        <f aca="false">IFERROR(INDEX(Vendor_Master!$B$2:$B$41,MATCH(B632,Vendor_Master!$A$2:$A$41,0)),"Unknown Vendor")</f>
        <v>Campos Inc</v>
      </c>
      <c r="D632" s="18" t="n">
        <f aca="false">Vendor_Invoices_AP!E629</f>
        <v>5307.07</v>
      </c>
      <c r="E632" s="16" t="n">
        <f aca="false">COUNTIF(Payment_Log_AP!$B$2:$B$753,A632)</f>
        <v>1</v>
      </c>
      <c r="F632" s="18" t="n">
        <f aca="false">SUMIFS(Payment_Log_AP!$E$2:$E$753,Payment_Log_AP!$B$2:$B$753,A632)</f>
        <v>5307.07</v>
      </c>
      <c r="G632" s="18" t="n">
        <f aca="false">MAX(F632-D632,0)</f>
        <v>0</v>
      </c>
      <c r="H632" s="16" t="str">
        <f aca="false">IF(E632&gt;1,"DUPLICATE - Review",IF(G632&gt;Assumptions!$B$6,"OVERPAID - Review","OK"))</f>
        <v>OK</v>
      </c>
    </row>
    <row r="633" customFormat="false" ht="15" hidden="false" customHeight="false" outlineLevel="0" collapsed="false">
      <c r="A633" s="16" t="str">
        <f aca="false">Vendor_Invoices_AP!A630</f>
        <v>INV30629</v>
      </c>
      <c r="B633" s="16" t="str">
        <f aca="false">Vendor_Invoices_AP!C630</f>
        <v>V1004</v>
      </c>
      <c r="C633" s="16" t="str">
        <f aca="false">IFERROR(INDEX(Vendor_Master!$B$2:$B$41,MATCH(B633,Vendor_Master!$A$2:$A$41,0)),"Unknown Vendor")</f>
        <v>Johnson, Gonzalez and Santos</v>
      </c>
      <c r="D633" s="18" t="n">
        <f aca="false">Vendor_Invoices_AP!E630</f>
        <v>4575.5</v>
      </c>
      <c r="E633" s="16" t="n">
        <f aca="false">COUNTIF(Payment_Log_AP!$B$2:$B$753,A633)</f>
        <v>1</v>
      </c>
      <c r="F633" s="18" t="n">
        <f aca="false">SUMIFS(Payment_Log_AP!$E$2:$E$753,Payment_Log_AP!$B$2:$B$753,A633)</f>
        <v>4575.5</v>
      </c>
      <c r="G633" s="18" t="n">
        <f aca="false">MAX(F633-D633,0)</f>
        <v>0</v>
      </c>
      <c r="H633" s="16" t="str">
        <f aca="false">IF(E633&gt;1,"DUPLICATE - Review",IF(G633&gt;Assumptions!$B$6,"OVERPAID - Review","OK"))</f>
        <v>OK</v>
      </c>
    </row>
    <row r="634" customFormat="false" ht="15" hidden="false" customHeight="false" outlineLevel="0" collapsed="false">
      <c r="A634" s="16" t="str">
        <f aca="false">Vendor_Invoices_AP!A631</f>
        <v>INV30630</v>
      </c>
      <c r="B634" s="16" t="str">
        <f aca="false">Vendor_Invoices_AP!C631</f>
        <v>V1013</v>
      </c>
      <c r="C634" s="16" t="str">
        <f aca="false">IFERROR(INDEX(Vendor_Master!$B$2:$B$41,MATCH(B634,Vendor_Master!$A$2:$A$41,0)),"Unknown Vendor")</f>
        <v>Delacruz Group</v>
      </c>
      <c r="D634" s="18" t="n">
        <f aca="false">Vendor_Invoices_AP!E631</f>
        <v>9603.81</v>
      </c>
      <c r="E634" s="16" t="n">
        <f aca="false">COUNTIF(Payment_Log_AP!$B$2:$B$753,A634)</f>
        <v>0</v>
      </c>
      <c r="F634" s="18" t="n">
        <f aca="false">SUMIFS(Payment_Log_AP!$E$2:$E$753,Payment_Log_AP!$B$2:$B$753,A634)</f>
        <v>0</v>
      </c>
      <c r="G634" s="18" t="n">
        <f aca="false">MAX(F634-D634,0)</f>
        <v>0</v>
      </c>
      <c r="H634" s="16" t="str">
        <f aca="false">IF(E634&gt;1,"DUPLICATE - Review",IF(G634&gt;Assumptions!$B$6,"OVERPAID - Review","OK"))</f>
        <v>OK</v>
      </c>
    </row>
    <row r="635" customFormat="false" ht="15" hidden="false" customHeight="false" outlineLevel="0" collapsed="false">
      <c r="A635" s="16" t="str">
        <f aca="false">Vendor_Invoices_AP!A632</f>
        <v>INV30631</v>
      </c>
      <c r="B635" s="16" t="str">
        <f aca="false">Vendor_Invoices_AP!C632</f>
        <v>V1024</v>
      </c>
      <c r="C635" s="16" t="str">
        <f aca="false">IFERROR(INDEX(Vendor_Master!$B$2:$B$41,MATCH(B635,Vendor_Master!$A$2:$A$41,0)),"Unknown Vendor")</f>
        <v>Campos Inc</v>
      </c>
      <c r="D635" s="18" t="n">
        <f aca="false">Vendor_Invoices_AP!E632</f>
        <v>4978.47</v>
      </c>
      <c r="E635" s="16" t="n">
        <f aca="false">COUNTIF(Payment_Log_AP!$B$2:$B$753,A635)</f>
        <v>1</v>
      </c>
      <c r="F635" s="18" t="n">
        <f aca="false">SUMIFS(Payment_Log_AP!$E$2:$E$753,Payment_Log_AP!$B$2:$B$753,A635)</f>
        <v>4978.47</v>
      </c>
      <c r="G635" s="18" t="n">
        <f aca="false">MAX(F635-D635,0)</f>
        <v>0</v>
      </c>
      <c r="H635" s="16" t="str">
        <f aca="false">IF(E635&gt;1,"DUPLICATE - Review",IF(G635&gt;Assumptions!$B$6,"OVERPAID - Review","OK"))</f>
        <v>OK</v>
      </c>
    </row>
    <row r="636" customFormat="false" ht="15" hidden="false" customHeight="false" outlineLevel="0" collapsed="false">
      <c r="A636" s="16" t="str">
        <f aca="false">Vendor_Invoices_AP!A633</f>
        <v>INV30632</v>
      </c>
      <c r="B636" s="16" t="str">
        <f aca="false">Vendor_Invoices_AP!C633</f>
        <v>V1031</v>
      </c>
      <c r="C636" s="16" t="str">
        <f aca="false">IFERROR(INDEX(Vendor_Master!$B$2:$B$41,MATCH(B636,Vendor_Master!$A$2:$A$41,0)),"Unknown Vendor")</f>
        <v>Harrell LLC</v>
      </c>
      <c r="D636" s="18" t="n">
        <f aca="false">Vendor_Invoices_AP!E633</f>
        <v>4144.18</v>
      </c>
      <c r="E636" s="16" t="n">
        <f aca="false">COUNTIF(Payment_Log_AP!$B$2:$B$753,A636)</f>
        <v>0</v>
      </c>
      <c r="F636" s="18" t="n">
        <f aca="false">SUMIFS(Payment_Log_AP!$E$2:$E$753,Payment_Log_AP!$B$2:$B$753,A636)</f>
        <v>0</v>
      </c>
      <c r="G636" s="18" t="n">
        <f aca="false">MAX(F636-D636,0)</f>
        <v>0</v>
      </c>
      <c r="H636" s="16" t="str">
        <f aca="false">IF(E636&gt;1,"DUPLICATE - Review",IF(G636&gt;Assumptions!$B$6,"OVERPAID - Review","OK"))</f>
        <v>OK</v>
      </c>
    </row>
    <row r="637" customFormat="false" ht="15" hidden="false" customHeight="false" outlineLevel="0" collapsed="false">
      <c r="A637" s="16" t="str">
        <f aca="false">Vendor_Invoices_AP!A634</f>
        <v>INV30633</v>
      </c>
      <c r="B637" s="16" t="str">
        <f aca="false">Vendor_Invoices_AP!C634</f>
        <v>V1024</v>
      </c>
      <c r="C637" s="16" t="str">
        <f aca="false">IFERROR(INDEX(Vendor_Master!$B$2:$B$41,MATCH(B637,Vendor_Master!$A$2:$A$41,0)),"Unknown Vendor")</f>
        <v>Campos Inc</v>
      </c>
      <c r="D637" s="18" t="n">
        <f aca="false">Vendor_Invoices_AP!E634</f>
        <v>4005.11</v>
      </c>
      <c r="E637" s="16" t="n">
        <f aca="false">COUNTIF(Payment_Log_AP!$B$2:$B$753,A637)</f>
        <v>1</v>
      </c>
      <c r="F637" s="18" t="n">
        <f aca="false">SUMIFS(Payment_Log_AP!$E$2:$E$753,Payment_Log_AP!$B$2:$B$753,A637)</f>
        <v>4005.11</v>
      </c>
      <c r="G637" s="18" t="n">
        <f aca="false">MAX(F637-D637,0)</f>
        <v>0</v>
      </c>
      <c r="H637" s="16" t="str">
        <f aca="false">IF(E637&gt;1,"DUPLICATE - Review",IF(G637&gt;Assumptions!$B$6,"OVERPAID - Review","OK"))</f>
        <v>OK</v>
      </c>
    </row>
    <row r="638" customFormat="false" ht="15" hidden="false" customHeight="false" outlineLevel="0" collapsed="false">
      <c r="A638" s="16" t="str">
        <f aca="false">Vendor_Invoices_AP!A635</f>
        <v>INV30634</v>
      </c>
      <c r="B638" s="16" t="str">
        <f aca="false">Vendor_Invoices_AP!C635</f>
        <v>V1003</v>
      </c>
      <c r="C638" s="16" t="str">
        <f aca="false">IFERROR(INDEX(Vendor_Master!$B$2:$B$41,MATCH(B638,Vendor_Master!$A$2:$A$41,0)),"Unknown Vendor")</f>
        <v>Johnson and Sons</v>
      </c>
      <c r="D638" s="18" t="n">
        <f aca="false">Vendor_Invoices_AP!E635</f>
        <v>1866.99</v>
      </c>
      <c r="E638" s="16" t="n">
        <f aca="false">COUNTIF(Payment_Log_AP!$B$2:$B$753,A638)</f>
        <v>1</v>
      </c>
      <c r="F638" s="18" t="n">
        <f aca="false">SUMIFS(Payment_Log_AP!$E$2:$E$753,Payment_Log_AP!$B$2:$B$753,A638)</f>
        <v>1866.99</v>
      </c>
      <c r="G638" s="18" t="n">
        <f aca="false">MAX(F638-D638,0)</f>
        <v>0</v>
      </c>
      <c r="H638" s="16" t="str">
        <f aca="false">IF(E638&gt;1,"DUPLICATE - Review",IF(G638&gt;Assumptions!$B$6,"OVERPAID - Review","OK"))</f>
        <v>OK</v>
      </c>
    </row>
    <row r="639" customFormat="false" ht="15" hidden="false" customHeight="false" outlineLevel="0" collapsed="false">
      <c r="A639" s="16" t="str">
        <f aca="false">Vendor_Invoices_AP!A636</f>
        <v>INV30635</v>
      </c>
      <c r="B639" s="16" t="str">
        <f aca="false">Vendor_Invoices_AP!C636</f>
        <v>V1031</v>
      </c>
      <c r="C639" s="16" t="str">
        <f aca="false">IFERROR(INDEX(Vendor_Master!$B$2:$B$41,MATCH(B639,Vendor_Master!$A$2:$A$41,0)),"Unknown Vendor")</f>
        <v>Harrell LLC</v>
      </c>
      <c r="D639" s="18" t="n">
        <f aca="false">Vendor_Invoices_AP!E636</f>
        <v>21270.63</v>
      </c>
      <c r="E639" s="16" t="n">
        <f aca="false">COUNTIF(Payment_Log_AP!$B$2:$B$753,A639)</f>
        <v>0</v>
      </c>
      <c r="F639" s="18" t="n">
        <f aca="false">SUMIFS(Payment_Log_AP!$E$2:$E$753,Payment_Log_AP!$B$2:$B$753,A639)</f>
        <v>0</v>
      </c>
      <c r="G639" s="18" t="n">
        <f aca="false">MAX(F639-D639,0)</f>
        <v>0</v>
      </c>
      <c r="H639" s="16" t="str">
        <f aca="false">IF(E639&gt;1,"DUPLICATE - Review",IF(G639&gt;Assumptions!$B$6,"OVERPAID - Review","OK"))</f>
        <v>OK</v>
      </c>
    </row>
    <row r="640" customFormat="false" ht="15" hidden="false" customHeight="false" outlineLevel="0" collapsed="false">
      <c r="A640" s="16" t="str">
        <f aca="false">Vendor_Invoices_AP!A637</f>
        <v>INV30636</v>
      </c>
      <c r="B640" s="16" t="str">
        <f aca="false">Vendor_Invoices_AP!C637</f>
        <v>V1031</v>
      </c>
      <c r="C640" s="16" t="str">
        <f aca="false">IFERROR(INDEX(Vendor_Master!$B$2:$B$41,MATCH(B640,Vendor_Master!$A$2:$A$41,0)),"Unknown Vendor")</f>
        <v>Harrell LLC</v>
      </c>
      <c r="D640" s="18" t="n">
        <f aca="false">Vendor_Invoices_AP!E637</f>
        <v>10172.24</v>
      </c>
      <c r="E640" s="16" t="n">
        <f aca="false">COUNTIF(Payment_Log_AP!$B$2:$B$753,A640)</f>
        <v>0</v>
      </c>
      <c r="F640" s="18" t="n">
        <f aca="false">SUMIFS(Payment_Log_AP!$E$2:$E$753,Payment_Log_AP!$B$2:$B$753,A640)</f>
        <v>0</v>
      </c>
      <c r="G640" s="18" t="n">
        <f aca="false">MAX(F640-D640,0)</f>
        <v>0</v>
      </c>
      <c r="H640" s="16" t="str">
        <f aca="false">IF(E640&gt;1,"DUPLICATE - Review",IF(G640&gt;Assumptions!$B$6,"OVERPAID - Review","OK"))</f>
        <v>OK</v>
      </c>
    </row>
    <row r="641" customFormat="false" ht="15" hidden="false" customHeight="false" outlineLevel="0" collapsed="false">
      <c r="A641" s="16" t="str">
        <f aca="false">Vendor_Invoices_AP!A638</f>
        <v>INV30637</v>
      </c>
      <c r="B641" s="16" t="str">
        <f aca="false">Vendor_Invoices_AP!C638</f>
        <v>V1032</v>
      </c>
      <c r="C641" s="16" t="str">
        <f aca="false">IFERROR(INDEX(Vendor_Master!$B$2:$B$41,MATCH(B641,Vendor_Master!$A$2:$A$41,0)),"Unknown Vendor")</f>
        <v>Lynch, Hernandez and Farmer</v>
      </c>
      <c r="D641" s="18" t="n">
        <f aca="false">Vendor_Invoices_AP!E638</f>
        <v>718.68</v>
      </c>
      <c r="E641" s="16" t="n">
        <f aca="false">COUNTIF(Payment_Log_AP!$B$2:$B$753,A641)</f>
        <v>0</v>
      </c>
      <c r="F641" s="18" t="n">
        <f aca="false">SUMIFS(Payment_Log_AP!$E$2:$E$753,Payment_Log_AP!$B$2:$B$753,A641)</f>
        <v>0</v>
      </c>
      <c r="G641" s="18" t="n">
        <f aca="false">MAX(F641-D641,0)</f>
        <v>0</v>
      </c>
      <c r="H641" s="16" t="str">
        <f aca="false">IF(E641&gt;1,"DUPLICATE - Review",IF(G641&gt;Assumptions!$B$6,"OVERPAID - Review","OK"))</f>
        <v>OK</v>
      </c>
    </row>
    <row r="642" customFormat="false" ht="15" hidden="false" customHeight="false" outlineLevel="0" collapsed="false">
      <c r="A642" s="16" t="str">
        <f aca="false">Vendor_Invoices_AP!A639</f>
        <v>INV30638</v>
      </c>
      <c r="B642" s="16" t="str">
        <f aca="false">Vendor_Invoices_AP!C639</f>
        <v>V1033</v>
      </c>
      <c r="C642" s="16" t="str">
        <f aca="false">IFERROR(INDEX(Vendor_Master!$B$2:$B$41,MATCH(B642,Vendor_Master!$A$2:$A$41,0)),"Unknown Vendor")</f>
        <v>Sellers, George and Burns</v>
      </c>
      <c r="D642" s="18" t="n">
        <f aca="false">Vendor_Invoices_AP!E639</f>
        <v>666.83</v>
      </c>
      <c r="E642" s="16" t="n">
        <f aca="false">COUNTIF(Payment_Log_AP!$B$2:$B$753,A642)</f>
        <v>0</v>
      </c>
      <c r="F642" s="18" t="n">
        <f aca="false">SUMIFS(Payment_Log_AP!$E$2:$E$753,Payment_Log_AP!$B$2:$B$753,A642)</f>
        <v>0</v>
      </c>
      <c r="G642" s="18" t="n">
        <f aca="false">MAX(F642-D642,0)</f>
        <v>0</v>
      </c>
      <c r="H642" s="16" t="str">
        <f aca="false">IF(E642&gt;1,"DUPLICATE - Review",IF(G642&gt;Assumptions!$B$6,"OVERPAID - Review","OK"))</f>
        <v>OK</v>
      </c>
    </row>
    <row r="643" customFormat="false" ht="15" hidden="false" customHeight="false" outlineLevel="0" collapsed="false">
      <c r="A643" s="16" t="str">
        <f aca="false">Vendor_Invoices_AP!A640</f>
        <v>INV30639</v>
      </c>
      <c r="B643" s="16" t="str">
        <f aca="false">Vendor_Invoices_AP!C640</f>
        <v>V1003</v>
      </c>
      <c r="C643" s="16" t="str">
        <f aca="false">IFERROR(INDEX(Vendor_Master!$B$2:$B$41,MATCH(B643,Vendor_Master!$A$2:$A$41,0)),"Unknown Vendor")</f>
        <v>Johnson and Sons</v>
      </c>
      <c r="D643" s="18" t="n">
        <f aca="false">Vendor_Invoices_AP!E640</f>
        <v>1590.48</v>
      </c>
      <c r="E643" s="16" t="n">
        <f aca="false">COUNTIF(Payment_Log_AP!$B$2:$B$753,A643)</f>
        <v>0</v>
      </c>
      <c r="F643" s="18" t="n">
        <f aca="false">SUMIFS(Payment_Log_AP!$E$2:$E$753,Payment_Log_AP!$B$2:$B$753,A643)</f>
        <v>0</v>
      </c>
      <c r="G643" s="18" t="n">
        <f aca="false">MAX(F643-D643,0)</f>
        <v>0</v>
      </c>
      <c r="H643" s="16" t="str">
        <f aca="false">IF(E643&gt;1,"DUPLICATE - Review",IF(G643&gt;Assumptions!$B$6,"OVERPAID - Review","OK"))</f>
        <v>OK</v>
      </c>
    </row>
    <row r="644" customFormat="false" ht="15" hidden="false" customHeight="false" outlineLevel="0" collapsed="false">
      <c r="A644" s="16" t="str">
        <f aca="false">Vendor_Invoices_AP!A641</f>
        <v>INV30640</v>
      </c>
      <c r="B644" s="16" t="str">
        <f aca="false">Vendor_Invoices_AP!C641</f>
        <v>V1007</v>
      </c>
      <c r="C644" s="16" t="str">
        <f aca="false">IFERROR(INDEX(Vendor_Master!$B$2:$B$41,MATCH(B644,Vendor_Master!$A$2:$A$41,0)),"Unknown Vendor")</f>
        <v>Ramirez-Lewis</v>
      </c>
      <c r="D644" s="18" t="n">
        <f aca="false">Vendor_Invoices_AP!E641</f>
        <v>4880.22</v>
      </c>
      <c r="E644" s="16" t="n">
        <f aca="false">COUNTIF(Payment_Log_AP!$B$2:$B$753,A644)</f>
        <v>1</v>
      </c>
      <c r="F644" s="18" t="n">
        <f aca="false">SUMIFS(Payment_Log_AP!$E$2:$E$753,Payment_Log_AP!$B$2:$B$753,A644)</f>
        <v>4880.22</v>
      </c>
      <c r="G644" s="18" t="n">
        <f aca="false">MAX(F644-D644,0)</f>
        <v>0</v>
      </c>
      <c r="H644" s="16" t="str">
        <f aca="false">IF(E644&gt;1,"DUPLICATE - Review",IF(G644&gt;Assumptions!$B$6,"OVERPAID - Review","OK"))</f>
        <v>OK</v>
      </c>
    </row>
    <row r="645" customFormat="false" ht="15" hidden="false" customHeight="false" outlineLevel="0" collapsed="false">
      <c r="A645" s="16" t="str">
        <f aca="false">Vendor_Invoices_AP!A642</f>
        <v>INV30641</v>
      </c>
      <c r="B645" s="16" t="str">
        <f aca="false">Vendor_Invoices_AP!C642</f>
        <v>V1024</v>
      </c>
      <c r="C645" s="16" t="str">
        <f aca="false">IFERROR(INDEX(Vendor_Master!$B$2:$B$41,MATCH(B645,Vendor_Master!$A$2:$A$41,0)),"Unknown Vendor")</f>
        <v>Campos Inc</v>
      </c>
      <c r="D645" s="18" t="n">
        <f aca="false">Vendor_Invoices_AP!E642</f>
        <v>2581.16</v>
      </c>
      <c r="E645" s="16" t="n">
        <f aca="false">COUNTIF(Payment_Log_AP!$B$2:$B$753,A645)</f>
        <v>1</v>
      </c>
      <c r="F645" s="18" t="n">
        <f aca="false">SUMIFS(Payment_Log_AP!$E$2:$E$753,Payment_Log_AP!$B$2:$B$753,A645)</f>
        <v>2581.16</v>
      </c>
      <c r="G645" s="18" t="n">
        <f aca="false">MAX(F645-D645,0)</f>
        <v>0</v>
      </c>
      <c r="H645" s="16" t="str">
        <f aca="false">IF(E645&gt;1,"DUPLICATE - Review",IF(G645&gt;Assumptions!$B$6,"OVERPAID - Review","OK"))</f>
        <v>OK</v>
      </c>
    </row>
    <row r="646" customFormat="false" ht="15" hidden="false" customHeight="false" outlineLevel="0" collapsed="false">
      <c r="A646" s="16" t="str">
        <f aca="false">Vendor_Invoices_AP!A643</f>
        <v>INV30642</v>
      </c>
      <c r="B646" s="16" t="str">
        <f aca="false">Vendor_Invoices_AP!C643</f>
        <v>V1037</v>
      </c>
      <c r="C646" s="16" t="str">
        <f aca="false">IFERROR(INDEX(Vendor_Master!$B$2:$B$41,MATCH(B646,Vendor_Master!$A$2:$A$41,0)),"Unknown Vendor")</f>
        <v>Cannon, Anderson and Alvarez</v>
      </c>
      <c r="D646" s="18" t="n">
        <f aca="false">Vendor_Invoices_AP!E643</f>
        <v>2022.62</v>
      </c>
      <c r="E646" s="16" t="n">
        <f aca="false">COUNTIF(Payment_Log_AP!$B$2:$B$753,A646)</f>
        <v>0</v>
      </c>
      <c r="F646" s="18" t="n">
        <f aca="false">SUMIFS(Payment_Log_AP!$E$2:$E$753,Payment_Log_AP!$B$2:$B$753,A646)</f>
        <v>0</v>
      </c>
      <c r="G646" s="18" t="n">
        <f aca="false">MAX(F646-D646,0)</f>
        <v>0</v>
      </c>
      <c r="H646" s="16" t="str">
        <f aca="false">IF(E646&gt;1,"DUPLICATE - Review",IF(G646&gt;Assumptions!$B$6,"OVERPAID - Review","OK"))</f>
        <v>OK</v>
      </c>
    </row>
    <row r="647" customFormat="false" ht="15" hidden="false" customHeight="false" outlineLevel="0" collapsed="false">
      <c r="A647" s="16" t="str">
        <f aca="false">Vendor_Invoices_AP!A644</f>
        <v>INV30643</v>
      </c>
      <c r="B647" s="16" t="str">
        <f aca="false">Vendor_Invoices_AP!C644</f>
        <v>V1032</v>
      </c>
      <c r="C647" s="16" t="str">
        <f aca="false">IFERROR(INDEX(Vendor_Master!$B$2:$B$41,MATCH(B647,Vendor_Master!$A$2:$A$41,0)),"Unknown Vendor")</f>
        <v>Lynch, Hernandez and Farmer</v>
      </c>
      <c r="D647" s="18" t="n">
        <f aca="false">Vendor_Invoices_AP!E644</f>
        <v>2330.25</v>
      </c>
      <c r="E647" s="16" t="n">
        <f aca="false">COUNTIF(Payment_Log_AP!$B$2:$B$753,A647)</f>
        <v>1</v>
      </c>
      <c r="F647" s="18" t="n">
        <f aca="false">SUMIFS(Payment_Log_AP!$E$2:$E$753,Payment_Log_AP!$B$2:$B$753,A647)</f>
        <v>2330.25</v>
      </c>
      <c r="G647" s="18" t="n">
        <f aca="false">MAX(F647-D647,0)</f>
        <v>0</v>
      </c>
      <c r="H647" s="16" t="str">
        <f aca="false">IF(E647&gt;1,"DUPLICATE - Review",IF(G647&gt;Assumptions!$B$6,"OVERPAID - Review","OK"))</f>
        <v>OK</v>
      </c>
    </row>
    <row r="648" customFormat="false" ht="15" hidden="false" customHeight="false" outlineLevel="0" collapsed="false">
      <c r="A648" s="16" t="str">
        <f aca="false">Vendor_Invoices_AP!A645</f>
        <v>INV30644</v>
      </c>
      <c r="B648" s="16" t="str">
        <f aca="false">Vendor_Invoices_AP!C645</f>
        <v>V1029</v>
      </c>
      <c r="C648" s="16" t="str">
        <f aca="false">IFERROR(INDEX(Vendor_Master!$B$2:$B$41,MATCH(B648,Vendor_Master!$A$2:$A$41,0)),"Unknown Vendor")</f>
        <v>Chavez Ltd</v>
      </c>
      <c r="D648" s="18" t="n">
        <f aca="false">Vendor_Invoices_AP!E645</f>
        <v>1142.31</v>
      </c>
      <c r="E648" s="16" t="n">
        <f aca="false">COUNTIF(Payment_Log_AP!$B$2:$B$753,A648)</f>
        <v>1</v>
      </c>
      <c r="F648" s="18" t="n">
        <f aca="false">SUMIFS(Payment_Log_AP!$E$2:$E$753,Payment_Log_AP!$B$2:$B$753,A648)</f>
        <v>1142.31</v>
      </c>
      <c r="G648" s="18" t="n">
        <f aca="false">MAX(F648-D648,0)</f>
        <v>0</v>
      </c>
      <c r="H648" s="16" t="str">
        <f aca="false">IF(E648&gt;1,"DUPLICATE - Review",IF(G648&gt;Assumptions!$B$6,"OVERPAID - Review","OK"))</f>
        <v>OK</v>
      </c>
    </row>
    <row r="649" customFormat="false" ht="15" hidden="false" customHeight="false" outlineLevel="0" collapsed="false">
      <c r="A649" s="16" t="str">
        <f aca="false">Vendor_Invoices_AP!A646</f>
        <v>INV30645</v>
      </c>
      <c r="B649" s="16" t="str">
        <f aca="false">Vendor_Invoices_AP!C646</f>
        <v>V1030</v>
      </c>
      <c r="C649" s="16" t="str">
        <f aca="false">IFERROR(INDEX(Vendor_Master!$B$2:$B$41,MATCH(B649,Vendor_Master!$A$2:$A$41,0)),"Unknown Vendor")</f>
        <v>Stanton-Gill</v>
      </c>
      <c r="D649" s="18" t="n">
        <f aca="false">Vendor_Invoices_AP!E646</f>
        <v>5378.13</v>
      </c>
      <c r="E649" s="16" t="n">
        <f aca="false">COUNTIF(Payment_Log_AP!$B$2:$B$753,A649)</f>
        <v>1</v>
      </c>
      <c r="F649" s="18" t="n">
        <f aca="false">SUMIFS(Payment_Log_AP!$E$2:$E$753,Payment_Log_AP!$B$2:$B$753,A649)</f>
        <v>5378.13</v>
      </c>
      <c r="G649" s="18" t="n">
        <f aca="false">MAX(F649-D649,0)</f>
        <v>0</v>
      </c>
      <c r="H649" s="16" t="str">
        <f aca="false">IF(E649&gt;1,"DUPLICATE - Review",IF(G649&gt;Assumptions!$B$6,"OVERPAID - Review","OK"))</f>
        <v>OK</v>
      </c>
    </row>
    <row r="650" customFormat="false" ht="15" hidden="false" customHeight="false" outlineLevel="0" collapsed="false">
      <c r="A650" s="16" t="str">
        <f aca="false">Vendor_Invoices_AP!A647</f>
        <v>INV30646</v>
      </c>
      <c r="B650" s="16" t="str">
        <f aca="false">Vendor_Invoices_AP!C647</f>
        <v>V1002</v>
      </c>
      <c r="C650" s="16" t="str">
        <f aca="false">IFERROR(INDEX(Vendor_Master!$B$2:$B$41,MATCH(B650,Vendor_Master!$A$2:$A$41,0)),"Unknown Vendor")</f>
        <v>Garcia, Yang and Gardner</v>
      </c>
      <c r="D650" s="18" t="n">
        <f aca="false">Vendor_Invoices_AP!E647</f>
        <v>1479.77</v>
      </c>
      <c r="E650" s="16" t="n">
        <f aca="false">COUNTIF(Payment_Log_AP!$B$2:$B$753,A650)</f>
        <v>1</v>
      </c>
      <c r="F650" s="18" t="n">
        <f aca="false">SUMIFS(Payment_Log_AP!$E$2:$E$753,Payment_Log_AP!$B$2:$B$753,A650)</f>
        <v>1479.77</v>
      </c>
      <c r="G650" s="18" t="n">
        <f aca="false">MAX(F650-D650,0)</f>
        <v>0</v>
      </c>
      <c r="H650" s="16" t="str">
        <f aca="false">IF(E650&gt;1,"DUPLICATE - Review",IF(G650&gt;Assumptions!$B$6,"OVERPAID - Review","OK"))</f>
        <v>OK</v>
      </c>
    </row>
    <row r="651" customFormat="false" ht="15" hidden="false" customHeight="false" outlineLevel="0" collapsed="false">
      <c r="A651" s="16" t="str">
        <f aca="false">Vendor_Invoices_AP!A648</f>
        <v>INV30647</v>
      </c>
      <c r="B651" s="16" t="str">
        <f aca="false">Vendor_Invoices_AP!C648</f>
        <v>V1002</v>
      </c>
      <c r="C651" s="16" t="str">
        <f aca="false">IFERROR(INDEX(Vendor_Master!$B$2:$B$41,MATCH(B651,Vendor_Master!$A$2:$A$41,0)),"Unknown Vendor")</f>
        <v>Garcia, Yang and Gardner</v>
      </c>
      <c r="D651" s="18" t="n">
        <f aca="false">Vendor_Invoices_AP!E648</f>
        <v>1479.77</v>
      </c>
      <c r="E651" s="16" t="n">
        <f aca="false">COUNTIF(Payment_Log_AP!$B$2:$B$753,A651)</f>
        <v>1</v>
      </c>
      <c r="F651" s="18" t="n">
        <f aca="false">SUMIFS(Payment_Log_AP!$E$2:$E$753,Payment_Log_AP!$B$2:$B$753,A651)</f>
        <v>1479.77</v>
      </c>
      <c r="G651" s="18" t="n">
        <f aca="false">MAX(F651-D651,0)</f>
        <v>0</v>
      </c>
      <c r="H651" s="16" t="str">
        <f aca="false">IF(E651&gt;1,"DUPLICATE - Review",IF(G651&gt;Assumptions!$B$6,"OVERPAID - Review","OK"))</f>
        <v>OK</v>
      </c>
    </row>
    <row r="652" customFormat="false" ht="15" hidden="false" customHeight="false" outlineLevel="0" collapsed="false">
      <c r="A652" s="16" t="str">
        <f aca="false">Vendor_Invoices_AP!A649</f>
        <v>INV30648</v>
      </c>
      <c r="B652" s="16" t="str">
        <f aca="false">Vendor_Invoices_AP!C649</f>
        <v>V1011</v>
      </c>
      <c r="C652" s="16" t="str">
        <f aca="false">IFERROR(INDEX(Vendor_Master!$B$2:$B$41,MATCH(B652,Vendor_Master!$A$2:$A$41,0)),"Unknown Vendor")</f>
        <v>Montgomery, Hensley and Ray</v>
      </c>
      <c r="D652" s="18" t="n">
        <f aca="false">Vendor_Invoices_AP!E649</f>
        <v>2544.31</v>
      </c>
      <c r="E652" s="16" t="n">
        <f aca="false">COUNTIF(Payment_Log_AP!$B$2:$B$753,A652)</f>
        <v>0</v>
      </c>
      <c r="F652" s="18" t="n">
        <f aca="false">SUMIFS(Payment_Log_AP!$E$2:$E$753,Payment_Log_AP!$B$2:$B$753,A652)</f>
        <v>0</v>
      </c>
      <c r="G652" s="18" t="n">
        <f aca="false">MAX(F652-D652,0)</f>
        <v>0</v>
      </c>
      <c r="H652" s="16" t="str">
        <f aca="false">IF(E652&gt;1,"DUPLICATE - Review",IF(G652&gt;Assumptions!$B$6,"OVERPAID - Review","OK"))</f>
        <v>OK</v>
      </c>
    </row>
    <row r="653" customFormat="false" ht="15" hidden="false" customHeight="false" outlineLevel="0" collapsed="false">
      <c r="A653" s="16" t="str">
        <f aca="false">Vendor_Invoices_AP!A650</f>
        <v>INV30649</v>
      </c>
      <c r="B653" s="16" t="str">
        <f aca="false">Vendor_Invoices_AP!C650</f>
        <v>V1007</v>
      </c>
      <c r="C653" s="16" t="str">
        <f aca="false">IFERROR(INDEX(Vendor_Master!$B$2:$B$41,MATCH(B653,Vendor_Master!$A$2:$A$41,0)),"Unknown Vendor")</f>
        <v>Ramirez-Lewis</v>
      </c>
      <c r="D653" s="18" t="n">
        <f aca="false">Vendor_Invoices_AP!E650</f>
        <v>1679.49</v>
      </c>
      <c r="E653" s="16" t="n">
        <f aca="false">COUNTIF(Payment_Log_AP!$B$2:$B$753,A653)</f>
        <v>1</v>
      </c>
      <c r="F653" s="18" t="n">
        <f aca="false">SUMIFS(Payment_Log_AP!$E$2:$E$753,Payment_Log_AP!$B$2:$B$753,A653)</f>
        <v>1679.49</v>
      </c>
      <c r="G653" s="18" t="n">
        <f aca="false">MAX(F653-D653,0)</f>
        <v>0</v>
      </c>
      <c r="H653" s="16" t="str">
        <f aca="false">IF(E653&gt;1,"DUPLICATE - Review",IF(G653&gt;Assumptions!$B$6,"OVERPAID - Review","OK"))</f>
        <v>OK</v>
      </c>
    </row>
    <row r="654" customFormat="false" ht="15" hidden="false" customHeight="false" outlineLevel="0" collapsed="false">
      <c r="A654" s="16" t="str">
        <f aca="false">Vendor_Invoices_AP!A651</f>
        <v>INV30650</v>
      </c>
      <c r="B654" s="16" t="str">
        <f aca="false">Vendor_Invoices_AP!C651</f>
        <v>V1007</v>
      </c>
      <c r="C654" s="16" t="str">
        <f aca="false">IFERROR(INDEX(Vendor_Master!$B$2:$B$41,MATCH(B654,Vendor_Master!$A$2:$A$41,0)),"Unknown Vendor")</f>
        <v>Ramirez-Lewis</v>
      </c>
      <c r="D654" s="18" t="n">
        <f aca="false">Vendor_Invoices_AP!E651</f>
        <v>1679.49</v>
      </c>
      <c r="E654" s="16" t="n">
        <f aca="false">COUNTIF(Payment_Log_AP!$B$2:$B$753,A654)</f>
        <v>0</v>
      </c>
      <c r="F654" s="18" t="n">
        <f aca="false">SUMIFS(Payment_Log_AP!$E$2:$E$753,Payment_Log_AP!$B$2:$B$753,A654)</f>
        <v>0</v>
      </c>
      <c r="G654" s="18" t="n">
        <f aca="false">MAX(F654-D654,0)</f>
        <v>0</v>
      </c>
      <c r="H654" s="16" t="str">
        <f aca="false">IF(E654&gt;1,"DUPLICATE - Review",IF(G654&gt;Assumptions!$B$6,"OVERPAID - Review","OK"))</f>
        <v>OK</v>
      </c>
    </row>
    <row r="655" customFormat="false" ht="15" hidden="false" customHeight="false" outlineLevel="0" collapsed="false">
      <c r="A655" s="16" t="str">
        <f aca="false">Vendor_Invoices_AP!A652</f>
        <v>INV30651</v>
      </c>
      <c r="B655" s="16" t="str">
        <f aca="false">Vendor_Invoices_AP!C652</f>
        <v>V1034</v>
      </c>
      <c r="C655" s="16" t="str">
        <f aca="false">IFERROR(INDEX(Vendor_Master!$B$2:$B$41,MATCH(B655,Vendor_Master!$A$2:$A$41,0)),"Unknown Vendor")</f>
        <v>Koch-Decker</v>
      </c>
      <c r="D655" s="18" t="n">
        <f aca="false">Vendor_Invoices_AP!E652</f>
        <v>2035.58</v>
      </c>
      <c r="E655" s="16" t="n">
        <f aca="false">COUNTIF(Payment_Log_AP!$B$2:$B$753,A655)</f>
        <v>1</v>
      </c>
      <c r="F655" s="18" t="n">
        <f aca="false">SUMIFS(Payment_Log_AP!$E$2:$E$753,Payment_Log_AP!$B$2:$B$753,A655)</f>
        <v>2035.58</v>
      </c>
      <c r="G655" s="18" t="n">
        <f aca="false">MAX(F655-D655,0)</f>
        <v>0</v>
      </c>
      <c r="H655" s="16" t="str">
        <f aca="false">IF(E655&gt;1,"DUPLICATE - Review",IF(G655&gt;Assumptions!$B$6,"OVERPAID - Review","OK"))</f>
        <v>OK</v>
      </c>
    </row>
    <row r="656" customFormat="false" ht="15" hidden="false" customHeight="false" outlineLevel="0" collapsed="false">
      <c r="A656" s="16" t="str">
        <f aca="false">Vendor_Invoices_AP!A653</f>
        <v>INV30652</v>
      </c>
      <c r="B656" s="16" t="str">
        <f aca="false">Vendor_Invoices_AP!C653</f>
        <v>V1025</v>
      </c>
      <c r="C656" s="16" t="str">
        <f aca="false">IFERROR(INDEX(Vendor_Master!$B$2:$B$41,MATCH(B656,Vendor_Master!$A$2:$A$41,0)),"Unknown Vendor")</f>
        <v>Conner Group</v>
      </c>
      <c r="D656" s="18" t="n">
        <f aca="false">Vendor_Invoices_AP!E653</f>
        <v>1499.87</v>
      </c>
      <c r="E656" s="16" t="n">
        <f aca="false">COUNTIF(Payment_Log_AP!$B$2:$B$753,A656)</f>
        <v>1</v>
      </c>
      <c r="F656" s="18" t="n">
        <f aca="false">SUMIFS(Payment_Log_AP!$E$2:$E$753,Payment_Log_AP!$B$2:$B$753,A656)</f>
        <v>1499.87</v>
      </c>
      <c r="G656" s="18" t="n">
        <f aca="false">MAX(F656-D656,0)</f>
        <v>0</v>
      </c>
      <c r="H656" s="16" t="str">
        <f aca="false">IF(E656&gt;1,"DUPLICATE - Review",IF(G656&gt;Assumptions!$B$6,"OVERPAID - Review","OK"))</f>
        <v>OK</v>
      </c>
    </row>
    <row r="657" customFormat="false" ht="15" hidden="false" customHeight="false" outlineLevel="0" collapsed="false">
      <c r="A657" s="16" t="str">
        <f aca="false">Vendor_Invoices_AP!A654</f>
        <v>INV30653</v>
      </c>
      <c r="B657" s="16" t="str">
        <f aca="false">Vendor_Invoices_AP!C654</f>
        <v>V1005</v>
      </c>
      <c r="C657" s="16" t="str">
        <f aca="false">IFERROR(INDEX(Vendor_Master!$B$2:$B$41,MATCH(B657,Vendor_Master!$A$2:$A$41,0)),"Unknown Vendor")</f>
        <v>Cole LLC</v>
      </c>
      <c r="D657" s="18" t="n">
        <f aca="false">Vendor_Invoices_AP!E654</f>
        <v>2691.6</v>
      </c>
      <c r="E657" s="16" t="n">
        <f aca="false">COUNTIF(Payment_Log_AP!$B$2:$B$753,A657)</f>
        <v>1</v>
      </c>
      <c r="F657" s="18" t="n">
        <f aca="false">SUMIFS(Payment_Log_AP!$E$2:$E$753,Payment_Log_AP!$B$2:$B$753,A657)</f>
        <v>2691.6</v>
      </c>
      <c r="G657" s="18" t="n">
        <f aca="false">MAX(F657-D657,0)</f>
        <v>0</v>
      </c>
      <c r="H657" s="16" t="str">
        <f aca="false">IF(E657&gt;1,"DUPLICATE - Review",IF(G657&gt;Assumptions!$B$6,"OVERPAID - Review","OK"))</f>
        <v>OK</v>
      </c>
    </row>
    <row r="658" customFormat="false" ht="15" hidden="false" customHeight="false" outlineLevel="0" collapsed="false">
      <c r="A658" s="16" t="str">
        <f aca="false">Vendor_Invoices_AP!A655</f>
        <v>INV30654</v>
      </c>
      <c r="B658" s="16" t="str">
        <f aca="false">Vendor_Invoices_AP!C655</f>
        <v>V1008</v>
      </c>
      <c r="C658" s="16" t="str">
        <f aca="false">IFERROR(INDEX(Vendor_Master!$B$2:$B$41,MATCH(B658,Vendor_Master!$A$2:$A$41,0)),"Unknown Vendor")</f>
        <v>Davis Inc</v>
      </c>
      <c r="D658" s="18" t="n">
        <f aca="false">Vendor_Invoices_AP!E655</f>
        <v>687.41</v>
      </c>
      <c r="E658" s="16" t="n">
        <f aca="false">COUNTIF(Payment_Log_AP!$B$2:$B$753,A658)</f>
        <v>1</v>
      </c>
      <c r="F658" s="18" t="n">
        <f aca="false">SUMIFS(Payment_Log_AP!$E$2:$E$753,Payment_Log_AP!$B$2:$B$753,A658)</f>
        <v>687.41</v>
      </c>
      <c r="G658" s="18" t="n">
        <f aca="false">MAX(F658-D658,0)</f>
        <v>0</v>
      </c>
      <c r="H658" s="16" t="str">
        <f aca="false">IF(E658&gt;1,"DUPLICATE - Review",IF(G658&gt;Assumptions!$B$6,"OVERPAID - Review","OK"))</f>
        <v>OK</v>
      </c>
    </row>
    <row r="659" customFormat="false" ht="15" hidden="false" customHeight="false" outlineLevel="0" collapsed="false">
      <c r="A659" s="16" t="str">
        <f aca="false">Vendor_Invoices_AP!A656</f>
        <v>INV30655</v>
      </c>
      <c r="B659" s="16" t="str">
        <f aca="false">Vendor_Invoices_AP!C656</f>
        <v>V1031</v>
      </c>
      <c r="C659" s="16" t="str">
        <f aca="false">IFERROR(INDEX(Vendor_Master!$B$2:$B$41,MATCH(B659,Vendor_Master!$A$2:$A$41,0)),"Unknown Vendor")</f>
        <v>Harrell LLC</v>
      </c>
      <c r="D659" s="18" t="n">
        <f aca="false">Vendor_Invoices_AP!E656</f>
        <v>915.68</v>
      </c>
      <c r="E659" s="16" t="n">
        <f aca="false">COUNTIF(Payment_Log_AP!$B$2:$B$753,A659)</f>
        <v>1</v>
      </c>
      <c r="F659" s="18" t="n">
        <f aca="false">SUMIFS(Payment_Log_AP!$E$2:$E$753,Payment_Log_AP!$B$2:$B$753,A659)</f>
        <v>915.68</v>
      </c>
      <c r="G659" s="18" t="n">
        <f aca="false">MAX(F659-D659,0)</f>
        <v>0</v>
      </c>
      <c r="H659" s="16" t="str">
        <f aca="false">IF(E659&gt;1,"DUPLICATE - Review",IF(G659&gt;Assumptions!$B$6,"OVERPAID - Review","OK"))</f>
        <v>OK</v>
      </c>
    </row>
    <row r="660" customFormat="false" ht="15" hidden="false" customHeight="false" outlineLevel="0" collapsed="false">
      <c r="A660" s="16" t="str">
        <f aca="false">Vendor_Invoices_AP!A657</f>
        <v>INV30656</v>
      </c>
      <c r="B660" s="16" t="str">
        <f aca="false">Vendor_Invoices_AP!C657</f>
        <v>V1017</v>
      </c>
      <c r="C660" s="16" t="str">
        <f aca="false">IFERROR(INDEX(Vendor_Master!$B$2:$B$41,MATCH(B660,Vendor_Master!$A$2:$A$41,0)),"Unknown Vendor")</f>
        <v>Hawkins, Cohen and Cameron</v>
      </c>
      <c r="D660" s="18" t="n">
        <f aca="false">Vendor_Invoices_AP!E657</f>
        <v>1560.82</v>
      </c>
      <c r="E660" s="16" t="n">
        <f aca="false">COUNTIF(Payment_Log_AP!$B$2:$B$753,A660)</f>
        <v>1</v>
      </c>
      <c r="F660" s="18" t="n">
        <f aca="false">SUMIFS(Payment_Log_AP!$E$2:$E$753,Payment_Log_AP!$B$2:$B$753,A660)</f>
        <v>1560.82</v>
      </c>
      <c r="G660" s="18" t="n">
        <f aca="false">MAX(F660-D660,0)</f>
        <v>0</v>
      </c>
      <c r="H660" s="16" t="str">
        <f aca="false">IF(E660&gt;1,"DUPLICATE - Review",IF(G660&gt;Assumptions!$B$6,"OVERPAID - Review","OK"))</f>
        <v>OK</v>
      </c>
    </row>
    <row r="661" customFormat="false" ht="15" hidden="false" customHeight="false" outlineLevel="0" collapsed="false">
      <c r="A661" s="16" t="str">
        <f aca="false">Vendor_Invoices_AP!A658</f>
        <v>INV30657</v>
      </c>
      <c r="B661" s="16" t="str">
        <f aca="false">Vendor_Invoices_AP!C658</f>
        <v>V1001</v>
      </c>
      <c r="C661" s="16" t="str">
        <f aca="false">IFERROR(INDEX(Vendor_Master!$B$2:$B$41,MATCH(B661,Vendor_Master!$A$2:$A$41,0)),"Unknown Vendor")</f>
        <v>Figueroa and Sons</v>
      </c>
      <c r="D661" s="18" t="n">
        <f aca="false">Vendor_Invoices_AP!E658</f>
        <v>134.87</v>
      </c>
      <c r="E661" s="16" t="n">
        <f aca="false">COUNTIF(Payment_Log_AP!$B$2:$B$753,A661)</f>
        <v>0</v>
      </c>
      <c r="F661" s="18" t="n">
        <f aca="false">SUMIFS(Payment_Log_AP!$E$2:$E$753,Payment_Log_AP!$B$2:$B$753,A661)</f>
        <v>0</v>
      </c>
      <c r="G661" s="18" t="n">
        <f aca="false">MAX(F661-D661,0)</f>
        <v>0</v>
      </c>
      <c r="H661" s="16" t="str">
        <f aca="false">IF(E661&gt;1,"DUPLICATE - Review",IF(G661&gt;Assumptions!$B$6,"OVERPAID - Review","OK"))</f>
        <v>OK</v>
      </c>
    </row>
    <row r="662" customFormat="false" ht="15" hidden="false" customHeight="false" outlineLevel="0" collapsed="false">
      <c r="A662" s="16" t="str">
        <f aca="false">Vendor_Invoices_AP!A659</f>
        <v>INV30658</v>
      </c>
      <c r="B662" s="16" t="str">
        <f aca="false">Vendor_Invoices_AP!C659</f>
        <v>V1032</v>
      </c>
      <c r="C662" s="16" t="str">
        <f aca="false">IFERROR(INDEX(Vendor_Master!$B$2:$B$41,MATCH(B662,Vendor_Master!$A$2:$A$41,0)),"Unknown Vendor")</f>
        <v>Lynch, Hernandez and Farmer</v>
      </c>
      <c r="D662" s="18" t="n">
        <f aca="false">Vendor_Invoices_AP!E659</f>
        <v>827.43</v>
      </c>
      <c r="E662" s="16" t="n">
        <f aca="false">COUNTIF(Payment_Log_AP!$B$2:$B$753,A662)</f>
        <v>1</v>
      </c>
      <c r="F662" s="18" t="n">
        <f aca="false">SUMIFS(Payment_Log_AP!$E$2:$E$753,Payment_Log_AP!$B$2:$B$753,A662)</f>
        <v>827.43</v>
      </c>
      <c r="G662" s="18" t="n">
        <f aca="false">MAX(F662-D662,0)</f>
        <v>0</v>
      </c>
      <c r="H662" s="16" t="str">
        <f aca="false">IF(E662&gt;1,"DUPLICATE - Review",IF(G662&gt;Assumptions!$B$6,"OVERPAID - Review","OK"))</f>
        <v>OK</v>
      </c>
    </row>
    <row r="663" customFormat="false" ht="15" hidden="false" customHeight="false" outlineLevel="0" collapsed="false">
      <c r="A663" s="16" t="str">
        <f aca="false">Vendor_Invoices_AP!A660</f>
        <v>INV30659</v>
      </c>
      <c r="B663" s="16" t="str">
        <f aca="false">Vendor_Invoices_AP!C660</f>
        <v>V1036</v>
      </c>
      <c r="C663" s="16" t="str">
        <f aca="false">IFERROR(INDEX(Vendor_Master!$B$2:$B$41,MATCH(B663,Vendor_Master!$A$2:$A$41,0)),"Unknown Vendor")</f>
        <v>Dennis Inc</v>
      </c>
      <c r="D663" s="18" t="n">
        <f aca="false">Vendor_Invoices_AP!E660</f>
        <v>11648.06</v>
      </c>
      <c r="E663" s="16" t="n">
        <f aca="false">COUNTIF(Payment_Log_AP!$B$2:$B$753,A663)</f>
        <v>1</v>
      </c>
      <c r="F663" s="18" t="n">
        <f aca="false">SUMIFS(Payment_Log_AP!$E$2:$E$753,Payment_Log_AP!$B$2:$B$753,A663)</f>
        <v>11648.06</v>
      </c>
      <c r="G663" s="18" t="n">
        <f aca="false">MAX(F663-D663,0)</f>
        <v>0</v>
      </c>
      <c r="H663" s="16" t="str">
        <f aca="false">IF(E663&gt;1,"DUPLICATE - Review",IF(G663&gt;Assumptions!$B$6,"OVERPAID - Review","OK"))</f>
        <v>OK</v>
      </c>
    </row>
    <row r="664" customFormat="false" ht="15" hidden="false" customHeight="false" outlineLevel="0" collapsed="false">
      <c r="A664" s="16" t="str">
        <f aca="false">Vendor_Invoices_AP!A661</f>
        <v>INV30660</v>
      </c>
      <c r="B664" s="16" t="str">
        <f aca="false">Vendor_Invoices_AP!C661</f>
        <v>V1036</v>
      </c>
      <c r="C664" s="16" t="str">
        <f aca="false">IFERROR(INDEX(Vendor_Master!$B$2:$B$41,MATCH(B664,Vendor_Master!$A$2:$A$41,0)),"Unknown Vendor")</f>
        <v>Dennis Inc</v>
      </c>
      <c r="D664" s="18" t="n">
        <f aca="false">Vendor_Invoices_AP!E661</f>
        <v>11648.06</v>
      </c>
      <c r="E664" s="16" t="n">
        <f aca="false">COUNTIF(Payment_Log_AP!$B$2:$B$753,A664)</f>
        <v>1</v>
      </c>
      <c r="F664" s="18" t="n">
        <f aca="false">SUMIFS(Payment_Log_AP!$E$2:$E$753,Payment_Log_AP!$B$2:$B$753,A664)</f>
        <v>11648.06</v>
      </c>
      <c r="G664" s="18" t="n">
        <f aca="false">MAX(F664-D664,0)</f>
        <v>0</v>
      </c>
      <c r="H664" s="16" t="str">
        <f aca="false">IF(E664&gt;1,"DUPLICATE - Review",IF(G664&gt;Assumptions!$B$6,"OVERPAID - Review","OK"))</f>
        <v>OK</v>
      </c>
    </row>
    <row r="665" customFormat="false" ht="15" hidden="false" customHeight="false" outlineLevel="0" collapsed="false">
      <c r="A665" s="16" t="str">
        <f aca="false">Vendor_Invoices_AP!A662</f>
        <v>INV30661</v>
      </c>
      <c r="B665" s="16" t="str">
        <f aca="false">Vendor_Invoices_AP!C662</f>
        <v>V1012</v>
      </c>
      <c r="C665" s="16" t="str">
        <f aca="false">IFERROR(INDEX(Vendor_Master!$B$2:$B$41,MATCH(B665,Vendor_Master!$A$2:$A$41,0)),"Unknown Vendor")</f>
        <v>Stanley LLC</v>
      </c>
      <c r="D665" s="18" t="n">
        <f aca="false">Vendor_Invoices_AP!E662</f>
        <v>12577.05</v>
      </c>
      <c r="E665" s="16" t="n">
        <f aca="false">COUNTIF(Payment_Log_AP!$B$2:$B$753,A665)</f>
        <v>2</v>
      </c>
      <c r="F665" s="18" t="n">
        <f aca="false">SUMIFS(Payment_Log_AP!$E$2:$E$753,Payment_Log_AP!$B$2:$B$753,A665)</f>
        <v>25154.1</v>
      </c>
      <c r="G665" s="18" t="n">
        <f aca="false">MAX(F665-D665,0)</f>
        <v>12577.05</v>
      </c>
      <c r="H665" s="16" t="str">
        <f aca="false">IF(E665&gt;1,"DUPLICATE - Review",IF(G665&gt;Assumptions!$B$6,"OVERPAID - Review","OK"))</f>
        <v>DUPLICATE - Review</v>
      </c>
    </row>
    <row r="666" customFormat="false" ht="15" hidden="false" customHeight="false" outlineLevel="0" collapsed="false">
      <c r="A666" s="16" t="str">
        <f aca="false">Vendor_Invoices_AP!A663</f>
        <v>INV30662</v>
      </c>
      <c r="B666" s="16" t="str">
        <f aca="false">Vendor_Invoices_AP!C663</f>
        <v>V1010</v>
      </c>
      <c r="C666" s="16" t="str">
        <f aca="false">IFERROR(INDEX(Vendor_Master!$B$2:$B$41,MATCH(B666,Vendor_Master!$A$2:$A$41,0)),"Unknown Vendor")</f>
        <v>Martinez, Nielsen and Miller</v>
      </c>
      <c r="D666" s="18" t="n">
        <f aca="false">Vendor_Invoices_AP!E663</f>
        <v>1362.33</v>
      </c>
      <c r="E666" s="16" t="n">
        <f aca="false">COUNTIF(Payment_Log_AP!$B$2:$B$753,A666)</f>
        <v>1</v>
      </c>
      <c r="F666" s="18" t="n">
        <f aca="false">SUMIFS(Payment_Log_AP!$E$2:$E$753,Payment_Log_AP!$B$2:$B$753,A666)</f>
        <v>1362.33</v>
      </c>
      <c r="G666" s="18" t="n">
        <f aca="false">MAX(F666-D666,0)</f>
        <v>0</v>
      </c>
      <c r="H666" s="16" t="str">
        <f aca="false">IF(E666&gt;1,"DUPLICATE - Review",IF(G666&gt;Assumptions!$B$6,"OVERPAID - Review","OK"))</f>
        <v>OK</v>
      </c>
    </row>
    <row r="667" customFormat="false" ht="15" hidden="false" customHeight="false" outlineLevel="0" collapsed="false">
      <c r="A667" s="16" t="str">
        <f aca="false">Vendor_Invoices_AP!A664</f>
        <v>INV30663</v>
      </c>
      <c r="B667" s="16" t="str">
        <f aca="false">Vendor_Invoices_AP!C664</f>
        <v>V1034</v>
      </c>
      <c r="C667" s="16" t="str">
        <f aca="false">IFERROR(INDEX(Vendor_Master!$B$2:$B$41,MATCH(B667,Vendor_Master!$A$2:$A$41,0)),"Unknown Vendor")</f>
        <v>Koch-Decker</v>
      </c>
      <c r="D667" s="18" t="n">
        <f aca="false">Vendor_Invoices_AP!E664</f>
        <v>2061.29</v>
      </c>
      <c r="E667" s="16" t="n">
        <f aca="false">COUNTIF(Payment_Log_AP!$B$2:$B$753,A667)</f>
        <v>1</v>
      </c>
      <c r="F667" s="18" t="n">
        <f aca="false">SUMIFS(Payment_Log_AP!$E$2:$E$753,Payment_Log_AP!$B$2:$B$753,A667)</f>
        <v>2061.29</v>
      </c>
      <c r="G667" s="18" t="n">
        <f aca="false">MAX(F667-D667,0)</f>
        <v>0</v>
      </c>
      <c r="H667" s="16" t="str">
        <f aca="false">IF(E667&gt;1,"DUPLICATE - Review",IF(G667&gt;Assumptions!$B$6,"OVERPAID - Review","OK"))</f>
        <v>OK</v>
      </c>
    </row>
    <row r="668" customFormat="false" ht="15" hidden="false" customHeight="false" outlineLevel="0" collapsed="false">
      <c r="A668" s="16" t="str">
        <f aca="false">Vendor_Invoices_AP!A665</f>
        <v>INV30664</v>
      </c>
      <c r="B668" s="16" t="str">
        <f aca="false">Vendor_Invoices_AP!C665</f>
        <v>V1002</v>
      </c>
      <c r="C668" s="16" t="str">
        <f aca="false">IFERROR(INDEX(Vendor_Master!$B$2:$B$41,MATCH(B668,Vendor_Master!$A$2:$A$41,0)),"Unknown Vendor")</f>
        <v>Garcia, Yang and Gardner</v>
      </c>
      <c r="D668" s="18" t="n">
        <f aca="false">Vendor_Invoices_AP!E665</f>
        <v>1760.94</v>
      </c>
      <c r="E668" s="16" t="n">
        <f aca="false">COUNTIF(Payment_Log_AP!$B$2:$B$753,A668)</f>
        <v>1</v>
      </c>
      <c r="F668" s="18" t="n">
        <f aca="false">SUMIFS(Payment_Log_AP!$E$2:$E$753,Payment_Log_AP!$B$2:$B$753,A668)</f>
        <v>1760.94</v>
      </c>
      <c r="G668" s="18" t="n">
        <f aca="false">MAX(F668-D668,0)</f>
        <v>0</v>
      </c>
      <c r="H668" s="16" t="str">
        <f aca="false">IF(E668&gt;1,"DUPLICATE - Review",IF(G668&gt;Assumptions!$B$6,"OVERPAID - Review","OK"))</f>
        <v>OK</v>
      </c>
    </row>
    <row r="669" customFormat="false" ht="15" hidden="false" customHeight="false" outlineLevel="0" collapsed="false">
      <c r="A669" s="16" t="str">
        <f aca="false">Vendor_Invoices_AP!A666</f>
        <v>INV30665</v>
      </c>
      <c r="B669" s="16" t="str">
        <f aca="false">Vendor_Invoices_AP!C666</f>
        <v>V1009</v>
      </c>
      <c r="C669" s="16" t="str">
        <f aca="false">IFERROR(INDEX(Vendor_Master!$B$2:$B$41,MATCH(B669,Vendor_Master!$A$2:$A$41,0)),"Unknown Vendor")</f>
        <v>Munoz-Roman</v>
      </c>
      <c r="D669" s="18" t="n">
        <f aca="false">Vendor_Invoices_AP!E666</f>
        <v>4559.69</v>
      </c>
      <c r="E669" s="16" t="n">
        <f aca="false">COUNTIF(Payment_Log_AP!$B$2:$B$753,A669)</f>
        <v>1</v>
      </c>
      <c r="F669" s="18" t="n">
        <f aca="false">SUMIFS(Payment_Log_AP!$E$2:$E$753,Payment_Log_AP!$B$2:$B$753,A669)</f>
        <v>4559.69</v>
      </c>
      <c r="G669" s="18" t="n">
        <f aca="false">MAX(F669-D669,0)</f>
        <v>0</v>
      </c>
      <c r="H669" s="16" t="str">
        <f aca="false">IF(E669&gt;1,"DUPLICATE - Review",IF(G669&gt;Assumptions!$B$6,"OVERPAID - Review","OK"))</f>
        <v>OK</v>
      </c>
    </row>
    <row r="670" customFormat="false" ht="15" hidden="false" customHeight="false" outlineLevel="0" collapsed="false">
      <c r="A670" s="16" t="str">
        <f aca="false">Vendor_Invoices_AP!A667</f>
        <v>INV30666</v>
      </c>
      <c r="B670" s="16" t="str">
        <f aca="false">Vendor_Invoices_AP!C667</f>
        <v>V1032</v>
      </c>
      <c r="C670" s="16" t="str">
        <f aca="false">IFERROR(INDEX(Vendor_Master!$B$2:$B$41,MATCH(B670,Vendor_Master!$A$2:$A$41,0)),"Unknown Vendor")</f>
        <v>Lynch, Hernandez and Farmer</v>
      </c>
      <c r="D670" s="18" t="n">
        <f aca="false">Vendor_Invoices_AP!E667</f>
        <v>285.04</v>
      </c>
      <c r="E670" s="16" t="n">
        <f aca="false">COUNTIF(Payment_Log_AP!$B$2:$B$753,A670)</f>
        <v>1</v>
      </c>
      <c r="F670" s="18" t="n">
        <f aca="false">SUMIFS(Payment_Log_AP!$E$2:$E$753,Payment_Log_AP!$B$2:$B$753,A670)</f>
        <v>285.04</v>
      </c>
      <c r="G670" s="18" t="n">
        <f aca="false">MAX(F670-D670,0)</f>
        <v>0</v>
      </c>
      <c r="H670" s="16" t="str">
        <f aca="false">IF(E670&gt;1,"DUPLICATE - Review",IF(G670&gt;Assumptions!$B$6,"OVERPAID - Review","OK"))</f>
        <v>OK</v>
      </c>
    </row>
    <row r="671" customFormat="false" ht="15" hidden="false" customHeight="false" outlineLevel="0" collapsed="false">
      <c r="A671" s="16" t="str">
        <f aca="false">Vendor_Invoices_AP!A668</f>
        <v>INV30667</v>
      </c>
      <c r="B671" s="16" t="str">
        <f aca="false">Vendor_Invoices_AP!C668</f>
        <v>V1028</v>
      </c>
      <c r="C671" s="16" t="str">
        <f aca="false">IFERROR(INDEX(Vendor_Master!$B$2:$B$41,MATCH(B671,Vendor_Master!$A$2:$A$41,0)),"Unknown Vendor")</f>
        <v>Potter, Mack and Peterson</v>
      </c>
      <c r="D671" s="18" t="n">
        <f aca="false">Vendor_Invoices_AP!E668</f>
        <v>2954.28</v>
      </c>
      <c r="E671" s="16" t="n">
        <f aca="false">COUNTIF(Payment_Log_AP!$B$2:$B$753,A671)</f>
        <v>1</v>
      </c>
      <c r="F671" s="18" t="n">
        <f aca="false">SUMIFS(Payment_Log_AP!$E$2:$E$753,Payment_Log_AP!$B$2:$B$753,A671)</f>
        <v>2954.28</v>
      </c>
      <c r="G671" s="18" t="n">
        <f aca="false">MAX(F671-D671,0)</f>
        <v>0</v>
      </c>
      <c r="H671" s="16" t="str">
        <f aca="false">IF(E671&gt;1,"DUPLICATE - Review",IF(G671&gt;Assumptions!$B$6,"OVERPAID - Review","OK"))</f>
        <v>OK</v>
      </c>
    </row>
    <row r="672" customFormat="false" ht="15" hidden="false" customHeight="false" outlineLevel="0" collapsed="false">
      <c r="A672" s="16" t="str">
        <f aca="false">Vendor_Invoices_AP!A669</f>
        <v>INV30668</v>
      </c>
      <c r="B672" s="16" t="str">
        <f aca="false">Vendor_Invoices_AP!C669</f>
        <v>V1040</v>
      </c>
      <c r="C672" s="16" t="str">
        <f aca="false">IFERROR(INDEX(Vendor_Master!$B$2:$B$41,MATCH(B672,Vendor_Master!$A$2:$A$41,0)),"Unknown Vendor")</f>
        <v>Santos, Kim and Holmes</v>
      </c>
      <c r="D672" s="18" t="n">
        <f aca="false">Vendor_Invoices_AP!E669</f>
        <v>894.04</v>
      </c>
      <c r="E672" s="16" t="n">
        <f aca="false">COUNTIF(Payment_Log_AP!$B$2:$B$753,A672)</f>
        <v>0</v>
      </c>
      <c r="F672" s="18" t="n">
        <f aca="false">SUMIFS(Payment_Log_AP!$E$2:$E$753,Payment_Log_AP!$B$2:$B$753,A672)</f>
        <v>0</v>
      </c>
      <c r="G672" s="18" t="n">
        <f aca="false">MAX(F672-D672,0)</f>
        <v>0</v>
      </c>
      <c r="H672" s="16" t="str">
        <f aca="false">IF(E672&gt;1,"DUPLICATE - Review",IF(G672&gt;Assumptions!$B$6,"OVERPAID - Review","OK"))</f>
        <v>OK</v>
      </c>
    </row>
    <row r="673" customFormat="false" ht="15" hidden="false" customHeight="false" outlineLevel="0" collapsed="false">
      <c r="A673" s="16" t="str">
        <f aca="false">Vendor_Invoices_AP!A670</f>
        <v>INV30669</v>
      </c>
      <c r="B673" s="16" t="str">
        <f aca="false">Vendor_Invoices_AP!C670</f>
        <v>V1028</v>
      </c>
      <c r="C673" s="16" t="str">
        <f aca="false">IFERROR(INDEX(Vendor_Master!$B$2:$B$41,MATCH(B673,Vendor_Master!$A$2:$A$41,0)),"Unknown Vendor")</f>
        <v>Potter, Mack and Peterson</v>
      </c>
      <c r="D673" s="18" t="n">
        <f aca="false">Vendor_Invoices_AP!E670</f>
        <v>603.77</v>
      </c>
      <c r="E673" s="16" t="n">
        <f aca="false">COUNTIF(Payment_Log_AP!$B$2:$B$753,A673)</f>
        <v>1</v>
      </c>
      <c r="F673" s="18" t="n">
        <f aca="false">SUMIFS(Payment_Log_AP!$E$2:$E$753,Payment_Log_AP!$B$2:$B$753,A673)</f>
        <v>603.77</v>
      </c>
      <c r="G673" s="18" t="n">
        <f aca="false">MAX(F673-D673,0)</f>
        <v>0</v>
      </c>
      <c r="H673" s="16" t="str">
        <f aca="false">IF(E673&gt;1,"DUPLICATE - Review",IF(G673&gt;Assumptions!$B$6,"OVERPAID - Review","OK"))</f>
        <v>OK</v>
      </c>
    </row>
    <row r="674" customFormat="false" ht="15" hidden="false" customHeight="false" outlineLevel="0" collapsed="false">
      <c r="A674" s="16" t="str">
        <f aca="false">Vendor_Invoices_AP!A671</f>
        <v>INV30670</v>
      </c>
      <c r="B674" s="16" t="str">
        <f aca="false">Vendor_Invoices_AP!C671</f>
        <v>V1027</v>
      </c>
      <c r="C674" s="16" t="str">
        <f aca="false">IFERROR(INDEX(Vendor_Master!$B$2:$B$41,MATCH(B674,Vendor_Master!$A$2:$A$41,0)),"Unknown Vendor")</f>
        <v>Valencia, Smith and Le</v>
      </c>
      <c r="D674" s="18" t="n">
        <f aca="false">Vendor_Invoices_AP!E671</f>
        <v>2681.96</v>
      </c>
      <c r="E674" s="16" t="n">
        <f aca="false">COUNTIF(Payment_Log_AP!$B$2:$B$753,A674)</f>
        <v>0</v>
      </c>
      <c r="F674" s="18" t="n">
        <f aca="false">SUMIFS(Payment_Log_AP!$E$2:$E$753,Payment_Log_AP!$B$2:$B$753,A674)</f>
        <v>0</v>
      </c>
      <c r="G674" s="18" t="n">
        <f aca="false">MAX(F674-D674,0)</f>
        <v>0</v>
      </c>
      <c r="H674" s="16" t="str">
        <f aca="false">IF(E674&gt;1,"DUPLICATE - Review",IF(G674&gt;Assumptions!$B$6,"OVERPAID - Review","OK"))</f>
        <v>OK</v>
      </c>
    </row>
    <row r="675" customFormat="false" ht="15" hidden="false" customHeight="false" outlineLevel="0" collapsed="false">
      <c r="A675" s="16" t="str">
        <f aca="false">Vendor_Invoices_AP!A672</f>
        <v>INV30671</v>
      </c>
      <c r="B675" s="16" t="str">
        <f aca="false">Vendor_Invoices_AP!C672</f>
        <v>V1040</v>
      </c>
      <c r="C675" s="16" t="str">
        <f aca="false">IFERROR(INDEX(Vendor_Master!$B$2:$B$41,MATCH(B675,Vendor_Master!$A$2:$A$41,0)),"Unknown Vendor")</f>
        <v>Santos, Kim and Holmes</v>
      </c>
      <c r="D675" s="18" t="n">
        <f aca="false">Vendor_Invoices_AP!E672</f>
        <v>767.92</v>
      </c>
      <c r="E675" s="16" t="n">
        <f aca="false">COUNTIF(Payment_Log_AP!$B$2:$B$753,A675)</f>
        <v>1</v>
      </c>
      <c r="F675" s="18" t="n">
        <f aca="false">SUMIFS(Payment_Log_AP!$E$2:$E$753,Payment_Log_AP!$B$2:$B$753,A675)</f>
        <v>767.92</v>
      </c>
      <c r="G675" s="18" t="n">
        <f aca="false">MAX(F675-D675,0)</f>
        <v>0</v>
      </c>
      <c r="H675" s="16" t="str">
        <f aca="false">IF(E675&gt;1,"DUPLICATE - Review",IF(G675&gt;Assumptions!$B$6,"OVERPAID - Review","OK"))</f>
        <v>OK</v>
      </c>
    </row>
    <row r="676" customFormat="false" ht="15" hidden="false" customHeight="false" outlineLevel="0" collapsed="false">
      <c r="A676" s="16" t="str">
        <f aca="false">Vendor_Invoices_AP!A673</f>
        <v>INV30672</v>
      </c>
      <c r="B676" s="16" t="str">
        <f aca="false">Vendor_Invoices_AP!C673</f>
        <v>V1010</v>
      </c>
      <c r="C676" s="16" t="str">
        <f aca="false">IFERROR(INDEX(Vendor_Master!$B$2:$B$41,MATCH(B676,Vendor_Master!$A$2:$A$41,0)),"Unknown Vendor")</f>
        <v>Martinez, Nielsen and Miller</v>
      </c>
      <c r="D676" s="18" t="n">
        <f aca="false">Vendor_Invoices_AP!E673</f>
        <v>2186.62</v>
      </c>
      <c r="E676" s="16" t="n">
        <f aca="false">COUNTIF(Payment_Log_AP!$B$2:$B$753,A676)</f>
        <v>1</v>
      </c>
      <c r="F676" s="18" t="n">
        <f aca="false">SUMIFS(Payment_Log_AP!$E$2:$E$753,Payment_Log_AP!$B$2:$B$753,A676)</f>
        <v>2186.62</v>
      </c>
      <c r="G676" s="18" t="n">
        <f aca="false">MAX(F676-D676,0)</f>
        <v>0</v>
      </c>
      <c r="H676" s="16" t="str">
        <f aca="false">IF(E676&gt;1,"DUPLICATE - Review",IF(G676&gt;Assumptions!$B$6,"OVERPAID - Review","OK"))</f>
        <v>OK</v>
      </c>
    </row>
    <row r="677" customFormat="false" ht="15" hidden="false" customHeight="false" outlineLevel="0" collapsed="false">
      <c r="A677" s="16" t="str">
        <f aca="false">Vendor_Invoices_AP!A674</f>
        <v>INV30673</v>
      </c>
      <c r="B677" s="16" t="str">
        <f aca="false">Vendor_Invoices_AP!C674</f>
        <v>V1022</v>
      </c>
      <c r="C677" s="16" t="str">
        <f aca="false">IFERROR(INDEX(Vendor_Master!$B$2:$B$41,MATCH(B677,Vendor_Master!$A$2:$A$41,0)),"Unknown Vendor")</f>
        <v>Burgess-Patterson</v>
      </c>
      <c r="D677" s="18" t="n">
        <f aca="false">Vendor_Invoices_AP!E674</f>
        <v>2778.4</v>
      </c>
      <c r="E677" s="16" t="n">
        <f aca="false">COUNTIF(Payment_Log_AP!$B$2:$B$753,A677)</f>
        <v>1</v>
      </c>
      <c r="F677" s="18" t="n">
        <f aca="false">SUMIFS(Payment_Log_AP!$E$2:$E$753,Payment_Log_AP!$B$2:$B$753,A677)</f>
        <v>2778.4</v>
      </c>
      <c r="G677" s="18" t="n">
        <f aca="false">MAX(F677-D677,0)</f>
        <v>0</v>
      </c>
      <c r="H677" s="16" t="str">
        <f aca="false">IF(E677&gt;1,"DUPLICATE - Review",IF(G677&gt;Assumptions!$B$6,"OVERPAID - Review","OK"))</f>
        <v>OK</v>
      </c>
    </row>
    <row r="678" customFormat="false" ht="15" hidden="false" customHeight="false" outlineLevel="0" collapsed="false">
      <c r="A678" s="16" t="str">
        <f aca="false">Vendor_Invoices_AP!A675</f>
        <v>INV30674</v>
      </c>
      <c r="B678" s="16" t="str">
        <f aca="false">Vendor_Invoices_AP!C675</f>
        <v>V1037</v>
      </c>
      <c r="C678" s="16" t="str">
        <f aca="false">IFERROR(INDEX(Vendor_Master!$B$2:$B$41,MATCH(B678,Vendor_Master!$A$2:$A$41,0)),"Unknown Vendor")</f>
        <v>Cannon, Anderson and Alvarez</v>
      </c>
      <c r="D678" s="18" t="n">
        <f aca="false">Vendor_Invoices_AP!E675</f>
        <v>989.27</v>
      </c>
      <c r="E678" s="16" t="n">
        <f aca="false">COUNTIF(Payment_Log_AP!$B$2:$B$753,A678)</f>
        <v>1</v>
      </c>
      <c r="F678" s="18" t="n">
        <f aca="false">SUMIFS(Payment_Log_AP!$E$2:$E$753,Payment_Log_AP!$B$2:$B$753,A678)</f>
        <v>989.27</v>
      </c>
      <c r="G678" s="18" t="n">
        <f aca="false">MAX(F678-D678,0)</f>
        <v>0</v>
      </c>
      <c r="H678" s="16" t="str">
        <f aca="false">IF(E678&gt;1,"DUPLICATE - Review",IF(G678&gt;Assumptions!$B$6,"OVERPAID - Review","OK"))</f>
        <v>OK</v>
      </c>
    </row>
    <row r="679" customFormat="false" ht="15" hidden="false" customHeight="false" outlineLevel="0" collapsed="false">
      <c r="A679" s="16" t="str">
        <f aca="false">Vendor_Invoices_AP!A676</f>
        <v>INV30675</v>
      </c>
      <c r="B679" s="16" t="str">
        <f aca="false">Vendor_Invoices_AP!C676</f>
        <v>V1032</v>
      </c>
      <c r="C679" s="16" t="str">
        <f aca="false">IFERROR(INDEX(Vendor_Master!$B$2:$B$41,MATCH(B679,Vendor_Master!$A$2:$A$41,0)),"Unknown Vendor")</f>
        <v>Lynch, Hernandez and Farmer</v>
      </c>
      <c r="D679" s="18" t="n">
        <f aca="false">Vendor_Invoices_AP!E676</f>
        <v>1556.9</v>
      </c>
      <c r="E679" s="16" t="n">
        <f aca="false">COUNTIF(Payment_Log_AP!$B$2:$B$753,A679)</f>
        <v>1</v>
      </c>
      <c r="F679" s="18" t="n">
        <f aca="false">SUMIFS(Payment_Log_AP!$E$2:$E$753,Payment_Log_AP!$B$2:$B$753,A679)</f>
        <v>1556.9</v>
      </c>
      <c r="G679" s="18" t="n">
        <f aca="false">MAX(F679-D679,0)</f>
        <v>0</v>
      </c>
      <c r="H679" s="16" t="str">
        <f aca="false">IF(E679&gt;1,"DUPLICATE - Review",IF(G679&gt;Assumptions!$B$6,"OVERPAID - Review","OK"))</f>
        <v>OK</v>
      </c>
    </row>
    <row r="680" customFormat="false" ht="15" hidden="false" customHeight="false" outlineLevel="0" collapsed="false">
      <c r="A680" s="16" t="str">
        <f aca="false">Vendor_Invoices_AP!A677</f>
        <v>INV30676</v>
      </c>
      <c r="B680" s="16" t="str">
        <f aca="false">Vendor_Invoices_AP!C677</f>
        <v>V1011</v>
      </c>
      <c r="C680" s="16" t="str">
        <f aca="false">IFERROR(INDEX(Vendor_Master!$B$2:$B$41,MATCH(B680,Vendor_Master!$A$2:$A$41,0)),"Unknown Vendor")</f>
        <v>Montgomery, Hensley and Ray</v>
      </c>
      <c r="D680" s="18" t="n">
        <f aca="false">Vendor_Invoices_AP!E677</f>
        <v>6662.15</v>
      </c>
      <c r="E680" s="16" t="n">
        <f aca="false">COUNTIF(Payment_Log_AP!$B$2:$B$753,A680)</f>
        <v>1</v>
      </c>
      <c r="F680" s="18" t="n">
        <f aca="false">SUMIFS(Payment_Log_AP!$E$2:$E$753,Payment_Log_AP!$B$2:$B$753,A680)</f>
        <v>6662.15</v>
      </c>
      <c r="G680" s="18" t="n">
        <f aca="false">MAX(F680-D680,0)</f>
        <v>0</v>
      </c>
      <c r="H680" s="16" t="str">
        <f aca="false">IF(E680&gt;1,"DUPLICATE - Review",IF(G680&gt;Assumptions!$B$6,"OVERPAID - Review","OK"))</f>
        <v>OK</v>
      </c>
    </row>
    <row r="681" customFormat="false" ht="15" hidden="false" customHeight="false" outlineLevel="0" collapsed="false">
      <c r="A681" s="16" t="str">
        <f aca="false">Vendor_Invoices_AP!A678</f>
        <v>INV30677</v>
      </c>
      <c r="B681" s="16" t="str">
        <f aca="false">Vendor_Invoices_AP!C678</f>
        <v>V1039</v>
      </c>
      <c r="C681" s="16" t="str">
        <f aca="false">IFERROR(INDEX(Vendor_Master!$B$2:$B$41,MATCH(B681,Vendor_Master!$A$2:$A$41,0)),"Unknown Vendor")</f>
        <v>Campos, Vaughn and Marquez</v>
      </c>
      <c r="D681" s="18" t="n">
        <f aca="false">Vendor_Invoices_AP!E678</f>
        <v>5757.86</v>
      </c>
      <c r="E681" s="16" t="n">
        <f aca="false">COUNTIF(Payment_Log_AP!$B$2:$B$753,A681)</f>
        <v>1</v>
      </c>
      <c r="F681" s="18" t="n">
        <f aca="false">SUMIFS(Payment_Log_AP!$E$2:$E$753,Payment_Log_AP!$B$2:$B$753,A681)</f>
        <v>5757.86</v>
      </c>
      <c r="G681" s="18" t="n">
        <f aca="false">MAX(F681-D681,0)</f>
        <v>0</v>
      </c>
      <c r="H681" s="16" t="str">
        <f aca="false">IF(E681&gt;1,"DUPLICATE - Review",IF(G681&gt;Assumptions!$B$6,"OVERPAID - Review","OK"))</f>
        <v>OK</v>
      </c>
    </row>
    <row r="682" customFormat="false" ht="15" hidden="false" customHeight="false" outlineLevel="0" collapsed="false">
      <c r="A682" s="16" t="str">
        <f aca="false">Vendor_Invoices_AP!A679</f>
        <v>INV30678</v>
      </c>
      <c r="B682" s="16" t="str">
        <f aca="false">Vendor_Invoices_AP!C679</f>
        <v>V1030</v>
      </c>
      <c r="C682" s="16" t="str">
        <f aca="false">IFERROR(INDEX(Vendor_Master!$B$2:$B$41,MATCH(B682,Vendor_Master!$A$2:$A$41,0)),"Unknown Vendor")</f>
        <v>Stanton-Gill</v>
      </c>
      <c r="D682" s="18" t="n">
        <f aca="false">Vendor_Invoices_AP!E679</f>
        <v>6869</v>
      </c>
      <c r="E682" s="16" t="n">
        <f aca="false">COUNTIF(Payment_Log_AP!$B$2:$B$753,A682)</f>
        <v>1</v>
      </c>
      <c r="F682" s="18" t="n">
        <f aca="false">SUMIFS(Payment_Log_AP!$E$2:$E$753,Payment_Log_AP!$B$2:$B$753,A682)</f>
        <v>6869</v>
      </c>
      <c r="G682" s="18" t="n">
        <f aca="false">MAX(F682-D682,0)</f>
        <v>0</v>
      </c>
      <c r="H682" s="16" t="str">
        <f aca="false">IF(E682&gt;1,"DUPLICATE - Review",IF(G682&gt;Assumptions!$B$6,"OVERPAID - Review","OK"))</f>
        <v>OK</v>
      </c>
    </row>
    <row r="683" customFormat="false" ht="15" hidden="false" customHeight="false" outlineLevel="0" collapsed="false">
      <c r="A683" s="16" t="str">
        <f aca="false">Vendor_Invoices_AP!A680</f>
        <v>INV30679</v>
      </c>
      <c r="B683" s="16" t="str">
        <f aca="false">Vendor_Invoices_AP!C680</f>
        <v>V1029</v>
      </c>
      <c r="C683" s="16" t="str">
        <f aca="false">IFERROR(INDEX(Vendor_Master!$B$2:$B$41,MATCH(B683,Vendor_Master!$A$2:$A$41,0)),"Unknown Vendor")</f>
        <v>Chavez Ltd</v>
      </c>
      <c r="D683" s="18" t="n">
        <f aca="false">Vendor_Invoices_AP!E680</f>
        <v>228.89</v>
      </c>
      <c r="E683" s="16" t="n">
        <f aca="false">COUNTIF(Payment_Log_AP!$B$2:$B$753,A683)</f>
        <v>1</v>
      </c>
      <c r="F683" s="18" t="n">
        <f aca="false">SUMIFS(Payment_Log_AP!$E$2:$E$753,Payment_Log_AP!$B$2:$B$753,A683)</f>
        <v>228.89</v>
      </c>
      <c r="G683" s="18" t="n">
        <f aca="false">MAX(F683-D683,0)</f>
        <v>0</v>
      </c>
      <c r="H683" s="16" t="str">
        <f aca="false">IF(E683&gt;1,"DUPLICATE - Review",IF(G683&gt;Assumptions!$B$6,"OVERPAID - Review","OK"))</f>
        <v>OK</v>
      </c>
    </row>
    <row r="684" customFormat="false" ht="15" hidden="false" customHeight="false" outlineLevel="0" collapsed="false">
      <c r="A684" s="16" t="str">
        <f aca="false">Vendor_Invoices_AP!A681</f>
        <v>INV30680</v>
      </c>
      <c r="B684" s="16" t="str">
        <f aca="false">Vendor_Invoices_AP!C681</f>
        <v>V1020</v>
      </c>
      <c r="C684" s="16" t="str">
        <f aca="false">IFERROR(INDEX(Vendor_Master!$B$2:$B$41,MATCH(B684,Vendor_Master!$A$2:$A$41,0)),"Unknown Vendor")</f>
        <v>Lewis-Porter</v>
      </c>
      <c r="D684" s="18" t="n">
        <f aca="false">Vendor_Invoices_AP!E681</f>
        <v>887.06</v>
      </c>
      <c r="E684" s="16" t="n">
        <f aca="false">COUNTIF(Payment_Log_AP!$B$2:$B$753,A684)</f>
        <v>1</v>
      </c>
      <c r="F684" s="18" t="n">
        <f aca="false">SUMIFS(Payment_Log_AP!$E$2:$E$753,Payment_Log_AP!$B$2:$B$753,A684)</f>
        <v>887.06</v>
      </c>
      <c r="G684" s="18" t="n">
        <f aca="false">MAX(F684-D684,0)</f>
        <v>0</v>
      </c>
      <c r="H684" s="16" t="str">
        <f aca="false">IF(E684&gt;1,"DUPLICATE - Review",IF(G684&gt;Assumptions!$B$6,"OVERPAID - Review","OK"))</f>
        <v>OK</v>
      </c>
    </row>
    <row r="685" customFormat="false" ht="15" hidden="false" customHeight="false" outlineLevel="0" collapsed="false">
      <c r="A685" s="16" t="str">
        <f aca="false">Vendor_Invoices_AP!A682</f>
        <v>INV30681</v>
      </c>
      <c r="B685" s="16" t="str">
        <f aca="false">Vendor_Invoices_AP!C682</f>
        <v>V1002</v>
      </c>
      <c r="C685" s="16" t="str">
        <f aca="false">IFERROR(INDEX(Vendor_Master!$B$2:$B$41,MATCH(B685,Vendor_Master!$A$2:$A$41,0)),"Unknown Vendor")</f>
        <v>Garcia, Yang and Gardner</v>
      </c>
      <c r="D685" s="18" t="n">
        <f aca="false">Vendor_Invoices_AP!E682</f>
        <v>2875.96</v>
      </c>
      <c r="E685" s="16" t="n">
        <f aca="false">COUNTIF(Payment_Log_AP!$B$2:$B$753,A685)</f>
        <v>1</v>
      </c>
      <c r="F685" s="18" t="n">
        <f aca="false">SUMIFS(Payment_Log_AP!$E$2:$E$753,Payment_Log_AP!$B$2:$B$753,A685)</f>
        <v>2875.96</v>
      </c>
      <c r="G685" s="18" t="n">
        <f aca="false">MAX(F685-D685,0)</f>
        <v>0</v>
      </c>
      <c r="H685" s="16" t="str">
        <f aca="false">IF(E685&gt;1,"DUPLICATE - Review",IF(G685&gt;Assumptions!$B$6,"OVERPAID - Review","OK"))</f>
        <v>OK</v>
      </c>
    </row>
    <row r="686" customFormat="false" ht="15" hidden="false" customHeight="false" outlineLevel="0" collapsed="false">
      <c r="A686" s="16" t="str">
        <f aca="false">Vendor_Invoices_AP!A683</f>
        <v>INV30682</v>
      </c>
      <c r="B686" s="16" t="str">
        <f aca="false">Vendor_Invoices_AP!C683</f>
        <v>V1004</v>
      </c>
      <c r="C686" s="16" t="str">
        <f aca="false">IFERROR(INDEX(Vendor_Master!$B$2:$B$41,MATCH(B686,Vendor_Master!$A$2:$A$41,0)),"Unknown Vendor")</f>
        <v>Johnson, Gonzalez and Santos</v>
      </c>
      <c r="D686" s="18" t="n">
        <f aca="false">Vendor_Invoices_AP!E683</f>
        <v>3337.25</v>
      </c>
      <c r="E686" s="16" t="n">
        <f aca="false">COUNTIF(Payment_Log_AP!$B$2:$B$753,A686)</f>
        <v>1</v>
      </c>
      <c r="F686" s="18" t="n">
        <f aca="false">SUMIFS(Payment_Log_AP!$E$2:$E$753,Payment_Log_AP!$B$2:$B$753,A686)</f>
        <v>3337.25</v>
      </c>
      <c r="G686" s="18" t="n">
        <f aca="false">MAX(F686-D686,0)</f>
        <v>0</v>
      </c>
      <c r="H686" s="16" t="str">
        <f aca="false">IF(E686&gt;1,"DUPLICATE - Review",IF(G686&gt;Assumptions!$B$6,"OVERPAID - Review","OK"))</f>
        <v>OK</v>
      </c>
    </row>
    <row r="687" customFormat="false" ht="15" hidden="false" customHeight="false" outlineLevel="0" collapsed="false">
      <c r="A687" s="16" t="str">
        <f aca="false">Vendor_Invoices_AP!A684</f>
        <v>INV30683</v>
      </c>
      <c r="B687" s="16" t="str">
        <f aca="false">Vendor_Invoices_AP!C684</f>
        <v>V1038</v>
      </c>
      <c r="C687" s="16" t="str">
        <f aca="false">IFERROR(INDEX(Vendor_Master!$B$2:$B$41,MATCH(B687,Vendor_Master!$A$2:$A$41,0)),"Unknown Vendor")</f>
        <v>Rose-Obrien</v>
      </c>
      <c r="D687" s="18" t="n">
        <f aca="false">Vendor_Invoices_AP!E684</f>
        <v>3555.6</v>
      </c>
      <c r="E687" s="16" t="n">
        <f aca="false">COUNTIF(Payment_Log_AP!$B$2:$B$753,A687)</f>
        <v>1</v>
      </c>
      <c r="F687" s="18" t="n">
        <f aca="false">SUMIFS(Payment_Log_AP!$E$2:$E$753,Payment_Log_AP!$B$2:$B$753,A687)</f>
        <v>3555.6</v>
      </c>
      <c r="G687" s="18" t="n">
        <f aca="false">MAX(F687-D687,0)</f>
        <v>0</v>
      </c>
      <c r="H687" s="16" t="str">
        <f aca="false">IF(E687&gt;1,"DUPLICATE - Review",IF(G687&gt;Assumptions!$B$6,"OVERPAID - Review","OK"))</f>
        <v>OK</v>
      </c>
    </row>
    <row r="688" customFormat="false" ht="15" hidden="false" customHeight="false" outlineLevel="0" collapsed="false">
      <c r="A688" s="16" t="str">
        <f aca="false">Vendor_Invoices_AP!A685</f>
        <v>INV30684</v>
      </c>
      <c r="B688" s="16" t="str">
        <f aca="false">Vendor_Invoices_AP!C685</f>
        <v>V1012</v>
      </c>
      <c r="C688" s="16" t="str">
        <f aca="false">IFERROR(INDEX(Vendor_Master!$B$2:$B$41,MATCH(B688,Vendor_Master!$A$2:$A$41,0)),"Unknown Vendor")</f>
        <v>Stanley LLC</v>
      </c>
      <c r="D688" s="18" t="n">
        <f aca="false">Vendor_Invoices_AP!E685</f>
        <v>313.22</v>
      </c>
      <c r="E688" s="16" t="n">
        <f aca="false">COUNTIF(Payment_Log_AP!$B$2:$B$753,A688)</f>
        <v>1</v>
      </c>
      <c r="F688" s="18" t="n">
        <f aca="false">SUMIFS(Payment_Log_AP!$E$2:$E$753,Payment_Log_AP!$B$2:$B$753,A688)</f>
        <v>313.22</v>
      </c>
      <c r="G688" s="18" t="n">
        <f aca="false">MAX(F688-D688,0)</f>
        <v>0</v>
      </c>
      <c r="H688" s="16" t="str">
        <f aca="false">IF(E688&gt;1,"DUPLICATE - Review",IF(G688&gt;Assumptions!$B$6,"OVERPAID - Review","OK"))</f>
        <v>OK</v>
      </c>
    </row>
    <row r="689" customFormat="false" ht="15" hidden="false" customHeight="false" outlineLevel="0" collapsed="false">
      <c r="A689" s="16" t="str">
        <f aca="false">Vendor_Invoices_AP!A686</f>
        <v>INV30685</v>
      </c>
      <c r="B689" s="16" t="str">
        <f aca="false">Vendor_Invoices_AP!C686</f>
        <v>V1001</v>
      </c>
      <c r="C689" s="16" t="str">
        <f aca="false">IFERROR(INDEX(Vendor_Master!$B$2:$B$41,MATCH(B689,Vendor_Master!$A$2:$A$41,0)),"Unknown Vendor")</f>
        <v>Figueroa and Sons</v>
      </c>
      <c r="D689" s="18" t="n">
        <f aca="false">Vendor_Invoices_AP!E686</f>
        <v>36063.86</v>
      </c>
      <c r="E689" s="16" t="n">
        <f aca="false">COUNTIF(Payment_Log_AP!$B$2:$B$753,A689)</f>
        <v>1</v>
      </c>
      <c r="F689" s="18" t="n">
        <f aca="false">SUMIFS(Payment_Log_AP!$E$2:$E$753,Payment_Log_AP!$B$2:$B$753,A689)</f>
        <v>36063.86</v>
      </c>
      <c r="G689" s="18" t="n">
        <f aca="false">MAX(F689-D689,0)</f>
        <v>0</v>
      </c>
      <c r="H689" s="16" t="str">
        <f aca="false">IF(E689&gt;1,"DUPLICATE - Review",IF(G689&gt;Assumptions!$B$6,"OVERPAID - Review","OK"))</f>
        <v>OK</v>
      </c>
    </row>
    <row r="690" customFormat="false" ht="15" hidden="false" customHeight="false" outlineLevel="0" collapsed="false">
      <c r="A690" s="16" t="str">
        <f aca="false">Vendor_Invoices_AP!A687</f>
        <v>INV30686</v>
      </c>
      <c r="B690" s="16" t="str">
        <f aca="false">Vendor_Invoices_AP!C687</f>
        <v>V1007</v>
      </c>
      <c r="C690" s="16" t="str">
        <f aca="false">IFERROR(INDEX(Vendor_Master!$B$2:$B$41,MATCH(B690,Vendor_Master!$A$2:$A$41,0)),"Unknown Vendor")</f>
        <v>Ramirez-Lewis</v>
      </c>
      <c r="D690" s="18" t="n">
        <f aca="false">Vendor_Invoices_AP!E687</f>
        <v>1139.17</v>
      </c>
      <c r="E690" s="16" t="n">
        <f aca="false">COUNTIF(Payment_Log_AP!$B$2:$B$753,A690)</f>
        <v>1</v>
      </c>
      <c r="F690" s="18" t="n">
        <f aca="false">SUMIFS(Payment_Log_AP!$E$2:$E$753,Payment_Log_AP!$B$2:$B$753,A690)</f>
        <v>1139.17</v>
      </c>
      <c r="G690" s="18" t="n">
        <f aca="false">MAX(F690-D690,0)</f>
        <v>0</v>
      </c>
      <c r="H690" s="16" t="str">
        <f aca="false">IF(E690&gt;1,"DUPLICATE - Review",IF(G690&gt;Assumptions!$B$6,"OVERPAID - Review","OK"))</f>
        <v>OK</v>
      </c>
    </row>
    <row r="691" customFormat="false" ht="15" hidden="false" customHeight="false" outlineLevel="0" collapsed="false">
      <c r="A691" s="16" t="str">
        <f aca="false">Vendor_Invoices_AP!A688</f>
        <v>INV30687</v>
      </c>
      <c r="B691" s="16" t="str">
        <f aca="false">Vendor_Invoices_AP!C688</f>
        <v>V1025</v>
      </c>
      <c r="C691" s="16" t="str">
        <f aca="false">IFERROR(INDEX(Vendor_Master!$B$2:$B$41,MATCH(B691,Vendor_Master!$A$2:$A$41,0)),"Unknown Vendor")</f>
        <v>Conner Group</v>
      </c>
      <c r="D691" s="18" t="n">
        <f aca="false">Vendor_Invoices_AP!E688</f>
        <v>989.07</v>
      </c>
      <c r="E691" s="16" t="n">
        <f aca="false">COUNTIF(Payment_Log_AP!$B$2:$B$753,A691)</f>
        <v>1</v>
      </c>
      <c r="F691" s="18" t="n">
        <f aca="false">SUMIFS(Payment_Log_AP!$E$2:$E$753,Payment_Log_AP!$B$2:$B$753,A691)</f>
        <v>989.07</v>
      </c>
      <c r="G691" s="18" t="n">
        <f aca="false">MAX(F691-D691,0)</f>
        <v>0</v>
      </c>
      <c r="H691" s="16" t="str">
        <f aca="false">IF(E691&gt;1,"DUPLICATE - Review",IF(G691&gt;Assumptions!$B$6,"OVERPAID - Review","OK"))</f>
        <v>OK</v>
      </c>
    </row>
    <row r="692" customFormat="false" ht="15" hidden="false" customHeight="false" outlineLevel="0" collapsed="false">
      <c r="A692" s="16" t="str">
        <f aca="false">Vendor_Invoices_AP!A689</f>
        <v>INV30688</v>
      </c>
      <c r="B692" s="16" t="str">
        <f aca="false">Vendor_Invoices_AP!C689</f>
        <v>V1039</v>
      </c>
      <c r="C692" s="16" t="str">
        <f aca="false">IFERROR(INDEX(Vendor_Master!$B$2:$B$41,MATCH(B692,Vendor_Master!$A$2:$A$41,0)),"Unknown Vendor")</f>
        <v>Campos, Vaughn and Marquez</v>
      </c>
      <c r="D692" s="18" t="n">
        <f aca="false">Vendor_Invoices_AP!E689</f>
        <v>2852.54</v>
      </c>
      <c r="E692" s="16" t="n">
        <f aca="false">COUNTIF(Payment_Log_AP!$B$2:$B$753,A692)</f>
        <v>0</v>
      </c>
      <c r="F692" s="18" t="n">
        <f aca="false">SUMIFS(Payment_Log_AP!$E$2:$E$753,Payment_Log_AP!$B$2:$B$753,A692)</f>
        <v>0</v>
      </c>
      <c r="G692" s="18" t="n">
        <f aca="false">MAX(F692-D692,0)</f>
        <v>0</v>
      </c>
      <c r="H692" s="16" t="str">
        <f aca="false">IF(E692&gt;1,"DUPLICATE - Review",IF(G692&gt;Assumptions!$B$6,"OVERPAID - Review","OK"))</f>
        <v>OK</v>
      </c>
    </row>
    <row r="693" customFormat="false" ht="15" hidden="false" customHeight="false" outlineLevel="0" collapsed="false">
      <c r="A693" s="16" t="str">
        <f aca="false">Vendor_Invoices_AP!A690</f>
        <v>INV30689</v>
      </c>
      <c r="B693" s="16" t="str">
        <f aca="false">Vendor_Invoices_AP!C690</f>
        <v>V1032</v>
      </c>
      <c r="C693" s="16" t="str">
        <f aca="false">IFERROR(INDEX(Vendor_Master!$B$2:$B$41,MATCH(B693,Vendor_Master!$A$2:$A$41,0)),"Unknown Vendor")</f>
        <v>Lynch, Hernandez and Farmer</v>
      </c>
      <c r="D693" s="18" t="n">
        <f aca="false">Vendor_Invoices_AP!E690</f>
        <v>2408.69</v>
      </c>
      <c r="E693" s="16" t="n">
        <f aca="false">COUNTIF(Payment_Log_AP!$B$2:$B$753,A693)</f>
        <v>1</v>
      </c>
      <c r="F693" s="18" t="n">
        <f aca="false">SUMIFS(Payment_Log_AP!$E$2:$E$753,Payment_Log_AP!$B$2:$B$753,A693)</f>
        <v>2408.69</v>
      </c>
      <c r="G693" s="18" t="n">
        <f aca="false">MAX(F693-D693,0)</f>
        <v>0</v>
      </c>
      <c r="H693" s="16" t="str">
        <f aca="false">IF(E693&gt;1,"DUPLICATE - Review",IF(G693&gt;Assumptions!$B$6,"OVERPAID - Review","OK"))</f>
        <v>OK</v>
      </c>
    </row>
    <row r="694" customFormat="false" ht="15" hidden="false" customHeight="false" outlineLevel="0" collapsed="false">
      <c r="A694" s="16" t="str">
        <f aca="false">Vendor_Invoices_AP!A691</f>
        <v>INV30690</v>
      </c>
      <c r="B694" s="16" t="str">
        <f aca="false">Vendor_Invoices_AP!C691</f>
        <v>V1001</v>
      </c>
      <c r="C694" s="16" t="str">
        <f aca="false">IFERROR(INDEX(Vendor_Master!$B$2:$B$41,MATCH(B694,Vendor_Master!$A$2:$A$41,0)),"Unknown Vendor")</f>
        <v>Figueroa and Sons</v>
      </c>
      <c r="D694" s="18" t="n">
        <f aca="false">Vendor_Invoices_AP!E691</f>
        <v>1303.38</v>
      </c>
      <c r="E694" s="16" t="n">
        <f aca="false">COUNTIF(Payment_Log_AP!$B$2:$B$753,A694)</f>
        <v>0</v>
      </c>
      <c r="F694" s="18" t="n">
        <f aca="false">SUMIFS(Payment_Log_AP!$E$2:$E$753,Payment_Log_AP!$B$2:$B$753,A694)</f>
        <v>0</v>
      </c>
      <c r="G694" s="18" t="n">
        <f aca="false">MAX(F694-D694,0)</f>
        <v>0</v>
      </c>
      <c r="H694" s="16" t="str">
        <f aca="false">IF(E694&gt;1,"DUPLICATE - Review",IF(G694&gt;Assumptions!$B$6,"OVERPAID - Review","OK"))</f>
        <v>OK</v>
      </c>
    </row>
    <row r="695" customFormat="false" ht="15" hidden="false" customHeight="false" outlineLevel="0" collapsed="false">
      <c r="A695" s="16" t="str">
        <f aca="false">Vendor_Invoices_AP!A692</f>
        <v>INV30691</v>
      </c>
      <c r="B695" s="16" t="str">
        <f aca="false">Vendor_Invoices_AP!C692</f>
        <v>V1019</v>
      </c>
      <c r="C695" s="16" t="str">
        <f aca="false">IFERROR(INDEX(Vendor_Master!$B$2:$B$41,MATCH(B695,Vendor_Master!$A$2:$A$41,0)),"Unknown Vendor")</f>
        <v>Clark PLC</v>
      </c>
      <c r="D695" s="18" t="n">
        <f aca="false">Vendor_Invoices_AP!E692</f>
        <v>414.94</v>
      </c>
      <c r="E695" s="16" t="n">
        <f aca="false">COUNTIF(Payment_Log_AP!$B$2:$B$753,A695)</f>
        <v>0</v>
      </c>
      <c r="F695" s="18" t="n">
        <f aca="false">SUMIFS(Payment_Log_AP!$E$2:$E$753,Payment_Log_AP!$B$2:$B$753,A695)</f>
        <v>0</v>
      </c>
      <c r="G695" s="18" t="n">
        <f aca="false">MAX(F695-D695,0)</f>
        <v>0</v>
      </c>
      <c r="H695" s="16" t="str">
        <f aca="false">IF(E695&gt;1,"DUPLICATE - Review",IF(G695&gt;Assumptions!$B$6,"OVERPAID - Review","OK"))</f>
        <v>OK</v>
      </c>
    </row>
    <row r="696" customFormat="false" ht="15" hidden="false" customHeight="false" outlineLevel="0" collapsed="false">
      <c r="A696" s="16" t="str">
        <f aca="false">Vendor_Invoices_AP!A693</f>
        <v>INV30692</v>
      </c>
      <c r="B696" s="16" t="str">
        <f aca="false">Vendor_Invoices_AP!C693</f>
        <v>V1030</v>
      </c>
      <c r="C696" s="16" t="str">
        <f aca="false">IFERROR(INDEX(Vendor_Master!$B$2:$B$41,MATCH(B696,Vendor_Master!$A$2:$A$41,0)),"Unknown Vendor")</f>
        <v>Stanton-Gill</v>
      </c>
      <c r="D696" s="18" t="n">
        <f aca="false">Vendor_Invoices_AP!E693</f>
        <v>526.61</v>
      </c>
      <c r="E696" s="16" t="n">
        <f aca="false">COUNTIF(Payment_Log_AP!$B$2:$B$753,A696)</f>
        <v>1</v>
      </c>
      <c r="F696" s="18" t="n">
        <f aca="false">SUMIFS(Payment_Log_AP!$E$2:$E$753,Payment_Log_AP!$B$2:$B$753,A696)</f>
        <v>526.61</v>
      </c>
      <c r="G696" s="18" t="n">
        <f aca="false">MAX(F696-D696,0)</f>
        <v>0</v>
      </c>
      <c r="H696" s="16" t="str">
        <f aca="false">IF(E696&gt;1,"DUPLICATE - Review",IF(G696&gt;Assumptions!$B$6,"OVERPAID - Review","OK"))</f>
        <v>OK</v>
      </c>
    </row>
    <row r="697" customFormat="false" ht="15" hidden="false" customHeight="false" outlineLevel="0" collapsed="false">
      <c r="A697" s="16" t="str">
        <f aca="false">Vendor_Invoices_AP!A694</f>
        <v>INV30693</v>
      </c>
      <c r="B697" s="16" t="str">
        <f aca="false">Vendor_Invoices_AP!C694</f>
        <v>V1008</v>
      </c>
      <c r="C697" s="16" t="str">
        <f aca="false">IFERROR(INDEX(Vendor_Master!$B$2:$B$41,MATCH(B697,Vendor_Master!$A$2:$A$41,0)),"Unknown Vendor")</f>
        <v>Davis Inc</v>
      </c>
      <c r="D697" s="18" t="n">
        <f aca="false">Vendor_Invoices_AP!E694</f>
        <v>1428.02</v>
      </c>
      <c r="E697" s="16" t="n">
        <f aca="false">COUNTIF(Payment_Log_AP!$B$2:$B$753,A697)</f>
        <v>0</v>
      </c>
      <c r="F697" s="18" t="n">
        <f aca="false">SUMIFS(Payment_Log_AP!$E$2:$E$753,Payment_Log_AP!$B$2:$B$753,A697)</f>
        <v>0</v>
      </c>
      <c r="G697" s="18" t="n">
        <f aca="false">MAX(F697-D697,0)</f>
        <v>0</v>
      </c>
      <c r="H697" s="16" t="str">
        <f aca="false">IF(E697&gt;1,"DUPLICATE - Review",IF(G697&gt;Assumptions!$B$6,"OVERPAID - Review","OK"))</f>
        <v>OK</v>
      </c>
    </row>
    <row r="698" customFormat="false" ht="15" hidden="false" customHeight="false" outlineLevel="0" collapsed="false">
      <c r="A698" s="16" t="str">
        <f aca="false">Vendor_Invoices_AP!A695</f>
        <v>INV30694</v>
      </c>
      <c r="B698" s="16" t="str">
        <f aca="false">Vendor_Invoices_AP!C695</f>
        <v>V1008</v>
      </c>
      <c r="C698" s="16" t="str">
        <f aca="false">IFERROR(INDEX(Vendor_Master!$B$2:$B$41,MATCH(B698,Vendor_Master!$A$2:$A$41,0)),"Unknown Vendor")</f>
        <v>Davis Inc</v>
      </c>
      <c r="D698" s="18" t="n">
        <f aca="false">Vendor_Invoices_AP!E695</f>
        <v>3315.09</v>
      </c>
      <c r="E698" s="16" t="n">
        <f aca="false">COUNTIF(Payment_Log_AP!$B$2:$B$753,A698)</f>
        <v>1</v>
      </c>
      <c r="F698" s="18" t="n">
        <f aca="false">SUMIFS(Payment_Log_AP!$E$2:$E$753,Payment_Log_AP!$B$2:$B$753,A698)</f>
        <v>3315.09</v>
      </c>
      <c r="G698" s="18" t="n">
        <f aca="false">MAX(F698-D698,0)</f>
        <v>0</v>
      </c>
      <c r="H698" s="16" t="str">
        <f aca="false">IF(E698&gt;1,"DUPLICATE - Review",IF(G698&gt;Assumptions!$B$6,"OVERPAID - Review","OK"))</f>
        <v>OK</v>
      </c>
    </row>
    <row r="699" customFormat="false" ht="15" hidden="false" customHeight="false" outlineLevel="0" collapsed="false">
      <c r="A699" s="16" t="str">
        <f aca="false">Vendor_Invoices_AP!A696</f>
        <v>INV30695</v>
      </c>
      <c r="B699" s="16" t="str">
        <f aca="false">Vendor_Invoices_AP!C696</f>
        <v>V1009</v>
      </c>
      <c r="C699" s="16" t="str">
        <f aca="false">IFERROR(INDEX(Vendor_Master!$B$2:$B$41,MATCH(B699,Vendor_Master!$A$2:$A$41,0)),"Unknown Vendor")</f>
        <v>Munoz-Roman</v>
      </c>
      <c r="D699" s="18" t="n">
        <f aca="false">Vendor_Invoices_AP!E696</f>
        <v>1645.78</v>
      </c>
      <c r="E699" s="16" t="n">
        <f aca="false">COUNTIF(Payment_Log_AP!$B$2:$B$753,A699)</f>
        <v>1</v>
      </c>
      <c r="F699" s="18" t="n">
        <f aca="false">SUMIFS(Payment_Log_AP!$E$2:$E$753,Payment_Log_AP!$B$2:$B$753,A699)</f>
        <v>1645.78</v>
      </c>
      <c r="G699" s="18" t="n">
        <f aca="false">MAX(F699-D699,0)</f>
        <v>0</v>
      </c>
      <c r="H699" s="16" t="str">
        <f aca="false">IF(E699&gt;1,"DUPLICATE - Review",IF(G699&gt;Assumptions!$B$6,"OVERPAID - Review","OK"))</f>
        <v>OK</v>
      </c>
    </row>
    <row r="700" customFormat="false" ht="15" hidden="false" customHeight="false" outlineLevel="0" collapsed="false">
      <c r="A700" s="16" t="str">
        <f aca="false">Vendor_Invoices_AP!A697</f>
        <v>INV30696</v>
      </c>
      <c r="B700" s="16" t="str">
        <f aca="false">Vendor_Invoices_AP!C697</f>
        <v>V1009</v>
      </c>
      <c r="C700" s="16" t="str">
        <f aca="false">IFERROR(INDEX(Vendor_Master!$B$2:$B$41,MATCH(B700,Vendor_Master!$A$2:$A$41,0)),"Unknown Vendor")</f>
        <v>Munoz-Roman</v>
      </c>
      <c r="D700" s="18" t="n">
        <f aca="false">Vendor_Invoices_AP!E697</f>
        <v>1645.78</v>
      </c>
      <c r="E700" s="16" t="n">
        <f aca="false">COUNTIF(Payment_Log_AP!$B$2:$B$753,A700)</f>
        <v>1</v>
      </c>
      <c r="F700" s="18" t="n">
        <f aca="false">SUMIFS(Payment_Log_AP!$E$2:$E$753,Payment_Log_AP!$B$2:$B$753,A700)</f>
        <v>1645.78</v>
      </c>
      <c r="G700" s="18" t="n">
        <f aca="false">MAX(F700-D700,0)</f>
        <v>0</v>
      </c>
      <c r="H700" s="16" t="str">
        <f aca="false">IF(E700&gt;1,"DUPLICATE - Review",IF(G700&gt;Assumptions!$B$6,"OVERPAID - Review","OK"))</f>
        <v>OK</v>
      </c>
    </row>
    <row r="701" customFormat="false" ht="15" hidden="false" customHeight="false" outlineLevel="0" collapsed="false">
      <c r="A701" s="16" t="str">
        <f aca="false">Vendor_Invoices_AP!A698</f>
        <v>INV30697</v>
      </c>
      <c r="B701" s="16" t="str">
        <f aca="false">Vendor_Invoices_AP!C698</f>
        <v>V1009</v>
      </c>
      <c r="C701" s="16" t="str">
        <f aca="false">IFERROR(INDEX(Vendor_Master!$B$2:$B$41,MATCH(B701,Vendor_Master!$A$2:$A$41,0)),"Unknown Vendor")</f>
        <v>Munoz-Roman</v>
      </c>
      <c r="D701" s="18" t="n">
        <f aca="false">Vendor_Invoices_AP!E698</f>
        <v>2048.02</v>
      </c>
      <c r="E701" s="16" t="n">
        <f aca="false">COUNTIF(Payment_Log_AP!$B$2:$B$753,A701)</f>
        <v>1</v>
      </c>
      <c r="F701" s="18" t="n">
        <f aca="false">SUMIFS(Payment_Log_AP!$E$2:$E$753,Payment_Log_AP!$B$2:$B$753,A701)</f>
        <v>2048.02</v>
      </c>
      <c r="G701" s="18" t="n">
        <f aca="false">MAX(F701-D701,0)</f>
        <v>0</v>
      </c>
      <c r="H701" s="16" t="str">
        <f aca="false">IF(E701&gt;1,"DUPLICATE - Review",IF(G701&gt;Assumptions!$B$6,"OVERPAID - Review","OK"))</f>
        <v>OK</v>
      </c>
    </row>
    <row r="702" customFormat="false" ht="15" hidden="false" customHeight="false" outlineLevel="0" collapsed="false">
      <c r="A702" s="16" t="str">
        <f aca="false">Vendor_Invoices_AP!A699</f>
        <v>INV30698</v>
      </c>
      <c r="B702" s="16" t="str">
        <f aca="false">Vendor_Invoices_AP!C699</f>
        <v>V1025</v>
      </c>
      <c r="C702" s="16" t="str">
        <f aca="false">IFERROR(INDEX(Vendor_Master!$B$2:$B$41,MATCH(B702,Vendor_Master!$A$2:$A$41,0)),"Unknown Vendor")</f>
        <v>Conner Group</v>
      </c>
      <c r="D702" s="18" t="n">
        <f aca="false">Vendor_Invoices_AP!E699</f>
        <v>1796.9</v>
      </c>
      <c r="E702" s="16" t="n">
        <f aca="false">COUNTIF(Payment_Log_AP!$B$2:$B$753,A702)</f>
        <v>1</v>
      </c>
      <c r="F702" s="18" t="n">
        <f aca="false">SUMIFS(Payment_Log_AP!$E$2:$E$753,Payment_Log_AP!$B$2:$B$753,A702)</f>
        <v>1796.9</v>
      </c>
      <c r="G702" s="18" t="n">
        <f aca="false">MAX(F702-D702,0)</f>
        <v>0</v>
      </c>
      <c r="H702" s="16" t="str">
        <f aca="false">IF(E702&gt;1,"DUPLICATE - Review",IF(G702&gt;Assumptions!$B$6,"OVERPAID - Review","OK"))</f>
        <v>OK</v>
      </c>
    </row>
    <row r="703" customFormat="false" ht="15" hidden="false" customHeight="false" outlineLevel="0" collapsed="false">
      <c r="A703" s="16" t="str">
        <f aca="false">Vendor_Invoices_AP!A700</f>
        <v>INV30699</v>
      </c>
      <c r="B703" s="16" t="str">
        <f aca="false">Vendor_Invoices_AP!C700</f>
        <v>V1012</v>
      </c>
      <c r="C703" s="16" t="str">
        <f aca="false">IFERROR(INDEX(Vendor_Master!$B$2:$B$41,MATCH(B703,Vendor_Master!$A$2:$A$41,0)),"Unknown Vendor")</f>
        <v>Stanley LLC</v>
      </c>
      <c r="D703" s="18" t="n">
        <f aca="false">Vendor_Invoices_AP!E700</f>
        <v>2764.38</v>
      </c>
      <c r="E703" s="16" t="n">
        <f aca="false">COUNTIF(Payment_Log_AP!$B$2:$B$753,A703)</f>
        <v>1</v>
      </c>
      <c r="F703" s="18" t="n">
        <f aca="false">SUMIFS(Payment_Log_AP!$E$2:$E$753,Payment_Log_AP!$B$2:$B$753,A703)</f>
        <v>2764.38</v>
      </c>
      <c r="G703" s="18" t="n">
        <f aca="false">MAX(F703-D703,0)</f>
        <v>0</v>
      </c>
      <c r="H703" s="16" t="str">
        <f aca="false">IF(E703&gt;1,"DUPLICATE - Review",IF(G703&gt;Assumptions!$B$6,"OVERPAID - Review","OK"))</f>
        <v>OK</v>
      </c>
    </row>
    <row r="704" customFormat="false" ht="15" hidden="false" customHeight="false" outlineLevel="0" collapsed="false">
      <c r="A704" s="16" t="str">
        <f aca="false">Vendor_Invoices_AP!A701</f>
        <v>INV30700</v>
      </c>
      <c r="B704" s="16" t="str">
        <f aca="false">Vendor_Invoices_AP!C701</f>
        <v>V1012</v>
      </c>
      <c r="C704" s="16" t="str">
        <f aca="false">IFERROR(INDEX(Vendor_Master!$B$2:$B$41,MATCH(B704,Vendor_Master!$A$2:$A$41,0)),"Unknown Vendor")</f>
        <v>Stanley LLC</v>
      </c>
      <c r="D704" s="18" t="n">
        <f aca="false">Vendor_Invoices_AP!E701</f>
        <v>3596.65</v>
      </c>
      <c r="E704" s="16" t="n">
        <f aca="false">COUNTIF(Payment_Log_AP!$B$2:$B$753,A704)</f>
        <v>1</v>
      </c>
      <c r="F704" s="18" t="n">
        <f aca="false">SUMIFS(Payment_Log_AP!$E$2:$E$753,Payment_Log_AP!$B$2:$B$753,A704)</f>
        <v>3596.65</v>
      </c>
      <c r="G704" s="18" t="n">
        <f aca="false">MAX(F704-D704,0)</f>
        <v>0</v>
      </c>
      <c r="H704" s="16" t="str">
        <f aca="false">IF(E704&gt;1,"DUPLICATE - Review",IF(G704&gt;Assumptions!$B$6,"OVERPAID - Review","OK"))</f>
        <v>OK</v>
      </c>
    </row>
    <row r="705" customFormat="false" ht="15" hidden="false" customHeight="false" outlineLevel="0" collapsed="false">
      <c r="A705" s="16" t="str">
        <f aca="false">Vendor_Invoices_AP!A702</f>
        <v>INV30701</v>
      </c>
      <c r="B705" s="16" t="str">
        <f aca="false">Vendor_Invoices_AP!C702</f>
        <v>V1007</v>
      </c>
      <c r="C705" s="16" t="str">
        <f aca="false">IFERROR(INDEX(Vendor_Master!$B$2:$B$41,MATCH(B705,Vendor_Master!$A$2:$A$41,0)),"Unknown Vendor")</f>
        <v>Ramirez-Lewis</v>
      </c>
      <c r="D705" s="18" t="n">
        <f aca="false">Vendor_Invoices_AP!E702</f>
        <v>3806.21</v>
      </c>
      <c r="E705" s="16" t="n">
        <f aca="false">COUNTIF(Payment_Log_AP!$B$2:$B$753,A705)</f>
        <v>0</v>
      </c>
      <c r="F705" s="18" t="n">
        <f aca="false">SUMIFS(Payment_Log_AP!$E$2:$E$753,Payment_Log_AP!$B$2:$B$753,A705)</f>
        <v>0</v>
      </c>
      <c r="G705" s="18" t="n">
        <f aca="false">MAX(F705-D705,0)</f>
        <v>0</v>
      </c>
      <c r="H705" s="16" t="str">
        <f aca="false">IF(E705&gt;1,"DUPLICATE - Review",IF(G705&gt;Assumptions!$B$6,"OVERPAID - Review","OK"))</f>
        <v>OK</v>
      </c>
    </row>
    <row r="706" customFormat="false" ht="15" hidden="false" customHeight="false" outlineLevel="0" collapsed="false">
      <c r="A706" s="16" t="str">
        <f aca="false">Vendor_Invoices_AP!A703</f>
        <v>INV30702</v>
      </c>
      <c r="B706" s="16" t="str">
        <f aca="false">Vendor_Invoices_AP!C703</f>
        <v>V1039</v>
      </c>
      <c r="C706" s="16" t="str">
        <f aca="false">IFERROR(INDEX(Vendor_Master!$B$2:$B$41,MATCH(B706,Vendor_Master!$A$2:$A$41,0)),"Unknown Vendor")</f>
        <v>Campos, Vaughn and Marquez</v>
      </c>
      <c r="D706" s="18" t="n">
        <f aca="false">Vendor_Invoices_AP!E703</f>
        <v>2397.02</v>
      </c>
      <c r="E706" s="16" t="n">
        <f aca="false">COUNTIF(Payment_Log_AP!$B$2:$B$753,A706)</f>
        <v>1</v>
      </c>
      <c r="F706" s="18" t="n">
        <f aca="false">SUMIFS(Payment_Log_AP!$E$2:$E$753,Payment_Log_AP!$B$2:$B$753,A706)</f>
        <v>2397.02</v>
      </c>
      <c r="G706" s="18" t="n">
        <f aca="false">MAX(F706-D706,0)</f>
        <v>0</v>
      </c>
      <c r="H706" s="16" t="str">
        <f aca="false">IF(E706&gt;1,"DUPLICATE - Review",IF(G706&gt;Assumptions!$B$6,"OVERPAID - Review","OK"))</f>
        <v>OK</v>
      </c>
    </row>
    <row r="707" customFormat="false" ht="15" hidden="false" customHeight="false" outlineLevel="0" collapsed="false">
      <c r="A707" s="16" t="str">
        <f aca="false">Vendor_Invoices_AP!A704</f>
        <v>INV30703</v>
      </c>
      <c r="B707" s="16" t="str">
        <f aca="false">Vendor_Invoices_AP!C704</f>
        <v>V1035</v>
      </c>
      <c r="C707" s="16" t="str">
        <f aca="false">IFERROR(INDEX(Vendor_Master!$B$2:$B$41,MATCH(B707,Vendor_Master!$A$2:$A$41,0)),"Unknown Vendor")</f>
        <v>Allen PLC</v>
      </c>
      <c r="D707" s="18" t="n">
        <f aca="false">Vendor_Invoices_AP!E704</f>
        <v>15935.12</v>
      </c>
      <c r="E707" s="16" t="n">
        <f aca="false">COUNTIF(Payment_Log_AP!$B$2:$B$753,A707)</f>
        <v>1</v>
      </c>
      <c r="F707" s="18" t="n">
        <f aca="false">SUMIFS(Payment_Log_AP!$E$2:$E$753,Payment_Log_AP!$B$2:$B$753,A707)</f>
        <v>15935.12</v>
      </c>
      <c r="G707" s="18" t="n">
        <f aca="false">MAX(F707-D707,0)</f>
        <v>0</v>
      </c>
      <c r="H707" s="16" t="str">
        <f aca="false">IF(E707&gt;1,"DUPLICATE - Review",IF(G707&gt;Assumptions!$B$6,"OVERPAID - Review","OK"))</f>
        <v>OK</v>
      </c>
    </row>
    <row r="708" customFormat="false" ht="15" hidden="false" customHeight="false" outlineLevel="0" collapsed="false">
      <c r="A708" s="16" t="str">
        <f aca="false">Vendor_Invoices_AP!A705</f>
        <v>INV30704</v>
      </c>
      <c r="B708" s="16" t="str">
        <f aca="false">Vendor_Invoices_AP!C705</f>
        <v>V1028</v>
      </c>
      <c r="C708" s="16" t="str">
        <f aca="false">IFERROR(INDEX(Vendor_Master!$B$2:$B$41,MATCH(B708,Vendor_Master!$A$2:$A$41,0)),"Unknown Vendor")</f>
        <v>Potter, Mack and Peterson</v>
      </c>
      <c r="D708" s="18" t="n">
        <f aca="false">Vendor_Invoices_AP!E705</f>
        <v>524.67</v>
      </c>
      <c r="E708" s="16" t="n">
        <f aca="false">COUNTIF(Payment_Log_AP!$B$2:$B$753,A708)</f>
        <v>1</v>
      </c>
      <c r="F708" s="18" t="n">
        <f aca="false">SUMIFS(Payment_Log_AP!$E$2:$E$753,Payment_Log_AP!$B$2:$B$753,A708)</f>
        <v>524.67</v>
      </c>
      <c r="G708" s="18" t="n">
        <f aca="false">MAX(F708-D708,0)</f>
        <v>0</v>
      </c>
      <c r="H708" s="16" t="str">
        <f aca="false">IF(E708&gt;1,"DUPLICATE - Review",IF(G708&gt;Assumptions!$B$6,"OVERPAID - Review","OK"))</f>
        <v>OK</v>
      </c>
    </row>
    <row r="709" customFormat="false" ht="15" hidden="false" customHeight="false" outlineLevel="0" collapsed="false">
      <c r="A709" s="16" t="str">
        <f aca="false">Vendor_Invoices_AP!A706</f>
        <v>INV30705</v>
      </c>
      <c r="B709" s="16" t="str">
        <f aca="false">Vendor_Invoices_AP!C706</f>
        <v>V1036</v>
      </c>
      <c r="C709" s="16" t="str">
        <f aca="false">IFERROR(INDEX(Vendor_Master!$B$2:$B$41,MATCH(B709,Vendor_Master!$A$2:$A$41,0)),"Unknown Vendor")</f>
        <v>Dennis Inc</v>
      </c>
      <c r="D709" s="18" t="n">
        <f aca="false">Vendor_Invoices_AP!E706</f>
        <v>331.41</v>
      </c>
      <c r="E709" s="16" t="n">
        <f aca="false">COUNTIF(Payment_Log_AP!$B$2:$B$753,A709)</f>
        <v>0</v>
      </c>
      <c r="F709" s="18" t="n">
        <f aca="false">SUMIFS(Payment_Log_AP!$E$2:$E$753,Payment_Log_AP!$B$2:$B$753,A709)</f>
        <v>0</v>
      </c>
      <c r="G709" s="18" t="n">
        <f aca="false">MAX(F709-D709,0)</f>
        <v>0</v>
      </c>
      <c r="H709" s="16" t="str">
        <f aca="false">IF(E709&gt;1,"DUPLICATE - Review",IF(G709&gt;Assumptions!$B$6,"OVERPAID - Review","OK"))</f>
        <v>OK</v>
      </c>
    </row>
    <row r="710" customFormat="false" ht="15" hidden="false" customHeight="false" outlineLevel="0" collapsed="false">
      <c r="A710" s="16" t="str">
        <f aca="false">Vendor_Invoices_AP!A707</f>
        <v>INV30706</v>
      </c>
      <c r="B710" s="16" t="str">
        <f aca="false">Vendor_Invoices_AP!C707</f>
        <v>V1040</v>
      </c>
      <c r="C710" s="16" t="str">
        <f aca="false">IFERROR(INDEX(Vendor_Master!$B$2:$B$41,MATCH(B710,Vendor_Master!$A$2:$A$41,0)),"Unknown Vendor")</f>
        <v>Santos, Kim and Holmes</v>
      </c>
      <c r="D710" s="18" t="n">
        <f aca="false">Vendor_Invoices_AP!E707</f>
        <v>979.13</v>
      </c>
      <c r="E710" s="16" t="n">
        <f aca="false">COUNTIF(Payment_Log_AP!$B$2:$B$753,A710)</f>
        <v>1</v>
      </c>
      <c r="F710" s="18" t="n">
        <f aca="false">SUMIFS(Payment_Log_AP!$E$2:$E$753,Payment_Log_AP!$B$2:$B$753,A710)</f>
        <v>979.13</v>
      </c>
      <c r="G710" s="18" t="n">
        <f aca="false">MAX(F710-D710,0)</f>
        <v>0</v>
      </c>
      <c r="H710" s="16" t="str">
        <f aca="false">IF(E710&gt;1,"DUPLICATE - Review",IF(G710&gt;Assumptions!$B$6,"OVERPAID - Review","OK"))</f>
        <v>OK</v>
      </c>
    </row>
    <row r="711" customFormat="false" ht="15" hidden="false" customHeight="false" outlineLevel="0" collapsed="false">
      <c r="A711" s="16" t="str">
        <f aca="false">Vendor_Invoices_AP!A708</f>
        <v>INV30707</v>
      </c>
      <c r="B711" s="16" t="str">
        <f aca="false">Vendor_Invoices_AP!C708</f>
        <v>V1006</v>
      </c>
      <c r="C711" s="16" t="str">
        <f aca="false">IFERROR(INDEX(Vendor_Master!$B$2:$B$41,MATCH(B711,Vendor_Master!$A$2:$A$41,0)),"Unknown Vendor")</f>
        <v>Blake and Sons</v>
      </c>
      <c r="D711" s="18" t="n">
        <f aca="false">Vendor_Invoices_AP!E708</f>
        <v>3602.11</v>
      </c>
      <c r="E711" s="16" t="n">
        <f aca="false">COUNTIF(Payment_Log_AP!$B$2:$B$753,A711)</f>
        <v>1</v>
      </c>
      <c r="F711" s="18" t="n">
        <f aca="false">SUMIFS(Payment_Log_AP!$E$2:$E$753,Payment_Log_AP!$B$2:$B$753,A711)</f>
        <v>3602.11</v>
      </c>
      <c r="G711" s="18" t="n">
        <f aca="false">MAX(F711-D711,0)</f>
        <v>0</v>
      </c>
      <c r="H711" s="16" t="str">
        <f aca="false">IF(E711&gt;1,"DUPLICATE - Review",IF(G711&gt;Assumptions!$B$6,"OVERPAID - Review","OK"))</f>
        <v>OK</v>
      </c>
    </row>
    <row r="712" customFormat="false" ht="15" hidden="false" customHeight="false" outlineLevel="0" collapsed="false">
      <c r="A712" s="16" t="str">
        <f aca="false">Vendor_Invoices_AP!A709</f>
        <v>INV30708</v>
      </c>
      <c r="B712" s="16" t="str">
        <f aca="false">Vendor_Invoices_AP!C709</f>
        <v>V1015</v>
      </c>
      <c r="C712" s="16" t="str">
        <f aca="false">IFERROR(INDEX(Vendor_Master!$B$2:$B$41,MATCH(B712,Vendor_Master!$A$2:$A$41,0)),"Unknown Vendor")</f>
        <v>Zuniga, Wong and Lynch</v>
      </c>
      <c r="D712" s="18" t="n">
        <f aca="false">Vendor_Invoices_AP!E709</f>
        <v>579.61</v>
      </c>
      <c r="E712" s="16" t="n">
        <f aca="false">COUNTIF(Payment_Log_AP!$B$2:$B$753,A712)</f>
        <v>1</v>
      </c>
      <c r="F712" s="18" t="n">
        <f aca="false">SUMIFS(Payment_Log_AP!$E$2:$E$753,Payment_Log_AP!$B$2:$B$753,A712)</f>
        <v>579.61</v>
      </c>
      <c r="G712" s="18" t="n">
        <f aca="false">MAX(F712-D712,0)</f>
        <v>0</v>
      </c>
      <c r="H712" s="16" t="str">
        <f aca="false">IF(E712&gt;1,"DUPLICATE - Review",IF(G712&gt;Assumptions!$B$6,"OVERPAID - Review","OK"))</f>
        <v>OK</v>
      </c>
    </row>
    <row r="713" customFormat="false" ht="15" hidden="false" customHeight="false" outlineLevel="0" collapsed="false">
      <c r="A713" s="16" t="str">
        <f aca="false">Vendor_Invoices_AP!A710</f>
        <v>INV30709</v>
      </c>
      <c r="B713" s="16" t="str">
        <f aca="false">Vendor_Invoices_AP!C710</f>
        <v>V1018</v>
      </c>
      <c r="C713" s="16" t="str">
        <f aca="false">IFERROR(INDEX(Vendor_Master!$B$2:$B$41,MATCH(B713,Vendor_Master!$A$2:$A$41,0)),"Unknown Vendor")</f>
        <v>Underwood LLC</v>
      </c>
      <c r="D713" s="18" t="n">
        <f aca="false">Vendor_Invoices_AP!E710</f>
        <v>2463.86</v>
      </c>
      <c r="E713" s="16" t="n">
        <f aca="false">COUNTIF(Payment_Log_AP!$B$2:$B$753,A713)</f>
        <v>1</v>
      </c>
      <c r="F713" s="18" t="n">
        <f aca="false">SUMIFS(Payment_Log_AP!$E$2:$E$753,Payment_Log_AP!$B$2:$B$753,A713)</f>
        <v>2463.86</v>
      </c>
      <c r="G713" s="18" t="n">
        <f aca="false">MAX(F713-D713,0)</f>
        <v>0</v>
      </c>
      <c r="H713" s="16" t="str">
        <f aca="false">IF(E713&gt;1,"DUPLICATE - Review",IF(G713&gt;Assumptions!$B$6,"OVERPAID - Review","OK"))</f>
        <v>OK</v>
      </c>
    </row>
    <row r="714" customFormat="false" ht="15" hidden="false" customHeight="false" outlineLevel="0" collapsed="false">
      <c r="A714" s="16" t="str">
        <f aca="false">Vendor_Invoices_AP!A711</f>
        <v>INV30710</v>
      </c>
      <c r="B714" s="16" t="str">
        <f aca="false">Vendor_Invoices_AP!C711</f>
        <v>V1020</v>
      </c>
      <c r="C714" s="16" t="str">
        <f aca="false">IFERROR(INDEX(Vendor_Master!$B$2:$B$41,MATCH(B714,Vendor_Master!$A$2:$A$41,0)),"Unknown Vendor")</f>
        <v>Lewis-Porter</v>
      </c>
      <c r="D714" s="18" t="n">
        <f aca="false">Vendor_Invoices_AP!E711</f>
        <v>2741.68</v>
      </c>
      <c r="E714" s="16" t="n">
        <f aca="false">COUNTIF(Payment_Log_AP!$B$2:$B$753,A714)</f>
        <v>1</v>
      </c>
      <c r="F714" s="18" t="n">
        <f aca="false">SUMIFS(Payment_Log_AP!$E$2:$E$753,Payment_Log_AP!$B$2:$B$753,A714)</f>
        <v>2741.68</v>
      </c>
      <c r="G714" s="18" t="n">
        <f aca="false">MAX(F714-D714,0)</f>
        <v>0</v>
      </c>
      <c r="H714" s="16" t="str">
        <f aca="false">IF(E714&gt;1,"DUPLICATE - Review",IF(G714&gt;Assumptions!$B$6,"OVERPAID - Review","OK"))</f>
        <v>OK</v>
      </c>
    </row>
    <row r="715" customFormat="false" ht="15" hidden="false" customHeight="false" outlineLevel="0" collapsed="false">
      <c r="A715" s="16" t="str">
        <f aca="false">Vendor_Invoices_AP!A712</f>
        <v>INV30711</v>
      </c>
      <c r="B715" s="16" t="str">
        <f aca="false">Vendor_Invoices_AP!C712</f>
        <v>V1022</v>
      </c>
      <c r="C715" s="16" t="str">
        <f aca="false">IFERROR(INDEX(Vendor_Master!$B$2:$B$41,MATCH(B715,Vendor_Master!$A$2:$A$41,0)),"Unknown Vendor")</f>
        <v>Burgess-Patterson</v>
      </c>
      <c r="D715" s="18" t="n">
        <f aca="false">Vendor_Invoices_AP!E712</f>
        <v>683.18</v>
      </c>
      <c r="E715" s="16" t="n">
        <f aca="false">COUNTIF(Payment_Log_AP!$B$2:$B$753,A715)</f>
        <v>1</v>
      </c>
      <c r="F715" s="18" t="n">
        <f aca="false">SUMIFS(Payment_Log_AP!$E$2:$E$753,Payment_Log_AP!$B$2:$B$753,A715)</f>
        <v>683.18</v>
      </c>
      <c r="G715" s="18" t="n">
        <f aca="false">MAX(F715-D715,0)</f>
        <v>0</v>
      </c>
      <c r="H715" s="16" t="str">
        <f aca="false">IF(E715&gt;1,"DUPLICATE - Review",IF(G715&gt;Assumptions!$B$6,"OVERPAID - Review","OK"))</f>
        <v>OK</v>
      </c>
    </row>
    <row r="716" customFormat="false" ht="15" hidden="false" customHeight="false" outlineLevel="0" collapsed="false">
      <c r="A716" s="16" t="str">
        <f aca="false">Vendor_Invoices_AP!A713</f>
        <v>INV30712</v>
      </c>
      <c r="B716" s="16" t="str">
        <f aca="false">Vendor_Invoices_AP!C713</f>
        <v>V1029</v>
      </c>
      <c r="C716" s="16" t="str">
        <f aca="false">IFERROR(INDEX(Vendor_Master!$B$2:$B$41,MATCH(B716,Vendor_Master!$A$2:$A$41,0)),"Unknown Vendor")</f>
        <v>Chavez Ltd</v>
      </c>
      <c r="D716" s="18" t="n">
        <f aca="false">Vendor_Invoices_AP!E713</f>
        <v>1624.72</v>
      </c>
      <c r="E716" s="16" t="n">
        <f aca="false">COUNTIF(Payment_Log_AP!$B$2:$B$753,A716)</f>
        <v>1</v>
      </c>
      <c r="F716" s="18" t="n">
        <f aca="false">SUMIFS(Payment_Log_AP!$E$2:$E$753,Payment_Log_AP!$B$2:$B$753,A716)</f>
        <v>1624.72</v>
      </c>
      <c r="G716" s="18" t="n">
        <f aca="false">MAX(F716-D716,0)</f>
        <v>0</v>
      </c>
      <c r="H716" s="16" t="str">
        <f aca="false">IF(E716&gt;1,"DUPLICATE - Review",IF(G716&gt;Assumptions!$B$6,"OVERPAID - Review","OK"))</f>
        <v>OK</v>
      </c>
    </row>
    <row r="717" customFormat="false" ht="15" hidden="false" customHeight="false" outlineLevel="0" collapsed="false">
      <c r="A717" s="16" t="str">
        <f aca="false">Vendor_Invoices_AP!A714</f>
        <v>INV30713</v>
      </c>
      <c r="B717" s="16" t="str">
        <f aca="false">Vendor_Invoices_AP!C714</f>
        <v>V1018</v>
      </c>
      <c r="C717" s="16" t="str">
        <f aca="false">IFERROR(INDEX(Vendor_Master!$B$2:$B$41,MATCH(B717,Vendor_Master!$A$2:$A$41,0)),"Unknown Vendor")</f>
        <v>Underwood LLC</v>
      </c>
      <c r="D717" s="18" t="n">
        <f aca="false">Vendor_Invoices_AP!E714</f>
        <v>1846.75</v>
      </c>
      <c r="E717" s="16" t="n">
        <f aca="false">COUNTIF(Payment_Log_AP!$B$2:$B$753,A717)</f>
        <v>1</v>
      </c>
      <c r="F717" s="18" t="n">
        <f aca="false">SUMIFS(Payment_Log_AP!$E$2:$E$753,Payment_Log_AP!$B$2:$B$753,A717)</f>
        <v>1846.75</v>
      </c>
      <c r="G717" s="18" t="n">
        <f aca="false">MAX(F717-D717,0)</f>
        <v>0</v>
      </c>
      <c r="H717" s="16" t="str">
        <f aca="false">IF(E717&gt;1,"DUPLICATE - Review",IF(G717&gt;Assumptions!$B$6,"OVERPAID - Review","OK"))</f>
        <v>OK</v>
      </c>
    </row>
    <row r="718" customFormat="false" ht="15" hidden="false" customHeight="false" outlineLevel="0" collapsed="false">
      <c r="A718" s="16" t="str">
        <f aca="false">Vendor_Invoices_AP!A715</f>
        <v>INV30714</v>
      </c>
      <c r="B718" s="16" t="str">
        <f aca="false">Vendor_Invoices_AP!C715</f>
        <v>V1034</v>
      </c>
      <c r="C718" s="16" t="str">
        <f aca="false">IFERROR(INDEX(Vendor_Master!$B$2:$B$41,MATCH(B718,Vendor_Master!$A$2:$A$41,0)),"Unknown Vendor")</f>
        <v>Koch-Decker</v>
      </c>
      <c r="D718" s="18" t="n">
        <f aca="false">Vendor_Invoices_AP!E715</f>
        <v>1307.64</v>
      </c>
      <c r="E718" s="16" t="n">
        <f aca="false">COUNTIF(Payment_Log_AP!$B$2:$B$753,A718)</f>
        <v>1</v>
      </c>
      <c r="F718" s="18" t="n">
        <f aca="false">SUMIFS(Payment_Log_AP!$E$2:$E$753,Payment_Log_AP!$B$2:$B$753,A718)</f>
        <v>1307.64</v>
      </c>
      <c r="G718" s="18" t="n">
        <f aca="false">MAX(F718-D718,0)</f>
        <v>0</v>
      </c>
      <c r="H718" s="16" t="str">
        <f aca="false">IF(E718&gt;1,"DUPLICATE - Review",IF(G718&gt;Assumptions!$B$6,"OVERPAID - Review","OK"))</f>
        <v>OK</v>
      </c>
    </row>
    <row r="719" customFormat="false" ht="15" hidden="false" customHeight="false" outlineLevel="0" collapsed="false">
      <c r="A719" s="16" t="str">
        <f aca="false">Vendor_Invoices_AP!A716</f>
        <v>INV30715</v>
      </c>
      <c r="B719" s="16" t="str">
        <f aca="false">Vendor_Invoices_AP!C716</f>
        <v>V1033</v>
      </c>
      <c r="C719" s="16" t="str">
        <f aca="false">IFERROR(INDEX(Vendor_Master!$B$2:$B$41,MATCH(B719,Vendor_Master!$A$2:$A$41,0)),"Unknown Vendor")</f>
        <v>Sellers, George and Burns</v>
      </c>
      <c r="D719" s="18" t="n">
        <f aca="false">Vendor_Invoices_AP!E716</f>
        <v>1035.87</v>
      </c>
      <c r="E719" s="16" t="n">
        <f aca="false">COUNTIF(Payment_Log_AP!$B$2:$B$753,A719)</f>
        <v>1</v>
      </c>
      <c r="F719" s="18" t="n">
        <f aca="false">SUMIFS(Payment_Log_AP!$E$2:$E$753,Payment_Log_AP!$B$2:$B$753,A719)</f>
        <v>1035.87</v>
      </c>
      <c r="G719" s="18" t="n">
        <f aca="false">MAX(F719-D719,0)</f>
        <v>0</v>
      </c>
      <c r="H719" s="16" t="str">
        <f aca="false">IF(E719&gt;1,"DUPLICATE - Review",IF(G719&gt;Assumptions!$B$6,"OVERPAID - Review","OK"))</f>
        <v>OK</v>
      </c>
    </row>
    <row r="720" customFormat="false" ht="15" hidden="false" customHeight="false" outlineLevel="0" collapsed="false">
      <c r="A720" s="16" t="str">
        <f aca="false">Vendor_Invoices_AP!A717</f>
        <v>INV30716</v>
      </c>
      <c r="B720" s="16" t="str">
        <f aca="false">Vendor_Invoices_AP!C717</f>
        <v>V1037</v>
      </c>
      <c r="C720" s="16" t="str">
        <f aca="false">IFERROR(INDEX(Vendor_Master!$B$2:$B$41,MATCH(B720,Vendor_Master!$A$2:$A$41,0)),"Unknown Vendor")</f>
        <v>Cannon, Anderson and Alvarez</v>
      </c>
      <c r="D720" s="18" t="n">
        <f aca="false">Vendor_Invoices_AP!E717</f>
        <v>7340.64</v>
      </c>
      <c r="E720" s="16" t="n">
        <f aca="false">COUNTIF(Payment_Log_AP!$B$2:$B$753,A720)</f>
        <v>2</v>
      </c>
      <c r="F720" s="18" t="n">
        <f aca="false">SUMIFS(Payment_Log_AP!$E$2:$E$753,Payment_Log_AP!$B$2:$B$753,A720)</f>
        <v>14681.28</v>
      </c>
      <c r="G720" s="18" t="n">
        <f aca="false">MAX(F720-D720,0)</f>
        <v>7340.64</v>
      </c>
      <c r="H720" s="16" t="str">
        <f aca="false">IF(E720&gt;1,"DUPLICATE - Review",IF(G720&gt;Assumptions!$B$6,"OVERPAID - Review","OK"))</f>
        <v>DUPLICATE - Review</v>
      </c>
    </row>
    <row r="721" customFormat="false" ht="15" hidden="false" customHeight="false" outlineLevel="0" collapsed="false">
      <c r="A721" s="16" t="str">
        <f aca="false">Vendor_Invoices_AP!A718</f>
        <v>INV30717</v>
      </c>
      <c r="B721" s="16" t="str">
        <f aca="false">Vendor_Invoices_AP!C718</f>
        <v>V1011</v>
      </c>
      <c r="C721" s="16" t="str">
        <f aca="false">IFERROR(INDEX(Vendor_Master!$B$2:$B$41,MATCH(B721,Vendor_Master!$A$2:$A$41,0)),"Unknown Vendor")</f>
        <v>Montgomery, Hensley and Ray</v>
      </c>
      <c r="D721" s="18" t="n">
        <f aca="false">Vendor_Invoices_AP!E718</f>
        <v>957.43</v>
      </c>
      <c r="E721" s="16" t="n">
        <f aca="false">COUNTIF(Payment_Log_AP!$B$2:$B$753,A721)</f>
        <v>1</v>
      </c>
      <c r="F721" s="18" t="n">
        <f aca="false">SUMIFS(Payment_Log_AP!$E$2:$E$753,Payment_Log_AP!$B$2:$B$753,A721)</f>
        <v>957.43</v>
      </c>
      <c r="G721" s="18" t="n">
        <f aca="false">MAX(F721-D721,0)</f>
        <v>0</v>
      </c>
      <c r="H721" s="16" t="str">
        <f aca="false">IF(E721&gt;1,"DUPLICATE - Review",IF(G721&gt;Assumptions!$B$6,"OVERPAID - Review","OK"))</f>
        <v>OK</v>
      </c>
    </row>
    <row r="722" customFormat="false" ht="15" hidden="false" customHeight="false" outlineLevel="0" collapsed="false">
      <c r="A722" s="16" t="str">
        <f aca="false">Vendor_Invoices_AP!A719</f>
        <v>INV30718</v>
      </c>
      <c r="B722" s="16" t="str">
        <f aca="false">Vendor_Invoices_AP!C719</f>
        <v>V1010</v>
      </c>
      <c r="C722" s="16" t="str">
        <f aca="false">IFERROR(INDEX(Vendor_Master!$B$2:$B$41,MATCH(B722,Vendor_Master!$A$2:$A$41,0)),"Unknown Vendor")</f>
        <v>Martinez, Nielsen and Miller</v>
      </c>
      <c r="D722" s="18" t="n">
        <f aca="false">Vendor_Invoices_AP!E719</f>
        <v>2509.24</v>
      </c>
      <c r="E722" s="16" t="n">
        <f aca="false">COUNTIF(Payment_Log_AP!$B$2:$B$753,A722)</f>
        <v>1</v>
      </c>
      <c r="F722" s="18" t="n">
        <f aca="false">SUMIFS(Payment_Log_AP!$E$2:$E$753,Payment_Log_AP!$B$2:$B$753,A722)</f>
        <v>2509.24</v>
      </c>
      <c r="G722" s="18" t="n">
        <f aca="false">MAX(F722-D722,0)</f>
        <v>0</v>
      </c>
      <c r="H722" s="16" t="str">
        <f aca="false">IF(E722&gt;1,"DUPLICATE - Review",IF(G722&gt;Assumptions!$B$6,"OVERPAID - Review","OK"))</f>
        <v>OK</v>
      </c>
    </row>
    <row r="723" customFormat="false" ht="15" hidden="false" customHeight="false" outlineLevel="0" collapsed="false">
      <c r="A723" s="16" t="str">
        <f aca="false">Vendor_Invoices_AP!A720</f>
        <v>INV30719</v>
      </c>
      <c r="B723" s="16" t="str">
        <f aca="false">Vendor_Invoices_AP!C720</f>
        <v>V1039</v>
      </c>
      <c r="C723" s="16" t="str">
        <f aca="false">IFERROR(INDEX(Vendor_Master!$B$2:$B$41,MATCH(B723,Vendor_Master!$A$2:$A$41,0)),"Unknown Vendor")</f>
        <v>Campos, Vaughn and Marquez</v>
      </c>
      <c r="D723" s="18" t="n">
        <f aca="false">Vendor_Invoices_AP!E720</f>
        <v>370.92</v>
      </c>
      <c r="E723" s="16" t="n">
        <f aca="false">COUNTIF(Payment_Log_AP!$B$2:$B$753,A723)</f>
        <v>0</v>
      </c>
      <c r="F723" s="18" t="n">
        <f aca="false">SUMIFS(Payment_Log_AP!$E$2:$E$753,Payment_Log_AP!$B$2:$B$753,A723)</f>
        <v>0</v>
      </c>
      <c r="G723" s="18" t="n">
        <f aca="false">MAX(F723-D723,0)</f>
        <v>0</v>
      </c>
      <c r="H723" s="16" t="str">
        <f aca="false">IF(E723&gt;1,"DUPLICATE - Review",IF(G723&gt;Assumptions!$B$6,"OVERPAID - Review","OK"))</f>
        <v>OK</v>
      </c>
    </row>
    <row r="724" customFormat="false" ht="15" hidden="false" customHeight="false" outlineLevel="0" collapsed="false">
      <c r="A724" s="16" t="str">
        <f aca="false">Vendor_Invoices_AP!A721</f>
        <v>INV30720</v>
      </c>
      <c r="B724" s="16" t="str">
        <f aca="false">Vendor_Invoices_AP!C721</f>
        <v>V1039</v>
      </c>
      <c r="C724" s="16" t="str">
        <f aca="false">IFERROR(INDEX(Vendor_Master!$B$2:$B$41,MATCH(B724,Vendor_Master!$A$2:$A$41,0)),"Unknown Vendor")</f>
        <v>Campos, Vaughn and Marquez</v>
      </c>
      <c r="D724" s="18" t="n">
        <f aca="false">Vendor_Invoices_AP!E721</f>
        <v>629.25</v>
      </c>
      <c r="E724" s="16" t="n">
        <f aca="false">COUNTIF(Payment_Log_AP!$B$2:$B$753,A724)</f>
        <v>1</v>
      </c>
      <c r="F724" s="18" t="n">
        <f aca="false">SUMIFS(Payment_Log_AP!$E$2:$E$753,Payment_Log_AP!$B$2:$B$753,A724)</f>
        <v>629.25</v>
      </c>
      <c r="G724" s="18" t="n">
        <f aca="false">MAX(F724-D724,0)</f>
        <v>0</v>
      </c>
      <c r="H724" s="16" t="str">
        <f aca="false">IF(E724&gt;1,"DUPLICATE - Review",IF(G724&gt;Assumptions!$B$6,"OVERPAID - Review","OK"))</f>
        <v>OK</v>
      </c>
    </row>
    <row r="725" customFormat="false" ht="15" hidden="false" customHeight="false" outlineLevel="0" collapsed="false">
      <c r="A725" s="16" t="str">
        <f aca="false">Vendor_Invoices_AP!A722</f>
        <v>INV30721</v>
      </c>
      <c r="B725" s="16" t="str">
        <f aca="false">Vendor_Invoices_AP!C722</f>
        <v>V1029</v>
      </c>
      <c r="C725" s="16" t="str">
        <f aca="false">IFERROR(INDEX(Vendor_Master!$B$2:$B$41,MATCH(B725,Vendor_Master!$A$2:$A$41,0)),"Unknown Vendor")</f>
        <v>Chavez Ltd</v>
      </c>
      <c r="D725" s="18" t="n">
        <f aca="false">Vendor_Invoices_AP!E722</f>
        <v>24756.78</v>
      </c>
      <c r="E725" s="16" t="n">
        <f aca="false">COUNTIF(Payment_Log_AP!$B$2:$B$753,A725)</f>
        <v>1</v>
      </c>
      <c r="F725" s="18" t="n">
        <f aca="false">SUMIFS(Payment_Log_AP!$E$2:$E$753,Payment_Log_AP!$B$2:$B$753,A725)</f>
        <v>24756.78</v>
      </c>
      <c r="G725" s="18" t="n">
        <f aca="false">MAX(F725-D725,0)</f>
        <v>0</v>
      </c>
      <c r="H725" s="16" t="str">
        <f aca="false">IF(E725&gt;1,"DUPLICATE - Review",IF(G725&gt;Assumptions!$B$6,"OVERPAID - Review","OK"))</f>
        <v>OK</v>
      </c>
    </row>
    <row r="726" customFormat="false" ht="15" hidden="false" customHeight="false" outlineLevel="0" collapsed="false">
      <c r="A726" s="16" t="str">
        <f aca="false">Vendor_Invoices_AP!A723</f>
        <v>INV30722</v>
      </c>
      <c r="B726" s="16" t="str">
        <f aca="false">Vendor_Invoices_AP!C723</f>
        <v>V1017</v>
      </c>
      <c r="C726" s="16" t="str">
        <f aca="false">IFERROR(INDEX(Vendor_Master!$B$2:$B$41,MATCH(B726,Vendor_Master!$A$2:$A$41,0)),"Unknown Vendor")</f>
        <v>Hawkins, Cohen and Cameron</v>
      </c>
      <c r="D726" s="18" t="n">
        <f aca="false">Vendor_Invoices_AP!E723</f>
        <v>2964.49</v>
      </c>
      <c r="E726" s="16" t="n">
        <f aca="false">COUNTIF(Payment_Log_AP!$B$2:$B$753,A726)</f>
        <v>1</v>
      </c>
      <c r="F726" s="18" t="n">
        <f aca="false">SUMIFS(Payment_Log_AP!$E$2:$E$753,Payment_Log_AP!$B$2:$B$753,A726)</f>
        <v>2964.49</v>
      </c>
      <c r="G726" s="18" t="n">
        <f aca="false">MAX(F726-D726,0)</f>
        <v>0</v>
      </c>
      <c r="H726" s="16" t="str">
        <f aca="false">IF(E726&gt;1,"DUPLICATE - Review",IF(G726&gt;Assumptions!$B$6,"OVERPAID - Review","OK"))</f>
        <v>OK</v>
      </c>
    </row>
    <row r="727" customFormat="false" ht="15" hidden="false" customHeight="false" outlineLevel="0" collapsed="false">
      <c r="A727" s="16" t="str">
        <f aca="false">Vendor_Invoices_AP!A724</f>
        <v>INV30723</v>
      </c>
      <c r="B727" s="16" t="str">
        <f aca="false">Vendor_Invoices_AP!C724</f>
        <v>V1010</v>
      </c>
      <c r="C727" s="16" t="str">
        <f aca="false">IFERROR(INDEX(Vendor_Master!$B$2:$B$41,MATCH(B727,Vendor_Master!$A$2:$A$41,0)),"Unknown Vendor")</f>
        <v>Martinez, Nielsen and Miller</v>
      </c>
      <c r="D727" s="18" t="n">
        <f aca="false">Vendor_Invoices_AP!E724</f>
        <v>3993.23</v>
      </c>
      <c r="E727" s="16" t="n">
        <f aca="false">COUNTIF(Payment_Log_AP!$B$2:$B$753,A727)</f>
        <v>1</v>
      </c>
      <c r="F727" s="18" t="n">
        <f aca="false">SUMIFS(Payment_Log_AP!$E$2:$E$753,Payment_Log_AP!$B$2:$B$753,A727)</f>
        <v>3993.23</v>
      </c>
      <c r="G727" s="18" t="n">
        <f aca="false">MAX(F727-D727,0)</f>
        <v>0</v>
      </c>
      <c r="H727" s="16" t="str">
        <f aca="false">IF(E727&gt;1,"DUPLICATE - Review",IF(G727&gt;Assumptions!$B$6,"OVERPAID - Review","OK"))</f>
        <v>OK</v>
      </c>
    </row>
    <row r="728" customFormat="false" ht="15" hidden="false" customHeight="false" outlineLevel="0" collapsed="false">
      <c r="A728" s="16" t="str">
        <f aca="false">Vendor_Invoices_AP!A725</f>
        <v>INV30724</v>
      </c>
      <c r="B728" s="16" t="str">
        <f aca="false">Vendor_Invoices_AP!C725</f>
        <v>V1035</v>
      </c>
      <c r="C728" s="16" t="str">
        <f aca="false">IFERROR(INDEX(Vendor_Master!$B$2:$B$41,MATCH(B728,Vendor_Master!$A$2:$A$41,0)),"Unknown Vendor")</f>
        <v>Allen PLC</v>
      </c>
      <c r="D728" s="18" t="n">
        <f aca="false">Vendor_Invoices_AP!E725</f>
        <v>1604.06</v>
      </c>
      <c r="E728" s="16" t="n">
        <f aca="false">COUNTIF(Payment_Log_AP!$B$2:$B$753,A728)</f>
        <v>1</v>
      </c>
      <c r="F728" s="18" t="n">
        <f aca="false">SUMIFS(Payment_Log_AP!$E$2:$E$753,Payment_Log_AP!$B$2:$B$753,A728)</f>
        <v>1604.06</v>
      </c>
      <c r="G728" s="18" t="n">
        <f aca="false">MAX(F728-D728,0)</f>
        <v>0</v>
      </c>
      <c r="H728" s="16" t="str">
        <f aca="false">IF(E728&gt;1,"DUPLICATE - Review",IF(G728&gt;Assumptions!$B$6,"OVERPAID - Review","OK"))</f>
        <v>OK</v>
      </c>
    </row>
    <row r="729" customFormat="false" ht="15" hidden="false" customHeight="false" outlineLevel="0" collapsed="false">
      <c r="A729" s="16" t="str">
        <f aca="false">Vendor_Invoices_AP!A726</f>
        <v>INV30725</v>
      </c>
      <c r="B729" s="16" t="str">
        <f aca="false">Vendor_Invoices_AP!C726</f>
        <v>V1039</v>
      </c>
      <c r="C729" s="16" t="str">
        <f aca="false">IFERROR(INDEX(Vendor_Master!$B$2:$B$41,MATCH(B729,Vendor_Master!$A$2:$A$41,0)),"Unknown Vendor")</f>
        <v>Campos, Vaughn and Marquez</v>
      </c>
      <c r="D729" s="18" t="n">
        <f aca="false">Vendor_Invoices_AP!E726</f>
        <v>2211.07</v>
      </c>
      <c r="E729" s="16" t="n">
        <f aca="false">COUNTIF(Payment_Log_AP!$B$2:$B$753,A729)</f>
        <v>1</v>
      </c>
      <c r="F729" s="18" t="n">
        <f aca="false">SUMIFS(Payment_Log_AP!$E$2:$E$753,Payment_Log_AP!$B$2:$B$753,A729)</f>
        <v>2211.07</v>
      </c>
      <c r="G729" s="18" t="n">
        <f aca="false">MAX(F729-D729,0)</f>
        <v>0</v>
      </c>
      <c r="H729" s="16" t="str">
        <f aca="false">IF(E729&gt;1,"DUPLICATE - Review",IF(G729&gt;Assumptions!$B$6,"OVERPAID - Review","OK"))</f>
        <v>OK</v>
      </c>
    </row>
    <row r="730" customFormat="false" ht="15" hidden="false" customHeight="false" outlineLevel="0" collapsed="false">
      <c r="A730" s="16" t="str">
        <f aca="false">Vendor_Invoices_AP!A727</f>
        <v>INV30726</v>
      </c>
      <c r="B730" s="16" t="str">
        <f aca="false">Vendor_Invoices_AP!C727</f>
        <v>V1010</v>
      </c>
      <c r="C730" s="16" t="str">
        <f aca="false">IFERROR(INDEX(Vendor_Master!$B$2:$B$41,MATCH(B730,Vendor_Master!$A$2:$A$41,0)),"Unknown Vendor")</f>
        <v>Martinez, Nielsen and Miller</v>
      </c>
      <c r="D730" s="18" t="n">
        <f aca="false">Vendor_Invoices_AP!E727</f>
        <v>1034.65</v>
      </c>
      <c r="E730" s="16" t="n">
        <f aca="false">COUNTIF(Payment_Log_AP!$B$2:$B$753,A730)</f>
        <v>1</v>
      </c>
      <c r="F730" s="18" t="n">
        <f aca="false">SUMIFS(Payment_Log_AP!$E$2:$E$753,Payment_Log_AP!$B$2:$B$753,A730)</f>
        <v>1034.65</v>
      </c>
      <c r="G730" s="18" t="n">
        <f aca="false">MAX(F730-D730,0)</f>
        <v>0</v>
      </c>
      <c r="H730" s="16" t="str">
        <f aca="false">IF(E730&gt;1,"DUPLICATE - Review",IF(G730&gt;Assumptions!$B$6,"OVERPAID - Review","OK"))</f>
        <v>OK</v>
      </c>
    </row>
    <row r="731" customFormat="false" ht="15" hidden="false" customHeight="false" outlineLevel="0" collapsed="false">
      <c r="A731" s="16" t="str">
        <f aca="false">Vendor_Invoices_AP!A728</f>
        <v>INV30727</v>
      </c>
      <c r="B731" s="16" t="str">
        <f aca="false">Vendor_Invoices_AP!C728</f>
        <v>V1014</v>
      </c>
      <c r="C731" s="16" t="str">
        <f aca="false">IFERROR(INDEX(Vendor_Master!$B$2:$B$41,MATCH(B731,Vendor_Master!$A$2:$A$41,0)),"Unknown Vendor")</f>
        <v>Flowers, Martin and Kelly</v>
      </c>
      <c r="D731" s="18" t="n">
        <f aca="false">Vendor_Invoices_AP!E728</f>
        <v>6197.2</v>
      </c>
      <c r="E731" s="16" t="n">
        <f aca="false">COUNTIF(Payment_Log_AP!$B$2:$B$753,A731)</f>
        <v>0</v>
      </c>
      <c r="F731" s="18" t="n">
        <f aca="false">SUMIFS(Payment_Log_AP!$E$2:$E$753,Payment_Log_AP!$B$2:$B$753,A731)</f>
        <v>0</v>
      </c>
      <c r="G731" s="18" t="n">
        <f aca="false">MAX(F731-D731,0)</f>
        <v>0</v>
      </c>
      <c r="H731" s="16" t="str">
        <f aca="false">IF(E731&gt;1,"DUPLICATE - Review",IF(G731&gt;Assumptions!$B$6,"OVERPAID - Review","OK"))</f>
        <v>OK</v>
      </c>
    </row>
    <row r="732" customFormat="false" ht="15" hidden="false" customHeight="false" outlineLevel="0" collapsed="false">
      <c r="A732" s="16" t="str">
        <f aca="false">Vendor_Invoices_AP!A729</f>
        <v>INV30728</v>
      </c>
      <c r="B732" s="16" t="str">
        <f aca="false">Vendor_Invoices_AP!C729</f>
        <v>V1032</v>
      </c>
      <c r="C732" s="16" t="str">
        <f aca="false">IFERROR(INDEX(Vendor_Master!$B$2:$B$41,MATCH(B732,Vendor_Master!$A$2:$A$41,0)),"Unknown Vendor")</f>
        <v>Lynch, Hernandez and Farmer</v>
      </c>
      <c r="D732" s="18" t="n">
        <f aca="false">Vendor_Invoices_AP!E729</f>
        <v>1848.76</v>
      </c>
      <c r="E732" s="16" t="n">
        <f aca="false">COUNTIF(Payment_Log_AP!$B$2:$B$753,A732)</f>
        <v>1</v>
      </c>
      <c r="F732" s="18" t="n">
        <f aca="false">SUMIFS(Payment_Log_AP!$E$2:$E$753,Payment_Log_AP!$B$2:$B$753,A732)</f>
        <v>1848.76</v>
      </c>
      <c r="G732" s="18" t="n">
        <f aca="false">MAX(F732-D732,0)</f>
        <v>0</v>
      </c>
      <c r="H732" s="16" t="str">
        <f aca="false">IF(E732&gt;1,"DUPLICATE - Review",IF(G732&gt;Assumptions!$B$6,"OVERPAID - Review","OK"))</f>
        <v>OK</v>
      </c>
    </row>
    <row r="733" customFormat="false" ht="15" hidden="false" customHeight="false" outlineLevel="0" collapsed="false">
      <c r="A733" s="16" t="str">
        <f aca="false">Vendor_Invoices_AP!A730</f>
        <v>INV30729</v>
      </c>
      <c r="B733" s="16" t="str">
        <f aca="false">Vendor_Invoices_AP!C730</f>
        <v>V1039</v>
      </c>
      <c r="C733" s="16" t="str">
        <f aca="false">IFERROR(INDEX(Vendor_Master!$B$2:$B$41,MATCH(B733,Vendor_Master!$A$2:$A$41,0)),"Unknown Vendor")</f>
        <v>Campos, Vaughn and Marquez</v>
      </c>
      <c r="D733" s="18" t="n">
        <f aca="false">Vendor_Invoices_AP!E730</f>
        <v>2842.44</v>
      </c>
      <c r="E733" s="16" t="n">
        <f aca="false">COUNTIF(Payment_Log_AP!$B$2:$B$753,A733)</f>
        <v>1</v>
      </c>
      <c r="F733" s="18" t="n">
        <f aca="false">SUMIFS(Payment_Log_AP!$E$2:$E$753,Payment_Log_AP!$B$2:$B$753,A733)</f>
        <v>2842.44</v>
      </c>
      <c r="G733" s="18" t="n">
        <f aca="false">MAX(F733-D733,0)</f>
        <v>0</v>
      </c>
      <c r="H733" s="16" t="str">
        <f aca="false">IF(E733&gt;1,"DUPLICATE - Review",IF(G733&gt;Assumptions!$B$6,"OVERPAID - Review","OK"))</f>
        <v>OK</v>
      </c>
    </row>
    <row r="734" customFormat="false" ht="15" hidden="false" customHeight="false" outlineLevel="0" collapsed="false">
      <c r="A734" s="16" t="str">
        <f aca="false">Vendor_Invoices_AP!A731</f>
        <v>INV30730</v>
      </c>
      <c r="B734" s="16" t="str">
        <f aca="false">Vendor_Invoices_AP!C731</f>
        <v>V1018</v>
      </c>
      <c r="C734" s="16" t="str">
        <f aca="false">IFERROR(INDEX(Vendor_Master!$B$2:$B$41,MATCH(B734,Vendor_Master!$A$2:$A$41,0)),"Unknown Vendor")</f>
        <v>Underwood LLC</v>
      </c>
      <c r="D734" s="18" t="n">
        <f aca="false">Vendor_Invoices_AP!E731</f>
        <v>2826.44</v>
      </c>
      <c r="E734" s="16" t="n">
        <f aca="false">COUNTIF(Payment_Log_AP!$B$2:$B$753,A734)</f>
        <v>1</v>
      </c>
      <c r="F734" s="18" t="n">
        <f aca="false">SUMIFS(Payment_Log_AP!$E$2:$E$753,Payment_Log_AP!$B$2:$B$753,A734)</f>
        <v>2826.44</v>
      </c>
      <c r="G734" s="18" t="n">
        <f aca="false">MAX(F734-D734,0)</f>
        <v>0</v>
      </c>
      <c r="H734" s="16" t="str">
        <f aca="false">IF(E734&gt;1,"DUPLICATE - Review",IF(G734&gt;Assumptions!$B$6,"OVERPAID - Review","OK"))</f>
        <v>OK</v>
      </c>
    </row>
    <row r="735" customFormat="false" ht="15" hidden="false" customHeight="false" outlineLevel="0" collapsed="false">
      <c r="A735" s="16" t="str">
        <f aca="false">Vendor_Invoices_AP!A732</f>
        <v>INV30731</v>
      </c>
      <c r="B735" s="16" t="str">
        <f aca="false">Vendor_Invoices_AP!C732</f>
        <v>V1040</v>
      </c>
      <c r="C735" s="16" t="str">
        <f aca="false">IFERROR(INDEX(Vendor_Master!$B$2:$B$41,MATCH(B735,Vendor_Master!$A$2:$A$41,0)),"Unknown Vendor")</f>
        <v>Santos, Kim and Holmes</v>
      </c>
      <c r="D735" s="18" t="n">
        <f aca="false">Vendor_Invoices_AP!E732</f>
        <v>9307.71</v>
      </c>
      <c r="E735" s="16" t="n">
        <f aca="false">COUNTIF(Payment_Log_AP!$B$2:$B$753,A735)</f>
        <v>0</v>
      </c>
      <c r="F735" s="18" t="n">
        <f aca="false">SUMIFS(Payment_Log_AP!$E$2:$E$753,Payment_Log_AP!$B$2:$B$753,A735)</f>
        <v>0</v>
      </c>
      <c r="G735" s="18" t="n">
        <f aca="false">MAX(F735-D735,0)</f>
        <v>0</v>
      </c>
      <c r="H735" s="16" t="str">
        <f aca="false">IF(E735&gt;1,"DUPLICATE - Review",IF(G735&gt;Assumptions!$B$6,"OVERPAID - Review","OK"))</f>
        <v>OK</v>
      </c>
    </row>
    <row r="736" customFormat="false" ht="15" hidden="false" customHeight="false" outlineLevel="0" collapsed="false">
      <c r="A736" s="16" t="str">
        <f aca="false">Vendor_Invoices_AP!A733</f>
        <v>INV30732</v>
      </c>
      <c r="B736" s="16" t="str">
        <f aca="false">Vendor_Invoices_AP!C733</f>
        <v>V1038</v>
      </c>
      <c r="C736" s="16" t="str">
        <f aca="false">IFERROR(INDEX(Vendor_Master!$B$2:$B$41,MATCH(B736,Vendor_Master!$A$2:$A$41,0)),"Unknown Vendor")</f>
        <v>Rose-Obrien</v>
      </c>
      <c r="D736" s="18" t="n">
        <f aca="false">Vendor_Invoices_AP!E733</f>
        <v>4662.39</v>
      </c>
      <c r="E736" s="16" t="n">
        <f aca="false">COUNTIF(Payment_Log_AP!$B$2:$B$753,A736)</f>
        <v>1</v>
      </c>
      <c r="F736" s="18" t="n">
        <f aca="false">SUMIFS(Payment_Log_AP!$E$2:$E$753,Payment_Log_AP!$B$2:$B$753,A736)</f>
        <v>4662.39</v>
      </c>
      <c r="G736" s="18" t="n">
        <f aca="false">MAX(F736-D736,0)</f>
        <v>0</v>
      </c>
      <c r="H736" s="16" t="str">
        <f aca="false">IF(E736&gt;1,"DUPLICATE - Review",IF(G736&gt;Assumptions!$B$6,"OVERPAID - Review","OK"))</f>
        <v>OK</v>
      </c>
    </row>
    <row r="737" customFormat="false" ht="15" hidden="false" customHeight="false" outlineLevel="0" collapsed="false">
      <c r="A737" s="16" t="str">
        <f aca="false">Vendor_Invoices_AP!A734</f>
        <v>INV30733</v>
      </c>
      <c r="B737" s="16" t="str">
        <f aca="false">Vendor_Invoices_AP!C734</f>
        <v>V1040</v>
      </c>
      <c r="C737" s="16" t="str">
        <f aca="false">IFERROR(INDEX(Vendor_Master!$B$2:$B$41,MATCH(B737,Vendor_Master!$A$2:$A$41,0)),"Unknown Vendor")</f>
        <v>Santos, Kim and Holmes</v>
      </c>
      <c r="D737" s="18" t="n">
        <f aca="false">Vendor_Invoices_AP!E734</f>
        <v>369.39</v>
      </c>
      <c r="E737" s="16" t="n">
        <f aca="false">COUNTIF(Payment_Log_AP!$B$2:$B$753,A737)</f>
        <v>1</v>
      </c>
      <c r="F737" s="18" t="n">
        <f aca="false">SUMIFS(Payment_Log_AP!$E$2:$E$753,Payment_Log_AP!$B$2:$B$753,A737)</f>
        <v>369.39</v>
      </c>
      <c r="G737" s="18" t="n">
        <f aca="false">MAX(F737-D737,0)</f>
        <v>0</v>
      </c>
      <c r="H737" s="16" t="str">
        <f aca="false">IF(E737&gt;1,"DUPLICATE - Review",IF(G737&gt;Assumptions!$B$6,"OVERPAID - Review","OK"))</f>
        <v>OK</v>
      </c>
    </row>
    <row r="738" customFormat="false" ht="15" hidden="false" customHeight="false" outlineLevel="0" collapsed="false">
      <c r="A738" s="16" t="str">
        <f aca="false">Vendor_Invoices_AP!A735</f>
        <v>INV30734</v>
      </c>
      <c r="B738" s="16" t="str">
        <f aca="false">Vendor_Invoices_AP!C735</f>
        <v>V1035</v>
      </c>
      <c r="C738" s="16" t="str">
        <f aca="false">IFERROR(INDEX(Vendor_Master!$B$2:$B$41,MATCH(B738,Vendor_Master!$A$2:$A$41,0)),"Unknown Vendor")</f>
        <v>Allen PLC</v>
      </c>
      <c r="D738" s="18" t="n">
        <f aca="false">Vendor_Invoices_AP!E735</f>
        <v>21261.93</v>
      </c>
      <c r="E738" s="16" t="n">
        <f aca="false">COUNTIF(Payment_Log_AP!$B$2:$B$753,A738)</f>
        <v>0</v>
      </c>
      <c r="F738" s="18" t="n">
        <f aca="false">SUMIFS(Payment_Log_AP!$E$2:$E$753,Payment_Log_AP!$B$2:$B$753,A738)</f>
        <v>0</v>
      </c>
      <c r="G738" s="18" t="n">
        <f aca="false">MAX(F738-D738,0)</f>
        <v>0</v>
      </c>
      <c r="H738" s="16" t="str">
        <f aca="false">IF(E738&gt;1,"DUPLICATE - Review",IF(G738&gt;Assumptions!$B$6,"OVERPAID - Review","OK"))</f>
        <v>OK</v>
      </c>
    </row>
    <row r="739" customFormat="false" ht="15" hidden="false" customHeight="false" outlineLevel="0" collapsed="false">
      <c r="A739" s="16" t="str">
        <f aca="false">Vendor_Invoices_AP!A736</f>
        <v>INV30735</v>
      </c>
      <c r="B739" s="16" t="str">
        <f aca="false">Vendor_Invoices_AP!C736</f>
        <v>V1027</v>
      </c>
      <c r="C739" s="16" t="str">
        <f aca="false">IFERROR(INDEX(Vendor_Master!$B$2:$B$41,MATCH(B739,Vendor_Master!$A$2:$A$41,0)),"Unknown Vendor")</f>
        <v>Valencia, Smith and Le</v>
      </c>
      <c r="D739" s="18" t="n">
        <f aca="false">Vendor_Invoices_AP!E736</f>
        <v>739.64</v>
      </c>
      <c r="E739" s="16" t="n">
        <f aca="false">COUNTIF(Payment_Log_AP!$B$2:$B$753,A739)</f>
        <v>0</v>
      </c>
      <c r="F739" s="18" t="n">
        <f aca="false">SUMIFS(Payment_Log_AP!$E$2:$E$753,Payment_Log_AP!$B$2:$B$753,A739)</f>
        <v>0</v>
      </c>
      <c r="G739" s="18" t="n">
        <f aca="false">MAX(F739-D739,0)</f>
        <v>0</v>
      </c>
      <c r="H739" s="16" t="str">
        <f aca="false">IF(E739&gt;1,"DUPLICATE - Review",IF(G739&gt;Assumptions!$B$6,"OVERPAID - Review","OK"))</f>
        <v>OK</v>
      </c>
    </row>
    <row r="740" customFormat="false" ht="15" hidden="false" customHeight="false" outlineLevel="0" collapsed="false">
      <c r="A740" s="16" t="str">
        <f aca="false">Vendor_Invoices_AP!A737</f>
        <v>INV30736</v>
      </c>
      <c r="B740" s="16" t="str">
        <f aca="false">Vendor_Invoices_AP!C737</f>
        <v>V1020</v>
      </c>
      <c r="C740" s="16" t="str">
        <f aca="false">IFERROR(INDEX(Vendor_Master!$B$2:$B$41,MATCH(B740,Vendor_Master!$A$2:$A$41,0)),"Unknown Vendor")</f>
        <v>Lewis-Porter</v>
      </c>
      <c r="D740" s="18" t="n">
        <f aca="false">Vendor_Invoices_AP!E737</f>
        <v>5478.42</v>
      </c>
      <c r="E740" s="16" t="n">
        <f aca="false">COUNTIF(Payment_Log_AP!$B$2:$B$753,A740)</f>
        <v>0</v>
      </c>
      <c r="F740" s="18" t="n">
        <f aca="false">SUMIFS(Payment_Log_AP!$E$2:$E$753,Payment_Log_AP!$B$2:$B$753,A740)</f>
        <v>0</v>
      </c>
      <c r="G740" s="18" t="n">
        <f aca="false">MAX(F740-D740,0)</f>
        <v>0</v>
      </c>
      <c r="H740" s="16" t="str">
        <f aca="false">IF(E740&gt;1,"DUPLICATE - Review",IF(G740&gt;Assumptions!$B$6,"OVERPAID - Review","OK"))</f>
        <v>OK</v>
      </c>
    </row>
    <row r="741" customFormat="false" ht="15" hidden="false" customHeight="false" outlineLevel="0" collapsed="false">
      <c r="A741" s="16" t="str">
        <f aca="false">Vendor_Invoices_AP!A738</f>
        <v>INV30737</v>
      </c>
      <c r="B741" s="16" t="str">
        <f aca="false">Vendor_Invoices_AP!C738</f>
        <v>V1030</v>
      </c>
      <c r="C741" s="16" t="str">
        <f aca="false">IFERROR(INDEX(Vendor_Master!$B$2:$B$41,MATCH(B741,Vendor_Master!$A$2:$A$41,0)),"Unknown Vendor")</f>
        <v>Stanton-Gill</v>
      </c>
      <c r="D741" s="18" t="n">
        <f aca="false">Vendor_Invoices_AP!E738</f>
        <v>1081.06</v>
      </c>
      <c r="E741" s="16" t="n">
        <f aca="false">COUNTIF(Payment_Log_AP!$B$2:$B$753,A741)</f>
        <v>1</v>
      </c>
      <c r="F741" s="18" t="n">
        <f aca="false">SUMIFS(Payment_Log_AP!$E$2:$E$753,Payment_Log_AP!$B$2:$B$753,A741)</f>
        <v>1081.06</v>
      </c>
      <c r="G741" s="18" t="n">
        <f aca="false">MAX(F741-D741,0)</f>
        <v>0</v>
      </c>
      <c r="H741" s="16" t="str">
        <f aca="false">IF(E741&gt;1,"DUPLICATE - Review",IF(G741&gt;Assumptions!$B$6,"OVERPAID - Review","OK"))</f>
        <v>OK</v>
      </c>
    </row>
    <row r="742" customFormat="false" ht="15" hidden="false" customHeight="false" outlineLevel="0" collapsed="false">
      <c r="A742" s="16" t="str">
        <f aca="false">Vendor_Invoices_AP!A739</f>
        <v>INV30738</v>
      </c>
      <c r="B742" s="16" t="str">
        <f aca="false">Vendor_Invoices_AP!C739</f>
        <v>V1023</v>
      </c>
      <c r="C742" s="16" t="str">
        <f aca="false">IFERROR(INDEX(Vendor_Master!$B$2:$B$41,MATCH(B742,Vendor_Master!$A$2:$A$41,0)),"Unknown Vendor")</f>
        <v>Robinson-Bright</v>
      </c>
      <c r="D742" s="18" t="n">
        <f aca="false">Vendor_Invoices_AP!E739</f>
        <v>199.69</v>
      </c>
      <c r="E742" s="16" t="n">
        <f aca="false">COUNTIF(Payment_Log_AP!$B$2:$B$753,A742)</f>
        <v>1</v>
      </c>
      <c r="F742" s="18" t="n">
        <f aca="false">SUMIFS(Payment_Log_AP!$E$2:$E$753,Payment_Log_AP!$B$2:$B$753,A742)</f>
        <v>199.69</v>
      </c>
      <c r="G742" s="18" t="n">
        <f aca="false">MAX(F742-D742,0)</f>
        <v>0</v>
      </c>
      <c r="H742" s="16" t="str">
        <f aca="false">IF(E742&gt;1,"DUPLICATE - Review",IF(G742&gt;Assumptions!$B$6,"OVERPAID - Review","OK"))</f>
        <v>OK</v>
      </c>
    </row>
    <row r="743" customFormat="false" ht="15" hidden="false" customHeight="false" outlineLevel="0" collapsed="false">
      <c r="A743" s="16" t="str">
        <f aca="false">Vendor_Invoices_AP!A740</f>
        <v>INV30739</v>
      </c>
      <c r="B743" s="16" t="str">
        <f aca="false">Vendor_Invoices_AP!C740</f>
        <v>V1039</v>
      </c>
      <c r="C743" s="16" t="str">
        <f aca="false">IFERROR(INDEX(Vendor_Master!$B$2:$B$41,MATCH(B743,Vendor_Master!$A$2:$A$41,0)),"Unknown Vendor")</f>
        <v>Campos, Vaughn and Marquez</v>
      </c>
      <c r="D743" s="18" t="n">
        <f aca="false">Vendor_Invoices_AP!E740</f>
        <v>1143.13</v>
      </c>
      <c r="E743" s="16" t="n">
        <f aca="false">COUNTIF(Payment_Log_AP!$B$2:$B$753,A743)</f>
        <v>1</v>
      </c>
      <c r="F743" s="18" t="n">
        <f aca="false">SUMIFS(Payment_Log_AP!$E$2:$E$753,Payment_Log_AP!$B$2:$B$753,A743)</f>
        <v>1143.13</v>
      </c>
      <c r="G743" s="18" t="n">
        <f aca="false">MAX(F743-D743,0)</f>
        <v>0</v>
      </c>
      <c r="H743" s="16" t="str">
        <f aca="false">IF(E743&gt;1,"DUPLICATE - Review",IF(G743&gt;Assumptions!$B$6,"OVERPAID - Review","OK"))</f>
        <v>OK</v>
      </c>
    </row>
    <row r="744" customFormat="false" ht="15" hidden="false" customHeight="false" outlineLevel="0" collapsed="false">
      <c r="A744" s="16" t="str">
        <f aca="false">Vendor_Invoices_AP!A741</f>
        <v>INV30740</v>
      </c>
      <c r="B744" s="16" t="str">
        <f aca="false">Vendor_Invoices_AP!C741</f>
        <v>V1033</v>
      </c>
      <c r="C744" s="16" t="str">
        <f aca="false">IFERROR(INDEX(Vendor_Master!$B$2:$B$41,MATCH(B744,Vendor_Master!$A$2:$A$41,0)),"Unknown Vendor")</f>
        <v>Sellers, George and Burns</v>
      </c>
      <c r="D744" s="18" t="n">
        <f aca="false">Vendor_Invoices_AP!E741</f>
        <v>3047.46</v>
      </c>
      <c r="E744" s="16" t="n">
        <f aca="false">COUNTIF(Payment_Log_AP!$B$2:$B$753,A744)</f>
        <v>1</v>
      </c>
      <c r="F744" s="18" t="n">
        <f aca="false">SUMIFS(Payment_Log_AP!$E$2:$E$753,Payment_Log_AP!$B$2:$B$753,A744)</f>
        <v>3047.46</v>
      </c>
      <c r="G744" s="18" t="n">
        <f aca="false">MAX(F744-D744,0)</f>
        <v>0</v>
      </c>
      <c r="H744" s="16" t="str">
        <f aca="false">IF(E744&gt;1,"DUPLICATE - Review",IF(G744&gt;Assumptions!$B$6,"OVERPAID - Review","OK"))</f>
        <v>OK</v>
      </c>
    </row>
    <row r="745" customFormat="false" ht="15" hidden="false" customHeight="false" outlineLevel="0" collapsed="false">
      <c r="A745" s="16" t="str">
        <f aca="false">Vendor_Invoices_AP!A742</f>
        <v>INV30741</v>
      </c>
      <c r="B745" s="16" t="str">
        <f aca="false">Vendor_Invoices_AP!C742</f>
        <v>V1011</v>
      </c>
      <c r="C745" s="16" t="str">
        <f aca="false">IFERROR(INDEX(Vendor_Master!$B$2:$B$41,MATCH(B745,Vendor_Master!$A$2:$A$41,0)),"Unknown Vendor")</f>
        <v>Montgomery, Hensley and Ray</v>
      </c>
      <c r="D745" s="18" t="n">
        <f aca="false">Vendor_Invoices_AP!E742</f>
        <v>2282.24</v>
      </c>
      <c r="E745" s="16" t="n">
        <f aca="false">COUNTIF(Payment_Log_AP!$B$2:$B$753,A745)</f>
        <v>1</v>
      </c>
      <c r="F745" s="18" t="n">
        <f aca="false">SUMIFS(Payment_Log_AP!$E$2:$E$753,Payment_Log_AP!$B$2:$B$753,A745)</f>
        <v>2282.24</v>
      </c>
      <c r="G745" s="18" t="n">
        <f aca="false">MAX(F745-D745,0)</f>
        <v>0</v>
      </c>
      <c r="H745" s="16" t="str">
        <f aca="false">IF(E745&gt;1,"DUPLICATE - Review",IF(G745&gt;Assumptions!$B$6,"OVERPAID - Review","OK"))</f>
        <v>OK</v>
      </c>
    </row>
    <row r="746" customFormat="false" ht="15" hidden="false" customHeight="false" outlineLevel="0" collapsed="false">
      <c r="A746" s="16" t="str">
        <f aca="false">Vendor_Invoices_AP!A743</f>
        <v>INV30742</v>
      </c>
      <c r="B746" s="16" t="str">
        <f aca="false">Vendor_Invoices_AP!C743</f>
        <v>V1008</v>
      </c>
      <c r="C746" s="16" t="str">
        <f aca="false">IFERROR(INDEX(Vendor_Master!$B$2:$B$41,MATCH(B746,Vendor_Master!$A$2:$A$41,0)),"Unknown Vendor")</f>
        <v>Davis Inc</v>
      </c>
      <c r="D746" s="18" t="n">
        <f aca="false">Vendor_Invoices_AP!E743</f>
        <v>866.83</v>
      </c>
      <c r="E746" s="16" t="n">
        <f aca="false">COUNTIF(Payment_Log_AP!$B$2:$B$753,A746)</f>
        <v>1</v>
      </c>
      <c r="F746" s="18" t="n">
        <f aca="false">SUMIFS(Payment_Log_AP!$E$2:$E$753,Payment_Log_AP!$B$2:$B$753,A746)</f>
        <v>866.83</v>
      </c>
      <c r="G746" s="18" t="n">
        <f aca="false">MAX(F746-D746,0)</f>
        <v>0</v>
      </c>
      <c r="H746" s="16" t="str">
        <f aca="false">IF(E746&gt;1,"DUPLICATE - Review",IF(G746&gt;Assumptions!$B$6,"OVERPAID - Review","OK"))</f>
        <v>OK</v>
      </c>
    </row>
    <row r="747" customFormat="false" ht="15" hidden="false" customHeight="false" outlineLevel="0" collapsed="false">
      <c r="A747" s="16" t="str">
        <f aca="false">Vendor_Invoices_AP!A744</f>
        <v>INV30743</v>
      </c>
      <c r="B747" s="16" t="str">
        <f aca="false">Vendor_Invoices_AP!C744</f>
        <v>V1021</v>
      </c>
      <c r="C747" s="16" t="str">
        <f aca="false">IFERROR(INDEX(Vendor_Master!$B$2:$B$41,MATCH(B747,Vendor_Master!$A$2:$A$41,0)),"Unknown Vendor")</f>
        <v>Ellis, Baker and Wright</v>
      </c>
      <c r="D747" s="18" t="n">
        <f aca="false">Vendor_Invoices_AP!E744</f>
        <v>9584.39</v>
      </c>
      <c r="E747" s="16" t="n">
        <f aca="false">COUNTIF(Payment_Log_AP!$B$2:$B$753,A747)</f>
        <v>1</v>
      </c>
      <c r="F747" s="18" t="n">
        <f aca="false">SUMIFS(Payment_Log_AP!$E$2:$E$753,Payment_Log_AP!$B$2:$B$753,A747)</f>
        <v>9584.39</v>
      </c>
      <c r="G747" s="18" t="n">
        <f aca="false">MAX(F747-D747,0)</f>
        <v>0</v>
      </c>
      <c r="H747" s="16" t="str">
        <f aca="false">IF(E747&gt;1,"DUPLICATE - Review",IF(G747&gt;Assumptions!$B$6,"OVERPAID - Review","OK"))</f>
        <v>OK</v>
      </c>
    </row>
    <row r="748" customFormat="false" ht="15" hidden="false" customHeight="false" outlineLevel="0" collapsed="false">
      <c r="A748" s="16" t="str">
        <f aca="false">Vendor_Invoices_AP!A745</f>
        <v>INV30744</v>
      </c>
      <c r="B748" s="16" t="str">
        <f aca="false">Vendor_Invoices_AP!C745</f>
        <v>V1007</v>
      </c>
      <c r="C748" s="16" t="str">
        <f aca="false">IFERROR(INDEX(Vendor_Master!$B$2:$B$41,MATCH(B748,Vendor_Master!$A$2:$A$41,0)),"Unknown Vendor")</f>
        <v>Ramirez-Lewis</v>
      </c>
      <c r="D748" s="18" t="n">
        <f aca="false">Vendor_Invoices_AP!E745</f>
        <v>1413.3</v>
      </c>
      <c r="E748" s="16" t="n">
        <f aca="false">COUNTIF(Payment_Log_AP!$B$2:$B$753,A748)</f>
        <v>1</v>
      </c>
      <c r="F748" s="18" t="n">
        <f aca="false">SUMIFS(Payment_Log_AP!$E$2:$E$753,Payment_Log_AP!$B$2:$B$753,A748)</f>
        <v>1413.3</v>
      </c>
      <c r="G748" s="18" t="n">
        <f aca="false">MAX(F748-D748,0)</f>
        <v>0</v>
      </c>
      <c r="H748" s="16" t="str">
        <f aca="false">IF(E748&gt;1,"DUPLICATE - Review",IF(G748&gt;Assumptions!$B$6,"OVERPAID - Review","OK"))</f>
        <v>OK</v>
      </c>
    </row>
    <row r="749" customFormat="false" ht="15" hidden="false" customHeight="false" outlineLevel="0" collapsed="false">
      <c r="A749" s="16" t="str">
        <f aca="false">Vendor_Invoices_AP!A746</f>
        <v>INV30745</v>
      </c>
      <c r="B749" s="16" t="str">
        <f aca="false">Vendor_Invoices_AP!C746</f>
        <v>V1035</v>
      </c>
      <c r="C749" s="16" t="str">
        <f aca="false">IFERROR(INDEX(Vendor_Master!$B$2:$B$41,MATCH(B749,Vendor_Master!$A$2:$A$41,0)),"Unknown Vendor")</f>
        <v>Allen PLC</v>
      </c>
      <c r="D749" s="18" t="n">
        <f aca="false">Vendor_Invoices_AP!E746</f>
        <v>9255.12</v>
      </c>
      <c r="E749" s="16" t="n">
        <f aca="false">COUNTIF(Payment_Log_AP!$B$2:$B$753,A749)</f>
        <v>1</v>
      </c>
      <c r="F749" s="18" t="n">
        <f aca="false">SUMIFS(Payment_Log_AP!$E$2:$E$753,Payment_Log_AP!$B$2:$B$753,A749)</f>
        <v>9255.12</v>
      </c>
      <c r="G749" s="18" t="n">
        <f aca="false">MAX(F749-D749,0)</f>
        <v>0</v>
      </c>
      <c r="H749" s="16" t="str">
        <f aca="false">IF(E749&gt;1,"DUPLICATE - Review",IF(G749&gt;Assumptions!$B$6,"OVERPAID - Review","OK"))</f>
        <v>OK</v>
      </c>
    </row>
    <row r="750" customFormat="false" ht="15" hidden="false" customHeight="false" outlineLevel="0" collapsed="false">
      <c r="A750" s="16" t="str">
        <f aca="false">Vendor_Invoices_AP!A747</f>
        <v>INV30746</v>
      </c>
      <c r="B750" s="16" t="str">
        <f aca="false">Vendor_Invoices_AP!C747</f>
        <v>V1030</v>
      </c>
      <c r="C750" s="16" t="str">
        <f aca="false">IFERROR(INDEX(Vendor_Master!$B$2:$B$41,MATCH(B750,Vendor_Master!$A$2:$A$41,0)),"Unknown Vendor")</f>
        <v>Stanton-Gill</v>
      </c>
      <c r="D750" s="18" t="n">
        <f aca="false">Vendor_Invoices_AP!E747</f>
        <v>363.94</v>
      </c>
      <c r="E750" s="16" t="n">
        <f aca="false">COUNTIF(Payment_Log_AP!$B$2:$B$753,A750)</f>
        <v>1</v>
      </c>
      <c r="F750" s="18" t="n">
        <f aca="false">SUMIFS(Payment_Log_AP!$E$2:$E$753,Payment_Log_AP!$B$2:$B$753,A750)</f>
        <v>363.94</v>
      </c>
      <c r="G750" s="18" t="n">
        <f aca="false">MAX(F750-D750,0)</f>
        <v>0</v>
      </c>
      <c r="H750" s="16" t="str">
        <f aca="false">IF(E750&gt;1,"DUPLICATE - Review",IF(G750&gt;Assumptions!$B$6,"OVERPAID - Review","OK"))</f>
        <v>OK</v>
      </c>
    </row>
    <row r="751" customFormat="false" ht="15" hidden="false" customHeight="false" outlineLevel="0" collapsed="false">
      <c r="A751" s="16" t="str">
        <f aca="false">Vendor_Invoices_AP!A748</f>
        <v>INV30747</v>
      </c>
      <c r="B751" s="16" t="str">
        <f aca="false">Vendor_Invoices_AP!C748</f>
        <v>V1009</v>
      </c>
      <c r="C751" s="16" t="str">
        <f aca="false">IFERROR(INDEX(Vendor_Master!$B$2:$B$41,MATCH(B751,Vendor_Master!$A$2:$A$41,0)),"Unknown Vendor")</f>
        <v>Munoz-Roman</v>
      </c>
      <c r="D751" s="18" t="n">
        <f aca="false">Vendor_Invoices_AP!E748</f>
        <v>12071.44</v>
      </c>
      <c r="E751" s="16" t="n">
        <f aca="false">COUNTIF(Payment_Log_AP!$B$2:$B$753,A751)</f>
        <v>1</v>
      </c>
      <c r="F751" s="18" t="n">
        <f aca="false">SUMIFS(Payment_Log_AP!$E$2:$E$753,Payment_Log_AP!$B$2:$B$753,A751)</f>
        <v>12071.44</v>
      </c>
      <c r="G751" s="18" t="n">
        <f aca="false">MAX(F751-D751,0)</f>
        <v>0</v>
      </c>
      <c r="H751" s="16" t="str">
        <f aca="false">IF(E751&gt;1,"DUPLICATE - Review",IF(G751&gt;Assumptions!$B$6,"OVERPAID - Review","OK"))</f>
        <v>OK</v>
      </c>
    </row>
    <row r="752" customFormat="false" ht="15" hidden="false" customHeight="false" outlineLevel="0" collapsed="false">
      <c r="A752" s="16" t="str">
        <f aca="false">Vendor_Invoices_AP!A749</f>
        <v>INV30748</v>
      </c>
      <c r="B752" s="16" t="str">
        <f aca="false">Vendor_Invoices_AP!C749</f>
        <v>V1006</v>
      </c>
      <c r="C752" s="16" t="str">
        <f aca="false">IFERROR(INDEX(Vendor_Master!$B$2:$B$41,MATCH(B752,Vendor_Master!$A$2:$A$41,0)),"Unknown Vendor")</f>
        <v>Blake and Sons</v>
      </c>
      <c r="D752" s="18" t="n">
        <f aca="false">Vendor_Invoices_AP!E749</f>
        <v>345.86</v>
      </c>
      <c r="E752" s="16" t="n">
        <f aca="false">COUNTIF(Payment_Log_AP!$B$2:$B$753,A752)</f>
        <v>2</v>
      </c>
      <c r="F752" s="18" t="n">
        <f aca="false">SUMIFS(Payment_Log_AP!$E$2:$E$753,Payment_Log_AP!$B$2:$B$753,A752)</f>
        <v>691.72</v>
      </c>
      <c r="G752" s="18" t="n">
        <f aca="false">MAX(F752-D752,0)</f>
        <v>345.86</v>
      </c>
      <c r="H752" s="16" t="str">
        <f aca="false">IF(E752&gt;1,"DUPLICATE - Review",IF(G752&gt;Assumptions!$B$6,"OVERPAID - Review","OK"))</f>
        <v>DUPLICATE - Review</v>
      </c>
    </row>
    <row r="753" customFormat="false" ht="15" hidden="false" customHeight="false" outlineLevel="0" collapsed="false">
      <c r="A753" s="16" t="str">
        <f aca="false">Vendor_Invoices_AP!A750</f>
        <v>INV30749</v>
      </c>
      <c r="B753" s="16" t="str">
        <f aca="false">Vendor_Invoices_AP!C750</f>
        <v>V1039</v>
      </c>
      <c r="C753" s="16" t="str">
        <f aca="false">IFERROR(INDEX(Vendor_Master!$B$2:$B$41,MATCH(B753,Vendor_Master!$A$2:$A$41,0)),"Unknown Vendor")</f>
        <v>Campos, Vaughn and Marquez</v>
      </c>
      <c r="D753" s="18" t="n">
        <f aca="false">Vendor_Invoices_AP!E750</f>
        <v>146.21</v>
      </c>
      <c r="E753" s="16" t="n">
        <f aca="false">COUNTIF(Payment_Log_AP!$B$2:$B$753,A753)</f>
        <v>1</v>
      </c>
      <c r="F753" s="18" t="n">
        <f aca="false">SUMIFS(Payment_Log_AP!$E$2:$E$753,Payment_Log_AP!$B$2:$B$753,A753)</f>
        <v>146.21</v>
      </c>
      <c r="G753" s="18" t="n">
        <f aca="false">MAX(F753-D753,0)</f>
        <v>0</v>
      </c>
      <c r="H753" s="16" t="str">
        <f aca="false">IF(E753&gt;1,"DUPLICATE - Review",IF(G753&gt;Assumptions!$B$6,"OVERPAID - Review","OK"))</f>
        <v>OK</v>
      </c>
    </row>
    <row r="754" customFormat="false" ht="15" hidden="false" customHeight="false" outlineLevel="0" collapsed="false">
      <c r="A754" s="16" t="str">
        <f aca="false">Vendor_Invoices_AP!A751</f>
        <v>INV30750</v>
      </c>
      <c r="B754" s="16" t="str">
        <f aca="false">Vendor_Invoices_AP!C751</f>
        <v>V1015</v>
      </c>
      <c r="C754" s="16" t="str">
        <f aca="false">IFERROR(INDEX(Vendor_Master!$B$2:$B$41,MATCH(B754,Vendor_Master!$A$2:$A$41,0)),"Unknown Vendor")</f>
        <v>Zuniga, Wong and Lynch</v>
      </c>
      <c r="D754" s="18" t="n">
        <f aca="false">Vendor_Invoices_AP!E751</f>
        <v>2671.57</v>
      </c>
      <c r="E754" s="16" t="n">
        <f aca="false">COUNTIF(Payment_Log_AP!$B$2:$B$753,A754)</f>
        <v>1</v>
      </c>
      <c r="F754" s="18" t="n">
        <f aca="false">SUMIFS(Payment_Log_AP!$E$2:$E$753,Payment_Log_AP!$B$2:$B$753,A754)</f>
        <v>2671.57</v>
      </c>
      <c r="G754" s="18" t="n">
        <f aca="false">MAX(F754-D754,0)</f>
        <v>0</v>
      </c>
      <c r="H754" s="16" t="str">
        <f aca="false">IF(E754&gt;1,"DUPLICATE - Review",IF(G754&gt;Assumptions!$B$6,"OVERPAID - Review","OK"))</f>
        <v>OK</v>
      </c>
    </row>
    <row r="755" customFormat="false" ht="15" hidden="false" customHeight="false" outlineLevel="0" collapsed="false">
      <c r="A755" s="16" t="str">
        <f aca="false">Vendor_Invoices_AP!A752</f>
        <v>INV30751</v>
      </c>
      <c r="B755" s="16" t="str">
        <f aca="false">Vendor_Invoices_AP!C752</f>
        <v>V1021</v>
      </c>
      <c r="C755" s="16" t="str">
        <f aca="false">IFERROR(INDEX(Vendor_Master!$B$2:$B$41,MATCH(B755,Vendor_Master!$A$2:$A$41,0)),"Unknown Vendor")</f>
        <v>Ellis, Baker and Wright</v>
      </c>
      <c r="D755" s="18" t="n">
        <f aca="false">Vendor_Invoices_AP!E752</f>
        <v>1652.24</v>
      </c>
      <c r="E755" s="16" t="n">
        <f aca="false">COUNTIF(Payment_Log_AP!$B$2:$B$753,A755)</f>
        <v>1</v>
      </c>
      <c r="F755" s="18" t="n">
        <f aca="false">SUMIFS(Payment_Log_AP!$E$2:$E$753,Payment_Log_AP!$B$2:$B$753,A755)</f>
        <v>1652.24</v>
      </c>
      <c r="G755" s="18" t="n">
        <f aca="false">MAX(F755-D755,0)</f>
        <v>0</v>
      </c>
      <c r="H755" s="16" t="str">
        <f aca="false">IF(E755&gt;1,"DUPLICATE - Review",IF(G755&gt;Assumptions!$B$6,"OVERPAID - Review","OK"))</f>
        <v>OK</v>
      </c>
    </row>
    <row r="756" customFormat="false" ht="15" hidden="false" customHeight="false" outlineLevel="0" collapsed="false">
      <c r="A756" s="16" t="str">
        <f aca="false">Vendor_Invoices_AP!A753</f>
        <v>INV30752</v>
      </c>
      <c r="B756" s="16" t="str">
        <f aca="false">Vendor_Invoices_AP!C753</f>
        <v>V1006</v>
      </c>
      <c r="C756" s="16" t="str">
        <f aca="false">IFERROR(INDEX(Vendor_Master!$B$2:$B$41,MATCH(B756,Vendor_Master!$A$2:$A$41,0)),"Unknown Vendor")</f>
        <v>Blake and Sons</v>
      </c>
      <c r="D756" s="18" t="n">
        <f aca="false">Vendor_Invoices_AP!E753</f>
        <v>2766.5</v>
      </c>
      <c r="E756" s="16" t="n">
        <f aca="false">COUNTIF(Payment_Log_AP!$B$2:$B$753,A756)</f>
        <v>1</v>
      </c>
      <c r="F756" s="18" t="n">
        <f aca="false">SUMIFS(Payment_Log_AP!$E$2:$E$753,Payment_Log_AP!$B$2:$B$753,A756)</f>
        <v>2766.5</v>
      </c>
      <c r="G756" s="18" t="n">
        <f aca="false">MAX(F756-D756,0)</f>
        <v>0</v>
      </c>
      <c r="H756" s="16" t="str">
        <f aca="false">IF(E756&gt;1,"DUPLICATE - Review",IF(G756&gt;Assumptions!$B$6,"OVERPAID - Review","OK"))</f>
        <v>OK</v>
      </c>
    </row>
    <row r="757" customFormat="false" ht="15" hidden="false" customHeight="false" outlineLevel="0" collapsed="false">
      <c r="A757" s="16" t="str">
        <f aca="false">Vendor_Invoices_AP!A754</f>
        <v>INV30753</v>
      </c>
      <c r="B757" s="16" t="str">
        <f aca="false">Vendor_Invoices_AP!C754</f>
        <v>V1029</v>
      </c>
      <c r="C757" s="16" t="str">
        <f aca="false">IFERROR(INDEX(Vendor_Master!$B$2:$B$41,MATCH(B757,Vendor_Master!$A$2:$A$41,0)),"Unknown Vendor")</f>
        <v>Chavez Ltd</v>
      </c>
      <c r="D757" s="18" t="n">
        <f aca="false">Vendor_Invoices_AP!E754</f>
        <v>5537.55</v>
      </c>
      <c r="E757" s="16" t="n">
        <f aca="false">COUNTIF(Payment_Log_AP!$B$2:$B$753,A757)</f>
        <v>1</v>
      </c>
      <c r="F757" s="18" t="n">
        <f aca="false">SUMIFS(Payment_Log_AP!$E$2:$E$753,Payment_Log_AP!$B$2:$B$753,A757)</f>
        <v>5537.55</v>
      </c>
      <c r="G757" s="18" t="n">
        <f aca="false">MAX(F757-D757,0)</f>
        <v>0</v>
      </c>
      <c r="H757" s="16" t="str">
        <f aca="false">IF(E757&gt;1,"DUPLICATE - Review",IF(G757&gt;Assumptions!$B$6,"OVERPAID - Review","OK"))</f>
        <v>OK</v>
      </c>
    </row>
    <row r="758" customFormat="false" ht="15" hidden="false" customHeight="false" outlineLevel="0" collapsed="false">
      <c r="A758" s="16" t="str">
        <f aca="false">Vendor_Invoices_AP!A755</f>
        <v>INV30754</v>
      </c>
      <c r="B758" s="16" t="str">
        <f aca="false">Vendor_Invoices_AP!C755</f>
        <v>V1031</v>
      </c>
      <c r="C758" s="16" t="str">
        <f aca="false">IFERROR(INDEX(Vendor_Master!$B$2:$B$41,MATCH(B758,Vendor_Master!$A$2:$A$41,0)),"Unknown Vendor")</f>
        <v>Harrell LLC</v>
      </c>
      <c r="D758" s="18" t="n">
        <f aca="false">Vendor_Invoices_AP!E755</f>
        <v>4823.29</v>
      </c>
      <c r="E758" s="16" t="n">
        <f aca="false">COUNTIF(Payment_Log_AP!$B$2:$B$753,A758)</f>
        <v>1</v>
      </c>
      <c r="F758" s="18" t="n">
        <f aca="false">SUMIFS(Payment_Log_AP!$E$2:$E$753,Payment_Log_AP!$B$2:$B$753,A758)</f>
        <v>4823.29</v>
      </c>
      <c r="G758" s="18" t="n">
        <f aca="false">MAX(F758-D758,0)</f>
        <v>0</v>
      </c>
      <c r="H758" s="16" t="str">
        <f aca="false">IF(E758&gt;1,"DUPLICATE - Review",IF(G758&gt;Assumptions!$B$6,"OVERPAID - Review","OK"))</f>
        <v>OK</v>
      </c>
    </row>
    <row r="759" customFormat="false" ht="15" hidden="false" customHeight="false" outlineLevel="0" collapsed="false">
      <c r="A759" s="16" t="str">
        <f aca="false">Vendor_Invoices_AP!A756</f>
        <v>INV30755</v>
      </c>
      <c r="B759" s="16" t="str">
        <f aca="false">Vendor_Invoices_AP!C756</f>
        <v>V1013</v>
      </c>
      <c r="C759" s="16" t="str">
        <f aca="false">IFERROR(INDEX(Vendor_Master!$B$2:$B$41,MATCH(B759,Vendor_Master!$A$2:$A$41,0)),"Unknown Vendor")</f>
        <v>Delacruz Group</v>
      </c>
      <c r="D759" s="18" t="n">
        <f aca="false">Vendor_Invoices_AP!E756</f>
        <v>2004.87</v>
      </c>
      <c r="E759" s="16" t="n">
        <f aca="false">COUNTIF(Payment_Log_AP!$B$2:$B$753,A759)</f>
        <v>1</v>
      </c>
      <c r="F759" s="18" t="n">
        <f aca="false">SUMIFS(Payment_Log_AP!$E$2:$E$753,Payment_Log_AP!$B$2:$B$753,A759)</f>
        <v>2004.87</v>
      </c>
      <c r="G759" s="18" t="n">
        <f aca="false">MAX(F759-D759,0)</f>
        <v>0</v>
      </c>
      <c r="H759" s="16" t="str">
        <f aca="false">IF(E759&gt;1,"DUPLICATE - Review",IF(G759&gt;Assumptions!$B$6,"OVERPAID - Review","OK"))</f>
        <v>OK</v>
      </c>
    </row>
    <row r="760" customFormat="false" ht="15" hidden="false" customHeight="false" outlineLevel="0" collapsed="false">
      <c r="A760" s="16" t="str">
        <f aca="false">Vendor_Invoices_AP!A757</f>
        <v>INV30756</v>
      </c>
      <c r="B760" s="16" t="str">
        <f aca="false">Vendor_Invoices_AP!C757</f>
        <v>V1023</v>
      </c>
      <c r="C760" s="16" t="str">
        <f aca="false">IFERROR(INDEX(Vendor_Master!$B$2:$B$41,MATCH(B760,Vendor_Master!$A$2:$A$41,0)),"Unknown Vendor")</f>
        <v>Robinson-Bright</v>
      </c>
      <c r="D760" s="18" t="n">
        <f aca="false">Vendor_Invoices_AP!E757</f>
        <v>368.64</v>
      </c>
      <c r="E760" s="16" t="n">
        <f aca="false">COUNTIF(Payment_Log_AP!$B$2:$B$753,A760)</f>
        <v>1</v>
      </c>
      <c r="F760" s="18" t="n">
        <f aca="false">SUMIFS(Payment_Log_AP!$E$2:$E$753,Payment_Log_AP!$B$2:$B$753,A760)</f>
        <v>368.64</v>
      </c>
      <c r="G760" s="18" t="n">
        <f aca="false">MAX(F760-D760,0)</f>
        <v>0</v>
      </c>
      <c r="H760" s="16" t="str">
        <f aca="false">IF(E760&gt;1,"DUPLICATE - Review",IF(G760&gt;Assumptions!$B$6,"OVERPAID - Review","OK"))</f>
        <v>OK</v>
      </c>
    </row>
    <row r="761" customFormat="false" ht="15" hidden="false" customHeight="false" outlineLevel="0" collapsed="false">
      <c r="A761" s="16" t="str">
        <f aca="false">Vendor_Invoices_AP!A758</f>
        <v>INV30757</v>
      </c>
      <c r="B761" s="16" t="str">
        <f aca="false">Vendor_Invoices_AP!C758</f>
        <v>V1033</v>
      </c>
      <c r="C761" s="16" t="str">
        <f aca="false">IFERROR(INDEX(Vendor_Master!$B$2:$B$41,MATCH(B761,Vendor_Master!$A$2:$A$41,0)),"Unknown Vendor")</f>
        <v>Sellers, George and Burns</v>
      </c>
      <c r="D761" s="18" t="n">
        <f aca="false">Vendor_Invoices_AP!E758</f>
        <v>687.31</v>
      </c>
      <c r="E761" s="16" t="n">
        <f aca="false">COUNTIF(Payment_Log_AP!$B$2:$B$753,A761)</f>
        <v>0</v>
      </c>
      <c r="F761" s="18" t="n">
        <f aca="false">SUMIFS(Payment_Log_AP!$E$2:$E$753,Payment_Log_AP!$B$2:$B$753,A761)</f>
        <v>0</v>
      </c>
      <c r="G761" s="18" t="n">
        <f aca="false">MAX(F761-D761,0)</f>
        <v>0</v>
      </c>
      <c r="H761" s="16" t="str">
        <f aca="false">IF(E761&gt;1,"DUPLICATE - Review",IF(G761&gt;Assumptions!$B$6,"OVERPAID - Review","OK"))</f>
        <v>OK</v>
      </c>
    </row>
    <row r="762" customFormat="false" ht="15" hidden="false" customHeight="false" outlineLevel="0" collapsed="false">
      <c r="A762" s="16" t="str">
        <f aca="false">Vendor_Invoices_AP!A759</f>
        <v>INV30758</v>
      </c>
      <c r="B762" s="16" t="str">
        <f aca="false">Vendor_Invoices_AP!C759</f>
        <v>V1011</v>
      </c>
      <c r="C762" s="16" t="str">
        <f aca="false">IFERROR(INDEX(Vendor_Master!$B$2:$B$41,MATCH(B762,Vendor_Master!$A$2:$A$41,0)),"Unknown Vendor")</f>
        <v>Montgomery, Hensley and Ray</v>
      </c>
      <c r="D762" s="18" t="n">
        <f aca="false">Vendor_Invoices_AP!E759</f>
        <v>18808.64</v>
      </c>
      <c r="E762" s="16" t="n">
        <f aca="false">COUNTIF(Payment_Log_AP!$B$2:$B$753,A762)</f>
        <v>1</v>
      </c>
      <c r="F762" s="18" t="n">
        <f aca="false">SUMIFS(Payment_Log_AP!$E$2:$E$753,Payment_Log_AP!$B$2:$B$753,A762)</f>
        <v>18808.64</v>
      </c>
      <c r="G762" s="18" t="n">
        <f aca="false">MAX(F762-D762,0)</f>
        <v>0</v>
      </c>
      <c r="H762" s="16" t="str">
        <f aca="false">IF(E762&gt;1,"DUPLICATE - Review",IF(G762&gt;Assumptions!$B$6,"OVERPAID - Review","OK"))</f>
        <v>OK</v>
      </c>
    </row>
    <row r="763" customFormat="false" ht="15" hidden="false" customHeight="false" outlineLevel="0" collapsed="false">
      <c r="A763" s="16" t="str">
        <f aca="false">Vendor_Invoices_AP!A760</f>
        <v>INV30759</v>
      </c>
      <c r="B763" s="16" t="str">
        <f aca="false">Vendor_Invoices_AP!C760</f>
        <v>V1003</v>
      </c>
      <c r="C763" s="16" t="str">
        <f aca="false">IFERROR(INDEX(Vendor_Master!$B$2:$B$41,MATCH(B763,Vendor_Master!$A$2:$A$41,0)),"Unknown Vendor")</f>
        <v>Johnson and Sons</v>
      </c>
      <c r="D763" s="18" t="n">
        <f aca="false">Vendor_Invoices_AP!E760</f>
        <v>2123.75</v>
      </c>
      <c r="E763" s="16" t="n">
        <f aca="false">COUNTIF(Payment_Log_AP!$B$2:$B$753,A763)</f>
        <v>1</v>
      </c>
      <c r="F763" s="18" t="n">
        <f aca="false">SUMIFS(Payment_Log_AP!$E$2:$E$753,Payment_Log_AP!$B$2:$B$753,A763)</f>
        <v>2123.75</v>
      </c>
      <c r="G763" s="18" t="n">
        <f aca="false">MAX(F763-D763,0)</f>
        <v>0</v>
      </c>
      <c r="H763" s="16" t="str">
        <f aca="false">IF(E763&gt;1,"DUPLICATE - Review",IF(G763&gt;Assumptions!$B$6,"OVERPAID - Review","OK"))</f>
        <v>OK</v>
      </c>
    </row>
    <row r="764" customFormat="false" ht="15" hidden="false" customHeight="false" outlineLevel="0" collapsed="false">
      <c r="A764" s="16" t="str">
        <f aca="false">Vendor_Invoices_AP!A761</f>
        <v>INV30760</v>
      </c>
      <c r="B764" s="16" t="str">
        <f aca="false">Vendor_Invoices_AP!C761</f>
        <v>V1010</v>
      </c>
      <c r="C764" s="16" t="str">
        <f aca="false">IFERROR(INDEX(Vendor_Master!$B$2:$B$41,MATCH(B764,Vendor_Master!$A$2:$A$41,0)),"Unknown Vendor")</f>
        <v>Martinez, Nielsen and Miller</v>
      </c>
      <c r="D764" s="18" t="n">
        <f aca="false">Vendor_Invoices_AP!E761</f>
        <v>2641.8</v>
      </c>
      <c r="E764" s="16" t="n">
        <f aca="false">COUNTIF(Payment_Log_AP!$B$2:$B$753,A764)</f>
        <v>1</v>
      </c>
      <c r="F764" s="18" t="n">
        <f aca="false">SUMIFS(Payment_Log_AP!$E$2:$E$753,Payment_Log_AP!$B$2:$B$753,A764)</f>
        <v>2641.8</v>
      </c>
      <c r="G764" s="18" t="n">
        <f aca="false">MAX(F764-D764,0)</f>
        <v>0</v>
      </c>
      <c r="H764" s="16" t="str">
        <f aca="false">IF(E764&gt;1,"DUPLICATE - Review",IF(G764&gt;Assumptions!$B$6,"OVERPAID - Review","OK"))</f>
        <v>OK</v>
      </c>
    </row>
    <row r="765" customFormat="false" ht="15" hidden="false" customHeight="false" outlineLevel="0" collapsed="false">
      <c r="A765" s="16" t="str">
        <f aca="false">Vendor_Invoices_AP!A762</f>
        <v>INV30761</v>
      </c>
      <c r="B765" s="16" t="str">
        <f aca="false">Vendor_Invoices_AP!C762</f>
        <v>V1015</v>
      </c>
      <c r="C765" s="16" t="str">
        <f aca="false">IFERROR(INDEX(Vendor_Master!$B$2:$B$41,MATCH(B765,Vendor_Master!$A$2:$A$41,0)),"Unknown Vendor")</f>
        <v>Zuniga, Wong and Lynch</v>
      </c>
      <c r="D765" s="18" t="n">
        <f aca="false">Vendor_Invoices_AP!E762</f>
        <v>2661.22</v>
      </c>
      <c r="E765" s="16" t="n">
        <f aca="false">COUNTIF(Payment_Log_AP!$B$2:$B$753,A765)</f>
        <v>1</v>
      </c>
      <c r="F765" s="18" t="n">
        <f aca="false">SUMIFS(Payment_Log_AP!$E$2:$E$753,Payment_Log_AP!$B$2:$B$753,A765)</f>
        <v>2661.22</v>
      </c>
      <c r="G765" s="18" t="n">
        <f aca="false">MAX(F765-D765,0)</f>
        <v>0</v>
      </c>
      <c r="H765" s="16" t="str">
        <f aca="false">IF(E765&gt;1,"DUPLICATE - Review",IF(G765&gt;Assumptions!$B$6,"OVERPAID - Review","OK"))</f>
        <v>OK</v>
      </c>
    </row>
    <row r="766" customFormat="false" ht="15" hidden="false" customHeight="false" outlineLevel="0" collapsed="false">
      <c r="A766" s="16" t="str">
        <f aca="false">Vendor_Invoices_AP!A763</f>
        <v>INV30762</v>
      </c>
      <c r="B766" s="16" t="str">
        <f aca="false">Vendor_Invoices_AP!C763</f>
        <v>V1022</v>
      </c>
      <c r="C766" s="16" t="str">
        <f aca="false">IFERROR(INDEX(Vendor_Master!$B$2:$B$41,MATCH(B766,Vendor_Master!$A$2:$A$41,0)),"Unknown Vendor")</f>
        <v>Burgess-Patterson</v>
      </c>
      <c r="D766" s="18" t="n">
        <f aca="false">Vendor_Invoices_AP!E763</f>
        <v>2608</v>
      </c>
      <c r="E766" s="16" t="n">
        <f aca="false">COUNTIF(Payment_Log_AP!$B$2:$B$753,A766)</f>
        <v>1</v>
      </c>
      <c r="F766" s="18" t="n">
        <f aca="false">SUMIFS(Payment_Log_AP!$E$2:$E$753,Payment_Log_AP!$B$2:$B$753,A766)</f>
        <v>2608</v>
      </c>
      <c r="G766" s="18" t="n">
        <f aca="false">MAX(F766-D766,0)</f>
        <v>0</v>
      </c>
      <c r="H766" s="16" t="str">
        <f aca="false">IF(E766&gt;1,"DUPLICATE - Review",IF(G766&gt;Assumptions!$B$6,"OVERPAID - Review","OK"))</f>
        <v>OK</v>
      </c>
    </row>
    <row r="767" customFormat="false" ht="15" hidden="false" customHeight="false" outlineLevel="0" collapsed="false">
      <c r="A767" s="16" t="str">
        <f aca="false">Vendor_Invoices_AP!A764</f>
        <v>INV30763</v>
      </c>
      <c r="B767" s="16" t="str">
        <f aca="false">Vendor_Invoices_AP!C764</f>
        <v>V1033</v>
      </c>
      <c r="C767" s="16" t="str">
        <f aca="false">IFERROR(INDEX(Vendor_Master!$B$2:$B$41,MATCH(B767,Vendor_Master!$A$2:$A$41,0)),"Unknown Vendor")</f>
        <v>Sellers, George and Burns</v>
      </c>
      <c r="D767" s="18" t="n">
        <f aca="false">Vendor_Invoices_AP!E764</f>
        <v>19774.14</v>
      </c>
      <c r="E767" s="16" t="n">
        <f aca="false">COUNTIF(Payment_Log_AP!$B$2:$B$753,A767)</f>
        <v>1</v>
      </c>
      <c r="F767" s="18" t="n">
        <f aca="false">SUMIFS(Payment_Log_AP!$E$2:$E$753,Payment_Log_AP!$B$2:$B$753,A767)</f>
        <v>19774.14</v>
      </c>
      <c r="G767" s="18" t="n">
        <f aca="false">MAX(F767-D767,0)</f>
        <v>0</v>
      </c>
      <c r="H767" s="16" t="str">
        <f aca="false">IF(E767&gt;1,"DUPLICATE - Review",IF(G767&gt;Assumptions!$B$6,"OVERPAID - Review","OK"))</f>
        <v>OK</v>
      </c>
    </row>
    <row r="768" customFormat="false" ht="15" hidden="false" customHeight="false" outlineLevel="0" collapsed="false">
      <c r="A768" s="16" t="str">
        <f aca="false">Vendor_Invoices_AP!A765</f>
        <v>INV30764</v>
      </c>
      <c r="B768" s="16" t="str">
        <f aca="false">Vendor_Invoices_AP!C765</f>
        <v>V1018</v>
      </c>
      <c r="C768" s="16" t="str">
        <f aca="false">IFERROR(INDEX(Vendor_Master!$B$2:$B$41,MATCH(B768,Vendor_Master!$A$2:$A$41,0)),"Unknown Vendor")</f>
        <v>Underwood LLC</v>
      </c>
      <c r="D768" s="18" t="n">
        <f aca="false">Vendor_Invoices_AP!E765</f>
        <v>393.39</v>
      </c>
      <c r="E768" s="16" t="n">
        <f aca="false">COUNTIF(Payment_Log_AP!$B$2:$B$753,A768)</f>
        <v>1</v>
      </c>
      <c r="F768" s="18" t="n">
        <f aca="false">SUMIFS(Payment_Log_AP!$E$2:$E$753,Payment_Log_AP!$B$2:$B$753,A768)</f>
        <v>393.39</v>
      </c>
      <c r="G768" s="18" t="n">
        <f aca="false">MAX(F768-D768,0)</f>
        <v>0</v>
      </c>
      <c r="H768" s="16" t="str">
        <f aca="false">IF(E768&gt;1,"DUPLICATE - Review",IF(G768&gt;Assumptions!$B$6,"OVERPAID - Review","OK"))</f>
        <v>OK</v>
      </c>
    </row>
    <row r="769" customFormat="false" ht="15" hidden="false" customHeight="false" outlineLevel="0" collapsed="false">
      <c r="A769" s="16" t="str">
        <f aca="false">Vendor_Invoices_AP!A766</f>
        <v>INV30765</v>
      </c>
      <c r="B769" s="16" t="str">
        <f aca="false">Vendor_Invoices_AP!C766</f>
        <v>V1014</v>
      </c>
      <c r="C769" s="16" t="str">
        <f aca="false">IFERROR(INDEX(Vendor_Master!$B$2:$B$41,MATCH(B769,Vendor_Master!$A$2:$A$41,0)),"Unknown Vendor")</f>
        <v>Flowers, Martin and Kelly</v>
      </c>
      <c r="D769" s="18" t="n">
        <f aca="false">Vendor_Invoices_AP!E766</f>
        <v>473.84</v>
      </c>
      <c r="E769" s="16" t="n">
        <f aca="false">COUNTIF(Payment_Log_AP!$B$2:$B$753,A769)</f>
        <v>0</v>
      </c>
      <c r="F769" s="18" t="n">
        <f aca="false">SUMIFS(Payment_Log_AP!$E$2:$E$753,Payment_Log_AP!$B$2:$B$753,A769)</f>
        <v>0</v>
      </c>
      <c r="G769" s="18" t="n">
        <f aca="false">MAX(F769-D769,0)</f>
        <v>0</v>
      </c>
      <c r="H769" s="16" t="str">
        <f aca="false">IF(E769&gt;1,"DUPLICATE - Review",IF(G769&gt;Assumptions!$B$6,"OVERPAID - Review","OK"))</f>
        <v>OK</v>
      </c>
    </row>
    <row r="770" customFormat="false" ht="15" hidden="false" customHeight="false" outlineLevel="0" collapsed="false">
      <c r="A770" s="16" t="str">
        <f aca="false">Vendor_Invoices_AP!A767</f>
        <v>INV30766</v>
      </c>
      <c r="B770" s="16" t="str">
        <f aca="false">Vendor_Invoices_AP!C767</f>
        <v>V1026</v>
      </c>
      <c r="C770" s="16" t="str">
        <f aca="false">IFERROR(INDEX(Vendor_Master!$B$2:$B$41,MATCH(B770,Vendor_Master!$A$2:$A$41,0)),"Unknown Vendor")</f>
        <v>James-Ferrell</v>
      </c>
      <c r="D770" s="18" t="n">
        <f aca="false">Vendor_Invoices_AP!E767</f>
        <v>19934.95</v>
      </c>
      <c r="E770" s="16" t="n">
        <f aca="false">COUNTIF(Payment_Log_AP!$B$2:$B$753,A770)</f>
        <v>1</v>
      </c>
      <c r="F770" s="18" t="n">
        <f aca="false">SUMIFS(Payment_Log_AP!$E$2:$E$753,Payment_Log_AP!$B$2:$B$753,A770)</f>
        <v>19934.95</v>
      </c>
      <c r="G770" s="18" t="n">
        <f aca="false">MAX(F770-D770,0)</f>
        <v>0</v>
      </c>
      <c r="H770" s="16" t="str">
        <f aca="false">IF(E770&gt;1,"DUPLICATE - Review",IF(G770&gt;Assumptions!$B$6,"OVERPAID - Review","OK"))</f>
        <v>OK</v>
      </c>
    </row>
    <row r="771" customFormat="false" ht="15" hidden="false" customHeight="false" outlineLevel="0" collapsed="false">
      <c r="A771" s="16" t="str">
        <f aca="false">Vendor_Invoices_AP!A768</f>
        <v>INV30767</v>
      </c>
      <c r="B771" s="16" t="str">
        <f aca="false">Vendor_Invoices_AP!C768</f>
        <v>V1008</v>
      </c>
      <c r="C771" s="16" t="str">
        <f aca="false">IFERROR(INDEX(Vendor_Master!$B$2:$B$41,MATCH(B771,Vendor_Master!$A$2:$A$41,0)),"Unknown Vendor")</f>
        <v>Davis Inc</v>
      </c>
      <c r="D771" s="18" t="n">
        <f aca="false">Vendor_Invoices_AP!E768</f>
        <v>812.03</v>
      </c>
      <c r="E771" s="16" t="n">
        <f aca="false">COUNTIF(Payment_Log_AP!$B$2:$B$753,A771)</f>
        <v>1</v>
      </c>
      <c r="F771" s="18" t="n">
        <f aca="false">SUMIFS(Payment_Log_AP!$E$2:$E$753,Payment_Log_AP!$B$2:$B$753,A771)</f>
        <v>812.03</v>
      </c>
      <c r="G771" s="18" t="n">
        <f aca="false">MAX(F771-D771,0)</f>
        <v>0</v>
      </c>
      <c r="H771" s="16" t="str">
        <f aca="false">IF(E771&gt;1,"DUPLICATE - Review",IF(G771&gt;Assumptions!$B$6,"OVERPAID - Review","OK"))</f>
        <v>OK</v>
      </c>
    </row>
    <row r="772" customFormat="false" ht="15" hidden="false" customHeight="false" outlineLevel="0" collapsed="false">
      <c r="A772" s="16" t="str">
        <f aca="false">Vendor_Invoices_AP!A769</f>
        <v>INV30768</v>
      </c>
      <c r="B772" s="16" t="str">
        <f aca="false">Vendor_Invoices_AP!C769</f>
        <v>V1025</v>
      </c>
      <c r="C772" s="16" t="str">
        <f aca="false">IFERROR(INDEX(Vendor_Master!$B$2:$B$41,MATCH(B772,Vendor_Master!$A$2:$A$41,0)),"Unknown Vendor")</f>
        <v>Conner Group</v>
      </c>
      <c r="D772" s="18" t="n">
        <f aca="false">Vendor_Invoices_AP!E769</f>
        <v>26179.49</v>
      </c>
      <c r="E772" s="16" t="n">
        <f aca="false">COUNTIF(Payment_Log_AP!$B$2:$B$753,A772)</f>
        <v>1</v>
      </c>
      <c r="F772" s="18" t="n">
        <f aca="false">SUMIFS(Payment_Log_AP!$E$2:$E$753,Payment_Log_AP!$B$2:$B$753,A772)</f>
        <v>26179.49</v>
      </c>
      <c r="G772" s="18" t="n">
        <f aca="false">MAX(F772-D772,0)</f>
        <v>0</v>
      </c>
      <c r="H772" s="16" t="str">
        <f aca="false">IF(E772&gt;1,"DUPLICATE - Review",IF(G772&gt;Assumptions!$B$6,"OVERPAID - Review","OK"))</f>
        <v>OK</v>
      </c>
    </row>
    <row r="773" customFormat="false" ht="15" hidden="false" customHeight="false" outlineLevel="0" collapsed="false">
      <c r="A773" s="16" t="str">
        <f aca="false">Vendor_Invoices_AP!A770</f>
        <v>INV30769</v>
      </c>
      <c r="B773" s="16" t="str">
        <f aca="false">Vendor_Invoices_AP!C770</f>
        <v>V1007</v>
      </c>
      <c r="C773" s="16" t="str">
        <f aca="false">IFERROR(INDEX(Vendor_Master!$B$2:$B$41,MATCH(B773,Vendor_Master!$A$2:$A$41,0)),"Unknown Vendor")</f>
        <v>Ramirez-Lewis</v>
      </c>
      <c r="D773" s="18" t="n">
        <f aca="false">Vendor_Invoices_AP!E770</f>
        <v>8117.27</v>
      </c>
      <c r="E773" s="16" t="n">
        <f aca="false">COUNTIF(Payment_Log_AP!$B$2:$B$753,A773)</f>
        <v>1</v>
      </c>
      <c r="F773" s="18" t="n">
        <f aca="false">SUMIFS(Payment_Log_AP!$E$2:$E$753,Payment_Log_AP!$B$2:$B$753,A773)</f>
        <v>8117.27</v>
      </c>
      <c r="G773" s="18" t="n">
        <f aca="false">MAX(F773-D773,0)</f>
        <v>0</v>
      </c>
      <c r="H773" s="16" t="str">
        <f aca="false">IF(E773&gt;1,"DUPLICATE - Review",IF(G773&gt;Assumptions!$B$6,"OVERPAID - Review","OK"))</f>
        <v>OK</v>
      </c>
    </row>
    <row r="774" customFormat="false" ht="15" hidden="false" customHeight="false" outlineLevel="0" collapsed="false">
      <c r="A774" s="16" t="str">
        <f aca="false">Vendor_Invoices_AP!A771</f>
        <v>INV30770</v>
      </c>
      <c r="B774" s="16" t="str">
        <f aca="false">Vendor_Invoices_AP!C771</f>
        <v>V1038</v>
      </c>
      <c r="C774" s="16" t="str">
        <f aca="false">IFERROR(INDEX(Vendor_Master!$B$2:$B$41,MATCH(B774,Vendor_Master!$A$2:$A$41,0)),"Unknown Vendor")</f>
        <v>Rose-Obrien</v>
      </c>
      <c r="D774" s="18" t="n">
        <f aca="false">Vendor_Invoices_AP!E771</f>
        <v>9161.11</v>
      </c>
      <c r="E774" s="16" t="n">
        <f aca="false">COUNTIF(Payment_Log_AP!$B$2:$B$753,A774)</f>
        <v>1</v>
      </c>
      <c r="F774" s="18" t="n">
        <f aca="false">SUMIFS(Payment_Log_AP!$E$2:$E$753,Payment_Log_AP!$B$2:$B$753,A774)</f>
        <v>9161.11</v>
      </c>
      <c r="G774" s="18" t="n">
        <f aca="false">MAX(F774-D774,0)</f>
        <v>0</v>
      </c>
      <c r="H774" s="16" t="str">
        <f aca="false">IF(E774&gt;1,"DUPLICATE - Review",IF(G774&gt;Assumptions!$B$6,"OVERPAID - Review","OK"))</f>
        <v>OK</v>
      </c>
    </row>
    <row r="775" customFormat="false" ht="15" hidden="false" customHeight="false" outlineLevel="0" collapsed="false">
      <c r="A775" s="16" t="str">
        <f aca="false">Vendor_Invoices_AP!A772</f>
        <v>INV30771</v>
      </c>
      <c r="B775" s="16" t="str">
        <f aca="false">Vendor_Invoices_AP!C772</f>
        <v>V1022</v>
      </c>
      <c r="C775" s="16" t="str">
        <f aca="false">IFERROR(INDEX(Vendor_Master!$B$2:$B$41,MATCH(B775,Vendor_Master!$A$2:$A$41,0)),"Unknown Vendor")</f>
        <v>Burgess-Patterson</v>
      </c>
      <c r="D775" s="18" t="n">
        <f aca="false">Vendor_Invoices_AP!E772</f>
        <v>1056.4</v>
      </c>
      <c r="E775" s="16" t="n">
        <f aca="false">COUNTIF(Payment_Log_AP!$B$2:$B$753,A775)</f>
        <v>1</v>
      </c>
      <c r="F775" s="18" t="n">
        <f aca="false">SUMIFS(Payment_Log_AP!$E$2:$E$753,Payment_Log_AP!$B$2:$B$753,A775)</f>
        <v>1056.4</v>
      </c>
      <c r="G775" s="18" t="n">
        <f aca="false">MAX(F775-D775,0)</f>
        <v>0</v>
      </c>
      <c r="H775" s="16" t="str">
        <f aca="false">IF(E775&gt;1,"DUPLICATE - Review",IF(G775&gt;Assumptions!$B$6,"OVERPAID - Review","OK"))</f>
        <v>OK</v>
      </c>
    </row>
    <row r="776" customFormat="false" ht="15" hidden="false" customHeight="false" outlineLevel="0" collapsed="false">
      <c r="A776" s="16" t="str">
        <f aca="false">Vendor_Invoices_AP!A773</f>
        <v>INV30772</v>
      </c>
      <c r="B776" s="16" t="str">
        <f aca="false">Vendor_Invoices_AP!C773</f>
        <v>V1015</v>
      </c>
      <c r="C776" s="16" t="str">
        <f aca="false">IFERROR(INDEX(Vendor_Master!$B$2:$B$41,MATCH(B776,Vendor_Master!$A$2:$A$41,0)),"Unknown Vendor")</f>
        <v>Zuniga, Wong and Lynch</v>
      </c>
      <c r="D776" s="18" t="n">
        <f aca="false">Vendor_Invoices_AP!E773</f>
        <v>3577.81</v>
      </c>
      <c r="E776" s="16" t="n">
        <f aca="false">COUNTIF(Payment_Log_AP!$B$2:$B$753,A776)</f>
        <v>1</v>
      </c>
      <c r="F776" s="18" t="n">
        <f aca="false">SUMIFS(Payment_Log_AP!$E$2:$E$753,Payment_Log_AP!$B$2:$B$753,A776)</f>
        <v>3577.81</v>
      </c>
      <c r="G776" s="18" t="n">
        <f aca="false">MAX(F776-D776,0)</f>
        <v>0</v>
      </c>
      <c r="H776" s="16" t="str">
        <f aca="false">IF(E776&gt;1,"DUPLICATE - Review",IF(G776&gt;Assumptions!$B$6,"OVERPAID - Review","OK"))</f>
        <v>OK</v>
      </c>
    </row>
    <row r="777" customFormat="false" ht="15" hidden="false" customHeight="false" outlineLevel="0" collapsed="false">
      <c r="A777" s="16" t="str">
        <f aca="false">Vendor_Invoices_AP!A774</f>
        <v>INV30773</v>
      </c>
      <c r="B777" s="16" t="str">
        <f aca="false">Vendor_Invoices_AP!C774</f>
        <v>V1006</v>
      </c>
      <c r="C777" s="16" t="str">
        <f aca="false">IFERROR(INDEX(Vendor_Master!$B$2:$B$41,MATCH(B777,Vendor_Master!$A$2:$A$41,0)),"Unknown Vendor")</f>
        <v>Blake and Sons</v>
      </c>
      <c r="D777" s="18" t="n">
        <f aca="false">Vendor_Invoices_AP!E774</f>
        <v>1478.7</v>
      </c>
      <c r="E777" s="16" t="n">
        <f aca="false">COUNTIF(Payment_Log_AP!$B$2:$B$753,A777)</f>
        <v>1</v>
      </c>
      <c r="F777" s="18" t="n">
        <f aca="false">SUMIFS(Payment_Log_AP!$E$2:$E$753,Payment_Log_AP!$B$2:$B$753,A777)</f>
        <v>1478.7</v>
      </c>
      <c r="G777" s="18" t="n">
        <f aca="false">MAX(F777-D777,0)</f>
        <v>0</v>
      </c>
      <c r="H777" s="16" t="str">
        <f aca="false">IF(E777&gt;1,"DUPLICATE - Review",IF(G777&gt;Assumptions!$B$6,"OVERPAID - Review","OK"))</f>
        <v>OK</v>
      </c>
    </row>
    <row r="778" customFormat="false" ht="15" hidden="false" customHeight="false" outlineLevel="0" collapsed="false">
      <c r="A778" s="16" t="str">
        <f aca="false">Vendor_Invoices_AP!A775</f>
        <v>INV30774</v>
      </c>
      <c r="B778" s="16" t="str">
        <f aca="false">Vendor_Invoices_AP!C775</f>
        <v>V1026</v>
      </c>
      <c r="C778" s="16" t="str">
        <f aca="false">IFERROR(INDEX(Vendor_Master!$B$2:$B$41,MATCH(B778,Vendor_Master!$A$2:$A$41,0)),"Unknown Vendor")</f>
        <v>James-Ferrell</v>
      </c>
      <c r="D778" s="18" t="n">
        <f aca="false">Vendor_Invoices_AP!E775</f>
        <v>5071.62</v>
      </c>
      <c r="E778" s="16" t="n">
        <f aca="false">COUNTIF(Payment_Log_AP!$B$2:$B$753,A778)</f>
        <v>1</v>
      </c>
      <c r="F778" s="18" t="n">
        <f aca="false">SUMIFS(Payment_Log_AP!$E$2:$E$753,Payment_Log_AP!$B$2:$B$753,A778)</f>
        <v>5071.62</v>
      </c>
      <c r="G778" s="18" t="n">
        <f aca="false">MAX(F778-D778,0)</f>
        <v>0</v>
      </c>
      <c r="H778" s="16" t="str">
        <f aca="false">IF(E778&gt;1,"DUPLICATE - Review",IF(G778&gt;Assumptions!$B$6,"OVERPAID - Review","OK"))</f>
        <v>OK</v>
      </c>
    </row>
    <row r="779" customFormat="false" ht="15" hidden="false" customHeight="false" outlineLevel="0" collapsed="false">
      <c r="A779" s="16" t="str">
        <f aca="false">Vendor_Invoices_AP!A776</f>
        <v>INV30775</v>
      </c>
      <c r="B779" s="16" t="str">
        <f aca="false">Vendor_Invoices_AP!C776</f>
        <v>V1033</v>
      </c>
      <c r="C779" s="16" t="str">
        <f aca="false">IFERROR(INDEX(Vendor_Master!$B$2:$B$41,MATCH(B779,Vendor_Master!$A$2:$A$41,0)),"Unknown Vendor")</f>
        <v>Sellers, George and Burns</v>
      </c>
      <c r="D779" s="18" t="n">
        <f aca="false">Vendor_Invoices_AP!E776</f>
        <v>3714.97</v>
      </c>
      <c r="E779" s="16" t="n">
        <f aca="false">COUNTIF(Payment_Log_AP!$B$2:$B$753,A779)</f>
        <v>1</v>
      </c>
      <c r="F779" s="18" t="n">
        <f aca="false">SUMIFS(Payment_Log_AP!$E$2:$E$753,Payment_Log_AP!$B$2:$B$753,A779)</f>
        <v>3714.97</v>
      </c>
      <c r="G779" s="18" t="n">
        <f aca="false">MAX(F779-D779,0)</f>
        <v>0</v>
      </c>
      <c r="H779" s="16" t="str">
        <f aca="false">IF(E779&gt;1,"DUPLICATE - Review",IF(G779&gt;Assumptions!$B$6,"OVERPAID - Review","OK"))</f>
        <v>OK</v>
      </c>
    </row>
    <row r="780" customFormat="false" ht="15" hidden="false" customHeight="false" outlineLevel="0" collapsed="false">
      <c r="A780" s="16" t="str">
        <f aca="false">Vendor_Invoices_AP!A777</f>
        <v>INV30776</v>
      </c>
      <c r="B780" s="16" t="str">
        <f aca="false">Vendor_Invoices_AP!C777</f>
        <v>V1025</v>
      </c>
      <c r="C780" s="16" t="str">
        <f aca="false">IFERROR(INDEX(Vendor_Master!$B$2:$B$41,MATCH(B780,Vendor_Master!$A$2:$A$41,0)),"Unknown Vendor")</f>
        <v>Conner Group</v>
      </c>
      <c r="D780" s="18" t="n">
        <f aca="false">Vendor_Invoices_AP!E777</f>
        <v>577.47</v>
      </c>
      <c r="E780" s="16" t="n">
        <f aca="false">COUNTIF(Payment_Log_AP!$B$2:$B$753,A780)</f>
        <v>1</v>
      </c>
      <c r="F780" s="18" t="n">
        <f aca="false">SUMIFS(Payment_Log_AP!$E$2:$E$753,Payment_Log_AP!$B$2:$B$753,A780)</f>
        <v>577.47</v>
      </c>
      <c r="G780" s="18" t="n">
        <f aca="false">MAX(F780-D780,0)</f>
        <v>0</v>
      </c>
      <c r="H780" s="16" t="str">
        <f aca="false">IF(E780&gt;1,"DUPLICATE - Review",IF(G780&gt;Assumptions!$B$6,"OVERPAID - Review","OK"))</f>
        <v>OK</v>
      </c>
    </row>
    <row r="781" customFormat="false" ht="15" hidden="false" customHeight="false" outlineLevel="0" collapsed="false">
      <c r="A781" s="16" t="str">
        <f aca="false">Vendor_Invoices_AP!A778</f>
        <v>INV30777</v>
      </c>
      <c r="B781" s="16" t="str">
        <f aca="false">Vendor_Invoices_AP!C778</f>
        <v>V1012</v>
      </c>
      <c r="C781" s="16" t="str">
        <f aca="false">IFERROR(INDEX(Vendor_Master!$B$2:$B$41,MATCH(B781,Vendor_Master!$A$2:$A$41,0)),"Unknown Vendor")</f>
        <v>Stanley LLC</v>
      </c>
      <c r="D781" s="18" t="n">
        <f aca="false">Vendor_Invoices_AP!E778</f>
        <v>3419.93</v>
      </c>
      <c r="E781" s="16" t="n">
        <f aca="false">COUNTIF(Payment_Log_AP!$B$2:$B$753,A781)</f>
        <v>0</v>
      </c>
      <c r="F781" s="18" t="n">
        <f aca="false">SUMIFS(Payment_Log_AP!$E$2:$E$753,Payment_Log_AP!$B$2:$B$753,A781)</f>
        <v>0</v>
      </c>
      <c r="G781" s="18" t="n">
        <f aca="false">MAX(F781-D781,0)</f>
        <v>0</v>
      </c>
      <c r="H781" s="16" t="str">
        <f aca="false">IF(E781&gt;1,"DUPLICATE - Review",IF(G781&gt;Assumptions!$B$6,"OVERPAID - Review","OK"))</f>
        <v>OK</v>
      </c>
    </row>
    <row r="782" customFormat="false" ht="15" hidden="false" customHeight="false" outlineLevel="0" collapsed="false">
      <c r="A782" s="16" t="str">
        <f aca="false">Vendor_Invoices_AP!A779</f>
        <v>INV30778</v>
      </c>
      <c r="B782" s="16" t="str">
        <f aca="false">Vendor_Invoices_AP!C779</f>
        <v>V1002</v>
      </c>
      <c r="C782" s="16" t="str">
        <f aca="false">IFERROR(INDEX(Vendor_Master!$B$2:$B$41,MATCH(B782,Vendor_Master!$A$2:$A$41,0)),"Unknown Vendor")</f>
        <v>Garcia, Yang and Gardner</v>
      </c>
      <c r="D782" s="18" t="n">
        <f aca="false">Vendor_Invoices_AP!E779</f>
        <v>2429.18</v>
      </c>
      <c r="E782" s="16" t="n">
        <f aca="false">COUNTIF(Payment_Log_AP!$B$2:$B$753,A782)</f>
        <v>1</v>
      </c>
      <c r="F782" s="18" t="n">
        <f aca="false">SUMIFS(Payment_Log_AP!$E$2:$E$753,Payment_Log_AP!$B$2:$B$753,A782)</f>
        <v>2429.18</v>
      </c>
      <c r="G782" s="18" t="n">
        <f aca="false">MAX(F782-D782,0)</f>
        <v>0</v>
      </c>
      <c r="H782" s="16" t="str">
        <f aca="false">IF(E782&gt;1,"DUPLICATE - Review",IF(G782&gt;Assumptions!$B$6,"OVERPAID - Review","OK"))</f>
        <v>OK</v>
      </c>
    </row>
    <row r="783" customFormat="false" ht="15" hidden="false" customHeight="false" outlineLevel="0" collapsed="false">
      <c r="A783" s="16" t="str">
        <f aca="false">Vendor_Invoices_AP!A780</f>
        <v>INV30779</v>
      </c>
      <c r="B783" s="16" t="str">
        <f aca="false">Vendor_Invoices_AP!C780</f>
        <v>V1010</v>
      </c>
      <c r="C783" s="16" t="str">
        <f aca="false">IFERROR(INDEX(Vendor_Master!$B$2:$B$41,MATCH(B783,Vendor_Master!$A$2:$A$41,0)),"Unknown Vendor")</f>
        <v>Martinez, Nielsen and Miller</v>
      </c>
      <c r="D783" s="18" t="n">
        <f aca="false">Vendor_Invoices_AP!E780</f>
        <v>5420.25</v>
      </c>
      <c r="E783" s="16" t="n">
        <f aca="false">COUNTIF(Payment_Log_AP!$B$2:$B$753,A783)</f>
        <v>1</v>
      </c>
      <c r="F783" s="18" t="n">
        <f aca="false">SUMIFS(Payment_Log_AP!$E$2:$E$753,Payment_Log_AP!$B$2:$B$753,A783)</f>
        <v>5420.25</v>
      </c>
      <c r="G783" s="18" t="n">
        <f aca="false">MAX(F783-D783,0)</f>
        <v>0</v>
      </c>
      <c r="H783" s="16" t="str">
        <f aca="false">IF(E783&gt;1,"DUPLICATE - Review",IF(G783&gt;Assumptions!$B$6,"OVERPAID - Review","OK"))</f>
        <v>OK</v>
      </c>
    </row>
    <row r="784" customFormat="false" ht="15" hidden="false" customHeight="false" outlineLevel="0" collapsed="false">
      <c r="A784" s="16" t="str">
        <f aca="false">Vendor_Invoices_AP!A781</f>
        <v>INV30780</v>
      </c>
      <c r="B784" s="16" t="str">
        <f aca="false">Vendor_Invoices_AP!C781</f>
        <v>V1007</v>
      </c>
      <c r="C784" s="16" t="str">
        <f aca="false">IFERROR(INDEX(Vendor_Master!$B$2:$B$41,MATCH(B784,Vendor_Master!$A$2:$A$41,0)),"Unknown Vendor")</f>
        <v>Ramirez-Lewis</v>
      </c>
      <c r="D784" s="18" t="n">
        <f aca="false">Vendor_Invoices_AP!E781</f>
        <v>4765.29</v>
      </c>
      <c r="E784" s="16" t="n">
        <f aca="false">COUNTIF(Payment_Log_AP!$B$2:$B$753,A784)</f>
        <v>0</v>
      </c>
      <c r="F784" s="18" t="n">
        <f aca="false">SUMIFS(Payment_Log_AP!$E$2:$E$753,Payment_Log_AP!$B$2:$B$753,A784)</f>
        <v>0</v>
      </c>
      <c r="G784" s="18" t="n">
        <f aca="false">MAX(F784-D784,0)</f>
        <v>0</v>
      </c>
      <c r="H784" s="16" t="str">
        <f aca="false">IF(E784&gt;1,"DUPLICATE - Review",IF(G784&gt;Assumptions!$B$6,"OVERPAID - Review","OK"))</f>
        <v>OK</v>
      </c>
    </row>
    <row r="785" customFormat="false" ht="15" hidden="false" customHeight="false" outlineLevel="0" collapsed="false">
      <c r="A785" s="16" t="str">
        <f aca="false">Vendor_Invoices_AP!A782</f>
        <v>INV30781</v>
      </c>
      <c r="B785" s="16" t="str">
        <f aca="false">Vendor_Invoices_AP!C782</f>
        <v>V1034</v>
      </c>
      <c r="C785" s="16" t="str">
        <f aca="false">IFERROR(INDEX(Vendor_Master!$B$2:$B$41,MATCH(B785,Vendor_Master!$A$2:$A$41,0)),"Unknown Vendor")</f>
        <v>Koch-Decker</v>
      </c>
      <c r="D785" s="18" t="n">
        <f aca="false">Vendor_Invoices_AP!E782</f>
        <v>5970.05</v>
      </c>
      <c r="E785" s="16" t="n">
        <f aca="false">COUNTIF(Payment_Log_AP!$B$2:$B$753,A785)</f>
        <v>1</v>
      </c>
      <c r="F785" s="18" t="n">
        <f aca="false">SUMIFS(Payment_Log_AP!$E$2:$E$753,Payment_Log_AP!$B$2:$B$753,A785)</f>
        <v>5970.05</v>
      </c>
      <c r="G785" s="18" t="n">
        <f aca="false">MAX(F785-D785,0)</f>
        <v>0</v>
      </c>
      <c r="H785" s="16" t="str">
        <f aca="false">IF(E785&gt;1,"DUPLICATE - Review",IF(G785&gt;Assumptions!$B$6,"OVERPAID - Review","OK"))</f>
        <v>OK</v>
      </c>
    </row>
    <row r="786" customFormat="false" ht="15" hidden="false" customHeight="false" outlineLevel="0" collapsed="false">
      <c r="A786" s="16" t="str">
        <f aca="false">Vendor_Invoices_AP!A783</f>
        <v>INV30782</v>
      </c>
      <c r="B786" s="16" t="str">
        <f aca="false">Vendor_Invoices_AP!C783</f>
        <v>V1020</v>
      </c>
      <c r="C786" s="16" t="str">
        <f aca="false">IFERROR(INDEX(Vendor_Master!$B$2:$B$41,MATCH(B786,Vendor_Master!$A$2:$A$41,0)),"Unknown Vendor")</f>
        <v>Lewis-Porter</v>
      </c>
      <c r="D786" s="18" t="n">
        <f aca="false">Vendor_Invoices_AP!E783</f>
        <v>1166.53</v>
      </c>
      <c r="E786" s="16" t="n">
        <f aca="false">COUNTIF(Payment_Log_AP!$B$2:$B$753,A786)</f>
        <v>1</v>
      </c>
      <c r="F786" s="18" t="n">
        <f aca="false">SUMIFS(Payment_Log_AP!$E$2:$E$753,Payment_Log_AP!$B$2:$B$753,A786)</f>
        <v>1166.53</v>
      </c>
      <c r="G786" s="18" t="n">
        <f aca="false">MAX(F786-D786,0)</f>
        <v>0</v>
      </c>
      <c r="H786" s="16" t="str">
        <f aca="false">IF(E786&gt;1,"DUPLICATE - Review",IF(G786&gt;Assumptions!$B$6,"OVERPAID - Review","OK"))</f>
        <v>OK</v>
      </c>
    </row>
    <row r="787" customFormat="false" ht="15" hidden="false" customHeight="false" outlineLevel="0" collapsed="false">
      <c r="A787" s="16" t="str">
        <f aca="false">Vendor_Invoices_AP!A784</f>
        <v>INV30783</v>
      </c>
      <c r="B787" s="16" t="str">
        <f aca="false">Vendor_Invoices_AP!C784</f>
        <v>V1040</v>
      </c>
      <c r="C787" s="16" t="str">
        <f aca="false">IFERROR(INDEX(Vendor_Master!$B$2:$B$41,MATCH(B787,Vendor_Master!$A$2:$A$41,0)),"Unknown Vendor")</f>
        <v>Santos, Kim and Holmes</v>
      </c>
      <c r="D787" s="18" t="n">
        <f aca="false">Vendor_Invoices_AP!E784</f>
        <v>305.02</v>
      </c>
      <c r="E787" s="16" t="n">
        <f aca="false">COUNTIF(Payment_Log_AP!$B$2:$B$753,A787)</f>
        <v>1</v>
      </c>
      <c r="F787" s="18" t="n">
        <f aca="false">SUMIFS(Payment_Log_AP!$E$2:$E$753,Payment_Log_AP!$B$2:$B$753,A787)</f>
        <v>305.02</v>
      </c>
      <c r="G787" s="18" t="n">
        <f aca="false">MAX(F787-D787,0)</f>
        <v>0</v>
      </c>
      <c r="H787" s="16" t="str">
        <f aca="false">IF(E787&gt;1,"DUPLICATE - Review",IF(G787&gt;Assumptions!$B$6,"OVERPAID - Review","OK"))</f>
        <v>OK</v>
      </c>
    </row>
    <row r="788" customFormat="false" ht="15" hidden="false" customHeight="false" outlineLevel="0" collapsed="false">
      <c r="A788" s="16" t="str">
        <f aca="false">Vendor_Invoices_AP!A785</f>
        <v>INV30784</v>
      </c>
      <c r="B788" s="16" t="str">
        <f aca="false">Vendor_Invoices_AP!C785</f>
        <v>V1008</v>
      </c>
      <c r="C788" s="16" t="str">
        <f aca="false">IFERROR(INDEX(Vendor_Master!$B$2:$B$41,MATCH(B788,Vendor_Master!$A$2:$A$41,0)),"Unknown Vendor")</f>
        <v>Davis Inc</v>
      </c>
      <c r="D788" s="18" t="n">
        <f aca="false">Vendor_Invoices_AP!E785</f>
        <v>888.47</v>
      </c>
      <c r="E788" s="16" t="n">
        <f aca="false">COUNTIF(Payment_Log_AP!$B$2:$B$753,A788)</f>
        <v>1</v>
      </c>
      <c r="F788" s="18" t="n">
        <f aca="false">SUMIFS(Payment_Log_AP!$E$2:$E$753,Payment_Log_AP!$B$2:$B$753,A788)</f>
        <v>888.47</v>
      </c>
      <c r="G788" s="18" t="n">
        <f aca="false">MAX(F788-D788,0)</f>
        <v>0</v>
      </c>
      <c r="H788" s="16" t="str">
        <f aca="false">IF(E788&gt;1,"DUPLICATE - Review",IF(G788&gt;Assumptions!$B$6,"OVERPAID - Review","OK"))</f>
        <v>OK</v>
      </c>
    </row>
    <row r="789" customFormat="false" ht="15" hidden="false" customHeight="false" outlineLevel="0" collapsed="false">
      <c r="A789" s="16" t="str">
        <f aca="false">Vendor_Invoices_AP!A786</f>
        <v>INV30785</v>
      </c>
      <c r="B789" s="16" t="str">
        <f aca="false">Vendor_Invoices_AP!C786</f>
        <v>V1013</v>
      </c>
      <c r="C789" s="16" t="str">
        <f aca="false">IFERROR(INDEX(Vendor_Master!$B$2:$B$41,MATCH(B789,Vendor_Master!$A$2:$A$41,0)),"Unknown Vendor")</f>
        <v>Delacruz Group</v>
      </c>
      <c r="D789" s="18" t="n">
        <f aca="false">Vendor_Invoices_AP!E786</f>
        <v>6115.66</v>
      </c>
      <c r="E789" s="16" t="n">
        <f aca="false">COUNTIF(Payment_Log_AP!$B$2:$B$753,A789)</f>
        <v>1</v>
      </c>
      <c r="F789" s="18" t="n">
        <f aca="false">SUMIFS(Payment_Log_AP!$E$2:$E$753,Payment_Log_AP!$B$2:$B$753,A789)</f>
        <v>6115.66</v>
      </c>
      <c r="G789" s="18" t="n">
        <f aca="false">MAX(F789-D789,0)</f>
        <v>0</v>
      </c>
      <c r="H789" s="16" t="str">
        <f aca="false">IF(E789&gt;1,"DUPLICATE - Review",IF(G789&gt;Assumptions!$B$6,"OVERPAID - Review","OK"))</f>
        <v>OK</v>
      </c>
    </row>
    <row r="790" customFormat="false" ht="15" hidden="false" customHeight="false" outlineLevel="0" collapsed="false">
      <c r="A790" s="16" t="str">
        <f aca="false">Vendor_Invoices_AP!A787</f>
        <v>INV30786</v>
      </c>
      <c r="B790" s="16" t="str">
        <f aca="false">Vendor_Invoices_AP!C787</f>
        <v>V1025</v>
      </c>
      <c r="C790" s="16" t="str">
        <f aca="false">IFERROR(INDEX(Vendor_Master!$B$2:$B$41,MATCH(B790,Vendor_Master!$A$2:$A$41,0)),"Unknown Vendor")</f>
        <v>Conner Group</v>
      </c>
      <c r="D790" s="18" t="n">
        <f aca="false">Vendor_Invoices_AP!E787</f>
        <v>1679.37</v>
      </c>
      <c r="E790" s="16" t="n">
        <f aca="false">COUNTIF(Payment_Log_AP!$B$2:$B$753,A790)</f>
        <v>0</v>
      </c>
      <c r="F790" s="18" t="n">
        <f aca="false">SUMIFS(Payment_Log_AP!$E$2:$E$753,Payment_Log_AP!$B$2:$B$753,A790)</f>
        <v>0</v>
      </c>
      <c r="G790" s="18" t="n">
        <f aca="false">MAX(F790-D790,0)</f>
        <v>0</v>
      </c>
      <c r="H790" s="16" t="str">
        <f aca="false">IF(E790&gt;1,"DUPLICATE - Review",IF(G790&gt;Assumptions!$B$6,"OVERPAID - Review","OK"))</f>
        <v>OK</v>
      </c>
    </row>
    <row r="791" customFormat="false" ht="15" hidden="false" customHeight="false" outlineLevel="0" collapsed="false">
      <c r="A791" s="16" t="str">
        <f aca="false">Vendor_Invoices_AP!A788</f>
        <v>INV30787</v>
      </c>
      <c r="B791" s="16" t="str">
        <f aca="false">Vendor_Invoices_AP!C788</f>
        <v>V1029</v>
      </c>
      <c r="C791" s="16" t="str">
        <f aca="false">IFERROR(INDEX(Vendor_Master!$B$2:$B$41,MATCH(B791,Vendor_Master!$A$2:$A$41,0)),"Unknown Vendor")</f>
        <v>Chavez Ltd</v>
      </c>
      <c r="D791" s="18" t="n">
        <f aca="false">Vendor_Invoices_AP!E788</f>
        <v>723.52</v>
      </c>
      <c r="E791" s="16" t="n">
        <f aca="false">COUNTIF(Payment_Log_AP!$B$2:$B$753,A791)</f>
        <v>1</v>
      </c>
      <c r="F791" s="18" t="n">
        <f aca="false">SUMIFS(Payment_Log_AP!$E$2:$E$753,Payment_Log_AP!$B$2:$B$753,A791)</f>
        <v>723.52</v>
      </c>
      <c r="G791" s="18" t="n">
        <f aca="false">MAX(F791-D791,0)</f>
        <v>0</v>
      </c>
      <c r="H791" s="16" t="str">
        <f aca="false">IF(E791&gt;1,"DUPLICATE - Review",IF(G791&gt;Assumptions!$B$6,"OVERPAID - Review","OK"))</f>
        <v>OK</v>
      </c>
    </row>
    <row r="792" customFormat="false" ht="15" hidden="false" customHeight="false" outlineLevel="0" collapsed="false">
      <c r="A792" s="16" t="str">
        <f aca="false">Vendor_Invoices_AP!A789</f>
        <v>INV30788</v>
      </c>
      <c r="B792" s="16" t="str">
        <f aca="false">Vendor_Invoices_AP!C789</f>
        <v>V1027</v>
      </c>
      <c r="C792" s="16" t="str">
        <f aca="false">IFERROR(INDEX(Vendor_Master!$B$2:$B$41,MATCH(B792,Vendor_Master!$A$2:$A$41,0)),"Unknown Vendor")</f>
        <v>Valencia, Smith and Le</v>
      </c>
      <c r="D792" s="18" t="n">
        <f aca="false">Vendor_Invoices_AP!E789</f>
        <v>3110.63</v>
      </c>
      <c r="E792" s="16" t="n">
        <f aca="false">COUNTIF(Payment_Log_AP!$B$2:$B$753,A792)</f>
        <v>0</v>
      </c>
      <c r="F792" s="18" t="n">
        <f aca="false">SUMIFS(Payment_Log_AP!$E$2:$E$753,Payment_Log_AP!$B$2:$B$753,A792)</f>
        <v>0</v>
      </c>
      <c r="G792" s="18" t="n">
        <f aca="false">MAX(F792-D792,0)</f>
        <v>0</v>
      </c>
      <c r="H792" s="16" t="str">
        <f aca="false">IF(E792&gt;1,"DUPLICATE - Review",IF(G792&gt;Assumptions!$B$6,"OVERPAID - Review","OK"))</f>
        <v>OK</v>
      </c>
    </row>
    <row r="793" customFormat="false" ht="15" hidden="false" customHeight="false" outlineLevel="0" collapsed="false">
      <c r="A793" s="16" t="str">
        <f aca="false">Vendor_Invoices_AP!A790</f>
        <v>INV30789</v>
      </c>
      <c r="B793" s="16" t="str">
        <f aca="false">Vendor_Invoices_AP!C790</f>
        <v>V1040</v>
      </c>
      <c r="C793" s="16" t="str">
        <f aca="false">IFERROR(INDEX(Vendor_Master!$B$2:$B$41,MATCH(B793,Vendor_Master!$A$2:$A$41,0)),"Unknown Vendor")</f>
        <v>Santos, Kim and Holmes</v>
      </c>
      <c r="D793" s="18" t="n">
        <f aca="false">Vendor_Invoices_AP!E790</f>
        <v>1751.47</v>
      </c>
      <c r="E793" s="16" t="n">
        <f aca="false">COUNTIF(Payment_Log_AP!$B$2:$B$753,A793)</f>
        <v>1</v>
      </c>
      <c r="F793" s="18" t="n">
        <f aca="false">SUMIFS(Payment_Log_AP!$E$2:$E$753,Payment_Log_AP!$B$2:$B$753,A793)</f>
        <v>1751.47</v>
      </c>
      <c r="G793" s="18" t="n">
        <f aca="false">MAX(F793-D793,0)</f>
        <v>0</v>
      </c>
      <c r="H793" s="16" t="str">
        <f aca="false">IF(E793&gt;1,"DUPLICATE - Review",IF(G793&gt;Assumptions!$B$6,"OVERPAID - Review","OK"))</f>
        <v>OK</v>
      </c>
    </row>
    <row r="794" customFormat="false" ht="15" hidden="false" customHeight="false" outlineLevel="0" collapsed="false">
      <c r="A794" s="16" t="str">
        <f aca="false">Vendor_Invoices_AP!A791</f>
        <v>INV30790</v>
      </c>
      <c r="B794" s="16" t="str">
        <f aca="false">Vendor_Invoices_AP!C791</f>
        <v>V1014</v>
      </c>
      <c r="C794" s="16" t="str">
        <f aca="false">IFERROR(INDEX(Vendor_Master!$B$2:$B$41,MATCH(B794,Vendor_Master!$A$2:$A$41,0)),"Unknown Vendor")</f>
        <v>Flowers, Martin and Kelly</v>
      </c>
      <c r="D794" s="18" t="n">
        <f aca="false">Vendor_Invoices_AP!E791</f>
        <v>17936.73</v>
      </c>
      <c r="E794" s="16" t="n">
        <f aca="false">COUNTIF(Payment_Log_AP!$B$2:$B$753,A794)</f>
        <v>1</v>
      </c>
      <c r="F794" s="18" t="n">
        <f aca="false">SUMIFS(Payment_Log_AP!$E$2:$E$753,Payment_Log_AP!$B$2:$B$753,A794)</f>
        <v>17936.73</v>
      </c>
      <c r="G794" s="18" t="n">
        <f aca="false">MAX(F794-D794,0)</f>
        <v>0</v>
      </c>
      <c r="H794" s="16" t="str">
        <f aca="false">IF(E794&gt;1,"DUPLICATE - Review",IF(G794&gt;Assumptions!$B$6,"OVERPAID - Review","OK"))</f>
        <v>OK</v>
      </c>
    </row>
    <row r="795" customFormat="false" ht="15" hidden="false" customHeight="false" outlineLevel="0" collapsed="false">
      <c r="A795" s="16" t="str">
        <f aca="false">Vendor_Invoices_AP!A792</f>
        <v>INV30791</v>
      </c>
      <c r="B795" s="16" t="str">
        <f aca="false">Vendor_Invoices_AP!C792</f>
        <v>V1039</v>
      </c>
      <c r="C795" s="16" t="str">
        <f aca="false">IFERROR(INDEX(Vendor_Master!$B$2:$B$41,MATCH(B795,Vendor_Master!$A$2:$A$41,0)),"Unknown Vendor")</f>
        <v>Campos, Vaughn and Marquez</v>
      </c>
      <c r="D795" s="18" t="n">
        <f aca="false">Vendor_Invoices_AP!E792</f>
        <v>7872.8</v>
      </c>
      <c r="E795" s="16" t="n">
        <f aca="false">COUNTIF(Payment_Log_AP!$B$2:$B$753,A795)</f>
        <v>1</v>
      </c>
      <c r="F795" s="18" t="n">
        <f aca="false">SUMIFS(Payment_Log_AP!$E$2:$E$753,Payment_Log_AP!$B$2:$B$753,A795)</f>
        <v>7872.8</v>
      </c>
      <c r="G795" s="18" t="n">
        <f aca="false">MAX(F795-D795,0)</f>
        <v>0</v>
      </c>
      <c r="H795" s="16" t="str">
        <f aca="false">IF(E795&gt;1,"DUPLICATE - Review",IF(G795&gt;Assumptions!$B$6,"OVERPAID - Review","OK"))</f>
        <v>OK</v>
      </c>
    </row>
    <row r="796" customFormat="false" ht="15" hidden="false" customHeight="false" outlineLevel="0" collapsed="false">
      <c r="A796" s="16" t="str">
        <f aca="false">Vendor_Invoices_AP!A793</f>
        <v>INV30792</v>
      </c>
      <c r="B796" s="16" t="str">
        <f aca="false">Vendor_Invoices_AP!C793</f>
        <v>V1029</v>
      </c>
      <c r="C796" s="16" t="str">
        <f aca="false">IFERROR(INDEX(Vendor_Master!$B$2:$B$41,MATCH(B796,Vendor_Master!$A$2:$A$41,0)),"Unknown Vendor")</f>
        <v>Chavez Ltd</v>
      </c>
      <c r="D796" s="18" t="n">
        <f aca="false">Vendor_Invoices_AP!E793</f>
        <v>886.11</v>
      </c>
      <c r="E796" s="16" t="n">
        <f aca="false">COUNTIF(Payment_Log_AP!$B$2:$B$753,A796)</f>
        <v>1</v>
      </c>
      <c r="F796" s="18" t="n">
        <f aca="false">SUMIFS(Payment_Log_AP!$E$2:$E$753,Payment_Log_AP!$B$2:$B$753,A796)</f>
        <v>886.11</v>
      </c>
      <c r="G796" s="18" t="n">
        <f aca="false">MAX(F796-D796,0)</f>
        <v>0</v>
      </c>
      <c r="H796" s="16" t="str">
        <f aca="false">IF(E796&gt;1,"DUPLICATE - Review",IF(G796&gt;Assumptions!$B$6,"OVERPAID - Review","OK"))</f>
        <v>OK</v>
      </c>
    </row>
    <row r="797" customFormat="false" ht="15" hidden="false" customHeight="false" outlineLevel="0" collapsed="false">
      <c r="A797" s="16" t="str">
        <f aca="false">Vendor_Invoices_AP!A794</f>
        <v>INV30793</v>
      </c>
      <c r="B797" s="16" t="str">
        <f aca="false">Vendor_Invoices_AP!C794</f>
        <v>V1010</v>
      </c>
      <c r="C797" s="16" t="str">
        <f aca="false">IFERROR(INDEX(Vendor_Master!$B$2:$B$41,MATCH(B797,Vendor_Master!$A$2:$A$41,0)),"Unknown Vendor")</f>
        <v>Martinez, Nielsen and Miller</v>
      </c>
      <c r="D797" s="18" t="n">
        <f aca="false">Vendor_Invoices_AP!E794</f>
        <v>944.22</v>
      </c>
      <c r="E797" s="16" t="n">
        <f aca="false">COUNTIF(Payment_Log_AP!$B$2:$B$753,A797)</f>
        <v>0</v>
      </c>
      <c r="F797" s="18" t="n">
        <f aca="false">SUMIFS(Payment_Log_AP!$E$2:$E$753,Payment_Log_AP!$B$2:$B$753,A797)</f>
        <v>0</v>
      </c>
      <c r="G797" s="18" t="n">
        <f aca="false">MAX(F797-D797,0)</f>
        <v>0</v>
      </c>
      <c r="H797" s="16" t="str">
        <f aca="false">IF(E797&gt;1,"DUPLICATE - Review",IF(G797&gt;Assumptions!$B$6,"OVERPAID - Review","OK"))</f>
        <v>OK</v>
      </c>
    </row>
    <row r="798" customFormat="false" ht="15" hidden="false" customHeight="false" outlineLevel="0" collapsed="false">
      <c r="A798" s="16" t="str">
        <f aca="false">Vendor_Invoices_AP!A795</f>
        <v>INV30794</v>
      </c>
      <c r="B798" s="16" t="str">
        <f aca="false">Vendor_Invoices_AP!C795</f>
        <v>V1022</v>
      </c>
      <c r="C798" s="16" t="str">
        <f aca="false">IFERROR(INDEX(Vendor_Master!$B$2:$B$41,MATCH(B798,Vendor_Master!$A$2:$A$41,0)),"Unknown Vendor")</f>
        <v>Burgess-Patterson</v>
      </c>
      <c r="D798" s="18" t="n">
        <f aca="false">Vendor_Invoices_AP!E795</f>
        <v>270.06</v>
      </c>
      <c r="E798" s="16" t="n">
        <f aca="false">COUNTIF(Payment_Log_AP!$B$2:$B$753,A798)</f>
        <v>1</v>
      </c>
      <c r="F798" s="18" t="n">
        <f aca="false">SUMIFS(Payment_Log_AP!$E$2:$E$753,Payment_Log_AP!$B$2:$B$753,A798)</f>
        <v>270.06</v>
      </c>
      <c r="G798" s="18" t="n">
        <f aca="false">MAX(F798-D798,0)</f>
        <v>0</v>
      </c>
      <c r="H798" s="16" t="str">
        <f aca="false">IF(E798&gt;1,"DUPLICATE - Review",IF(G798&gt;Assumptions!$B$6,"OVERPAID - Review","OK"))</f>
        <v>OK</v>
      </c>
    </row>
    <row r="799" customFormat="false" ht="15" hidden="false" customHeight="false" outlineLevel="0" collapsed="false">
      <c r="A799" s="16" t="str">
        <f aca="false">Vendor_Invoices_AP!A796</f>
        <v>INV30795</v>
      </c>
      <c r="B799" s="16" t="str">
        <f aca="false">Vendor_Invoices_AP!C796</f>
        <v>V1025</v>
      </c>
      <c r="C799" s="16" t="str">
        <f aca="false">IFERROR(INDEX(Vendor_Master!$B$2:$B$41,MATCH(B799,Vendor_Master!$A$2:$A$41,0)),"Unknown Vendor")</f>
        <v>Conner Group</v>
      </c>
      <c r="D799" s="18" t="n">
        <f aca="false">Vendor_Invoices_AP!E796</f>
        <v>6371.15</v>
      </c>
      <c r="E799" s="16" t="n">
        <f aca="false">COUNTIF(Payment_Log_AP!$B$2:$B$753,A799)</f>
        <v>1</v>
      </c>
      <c r="F799" s="18" t="n">
        <f aca="false">SUMIFS(Payment_Log_AP!$E$2:$E$753,Payment_Log_AP!$B$2:$B$753,A799)</f>
        <v>6371.15</v>
      </c>
      <c r="G799" s="18" t="n">
        <f aca="false">MAX(F799-D799,0)</f>
        <v>0</v>
      </c>
      <c r="H799" s="16" t="str">
        <f aca="false">IF(E799&gt;1,"DUPLICATE - Review",IF(G799&gt;Assumptions!$B$6,"OVERPAID - Review","OK"))</f>
        <v>OK</v>
      </c>
    </row>
    <row r="800" customFormat="false" ht="15" hidden="false" customHeight="false" outlineLevel="0" collapsed="false">
      <c r="A800" s="16" t="str">
        <f aca="false">Vendor_Invoices_AP!A797</f>
        <v>INV30796</v>
      </c>
      <c r="B800" s="16" t="str">
        <f aca="false">Vendor_Invoices_AP!C797</f>
        <v>V1028</v>
      </c>
      <c r="C800" s="16" t="str">
        <f aca="false">IFERROR(INDEX(Vendor_Master!$B$2:$B$41,MATCH(B800,Vendor_Master!$A$2:$A$41,0)),"Unknown Vendor")</f>
        <v>Potter, Mack and Peterson</v>
      </c>
      <c r="D800" s="18" t="n">
        <f aca="false">Vendor_Invoices_AP!E797</f>
        <v>2179.28</v>
      </c>
      <c r="E800" s="16" t="n">
        <f aca="false">COUNTIF(Payment_Log_AP!$B$2:$B$753,A800)</f>
        <v>1</v>
      </c>
      <c r="F800" s="18" t="n">
        <f aca="false">SUMIFS(Payment_Log_AP!$E$2:$E$753,Payment_Log_AP!$B$2:$B$753,A800)</f>
        <v>2179.28</v>
      </c>
      <c r="G800" s="18" t="n">
        <f aca="false">MAX(F800-D800,0)</f>
        <v>0</v>
      </c>
      <c r="H800" s="16" t="str">
        <f aca="false">IF(E800&gt;1,"DUPLICATE - Review",IF(G800&gt;Assumptions!$B$6,"OVERPAID - Review","OK"))</f>
        <v>OK</v>
      </c>
    </row>
    <row r="801" customFormat="false" ht="15" hidden="false" customHeight="false" outlineLevel="0" collapsed="false">
      <c r="A801" s="16" t="str">
        <f aca="false">Vendor_Invoices_AP!A798</f>
        <v>INV30797</v>
      </c>
      <c r="B801" s="16" t="str">
        <f aca="false">Vendor_Invoices_AP!C798</f>
        <v>V1032</v>
      </c>
      <c r="C801" s="16" t="str">
        <f aca="false">IFERROR(INDEX(Vendor_Master!$B$2:$B$41,MATCH(B801,Vendor_Master!$A$2:$A$41,0)),"Unknown Vendor")</f>
        <v>Lynch, Hernandez and Farmer</v>
      </c>
      <c r="D801" s="18" t="n">
        <f aca="false">Vendor_Invoices_AP!E798</f>
        <v>4559.19</v>
      </c>
      <c r="E801" s="16" t="n">
        <f aca="false">COUNTIF(Payment_Log_AP!$B$2:$B$753,A801)</f>
        <v>1</v>
      </c>
      <c r="F801" s="18" t="n">
        <f aca="false">SUMIFS(Payment_Log_AP!$E$2:$E$753,Payment_Log_AP!$B$2:$B$753,A801)</f>
        <v>4559.19</v>
      </c>
      <c r="G801" s="18" t="n">
        <f aca="false">MAX(F801-D801,0)</f>
        <v>0</v>
      </c>
      <c r="H801" s="16" t="str">
        <f aca="false">IF(E801&gt;1,"DUPLICATE - Review",IF(G801&gt;Assumptions!$B$6,"OVERPAID - Review","OK"))</f>
        <v>OK</v>
      </c>
    </row>
    <row r="802" customFormat="false" ht="15" hidden="false" customHeight="false" outlineLevel="0" collapsed="false">
      <c r="A802" s="16" t="str">
        <f aca="false">Vendor_Invoices_AP!A799</f>
        <v>INV30798</v>
      </c>
      <c r="B802" s="16" t="str">
        <f aca="false">Vendor_Invoices_AP!C799</f>
        <v>V1037</v>
      </c>
      <c r="C802" s="16" t="str">
        <f aca="false">IFERROR(INDEX(Vendor_Master!$B$2:$B$41,MATCH(B802,Vendor_Master!$A$2:$A$41,0)),"Unknown Vendor")</f>
        <v>Cannon, Anderson and Alvarez</v>
      </c>
      <c r="D802" s="18" t="n">
        <f aca="false">Vendor_Invoices_AP!E799</f>
        <v>1738.1</v>
      </c>
      <c r="E802" s="16" t="n">
        <f aca="false">COUNTIF(Payment_Log_AP!$B$2:$B$753,A802)</f>
        <v>1</v>
      </c>
      <c r="F802" s="18" t="n">
        <f aca="false">SUMIFS(Payment_Log_AP!$E$2:$E$753,Payment_Log_AP!$B$2:$B$753,A802)</f>
        <v>1738.1</v>
      </c>
      <c r="G802" s="18" t="n">
        <f aca="false">MAX(F802-D802,0)</f>
        <v>0</v>
      </c>
      <c r="H802" s="16" t="str">
        <f aca="false">IF(E802&gt;1,"DUPLICATE - Review",IF(G802&gt;Assumptions!$B$6,"OVERPAID - Review","OK"))</f>
        <v>OK</v>
      </c>
    </row>
    <row r="803" customFormat="false" ht="15" hidden="false" customHeight="false" outlineLevel="0" collapsed="false">
      <c r="A803" s="16" t="str">
        <f aca="false">Vendor_Invoices_AP!A800</f>
        <v>INV30799</v>
      </c>
      <c r="B803" s="16" t="str">
        <f aca="false">Vendor_Invoices_AP!C800</f>
        <v>V1010</v>
      </c>
      <c r="C803" s="16" t="str">
        <f aca="false">IFERROR(INDEX(Vendor_Master!$B$2:$B$41,MATCH(B803,Vendor_Master!$A$2:$A$41,0)),"Unknown Vendor")</f>
        <v>Martinez, Nielsen and Miller</v>
      </c>
      <c r="D803" s="18" t="n">
        <f aca="false">Vendor_Invoices_AP!E800</f>
        <v>8655.91</v>
      </c>
      <c r="E803" s="16" t="n">
        <f aca="false">COUNTIF(Payment_Log_AP!$B$2:$B$753,A803)</f>
        <v>1</v>
      </c>
      <c r="F803" s="18" t="n">
        <f aca="false">SUMIFS(Payment_Log_AP!$E$2:$E$753,Payment_Log_AP!$B$2:$B$753,A803)</f>
        <v>8655.91</v>
      </c>
      <c r="G803" s="18" t="n">
        <f aca="false">MAX(F803-D803,0)</f>
        <v>0</v>
      </c>
      <c r="H803" s="16" t="str">
        <f aca="false">IF(E803&gt;1,"DUPLICATE - Review",IF(G803&gt;Assumptions!$B$6,"OVERPAID - Review","OK"))</f>
        <v>OK</v>
      </c>
    </row>
    <row r="804" customFormat="false" ht="15" hidden="false" customHeight="false" outlineLevel="0" collapsed="false">
      <c r="A804" s="16" t="str">
        <f aca="false">Vendor_Invoices_AP!A801</f>
        <v>INV30800</v>
      </c>
      <c r="B804" s="16" t="str">
        <f aca="false">Vendor_Invoices_AP!C801</f>
        <v>V1028</v>
      </c>
      <c r="C804" s="16" t="str">
        <f aca="false">IFERROR(INDEX(Vendor_Master!$B$2:$B$41,MATCH(B804,Vendor_Master!$A$2:$A$41,0)),"Unknown Vendor")</f>
        <v>Potter, Mack and Peterson</v>
      </c>
      <c r="D804" s="18" t="n">
        <f aca="false">Vendor_Invoices_AP!E801</f>
        <v>3002.81</v>
      </c>
      <c r="E804" s="16" t="n">
        <f aca="false">COUNTIF(Payment_Log_AP!$B$2:$B$753,A804)</f>
        <v>1</v>
      </c>
      <c r="F804" s="18" t="n">
        <f aca="false">SUMIFS(Payment_Log_AP!$E$2:$E$753,Payment_Log_AP!$B$2:$B$753,A804)</f>
        <v>3002.81</v>
      </c>
      <c r="G804" s="18" t="n">
        <f aca="false">MAX(F804-D804,0)</f>
        <v>0</v>
      </c>
      <c r="H804" s="16" t="str">
        <f aca="false">IF(E804&gt;1,"DUPLICATE - Review",IF(G804&gt;Assumptions!$B$6,"OVERPAID - Review","OK"))</f>
        <v>OK</v>
      </c>
    </row>
    <row r="805" customFormat="false" ht="15" hidden="false" customHeight="false" outlineLevel="0" collapsed="false">
      <c r="A805" s="16" t="str">
        <f aca="false">Vendor_Invoices_AP!A802</f>
        <v>INV30801</v>
      </c>
      <c r="B805" s="16" t="str">
        <f aca="false">Vendor_Invoices_AP!C802</f>
        <v>V1038</v>
      </c>
      <c r="C805" s="16" t="str">
        <f aca="false">IFERROR(INDEX(Vendor_Master!$B$2:$B$41,MATCH(B805,Vendor_Master!$A$2:$A$41,0)),"Unknown Vendor")</f>
        <v>Rose-Obrien</v>
      </c>
      <c r="D805" s="18" t="n">
        <f aca="false">Vendor_Invoices_AP!E802</f>
        <v>2069.86</v>
      </c>
      <c r="E805" s="16" t="n">
        <f aca="false">COUNTIF(Payment_Log_AP!$B$2:$B$753,A805)</f>
        <v>1</v>
      </c>
      <c r="F805" s="18" t="n">
        <f aca="false">SUMIFS(Payment_Log_AP!$E$2:$E$753,Payment_Log_AP!$B$2:$B$753,A805)</f>
        <v>2069.86</v>
      </c>
      <c r="G805" s="18" t="n">
        <f aca="false">MAX(F805-D805,0)</f>
        <v>0</v>
      </c>
      <c r="H805" s="16" t="str">
        <f aca="false">IF(E805&gt;1,"DUPLICATE - Review",IF(G805&gt;Assumptions!$B$6,"OVERPAID - Review","OK"))</f>
        <v>OK</v>
      </c>
    </row>
    <row r="806" customFormat="false" ht="15" hidden="false" customHeight="false" outlineLevel="0" collapsed="false">
      <c r="A806" s="16" t="str">
        <f aca="false">Vendor_Invoices_AP!A803</f>
        <v>INV30802</v>
      </c>
      <c r="B806" s="16" t="str">
        <f aca="false">Vendor_Invoices_AP!C803</f>
        <v>V1019</v>
      </c>
      <c r="C806" s="16" t="str">
        <f aca="false">IFERROR(INDEX(Vendor_Master!$B$2:$B$41,MATCH(B806,Vendor_Master!$A$2:$A$41,0)),"Unknown Vendor")</f>
        <v>Clark PLC</v>
      </c>
      <c r="D806" s="18" t="n">
        <f aca="false">Vendor_Invoices_AP!E803</f>
        <v>1217.09</v>
      </c>
      <c r="E806" s="16" t="n">
        <f aca="false">COUNTIF(Payment_Log_AP!$B$2:$B$753,A806)</f>
        <v>1</v>
      </c>
      <c r="F806" s="18" t="n">
        <f aca="false">SUMIFS(Payment_Log_AP!$E$2:$E$753,Payment_Log_AP!$B$2:$B$753,A806)</f>
        <v>1217.09</v>
      </c>
      <c r="G806" s="18" t="n">
        <f aca="false">MAX(F806-D806,0)</f>
        <v>0</v>
      </c>
      <c r="H806" s="16" t="str">
        <f aca="false">IF(E806&gt;1,"DUPLICATE - Review",IF(G806&gt;Assumptions!$B$6,"OVERPAID - Review","OK"))</f>
        <v>OK</v>
      </c>
    </row>
    <row r="807" customFormat="false" ht="15" hidden="false" customHeight="false" outlineLevel="0" collapsed="false">
      <c r="A807" s="16" t="str">
        <f aca="false">Vendor_Invoices_AP!A804</f>
        <v>INV30803</v>
      </c>
      <c r="B807" s="16" t="str">
        <f aca="false">Vendor_Invoices_AP!C804</f>
        <v>V1009</v>
      </c>
      <c r="C807" s="16" t="str">
        <f aca="false">IFERROR(INDEX(Vendor_Master!$B$2:$B$41,MATCH(B807,Vendor_Master!$A$2:$A$41,0)),"Unknown Vendor")</f>
        <v>Munoz-Roman</v>
      </c>
      <c r="D807" s="18" t="n">
        <f aca="false">Vendor_Invoices_AP!E804</f>
        <v>680.64</v>
      </c>
      <c r="E807" s="16" t="n">
        <f aca="false">COUNTIF(Payment_Log_AP!$B$2:$B$753,A807)</f>
        <v>1</v>
      </c>
      <c r="F807" s="18" t="n">
        <f aca="false">SUMIFS(Payment_Log_AP!$E$2:$E$753,Payment_Log_AP!$B$2:$B$753,A807)</f>
        <v>680.64</v>
      </c>
      <c r="G807" s="18" t="n">
        <f aca="false">MAX(F807-D807,0)</f>
        <v>0</v>
      </c>
      <c r="H807" s="16" t="str">
        <f aca="false">IF(E807&gt;1,"DUPLICATE - Review",IF(G807&gt;Assumptions!$B$6,"OVERPAID - Review","OK"))</f>
        <v>OK</v>
      </c>
    </row>
    <row r="808" customFormat="false" ht="15" hidden="false" customHeight="false" outlineLevel="0" collapsed="false">
      <c r="A808" s="16" t="str">
        <f aca="false">Vendor_Invoices_AP!A805</f>
        <v>INV30804</v>
      </c>
      <c r="B808" s="16" t="str">
        <f aca="false">Vendor_Invoices_AP!C805</f>
        <v>V1035</v>
      </c>
      <c r="C808" s="16" t="str">
        <f aca="false">IFERROR(INDEX(Vendor_Master!$B$2:$B$41,MATCH(B808,Vendor_Master!$A$2:$A$41,0)),"Unknown Vendor")</f>
        <v>Allen PLC</v>
      </c>
      <c r="D808" s="18" t="n">
        <f aca="false">Vendor_Invoices_AP!E805</f>
        <v>1467.37</v>
      </c>
      <c r="E808" s="16" t="n">
        <f aca="false">COUNTIF(Payment_Log_AP!$B$2:$B$753,A808)</f>
        <v>1</v>
      </c>
      <c r="F808" s="18" t="n">
        <f aca="false">SUMIFS(Payment_Log_AP!$E$2:$E$753,Payment_Log_AP!$B$2:$B$753,A808)</f>
        <v>1467.37</v>
      </c>
      <c r="G808" s="18" t="n">
        <f aca="false">MAX(F808-D808,0)</f>
        <v>0</v>
      </c>
      <c r="H808" s="16" t="str">
        <f aca="false">IF(E808&gt;1,"DUPLICATE - Review",IF(G808&gt;Assumptions!$B$6,"OVERPAID - Review","OK"))</f>
        <v>OK</v>
      </c>
    </row>
    <row r="809" customFormat="false" ht="15" hidden="false" customHeight="false" outlineLevel="0" collapsed="false">
      <c r="A809" s="16" t="str">
        <f aca="false">Vendor_Invoices_AP!A806</f>
        <v>INV30805</v>
      </c>
      <c r="B809" s="16" t="str">
        <f aca="false">Vendor_Invoices_AP!C806</f>
        <v>V1011</v>
      </c>
      <c r="C809" s="16" t="str">
        <f aca="false">IFERROR(INDEX(Vendor_Master!$B$2:$B$41,MATCH(B809,Vendor_Master!$A$2:$A$41,0)),"Unknown Vendor")</f>
        <v>Montgomery, Hensley and Ray</v>
      </c>
      <c r="D809" s="18" t="n">
        <f aca="false">Vendor_Invoices_AP!E806</f>
        <v>816.48</v>
      </c>
      <c r="E809" s="16" t="n">
        <f aca="false">COUNTIF(Payment_Log_AP!$B$2:$B$753,A809)</f>
        <v>1</v>
      </c>
      <c r="F809" s="18" t="n">
        <f aca="false">SUMIFS(Payment_Log_AP!$E$2:$E$753,Payment_Log_AP!$B$2:$B$753,A809)</f>
        <v>816.48</v>
      </c>
      <c r="G809" s="18" t="n">
        <f aca="false">MAX(F809-D809,0)</f>
        <v>0</v>
      </c>
      <c r="H809" s="16" t="str">
        <f aca="false">IF(E809&gt;1,"DUPLICATE - Review",IF(G809&gt;Assumptions!$B$6,"OVERPAID - Review","OK"))</f>
        <v>OK</v>
      </c>
    </row>
    <row r="810" customFormat="false" ht="15" hidden="false" customHeight="false" outlineLevel="0" collapsed="false">
      <c r="A810" s="16" t="str">
        <f aca="false">Vendor_Invoices_AP!A807</f>
        <v>INV30806</v>
      </c>
      <c r="B810" s="16" t="str">
        <f aca="false">Vendor_Invoices_AP!C807</f>
        <v>V1002</v>
      </c>
      <c r="C810" s="16" t="str">
        <f aca="false">IFERROR(INDEX(Vendor_Master!$B$2:$B$41,MATCH(B810,Vendor_Master!$A$2:$A$41,0)),"Unknown Vendor")</f>
        <v>Garcia, Yang and Gardner</v>
      </c>
      <c r="D810" s="18" t="n">
        <f aca="false">Vendor_Invoices_AP!E807</f>
        <v>1016.58</v>
      </c>
      <c r="E810" s="16" t="n">
        <f aca="false">COUNTIF(Payment_Log_AP!$B$2:$B$753,A810)</f>
        <v>1</v>
      </c>
      <c r="F810" s="18" t="n">
        <f aca="false">SUMIFS(Payment_Log_AP!$E$2:$E$753,Payment_Log_AP!$B$2:$B$753,A810)</f>
        <v>1016.58</v>
      </c>
      <c r="G810" s="18" t="n">
        <f aca="false">MAX(F810-D810,0)</f>
        <v>0</v>
      </c>
      <c r="H810" s="16" t="str">
        <f aca="false">IF(E810&gt;1,"DUPLICATE - Review",IF(G810&gt;Assumptions!$B$6,"OVERPAID - Review","OK"))</f>
        <v>OK</v>
      </c>
    </row>
    <row r="811" customFormat="false" ht="15" hidden="false" customHeight="false" outlineLevel="0" collapsed="false">
      <c r="A811" s="16" t="str">
        <f aca="false">Vendor_Invoices_AP!A808</f>
        <v>INV30807</v>
      </c>
      <c r="B811" s="16" t="str">
        <f aca="false">Vendor_Invoices_AP!C808</f>
        <v>V1035</v>
      </c>
      <c r="C811" s="16" t="str">
        <f aca="false">IFERROR(INDEX(Vendor_Master!$B$2:$B$41,MATCH(B811,Vendor_Master!$A$2:$A$41,0)),"Unknown Vendor")</f>
        <v>Allen PLC</v>
      </c>
      <c r="D811" s="18" t="n">
        <f aca="false">Vendor_Invoices_AP!E808</f>
        <v>7498.53</v>
      </c>
      <c r="E811" s="16" t="n">
        <f aca="false">COUNTIF(Payment_Log_AP!$B$2:$B$753,A811)</f>
        <v>1</v>
      </c>
      <c r="F811" s="18" t="n">
        <f aca="false">SUMIFS(Payment_Log_AP!$E$2:$E$753,Payment_Log_AP!$B$2:$B$753,A811)</f>
        <v>7498.53</v>
      </c>
      <c r="G811" s="18" t="n">
        <f aca="false">MAX(F811-D811,0)</f>
        <v>0</v>
      </c>
      <c r="H811" s="16" t="str">
        <f aca="false">IF(E811&gt;1,"DUPLICATE - Review",IF(G811&gt;Assumptions!$B$6,"OVERPAID - Review","OK"))</f>
        <v>OK</v>
      </c>
    </row>
    <row r="812" customFormat="false" ht="15" hidden="false" customHeight="false" outlineLevel="0" collapsed="false">
      <c r="A812" s="16" t="str">
        <f aca="false">Vendor_Invoices_AP!A809</f>
        <v>INV30808</v>
      </c>
      <c r="B812" s="16" t="str">
        <f aca="false">Vendor_Invoices_AP!C809</f>
        <v>V1039</v>
      </c>
      <c r="C812" s="16" t="str">
        <f aca="false">IFERROR(INDEX(Vendor_Master!$B$2:$B$41,MATCH(B812,Vendor_Master!$A$2:$A$41,0)),"Unknown Vendor")</f>
        <v>Campos, Vaughn and Marquez</v>
      </c>
      <c r="D812" s="18" t="n">
        <f aca="false">Vendor_Invoices_AP!E809</f>
        <v>396.51</v>
      </c>
      <c r="E812" s="16" t="n">
        <f aca="false">COUNTIF(Payment_Log_AP!$B$2:$B$753,A812)</f>
        <v>1</v>
      </c>
      <c r="F812" s="18" t="n">
        <f aca="false">SUMIFS(Payment_Log_AP!$E$2:$E$753,Payment_Log_AP!$B$2:$B$753,A812)</f>
        <v>396.51</v>
      </c>
      <c r="G812" s="18" t="n">
        <f aca="false">MAX(F812-D812,0)</f>
        <v>0</v>
      </c>
      <c r="H812" s="16" t="str">
        <f aca="false">IF(E812&gt;1,"DUPLICATE - Review",IF(G812&gt;Assumptions!$B$6,"OVERPAID - Review","OK"))</f>
        <v>OK</v>
      </c>
    </row>
    <row r="813" customFormat="false" ht="15" hidden="false" customHeight="false" outlineLevel="0" collapsed="false">
      <c r="A813" s="16" t="str">
        <f aca="false">Vendor_Invoices_AP!A810</f>
        <v>INV30809</v>
      </c>
      <c r="B813" s="16" t="str">
        <f aca="false">Vendor_Invoices_AP!C810</f>
        <v>V1034</v>
      </c>
      <c r="C813" s="16" t="str">
        <f aca="false">IFERROR(INDEX(Vendor_Master!$B$2:$B$41,MATCH(B813,Vendor_Master!$A$2:$A$41,0)),"Unknown Vendor")</f>
        <v>Koch-Decker</v>
      </c>
      <c r="D813" s="18" t="n">
        <f aca="false">Vendor_Invoices_AP!E810</f>
        <v>200.9</v>
      </c>
      <c r="E813" s="16" t="n">
        <f aca="false">COUNTIF(Payment_Log_AP!$B$2:$B$753,A813)</f>
        <v>0</v>
      </c>
      <c r="F813" s="18" t="n">
        <f aca="false">SUMIFS(Payment_Log_AP!$E$2:$E$753,Payment_Log_AP!$B$2:$B$753,A813)</f>
        <v>0</v>
      </c>
      <c r="G813" s="18" t="n">
        <f aca="false">MAX(F813-D813,0)</f>
        <v>0</v>
      </c>
      <c r="H813" s="16" t="str">
        <f aca="false">IF(E813&gt;1,"DUPLICATE - Review",IF(G813&gt;Assumptions!$B$6,"OVERPAID - Review","OK"))</f>
        <v>OK</v>
      </c>
    </row>
    <row r="814" customFormat="false" ht="15" hidden="false" customHeight="false" outlineLevel="0" collapsed="false">
      <c r="A814" s="16" t="str">
        <f aca="false">Vendor_Invoices_AP!A811</f>
        <v>INV30810</v>
      </c>
      <c r="B814" s="16" t="str">
        <f aca="false">Vendor_Invoices_AP!C811</f>
        <v>V1004</v>
      </c>
      <c r="C814" s="16" t="str">
        <f aca="false">IFERROR(INDEX(Vendor_Master!$B$2:$B$41,MATCH(B814,Vendor_Master!$A$2:$A$41,0)),"Unknown Vendor")</f>
        <v>Johnson, Gonzalez and Santos</v>
      </c>
      <c r="D814" s="18" t="n">
        <f aca="false">Vendor_Invoices_AP!E811</f>
        <v>1497.3</v>
      </c>
      <c r="E814" s="16" t="n">
        <f aca="false">COUNTIF(Payment_Log_AP!$B$2:$B$753,A814)</f>
        <v>1</v>
      </c>
      <c r="F814" s="18" t="n">
        <f aca="false">SUMIFS(Payment_Log_AP!$E$2:$E$753,Payment_Log_AP!$B$2:$B$753,A814)</f>
        <v>1497.3</v>
      </c>
      <c r="G814" s="18" t="n">
        <f aca="false">MAX(F814-D814,0)</f>
        <v>0</v>
      </c>
      <c r="H814" s="16" t="str">
        <f aca="false">IF(E814&gt;1,"DUPLICATE - Review",IF(G814&gt;Assumptions!$B$6,"OVERPAID - Review","OK"))</f>
        <v>OK</v>
      </c>
    </row>
    <row r="815" customFormat="false" ht="15" hidden="false" customHeight="false" outlineLevel="0" collapsed="false">
      <c r="A815" s="16" t="str">
        <f aca="false">Vendor_Invoices_AP!A812</f>
        <v>INV30811</v>
      </c>
      <c r="B815" s="16" t="str">
        <f aca="false">Vendor_Invoices_AP!C812</f>
        <v>V1004</v>
      </c>
      <c r="C815" s="16" t="str">
        <f aca="false">IFERROR(INDEX(Vendor_Master!$B$2:$B$41,MATCH(B815,Vendor_Master!$A$2:$A$41,0)),"Unknown Vendor")</f>
        <v>Johnson, Gonzalez and Santos</v>
      </c>
      <c r="D815" s="18" t="n">
        <f aca="false">Vendor_Invoices_AP!E812</f>
        <v>2879.23</v>
      </c>
      <c r="E815" s="16" t="n">
        <f aca="false">COUNTIF(Payment_Log_AP!$B$2:$B$753,A815)</f>
        <v>0</v>
      </c>
      <c r="F815" s="18" t="n">
        <f aca="false">SUMIFS(Payment_Log_AP!$E$2:$E$753,Payment_Log_AP!$B$2:$B$753,A815)</f>
        <v>0</v>
      </c>
      <c r="G815" s="18" t="n">
        <f aca="false">MAX(F815-D815,0)</f>
        <v>0</v>
      </c>
      <c r="H815" s="16" t="str">
        <f aca="false">IF(E815&gt;1,"DUPLICATE - Review",IF(G815&gt;Assumptions!$B$6,"OVERPAID - Review","OK"))</f>
        <v>OK</v>
      </c>
    </row>
    <row r="816" customFormat="false" ht="15" hidden="false" customHeight="false" outlineLevel="0" collapsed="false">
      <c r="A816" s="16" t="str">
        <f aca="false">Vendor_Invoices_AP!A813</f>
        <v>INV30812</v>
      </c>
      <c r="B816" s="16" t="str">
        <f aca="false">Vendor_Invoices_AP!C813</f>
        <v>V1013</v>
      </c>
      <c r="C816" s="16" t="str">
        <f aca="false">IFERROR(INDEX(Vendor_Master!$B$2:$B$41,MATCH(B816,Vendor_Master!$A$2:$A$41,0)),"Unknown Vendor")</f>
        <v>Delacruz Group</v>
      </c>
      <c r="D816" s="18" t="n">
        <f aca="false">Vendor_Invoices_AP!E813</f>
        <v>2091.54</v>
      </c>
      <c r="E816" s="16" t="n">
        <f aca="false">COUNTIF(Payment_Log_AP!$B$2:$B$753,A816)</f>
        <v>1</v>
      </c>
      <c r="F816" s="18" t="n">
        <f aca="false">SUMIFS(Payment_Log_AP!$E$2:$E$753,Payment_Log_AP!$B$2:$B$753,A816)</f>
        <v>2091.54</v>
      </c>
      <c r="G816" s="18" t="n">
        <f aca="false">MAX(F816-D816,0)</f>
        <v>0</v>
      </c>
      <c r="H816" s="16" t="str">
        <f aca="false">IF(E816&gt;1,"DUPLICATE - Review",IF(G816&gt;Assumptions!$B$6,"OVERPAID - Review","OK"))</f>
        <v>OK</v>
      </c>
    </row>
    <row r="817" customFormat="false" ht="15" hidden="false" customHeight="false" outlineLevel="0" collapsed="false">
      <c r="A817" s="16" t="str">
        <f aca="false">Vendor_Invoices_AP!A814</f>
        <v>INV30813</v>
      </c>
      <c r="B817" s="16" t="str">
        <f aca="false">Vendor_Invoices_AP!C814</f>
        <v>V1013</v>
      </c>
      <c r="C817" s="16" t="str">
        <f aca="false">IFERROR(INDEX(Vendor_Master!$B$2:$B$41,MATCH(B817,Vendor_Master!$A$2:$A$41,0)),"Unknown Vendor")</f>
        <v>Delacruz Group</v>
      </c>
      <c r="D817" s="18" t="n">
        <f aca="false">Vendor_Invoices_AP!E814</f>
        <v>2091.54</v>
      </c>
      <c r="E817" s="16" t="n">
        <f aca="false">COUNTIF(Payment_Log_AP!$B$2:$B$753,A817)</f>
        <v>1</v>
      </c>
      <c r="F817" s="18" t="n">
        <f aca="false">SUMIFS(Payment_Log_AP!$E$2:$E$753,Payment_Log_AP!$B$2:$B$753,A817)</f>
        <v>2091.54</v>
      </c>
      <c r="G817" s="18" t="n">
        <f aca="false">MAX(F817-D817,0)</f>
        <v>0</v>
      </c>
      <c r="H817" s="16" t="str">
        <f aca="false">IF(E817&gt;1,"DUPLICATE - Review",IF(G817&gt;Assumptions!$B$6,"OVERPAID - Review","OK"))</f>
        <v>OK</v>
      </c>
    </row>
    <row r="818" customFormat="false" ht="15" hidden="false" customHeight="false" outlineLevel="0" collapsed="false">
      <c r="A818" s="16" t="str">
        <f aca="false">Vendor_Invoices_AP!A815</f>
        <v>INV30814</v>
      </c>
      <c r="B818" s="16" t="str">
        <f aca="false">Vendor_Invoices_AP!C815</f>
        <v>V1030</v>
      </c>
      <c r="C818" s="16" t="str">
        <f aca="false">IFERROR(INDEX(Vendor_Master!$B$2:$B$41,MATCH(B818,Vendor_Master!$A$2:$A$41,0)),"Unknown Vendor")</f>
        <v>Stanton-Gill</v>
      </c>
      <c r="D818" s="18" t="n">
        <f aca="false">Vendor_Invoices_AP!E815</f>
        <v>994.15</v>
      </c>
      <c r="E818" s="16" t="n">
        <f aca="false">COUNTIF(Payment_Log_AP!$B$2:$B$753,A818)</f>
        <v>1</v>
      </c>
      <c r="F818" s="18" t="n">
        <f aca="false">SUMIFS(Payment_Log_AP!$E$2:$E$753,Payment_Log_AP!$B$2:$B$753,A818)</f>
        <v>994.15</v>
      </c>
      <c r="G818" s="18" t="n">
        <f aca="false">MAX(F818-D818,0)</f>
        <v>0</v>
      </c>
      <c r="H818" s="16" t="str">
        <f aca="false">IF(E818&gt;1,"DUPLICATE - Review",IF(G818&gt;Assumptions!$B$6,"OVERPAID - Review","OK"))</f>
        <v>OK</v>
      </c>
    </row>
    <row r="819" customFormat="false" ht="15" hidden="false" customHeight="false" outlineLevel="0" collapsed="false">
      <c r="A819" s="16" t="str">
        <f aca="false">Vendor_Invoices_AP!A816</f>
        <v>INV30815</v>
      </c>
      <c r="B819" s="16" t="str">
        <f aca="false">Vendor_Invoices_AP!C816</f>
        <v>V1016</v>
      </c>
      <c r="C819" s="16" t="str">
        <f aca="false">IFERROR(INDEX(Vendor_Master!$B$2:$B$41,MATCH(B819,Vendor_Master!$A$2:$A$41,0)),"Unknown Vendor")</f>
        <v>Sanchez, Ford and Nelson</v>
      </c>
      <c r="D819" s="18" t="n">
        <f aca="false">Vendor_Invoices_AP!E816</f>
        <v>2802.36</v>
      </c>
      <c r="E819" s="16" t="n">
        <f aca="false">COUNTIF(Payment_Log_AP!$B$2:$B$753,A819)</f>
        <v>1</v>
      </c>
      <c r="F819" s="18" t="n">
        <f aca="false">SUMIFS(Payment_Log_AP!$E$2:$E$753,Payment_Log_AP!$B$2:$B$753,A819)</f>
        <v>2802.36</v>
      </c>
      <c r="G819" s="18" t="n">
        <f aca="false">MAX(F819-D819,0)</f>
        <v>0</v>
      </c>
      <c r="H819" s="16" t="str">
        <f aca="false">IF(E819&gt;1,"DUPLICATE - Review",IF(G819&gt;Assumptions!$B$6,"OVERPAID - Review","OK"))</f>
        <v>OK</v>
      </c>
    </row>
    <row r="820" customFormat="false" ht="15" hidden="false" customHeight="false" outlineLevel="0" collapsed="false">
      <c r="A820" s="16" t="str">
        <f aca="false">Vendor_Invoices_AP!A817</f>
        <v>INV30816</v>
      </c>
      <c r="B820" s="16" t="str">
        <f aca="false">Vendor_Invoices_AP!C817</f>
        <v>V1016</v>
      </c>
      <c r="C820" s="16" t="str">
        <f aca="false">IFERROR(INDEX(Vendor_Master!$B$2:$B$41,MATCH(B820,Vendor_Master!$A$2:$A$41,0)),"Unknown Vendor")</f>
        <v>Sanchez, Ford and Nelson</v>
      </c>
      <c r="D820" s="18" t="n">
        <f aca="false">Vendor_Invoices_AP!E817</f>
        <v>2802.36</v>
      </c>
      <c r="E820" s="16" t="n">
        <f aca="false">COUNTIF(Payment_Log_AP!$B$2:$B$753,A820)</f>
        <v>1</v>
      </c>
      <c r="F820" s="18" t="n">
        <f aca="false">SUMIFS(Payment_Log_AP!$E$2:$E$753,Payment_Log_AP!$B$2:$B$753,A820)</f>
        <v>2802.36</v>
      </c>
      <c r="G820" s="18" t="n">
        <f aca="false">MAX(F820-D820,0)</f>
        <v>0</v>
      </c>
      <c r="H820" s="16" t="str">
        <f aca="false">IF(E820&gt;1,"DUPLICATE - Review",IF(G820&gt;Assumptions!$B$6,"OVERPAID - Review","OK"))</f>
        <v>OK</v>
      </c>
    </row>
    <row r="821" customFormat="false" ht="15" hidden="false" customHeight="false" outlineLevel="0" collapsed="false">
      <c r="A821" s="16" t="str">
        <f aca="false">Vendor_Invoices_AP!A818</f>
        <v>INV30817</v>
      </c>
      <c r="B821" s="16" t="str">
        <f aca="false">Vendor_Invoices_AP!C818</f>
        <v>V1031</v>
      </c>
      <c r="C821" s="16" t="str">
        <f aca="false">IFERROR(INDEX(Vendor_Master!$B$2:$B$41,MATCH(B821,Vendor_Master!$A$2:$A$41,0)),"Unknown Vendor")</f>
        <v>Harrell LLC</v>
      </c>
      <c r="D821" s="18" t="n">
        <f aca="false">Vendor_Invoices_AP!E818</f>
        <v>851.07</v>
      </c>
      <c r="E821" s="16" t="n">
        <f aca="false">COUNTIF(Payment_Log_AP!$B$2:$B$753,A821)</f>
        <v>1</v>
      </c>
      <c r="F821" s="18" t="n">
        <f aca="false">SUMIFS(Payment_Log_AP!$E$2:$E$753,Payment_Log_AP!$B$2:$B$753,A821)</f>
        <v>851.07</v>
      </c>
      <c r="G821" s="18" t="n">
        <f aca="false">MAX(F821-D821,0)</f>
        <v>0</v>
      </c>
      <c r="H821" s="16" t="str">
        <f aca="false">IF(E821&gt;1,"DUPLICATE - Review",IF(G821&gt;Assumptions!$B$6,"OVERPAID - Review","OK"))</f>
        <v>OK</v>
      </c>
    </row>
    <row r="822" customFormat="false" ht="15" hidden="false" customHeight="false" outlineLevel="0" collapsed="false">
      <c r="A822" s="16" t="str">
        <f aca="false">Vendor_Invoices_AP!A819</f>
        <v>INV30818</v>
      </c>
      <c r="B822" s="16" t="str">
        <f aca="false">Vendor_Invoices_AP!C819</f>
        <v>V1037</v>
      </c>
      <c r="C822" s="16" t="str">
        <f aca="false">IFERROR(INDEX(Vendor_Master!$B$2:$B$41,MATCH(B822,Vendor_Master!$A$2:$A$41,0)),"Unknown Vendor")</f>
        <v>Cannon, Anderson and Alvarez</v>
      </c>
      <c r="D822" s="18" t="n">
        <f aca="false">Vendor_Invoices_AP!E819</f>
        <v>14407.31</v>
      </c>
      <c r="E822" s="16" t="n">
        <f aca="false">COUNTIF(Payment_Log_AP!$B$2:$B$753,A822)</f>
        <v>1</v>
      </c>
      <c r="F822" s="18" t="n">
        <f aca="false">SUMIFS(Payment_Log_AP!$E$2:$E$753,Payment_Log_AP!$B$2:$B$753,A822)</f>
        <v>14407.31</v>
      </c>
      <c r="G822" s="18" t="n">
        <f aca="false">MAX(F822-D822,0)</f>
        <v>0</v>
      </c>
      <c r="H822" s="16" t="str">
        <f aca="false">IF(E822&gt;1,"DUPLICATE - Review",IF(G822&gt;Assumptions!$B$6,"OVERPAID - Review","OK"))</f>
        <v>OK</v>
      </c>
    </row>
    <row r="823" customFormat="false" ht="15" hidden="false" customHeight="false" outlineLevel="0" collapsed="false">
      <c r="A823" s="16" t="str">
        <f aca="false">Vendor_Invoices_AP!A820</f>
        <v>INV30819</v>
      </c>
      <c r="B823" s="16" t="str">
        <f aca="false">Vendor_Invoices_AP!C820</f>
        <v>V1039</v>
      </c>
      <c r="C823" s="16" t="str">
        <f aca="false">IFERROR(INDEX(Vendor_Master!$B$2:$B$41,MATCH(B823,Vendor_Master!$A$2:$A$41,0)),"Unknown Vendor")</f>
        <v>Campos, Vaughn and Marquez</v>
      </c>
      <c r="D823" s="18" t="n">
        <f aca="false">Vendor_Invoices_AP!E820</f>
        <v>562.05</v>
      </c>
      <c r="E823" s="16" t="n">
        <f aca="false">COUNTIF(Payment_Log_AP!$B$2:$B$753,A823)</f>
        <v>1</v>
      </c>
      <c r="F823" s="18" t="n">
        <f aca="false">SUMIFS(Payment_Log_AP!$E$2:$E$753,Payment_Log_AP!$B$2:$B$753,A823)</f>
        <v>562.05</v>
      </c>
      <c r="G823" s="18" t="n">
        <f aca="false">MAX(F823-D823,0)</f>
        <v>0</v>
      </c>
      <c r="H823" s="16" t="str">
        <f aca="false">IF(E823&gt;1,"DUPLICATE - Review",IF(G823&gt;Assumptions!$B$6,"OVERPAID - Review","OK"))</f>
        <v>OK</v>
      </c>
    </row>
    <row r="824" customFormat="false" ht="15" hidden="false" customHeight="false" outlineLevel="0" collapsed="false">
      <c r="A824" s="16" t="str">
        <f aca="false">Vendor_Invoices_AP!A821</f>
        <v>INV30820</v>
      </c>
      <c r="B824" s="16" t="str">
        <f aca="false">Vendor_Invoices_AP!C821</f>
        <v>V1036</v>
      </c>
      <c r="C824" s="16" t="str">
        <f aca="false">IFERROR(INDEX(Vendor_Master!$B$2:$B$41,MATCH(B824,Vendor_Master!$A$2:$A$41,0)),"Unknown Vendor")</f>
        <v>Dennis Inc</v>
      </c>
      <c r="D824" s="18" t="n">
        <f aca="false">Vendor_Invoices_AP!E821</f>
        <v>4017.91</v>
      </c>
      <c r="E824" s="16" t="n">
        <f aca="false">COUNTIF(Payment_Log_AP!$B$2:$B$753,A824)</f>
        <v>1</v>
      </c>
      <c r="F824" s="18" t="n">
        <f aca="false">SUMIFS(Payment_Log_AP!$E$2:$E$753,Payment_Log_AP!$B$2:$B$753,A824)</f>
        <v>4017.91</v>
      </c>
      <c r="G824" s="18" t="n">
        <f aca="false">MAX(F824-D824,0)</f>
        <v>0</v>
      </c>
      <c r="H824" s="16" t="str">
        <f aca="false">IF(E824&gt;1,"DUPLICATE - Review",IF(G824&gt;Assumptions!$B$6,"OVERPAID - Review","OK"))</f>
        <v>OK</v>
      </c>
    </row>
    <row r="825" customFormat="false" ht="15" hidden="false" customHeight="false" outlineLevel="0" collapsed="false">
      <c r="A825" s="16" t="str">
        <f aca="false">Vendor_Invoices_AP!A822</f>
        <v>INV30821</v>
      </c>
      <c r="B825" s="16" t="str">
        <f aca="false">Vendor_Invoices_AP!C822</f>
        <v>V1031</v>
      </c>
      <c r="C825" s="16" t="str">
        <f aca="false">IFERROR(INDEX(Vendor_Master!$B$2:$B$41,MATCH(B825,Vendor_Master!$A$2:$A$41,0)),"Unknown Vendor")</f>
        <v>Harrell LLC</v>
      </c>
      <c r="D825" s="18" t="n">
        <f aca="false">Vendor_Invoices_AP!E822</f>
        <v>9338.22</v>
      </c>
      <c r="E825" s="16" t="n">
        <f aca="false">COUNTIF(Payment_Log_AP!$B$2:$B$753,A825)</f>
        <v>0</v>
      </c>
      <c r="F825" s="18" t="n">
        <f aca="false">SUMIFS(Payment_Log_AP!$E$2:$E$753,Payment_Log_AP!$B$2:$B$753,A825)</f>
        <v>0</v>
      </c>
      <c r="G825" s="18" t="n">
        <f aca="false">MAX(F825-D825,0)</f>
        <v>0</v>
      </c>
      <c r="H825" s="16" t="str">
        <f aca="false">IF(E825&gt;1,"DUPLICATE - Review",IF(G825&gt;Assumptions!$B$6,"OVERPAID - Review","OK"))</f>
        <v>OK</v>
      </c>
    </row>
    <row r="826" customFormat="false" ht="15" hidden="false" customHeight="false" outlineLevel="0" collapsed="false">
      <c r="A826" s="16" t="str">
        <f aca="false">Vendor_Invoices_AP!A823</f>
        <v>INV30822</v>
      </c>
      <c r="B826" s="16" t="str">
        <f aca="false">Vendor_Invoices_AP!C823</f>
        <v>V1028</v>
      </c>
      <c r="C826" s="16" t="str">
        <f aca="false">IFERROR(INDEX(Vendor_Master!$B$2:$B$41,MATCH(B826,Vendor_Master!$A$2:$A$41,0)),"Unknown Vendor")</f>
        <v>Potter, Mack and Peterson</v>
      </c>
      <c r="D826" s="18" t="n">
        <f aca="false">Vendor_Invoices_AP!E823</f>
        <v>474.6</v>
      </c>
      <c r="E826" s="16" t="n">
        <f aca="false">COUNTIF(Payment_Log_AP!$B$2:$B$753,A826)</f>
        <v>1</v>
      </c>
      <c r="F826" s="18" t="n">
        <f aca="false">SUMIFS(Payment_Log_AP!$E$2:$E$753,Payment_Log_AP!$B$2:$B$753,A826)</f>
        <v>474.6</v>
      </c>
      <c r="G826" s="18" t="n">
        <f aca="false">MAX(F826-D826,0)</f>
        <v>0</v>
      </c>
      <c r="H826" s="16" t="str">
        <f aca="false">IF(E826&gt;1,"DUPLICATE - Review",IF(G826&gt;Assumptions!$B$6,"OVERPAID - Review","OK"))</f>
        <v>OK</v>
      </c>
    </row>
    <row r="827" customFormat="false" ht="15" hidden="false" customHeight="false" outlineLevel="0" collapsed="false">
      <c r="A827" s="16" t="str">
        <f aca="false">Vendor_Invoices_AP!A824</f>
        <v>INV30823</v>
      </c>
      <c r="B827" s="16" t="str">
        <f aca="false">Vendor_Invoices_AP!C824</f>
        <v>V1023</v>
      </c>
      <c r="C827" s="16" t="str">
        <f aca="false">IFERROR(INDEX(Vendor_Master!$B$2:$B$41,MATCH(B827,Vendor_Master!$A$2:$A$41,0)),"Unknown Vendor")</f>
        <v>Robinson-Bright</v>
      </c>
      <c r="D827" s="18" t="n">
        <f aca="false">Vendor_Invoices_AP!E824</f>
        <v>857.39</v>
      </c>
      <c r="E827" s="16" t="n">
        <f aca="false">COUNTIF(Payment_Log_AP!$B$2:$B$753,A827)</f>
        <v>1</v>
      </c>
      <c r="F827" s="18" t="n">
        <f aca="false">SUMIFS(Payment_Log_AP!$E$2:$E$753,Payment_Log_AP!$B$2:$B$753,A827)</f>
        <v>857.39</v>
      </c>
      <c r="G827" s="18" t="n">
        <f aca="false">MAX(F827-D827,0)</f>
        <v>0</v>
      </c>
      <c r="H827" s="16" t="str">
        <f aca="false">IF(E827&gt;1,"DUPLICATE - Review",IF(G827&gt;Assumptions!$B$6,"OVERPAID - Review","OK"))</f>
        <v>OK</v>
      </c>
    </row>
    <row r="828" customFormat="false" ht="15" hidden="false" customHeight="false" outlineLevel="0" collapsed="false">
      <c r="A828" s="16" t="str">
        <f aca="false">Vendor_Invoices_AP!A825</f>
        <v>INV30824</v>
      </c>
      <c r="B828" s="16" t="str">
        <f aca="false">Vendor_Invoices_AP!C825</f>
        <v>V1003</v>
      </c>
      <c r="C828" s="16" t="str">
        <f aca="false">IFERROR(INDEX(Vendor_Master!$B$2:$B$41,MATCH(B828,Vendor_Master!$A$2:$A$41,0)),"Unknown Vendor")</f>
        <v>Johnson and Sons</v>
      </c>
      <c r="D828" s="18" t="n">
        <f aca="false">Vendor_Invoices_AP!E825</f>
        <v>8319.43</v>
      </c>
      <c r="E828" s="16" t="n">
        <f aca="false">COUNTIF(Payment_Log_AP!$B$2:$B$753,A828)</f>
        <v>1</v>
      </c>
      <c r="F828" s="18" t="n">
        <f aca="false">SUMIFS(Payment_Log_AP!$E$2:$E$753,Payment_Log_AP!$B$2:$B$753,A828)</f>
        <v>8319.43</v>
      </c>
      <c r="G828" s="18" t="n">
        <f aca="false">MAX(F828-D828,0)</f>
        <v>0</v>
      </c>
      <c r="H828" s="16" t="str">
        <f aca="false">IF(E828&gt;1,"DUPLICATE - Review",IF(G828&gt;Assumptions!$B$6,"OVERPAID - Review","OK"))</f>
        <v>OK</v>
      </c>
    </row>
    <row r="829" customFormat="false" ht="15" hidden="false" customHeight="false" outlineLevel="0" collapsed="false">
      <c r="A829" s="16" t="str">
        <f aca="false">Vendor_Invoices_AP!A826</f>
        <v>INV30825</v>
      </c>
      <c r="B829" s="16" t="str">
        <f aca="false">Vendor_Invoices_AP!C826</f>
        <v>V1030</v>
      </c>
      <c r="C829" s="16" t="str">
        <f aca="false">IFERROR(INDEX(Vendor_Master!$B$2:$B$41,MATCH(B829,Vendor_Master!$A$2:$A$41,0)),"Unknown Vendor")</f>
        <v>Stanton-Gill</v>
      </c>
      <c r="D829" s="18" t="n">
        <f aca="false">Vendor_Invoices_AP!E826</f>
        <v>259.66</v>
      </c>
      <c r="E829" s="16" t="n">
        <f aca="false">COUNTIF(Payment_Log_AP!$B$2:$B$753,A829)</f>
        <v>1</v>
      </c>
      <c r="F829" s="18" t="n">
        <f aca="false">SUMIFS(Payment_Log_AP!$E$2:$E$753,Payment_Log_AP!$B$2:$B$753,A829)</f>
        <v>259.66</v>
      </c>
      <c r="G829" s="18" t="n">
        <f aca="false">MAX(F829-D829,0)</f>
        <v>0</v>
      </c>
      <c r="H829" s="16" t="str">
        <f aca="false">IF(E829&gt;1,"DUPLICATE - Review",IF(G829&gt;Assumptions!$B$6,"OVERPAID - Review","OK"))</f>
        <v>OK</v>
      </c>
    </row>
    <row r="830" customFormat="false" ht="15" hidden="false" customHeight="false" outlineLevel="0" collapsed="false">
      <c r="A830" s="16" t="str">
        <f aca="false">Vendor_Invoices_AP!A827</f>
        <v>INV30826</v>
      </c>
      <c r="B830" s="16" t="str">
        <f aca="false">Vendor_Invoices_AP!C827</f>
        <v>V1025</v>
      </c>
      <c r="C830" s="16" t="str">
        <f aca="false">IFERROR(INDEX(Vendor_Master!$B$2:$B$41,MATCH(B830,Vendor_Master!$A$2:$A$41,0)),"Unknown Vendor")</f>
        <v>Conner Group</v>
      </c>
      <c r="D830" s="18" t="n">
        <f aca="false">Vendor_Invoices_AP!E827</f>
        <v>1164.71</v>
      </c>
      <c r="E830" s="16" t="n">
        <f aca="false">COUNTIF(Payment_Log_AP!$B$2:$B$753,A830)</f>
        <v>1</v>
      </c>
      <c r="F830" s="18" t="n">
        <f aca="false">SUMIFS(Payment_Log_AP!$E$2:$E$753,Payment_Log_AP!$B$2:$B$753,A830)</f>
        <v>1164.71</v>
      </c>
      <c r="G830" s="18" t="n">
        <f aca="false">MAX(F830-D830,0)</f>
        <v>0</v>
      </c>
      <c r="H830" s="16" t="str">
        <f aca="false">IF(E830&gt;1,"DUPLICATE - Review",IF(G830&gt;Assumptions!$B$6,"OVERPAID - Review","OK"))</f>
        <v>OK</v>
      </c>
    </row>
    <row r="831" customFormat="false" ht="15" hidden="false" customHeight="false" outlineLevel="0" collapsed="false">
      <c r="A831" s="16" t="str">
        <f aca="false">Vendor_Invoices_AP!A828</f>
        <v>INV30827</v>
      </c>
      <c r="B831" s="16" t="str">
        <f aca="false">Vendor_Invoices_AP!C828</f>
        <v>V1002</v>
      </c>
      <c r="C831" s="16" t="str">
        <f aca="false">IFERROR(INDEX(Vendor_Master!$B$2:$B$41,MATCH(B831,Vendor_Master!$A$2:$A$41,0)),"Unknown Vendor")</f>
        <v>Garcia, Yang and Gardner</v>
      </c>
      <c r="D831" s="18" t="n">
        <f aca="false">Vendor_Invoices_AP!E828</f>
        <v>820.16</v>
      </c>
      <c r="E831" s="16" t="n">
        <f aca="false">COUNTIF(Payment_Log_AP!$B$2:$B$753,A831)</f>
        <v>1</v>
      </c>
      <c r="F831" s="18" t="n">
        <f aca="false">SUMIFS(Payment_Log_AP!$E$2:$E$753,Payment_Log_AP!$B$2:$B$753,A831)</f>
        <v>820.16</v>
      </c>
      <c r="G831" s="18" t="n">
        <f aca="false">MAX(F831-D831,0)</f>
        <v>0</v>
      </c>
      <c r="H831" s="16" t="str">
        <f aca="false">IF(E831&gt;1,"DUPLICATE - Review",IF(G831&gt;Assumptions!$B$6,"OVERPAID - Review","OK"))</f>
        <v>OK</v>
      </c>
    </row>
    <row r="832" customFormat="false" ht="15" hidden="false" customHeight="false" outlineLevel="0" collapsed="false">
      <c r="A832" s="16" t="str">
        <f aca="false">Vendor_Invoices_AP!A829</f>
        <v>INV30828</v>
      </c>
      <c r="B832" s="16" t="str">
        <f aca="false">Vendor_Invoices_AP!C829</f>
        <v>V1030</v>
      </c>
      <c r="C832" s="16" t="str">
        <f aca="false">IFERROR(INDEX(Vendor_Master!$B$2:$B$41,MATCH(B832,Vendor_Master!$A$2:$A$41,0)),"Unknown Vendor")</f>
        <v>Stanton-Gill</v>
      </c>
      <c r="D832" s="18" t="n">
        <f aca="false">Vendor_Invoices_AP!E829</f>
        <v>309.11</v>
      </c>
      <c r="E832" s="16" t="n">
        <f aca="false">COUNTIF(Payment_Log_AP!$B$2:$B$753,A832)</f>
        <v>1</v>
      </c>
      <c r="F832" s="18" t="n">
        <f aca="false">SUMIFS(Payment_Log_AP!$E$2:$E$753,Payment_Log_AP!$B$2:$B$753,A832)</f>
        <v>309.11</v>
      </c>
      <c r="G832" s="18" t="n">
        <f aca="false">MAX(F832-D832,0)</f>
        <v>0</v>
      </c>
      <c r="H832" s="16" t="str">
        <f aca="false">IF(E832&gt;1,"DUPLICATE - Review",IF(G832&gt;Assumptions!$B$6,"OVERPAID - Review","OK"))</f>
        <v>OK</v>
      </c>
    </row>
    <row r="833" customFormat="false" ht="15" hidden="false" customHeight="false" outlineLevel="0" collapsed="false">
      <c r="A833" s="16" t="str">
        <f aca="false">Vendor_Invoices_AP!A830</f>
        <v>INV30829</v>
      </c>
      <c r="B833" s="16" t="str">
        <f aca="false">Vendor_Invoices_AP!C830</f>
        <v>V1024</v>
      </c>
      <c r="C833" s="16" t="str">
        <f aca="false">IFERROR(INDEX(Vendor_Master!$B$2:$B$41,MATCH(B833,Vendor_Master!$A$2:$A$41,0)),"Unknown Vendor")</f>
        <v>Campos Inc</v>
      </c>
      <c r="D833" s="18" t="n">
        <f aca="false">Vendor_Invoices_AP!E830</f>
        <v>1722.25</v>
      </c>
      <c r="E833" s="16" t="n">
        <f aca="false">COUNTIF(Payment_Log_AP!$B$2:$B$753,A833)</f>
        <v>1</v>
      </c>
      <c r="F833" s="18" t="n">
        <f aca="false">SUMIFS(Payment_Log_AP!$E$2:$E$753,Payment_Log_AP!$B$2:$B$753,A833)</f>
        <v>1722.25</v>
      </c>
      <c r="G833" s="18" t="n">
        <f aca="false">MAX(F833-D833,0)</f>
        <v>0</v>
      </c>
      <c r="H833" s="16" t="str">
        <f aca="false">IF(E833&gt;1,"DUPLICATE - Review",IF(G833&gt;Assumptions!$B$6,"OVERPAID - Review","OK"))</f>
        <v>OK</v>
      </c>
    </row>
    <row r="834" customFormat="false" ht="15" hidden="false" customHeight="false" outlineLevel="0" collapsed="false">
      <c r="A834" s="16" t="str">
        <f aca="false">Vendor_Invoices_AP!A831</f>
        <v>INV30830</v>
      </c>
      <c r="B834" s="16" t="str">
        <f aca="false">Vendor_Invoices_AP!C831</f>
        <v>V1004</v>
      </c>
      <c r="C834" s="16" t="str">
        <f aca="false">IFERROR(INDEX(Vendor_Master!$B$2:$B$41,MATCH(B834,Vendor_Master!$A$2:$A$41,0)),"Unknown Vendor")</f>
        <v>Johnson, Gonzalez and Santos</v>
      </c>
      <c r="D834" s="18" t="n">
        <f aca="false">Vendor_Invoices_AP!E831</f>
        <v>1834.48</v>
      </c>
      <c r="E834" s="16" t="n">
        <f aca="false">COUNTIF(Payment_Log_AP!$B$2:$B$753,A834)</f>
        <v>1</v>
      </c>
      <c r="F834" s="18" t="n">
        <f aca="false">SUMIFS(Payment_Log_AP!$E$2:$E$753,Payment_Log_AP!$B$2:$B$753,A834)</f>
        <v>1834.48</v>
      </c>
      <c r="G834" s="18" t="n">
        <f aca="false">MAX(F834-D834,0)</f>
        <v>0</v>
      </c>
      <c r="H834" s="16" t="str">
        <f aca="false">IF(E834&gt;1,"DUPLICATE - Review",IF(G834&gt;Assumptions!$B$6,"OVERPAID - Review","OK"))</f>
        <v>OK</v>
      </c>
    </row>
    <row r="835" customFormat="false" ht="15" hidden="false" customHeight="false" outlineLevel="0" collapsed="false">
      <c r="A835" s="16" t="str">
        <f aca="false">Vendor_Invoices_AP!A832</f>
        <v>INV30831</v>
      </c>
      <c r="B835" s="16" t="str">
        <f aca="false">Vendor_Invoices_AP!C832</f>
        <v>V1025</v>
      </c>
      <c r="C835" s="16" t="str">
        <f aca="false">IFERROR(INDEX(Vendor_Master!$B$2:$B$41,MATCH(B835,Vendor_Master!$A$2:$A$41,0)),"Unknown Vendor")</f>
        <v>Conner Group</v>
      </c>
      <c r="D835" s="18" t="n">
        <f aca="false">Vendor_Invoices_AP!E832</f>
        <v>2011.1</v>
      </c>
      <c r="E835" s="16" t="n">
        <f aca="false">COUNTIF(Payment_Log_AP!$B$2:$B$753,A835)</f>
        <v>0</v>
      </c>
      <c r="F835" s="18" t="n">
        <f aca="false">SUMIFS(Payment_Log_AP!$E$2:$E$753,Payment_Log_AP!$B$2:$B$753,A835)</f>
        <v>0</v>
      </c>
      <c r="G835" s="18" t="n">
        <f aca="false">MAX(F835-D835,0)</f>
        <v>0</v>
      </c>
      <c r="H835" s="16" t="str">
        <f aca="false">IF(E835&gt;1,"DUPLICATE - Review",IF(G835&gt;Assumptions!$B$6,"OVERPAID - Review","OK"))</f>
        <v>OK</v>
      </c>
    </row>
    <row r="836" customFormat="false" ht="15" hidden="false" customHeight="false" outlineLevel="0" collapsed="false">
      <c r="A836" s="16" t="str">
        <f aca="false">Vendor_Invoices_AP!A833</f>
        <v>INV30832</v>
      </c>
      <c r="B836" s="16" t="str">
        <f aca="false">Vendor_Invoices_AP!C833</f>
        <v>V1004</v>
      </c>
      <c r="C836" s="16" t="str">
        <f aca="false">IFERROR(INDEX(Vendor_Master!$B$2:$B$41,MATCH(B836,Vendor_Master!$A$2:$A$41,0)),"Unknown Vendor")</f>
        <v>Johnson, Gonzalez and Santos</v>
      </c>
      <c r="D836" s="18" t="n">
        <f aca="false">Vendor_Invoices_AP!E833</f>
        <v>1373.43</v>
      </c>
      <c r="E836" s="16" t="n">
        <f aca="false">COUNTIF(Payment_Log_AP!$B$2:$B$753,A836)</f>
        <v>0</v>
      </c>
      <c r="F836" s="18" t="n">
        <f aca="false">SUMIFS(Payment_Log_AP!$E$2:$E$753,Payment_Log_AP!$B$2:$B$753,A836)</f>
        <v>0</v>
      </c>
      <c r="G836" s="18" t="n">
        <f aca="false">MAX(F836-D836,0)</f>
        <v>0</v>
      </c>
      <c r="H836" s="16" t="str">
        <f aca="false">IF(E836&gt;1,"DUPLICATE - Review",IF(G836&gt;Assumptions!$B$6,"OVERPAID - Review","OK"))</f>
        <v>OK</v>
      </c>
    </row>
    <row r="837" customFormat="false" ht="15" hidden="false" customHeight="false" outlineLevel="0" collapsed="false">
      <c r="A837" s="16" t="str">
        <f aca="false">Vendor_Invoices_AP!A834</f>
        <v>INV30833</v>
      </c>
      <c r="B837" s="16" t="str">
        <f aca="false">Vendor_Invoices_AP!C834</f>
        <v>V1037</v>
      </c>
      <c r="C837" s="16" t="str">
        <f aca="false">IFERROR(INDEX(Vendor_Master!$B$2:$B$41,MATCH(B837,Vendor_Master!$A$2:$A$41,0)),"Unknown Vendor")</f>
        <v>Cannon, Anderson and Alvarez</v>
      </c>
      <c r="D837" s="18" t="n">
        <f aca="false">Vendor_Invoices_AP!E834</f>
        <v>2804.48</v>
      </c>
      <c r="E837" s="16" t="n">
        <f aca="false">COUNTIF(Payment_Log_AP!$B$2:$B$753,A837)</f>
        <v>1</v>
      </c>
      <c r="F837" s="18" t="n">
        <f aca="false">SUMIFS(Payment_Log_AP!$E$2:$E$753,Payment_Log_AP!$B$2:$B$753,A837)</f>
        <v>2804.48</v>
      </c>
      <c r="G837" s="18" t="n">
        <f aca="false">MAX(F837-D837,0)</f>
        <v>0</v>
      </c>
      <c r="H837" s="16" t="str">
        <f aca="false">IF(E837&gt;1,"DUPLICATE - Review",IF(G837&gt;Assumptions!$B$6,"OVERPAID - Review","OK"))</f>
        <v>OK</v>
      </c>
    </row>
    <row r="838" customFormat="false" ht="15" hidden="false" customHeight="false" outlineLevel="0" collapsed="false">
      <c r="A838" s="16" t="str">
        <f aca="false">Vendor_Invoices_AP!A835</f>
        <v>INV30834</v>
      </c>
      <c r="B838" s="16" t="str">
        <f aca="false">Vendor_Invoices_AP!C835</f>
        <v>V1036</v>
      </c>
      <c r="C838" s="16" t="str">
        <f aca="false">IFERROR(INDEX(Vendor_Master!$B$2:$B$41,MATCH(B838,Vendor_Master!$A$2:$A$41,0)),"Unknown Vendor")</f>
        <v>Dennis Inc</v>
      </c>
      <c r="D838" s="18" t="n">
        <f aca="false">Vendor_Invoices_AP!E835</f>
        <v>241.56</v>
      </c>
      <c r="E838" s="16" t="n">
        <f aca="false">COUNTIF(Payment_Log_AP!$B$2:$B$753,A838)</f>
        <v>1</v>
      </c>
      <c r="F838" s="18" t="n">
        <f aca="false">SUMIFS(Payment_Log_AP!$E$2:$E$753,Payment_Log_AP!$B$2:$B$753,A838)</f>
        <v>241.56</v>
      </c>
      <c r="G838" s="18" t="n">
        <f aca="false">MAX(F838-D838,0)</f>
        <v>0</v>
      </c>
      <c r="H838" s="16" t="str">
        <f aca="false">IF(E838&gt;1,"DUPLICATE - Review",IF(G838&gt;Assumptions!$B$6,"OVERPAID - Review","OK"))</f>
        <v>OK</v>
      </c>
    </row>
    <row r="839" customFormat="false" ht="15" hidden="false" customHeight="false" outlineLevel="0" collapsed="false">
      <c r="A839" s="16" t="str">
        <f aca="false">Vendor_Invoices_AP!A836</f>
        <v>INV30835</v>
      </c>
      <c r="B839" s="16" t="str">
        <f aca="false">Vendor_Invoices_AP!C836</f>
        <v>V1024</v>
      </c>
      <c r="C839" s="16" t="str">
        <f aca="false">IFERROR(INDEX(Vendor_Master!$B$2:$B$41,MATCH(B839,Vendor_Master!$A$2:$A$41,0)),"Unknown Vendor")</f>
        <v>Campos Inc</v>
      </c>
      <c r="D839" s="18" t="n">
        <f aca="false">Vendor_Invoices_AP!E836</f>
        <v>2328.97</v>
      </c>
      <c r="E839" s="16" t="n">
        <f aca="false">COUNTIF(Payment_Log_AP!$B$2:$B$753,A839)</f>
        <v>1</v>
      </c>
      <c r="F839" s="18" t="n">
        <f aca="false">SUMIFS(Payment_Log_AP!$E$2:$E$753,Payment_Log_AP!$B$2:$B$753,A839)</f>
        <v>2328.97</v>
      </c>
      <c r="G839" s="18" t="n">
        <f aca="false">MAX(F839-D839,0)</f>
        <v>0</v>
      </c>
      <c r="H839" s="16" t="str">
        <f aca="false">IF(E839&gt;1,"DUPLICATE - Review",IF(G839&gt;Assumptions!$B$6,"OVERPAID - Review","OK"))</f>
        <v>OK</v>
      </c>
    </row>
    <row r="840" customFormat="false" ht="15" hidden="false" customHeight="false" outlineLevel="0" collapsed="false">
      <c r="A840" s="16" t="str">
        <f aca="false">Vendor_Invoices_AP!A837</f>
        <v>INV30836</v>
      </c>
      <c r="B840" s="16" t="str">
        <f aca="false">Vendor_Invoices_AP!C837</f>
        <v>V1030</v>
      </c>
      <c r="C840" s="16" t="str">
        <f aca="false">IFERROR(INDEX(Vendor_Master!$B$2:$B$41,MATCH(B840,Vendor_Master!$A$2:$A$41,0)),"Unknown Vendor")</f>
        <v>Stanton-Gill</v>
      </c>
      <c r="D840" s="18" t="n">
        <f aca="false">Vendor_Invoices_AP!E837</f>
        <v>830.55</v>
      </c>
      <c r="E840" s="16" t="n">
        <f aca="false">COUNTIF(Payment_Log_AP!$B$2:$B$753,A840)</f>
        <v>1</v>
      </c>
      <c r="F840" s="18" t="n">
        <f aca="false">SUMIFS(Payment_Log_AP!$E$2:$E$753,Payment_Log_AP!$B$2:$B$753,A840)</f>
        <v>830.55</v>
      </c>
      <c r="G840" s="18" t="n">
        <f aca="false">MAX(F840-D840,0)</f>
        <v>0</v>
      </c>
      <c r="H840" s="16" t="str">
        <f aca="false">IF(E840&gt;1,"DUPLICATE - Review",IF(G840&gt;Assumptions!$B$6,"OVERPAID - Review","OK"))</f>
        <v>OK</v>
      </c>
    </row>
    <row r="841" customFormat="false" ht="15" hidden="false" customHeight="false" outlineLevel="0" collapsed="false">
      <c r="A841" s="16" t="str">
        <f aca="false">Vendor_Invoices_AP!A838</f>
        <v>INV30837</v>
      </c>
      <c r="B841" s="16" t="str">
        <f aca="false">Vendor_Invoices_AP!C838</f>
        <v>V1029</v>
      </c>
      <c r="C841" s="16" t="str">
        <f aca="false">IFERROR(INDEX(Vendor_Master!$B$2:$B$41,MATCH(B841,Vendor_Master!$A$2:$A$41,0)),"Unknown Vendor")</f>
        <v>Chavez Ltd</v>
      </c>
      <c r="D841" s="18" t="n">
        <f aca="false">Vendor_Invoices_AP!E838</f>
        <v>1962.84</v>
      </c>
      <c r="E841" s="16" t="n">
        <f aca="false">COUNTIF(Payment_Log_AP!$B$2:$B$753,A841)</f>
        <v>1</v>
      </c>
      <c r="F841" s="18" t="n">
        <f aca="false">SUMIFS(Payment_Log_AP!$E$2:$E$753,Payment_Log_AP!$B$2:$B$753,A841)</f>
        <v>1962.84</v>
      </c>
      <c r="G841" s="18" t="n">
        <f aca="false">MAX(F841-D841,0)</f>
        <v>0</v>
      </c>
      <c r="H841" s="16" t="str">
        <f aca="false">IF(E841&gt;1,"DUPLICATE - Review",IF(G841&gt;Assumptions!$B$6,"OVERPAID - Review","OK"))</f>
        <v>OK</v>
      </c>
    </row>
    <row r="842" customFormat="false" ht="15" hidden="false" customHeight="false" outlineLevel="0" collapsed="false">
      <c r="A842" s="16" t="str">
        <f aca="false">Vendor_Invoices_AP!A839</f>
        <v>INV30838</v>
      </c>
      <c r="B842" s="16" t="str">
        <f aca="false">Vendor_Invoices_AP!C839</f>
        <v>V1026</v>
      </c>
      <c r="C842" s="16" t="str">
        <f aca="false">IFERROR(INDEX(Vendor_Master!$B$2:$B$41,MATCH(B842,Vendor_Master!$A$2:$A$41,0)),"Unknown Vendor")</f>
        <v>James-Ferrell</v>
      </c>
      <c r="D842" s="18" t="n">
        <f aca="false">Vendor_Invoices_AP!E839</f>
        <v>254.85</v>
      </c>
      <c r="E842" s="16" t="n">
        <f aca="false">COUNTIF(Payment_Log_AP!$B$2:$B$753,A842)</f>
        <v>1</v>
      </c>
      <c r="F842" s="18" t="n">
        <f aca="false">SUMIFS(Payment_Log_AP!$E$2:$E$753,Payment_Log_AP!$B$2:$B$753,A842)</f>
        <v>254.85</v>
      </c>
      <c r="G842" s="18" t="n">
        <f aca="false">MAX(F842-D842,0)</f>
        <v>0</v>
      </c>
      <c r="H842" s="16" t="str">
        <f aca="false">IF(E842&gt;1,"DUPLICATE - Review",IF(G842&gt;Assumptions!$B$6,"OVERPAID - Review","OK"))</f>
        <v>OK</v>
      </c>
    </row>
    <row r="843" customFormat="false" ht="15" hidden="false" customHeight="false" outlineLevel="0" collapsed="false">
      <c r="A843" s="16" t="str">
        <f aca="false">Vendor_Invoices_AP!A840</f>
        <v>INV30839</v>
      </c>
      <c r="B843" s="16" t="str">
        <f aca="false">Vendor_Invoices_AP!C840</f>
        <v>V1038</v>
      </c>
      <c r="C843" s="16" t="str">
        <f aca="false">IFERROR(INDEX(Vendor_Master!$B$2:$B$41,MATCH(B843,Vendor_Master!$A$2:$A$41,0)),"Unknown Vendor")</f>
        <v>Rose-Obrien</v>
      </c>
      <c r="D843" s="18" t="n">
        <f aca="false">Vendor_Invoices_AP!E840</f>
        <v>2755.05</v>
      </c>
      <c r="E843" s="16" t="n">
        <f aca="false">COUNTIF(Payment_Log_AP!$B$2:$B$753,A843)</f>
        <v>0</v>
      </c>
      <c r="F843" s="18" t="n">
        <f aca="false">SUMIFS(Payment_Log_AP!$E$2:$E$753,Payment_Log_AP!$B$2:$B$753,A843)</f>
        <v>0</v>
      </c>
      <c r="G843" s="18" t="n">
        <f aca="false">MAX(F843-D843,0)</f>
        <v>0</v>
      </c>
      <c r="H843" s="16" t="str">
        <f aca="false">IF(E843&gt;1,"DUPLICATE - Review",IF(G843&gt;Assumptions!$B$6,"OVERPAID - Review","OK"))</f>
        <v>OK</v>
      </c>
    </row>
    <row r="844" customFormat="false" ht="15" hidden="false" customHeight="false" outlineLevel="0" collapsed="false">
      <c r="A844" s="16" t="str">
        <f aca="false">Vendor_Invoices_AP!A841</f>
        <v>INV30840</v>
      </c>
      <c r="B844" s="16" t="str">
        <f aca="false">Vendor_Invoices_AP!C841</f>
        <v>V1023</v>
      </c>
      <c r="C844" s="16" t="str">
        <f aca="false">IFERROR(INDEX(Vendor_Master!$B$2:$B$41,MATCH(B844,Vendor_Master!$A$2:$A$41,0)),"Unknown Vendor")</f>
        <v>Robinson-Bright</v>
      </c>
      <c r="D844" s="18" t="n">
        <f aca="false">Vendor_Invoices_AP!E841</f>
        <v>6224.71</v>
      </c>
      <c r="E844" s="16" t="n">
        <f aca="false">COUNTIF(Payment_Log_AP!$B$2:$B$753,A844)</f>
        <v>1</v>
      </c>
      <c r="F844" s="18" t="n">
        <f aca="false">SUMIFS(Payment_Log_AP!$E$2:$E$753,Payment_Log_AP!$B$2:$B$753,A844)</f>
        <v>6224.71</v>
      </c>
      <c r="G844" s="18" t="n">
        <f aca="false">MAX(F844-D844,0)</f>
        <v>0</v>
      </c>
      <c r="H844" s="16" t="str">
        <f aca="false">IF(E844&gt;1,"DUPLICATE - Review",IF(G844&gt;Assumptions!$B$6,"OVERPAID - Review","OK"))</f>
        <v>OK</v>
      </c>
    </row>
    <row r="845" customFormat="false" ht="15" hidden="false" customHeight="false" outlineLevel="0" collapsed="false">
      <c r="A845" s="16" t="str">
        <f aca="false">Vendor_Invoices_AP!A842</f>
        <v>INV30841</v>
      </c>
      <c r="B845" s="16" t="str">
        <f aca="false">Vendor_Invoices_AP!C842</f>
        <v>V1033</v>
      </c>
      <c r="C845" s="16" t="str">
        <f aca="false">IFERROR(INDEX(Vendor_Master!$B$2:$B$41,MATCH(B845,Vendor_Master!$A$2:$A$41,0)),"Unknown Vendor")</f>
        <v>Sellers, George and Burns</v>
      </c>
      <c r="D845" s="18" t="n">
        <f aca="false">Vendor_Invoices_AP!E842</f>
        <v>505.83</v>
      </c>
      <c r="E845" s="16" t="n">
        <f aca="false">COUNTIF(Payment_Log_AP!$B$2:$B$753,A845)</f>
        <v>1</v>
      </c>
      <c r="F845" s="18" t="n">
        <f aca="false">SUMIFS(Payment_Log_AP!$E$2:$E$753,Payment_Log_AP!$B$2:$B$753,A845)</f>
        <v>505.83</v>
      </c>
      <c r="G845" s="18" t="n">
        <f aca="false">MAX(F845-D845,0)</f>
        <v>0</v>
      </c>
      <c r="H845" s="16" t="str">
        <f aca="false">IF(E845&gt;1,"DUPLICATE - Review",IF(G845&gt;Assumptions!$B$6,"OVERPAID - Review","OK"))</f>
        <v>OK</v>
      </c>
    </row>
    <row r="846" customFormat="false" ht="15" hidden="false" customHeight="false" outlineLevel="0" collapsed="false">
      <c r="A846" s="16" t="str">
        <f aca="false">Vendor_Invoices_AP!A843</f>
        <v>INV30842</v>
      </c>
      <c r="B846" s="16" t="str">
        <f aca="false">Vendor_Invoices_AP!C843</f>
        <v>V1029</v>
      </c>
      <c r="C846" s="16" t="str">
        <f aca="false">IFERROR(INDEX(Vendor_Master!$B$2:$B$41,MATCH(B846,Vendor_Master!$A$2:$A$41,0)),"Unknown Vendor")</f>
        <v>Chavez Ltd</v>
      </c>
      <c r="D846" s="18" t="n">
        <f aca="false">Vendor_Invoices_AP!E843</f>
        <v>3028.33</v>
      </c>
      <c r="E846" s="16" t="n">
        <f aca="false">COUNTIF(Payment_Log_AP!$B$2:$B$753,A846)</f>
        <v>1</v>
      </c>
      <c r="F846" s="18" t="n">
        <f aca="false">SUMIFS(Payment_Log_AP!$E$2:$E$753,Payment_Log_AP!$B$2:$B$753,A846)</f>
        <v>3028.33</v>
      </c>
      <c r="G846" s="18" t="n">
        <f aca="false">MAX(F846-D846,0)</f>
        <v>0</v>
      </c>
      <c r="H846" s="16" t="str">
        <f aca="false">IF(E846&gt;1,"DUPLICATE - Review",IF(G846&gt;Assumptions!$B$6,"OVERPAID - Review","OK"))</f>
        <v>OK</v>
      </c>
    </row>
    <row r="847" customFormat="false" ht="15" hidden="false" customHeight="false" outlineLevel="0" collapsed="false">
      <c r="A847" s="16" t="str">
        <f aca="false">Vendor_Invoices_AP!A844</f>
        <v>INV30843</v>
      </c>
      <c r="B847" s="16" t="str">
        <f aca="false">Vendor_Invoices_AP!C844</f>
        <v>V1035</v>
      </c>
      <c r="C847" s="16" t="str">
        <f aca="false">IFERROR(INDEX(Vendor_Master!$B$2:$B$41,MATCH(B847,Vendor_Master!$A$2:$A$41,0)),"Unknown Vendor")</f>
        <v>Allen PLC</v>
      </c>
      <c r="D847" s="18" t="n">
        <f aca="false">Vendor_Invoices_AP!E844</f>
        <v>556.23</v>
      </c>
      <c r="E847" s="16" t="n">
        <f aca="false">COUNTIF(Payment_Log_AP!$B$2:$B$753,A847)</f>
        <v>1</v>
      </c>
      <c r="F847" s="18" t="n">
        <f aca="false">SUMIFS(Payment_Log_AP!$E$2:$E$753,Payment_Log_AP!$B$2:$B$753,A847)</f>
        <v>556.23</v>
      </c>
      <c r="G847" s="18" t="n">
        <f aca="false">MAX(F847-D847,0)</f>
        <v>0</v>
      </c>
      <c r="H847" s="16" t="str">
        <f aca="false">IF(E847&gt;1,"DUPLICATE - Review",IF(G847&gt;Assumptions!$B$6,"OVERPAID - Review","OK"))</f>
        <v>OK</v>
      </c>
    </row>
    <row r="848" customFormat="false" ht="15" hidden="false" customHeight="false" outlineLevel="0" collapsed="false">
      <c r="A848" s="16" t="str">
        <f aca="false">Vendor_Invoices_AP!A845</f>
        <v>INV30844</v>
      </c>
      <c r="B848" s="16" t="str">
        <f aca="false">Vendor_Invoices_AP!C845</f>
        <v>V1021</v>
      </c>
      <c r="C848" s="16" t="str">
        <f aca="false">IFERROR(INDEX(Vendor_Master!$B$2:$B$41,MATCH(B848,Vendor_Master!$A$2:$A$41,0)),"Unknown Vendor")</f>
        <v>Ellis, Baker and Wright</v>
      </c>
      <c r="D848" s="18" t="n">
        <f aca="false">Vendor_Invoices_AP!E845</f>
        <v>12577.38</v>
      </c>
      <c r="E848" s="16" t="n">
        <f aca="false">COUNTIF(Payment_Log_AP!$B$2:$B$753,A848)</f>
        <v>1</v>
      </c>
      <c r="F848" s="18" t="n">
        <f aca="false">SUMIFS(Payment_Log_AP!$E$2:$E$753,Payment_Log_AP!$B$2:$B$753,A848)</f>
        <v>12577.38</v>
      </c>
      <c r="G848" s="18" t="n">
        <f aca="false">MAX(F848-D848,0)</f>
        <v>0</v>
      </c>
      <c r="H848" s="16" t="str">
        <f aca="false">IF(E848&gt;1,"DUPLICATE - Review",IF(G848&gt;Assumptions!$B$6,"OVERPAID - Review","OK"))</f>
        <v>OK</v>
      </c>
    </row>
    <row r="849" customFormat="false" ht="15" hidden="false" customHeight="false" outlineLevel="0" collapsed="false">
      <c r="A849" s="16" t="str">
        <f aca="false">Vendor_Invoices_AP!A846</f>
        <v>INV30845</v>
      </c>
      <c r="B849" s="16" t="str">
        <f aca="false">Vendor_Invoices_AP!C846</f>
        <v>V1036</v>
      </c>
      <c r="C849" s="16" t="str">
        <f aca="false">IFERROR(INDEX(Vendor_Master!$B$2:$B$41,MATCH(B849,Vendor_Master!$A$2:$A$41,0)),"Unknown Vendor")</f>
        <v>Dennis Inc</v>
      </c>
      <c r="D849" s="18" t="n">
        <f aca="false">Vendor_Invoices_AP!E846</f>
        <v>5102.06</v>
      </c>
      <c r="E849" s="16" t="n">
        <f aca="false">COUNTIF(Payment_Log_AP!$B$2:$B$753,A849)</f>
        <v>0</v>
      </c>
      <c r="F849" s="18" t="n">
        <f aca="false">SUMIFS(Payment_Log_AP!$E$2:$E$753,Payment_Log_AP!$B$2:$B$753,A849)</f>
        <v>0</v>
      </c>
      <c r="G849" s="18" t="n">
        <f aca="false">MAX(F849-D849,0)</f>
        <v>0</v>
      </c>
      <c r="H849" s="16" t="str">
        <f aca="false">IF(E849&gt;1,"DUPLICATE - Review",IF(G849&gt;Assumptions!$B$6,"OVERPAID - Review","OK"))</f>
        <v>OK</v>
      </c>
    </row>
    <row r="850" customFormat="false" ht="15" hidden="false" customHeight="false" outlineLevel="0" collapsed="false">
      <c r="A850" s="16" t="str">
        <f aca="false">Vendor_Invoices_AP!A847</f>
        <v>INV30846</v>
      </c>
      <c r="B850" s="16" t="str">
        <f aca="false">Vendor_Invoices_AP!C847</f>
        <v>V1031</v>
      </c>
      <c r="C850" s="16" t="str">
        <f aca="false">IFERROR(INDEX(Vendor_Master!$B$2:$B$41,MATCH(B850,Vendor_Master!$A$2:$A$41,0)),"Unknown Vendor")</f>
        <v>Harrell LLC</v>
      </c>
      <c r="D850" s="18" t="n">
        <f aca="false">Vendor_Invoices_AP!E847</f>
        <v>854.6</v>
      </c>
      <c r="E850" s="16" t="n">
        <f aca="false">COUNTIF(Payment_Log_AP!$B$2:$B$753,A850)</f>
        <v>0</v>
      </c>
      <c r="F850" s="18" t="n">
        <f aca="false">SUMIFS(Payment_Log_AP!$E$2:$E$753,Payment_Log_AP!$B$2:$B$753,A850)</f>
        <v>0</v>
      </c>
      <c r="G850" s="18" t="n">
        <f aca="false">MAX(F850-D850,0)</f>
        <v>0</v>
      </c>
      <c r="H850" s="16" t="str">
        <f aca="false">IF(E850&gt;1,"DUPLICATE - Review",IF(G850&gt;Assumptions!$B$6,"OVERPAID - Review","OK"))</f>
        <v>OK</v>
      </c>
    </row>
    <row r="851" customFormat="false" ht="15" hidden="false" customHeight="false" outlineLevel="0" collapsed="false">
      <c r="A851" s="16" t="str">
        <f aca="false">Vendor_Invoices_AP!A848</f>
        <v>INV30847</v>
      </c>
      <c r="B851" s="16" t="str">
        <f aca="false">Vendor_Invoices_AP!C848</f>
        <v>V1040</v>
      </c>
      <c r="C851" s="16" t="str">
        <f aca="false">IFERROR(INDEX(Vendor_Master!$B$2:$B$41,MATCH(B851,Vendor_Master!$A$2:$A$41,0)),"Unknown Vendor")</f>
        <v>Santos, Kim and Holmes</v>
      </c>
      <c r="D851" s="18" t="n">
        <f aca="false">Vendor_Invoices_AP!E848</f>
        <v>1844.19</v>
      </c>
      <c r="E851" s="16" t="n">
        <f aca="false">COUNTIF(Payment_Log_AP!$B$2:$B$753,A851)</f>
        <v>1</v>
      </c>
      <c r="F851" s="18" t="n">
        <f aca="false">SUMIFS(Payment_Log_AP!$E$2:$E$753,Payment_Log_AP!$B$2:$B$753,A851)</f>
        <v>1844.19</v>
      </c>
      <c r="G851" s="18" t="n">
        <f aca="false">MAX(F851-D851,0)</f>
        <v>0</v>
      </c>
      <c r="H851" s="16" t="str">
        <f aca="false">IF(E851&gt;1,"DUPLICATE - Review",IF(G851&gt;Assumptions!$B$6,"OVERPAID - Review","OK"))</f>
        <v>OK</v>
      </c>
    </row>
    <row r="852" customFormat="false" ht="15" hidden="false" customHeight="false" outlineLevel="0" collapsed="false">
      <c r="A852" s="16" t="str">
        <f aca="false">Vendor_Invoices_AP!A849</f>
        <v>INV30848</v>
      </c>
      <c r="B852" s="16" t="str">
        <f aca="false">Vendor_Invoices_AP!C849</f>
        <v>V1016</v>
      </c>
      <c r="C852" s="16" t="str">
        <f aca="false">IFERROR(INDEX(Vendor_Master!$B$2:$B$41,MATCH(B852,Vendor_Master!$A$2:$A$41,0)),"Unknown Vendor")</f>
        <v>Sanchez, Ford and Nelson</v>
      </c>
      <c r="D852" s="18" t="n">
        <f aca="false">Vendor_Invoices_AP!E849</f>
        <v>2123.23</v>
      </c>
      <c r="E852" s="16" t="n">
        <f aca="false">COUNTIF(Payment_Log_AP!$B$2:$B$753,A852)</f>
        <v>1</v>
      </c>
      <c r="F852" s="18" t="n">
        <f aca="false">SUMIFS(Payment_Log_AP!$E$2:$E$753,Payment_Log_AP!$B$2:$B$753,A852)</f>
        <v>2123.23</v>
      </c>
      <c r="G852" s="18" t="n">
        <f aca="false">MAX(F852-D852,0)</f>
        <v>0</v>
      </c>
      <c r="H852" s="16" t="str">
        <f aca="false">IF(E852&gt;1,"DUPLICATE - Review",IF(G852&gt;Assumptions!$B$6,"OVERPAID - Review","OK"))</f>
        <v>OK</v>
      </c>
    </row>
    <row r="853" customFormat="false" ht="15" hidden="false" customHeight="false" outlineLevel="0" collapsed="false">
      <c r="A853" s="16" t="str">
        <f aca="false">Vendor_Invoices_AP!A850</f>
        <v>INV30849</v>
      </c>
      <c r="B853" s="16" t="str">
        <f aca="false">Vendor_Invoices_AP!C850</f>
        <v>V1017</v>
      </c>
      <c r="C853" s="16" t="str">
        <f aca="false">IFERROR(INDEX(Vendor_Master!$B$2:$B$41,MATCH(B853,Vendor_Master!$A$2:$A$41,0)),"Unknown Vendor")</f>
        <v>Hawkins, Cohen and Cameron</v>
      </c>
      <c r="D853" s="18" t="n">
        <f aca="false">Vendor_Invoices_AP!E850</f>
        <v>424.45</v>
      </c>
      <c r="E853" s="16" t="n">
        <f aca="false">COUNTIF(Payment_Log_AP!$B$2:$B$753,A853)</f>
        <v>1</v>
      </c>
      <c r="F853" s="18" t="n">
        <f aca="false">SUMIFS(Payment_Log_AP!$E$2:$E$753,Payment_Log_AP!$B$2:$B$753,A853)</f>
        <v>424.45</v>
      </c>
      <c r="G853" s="18" t="n">
        <f aca="false">MAX(F853-D853,0)</f>
        <v>0</v>
      </c>
      <c r="H853" s="16" t="str">
        <f aca="false">IF(E853&gt;1,"DUPLICATE - Review",IF(G853&gt;Assumptions!$B$6,"OVERPAID - Review","OK"))</f>
        <v>OK</v>
      </c>
    </row>
    <row r="854" customFormat="false" ht="15" hidden="false" customHeight="false" outlineLevel="0" collapsed="false">
      <c r="A854" s="16" t="str">
        <f aca="false">Vendor_Invoices_AP!A851</f>
        <v>INV30850</v>
      </c>
      <c r="B854" s="16" t="str">
        <f aca="false">Vendor_Invoices_AP!C851</f>
        <v>V1006</v>
      </c>
      <c r="C854" s="16" t="str">
        <f aca="false">IFERROR(INDEX(Vendor_Master!$B$2:$B$41,MATCH(B854,Vendor_Master!$A$2:$A$41,0)),"Unknown Vendor")</f>
        <v>Blake and Sons</v>
      </c>
      <c r="D854" s="18" t="n">
        <f aca="false">Vendor_Invoices_AP!E851</f>
        <v>751.88</v>
      </c>
      <c r="E854" s="16" t="n">
        <f aca="false">COUNTIF(Payment_Log_AP!$B$2:$B$753,A854)</f>
        <v>1</v>
      </c>
      <c r="F854" s="18" t="n">
        <f aca="false">SUMIFS(Payment_Log_AP!$E$2:$E$753,Payment_Log_AP!$B$2:$B$753,A854)</f>
        <v>751.88</v>
      </c>
      <c r="G854" s="18" t="n">
        <f aca="false">MAX(F854-D854,0)</f>
        <v>0</v>
      </c>
      <c r="H854" s="16" t="str">
        <f aca="false">IF(E854&gt;1,"DUPLICATE - Review",IF(G854&gt;Assumptions!$B$6,"OVERPAID - Review","OK"))</f>
        <v>OK</v>
      </c>
    </row>
    <row r="855" customFormat="false" ht="15" hidden="false" customHeight="false" outlineLevel="0" collapsed="false">
      <c r="A855" s="16" t="str">
        <f aca="false">Vendor_Invoices_AP!A852</f>
        <v>INV30851</v>
      </c>
      <c r="B855" s="16" t="str">
        <f aca="false">Vendor_Invoices_AP!C852</f>
        <v>V1026</v>
      </c>
      <c r="C855" s="16" t="str">
        <f aca="false">IFERROR(INDEX(Vendor_Master!$B$2:$B$41,MATCH(B855,Vendor_Master!$A$2:$A$41,0)),"Unknown Vendor")</f>
        <v>James-Ferrell</v>
      </c>
      <c r="D855" s="18" t="n">
        <f aca="false">Vendor_Invoices_AP!E852</f>
        <v>2408.48</v>
      </c>
      <c r="E855" s="16" t="n">
        <f aca="false">COUNTIF(Payment_Log_AP!$B$2:$B$753,A855)</f>
        <v>1</v>
      </c>
      <c r="F855" s="18" t="n">
        <f aca="false">SUMIFS(Payment_Log_AP!$E$2:$E$753,Payment_Log_AP!$B$2:$B$753,A855)</f>
        <v>2408.48</v>
      </c>
      <c r="G855" s="18" t="n">
        <f aca="false">MAX(F855-D855,0)</f>
        <v>0</v>
      </c>
      <c r="H855" s="16" t="str">
        <f aca="false">IF(E855&gt;1,"DUPLICATE - Review",IF(G855&gt;Assumptions!$B$6,"OVERPAID - Review","OK"))</f>
        <v>OK</v>
      </c>
    </row>
    <row r="856" customFormat="false" ht="15" hidden="false" customHeight="false" outlineLevel="0" collapsed="false">
      <c r="A856" s="16" t="str">
        <f aca="false">Vendor_Invoices_AP!A853</f>
        <v>INV30852</v>
      </c>
      <c r="B856" s="16" t="str">
        <f aca="false">Vendor_Invoices_AP!C853</f>
        <v>V1025</v>
      </c>
      <c r="C856" s="16" t="str">
        <f aca="false">IFERROR(INDEX(Vendor_Master!$B$2:$B$41,MATCH(B856,Vendor_Master!$A$2:$A$41,0)),"Unknown Vendor")</f>
        <v>Conner Group</v>
      </c>
      <c r="D856" s="18" t="n">
        <f aca="false">Vendor_Invoices_AP!E853</f>
        <v>197.82</v>
      </c>
      <c r="E856" s="16" t="n">
        <f aca="false">COUNTIF(Payment_Log_AP!$B$2:$B$753,A856)</f>
        <v>1</v>
      </c>
      <c r="F856" s="18" t="n">
        <f aca="false">SUMIFS(Payment_Log_AP!$E$2:$E$753,Payment_Log_AP!$B$2:$B$753,A856)</f>
        <v>197.82</v>
      </c>
      <c r="G856" s="18" t="n">
        <f aca="false">MAX(F856-D856,0)</f>
        <v>0</v>
      </c>
      <c r="H856" s="16" t="str">
        <f aca="false">IF(E856&gt;1,"DUPLICATE - Review",IF(G856&gt;Assumptions!$B$6,"OVERPAID - Review","OK"))</f>
        <v>OK</v>
      </c>
    </row>
    <row r="857" customFormat="false" ht="15" hidden="false" customHeight="false" outlineLevel="0" collapsed="false">
      <c r="A857" s="16" t="str">
        <f aca="false">Vendor_Invoices_AP!A854</f>
        <v>INV30853</v>
      </c>
      <c r="B857" s="16" t="str">
        <f aca="false">Vendor_Invoices_AP!C854</f>
        <v>V1014</v>
      </c>
      <c r="C857" s="16" t="str">
        <f aca="false">IFERROR(INDEX(Vendor_Master!$B$2:$B$41,MATCH(B857,Vendor_Master!$A$2:$A$41,0)),"Unknown Vendor")</f>
        <v>Flowers, Martin and Kelly</v>
      </c>
      <c r="D857" s="18" t="n">
        <f aca="false">Vendor_Invoices_AP!E854</f>
        <v>5024.64</v>
      </c>
      <c r="E857" s="16" t="n">
        <f aca="false">COUNTIF(Payment_Log_AP!$B$2:$B$753,A857)</f>
        <v>1</v>
      </c>
      <c r="F857" s="18" t="n">
        <f aca="false">SUMIFS(Payment_Log_AP!$E$2:$E$753,Payment_Log_AP!$B$2:$B$753,A857)</f>
        <v>5024.64</v>
      </c>
      <c r="G857" s="18" t="n">
        <f aca="false">MAX(F857-D857,0)</f>
        <v>0</v>
      </c>
      <c r="H857" s="16" t="str">
        <f aca="false">IF(E857&gt;1,"DUPLICATE - Review",IF(G857&gt;Assumptions!$B$6,"OVERPAID - Review","OK"))</f>
        <v>OK</v>
      </c>
    </row>
    <row r="858" customFormat="false" ht="15" hidden="false" customHeight="false" outlineLevel="0" collapsed="false">
      <c r="A858" s="16" t="str">
        <f aca="false">Vendor_Invoices_AP!A855</f>
        <v>INV30854</v>
      </c>
      <c r="B858" s="16" t="str">
        <f aca="false">Vendor_Invoices_AP!C855</f>
        <v>V1014</v>
      </c>
      <c r="C858" s="16" t="str">
        <f aca="false">IFERROR(INDEX(Vendor_Master!$B$2:$B$41,MATCH(B858,Vendor_Master!$A$2:$A$41,0)),"Unknown Vendor")</f>
        <v>Flowers, Martin and Kelly</v>
      </c>
      <c r="D858" s="18" t="n">
        <f aca="false">Vendor_Invoices_AP!E855</f>
        <v>5024.64</v>
      </c>
      <c r="E858" s="16" t="n">
        <f aca="false">COUNTIF(Payment_Log_AP!$B$2:$B$753,A858)</f>
        <v>1</v>
      </c>
      <c r="F858" s="18" t="n">
        <f aca="false">SUMIFS(Payment_Log_AP!$E$2:$E$753,Payment_Log_AP!$B$2:$B$753,A858)</f>
        <v>5024.64</v>
      </c>
      <c r="G858" s="18" t="n">
        <f aca="false">MAX(F858-D858,0)</f>
        <v>0</v>
      </c>
      <c r="H858" s="16" t="str">
        <f aca="false">IF(E858&gt;1,"DUPLICATE - Review",IF(G858&gt;Assumptions!$B$6,"OVERPAID - Review","OK"))</f>
        <v>OK</v>
      </c>
    </row>
    <row r="859" customFormat="false" ht="15" hidden="false" customHeight="false" outlineLevel="0" collapsed="false">
      <c r="A859" s="16" t="str">
        <f aca="false">Vendor_Invoices_AP!A856</f>
        <v>INV30855</v>
      </c>
      <c r="B859" s="16" t="str">
        <f aca="false">Vendor_Invoices_AP!C856</f>
        <v>V1034</v>
      </c>
      <c r="C859" s="16" t="str">
        <f aca="false">IFERROR(INDEX(Vendor_Master!$B$2:$B$41,MATCH(B859,Vendor_Master!$A$2:$A$41,0)),"Unknown Vendor")</f>
        <v>Koch-Decker</v>
      </c>
      <c r="D859" s="18" t="n">
        <f aca="false">Vendor_Invoices_AP!E856</f>
        <v>4289.12</v>
      </c>
      <c r="E859" s="16" t="n">
        <f aca="false">COUNTIF(Payment_Log_AP!$B$2:$B$753,A859)</f>
        <v>1</v>
      </c>
      <c r="F859" s="18" t="n">
        <f aca="false">SUMIFS(Payment_Log_AP!$E$2:$E$753,Payment_Log_AP!$B$2:$B$753,A859)</f>
        <v>4289.12</v>
      </c>
      <c r="G859" s="18" t="n">
        <f aca="false">MAX(F859-D859,0)</f>
        <v>0</v>
      </c>
      <c r="H859" s="16" t="str">
        <f aca="false">IF(E859&gt;1,"DUPLICATE - Review",IF(G859&gt;Assumptions!$B$6,"OVERPAID - Review","OK"))</f>
        <v>OK</v>
      </c>
    </row>
    <row r="860" customFormat="false" ht="15" hidden="false" customHeight="false" outlineLevel="0" collapsed="false">
      <c r="A860" s="16" t="str">
        <f aca="false">Vendor_Invoices_AP!A857</f>
        <v>INV30856</v>
      </c>
      <c r="B860" s="16" t="str">
        <f aca="false">Vendor_Invoices_AP!C857</f>
        <v>V1002</v>
      </c>
      <c r="C860" s="16" t="str">
        <f aca="false">IFERROR(INDEX(Vendor_Master!$B$2:$B$41,MATCH(B860,Vendor_Master!$A$2:$A$41,0)),"Unknown Vendor")</f>
        <v>Garcia, Yang and Gardner</v>
      </c>
      <c r="D860" s="18" t="n">
        <f aca="false">Vendor_Invoices_AP!E857</f>
        <v>264.62</v>
      </c>
      <c r="E860" s="16" t="n">
        <f aca="false">COUNTIF(Payment_Log_AP!$B$2:$B$753,A860)</f>
        <v>1</v>
      </c>
      <c r="F860" s="18" t="n">
        <f aca="false">SUMIFS(Payment_Log_AP!$E$2:$E$753,Payment_Log_AP!$B$2:$B$753,A860)</f>
        <v>264.62</v>
      </c>
      <c r="G860" s="18" t="n">
        <f aca="false">MAX(F860-D860,0)</f>
        <v>0</v>
      </c>
      <c r="H860" s="16" t="str">
        <f aca="false">IF(E860&gt;1,"DUPLICATE - Review",IF(G860&gt;Assumptions!$B$6,"OVERPAID - Review","OK"))</f>
        <v>OK</v>
      </c>
    </row>
    <row r="861" customFormat="false" ht="15" hidden="false" customHeight="false" outlineLevel="0" collapsed="false">
      <c r="A861" s="16" t="str">
        <f aca="false">Vendor_Invoices_AP!A858</f>
        <v>INV30857</v>
      </c>
      <c r="B861" s="16" t="str">
        <f aca="false">Vendor_Invoices_AP!C858</f>
        <v>V1002</v>
      </c>
      <c r="C861" s="16" t="str">
        <f aca="false">IFERROR(INDEX(Vendor_Master!$B$2:$B$41,MATCH(B861,Vendor_Master!$A$2:$A$41,0)),"Unknown Vendor")</f>
        <v>Garcia, Yang and Gardner</v>
      </c>
      <c r="D861" s="18" t="n">
        <f aca="false">Vendor_Invoices_AP!E858</f>
        <v>18783.05</v>
      </c>
      <c r="E861" s="16" t="n">
        <f aca="false">COUNTIF(Payment_Log_AP!$B$2:$B$753,A861)</f>
        <v>1</v>
      </c>
      <c r="F861" s="18" t="n">
        <f aca="false">SUMIFS(Payment_Log_AP!$E$2:$E$753,Payment_Log_AP!$B$2:$B$753,A861)</f>
        <v>18783.05</v>
      </c>
      <c r="G861" s="18" t="n">
        <f aca="false">MAX(F861-D861,0)</f>
        <v>0</v>
      </c>
      <c r="H861" s="16" t="str">
        <f aca="false">IF(E861&gt;1,"DUPLICATE - Review",IF(G861&gt;Assumptions!$B$6,"OVERPAID - Review","OK"))</f>
        <v>OK</v>
      </c>
    </row>
    <row r="862" customFormat="false" ht="15" hidden="false" customHeight="false" outlineLevel="0" collapsed="false">
      <c r="A862" s="16" t="str">
        <f aca="false">Vendor_Invoices_AP!A859</f>
        <v>INV30858</v>
      </c>
      <c r="B862" s="16" t="str">
        <f aca="false">Vendor_Invoices_AP!C859</f>
        <v>V1031</v>
      </c>
      <c r="C862" s="16" t="str">
        <f aca="false">IFERROR(INDEX(Vendor_Master!$B$2:$B$41,MATCH(B862,Vendor_Master!$A$2:$A$41,0)),"Unknown Vendor")</f>
        <v>Harrell LLC</v>
      </c>
      <c r="D862" s="18" t="n">
        <f aca="false">Vendor_Invoices_AP!E859</f>
        <v>796.83</v>
      </c>
      <c r="E862" s="16" t="n">
        <f aca="false">COUNTIF(Payment_Log_AP!$B$2:$B$753,A862)</f>
        <v>1</v>
      </c>
      <c r="F862" s="18" t="n">
        <f aca="false">SUMIFS(Payment_Log_AP!$E$2:$E$753,Payment_Log_AP!$B$2:$B$753,A862)</f>
        <v>796.83</v>
      </c>
      <c r="G862" s="18" t="n">
        <f aca="false">MAX(F862-D862,0)</f>
        <v>0</v>
      </c>
      <c r="H862" s="16" t="str">
        <f aca="false">IF(E862&gt;1,"DUPLICATE - Review",IF(G862&gt;Assumptions!$B$6,"OVERPAID - Review","OK"))</f>
        <v>OK</v>
      </c>
    </row>
    <row r="863" customFormat="false" ht="15" hidden="false" customHeight="false" outlineLevel="0" collapsed="false">
      <c r="A863" s="16" t="str">
        <f aca="false">Vendor_Invoices_AP!A860</f>
        <v>INV30859</v>
      </c>
      <c r="B863" s="16" t="str">
        <f aca="false">Vendor_Invoices_AP!C860</f>
        <v>V1034</v>
      </c>
      <c r="C863" s="16" t="str">
        <f aca="false">IFERROR(INDEX(Vendor_Master!$B$2:$B$41,MATCH(B863,Vendor_Master!$A$2:$A$41,0)),"Unknown Vendor")</f>
        <v>Koch-Decker</v>
      </c>
      <c r="D863" s="18" t="n">
        <f aca="false">Vendor_Invoices_AP!E860</f>
        <v>115.93</v>
      </c>
      <c r="E863" s="16" t="n">
        <f aca="false">COUNTIF(Payment_Log_AP!$B$2:$B$753,A863)</f>
        <v>1</v>
      </c>
      <c r="F863" s="18" t="n">
        <f aca="false">SUMIFS(Payment_Log_AP!$E$2:$E$753,Payment_Log_AP!$B$2:$B$753,A863)</f>
        <v>115.93</v>
      </c>
      <c r="G863" s="18" t="n">
        <f aca="false">MAX(F863-D863,0)</f>
        <v>0</v>
      </c>
      <c r="H863" s="16" t="str">
        <f aca="false">IF(E863&gt;1,"DUPLICATE - Review",IF(G863&gt;Assumptions!$B$6,"OVERPAID - Review","OK"))</f>
        <v>OK</v>
      </c>
    </row>
    <row r="864" customFormat="false" ht="15" hidden="false" customHeight="false" outlineLevel="0" collapsed="false">
      <c r="A864" s="16" t="str">
        <f aca="false">Vendor_Invoices_AP!A861</f>
        <v>INV30860</v>
      </c>
      <c r="B864" s="16" t="str">
        <f aca="false">Vendor_Invoices_AP!C861</f>
        <v>V1039</v>
      </c>
      <c r="C864" s="16" t="str">
        <f aca="false">IFERROR(INDEX(Vendor_Master!$B$2:$B$41,MATCH(B864,Vendor_Master!$A$2:$A$41,0)),"Unknown Vendor")</f>
        <v>Campos, Vaughn and Marquez</v>
      </c>
      <c r="D864" s="18" t="n">
        <f aca="false">Vendor_Invoices_AP!E861</f>
        <v>2115.29</v>
      </c>
      <c r="E864" s="16" t="n">
        <f aca="false">COUNTIF(Payment_Log_AP!$B$2:$B$753,A864)</f>
        <v>1</v>
      </c>
      <c r="F864" s="18" t="n">
        <f aca="false">SUMIFS(Payment_Log_AP!$E$2:$E$753,Payment_Log_AP!$B$2:$B$753,A864)</f>
        <v>2115.29</v>
      </c>
      <c r="G864" s="18" t="n">
        <f aca="false">MAX(F864-D864,0)</f>
        <v>0</v>
      </c>
      <c r="H864" s="16" t="str">
        <f aca="false">IF(E864&gt;1,"DUPLICATE - Review",IF(G864&gt;Assumptions!$B$6,"OVERPAID - Review","OK"))</f>
        <v>OK</v>
      </c>
    </row>
    <row r="865" customFormat="false" ht="15" hidden="false" customHeight="false" outlineLevel="0" collapsed="false">
      <c r="A865" s="16" t="str">
        <f aca="false">Vendor_Invoices_AP!A862</f>
        <v>INV30861</v>
      </c>
      <c r="B865" s="16" t="str">
        <f aca="false">Vendor_Invoices_AP!C862</f>
        <v>V1037</v>
      </c>
      <c r="C865" s="16" t="str">
        <f aca="false">IFERROR(INDEX(Vendor_Master!$B$2:$B$41,MATCH(B865,Vendor_Master!$A$2:$A$41,0)),"Unknown Vendor")</f>
        <v>Cannon, Anderson and Alvarez</v>
      </c>
      <c r="D865" s="18" t="n">
        <f aca="false">Vendor_Invoices_AP!E862</f>
        <v>1027.6</v>
      </c>
      <c r="E865" s="16" t="n">
        <f aca="false">COUNTIF(Payment_Log_AP!$B$2:$B$753,A865)</f>
        <v>1</v>
      </c>
      <c r="F865" s="18" t="n">
        <f aca="false">SUMIFS(Payment_Log_AP!$E$2:$E$753,Payment_Log_AP!$B$2:$B$753,A865)</f>
        <v>1027.6</v>
      </c>
      <c r="G865" s="18" t="n">
        <f aca="false">MAX(F865-D865,0)</f>
        <v>0</v>
      </c>
      <c r="H865" s="16" t="str">
        <f aca="false">IF(E865&gt;1,"DUPLICATE - Review",IF(G865&gt;Assumptions!$B$6,"OVERPAID - Review","OK"))</f>
        <v>OK</v>
      </c>
    </row>
    <row r="866" customFormat="false" ht="15" hidden="false" customHeight="false" outlineLevel="0" collapsed="false">
      <c r="A866" s="16" t="str">
        <f aca="false">Vendor_Invoices_AP!A863</f>
        <v>INV30862</v>
      </c>
      <c r="B866" s="16" t="str">
        <f aca="false">Vendor_Invoices_AP!C863</f>
        <v>V1003</v>
      </c>
      <c r="C866" s="16" t="str">
        <f aca="false">IFERROR(INDEX(Vendor_Master!$B$2:$B$41,MATCH(B866,Vendor_Master!$A$2:$A$41,0)),"Unknown Vendor")</f>
        <v>Johnson and Sons</v>
      </c>
      <c r="D866" s="18" t="n">
        <f aca="false">Vendor_Invoices_AP!E863</f>
        <v>1165</v>
      </c>
      <c r="E866" s="16" t="n">
        <f aca="false">COUNTIF(Payment_Log_AP!$B$2:$B$753,A866)</f>
        <v>1</v>
      </c>
      <c r="F866" s="18" t="n">
        <f aca="false">SUMIFS(Payment_Log_AP!$E$2:$E$753,Payment_Log_AP!$B$2:$B$753,A866)</f>
        <v>1165</v>
      </c>
      <c r="G866" s="18" t="n">
        <f aca="false">MAX(F866-D866,0)</f>
        <v>0</v>
      </c>
      <c r="H866" s="16" t="str">
        <f aca="false">IF(E866&gt;1,"DUPLICATE - Review",IF(G866&gt;Assumptions!$B$6,"OVERPAID - Review","OK"))</f>
        <v>OK</v>
      </c>
    </row>
    <row r="867" customFormat="false" ht="15" hidden="false" customHeight="false" outlineLevel="0" collapsed="false">
      <c r="A867" s="16" t="str">
        <f aca="false">Vendor_Invoices_AP!A864</f>
        <v>INV30863</v>
      </c>
      <c r="B867" s="16" t="str">
        <f aca="false">Vendor_Invoices_AP!C864</f>
        <v>V1037</v>
      </c>
      <c r="C867" s="16" t="str">
        <f aca="false">IFERROR(INDEX(Vendor_Master!$B$2:$B$41,MATCH(B867,Vendor_Master!$A$2:$A$41,0)),"Unknown Vendor")</f>
        <v>Cannon, Anderson and Alvarez</v>
      </c>
      <c r="D867" s="18" t="n">
        <f aca="false">Vendor_Invoices_AP!E864</f>
        <v>1553.94</v>
      </c>
      <c r="E867" s="16" t="n">
        <f aca="false">COUNTIF(Payment_Log_AP!$B$2:$B$753,A867)</f>
        <v>1</v>
      </c>
      <c r="F867" s="18" t="n">
        <f aca="false">SUMIFS(Payment_Log_AP!$E$2:$E$753,Payment_Log_AP!$B$2:$B$753,A867)</f>
        <v>1553.94</v>
      </c>
      <c r="G867" s="18" t="n">
        <f aca="false">MAX(F867-D867,0)</f>
        <v>0</v>
      </c>
      <c r="H867" s="16" t="str">
        <f aca="false">IF(E867&gt;1,"DUPLICATE - Review",IF(G867&gt;Assumptions!$B$6,"OVERPAID - Review","OK"))</f>
        <v>OK</v>
      </c>
    </row>
    <row r="868" customFormat="false" ht="15" hidden="false" customHeight="false" outlineLevel="0" collapsed="false">
      <c r="A868" s="16" t="str">
        <f aca="false">Vendor_Invoices_AP!A865</f>
        <v>INV30864</v>
      </c>
      <c r="B868" s="16" t="str">
        <f aca="false">Vendor_Invoices_AP!C865</f>
        <v>V1037</v>
      </c>
      <c r="C868" s="16" t="str">
        <f aca="false">IFERROR(INDEX(Vendor_Master!$B$2:$B$41,MATCH(B868,Vendor_Master!$A$2:$A$41,0)),"Unknown Vendor")</f>
        <v>Cannon, Anderson and Alvarez</v>
      </c>
      <c r="D868" s="18" t="n">
        <f aca="false">Vendor_Invoices_AP!E865</f>
        <v>1553.94</v>
      </c>
      <c r="E868" s="16" t="n">
        <f aca="false">COUNTIF(Payment_Log_AP!$B$2:$B$753,A868)</f>
        <v>1</v>
      </c>
      <c r="F868" s="18" t="n">
        <f aca="false">SUMIFS(Payment_Log_AP!$E$2:$E$753,Payment_Log_AP!$B$2:$B$753,A868)</f>
        <v>1553.94</v>
      </c>
      <c r="G868" s="18" t="n">
        <f aca="false">MAX(F868-D868,0)</f>
        <v>0</v>
      </c>
      <c r="H868" s="16" t="str">
        <f aca="false">IF(E868&gt;1,"DUPLICATE - Review",IF(G868&gt;Assumptions!$B$6,"OVERPAID - Review","OK"))</f>
        <v>OK</v>
      </c>
    </row>
    <row r="869" customFormat="false" ht="15" hidden="false" customHeight="false" outlineLevel="0" collapsed="false">
      <c r="A869" s="16" t="str">
        <f aca="false">Vendor_Invoices_AP!A866</f>
        <v>INV30865</v>
      </c>
      <c r="B869" s="16" t="str">
        <f aca="false">Vendor_Invoices_AP!C866</f>
        <v>V1024</v>
      </c>
      <c r="C869" s="16" t="str">
        <f aca="false">IFERROR(INDEX(Vendor_Master!$B$2:$B$41,MATCH(B869,Vendor_Master!$A$2:$A$41,0)),"Unknown Vendor")</f>
        <v>Campos Inc</v>
      </c>
      <c r="D869" s="18" t="n">
        <f aca="false">Vendor_Invoices_AP!E866</f>
        <v>764.25</v>
      </c>
      <c r="E869" s="16" t="n">
        <f aca="false">COUNTIF(Payment_Log_AP!$B$2:$B$753,A869)</f>
        <v>1</v>
      </c>
      <c r="F869" s="18" t="n">
        <f aca="false">SUMIFS(Payment_Log_AP!$E$2:$E$753,Payment_Log_AP!$B$2:$B$753,A869)</f>
        <v>764.25</v>
      </c>
      <c r="G869" s="18" t="n">
        <f aca="false">MAX(F869-D869,0)</f>
        <v>0</v>
      </c>
      <c r="H869" s="16" t="str">
        <f aca="false">IF(E869&gt;1,"DUPLICATE - Review",IF(G869&gt;Assumptions!$B$6,"OVERPAID - Review","OK"))</f>
        <v>OK</v>
      </c>
    </row>
    <row r="870" customFormat="false" ht="15" hidden="false" customHeight="false" outlineLevel="0" collapsed="false">
      <c r="A870" s="16" t="str">
        <f aca="false">Vendor_Invoices_AP!A867</f>
        <v>INV30866</v>
      </c>
      <c r="B870" s="16" t="str">
        <f aca="false">Vendor_Invoices_AP!C867</f>
        <v>V1022</v>
      </c>
      <c r="C870" s="16" t="str">
        <f aca="false">IFERROR(INDEX(Vendor_Master!$B$2:$B$41,MATCH(B870,Vendor_Master!$A$2:$A$41,0)),"Unknown Vendor")</f>
        <v>Burgess-Patterson</v>
      </c>
      <c r="D870" s="18" t="n">
        <f aca="false">Vendor_Invoices_AP!E867</f>
        <v>8318.12</v>
      </c>
      <c r="E870" s="16" t="n">
        <f aca="false">COUNTIF(Payment_Log_AP!$B$2:$B$753,A870)</f>
        <v>1</v>
      </c>
      <c r="F870" s="18" t="n">
        <f aca="false">SUMIFS(Payment_Log_AP!$E$2:$E$753,Payment_Log_AP!$B$2:$B$753,A870)</f>
        <v>8318.12</v>
      </c>
      <c r="G870" s="18" t="n">
        <f aca="false">MAX(F870-D870,0)</f>
        <v>0</v>
      </c>
      <c r="H870" s="16" t="str">
        <f aca="false">IF(E870&gt;1,"DUPLICATE - Review",IF(G870&gt;Assumptions!$B$6,"OVERPAID - Review","OK"))</f>
        <v>OK</v>
      </c>
    </row>
    <row r="871" customFormat="false" ht="15" hidden="false" customHeight="false" outlineLevel="0" collapsed="false">
      <c r="A871" s="16" t="str">
        <f aca="false">Vendor_Invoices_AP!A868</f>
        <v>INV30867</v>
      </c>
      <c r="B871" s="16" t="str">
        <f aca="false">Vendor_Invoices_AP!C868</f>
        <v>V1027</v>
      </c>
      <c r="C871" s="16" t="str">
        <f aca="false">IFERROR(INDEX(Vendor_Master!$B$2:$B$41,MATCH(B871,Vendor_Master!$A$2:$A$41,0)),"Unknown Vendor")</f>
        <v>Valencia, Smith and Le</v>
      </c>
      <c r="D871" s="18" t="n">
        <f aca="false">Vendor_Invoices_AP!E868</f>
        <v>2564.63</v>
      </c>
      <c r="E871" s="16" t="n">
        <f aca="false">COUNTIF(Payment_Log_AP!$B$2:$B$753,A871)</f>
        <v>1</v>
      </c>
      <c r="F871" s="18" t="n">
        <f aca="false">SUMIFS(Payment_Log_AP!$E$2:$E$753,Payment_Log_AP!$B$2:$B$753,A871)</f>
        <v>2564.63</v>
      </c>
      <c r="G871" s="18" t="n">
        <f aca="false">MAX(F871-D871,0)</f>
        <v>0</v>
      </c>
      <c r="H871" s="16" t="str">
        <f aca="false">IF(E871&gt;1,"DUPLICATE - Review",IF(G871&gt;Assumptions!$B$6,"OVERPAID - Review","OK"))</f>
        <v>OK</v>
      </c>
    </row>
    <row r="872" customFormat="false" ht="15" hidden="false" customHeight="false" outlineLevel="0" collapsed="false">
      <c r="A872" s="16" t="str">
        <f aca="false">Vendor_Invoices_AP!A869</f>
        <v>INV30868</v>
      </c>
      <c r="B872" s="16" t="str">
        <f aca="false">Vendor_Invoices_AP!C869</f>
        <v>V1036</v>
      </c>
      <c r="C872" s="16" t="str">
        <f aca="false">IFERROR(INDEX(Vendor_Master!$B$2:$B$41,MATCH(B872,Vendor_Master!$A$2:$A$41,0)),"Unknown Vendor")</f>
        <v>Dennis Inc</v>
      </c>
      <c r="D872" s="18" t="n">
        <f aca="false">Vendor_Invoices_AP!E869</f>
        <v>5467.62</v>
      </c>
      <c r="E872" s="16" t="n">
        <f aca="false">COUNTIF(Payment_Log_AP!$B$2:$B$753,A872)</f>
        <v>1</v>
      </c>
      <c r="F872" s="18" t="n">
        <f aca="false">SUMIFS(Payment_Log_AP!$E$2:$E$753,Payment_Log_AP!$B$2:$B$753,A872)</f>
        <v>5467.62</v>
      </c>
      <c r="G872" s="18" t="n">
        <f aca="false">MAX(F872-D872,0)</f>
        <v>0</v>
      </c>
      <c r="H872" s="16" t="str">
        <f aca="false">IF(E872&gt;1,"DUPLICATE - Review",IF(G872&gt;Assumptions!$B$6,"OVERPAID - Review","OK"))</f>
        <v>OK</v>
      </c>
    </row>
    <row r="873" customFormat="false" ht="15" hidden="false" customHeight="false" outlineLevel="0" collapsed="false">
      <c r="A873" s="16" t="str">
        <f aca="false">Vendor_Invoices_AP!A870</f>
        <v>INV30869</v>
      </c>
      <c r="B873" s="16" t="str">
        <f aca="false">Vendor_Invoices_AP!C870</f>
        <v>V1009</v>
      </c>
      <c r="C873" s="16" t="str">
        <f aca="false">IFERROR(INDEX(Vendor_Master!$B$2:$B$41,MATCH(B873,Vendor_Master!$A$2:$A$41,0)),"Unknown Vendor")</f>
        <v>Munoz-Roman</v>
      </c>
      <c r="D873" s="18" t="n">
        <f aca="false">Vendor_Invoices_AP!E870</f>
        <v>4948.03</v>
      </c>
      <c r="E873" s="16" t="n">
        <f aca="false">COUNTIF(Payment_Log_AP!$B$2:$B$753,A873)</f>
        <v>1</v>
      </c>
      <c r="F873" s="18" t="n">
        <f aca="false">SUMIFS(Payment_Log_AP!$E$2:$E$753,Payment_Log_AP!$B$2:$B$753,A873)</f>
        <v>4948.03</v>
      </c>
      <c r="G873" s="18" t="n">
        <f aca="false">MAX(F873-D873,0)</f>
        <v>0</v>
      </c>
      <c r="H873" s="16" t="str">
        <f aca="false">IF(E873&gt;1,"DUPLICATE - Review",IF(G873&gt;Assumptions!$B$6,"OVERPAID - Review","OK"))</f>
        <v>OK</v>
      </c>
    </row>
    <row r="874" customFormat="false" ht="15" hidden="false" customHeight="false" outlineLevel="0" collapsed="false">
      <c r="A874" s="16" t="str">
        <f aca="false">Vendor_Invoices_AP!A871</f>
        <v>INV30870</v>
      </c>
      <c r="B874" s="16" t="str">
        <f aca="false">Vendor_Invoices_AP!C871</f>
        <v>V1029</v>
      </c>
      <c r="C874" s="16" t="str">
        <f aca="false">IFERROR(INDEX(Vendor_Master!$B$2:$B$41,MATCH(B874,Vendor_Master!$A$2:$A$41,0)),"Unknown Vendor")</f>
        <v>Chavez Ltd</v>
      </c>
      <c r="D874" s="18" t="n">
        <f aca="false">Vendor_Invoices_AP!E871</f>
        <v>1631.21</v>
      </c>
      <c r="E874" s="16" t="n">
        <f aca="false">COUNTIF(Payment_Log_AP!$B$2:$B$753,A874)</f>
        <v>1</v>
      </c>
      <c r="F874" s="18" t="n">
        <f aca="false">SUMIFS(Payment_Log_AP!$E$2:$E$753,Payment_Log_AP!$B$2:$B$753,A874)</f>
        <v>1631.21</v>
      </c>
      <c r="G874" s="18" t="n">
        <f aca="false">MAX(F874-D874,0)</f>
        <v>0</v>
      </c>
      <c r="H874" s="16" t="str">
        <f aca="false">IF(E874&gt;1,"DUPLICATE - Review",IF(G874&gt;Assumptions!$B$6,"OVERPAID - Review","OK"))</f>
        <v>OK</v>
      </c>
    </row>
    <row r="875" customFormat="false" ht="15" hidden="false" customHeight="false" outlineLevel="0" collapsed="false">
      <c r="A875" s="16" t="str">
        <f aca="false">Vendor_Invoices_AP!A872</f>
        <v>INV30871</v>
      </c>
      <c r="B875" s="16" t="str">
        <f aca="false">Vendor_Invoices_AP!C872</f>
        <v>V1040</v>
      </c>
      <c r="C875" s="16" t="str">
        <f aca="false">IFERROR(INDEX(Vendor_Master!$B$2:$B$41,MATCH(B875,Vendor_Master!$A$2:$A$41,0)),"Unknown Vendor")</f>
        <v>Santos, Kim and Holmes</v>
      </c>
      <c r="D875" s="18" t="n">
        <f aca="false">Vendor_Invoices_AP!E872</f>
        <v>819.06</v>
      </c>
      <c r="E875" s="16" t="n">
        <f aca="false">COUNTIF(Payment_Log_AP!$B$2:$B$753,A875)</f>
        <v>1</v>
      </c>
      <c r="F875" s="18" t="n">
        <f aca="false">SUMIFS(Payment_Log_AP!$E$2:$E$753,Payment_Log_AP!$B$2:$B$753,A875)</f>
        <v>819.06</v>
      </c>
      <c r="G875" s="18" t="n">
        <f aca="false">MAX(F875-D875,0)</f>
        <v>0</v>
      </c>
      <c r="H875" s="16" t="str">
        <f aca="false">IF(E875&gt;1,"DUPLICATE - Review",IF(G875&gt;Assumptions!$B$6,"OVERPAID - Review","OK"))</f>
        <v>OK</v>
      </c>
    </row>
    <row r="876" customFormat="false" ht="15" hidden="false" customHeight="false" outlineLevel="0" collapsed="false">
      <c r="A876" s="16" t="str">
        <f aca="false">Vendor_Invoices_AP!A873</f>
        <v>INV30872</v>
      </c>
      <c r="B876" s="16" t="str">
        <f aca="false">Vendor_Invoices_AP!C873</f>
        <v>V1009</v>
      </c>
      <c r="C876" s="16" t="str">
        <f aca="false">IFERROR(INDEX(Vendor_Master!$B$2:$B$41,MATCH(B876,Vendor_Master!$A$2:$A$41,0)),"Unknown Vendor")</f>
        <v>Munoz-Roman</v>
      </c>
      <c r="D876" s="18" t="n">
        <f aca="false">Vendor_Invoices_AP!E873</f>
        <v>1380.81</v>
      </c>
      <c r="E876" s="16" t="n">
        <f aca="false">COUNTIF(Payment_Log_AP!$B$2:$B$753,A876)</f>
        <v>1</v>
      </c>
      <c r="F876" s="18" t="n">
        <f aca="false">SUMIFS(Payment_Log_AP!$E$2:$E$753,Payment_Log_AP!$B$2:$B$753,A876)</f>
        <v>1380.81</v>
      </c>
      <c r="G876" s="18" t="n">
        <f aca="false">MAX(F876-D876,0)</f>
        <v>0</v>
      </c>
      <c r="H876" s="16" t="str">
        <f aca="false">IF(E876&gt;1,"DUPLICATE - Review",IF(G876&gt;Assumptions!$B$6,"OVERPAID - Review","OK"))</f>
        <v>OK</v>
      </c>
    </row>
    <row r="877" customFormat="false" ht="15" hidden="false" customHeight="false" outlineLevel="0" collapsed="false">
      <c r="A877" s="16" t="str">
        <f aca="false">Vendor_Invoices_AP!A874</f>
        <v>INV30873</v>
      </c>
      <c r="B877" s="16" t="str">
        <f aca="false">Vendor_Invoices_AP!C874</f>
        <v>V1028</v>
      </c>
      <c r="C877" s="16" t="str">
        <f aca="false">IFERROR(INDEX(Vendor_Master!$B$2:$B$41,MATCH(B877,Vendor_Master!$A$2:$A$41,0)),"Unknown Vendor")</f>
        <v>Potter, Mack and Peterson</v>
      </c>
      <c r="D877" s="18" t="n">
        <f aca="false">Vendor_Invoices_AP!E874</f>
        <v>537.91</v>
      </c>
      <c r="E877" s="16" t="n">
        <f aca="false">COUNTIF(Payment_Log_AP!$B$2:$B$753,A877)</f>
        <v>1</v>
      </c>
      <c r="F877" s="18" t="n">
        <f aca="false">SUMIFS(Payment_Log_AP!$E$2:$E$753,Payment_Log_AP!$B$2:$B$753,A877)</f>
        <v>537.91</v>
      </c>
      <c r="G877" s="18" t="n">
        <f aca="false">MAX(F877-D877,0)</f>
        <v>0</v>
      </c>
      <c r="H877" s="16" t="str">
        <f aca="false">IF(E877&gt;1,"DUPLICATE - Review",IF(G877&gt;Assumptions!$B$6,"OVERPAID - Review","OK"))</f>
        <v>OK</v>
      </c>
    </row>
    <row r="878" customFormat="false" ht="15" hidden="false" customHeight="false" outlineLevel="0" collapsed="false">
      <c r="A878" s="16" t="str">
        <f aca="false">Vendor_Invoices_AP!A875</f>
        <v>INV30874</v>
      </c>
      <c r="B878" s="16" t="str">
        <f aca="false">Vendor_Invoices_AP!C875</f>
        <v>V1039</v>
      </c>
      <c r="C878" s="16" t="str">
        <f aca="false">IFERROR(INDEX(Vendor_Master!$B$2:$B$41,MATCH(B878,Vendor_Master!$A$2:$A$41,0)),"Unknown Vendor")</f>
        <v>Campos, Vaughn and Marquez</v>
      </c>
      <c r="D878" s="18" t="n">
        <f aca="false">Vendor_Invoices_AP!E875</f>
        <v>2224.01</v>
      </c>
      <c r="E878" s="16" t="n">
        <f aca="false">COUNTIF(Payment_Log_AP!$B$2:$B$753,A878)</f>
        <v>1</v>
      </c>
      <c r="F878" s="18" t="n">
        <f aca="false">SUMIFS(Payment_Log_AP!$E$2:$E$753,Payment_Log_AP!$B$2:$B$753,A878)</f>
        <v>2224.01</v>
      </c>
      <c r="G878" s="18" t="n">
        <f aca="false">MAX(F878-D878,0)</f>
        <v>0</v>
      </c>
      <c r="H878" s="16" t="str">
        <f aca="false">IF(E878&gt;1,"DUPLICATE - Review",IF(G878&gt;Assumptions!$B$6,"OVERPAID - Review","OK"))</f>
        <v>OK</v>
      </c>
    </row>
    <row r="879" customFormat="false" ht="15" hidden="false" customHeight="false" outlineLevel="0" collapsed="false">
      <c r="A879" s="16" t="str">
        <f aca="false">Vendor_Invoices_AP!A876</f>
        <v>INV30875</v>
      </c>
      <c r="B879" s="16" t="str">
        <f aca="false">Vendor_Invoices_AP!C876</f>
        <v>V1019</v>
      </c>
      <c r="C879" s="16" t="str">
        <f aca="false">IFERROR(INDEX(Vendor_Master!$B$2:$B$41,MATCH(B879,Vendor_Master!$A$2:$A$41,0)),"Unknown Vendor")</f>
        <v>Clark PLC</v>
      </c>
      <c r="D879" s="18" t="n">
        <f aca="false">Vendor_Invoices_AP!E876</f>
        <v>972.49</v>
      </c>
      <c r="E879" s="16" t="n">
        <f aca="false">COUNTIF(Payment_Log_AP!$B$2:$B$753,A879)</f>
        <v>1</v>
      </c>
      <c r="F879" s="18" t="n">
        <f aca="false">SUMIFS(Payment_Log_AP!$E$2:$E$753,Payment_Log_AP!$B$2:$B$753,A879)</f>
        <v>972.49</v>
      </c>
      <c r="G879" s="18" t="n">
        <f aca="false">MAX(F879-D879,0)</f>
        <v>0</v>
      </c>
      <c r="H879" s="16" t="str">
        <f aca="false">IF(E879&gt;1,"DUPLICATE - Review",IF(G879&gt;Assumptions!$B$6,"OVERPAID - Review","OK"))</f>
        <v>OK</v>
      </c>
    </row>
    <row r="880" customFormat="false" ht="15" hidden="false" customHeight="false" outlineLevel="0" collapsed="false">
      <c r="A880" s="16" t="str">
        <f aca="false">Vendor_Invoices_AP!A877</f>
        <v>INV30876</v>
      </c>
      <c r="B880" s="16" t="str">
        <f aca="false">Vendor_Invoices_AP!C877</f>
        <v>V1012</v>
      </c>
      <c r="C880" s="16" t="str">
        <f aca="false">IFERROR(INDEX(Vendor_Master!$B$2:$B$41,MATCH(B880,Vendor_Master!$A$2:$A$41,0)),"Unknown Vendor")</f>
        <v>Stanley LLC</v>
      </c>
      <c r="D880" s="18" t="n">
        <f aca="false">Vendor_Invoices_AP!E877</f>
        <v>5021.94</v>
      </c>
      <c r="E880" s="16" t="n">
        <f aca="false">COUNTIF(Payment_Log_AP!$B$2:$B$753,A880)</f>
        <v>0</v>
      </c>
      <c r="F880" s="18" t="n">
        <f aca="false">SUMIFS(Payment_Log_AP!$E$2:$E$753,Payment_Log_AP!$B$2:$B$753,A880)</f>
        <v>0</v>
      </c>
      <c r="G880" s="18" t="n">
        <f aca="false">MAX(F880-D880,0)</f>
        <v>0</v>
      </c>
      <c r="H880" s="16" t="str">
        <f aca="false">IF(E880&gt;1,"DUPLICATE - Review",IF(G880&gt;Assumptions!$B$6,"OVERPAID - Review","OK"))</f>
        <v>OK</v>
      </c>
    </row>
    <row r="881" customFormat="false" ht="15" hidden="false" customHeight="false" outlineLevel="0" collapsed="false">
      <c r="A881" s="16" t="str">
        <f aca="false">Vendor_Invoices_AP!A878</f>
        <v>INV30877</v>
      </c>
      <c r="B881" s="16" t="str">
        <f aca="false">Vendor_Invoices_AP!C878</f>
        <v>V1007</v>
      </c>
      <c r="C881" s="16" t="str">
        <f aca="false">IFERROR(INDEX(Vendor_Master!$B$2:$B$41,MATCH(B881,Vendor_Master!$A$2:$A$41,0)),"Unknown Vendor")</f>
        <v>Ramirez-Lewis</v>
      </c>
      <c r="D881" s="18" t="n">
        <f aca="false">Vendor_Invoices_AP!E878</f>
        <v>5287.19</v>
      </c>
      <c r="E881" s="16" t="n">
        <f aca="false">COUNTIF(Payment_Log_AP!$B$2:$B$753,A881)</f>
        <v>0</v>
      </c>
      <c r="F881" s="18" t="n">
        <f aca="false">SUMIFS(Payment_Log_AP!$E$2:$E$753,Payment_Log_AP!$B$2:$B$753,A881)</f>
        <v>0</v>
      </c>
      <c r="G881" s="18" t="n">
        <f aca="false">MAX(F881-D881,0)</f>
        <v>0</v>
      </c>
      <c r="H881" s="16" t="str">
        <f aca="false">IF(E881&gt;1,"DUPLICATE - Review",IF(G881&gt;Assumptions!$B$6,"OVERPAID - Review","OK"))</f>
        <v>OK</v>
      </c>
    </row>
    <row r="882" customFormat="false" ht="15" hidden="false" customHeight="false" outlineLevel="0" collapsed="false">
      <c r="A882" s="16" t="str">
        <f aca="false">Vendor_Invoices_AP!A879</f>
        <v>INV30878</v>
      </c>
      <c r="B882" s="16" t="str">
        <f aca="false">Vendor_Invoices_AP!C879</f>
        <v>V1020</v>
      </c>
      <c r="C882" s="16" t="str">
        <f aca="false">IFERROR(INDEX(Vendor_Master!$B$2:$B$41,MATCH(B882,Vendor_Master!$A$2:$A$41,0)),"Unknown Vendor")</f>
        <v>Lewis-Porter</v>
      </c>
      <c r="D882" s="18" t="n">
        <f aca="false">Vendor_Invoices_AP!E879</f>
        <v>7892.6</v>
      </c>
      <c r="E882" s="16" t="n">
        <f aca="false">COUNTIF(Payment_Log_AP!$B$2:$B$753,A882)</f>
        <v>1</v>
      </c>
      <c r="F882" s="18" t="n">
        <f aca="false">SUMIFS(Payment_Log_AP!$E$2:$E$753,Payment_Log_AP!$B$2:$B$753,A882)</f>
        <v>7892.6</v>
      </c>
      <c r="G882" s="18" t="n">
        <f aca="false">MAX(F882-D882,0)</f>
        <v>0</v>
      </c>
      <c r="H882" s="16" t="str">
        <f aca="false">IF(E882&gt;1,"DUPLICATE - Review",IF(G882&gt;Assumptions!$B$6,"OVERPAID - Review","OK"))</f>
        <v>OK</v>
      </c>
    </row>
    <row r="883" customFormat="false" ht="15" hidden="false" customHeight="false" outlineLevel="0" collapsed="false">
      <c r="A883" s="16" t="str">
        <f aca="false">Vendor_Invoices_AP!A880</f>
        <v>INV30879</v>
      </c>
      <c r="B883" s="16" t="str">
        <f aca="false">Vendor_Invoices_AP!C880</f>
        <v>V1029</v>
      </c>
      <c r="C883" s="16" t="str">
        <f aca="false">IFERROR(INDEX(Vendor_Master!$B$2:$B$41,MATCH(B883,Vendor_Master!$A$2:$A$41,0)),"Unknown Vendor")</f>
        <v>Chavez Ltd</v>
      </c>
      <c r="D883" s="18" t="n">
        <f aca="false">Vendor_Invoices_AP!E880</f>
        <v>5336.94</v>
      </c>
      <c r="E883" s="16" t="n">
        <f aca="false">COUNTIF(Payment_Log_AP!$B$2:$B$753,A883)</f>
        <v>1</v>
      </c>
      <c r="F883" s="18" t="n">
        <f aca="false">SUMIFS(Payment_Log_AP!$E$2:$E$753,Payment_Log_AP!$B$2:$B$753,A883)</f>
        <v>5336.94</v>
      </c>
      <c r="G883" s="18" t="n">
        <f aca="false">MAX(F883-D883,0)</f>
        <v>0</v>
      </c>
      <c r="H883" s="16" t="str">
        <f aca="false">IF(E883&gt;1,"DUPLICATE - Review",IF(G883&gt;Assumptions!$B$6,"OVERPAID - Review","OK"))</f>
        <v>OK</v>
      </c>
    </row>
    <row r="884" customFormat="false" ht="15" hidden="false" customHeight="false" outlineLevel="0" collapsed="false">
      <c r="A884" s="16" t="str">
        <f aca="false">Vendor_Invoices_AP!A881</f>
        <v>INV30880</v>
      </c>
      <c r="B884" s="16" t="str">
        <f aca="false">Vendor_Invoices_AP!C881</f>
        <v>V1033</v>
      </c>
      <c r="C884" s="16" t="str">
        <f aca="false">IFERROR(INDEX(Vendor_Master!$B$2:$B$41,MATCH(B884,Vendor_Master!$A$2:$A$41,0)),"Unknown Vendor")</f>
        <v>Sellers, George and Burns</v>
      </c>
      <c r="D884" s="18" t="n">
        <f aca="false">Vendor_Invoices_AP!E881</f>
        <v>2474.64</v>
      </c>
      <c r="E884" s="16" t="n">
        <f aca="false">COUNTIF(Payment_Log_AP!$B$2:$B$753,A884)</f>
        <v>0</v>
      </c>
      <c r="F884" s="18" t="n">
        <f aca="false">SUMIFS(Payment_Log_AP!$E$2:$E$753,Payment_Log_AP!$B$2:$B$753,A884)</f>
        <v>0</v>
      </c>
      <c r="G884" s="18" t="n">
        <f aca="false">MAX(F884-D884,0)</f>
        <v>0</v>
      </c>
      <c r="H884" s="16" t="str">
        <f aca="false">IF(E884&gt;1,"DUPLICATE - Review",IF(G884&gt;Assumptions!$B$6,"OVERPAID - Review","OK"))</f>
        <v>OK</v>
      </c>
    </row>
    <row r="885" customFormat="false" ht="15" hidden="false" customHeight="false" outlineLevel="0" collapsed="false">
      <c r="A885" s="16" t="str">
        <f aca="false">Vendor_Invoices_AP!A882</f>
        <v>INV30881</v>
      </c>
      <c r="B885" s="16" t="str">
        <f aca="false">Vendor_Invoices_AP!C882</f>
        <v>V1014</v>
      </c>
      <c r="C885" s="16" t="str">
        <f aca="false">IFERROR(INDEX(Vendor_Master!$B$2:$B$41,MATCH(B885,Vendor_Master!$A$2:$A$41,0)),"Unknown Vendor")</f>
        <v>Flowers, Martin and Kelly</v>
      </c>
      <c r="D885" s="18" t="n">
        <f aca="false">Vendor_Invoices_AP!E882</f>
        <v>4104.49</v>
      </c>
      <c r="E885" s="16" t="n">
        <f aca="false">COUNTIF(Payment_Log_AP!$B$2:$B$753,A885)</f>
        <v>1</v>
      </c>
      <c r="F885" s="18" t="n">
        <f aca="false">SUMIFS(Payment_Log_AP!$E$2:$E$753,Payment_Log_AP!$B$2:$B$753,A885)</f>
        <v>4104.49</v>
      </c>
      <c r="G885" s="18" t="n">
        <f aca="false">MAX(F885-D885,0)</f>
        <v>0</v>
      </c>
      <c r="H885" s="16" t="str">
        <f aca="false">IF(E885&gt;1,"DUPLICATE - Review",IF(G885&gt;Assumptions!$B$6,"OVERPAID - Review","OK"))</f>
        <v>OK</v>
      </c>
    </row>
  </sheetData>
  <autoFilter ref="A4:H8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H7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5567</v>
      </c>
    </row>
    <row r="2" customFormat="false" ht="15" hidden="false" customHeight="false" outlineLevel="0" collapsed="false">
      <c r="A2" s="2" t="s">
        <v>5568</v>
      </c>
    </row>
    <row r="4" customFormat="false" ht="27.75" hidden="false" customHeight="true" outlineLevel="0" collapsed="false">
      <c r="A4" s="7" t="s">
        <v>2838</v>
      </c>
      <c r="B4" s="7" t="s">
        <v>63</v>
      </c>
      <c r="C4" s="7" t="s">
        <v>1953</v>
      </c>
      <c r="D4" s="7" t="s">
        <v>2839</v>
      </c>
      <c r="E4" s="7" t="s">
        <v>2840</v>
      </c>
      <c r="F4" s="7" t="s">
        <v>1954</v>
      </c>
      <c r="G4" s="7" t="s">
        <v>5569</v>
      </c>
      <c r="H4" s="7" t="s">
        <v>5570</v>
      </c>
    </row>
    <row r="5" customFormat="false" ht="15" hidden="false" customHeight="false" outlineLevel="0" collapsed="false">
      <c r="A5" s="16" t="str">
        <f aca="false">Payment_Log_AP!A2</f>
        <v>PAY40001</v>
      </c>
      <c r="B5" s="16" t="str">
        <f aca="false">Payment_Log_AP!C2</f>
        <v>V1020</v>
      </c>
      <c r="C5" s="16" t="str">
        <f aca="false">Payment_Log_AP!B2</f>
        <v>INV30001</v>
      </c>
      <c r="D5" s="17" t="n">
        <f aca="false">Payment_Log_AP!D2</f>
        <v>46142</v>
      </c>
      <c r="E5" s="18" t="n">
        <f aca="false">Payment_Log_AP!E2</f>
        <v>1417.41</v>
      </c>
      <c r="F5" s="17" t="n">
        <f aca="false">IFERROR(INDEX(Vendor_Invoices_AP!$D$2:$D$882,MATCH(C5,Vendor_Invoices_AP!$A$2:$A$882,0)),"")</f>
        <v>46109</v>
      </c>
      <c r="G5" s="16" t="n">
        <f aca="false">IF(F5="","",D5-F5)</f>
        <v>33</v>
      </c>
      <c r="H5" s="21" t="n">
        <f aca="false">IF(F5="","",DATE(YEAR(D5),MONTH(D5),1))</f>
        <v>46113</v>
      </c>
    </row>
    <row r="6" customFormat="false" ht="15" hidden="false" customHeight="false" outlineLevel="0" collapsed="false">
      <c r="A6" s="16" t="str">
        <f aca="false">Payment_Log_AP!A3</f>
        <v>PAY40002</v>
      </c>
      <c r="B6" s="16" t="str">
        <f aca="false">Payment_Log_AP!C3</f>
        <v>V1034</v>
      </c>
      <c r="C6" s="16" t="str">
        <f aca="false">Payment_Log_AP!B3</f>
        <v>INV30002</v>
      </c>
      <c r="D6" s="17" t="n">
        <f aca="false">Payment_Log_AP!D3</f>
        <v>45805</v>
      </c>
      <c r="E6" s="18" t="n">
        <f aca="false">Payment_Log_AP!E3</f>
        <v>1749.66</v>
      </c>
      <c r="F6" s="17" t="n">
        <f aca="false">IFERROR(INDEX(Vendor_Invoices_AP!$D$2:$D$882,MATCH(C6,Vendor_Invoices_AP!$A$2:$A$882,0)),"")</f>
        <v>45803</v>
      </c>
      <c r="G6" s="16" t="n">
        <f aca="false">IF(F6="","",D6-F6)</f>
        <v>2</v>
      </c>
      <c r="H6" s="21" t="n">
        <f aca="false">IF(F6="","",DATE(YEAR(D6),MONTH(D6),1))</f>
        <v>45778</v>
      </c>
    </row>
    <row r="7" customFormat="false" ht="15" hidden="false" customHeight="false" outlineLevel="0" collapsed="false">
      <c r="A7" s="16" t="str">
        <f aca="false">Payment_Log_AP!A4</f>
        <v>PAY40003</v>
      </c>
      <c r="B7" s="16" t="str">
        <f aca="false">Payment_Log_AP!C4</f>
        <v>V1014</v>
      </c>
      <c r="C7" s="16" t="str">
        <f aca="false">Payment_Log_AP!B4</f>
        <v>INV30003</v>
      </c>
      <c r="D7" s="17" t="n">
        <f aca="false">Payment_Log_AP!D4</f>
        <v>45683</v>
      </c>
      <c r="E7" s="18" t="n">
        <f aca="false">Payment_Log_AP!E4</f>
        <v>2691.35</v>
      </c>
      <c r="F7" s="17" t="n">
        <f aca="false">IFERROR(INDEX(Vendor_Invoices_AP!$D$2:$D$882,MATCH(C7,Vendor_Invoices_AP!$A$2:$A$882,0)),"")</f>
        <v>45676</v>
      </c>
      <c r="G7" s="16" t="n">
        <f aca="false">IF(F7="","",D7-F7)</f>
        <v>7</v>
      </c>
      <c r="H7" s="21" t="n">
        <f aca="false">IF(F7="","",DATE(YEAR(D7),MONTH(D7),1))</f>
        <v>45658</v>
      </c>
    </row>
    <row r="8" customFormat="false" ht="15" hidden="false" customHeight="false" outlineLevel="0" collapsed="false">
      <c r="A8" s="16" t="str">
        <f aca="false">Payment_Log_AP!A5</f>
        <v>PAY40004</v>
      </c>
      <c r="B8" s="16" t="str">
        <f aca="false">Payment_Log_AP!C5</f>
        <v>V1040</v>
      </c>
      <c r="C8" s="16" t="str">
        <f aca="false">Payment_Log_AP!B5</f>
        <v>INV30004</v>
      </c>
      <c r="D8" s="17" t="n">
        <f aca="false">Payment_Log_AP!D5</f>
        <v>45805</v>
      </c>
      <c r="E8" s="18" t="n">
        <f aca="false">Payment_Log_AP!E5</f>
        <v>889.24</v>
      </c>
      <c r="F8" s="17" t="n">
        <f aca="false">IFERROR(INDEX(Vendor_Invoices_AP!$D$2:$D$882,MATCH(C8,Vendor_Invoices_AP!$A$2:$A$882,0)),"")</f>
        <v>45783</v>
      </c>
      <c r="G8" s="16" t="n">
        <f aca="false">IF(F8="","",D8-F8)</f>
        <v>22</v>
      </c>
      <c r="H8" s="21" t="n">
        <f aca="false">IF(F8="","",DATE(YEAR(D8),MONTH(D8),1))</f>
        <v>45778</v>
      </c>
    </row>
    <row r="9" customFormat="false" ht="15" hidden="false" customHeight="false" outlineLevel="0" collapsed="false">
      <c r="A9" s="16" t="str">
        <f aca="false">Payment_Log_AP!A6</f>
        <v>PAY40005</v>
      </c>
      <c r="B9" s="16" t="str">
        <f aca="false">Payment_Log_AP!C6</f>
        <v>V1022</v>
      </c>
      <c r="C9" s="16" t="str">
        <f aca="false">Payment_Log_AP!B6</f>
        <v>INV30005</v>
      </c>
      <c r="D9" s="17" t="n">
        <f aca="false">Payment_Log_AP!D6</f>
        <v>45883</v>
      </c>
      <c r="E9" s="18" t="n">
        <f aca="false">Payment_Log_AP!E6</f>
        <v>3058.04</v>
      </c>
      <c r="F9" s="17" t="n">
        <f aca="false">IFERROR(INDEX(Vendor_Invoices_AP!$D$2:$D$882,MATCH(C9,Vendor_Invoices_AP!$A$2:$A$882,0)),"")</f>
        <v>45861</v>
      </c>
      <c r="G9" s="16" t="n">
        <f aca="false">IF(F9="","",D9-F9)</f>
        <v>22</v>
      </c>
      <c r="H9" s="21" t="n">
        <f aca="false">IF(F9="","",DATE(YEAR(D9),MONTH(D9),1))</f>
        <v>45870</v>
      </c>
    </row>
    <row r="10" customFormat="false" ht="15" hidden="false" customHeight="false" outlineLevel="0" collapsed="false">
      <c r="A10" s="16" t="str">
        <f aca="false">Payment_Log_AP!A7</f>
        <v>PAY40006</v>
      </c>
      <c r="B10" s="16" t="str">
        <f aca="false">Payment_Log_AP!C7</f>
        <v>V1040</v>
      </c>
      <c r="C10" s="16" t="str">
        <f aca="false">Payment_Log_AP!B7</f>
        <v>INV30006</v>
      </c>
      <c r="D10" s="17" t="n">
        <f aca="false">Payment_Log_AP!D7</f>
        <v>46160</v>
      </c>
      <c r="E10" s="18" t="n">
        <f aca="false">Payment_Log_AP!E7</f>
        <v>1359.77</v>
      </c>
      <c r="F10" s="17" t="n">
        <f aca="false">IFERROR(INDEX(Vendor_Invoices_AP!$D$2:$D$882,MATCH(C10,Vendor_Invoices_AP!$A$2:$A$882,0)),"")</f>
        <v>46132</v>
      </c>
      <c r="G10" s="16" t="n">
        <f aca="false">IF(F10="","",D10-F10)</f>
        <v>28</v>
      </c>
      <c r="H10" s="21" t="n">
        <f aca="false">IF(F10="","",DATE(YEAR(D10),MONTH(D10),1))</f>
        <v>46143</v>
      </c>
    </row>
    <row r="11" customFormat="false" ht="15" hidden="false" customHeight="false" outlineLevel="0" collapsed="false">
      <c r="A11" s="16" t="str">
        <f aca="false">Payment_Log_AP!A8</f>
        <v>PAY40007</v>
      </c>
      <c r="B11" s="16" t="str">
        <f aca="false">Payment_Log_AP!C8</f>
        <v>V1040</v>
      </c>
      <c r="C11" s="16" t="str">
        <f aca="false">Payment_Log_AP!B8</f>
        <v>INV30007</v>
      </c>
      <c r="D11" s="17" t="n">
        <f aca="false">Payment_Log_AP!D8</f>
        <v>46193</v>
      </c>
      <c r="E11" s="18" t="n">
        <f aca="false">Payment_Log_AP!E8</f>
        <v>3708.39</v>
      </c>
      <c r="F11" s="17" t="n">
        <f aca="false">IFERROR(INDEX(Vendor_Invoices_AP!$D$2:$D$882,MATCH(C11,Vendor_Invoices_AP!$A$2:$A$882,0)),"")</f>
        <v>46188</v>
      </c>
      <c r="G11" s="16" t="n">
        <f aca="false">IF(F11="","",D11-F11)</f>
        <v>5</v>
      </c>
      <c r="H11" s="21" t="n">
        <f aca="false">IF(F11="","",DATE(YEAR(D11),MONTH(D11),1))</f>
        <v>46174</v>
      </c>
    </row>
    <row r="12" customFormat="false" ht="15" hidden="false" customHeight="false" outlineLevel="0" collapsed="false">
      <c r="A12" s="16" t="str">
        <f aca="false">Payment_Log_AP!A9</f>
        <v>PAY40008</v>
      </c>
      <c r="B12" s="16" t="str">
        <f aca="false">Payment_Log_AP!C9</f>
        <v>V1015</v>
      </c>
      <c r="C12" s="16" t="str">
        <f aca="false">Payment_Log_AP!B9</f>
        <v>INV30008</v>
      </c>
      <c r="D12" s="17" t="n">
        <f aca="false">Payment_Log_AP!D9</f>
        <v>45859</v>
      </c>
      <c r="E12" s="18" t="n">
        <f aca="false">Payment_Log_AP!E9</f>
        <v>6081.19</v>
      </c>
      <c r="F12" s="17" t="n">
        <f aca="false">IFERROR(INDEX(Vendor_Invoices_AP!$D$2:$D$882,MATCH(C12,Vendor_Invoices_AP!$A$2:$A$882,0)),"")</f>
        <v>45833</v>
      </c>
      <c r="G12" s="16" t="n">
        <f aca="false">IF(F12="","",D12-F12)</f>
        <v>26</v>
      </c>
      <c r="H12" s="21" t="n">
        <f aca="false">IF(F12="","",DATE(YEAR(D12),MONTH(D12),1))</f>
        <v>45839</v>
      </c>
    </row>
    <row r="13" customFormat="false" ht="15" hidden="false" customHeight="false" outlineLevel="0" collapsed="false">
      <c r="A13" s="16" t="str">
        <f aca="false">Payment_Log_AP!A10</f>
        <v>PAY40009</v>
      </c>
      <c r="B13" s="16" t="str">
        <f aca="false">Payment_Log_AP!C10</f>
        <v>V1005</v>
      </c>
      <c r="C13" s="16" t="str">
        <f aca="false">Payment_Log_AP!B10</f>
        <v>INV30010</v>
      </c>
      <c r="D13" s="17" t="n">
        <f aca="false">Payment_Log_AP!D10</f>
        <v>45885</v>
      </c>
      <c r="E13" s="18" t="n">
        <f aca="false">Payment_Log_AP!E10</f>
        <v>1466.07</v>
      </c>
      <c r="F13" s="17" t="n">
        <f aca="false">IFERROR(INDEX(Vendor_Invoices_AP!$D$2:$D$882,MATCH(C13,Vendor_Invoices_AP!$A$2:$A$882,0)),"")</f>
        <v>45878</v>
      </c>
      <c r="G13" s="16" t="n">
        <f aca="false">IF(F13="","",D13-F13)</f>
        <v>7</v>
      </c>
      <c r="H13" s="21" t="n">
        <f aca="false">IF(F13="","",DATE(YEAR(D13),MONTH(D13),1))</f>
        <v>45870</v>
      </c>
    </row>
    <row r="14" customFormat="false" ht="15" hidden="false" customHeight="false" outlineLevel="0" collapsed="false">
      <c r="A14" s="16" t="str">
        <f aca="false">Payment_Log_AP!A11</f>
        <v>PAY40010</v>
      </c>
      <c r="B14" s="16" t="str">
        <f aca="false">Payment_Log_AP!C11</f>
        <v>V1035</v>
      </c>
      <c r="C14" s="16" t="str">
        <f aca="false">Payment_Log_AP!B11</f>
        <v>INV30012</v>
      </c>
      <c r="D14" s="17" t="n">
        <f aca="false">Payment_Log_AP!D11</f>
        <v>45989</v>
      </c>
      <c r="E14" s="18" t="n">
        <f aca="false">Payment_Log_AP!E11</f>
        <v>15002.72</v>
      </c>
      <c r="F14" s="17" t="n">
        <f aca="false">IFERROR(INDEX(Vendor_Invoices_AP!$D$2:$D$882,MATCH(C14,Vendor_Invoices_AP!$A$2:$A$882,0)),"")</f>
        <v>45975</v>
      </c>
      <c r="G14" s="16" t="n">
        <f aca="false">IF(F14="","",D14-F14)</f>
        <v>14</v>
      </c>
      <c r="H14" s="21" t="n">
        <f aca="false">IF(F14="","",DATE(YEAR(D14),MONTH(D14),1))</f>
        <v>45962</v>
      </c>
    </row>
    <row r="15" customFormat="false" ht="15" hidden="false" customHeight="false" outlineLevel="0" collapsed="false">
      <c r="A15" s="16" t="str">
        <f aca="false">Payment_Log_AP!A12</f>
        <v>PAY40011</v>
      </c>
      <c r="B15" s="16" t="str">
        <f aca="false">Payment_Log_AP!C12</f>
        <v>V1016</v>
      </c>
      <c r="C15" s="16" t="str">
        <f aca="false">Payment_Log_AP!B12</f>
        <v>INV30013</v>
      </c>
      <c r="D15" s="17" t="n">
        <f aca="false">Payment_Log_AP!D12</f>
        <v>46196</v>
      </c>
      <c r="E15" s="18" t="n">
        <f aca="false">Payment_Log_AP!E12</f>
        <v>911.91</v>
      </c>
      <c r="F15" s="17" t="n">
        <f aca="false">IFERROR(INDEX(Vendor_Invoices_AP!$D$2:$D$882,MATCH(C15,Vendor_Invoices_AP!$A$2:$A$882,0)),"")</f>
        <v>46176</v>
      </c>
      <c r="G15" s="16" t="n">
        <f aca="false">IF(F15="","",D15-F15)</f>
        <v>20</v>
      </c>
      <c r="H15" s="21" t="n">
        <f aca="false">IF(F15="","",DATE(YEAR(D15),MONTH(D15),1))</f>
        <v>46174</v>
      </c>
    </row>
    <row r="16" customFormat="false" ht="15" hidden="false" customHeight="false" outlineLevel="0" collapsed="false">
      <c r="A16" s="16" t="str">
        <f aca="false">Payment_Log_AP!A13</f>
        <v>PAY40012</v>
      </c>
      <c r="B16" s="16" t="str">
        <f aca="false">Payment_Log_AP!C13</f>
        <v>V1002</v>
      </c>
      <c r="C16" s="16" t="str">
        <f aca="false">Payment_Log_AP!B13</f>
        <v>INV30014</v>
      </c>
      <c r="D16" s="17" t="n">
        <f aca="false">Payment_Log_AP!D13</f>
        <v>45753</v>
      </c>
      <c r="E16" s="18" t="n">
        <f aca="false">Payment_Log_AP!E13</f>
        <v>1222.88</v>
      </c>
      <c r="F16" s="17" t="n">
        <f aca="false">IFERROR(INDEX(Vendor_Invoices_AP!$D$2:$D$882,MATCH(C16,Vendor_Invoices_AP!$A$2:$A$882,0)),"")</f>
        <v>45740</v>
      </c>
      <c r="G16" s="16" t="n">
        <f aca="false">IF(F16="","",D16-F16)</f>
        <v>13</v>
      </c>
      <c r="H16" s="21" t="n">
        <f aca="false">IF(F16="","",DATE(YEAR(D16),MONTH(D16),1))</f>
        <v>45748</v>
      </c>
    </row>
    <row r="17" customFormat="false" ht="15" hidden="false" customHeight="false" outlineLevel="0" collapsed="false">
      <c r="A17" s="16" t="str">
        <f aca="false">Payment_Log_AP!A14</f>
        <v>PAY40013</v>
      </c>
      <c r="B17" s="16" t="str">
        <f aca="false">Payment_Log_AP!C14</f>
        <v>V1026</v>
      </c>
      <c r="C17" s="16" t="str">
        <f aca="false">Payment_Log_AP!B14</f>
        <v>INV30016</v>
      </c>
      <c r="D17" s="17" t="n">
        <f aca="false">Payment_Log_AP!D14</f>
        <v>45776</v>
      </c>
      <c r="E17" s="18" t="n">
        <f aca="false">Payment_Log_AP!E14</f>
        <v>4721.09</v>
      </c>
      <c r="F17" s="17" t="n">
        <f aca="false">IFERROR(INDEX(Vendor_Invoices_AP!$D$2:$D$882,MATCH(C17,Vendor_Invoices_AP!$A$2:$A$882,0)),"")</f>
        <v>45764</v>
      </c>
      <c r="G17" s="16" t="n">
        <f aca="false">IF(F17="","",D17-F17)</f>
        <v>12</v>
      </c>
      <c r="H17" s="21" t="n">
        <f aca="false">IF(F17="","",DATE(YEAR(D17),MONTH(D17),1))</f>
        <v>45748</v>
      </c>
    </row>
    <row r="18" customFormat="false" ht="15" hidden="false" customHeight="false" outlineLevel="0" collapsed="false">
      <c r="A18" s="16" t="str">
        <f aca="false">Payment_Log_AP!A15</f>
        <v>PAY40014</v>
      </c>
      <c r="B18" s="16" t="str">
        <f aca="false">Payment_Log_AP!C15</f>
        <v>V1004</v>
      </c>
      <c r="C18" s="16" t="str">
        <f aca="false">Payment_Log_AP!B15</f>
        <v>INV30018</v>
      </c>
      <c r="D18" s="17" t="n">
        <f aca="false">Payment_Log_AP!D15</f>
        <v>45837</v>
      </c>
      <c r="E18" s="18" t="n">
        <f aca="false">Payment_Log_AP!E15</f>
        <v>302.18</v>
      </c>
      <c r="F18" s="17" t="n">
        <f aca="false">IFERROR(INDEX(Vendor_Invoices_AP!$D$2:$D$882,MATCH(C18,Vendor_Invoices_AP!$A$2:$A$882,0)),"")</f>
        <v>45823</v>
      </c>
      <c r="G18" s="16" t="n">
        <f aca="false">IF(F18="","",D18-F18)</f>
        <v>14</v>
      </c>
      <c r="H18" s="21" t="n">
        <f aca="false">IF(F18="","",DATE(YEAR(D18),MONTH(D18),1))</f>
        <v>45809</v>
      </c>
    </row>
    <row r="19" customFormat="false" ht="15" hidden="false" customHeight="false" outlineLevel="0" collapsed="false">
      <c r="A19" s="16" t="str">
        <f aca="false">Payment_Log_AP!A16</f>
        <v>PAY40015</v>
      </c>
      <c r="B19" s="16" t="str">
        <f aca="false">Payment_Log_AP!C16</f>
        <v>V1024</v>
      </c>
      <c r="C19" s="16" t="str">
        <f aca="false">Payment_Log_AP!B16</f>
        <v>INV30019</v>
      </c>
      <c r="D19" s="17" t="n">
        <f aca="false">Payment_Log_AP!D16</f>
        <v>45754</v>
      </c>
      <c r="E19" s="18" t="n">
        <f aca="false">Payment_Log_AP!E16</f>
        <v>2051.54</v>
      </c>
      <c r="F19" s="17" t="n">
        <f aca="false">IFERROR(INDEX(Vendor_Invoices_AP!$D$2:$D$882,MATCH(C19,Vendor_Invoices_AP!$A$2:$A$882,0)),"")</f>
        <v>45726</v>
      </c>
      <c r="G19" s="16" t="n">
        <f aca="false">IF(F19="","",D19-F19)</f>
        <v>28</v>
      </c>
      <c r="H19" s="21" t="n">
        <f aca="false">IF(F19="","",DATE(YEAR(D19),MONTH(D19),1))</f>
        <v>45748</v>
      </c>
    </row>
    <row r="20" customFormat="false" ht="15" hidden="false" customHeight="false" outlineLevel="0" collapsed="false">
      <c r="A20" s="16" t="str">
        <f aca="false">Payment_Log_AP!A17</f>
        <v>PAY40016</v>
      </c>
      <c r="B20" s="16" t="str">
        <f aca="false">Payment_Log_AP!C17</f>
        <v>V1028</v>
      </c>
      <c r="C20" s="16" t="str">
        <f aca="false">Payment_Log_AP!B17</f>
        <v>INV30020</v>
      </c>
      <c r="D20" s="17" t="n">
        <f aca="false">Payment_Log_AP!D17</f>
        <v>45912</v>
      </c>
      <c r="E20" s="18" t="n">
        <f aca="false">Payment_Log_AP!E17</f>
        <v>9960.57</v>
      </c>
      <c r="F20" s="17" t="n">
        <f aca="false">IFERROR(INDEX(Vendor_Invoices_AP!$D$2:$D$882,MATCH(C20,Vendor_Invoices_AP!$A$2:$A$882,0)),"")</f>
        <v>45902</v>
      </c>
      <c r="G20" s="16" t="n">
        <f aca="false">IF(F20="","",D20-F20)</f>
        <v>10</v>
      </c>
      <c r="H20" s="21" t="n">
        <f aca="false">IF(F20="","",DATE(YEAR(D20),MONTH(D20),1))</f>
        <v>45901</v>
      </c>
    </row>
    <row r="21" customFormat="false" ht="15" hidden="false" customHeight="false" outlineLevel="0" collapsed="false">
      <c r="A21" s="16" t="str">
        <f aca="false">Payment_Log_AP!A18</f>
        <v>PAY40017</v>
      </c>
      <c r="B21" s="16" t="str">
        <f aca="false">Payment_Log_AP!C18</f>
        <v>V1018</v>
      </c>
      <c r="C21" s="16" t="str">
        <f aca="false">Payment_Log_AP!B18</f>
        <v>INV30021</v>
      </c>
      <c r="D21" s="17" t="n">
        <f aca="false">Payment_Log_AP!D18</f>
        <v>46096</v>
      </c>
      <c r="E21" s="18" t="n">
        <f aca="false">Payment_Log_AP!E18</f>
        <v>15696.57</v>
      </c>
      <c r="F21" s="17" t="n">
        <f aca="false">IFERROR(INDEX(Vendor_Invoices_AP!$D$2:$D$882,MATCH(C21,Vendor_Invoices_AP!$A$2:$A$882,0)),"")</f>
        <v>46076</v>
      </c>
      <c r="G21" s="16" t="n">
        <f aca="false">IF(F21="","",D21-F21)</f>
        <v>20</v>
      </c>
      <c r="H21" s="21" t="n">
        <f aca="false">IF(F21="","",DATE(YEAR(D21),MONTH(D21),1))</f>
        <v>46082</v>
      </c>
    </row>
    <row r="22" customFormat="false" ht="15" hidden="false" customHeight="false" outlineLevel="0" collapsed="false">
      <c r="A22" s="16" t="str">
        <f aca="false">Payment_Log_AP!A19</f>
        <v>PAY40018</v>
      </c>
      <c r="B22" s="16" t="str">
        <f aca="false">Payment_Log_AP!C19</f>
        <v>V1016</v>
      </c>
      <c r="C22" s="16" t="str">
        <f aca="false">Payment_Log_AP!B19</f>
        <v>INV30022</v>
      </c>
      <c r="D22" s="17" t="n">
        <f aca="false">Payment_Log_AP!D19</f>
        <v>45842</v>
      </c>
      <c r="E22" s="18" t="n">
        <f aca="false">Payment_Log_AP!E19</f>
        <v>1879.55</v>
      </c>
      <c r="F22" s="17" t="n">
        <f aca="false">IFERROR(INDEX(Vendor_Invoices_AP!$D$2:$D$882,MATCH(C22,Vendor_Invoices_AP!$A$2:$A$882,0)),"")</f>
        <v>45837</v>
      </c>
      <c r="G22" s="16" t="n">
        <f aca="false">IF(F22="","",D22-F22)</f>
        <v>5</v>
      </c>
      <c r="H22" s="21" t="n">
        <f aca="false">IF(F22="","",DATE(YEAR(D22),MONTH(D22),1))</f>
        <v>45839</v>
      </c>
    </row>
    <row r="23" customFormat="false" ht="15" hidden="false" customHeight="false" outlineLevel="0" collapsed="false">
      <c r="A23" s="16" t="str">
        <f aca="false">Payment_Log_AP!A20</f>
        <v>PAY40019</v>
      </c>
      <c r="B23" s="16" t="str">
        <f aca="false">Payment_Log_AP!C20</f>
        <v>V1027</v>
      </c>
      <c r="C23" s="16" t="str">
        <f aca="false">Payment_Log_AP!B20</f>
        <v>INV30023</v>
      </c>
      <c r="D23" s="17" t="n">
        <f aca="false">Payment_Log_AP!D20</f>
        <v>46012</v>
      </c>
      <c r="E23" s="18" t="n">
        <f aca="false">Payment_Log_AP!E20</f>
        <v>883.86</v>
      </c>
      <c r="F23" s="17" t="n">
        <f aca="false">IFERROR(INDEX(Vendor_Invoices_AP!$D$2:$D$882,MATCH(C23,Vendor_Invoices_AP!$A$2:$A$882,0)),"")</f>
        <v>45993</v>
      </c>
      <c r="G23" s="16" t="n">
        <f aca="false">IF(F23="","",D23-F23)</f>
        <v>19</v>
      </c>
      <c r="H23" s="21" t="n">
        <f aca="false">IF(F23="","",DATE(YEAR(D23),MONTH(D23),1))</f>
        <v>45992</v>
      </c>
    </row>
    <row r="24" customFormat="false" ht="15" hidden="false" customHeight="false" outlineLevel="0" collapsed="false">
      <c r="A24" s="16" t="str">
        <f aca="false">Payment_Log_AP!A21</f>
        <v>PAY40020</v>
      </c>
      <c r="B24" s="16" t="str">
        <f aca="false">Payment_Log_AP!C21</f>
        <v>V1007</v>
      </c>
      <c r="C24" s="16" t="str">
        <f aca="false">Payment_Log_AP!B21</f>
        <v>INV30024</v>
      </c>
      <c r="D24" s="17" t="n">
        <f aca="false">Payment_Log_AP!D21</f>
        <v>45970</v>
      </c>
      <c r="E24" s="18" t="n">
        <f aca="false">Payment_Log_AP!E21</f>
        <v>1058.03</v>
      </c>
      <c r="F24" s="17" t="n">
        <f aca="false">IFERROR(INDEX(Vendor_Invoices_AP!$D$2:$D$882,MATCH(C24,Vendor_Invoices_AP!$A$2:$A$882,0)),"")</f>
        <v>45944</v>
      </c>
      <c r="G24" s="16" t="n">
        <f aca="false">IF(F24="","",D24-F24)</f>
        <v>26</v>
      </c>
      <c r="H24" s="21" t="n">
        <f aca="false">IF(F24="","",DATE(YEAR(D24),MONTH(D24),1))</f>
        <v>45962</v>
      </c>
    </row>
    <row r="25" customFormat="false" ht="15" hidden="false" customHeight="false" outlineLevel="0" collapsed="false">
      <c r="A25" s="16" t="str">
        <f aca="false">Payment_Log_AP!A22</f>
        <v>PAY40021</v>
      </c>
      <c r="B25" s="16" t="str">
        <f aca="false">Payment_Log_AP!C22</f>
        <v>V1039</v>
      </c>
      <c r="C25" s="16" t="str">
        <f aca="false">Payment_Log_AP!B22</f>
        <v>INV30025</v>
      </c>
      <c r="D25" s="17" t="n">
        <f aca="false">Payment_Log_AP!D22</f>
        <v>45898</v>
      </c>
      <c r="E25" s="18" t="n">
        <f aca="false">Payment_Log_AP!E22</f>
        <v>2265.24</v>
      </c>
      <c r="F25" s="17" t="n">
        <f aca="false">IFERROR(INDEX(Vendor_Invoices_AP!$D$2:$D$882,MATCH(C25,Vendor_Invoices_AP!$A$2:$A$882,0)),"")</f>
        <v>45882</v>
      </c>
      <c r="G25" s="16" t="n">
        <f aca="false">IF(F25="","",D25-F25)</f>
        <v>16</v>
      </c>
      <c r="H25" s="21" t="n">
        <f aca="false">IF(F25="","",DATE(YEAR(D25),MONTH(D25),1))</f>
        <v>45870</v>
      </c>
    </row>
    <row r="26" customFormat="false" ht="15" hidden="false" customHeight="false" outlineLevel="0" collapsed="false">
      <c r="A26" s="16" t="str">
        <f aca="false">Payment_Log_AP!A23</f>
        <v>PAY40022</v>
      </c>
      <c r="B26" s="16" t="str">
        <f aca="false">Payment_Log_AP!C23</f>
        <v>V1027</v>
      </c>
      <c r="C26" s="16" t="str">
        <f aca="false">Payment_Log_AP!B23</f>
        <v>INV30026</v>
      </c>
      <c r="D26" s="17" t="n">
        <f aca="false">Payment_Log_AP!D23</f>
        <v>46007</v>
      </c>
      <c r="E26" s="18" t="n">
        <f aca="false">Payment_Log_AP!E23</f>
        <v>1994.87</v>
      </c>
      <c r="F26" s="17" t="n">
        <f aca="false">IFERROR(INDEX(Vendor_Invoices_AP!$D$2:$D$882,MATCH(C26,Vendor_Invoices_AP!$A$2:$A$882,0)),"")</f>
        <v>45979</v>
      </c>
      <c r="G26" s="16" t="n">
        <f aca="false">IF(F26="","",D26-F26)</f>
        <v>28</v>
      </c>
      <c r="H26" s="21" t="n">
        <f aca="false">IF(F26="","",DATE(YEAR(D26),MONTH(D26),1))</f>
        <v>45992</v>
      </c>
    </row>
    <row r="27" customFormat="false" ht="15" hidden="false" customHeight="false" outlineLevel="0" collapsed="false">
      <c r="A27" s="16" t="str">
        <f aca="false">Payment_Log_AP!A24</f>
        <v>PAY40023</v>
      </c>
      <c r="B27" s="16" t="str">
        <f aca="false">Payment_Log_AP!C24</f>
        <v>V1017</v>
      </c>
      <c r="C27" s="16" t="str">
        <f aca="false">Payment_Log_AP!B24</f>
        <v>INV30027</v>
      </c>
      <c r="D27" s="17" t="n">
        <f aca="false">Payment_Log_AP!D24</f>
        <v>45827</v>
      </c>
      <c r="E27" s="18" t="n">
        <f aca="false">Payment_Log_AP!E24</f>
        <v>1863.09</v>
      </c>
      <c r="F27" s="17" t="n">
        <f aca="false">IFERROR(INDEX(Vendor_Invoices_AP!$D$2:$D$882,MATCH(C27,Vendor_Invoices_AP!$A$2:$A$882,0)),"")</f>
        <v>45816</v>
      </c>
      <c r="G27" s="16" t="n">
        <f aca="false">IF(F27="","",D27-F27)</f>
        <v>11</v>
      </c>
      <c r="H27" s="21" t="n">
        <f aca="false">IF(F27="","",DATE(YEAR(D27),MONTH(D27),1))</f>
        <v>45809</v>
      </c>
    </row>
    <row r="28" customFormat="false" ht="15" hidden="false" customHeight="false" outlineLevel="0" collapsed="false">
      <c r="A28" s="16" t="str">
        <f aca="false">Payment_Log_AP!A25</f>
        <v>PAY40024</v>
      </c>
      <c r="B28" s="16" t="str">
        <f aca="false">Payment_Log_AP!C25</f>
        <v>V1009</v>
      </c>
      <c r="C28" s="16" t="str">
        <f aca="false">Payment_Log_AP!B25</f>
        <v>INV30028</v>
      </c>
      <c r="D28" s="17" t="n">
        <f aca="false">Payment_Log_AP!D25</f>
        <v>46069</v>
      </c>
      <c r="E28" s="18" t="n">
        <f aca="false">Payment_Log_AP!E25</f>
        <v>1558.36</v>
      </c>
      <c r="F28" s="17" t="n">
        <f aca="false">IFERROR(INDEX(Vendor_Invoices_AP!$D$2:$D$882,MATCH(C28,Vendor_Invoices_AP!$A$2:$A$882,0)),"")</f>
        <v>46051</v>
      </c>
      <c r="G28" s="16" t="n">
        <f aca="false">IF(F28="","",D28-F28)</f>
        <v>18</v>
      </c>
      <c r="H28" s="21" t="n">
        <f aca="false">IF(F28="","",DATE(YEAR(D28),MONTH(D28),1))</f>
        <v>46054</v>
      </c>
    </row>
    <row r="29" customFormat="false" ht="15" hidden="false" customHeight="false" outlineLevel="0" collapsed="false">
      <c r="A29" s="16" t="str">
        <f aca="false">Payment_Log_AP!A26</f>
        <v>PAY40025</v>
      </c>
      <c r="B29" s="16" t="str">
        <f aca="false">Payment_Log_AP!C26</f>
        <v>V1013</v>
      </c>
      <c r="C29" s="16" t="str">
        <f aca="false">Payment_Log_AP!B26</f>
        <v>INV30029</v>
      </c>
      <c r="D29" s="17" t="n">
        <f aca="false">Payment_Log_AP!D26</f>
        <v>45710</v>
      </c>
      <c r="E29" s="18" t="n">
        <f aca="false">Payment_Log_AP!E26</f>
        <v>1249.67</v>
      </c>
      <c r="F29" s="17" t="n">
        <f aca="false">IFERROR(INDEX(Vendor_Invoices_AP!$D$2:$D$882,MATCH(C29,Vendor_Invoices_AP!$A$2:$A$882,0)),"")</f>
        <v>45678</v>
      </c>
      <c r="G29" s="16" t="n">
        <f aca="false">IF(F29="","",D29-F29)</f>
        <v>32</v>
      </c>
      <c r="H29" s="21" t="n">
        <f aca="false">IF(F29="","",DATE(YEAR(D29),MONTH(D29),1))</f>
        <v>45689</v>
      </c>
    </row>
    <row r="30" customFormat="false" ht="15" hidden="false" customHeight="false" outlineLevel="0" collapsed="false">
      <c r="A30" s="16" t="str">
        <f aca="false">Payment_Log_AP!A27</f>
        <v>PAY40026</v>
      </c>
      <c r="B30" s="16" t="str">
        <f aca="false">Payment_Log_AP!C27</f>
        <v>V1016</v>
      </c>
      <c r="C30" s="16" t="str">
        <f aca="false">Payment_Log_AP!B27</f>
        <v>INV30031</v>
      </c>
      <c r="D30" s="17" t="n">
        <f aca="false">Payment_Log_AP!D27</f>
        <v>45960</v>
      </c>
      <c r="E30" s="18" t="n">
        <f aca="false">Payment_Log_AP!E27</f>
        <v>877.47</v>
      </c>
      <c r="F30" s="17" t="n">
        <f aca="false">IFERROR(INDEX(Vendor_Invoices_AP!$D$2:$D$882,MATCH(C30,Vendor_Invoices_AP!$A$2:$A$882,0)),"")</f>
        <v>45955</v>
      </c>
      <c r="G30" s="16" t="n">
        <f aca="false">IF(F30="","",D30-F30)</f>
        <v>5</v>
      </c>
      <c r="H30" s="21" t="n">
        <f aca="false">IF(F30="","",DATE(YEAR(D30),MONTH(D30),1))</f>
        <v>45931</v>
      </c>
    </row>
    <row r="31" customFormat="false" ht="15" hidden="false" customHeight="false" outlineLevel="0" collapsed="false">
      <c r="A31" s="16" t="str">
        <f aca="false">Payment_Log_AP!A28</f>
        <v>PAY40027</v>
      </c>
      <c r="B31" s="16" t="str">
        <f aca="false">Payment_Log_AP!C28</f>
        <v>V1017</v>
      </c>
      <c r="C31" s="16" t="str">
        <f aca="false">Payment_Log_AP!B28</f>
        <v>INV30032</v>
      </c>
      <c r="D31" s="17" t="n">
        <f aca="false">Payment_Log_AP!D28</f>
        <v>46073</v>
      </c>
      <c r="E31" s="18" t="n">
        <f aca="false">Payment_Log_AP!E28</f>
        <v>644.78</v>
      </c>
      <c r="F31" s="17" t="n">
        <f aca="false">IFERROR(INDEX(Vendor_Invoices_AP!$D$2:$D$882,MATCH(C31,Vendor_Invoices_AP!$A$2:$A$882,0)),"")</f>
        <v>46067</v>
      </c>
      <c r="G31" s="16" t="n">
        <f aca="false">IF(F31="","",D31-F31)</f>
        <v>6</v>
      </c>
      <c r="H31" s="21" t="n">
        <f aca="false">IF(F31="","",DATE(YEAR(D31),MONTH(D31),1))</f>
        <v>46054</v>
      </c>
    </row>
    <row r="32" customFormat="false" ht="15" hidden="false" customHeight="false" outlineLevel="0" collapsed="false">
      <c r="A32" s="16" t="str">
        <f aca="false">Payment_Log_AP!A29</f>
        <v>PAY40028</v>
      </c>
      <c r="B32" s="16" t="str">
        <f aca="false">Payment_Log_AP!C29</f>
        <v>V1040</v>
      </c>
      <c r="C32" s="16" t="str">
        <f aca="false">Payment_Log_AP!B29</f>
        <v>INV30033</v>
      </c>
      <c r="D32" s="17" t="n">
        <f aca="false">Payment_Log_AP!D29</f>
        <v>46086</v>
      </c>
      <c r="E32" s="18" t="n">
        <f aca="false">Payment_Log_AP!E29</f>
        <v>10749.2</v>
      </c>
      <c r="F32" s="17" t="n">
        <f aca="false">IFERROR(INDEX(Vendor_Invoices_AP!$D$2:$D$882,MATCH(C32,Vendor_Invoices_AP!$A$2:$A$882,0)),"")</f>
        <v>46077</v>
      </c>
      <c r="G32" s="16" t="n">
        <f aca="false">IF(F32="","",D32-F32)</f>
        <v>9</v>
      </c>
      <c r="H32" s="21" t="n">
        <f aca="false">IF(F32="","",DATE(YEAR(D32),MONTH(D32),1))</f>
        <v>46082</v>
      </c>
    </row>
    <row r="33" customFormat="false" ht="15" hidden="false" customHeight="false" outlineLevel="0" collapsed="false">
      <c r="A33" s="16" t="str">
        <f aca="false">Payment_Log_AP!A30</f>
        <v>PAY40029</v>
      </c>
      <c r="B33" s="16" t="str">
        <f aca="false">Payment_Log_AP!C30</f>
        <v>V1018</v>
      </c>
      <c r="C33" s="16" t="str">
        <f aca="false">Payment_Log_AP!B30</f>
        <v>INV30034</v>
      </c>
      <c r="D33" s="17" t="n">
        <f aca="false">Payment_Log_AP!D30</f>
        <v>46038</v>
      </c>
      <c r="E33" s="18" t="n">
        <f aca="false">Payment_Log_AP!E30</f>
        <v>10173.53</v>
      </c>
      <c r="F33" s="17" t="n">
        <f aca="false">IFERROR(INDEX(Vendor_Invoices_AP!$D$2:$D$882,MATCH(C33,Vendor_Invoices_AP!$A$2:$A$882,0)),"")</f>
        <v>46030</v>
      </c>
      <c r="G33" s="16" t="n">
        <f aca="false">IF(F33="","",D33-F33)</f>
        <v>8</v>
      </c>
      <c r="H33" s="21" t="n">
        <f aca="false">IF(F33="","",DATE(YEAR(D33),MONTH(D33),1))</f>
        <v>46023</v>
      </c>
    </row>
    <row r="34" customFormat="false" ht="15" hidden="false" customHeight="false" outlineLevel="0" collapsed="false">
      <c r="A34" s="16" t="str">
        <f aca="false">Payment_Log_AP!A31</f>
        <v>PAY40030</v>
      </c>
      <c r="B34" s="16" t="str">
        <f aca="false">Payment_Log_AP!C31</f>
        <v>V1023</v>
      </c>
      <c r="C34" s="16" t="str">
        <f aca="false">Payment_Log_AP!B31</f>
        <v>INV30035</v>
      </c>
      <c r="D34" s="17" t="n">
        <f aca="false">Payment_Log_AP!D31</f>
        <v>45871</v>
      </c>
      <c r="E34" s="18" t="n">
        <f aca="false">Payment_Log_AP!E31</f>
        <v>7427.81</v>
      </c>
      <c r="F34" s="17" t="n">
        <f aca="false">IFERROR(INDEX(Vendor_Invoices_AP!$D$2:$D$882,MATCH(C34,Vendor_Invoices_AP!$A$2:$A$882,0)),"")</f>
        <v>45863</v>
      </c>
      <c r="G34" s="16" t="n">
        <f aca="false">IF(F34="","",D34-F34)</f>
        <v>8</v>
      </c>
      <c r="H34" s="21" t="n">
        <f aca="false">IF(F34="","",DATE(YEAR(D34),MONTH(D34),1))</f>
        <v>45870</v>
      </c>
    </row>
    <row r="35" customFormat="false" ht="15" hidden="false" customHeight="false" outlineLevel="0" collapsed="false">
      <c r="A35" s="16" t="str">
        <f aca="false">Payment_Log_AP!A32</f>
        <v>PAY40031</v>
      </c>
      <c r="B35" s="16" t="str">
        <f aca="false">Payment_Log_AP!C32</f>
        <v>V1024</v>
      </c>
      <c r="C35" s="16" t="str">
        <f aca="false">Payment_Log_AP!B32</f>
        <v>INV30036</v>
      </c>
      <c r="D35" s="17" t="n">
        <f aca="false">Payment_Log_AP!D32</f>
        <v>45737</v>
      </c>
      <c r="E35" s="18" t="n">
        <f aca="false">Payment_Log_AP!E32</f>
        <v>3858.14</v>
      </c>
      <c r="F35" s="17" t="n">
        <f aca="false">IFERROR(INDEX(Vendor_Invoices_AP!$D$2:$D$882,MATCH(C35,Vendor_Invoices_AP!$A$2:$A$882,0)),"")</f>
        <v>45712</v>
      </c>
      <c r="G35" s="16" t="n">
        <f aca="false">IF(F35="","",D35-F35)</f>
        <v>25</v>
      </c>
      <c r="H35" s="21" t="n">
        <f aca="false">IF(F35="","",DATE(YEAR(D35),MONTH(D35),1))</f>
        <v>45717</v>
      </c>
    </row>
    <row r="36" customFormat="false" ht="15" hidden="false" customHeight="false" outlineLevel="0" collapsed="false">
      <c r="A36" s="16" t="str">
        <f aca="false">Payment_Log_AP!A33</f>
        <v>PAY40032</v>
      </c>
      <c r="B36" s="16" t="str">
        <f aca="false">Payment_Log_AP!C33</f>
        <v>V1008</v>
      </c>
      <c r="C36" s="16" t="str">
        <f aca="false">Payment_Log_AP!B33</f>
        <v>INV30037</v>
      </c>
      <c r="D36" s="17" t="n">
        <f aca="false">Payment_Log_AP!D33</f>
        <v>46041</v>
      </c>
      <c r="E36" s="18" t="n">
        <f aca="false">Payment_Log_AP!E33</f>
        <v>1031.9</v>
      </c>
      <c r="F36" s="17" t="n">
        <f aca="false">IFERROR(INDEX(Vendor_Invoices_AP!$D$2:$D$882,MATCH(C36,Vendor_Invoices_AP!$A$2:$A$882,0)),"")</f>
        <v>46034</v>
      </c>
      <c r="G36" s="16" t="n">
        <f aca="false">IF(F36="","",D36-F36)</f>
        <v>7</v>
      </c>
      <c r="H36" s="21" t="n">
        <f aca="false">IF(F36="","",DATE(YEAR(D36),MONTH(D36),1))</f>
        <v>46023</v>
      </c>
    </row>
    <row r="37" customFormat="false" ht="15" hidden="false" customHeight="false" outlineLevel="0" collapsed="false">
      <c r="A37" s="16" t="str">
        <f aca="false">Payment_Log_AP!A34</f>
        <v>PAY40033</v>
      </c>
      <c r="B37" s="16" t="str">
        <f aca="false">Payment_Log_AP!C34</f>
        <v>V1023</v>
      </c>
      <c r="C37" s="16" t="str">
        <f aca="false">Payment_Log_AP!B34</f>
        <v>INV30038</v>
      </c>
      <c r="D37" s="17" t="n">
        <f aca="false">Payment_Log_AP!D34</f>
        <v>45872</v>
      </c>
      <c r="E37" s="18" t="n">
        <f aca="false">Payment_Log_AP!E34</f>
        <v>117.56</v>
      </c>
      <c r="F37" s="17" t="n">
        <f aca="false">IFERROR(INDEX(Vendor_Invoices_AP!$D$2:$D$882,MATCH(C37,Vendor_Invoices_AP!$A$2:$A$882,0)),"")</f>
        <v>45845</v>
      </c>
      <c r="G37" s="16" t="n">
        <f aca="false">IF(F37="","",D37-F37)</f>
        <v>27</v>
      </c>
      <c r="H37" s="21" t="n">
        <f aca="false">IF(F37="","",DATE(YEAR(D37),MONTH(D37),1))</f>
        <v>45870</v>
      </c>
    </row>
    <row r="38" customFormat="false" ht="15" hidden="false" customHeight="false" outlineLevel="0" collapsed="false">
      <c r="A38" s="16" t="str">
        <f aca="false">Payment_Log_AP!A35</f>
        <v>PAY40034</v>
      </c>
      <c r="B38" s="16" t="str">
        <f aca="false">Payment_Log_AP!C35</f>
        <v>V1012</v>
      </c>
      <c r="C38" s="16" t="str">
        <f aca="false">Payment_Log_AP!B35</f>
        <v>INV30039</v>
      </c>
      <c r="D38" s="17" t="n">
        <f aca="false">Payment_Log_AP!D35</f>
        <v>45887</v>
      </c>
      <c r="E38" s="18" t="n">
        <f aca="false">Payment_Log_AP!E35</f>
        <v>21146.76</v>
      </c>
      <c r="F38" s="17" t="n">
        <f aca="false">IFERROR(INDEX(Vendor_Invoices_AP!$D$2:$D$882,MATCH(C38,Vendor_Invoices_AP!$A$2:$A$882,0)),"")</f>
        <v>45852</v>
      </c>
      <c r="G38" s="16" t="n">
        <f aca="false">IF(F38="","",D38-F38)</f>
        <v>35</v>
      </c>
      <c r="H38" s="21" t="n">
        <f aca="false">IF(F38="","",DATE(YEAR(D38),MONTH(D38),1))</f>
        <v>45870</v>
      </c>
    </row>
    <row r="39" customFormat="false" ht="15" hidden="false" customHeight="false" outlineLevel="0" collapsed="false">
      <c r="A39" s="16" t="str">
        <f aca="false">Payment_Log_AP!A36</f>
        <v>PAY40035</v>
      </c>
      <c r="B39" s="16" t="str">
        <f aca="false">Payment_Log_AP!C36</f>
        <v>V1038</v>
      </c>
      <c r="C39" s="16" t="str">
        <f aca="false">Payment_Log_AP!B36</f>
        <v>INV30040</v>
      </c>
      <c r="D39" s="17" t="n">
        <f aca="false">Payment_Log_AP!D36</f>
        <v>46160</v>
      </c>
      <c r="E39" s="18" t="n">
        <f aca="false">Payment_Log_AP!E36</f>
        <v>869.11</v>
      </c>
      <c r="F39" s="17" t="n">
        <f aca="false">IFERROR(INDEX(Vendor_Invoices_AP!$D$2:$D$882,MATCH(C39,Vendor_Invoices_AP!$A$2:$A$882,0)),"")</f>
        <v>46125</v>
      </c>
      <c r="G39" s="16" t="n">
        <f aca="false">IF(F39="","",D39-F39)</f>
        <v>35</v>
      </c>
      <c r="H39" s="21" t="n">
        <f aca="false">IF(F39="","",DATE(YEAR(D39),MONTH(D39),1))</f>
        <v>46143</v>
      </c>
    </row>
    <row r="40" customFormat="false" ht="15" hidden="false" customHeight="false" outlineLevel="0" collapsed="false">
      <c r="A40" s="16" t="str">
        <f aca="false">Payment_Log_AP!A37</f>
        <v>PAY40036</v>
      </c>
      <c r="B40" s="16" t="str">
        <f aca="false">Payment_Log_AP!C37</f>
        <v>V1015</v>
      </c>
      <c r="C40" s="16" t="str">
        <f aca="false">Payment_Log_AP!B37</f>
        <v>INV30041</v>
      </c>
      <c r="D40" s="17" t="n">
        <f aca="false">Payment_Log_AP!D37</f>
        <v>46089</v>
      </c>
      <c r="E40" s="18" t="n">
        <f aca="false">Payment_Log_AP!E37</f>
        <v>1696.08</v>
      </c>
      <c r="F40" s="17" t="n">
        <f aca="false">IFERROR(INDEX(Vendor_Invoices_AP!$D$2:$D$882,MATCH(C40,Vendor_Invoices_AP!$A$2:$A$882,0)),"")</f>
        <v>46071</v>
      </c>
      <c r="G40" s="16" t="n">
        <f aca="false">IF(F40="","",D40-F40)</f>
        <v>18</v>
      </c>
      <c r="H40" s="21" t="n">
        <f aca="false">IF(F40="","",DATE(YEAR(D40),MONTH(D40),1))</f>
        <v>46082</v>
      </c>
    </row>
    <row r="41" customFormat="false" ht="15" hidden="false" customHeight="false" outlineLevel="0" collapsed="false">
      <c r="A41" s="16" t="str">
        <f aca="false">Payment_Log_AP!A38</f>
        <v>PAY40037</v>
      </c>
      <c r="B41" s="16" t="str">
        <f aca="false">Payment_Log_AP!C38</f>
        <v>V1011</v>
      </c>
      <c r="C41" s="16" t="str">
        <f aca="false">Payment_Log_AP!B38</f>
        <v>INV30042</v>
      </c>
      <c r="D41" s="17" t="n">
        <f aca="false">Payment_Log_AP!D38</f>
        <v>45846</v>
      </c>
      <c r="E41" s="18" t="n">
        <f aca="false">Payment_Log_AP!E38</f>
        <v>1814.85</v>
      </c>
      <c r="F41" s="17" t="n">
        <f aca="false">IFERROR(INDEX(Vendor_Invoices_AP!$D$2:$D$882,MATCH(C41,Vendor_Invoices_AP!$A$2:$A$882,0)),"")</f>
        <v>45826</v>
      </c>
      <c r="G41" s="16" t="n">
        <f aca="false">IF(F41="","",D41-F41)</f>
        <v>20</v>
      </c>
      <c r="H41" s="21" t="n">
        <f aca="false">IF(F41="","",DATE(YEAR(D41),MONTH(D41),1))</f>
        <v>45839</v>
      </c>
    </row>
    <row r="42" customFormat="false" ht="15" hidden="false" customHeight="false" outlineLevel="0" collapsed="false">
      <c r="A42" s="16" t="str">
        <f aca="false">Payment_Log_AP!A39</f>
        <v>PAY40038</v>
      </c>
      <c r="B42" s="16" t="str">
        <f aca="false">Payment_Log_AP!C39</f>
        <v>V1011</v>
      </c>
      <c r="C42" s="16" t="str">
        <f aca="false">Payment_Log_AP!B39</f>
        <v>INV30044</v>
      </c>
      <c r="D42" s="17" t="n">
        <f aca="false">Payment_Log_AP!D39</f>
        <v>45907</v>
      </c>
      <c r="E42" s="18" t="n">
        <f aca="false">Payment_Log_AP!E39</f>
        <v>9938.09</v>
      </c>
      <c r="F42" s="17" t="n">
        <f aca="false">IFERROR(INDEX(Vendor_Invoices_AP!$D$2:$D$882,MATCH(C42,Vendor_Invoices_AP!$A$2:$A$882,0)),"")</f>
        <v>45903</v>
      </c>
      <c r="G42" s="16" t="n">
        <f aca="false">IF(F42="","",D42-F42)</f>
        <v>4</v>
      </c>
      <c r="H42" s="21" t="n">
        <f aca="false">IF(F42="","",DATE(YEAR(D42),MONTH(D42),1))</f>
        <v>45901</v>
      </c>
    </row>
    <row r="43" customFormat="false" ht="15" hidden="false" customHeight="false" outlineLevel="0" collapsed="false">
      <c r="A43" s="16" t="str">
        <f aca="false">Payment_Log_AP!A40</f>
        <v>PAY40039</v>
      </c>
      <c r="B43" s="16" t="str">
        <f aca="false">Payment_Log_AP!C40</f>
        <v>V1011</v>
      </c>
      <c r="C43" s="16" t="str">
        <f aca="false">Payment_Log_AP!B40</f>
        <v>INV30045</v>
      </c>
      <c r="D43" s="17" t="n">
        <f aca="false">Payment_Log_AP!D40</f>
        <v>45922</v>
      </c>
      <c r="E43" s="18" t="n">
        <f aca="false">Payment_Log_AP!E40</f>
        <v>9938.09</v>
      </c>
      <c r="F43" s="17" t="n">
        <f aca="false">IFERROR(INDEX(Vendor_Invoices_AP!$D$2:$D$882,MATCH(C43,Vendor_Invoices_AP!$A$2:$A$882,0)),"")</f>
        <v>45898</v>
      </c>
      <c r="G43" s="16" t="n">
        <f aca="false">IF(F43="","",D43-F43)</f>
        <v>24</v>
      </c>
      <c r="H43" s="21" t="n">
        <f aca="false">IF(F43="","",DATE(YEAR(D43),MONTH(D43),1))</f>
        <v>45901</v>
      </c>
    </row>
    <row r="44" customFormat="false" ht="15" hidden="false" customHeight="false" outlineLevel="0" collapsed="false">
      <c r="A44" s="16" t="str">
        <f aca="false">Payment_Log_AP!A41</f>
        <v>PAY40040</v>
      </c>
      <c r="B44" s="16" t="str">
        <f aca="false">Payment_Log_AP!C41</f>
        <v>V1016</v>
      </c>
      <c r="C44" s="16" t="str">
        <f aca="false">Payment_Log_AP!B41</f>
        <v>INV30046</v>
      </c>
      <c r="D44" s="17" t="n">
        <f aca="false">Payment_Log_AP!D41</f>
        <v>45930</v>
      </c>
      <c r="E44" s="18" t="n">
        <f aca="false">Payment_Log_AP!E41</f>
        <v>1076.83</v>
      </c>
      <c r="F44" s="17" t="n">
        <f aca="false">IFERROR(INDEX(Vendor_Invoices_AP!$D$2:$D$882,MATCH(C44,Vendor_Invoices_AP!$A$2:$A$882,0)),"")</f>
        <v>45901</v>
      </c>
      <c r="G44" s="16" t="n">
        <f aca="false">IF(F44="","",D44-F44)</f>
        <v>29</v>
      </c>
      <c r="H44" s="21" t="n">
        <f aca="false">IF(F44="","",DATE(YEAR(D44),MONTH(D44),1))</f>
        <v>45901</v>
      </c>
    </row>
    <row r="45" customFormat="false" ht="15" hidden="false" customHeight="false" outlineLevel="0" collapsed="false">
      <c r="A45" s="16" t="str">
        <f aca="false">Payment_Log_AP!A42</f>
        <v>PAY40041</v>
      </c>
      <c r="B45" s="16" t="str">
        <f aca="false">Payment_Log_AP!C42</f>
        <v>V1016</v>
      </c>
      <c r="C45" s="16" t="str">
        <f aca="false">Payment_Log_AP!B42</f>
        <v>INV30046</v>
      </c>
      <c r="D45" s="17" t="n">
        <f aca="false">Payment_Log_AP!D42</f>
        <v>45937</v>
      </c>
      <c r="E45" s="18" t="n">
        <f aca="false">Payment_Log_AP!E42</f>
        <v>1076.83</v>
      </c>
      <c r="F45" s="17" t="n">
        <f aca="false">IFERROR(INDEX(Vendor_Invoices_AP!$D$2:$D$882,MATCH(C45,Vendor_Invoices_AP!$A$2:$A$882,0)),"")</f>
        <v>45901</v>
      </c>
      <c r="G45" s="16" t="n">
        <f aca="false">IF(F45="","",D45-F45)</f>
        <v>36</v>
      </c>
      <c r="H45" s="21" t="n">
        <f aca="false">IF(F45="","",DATE(YEAR(D45),MONTH(D45),1))</f>
        <v>45931</v>
      </c>
    </row>
    <row r="46" customFormat="false" ht="15" hidden="false" customHeight="false" outlineLevel="0" collapsed="false">
      <c r="A46" s="16" t="str">
        <f aca="false">Payment_Log_AP!A43</f>
        <v>PAY40042</v>
      </c>
      <c r="B46" s="16" t="str">
        <f aca="false">Payment_Log_AP!C43</f>
        <v>V1001</v>
      </c>
      <c r="C46" s="16" t="str">
        <f aca="false">Payment_Log_AP!B43</f>
        <v>INV30047</v>
      </c>
      <c r="D46" s="17" t="n">
        <f aca="false">Payment_Log_AP!D43</f>
        <v>45852</v>
      </c>
      <c r="E46" s="18" t="n">
        <f aca="false">Payment_Log_AP!E43</f>
        <v>5899.58</v>
      </c>
      <c r="F46" s="17" t="n">
        <f aca="false">IFERROR(INDEX(Vendor_Invoices_AP!$D$2:$D$882,MATCH(C46,Vendor_Invoices_AP!$A$2:$A$882,0)),"")</f>
        <v>45836</v>
      </c>
      <c r="G46" s="16" t="n">
        <f aca="false">IF(F46="","",D46-F46)</f>
        <v>16</v>
      </c>
      <c r="H46" s="21" t="n">
        <f aca="false">IF(F46="","",DATE(YEAR(D46),MONTH(D46),1))</f>
        <v>45839</v>
      </c>
    </row>
    <row r="47" customFormat="false" ht="15" hidden="false" customHeight="false" outlineLevel="0" collapsed="false">
      <c r="A47" s="16" t="str">
        <f aca="false">Payment_Log_AP!A44</f>
        <v>PAY40043</v>
      </c>
      <c r="B47" s="16" t="str">
        <f aca="false">Payment_Log_AP!C44</f>
        <v>V1020</v>
      </c>
      <c r="C47" s="16" t="str">
        <f aca="false">Payment_Log_AP!B44</f>
        <v>INV30048</v>
      </c>
      <c r="D47" s="17" t="n">
        <f aca="false">Payment_Log_AP!D44</f>
        <v>45776</v>
      </c>
      <c r="E47" s="18" t="n">
        <f aca="false">Payment_Log_AP!E44</f>
        <v>31348.72</v>
      </c>
      <c r="F47" s="17" t="n">
        <f aca="false">IFERROR(INDEX(Vendor_Invoices_AP!$D$2:$D$882,MATCH(C47,Vendor_Invoices_AP!$A$2:$A$882,0)),"")</f>
        <v>45747</v>
      </c>
      <c r="G47" s="16" t="n">
        <f aca="false">IF(F47="","",D47-F47)</f>
        <v>29</v>
      </c>
      <c r="H47" s="21" t="n">
        <f aca="false">IF(F47="","",DATE(YEAR(D47),MONTH(D47),1))</f>
        <v>45748</v>
      </c>
    </row>
    <row r="48" customFormat="false" ht="15" hidden="false" customHeight="false" outlineLevel="0" collapsed="false">
      <c r="A48" s="16" t="str">
        <f aca="false">Payment_Log_AP!A45</f>
        <v>PAY40044</v>
      </c>
      <c r="B48" s="16" t="str">
        <f aca="false">Payment_Log_AP!C45</f>
        <v>V1022</v>
      </c>
      <c r="C48" s="16" t="str">
        <f aca="false">Payment_Log_AP!B45</f>
        <v>INV30049</v>
      </c>
      <c r="D48" s="17" t="n">
        <f aca="false">Payment_Log_AP!D45</f>
        <v>45938</v>
      </c>
      <c r="E48" s="18" t="n">
        <f aca="false">Payment_Log_AP!E45</f>
        <v>2845.35</v>
      </c>
      <c r="F48" s="17" t="n">
        <f aca="false">IFERROR(INDEX(Vendor_Invoices_AP!$D$2:$D$882,MATCH(C48,Vendor_Invoices_AP!$A$2:$A$882,0)),"")</f>
        <v>45911</v>
      </c>
      <c r="G48" s="16" t="n">
        <f aca="false">IF(F48="","",D48-F48)</f>
        <v>27</v>
      </c>
      <c r="H48" s="21" t="n">
        <f aca="false">IF(F48="","",DATE(YEAR(D48),MONTH(D48),1))</f>
        <v>45931</v>
      </c>
    </row>
    <row r="49" customFormat="false" ht="15" hidden="false" customHeight="false" outlineLevel="0" collapsed="false">
      <c r="A49" s="16" t="str">
        <f aca="false">Payment_Log_AP!A46</f>
        <v>PAY40045</v>
      </c>
      <c r="B49" s="16" t="str">
        <f aca="false">Payment_Log_AP!C46</f>
        <v>V1025</v>
      </c>
      <c r="C49" s="16" t="str">
        <f aca="false">Payment_Log_AP!B46</f>
        <v>INV30051</v>
      </c>
      <c r="D49" s="17" t="n">
        <f aca="false">Payment_Log_AP!D46</f>
        <v>46058</v>
      </c>
      <c r="E49" s="18" t="n">
        <f aca="false">Payment_Log_AP!E46</f>
        <v>22892.64</v>
      </c>
      <c r="F49" s="17" t="n">
        <f aca="false">IFERROR(INDEX(Vendor_Invoices_AP!$D$2:$D$882,MATCH(C49,Vendor_Invoices_AP!$A$2:$A$882,0)),"")</f>
        <v>46031</v>
      </c>
      <c r="G49" s="16" t="n">
        <f aca="false">IF(F49="","",D49-F49)</f>
        <v>27</v>
      </c>
      <c r="H49" s="21" t="n">
        <f aca="false">IF(F49="","",DATE(YEAR(D49),MONTH(D49),1))</f>
        <v>46054</v>
      </c>
    </row>
    <row r="50" customFormat="false" ht="15" hidden="false" customHeight="false" outlineLevel="0" collapsed="false">
      <c r="A50" s="16" t="str">
        <f aca="false">Payment_Log_AP!A47</f>
        <v>PAY40046</v>
      </c>
      <c r="B50" s="16" t="str">
        <f aca="false">Payment_Log_AP!C47</f>
        <v>V1006</v>
      </c>
      <c r="C50" s="16" t="str">
        <f aca="false">Payment_Log_AP!B47</f>
        <v>INV30052</v>
      </c>
      <c r="D50" s="17" t="n">
        <f aca="false">Payment_Log_AP!D47</f>
        <v>46172</v>
      </c>
      <c r="E50" s="18" t="n">
        <f aca="false">Payment_Log_AP!E47</f>
        <v>306.49</v>
      </c>
      <c r="F50" s="17" t="n">
        <f aca="false">IFERROR(INDEX(Vendor_Invoices_AP!$D$2:$D$882,MATCH(C50,Vendor_Invoices_AP!$A$2:$A$882,0)),"")</f>
        <v>46165</v>
      </c>
      <c r="G50" s="16" t="n">
        <f aca="false">IF(F50="","",D50-F50)</f>
        <v>7</v>
      </c>
      <c r="H50" s="21" t="n">
        <f aca="false">IF(F50="","",DATE(YEAR(D50),MONTH(D50),1))</f>
        <v>46143</v>
      </c>
    </row>
    <row r="51" customFormat="false" ht="15" hidden="false" customHeight="false" outlineLevel="0" collapsed="false">
      <c r="A51" s="16" t="str">
        <f aca="false">Payment_Log_AP!A48</f>
        <v>PAY40047</v>
      </c>
      <c r="B51" s="16" t="str">
        <f aca="false">Payment_Log_AP!C48</f>
        <v>V1024</v>
      </c>
      <c r="C51" s="16" t="str">
        <f aca="false">Payment_Log_AP!B48</f>
        <v>INV30053</v>
      </c>
      <c r="D51" s="17" t="n">
        <f aca="false">Payment_Log_AP!D48</f>
        <v>46041</v>
      </c>
      <c r="E51" s="18" t="n">
        <f aca="false">Payment_Log_AP!E48</f>
        <v>5034.71</v>
      </c>
      <c r="F51" s="17" t="n">
        <f aca="false">IFERROR(INDEX(Vendor_Invoices_AP!$D$2:$D$882,MATCH(C51,Vendor_Invoices_AP!$A$2:$A$882,0)),"")</f>
        <v>46018</v>
      </c>
      <c r="G51" s="16" t="n">
        <f aca="false">IF(F51="","",D51-F51)</f>
        <v>23</v>
      </c>
      <c r="H51" s="21" t="n">
        <f aca="false">IF(F51="","",DATE(YEAR(D51),MONTH(D51),1))</f>
        <v>46023</v>
      </c>
    </row>
    <row r="52" customFormat="false" ht="15" hidden="false" customHeight="false" outlineLevel="0" collapsed="false">
      <c r="A52" s="16" t="str">
        <f aca="false">Payment_Log_AP!A49</f>
        <v>PAY40048</v>
      </c>
      <c r="B52" s="16" t="str">
        <f aca="false">Payment_Log_AP!C49</f>
        <v>V1024</v>
      </c>
      <c r="C52" s="16" t="str">
        <f aca="false">Payment_Log_AP!B49</f>
        <v>INV30054</v>
      </c>
      <c r="D52" s="17" t="n">
        <f aca="false">Payment_Log_AP!D49</f>
        <v>46034</v>
      </c>
      <c r="E52" s="18" t="n">
        <f aca="false">Payment_Log_AP!E49</f>
        <v>5034.71</v>
      </c>
      <c r="F52" s="17" t="n">
        <f aca="false">IFERROR(INDEX(Vendor_Invoices_AP!$D$2:$D$882,MATCH(C52,Vendor_Invoices_AP!$A$2:$A$882,0)),"")</f>
        <v>46013</v>
      </c>
      <c r="G52" s="16" t="n">
        <f aca="false">IF(F52="","",D52-F52)</f>
        <v>21</v>
      </c>
      <c r="H52" s="21" t="n">
        <f aca="false">IF(F52="","",DATE(YEAR(D52),MONTH(D52),1))</f>
        <v>46023</v>
      </c>
    </row>
    <row r="53" customFormat="false" ht="15" hidden="false" customHeight="false" outlineLevel="0" collapsed="false">
      <c r="A53" s="16" t="str">
        <f aca="false">Payment_Log_AP!A50</f>
        <v>PAY40049</v>
      </c>
      <c r="B53" s="16" t="str">
        <f aca="false">Payment_Log_AP!C50</f>
        <v>V1029</v>
      </c>
      <c r="C53" s="16" t="str">
        <f aca="false">Payment_Log_AP!B50</f>
        <v>INV30055</v>
      </c>
      <c r="D53" s="17" t="n">
        <f aca="false">Payment_Log_AP!D50</f>
        <v>45848</v>
      </c>
      <c r="E53" s="18" t="n">
        <f aca="false">Payment_Log_AP!E50</f>
        <v>1369.29</v>
      </c>
      <c r="F53" s="17" t="n">
        <f aca="false">IFERROR(INDEX(Vendor_Invoices_AP!$D$2:$D$882,MATCH(C53,Vendor_Invoices_AP!$A$2:$A$882,0)),"")</f>
        <v>45836</v>
      </c>
      <c r="G53" s="16" t="n">
        <f aca="false">IF(F53="","",D53-F53)</f>
        <v>12</v>
      </c>
      <c r="H53" s="21" t="n">
        <f aca="false">IF(F53="","",DATE(YEAR(D53),MONTH(D53),1))</f>
        <v>45839</v>
      </c>
    </row>
    <row r="54" customFormat="false" ht="15" hidden="false" customHeight="false" outlineLevel="0" collapsed="false">
      <c r="A54" s="16" t="str">
        <f aca="false">Payment_Log_AP!A51</f>
        <v>PAY40050</v>
      </c>
      <c r="B54" s="16" t="str">
        <f aca="false">Payment_Log_AP!C51</f>
        <v>V1025</v>
      </c>
      <c r="C54" s="16" t="str">
        <f aca="false">Payment_Log_AP!B51</f>
        <v>INV30056</v>
      </c>
      <c r="D54" s="17" t="n">
        <f aca="false">Payment_Log_AP!D51</f>
        <v>45994</v>
      </c>
      <c r="E54" s="18" t="n">
        <f aca="false">Payment_Log_AP!E51</f>
        <v>2783.02</v>
      </c>
      <c r="F54" s="17" t="n">
        <f aca="false">IFERROR(INDEX(Vendor_Invoices_AP!$D$2:$D$882,MATCH(C54,Vendor_Invoices_AP!$A$2:$A$882,0)),"")</f>
        <v>45968</v>
      </c>
      <c r="G54" s="16" t="n">
        <f aca="false">IF(F54="","",D54-F54)</f>
        <v>26</v>
      </c>
      <c r="H54" s="21" t="n">
        <f aca="false">IF(F54="","",DATE(YEAR(D54),MONTH(D54),1))</f>
        <v>45992</v>
      </c>
    </row>
    <row r="55" customFormat="false" ht="15" hidden="false" customHeight="false" outlineLevel="0" collapsed="false">
      <c r="A55" s="16" t="str">
        <f aca="false">Payment_Log_AP!A52</f>
        <v>PAY40051</v>
      </c>
      <c r="B55" s="16" t="str">
        <f aca="false">Payment_Log_AP!C52</f>
        <v>V1031</v>
      </c>
      <c r="C55" s="16" t="str">
        <f aca="false">Payment_Log_AP!B52</f>
        <v>INV30057</v>
      </c>
      <c r="D55" s="17" t="n">
        <f aca="false">Payment_Log_AP!D52</f>
        <v>45679</v>
      </c>
      <c r="E55" s="18" t="n">
        <f aca="false">Payment_Log_AP!E52</f>
        <v>1474.66</v>
      </c>
      <c r="F55" s="17" t="n">
        <f aca="false">IFERROR(INDEX(Vendor_Invoices_AP!$D$2:$D$882,MATCH(C55,Vendor_Invoices_AP!$A$2:$A$882,0)),"")</f>
        <v>45673</v>
      </c>
      <c r="G55" s="16" t="n">
        <f aca="false">IF(F55="","",D55-F55)</f>
        <v>6</v>
      </c>
      <c r="H55" s="21" t="n">
        <f aca="false">IF(F55="","",DATE(YEAR(D55),MONTH(D55),1))</f>
        <v>45658</v>
      </c>
    </row>
    <row r="56" customFormat="false" ht="15" hidden="false" customHeight="false" outlineLevel="0" collapsed="false">
      <c r="A56" s="16" t="str">
        <f aca="false">Payment_Log_AP!A53</f>
        <v>PAY40052</v>
      </c>
      <c r="B56" s="16" t="str">
        <f aca="false">Payment_Log_AP!C53</f>
        <v>V1031</v>
      </c>
      <c r="C56" s="16" t="str">
        <f aca="false">Payment_Log_AP!B53</f>
        <v>INV30058</v>
      </c>
      <c r="D56" s="17" t="n">
        <f aca="false">Payment_Log_AP!D53</f>
        <v>45842</v>
      </c>
      <c r="E56" s="18" t="n">
        <f aca="false">Payment_Log_AP!E53</f>
        <v>1567.44</v>
      </c>
      <c r="F56" s="17" t="n">
        <f aca="false">IFERROR(INDEX(Vendor_Invoices_AP!$D$2:$D$882,MATCH(C56,Vendor_Invoices_AP!$A$2:$A$882,0)),"")</f>
        <v>45833</v>
      </c>
      <c r="G56" s="16" t="n">
        <f aca="false">IF(F56="","",D56-F56)</f>
        <v>9</v>
      </c>
      <c r="H56" s="21" t="n">
        <f aca="false">IF(F56="","",DATE(YEAR(D56),MONTH(D56),1))</f>
        <v>45839</v>
      </c>
    </row>
    <row r="57" customFormat="false" ht="15" hidden="false" customHeight="false" outlineLevel="0" collapsed="false">
      <c r="A57" s="16" t="str">
        <f aca="false">Payment_Log_AP!A54</f>
        <v>PAY40053</v>
      </c>
      <c r="B57" s="16" t="str">
        <f aca="false">Payment_Log_AP!C54</f>
        <v>V1029</v>
      </c>
      <c r="C57" s="16" t="str">
        <f aca="false">Payment_Log_AP!B54</f>
        <v>INV30059</v>
      </c>
      <c r="D57" s="17" t="n">
        <f aca="false">Payment_Log_AP!D54</f>
        <v>45933</v>
      </c>
      <c r="E57" s="18" t="n">
        <f aca="false">Payment_Log_AP!E54</f>
        <v>7649.01</v>
      </c>
      <c r="F57" s="17" t="n">
        <f aca="false">IFERROR(INDEX(Vendor_Invoices_AP!$D$2:$D$882,MATCH(C57,Vendor_Invoices_AP!$A$2:$A$882,0)),"")</f>
        <v>45902</v>
      </c>
      <c r="G57" s="16" t="n">
        <f aca="false">IF(F57="","",D57-F57)</f>
        <v>31</v>
      </c>
      <c r="H57" s="21" t="n">
        <f aca="false">IF(F57="","",DATE(YEAR(D57),MONTH(D57),1))</f>
        <v>45931</v>
      </c>
    </row>
    <row r="58" customFormat="false" ht="15" hidden="false" customHeight="false" outlineLevel="0" collapsed="false">
      <c r="A58" s="16" t="str">
        <f aca="false">Payment_Log_AP!A55</f>
        <v>PAY40054</v>
      </c>
      <c r="B58" s="16" t="str">
        <f aca="false">Payment_Log_AP!C55</f>
        <v>V1009</v>
      </c>
      <c r="C58" s="16" t="str">
        <f aca="false">Payment_Log_AP!B55</f>
        <v>INV30060</v>
      </c>
      <c r="D58" s="17" t="n">
        <f aca="false">Payment_Log_AP!D55</f>
        <v>46003</v>
      </c>
      <c r="E58" s="18" t="n">
        <f aca="false">Payment_Log_AP!E55</f>
        <v>3881</v>
      </c>
      <c r="F58" s="17" t="n">
        <f aca="false">IFERROR(INDEX(Vendor_Invoices_AP!$D$2:$D$882,MATCH(C58,Vendor_Invoices_AP!$A$2:$A$882,0)),"")</f>
        <v>45982</v>
      </c>
      <c r="G58" s="16" t="n">
        <f aca="false">IF(F58="","",D58-F58)</f>
        <v>21</v>
      </c>
      <c r="H58" s="21" t="n">
        <f aca="false">IF(F58="","",DATE(YEAR(D58),MONTH(D58),1))</f>
        <v>45992</v>
      </c>
    </row>
    <row r="59" customFormat="false" ht="15" hidden="false" customHeight="false" outlineLevel="0" collapsed="false">
      <c r="A59" s="16" t="str">
        <f aca="false">Payment_Log_AP!A56</f>
        <v>PAY40055</v>
      </c>
      <c r="B59" s="16" t="str">
        <f aca="false">Payment_Log_AP!C56</f>
        <v>V1019</v>
      </c>
      <c r="C59" s="16" t="str">
        <f aca="false">Payment_Log_AP!B56</f>
        <v>INV30061</v>
      </c>
      <c r="D59" s="17" t="n">
        <f aca="false">Payment_Log_AP!D56</f>
        <v>46043</v>
      </c>
      <c r="E59" s="18" t="n">
        <f aca="false">Payment_Log_AP!E56</f>
        <v>3262.21</v>
      </c>
      <c r="F59" s="17" t="n">
        <f aca="false">IFERROR(INDEX(Vendor_Invoices_AP!$D$2:$D$882,MATCH(C59,Vendor_Invoices_AP!$A$2:$A$882,0)),"")</f>
        <v>46031</v>
      </c>
      <c r="G59" s="16" t="n">
        <f aca="false">IF(F59="","",D59-F59)</f>
        <v>12</v>
      </c>
      <c r="H59" s="21" t="n">
        <f aca="false">IF(F59="","",DATE(YEAR(D59),MONTH(D59),1))</f>
        <v>46023</v>
      </c>
    </row>
    <row r="60" customFormat="false" ht="15" hidden="false" customHeight="false" outlineLevel="0" collapsed="false">
      <c r="A60" s="16" t="str">
        <f aca="false">Payment_Log_AP!A57</f>
        <v>PAY40056</v>
      </c>
      <c r="B60" s="16" t="str">
        <f aca="false">Payment_Log_AP!C57</f>
        <v>V1013</v>
      </c>
      <c r="C60" s="16" t="str">
        <f aca="false">Payment_Log_AP!B57</f>
        <v>INV30063</v>
      </c>
      <c r="D60" s="17" t="n">
        <f aca="false">Payment_Log_AP!D57</f>
        <v>45926</v>
      </c>
      <c r="E60" s="18" t="n">
        <f aca="false">Payment_Log_AP!E57</f>
        <v>5144.03</v>
      </c>
      <c r="F60" s="17" t="n">
        <f aca="false">IFERROR(INDEX(Vendor_Invoices_AP!$D$2:$D$882,MATCH(C60,Vendor_Invoices_AP!$A$2:$A$882,0)),"")</f>
        <v>45911</v>
      </c>
      <c r="G60" s="16" t="n">
        <f aca="false">IF(F60="","",D60-F60)</f>
        <v>15</v>
      </c>
      <c r="H60" s="21" t="n">
        <f aca="false">IF(F60="","",DATE(YEAR(D60),MONTH(D60),1))</f>
        <v>45901</v>
      </c>
    </row>
    <row r="61" customFormat="false" ht="15" hidden="false" customHeight="false" outlineLevel="0" collapsed="false">
      <c r="A61" s="16" t="str">
        <f aca="false">Payment_Log_AP!A58</f>
        <v>PAY40057</v>
      </c>
      <c r="B61" s="16" t="str">
        <f aca="false">Payment_Log_AP!C58</f>
        <v>V1038</v>
      </c>
      <c r="C61" s="16" t="str">
        <f aca="false">Payment_Log_AP!B58</f>
        <v>INV30065</v>
      </c>
      <c r="D61" s="17" t="n">
        <f aca="false">Payment_Log_AP!D58</f>
        <v>45955</v>
      </c>
      <c r="E61" s="18" t="n">
        <f aca="false">Payment_Log_AP!E58</f>
        <v>5496.95</v>
      </c>
      <c r="F61" s="17" t="n">
        <f aca="false">IFERROR(INDEX(Vendor_Invoices_AP!$D$2:$D$882,MATCH(C61,Vendor_Invoices_AP!$A$2:$A$882,0)),"")</f>
        <v>45940</v>
      </c>
      <c r="G61" s="16" t="n">
        <f aca="false">IF(F61="","",D61-F61)</f>
        <v>15</v>
      </c>
      <c r="H61" s="21" t="n">
        <f aca="false">IF(F61="","",DATE(YEAR(D61),MONTH(D61),1))</f>
        <v>45931</v>
      </c>
    </row>
    <row r="62" customFormat="false" ht="15" hidden="false" customHeight="false" outlineLevel="0" collapsed="false">
      <c r="A62" s="16" t="str">
        <f aca="false">Payment_Log_AP!A59</f>
        <v>PAY40058</v>
      </c>
      <c r="B62" s="16" t="str">
        <f aca="false">Payment_Log_AP!C59</f>
        <v>V1031</v>
      </c>
      <c r="C62" s="16" t="str">
        <f aca="false">Payment_Log_AP!B59</f>
        <v>INV30066</v>
      </c>
      <c r="D62" s="17" t="n">
        <f aca="false">Payment_Log_AP!D59</f>
        <v>46167</v>
      </c>
      <c r="E62" s="18" t="n">
        <f aca="false">Payment_Log_AP!E59</f>
        <v>1566.24</v>
      </c>
      <c r="F62" s="17" t="n">
        <f aca="false">IFERROR(INDEX(Vendor_Invoices_AP!$D$2:$D$882,MATCH(C62,Vendor_Invoices_AP!$A$2:$A$882,0)),"")</f>
        <v>46156</v>
      </c>
      <c r="G62" s="16" t="n">
        <f aca="false">IF(F62="","",D62-F62)</f>
        <v>11</v>
      </c>
      <c r="H62" s="21" t="n">
        <f aca="false">IF(F62="","",DATE(YEAR(D62),MONTH(D62),1))</f>
        <v>46143</v>
      </c>
    </row>
    <row r="63" customFormat="false" ht="15" hidden="false" customHeight="false" outlineLevel="0" collapsed="false">
      <c r="A63" s="16" t="str">
        <f aca="false">Payment_Log_AP!A60</f>
        <v>PAY40059</v>
      </c>
      <c r="B63" s="16" t="str">
        <f aca="false">Payment_Log_AP!C60</f>
        <v>V1027</v>
      </c>
      <c r="C63" s="16" t="str">
        <f aca="false">Payment_Log_AP!B60</f>
        <v>INV30067</v>
      </c>
      <c r="D63" s="17" t="n">
        <f aca="false">Payment_Log_AP!D60</f>
        <v>46120</v>
      </c>
      <c r="E63" s="18" t="n">
        <f aca="false">Payment_Log_AP!E60</f>
        <v>17358.33</v>
      </c>
      <c r="F63" s="17" t="n">
        <f aca="false">IFERROR(INDEX(Vendor_Invoices_AP!$D$2:$D$882,MATCH(C63,Vendor_Invoices_AP!$A$2:$A$882,0)),"")</f>
        <v>46103</v>
      </c>
      <c r="G63" s="16" t="n">
        <f aca="false">IF(F63="","",D63-F63)</f>
        <v>17</v>
      </c>
      <c r="H63" s="21" t="n">
        <f aca="false">IF(F63="","",DATE(YEAR(D63),MONTH(D63),1))</f>
        <v>46113</v>
      </c>
    </row>
    <row r="64" customFormat="false" ht="15" hidden="false" customHeight="false" outlineLevel="0" collapsed="false">
      <c r="A64" s="16" t="str">
        <f aca="false">Payment_Log_AP!A61</f>
        <v>PAY40060</v>
      </c>
      <c r="B64" s="16" t="str">
        <f aca="false">Payment_Log_AP!C61</f>
        <v>V1010</v>
      </c>
      <c r="C64" s="16" t="str">
        <f aca="false">Payment_Log_AP!B61</f>
        <v>INV30068</v>
      </c>
      <c r="D64" s="17" t="n">
        <f aca="false">Payment_Log_AP!D61</f>
        <v>45781</v>
      </c>
      <c r="E64" s="18" t="n">
        <f aca="false">Payment_Log_AP!E61</f>
        <v>537.25</v>
      </c>
      <c r="F64" s="17" t="n">
        <f aca="false">IFERROR(INDEX(Vendor_Invoices_AP!$D$2:$D$882,MATCH(C64,Vendor_Invoices_AP!$A$2:$A$882,0)),"")</f>
        <v>45773</v>
      </c>
      <c r="G64" s="16" t="n">
        <f aca="false">IF(F64="","",D64-F64)</f>
        <v>8</v>
      </c>
      <c r="H64" s="21" t="n">
        <f aca="false">IF(F64="","",DATE(YEAR(D64),MONTH(D64),1))</f>
        <v>45778</v>
      </c>
    </row>
    <row r="65" customFormat="false" ht="15" hidden="false" customHeight="false" outlineLevel="0" collapsed="false">
      <c r="A65" s="16" t="str">
        <f aca="false">Payment_Log_AP!A62</f>
        <v>PAY40061</v>
      </c>
      <c r="B65" s="16" t="str">
        <f aca="false">Payment_Log_AP!C62</f>
        <v>V1014</v>
      </c>
      <c r="C65" s="16" t="str">
        <f aca="false">Payment_Log_AP!B62</f>
        <v>INV30069</v>
      </c>
      <c r="D65" s="17" t="n">
        <f aca="false">Payment_Log_AP!D62</f>
        <v>45756</v>
      </c>
      <c r="E65" s="18" t="n">
        <f aca="false">Payment_Log_AP!E62</f>
        <v>4040.21</v>
      </c>
      <c r="F65" s="17" t="n">
        <f aca="false">IFERROR(INDEX(Vendor_Invoices_AP!$D$2:$D$882,MATCH(C65,Vendor_Invoices_AP!$A$2:$A$882,0)),"")</f>
        <v>45726</v>
      </c>
      <c r="G65" s="16" t="n">
        <f aca="false">IF(F65="","",D65-F65)</f>
        <v>30</v>
      </c>
      <c r="H65" s="21" t="n">
        <f aca="false">IF(F65="","",DATE(YEAR(D65),MONTH(D65),1))</f>
        <v>45748</v>
      </c>
    </row>
    <row r="66" customFormat="false" ht="15" hidden="false" customHeight="false" outlineLevel="0" collapsed="false">
      <c r="A66" s="16" t="str">
        <f aca="false">Payment_Log_AP!A63</f>
        <v>PAY40062</v>
      </c>
      <c r="B66" s="16" t="str">
        <f aca="false">Payment_Log_AP!C63</f>
        <v>V1002</v>
      </c>
      <c r="C66" s="16" t="str">
        <f aca="false">Payment_Log_AP!B63</f>
        <v>INV30070</v>
      </c>
      <c r="D66" s="17" t="n">
        <f aca="false">Payment_Log_AP!D63</f>
        <v>45972</v>
      </c>
      <c r="E66" s="18" t="n">
        <f aca="false">Payment_Log_AP!E63</f>
        <v>158.45</v>
      </c>
      <c r="F66" s="17" t="n">
        <f aca="false">IFERROR(INDEX(Vendor_Invoices_AP!$D$2:$D$882,MATCH(C66,Vendor_Invoices_AP!$A$2:$A$882,0)),"")</f>
        <v>45959</v>
      </c>
      <c r="G66" s="16" t="n">
        <f aca="false">IF(F66="","",D66-F66)</f>
        <v>13</v>
      </c>
      <c r="H66" s="21" t="n">
        <f aca="false">IF(F66="","",DATE(YEAR(D66),MONTH(D66),1))</f>
        <v>45962</v>
      </c>
    </row>
    <row r="67" customFormat="false" ht="15" hidden="false" customHeight="false" outlineLevel="0" collapsed="false">
      <c r="A67" s="16" t="str">
        <f aca="false">Payment_Log_AP!A64</f>
        <v>PAY40063</v>
      </c>
      <c r="B67" s="16" t="str">
        <f aca="false">Payment_Log_AP!C64</f>
        <v>V1010</v>
      </c>
      <c r="C67" s="16" t="str">
        <f aca="false">Payment_Log_AP!B64</f>
        <v>INV30071</v>
      </c>
      <c r="D67" s="17" t="n">
        <f aca="false">Payment_Log_AP!D64</f>
        <v>46020</v>
      </c>
      <c r="E67" s="18" t="n">
        <f aca="false">Payment_Log_AP!E64</f>
        <v>2227.94</v>
      </c>
      <c r="F67" s="17" t="n">
        <f aca="false">IFERROR(INDEX(Vendor_Invoices_AP!$D$2:$D$882,MATCH(C67,Vendor_Invoices_AP!$A$2:$A$882,0)),"")</f>
        <v>46011</v>
      </c>
      <c r="G67" s="16" t="n">
        <f aca="false">IF(F67="","",D67-F67)</f>
        <v>9</v>
      </c>
      <c r="H67" s="21" t="n">
        <f aca="false">IF(F67="","",DATE(YEAR(D67),MONTH(D67),1))</f>
        <v>45992</v>
      </c>
    </row>
    <row r="68" customFormat="false" ht="15" hidden="false" customHeight="false" outlineLevel="0" collapsed="false">
      <c r="A68" s="16" t="str">
        <f aca="false">Payment_Log_AP!A65</f>
        <v>PAY40064</v>
      </c>
      <c r="B68" s="16" t="str">
        <f aca="false">Payment_Log_AP!C65</f>
        <v>V1008</v>
      </c>
      <c r="C68" s="16" t="str">
        <f aca="false">Payment_Log_AP!B65</f>
        <v>INV30072</v>
      </c>
      <c r="D68" s="17" t="n">
        <f aca="false">Payment_Log_AP!D65</f>
        <v>45884</v>
      </c>
      <c r="E68" s="18" t="n">
        <f aca="false">Payment_Log_AP!E65</f>
        <v>3409.89</v>
      </c>
      <c r="F68" s="17" t="n">
        <f aca="false">IFERROR(INDEX(Vendor_Invoices_AP!$D$2:$D$882,MATCH(C68,Vendor_Invoices_AP!$A$2:$A$882,0)),"")</f>
        <v>45865</v>
      </c>
      <c r="G68" s="16" t="n">
        <f aca="false">IF(F68="","",D68-F68)</f>
        <v>19</v>
      </c>
      <c r="H68" s="21" t="n">
        <f aca="false">IF(F68="","",DATE(YEAR(D68),MONTH(D68),1))</f>
        <v>45870</v>
      </c>
    </row>
    <row r="69" customFormat="false" ht="15" hidden="false" customHeight="false" outlineLevel="0" collapsed="false">
      <c r="A69" s="16" t="str">
        <f aca="false">Payment_Log_AP!A66</f>
        <v>PAY40065</v>
      </c>
      <c r="B69" s="16" t="str">
        <f aca="false">Payment_Log_AP!C66</f>
        <v>V1011</v>
      </c>
      <c r="C69" s="16" t="str">
        <f aca="false">Payment_Log_AP!B66</f>
        <v>INV30073</v>
      </c>
      <c r="D69" s="17" t="n">
        <f aca="false">Payment_Log_AP!D66</f>
        <v>46135</v>
      </c>
      <c r="E69" s="18" t="n">
        <f aca="false">Payment_Log_AP!E66</f>
        <v>426.18</v>
      </c>
      <c r="F69" s="17" t="n">
        <f aca="false">IFERROR(INDEX(Vendor_Invoices_AP!$D$2:$D$882,MATCH(C69,Vendor_Invoices_AP!$A$2:$A$882,0)),"")</f>
        <v>46125</v>
      </c>
      <c r="G69" s="16" t="n">
        <f aca="false">IF(F69="","",D69-F69)</f>
        <v>10</v>
      </c>
      <c r="H69" s="21" t="n">
        <f aca="false">IF(F69="","",DATE(YEAR(D69),MONTH(D69),1))</f>
        <v>46113</v>
      </c>
    </row>
    <row r="70" customFormat="false" ht="15" hidden="false" customHeight="false" outlineLevel="0" collapsed="false">
      <c r="A70" s="16" t="str">
        <f aca="false">Payment_Log_AP!A67</f>
        <v>PAY40066</v>
      </c>
      <c r="B70" s="16" t="str">
        <f aca="false">Payment_Log_AP!C67</f>
        <v>V1038</v>
      </c>
      <c r="C70" s="16" t="str">
        <f aca="false">Payment_Log_AP!B67</f>
        <v>INV30074</v>
      </c>
      <c r="D70" s="17" t="n">
        <f aca="false">Payment_Log_AP!D67</f>
        <v>46117</v>
      </c>
      <c r="E70" s="18" t="n">
        <f aca="false">Payment_Log_AP!E67</f>
        <v>650.45</v>
      </c>
      <c r="F70" s="17" t="n">
        <f aca="false">IFERROR(INDEX(Vendor_Invoices_AP!$D$2:$D$882,MATCH(C70,Vendor_Invoices_AP!$A$2:$A$882,0)),"")</f>
        <v>46088</v>
      </c>
      <c r="G70" s="16" t="n">
        <f aca="false">IF(F70="","",D70-F70)</f>
        <v>29</v>
      </c>
      <c r="H70" s="21" t="n">
        <f aca="false">IF(F70="","",DATE(YEAR(D70),MONTH(D70),1))</f>
        <v>46113</v>
      </c>
    </row>
    <row r="71" customFormat="false" ht="15" hidden="false" customHeight="false" outlineLevel="0" collapsed="false">
      <c r="A71" s="16" t="str">
        <f aca="false">Payment_Log_AP!A68</f>
        <v>PAY40067</v>
      </c>
      <c r="B71" s="16" t="str">
        <f aca="false">Payment_Log_AP!C68</f>
        <v>V1009</v>
      </c>
      <c r="C71" s="16" t="str">
        <f aca="false">Payment_Log_AP!B68</f>
        <v>INV30075</v>
      </c>
      <c r="D71" s="17" t="n">
        <f aca="false">Payment_Log_AP!D68</f>
        <v>46071</v>
      </c>
      <c r="E71" s="18" t="n">
        <f aca="false">Payment_Log_AP!E68</f>
        <v>173.05</v>
      </c>
      <c r="F71" s="17" t="n">
        <f aca="false">IFERROR(INDEX(Vendor_Invoices_AP!$D$2:$D$882,MATCH(C71,Vendor_Invoices_AP!$A$2:$A$882,0)),"")</f>
        <v>46041</v>
      </c>
      <c r="G71" s="16" t="n">
        <f aca="false">IF(F71="","",D71-F71)</f>
        <v>30</v>
      </c>
      <c r="H71" s="21" t="n">
        <f aca="false">IF(F71="","",DATE(YEAR(D71),MONTH(D71),1))</f>
        <v>46054</v>
      </c>
    </row>
    <row r="72" customFormat="false" ht="15" hidden="false" customHeight="false" outlineLevel="0" collapsed="false">
      <c r="A72" s="16" t="str">
        <f aca="false">Payment_Log_AP!A69</f>
        <v>PAY40068</v>
      </c>
      <c r="B72" s="16" t="str">
        <f aca="false">Payment_Log_AP!C69</f>
        <v>V1009</v>
      </c>
      <c r="C72" s="16" t="str">
        <f aca="false">Payment_Log_AP!B69</f>
        <v>INV30075</v>
      </c>
      <c r="D72" s="17" t="n">
        <f aca="false">Payment_Log_AP!D69</f>
        <v>46074</v>
      </c>
      <c r="E72" s="18" t="n">
        <f aca="false">Payment_Log_AP!E69</f>
        <v>173.05</v>
      </c>
      <c r="F72" s="17" t="n">
        <f aca="false">IFERROR(INDEX(Vendor_Invoices_AP!$D$2:$D$882,MATCH(C72,Vendor_Invoices_AP!$A$2:$A$882,0)),"")</f>
        <v>46041</v>
      </c>
      <c r="G72" s="16" t="n">
        <f aca="false">IF(F72="","",D72-F72)</f>
        <v>33</v>
      </c>
      <c r="H72" s="21" t="n">
        <f aca="false">IF(F72="","",DATE(YEAR(D72),MONTH(D72),1))</f>
        <v>46054</v>
      </c>
    </row>
    <row r="73" customFormat="false" ht="15" hidden="false" customHeight="false" outlineLevel="0" collapsed="false">
      <c r="A73" s="16" t="str">
        <f aca="false">Payment_Log_AP!A70</f>
        <v>PAY40069</v>
      </c>
      <c r="B73" s="16" t="str">
        <f aca="false">Payment_Log_AP!C70</f>
        <v>V1017</v>
      </c>
      <c r="C73" s="16" t="str">
        <f aca="false">Payment_Log_AP!B70</f>
        <v>INV30077</v>
      </c>
      <c r="D73" s="17" t="n">
        <f aca="false">Payment_Log_AP!D70</f>
        <v>45788</v>
      </c>
      <c r="E73" s="18" t="n">
        <f aca="false">Payment_Log_AP!E70</f>
        <v>3225.76</v>
      </c>
      <c r="F73" s="17" t="n">
        <f aca="false">IFERROR(INDEX(Vendor_Invoices_AP!$D$2:$D$882,MATCH(C73,Vendor_Invoices_AP!$A$2:$A$882,0)),"")</f>
        <v>45774</v>
      </c>
      <c r="G73" s="16" t="n">
        <f aca="false">IF(F73="","",D73-F73)</f>
        <v>14</v>
      </c>
      <c r="H73" s="21" t="n">
        <f aca="false">IF(F73="","",DATE(YEAR(D73),MONTH(D73),1))</f>
        <v>45778</v>
      </c>
    </row>
    <row r="74" customFormat="false" ht="15" hidden="false" customHeight="false" outlineLevel="0" collapsed="false">
      <c r="A74" s="16" t="str">
        <f aca="false">Payment_Log_AP!A71</f>
        <v>PAY40070</v>
      </c>
      <c r="B74" s="16" t="str">
        <f aca="false">Payment_Log_AP!C71</f>
        <v>V1014</v>
      </c>
      <c r="C74" s="16" t="str">
        <f aca="false">Payment_Log_AP!B71</f>
        <v>INV30078</v>
      </c>
      <c r="D74" s="17" t="n">
        <f aca="false">Payment_Log_AP!D71</f>
        <v>45697</v>
      </c>
      <c r="E74" s="18" t="n">
        <f aca="false">Payment_Log_AP!E71</f>
        <v>773.09</v>
      </c>
      <c r="F74" s="17" t="n">
        <f aca="false">IFERROR(INDEX(Vendor_Invoices_AP!$D$2:$D$882,MATCH(C74,Vendor_Invoices_AP!$A$2:$A$882,0)),"")</f>
        <v>45680</v>
      </c>
      <c r="G74" s="16" t="n">
        <f aca="false">IF(F74="","",D74-F74)</f>
        <v>17</v>
      </c>
      <c r="H74" s="21" t="n">
        <f aca="false">IF(F74="","",DATE(YEAR(D74),MONTH(D74),1))</f>
        <v>45689</v>
      </c>
    </row>
    <row r="75" customFormat="false" ht="15" hidden="false" customHeight="false" outlineLevel="0" collapsed="false">
      <c r="A75" s="16" t="str">
        <f aca="false">Payment_Log_AP!A72</f>
        <v>PAY40071</v>
      </c>
      <c r="B75" s="16" t="str">
        <f aca="false">Payment_Log_AP!C72</f>
        <v>V1024</v>
      </c>
      <c r="C75" s="16" t="str">
        <f aca="false">Payment_Log_AP!B72</f>
        <v>INV30079</v>
      </c>
      <c r="D75" s="17" t="n">
        <f aca="false">Payment_Log_AP!D72</f>
        <v>45826</v>
      </c>
      <c r="E75" s="18" t="n">
        <f aca="false">Payment_Log_AP!E72</f>
        <v>3182.11</v>
      </c>
      <c r="F75" s="17" t="n">
        <f aca="false">IFERROR(INDEX(Vendor_Invoices_AP!$D$2:$D$882,MATCH(C75,Vendor_Invoices_AP!$A$2:$A$882,0)),"")</f>
        <v>45804</v>
      </c>
      <c r="G75" s="16" t="n">
        <f aca="false">IF(F75="","",D75-F75)</f>
        <v>22</v>
      </c>
      <c r="H75" s="21" t="n">
        <f aca="false">IF(F75="","",DATE(YEAR(D75),MONTH(D75),1))</f>
        <v>45809</v>
      </c>
    </row>
    <row r="76" customFormat="false" ht="15" hidden="false" customHeight="false" outlineLevel="0" collapsed="false">
      <c r="A76" s="16" t="str">
        <f aca="false">Payment_Log_AP!A73</f>
        <v>PAY40072</v>
      </c>
      <c r="B76" s="16" t="str">
        <f aca="false">Payment_Log_AP!C73</f>
        <v>V1021</v>
      </c>
      <c r="C76" s="16" t="str">
        <f aca="false">Payment_Log_AP!B73</f>
        <v>INV30080</v>
      </c>
      <c r="D76" s="17" t="n">
        <f aca="false">Payment_Log_AP!D73</f>
        <v>45926</v>
      </c>
      <c r="E76" s="18" t="n">
        <f aca="false">Payment_Log_AP!E73</f>
        <v>2202.92</v>
      </c>
      <c r="F76" s="17" t="n">
        <f aca="false">IFERROR(INDEX(Vendor_Invoices_AP!$D$2:$D$882,MATCH(C76,Vendor_Invoices_AP!$A$2:$A$882,0)),"")</f>
        <v>45923</v>
      </c>
      <c r="G76" s="16" t="n">
        <f aca="false">IF(F76="","",D76-F76)</f>
        <v>3</v>
      </c>
      <c r="H76" s="21" t="n">
        <f aca="false">IF(F76="","",DATE(YEAR(D76),MONTH(D76),1))</f>
        <v>45901</v>
      </c>
    </row>
    <row r="77" customFormat="false" ht="15" hidden="false" customHeight="false" outlineLevel="0" collapsed="false">
      <c r="A77" s="16" t="str">
        <f aca="false">Payment_Log_AP!A74</f>
        <v>PAY40073</v>
      </c>
      <c r="B77" s="16" t="str">
        <f aca="false">Payment_Log_AP!C74</f>
        <v>V1021</v>
      </c>
      <c r="C77" s="16" t="str">
        <f aca="false">Payment_Log_AP!B74</f>
        <v>INV30081</v>
      </c>
      <c r="D77" s="17" t="n">
        <f aca="false">Payment_Log_AP!D74</f>
        <v>45946</v>
      </c>
      <c r="E77" s="18" t="n">
        <f aca="false">Payment_Log_AP!E74</f>
        <v>2202.92</v>
      </c>
      <c r="F77" s="17" t="n">
        <f aca="false">IFERROR(INDEX(Vendor_Invoices_AP!$D$2:$D$882,MATCH(C77,Vendor_Invoices_AP!$A$2:$A$882,0)),"")</f>
        <v>45926</v>
      </c>
      <c r="G77" s="16" t="n">
        <f aca="false">IF(F77="","",D77-F77)</f>
        <v>20</v>
      </c>
      <c r="H77" s="21" t="n">
        <f aca="false">IF(F77="","",DATE(YEAR(D77),MONTH(D77),1))</f>
        <v>45931</v>
      </c>
    </row>
    <row r="78" customFormat="false" ht="15" hidden="false" customHeight="false" outlineLevel="0" collapsed="false">
      <c r="A78" s="16" t="str">
        <f aca="false">Payment_Log_AP!A75</f>
        <v>PAY40074</v>
      </c>
      <c r="B78" s="16" t="str">
        <f aca="false">Payment_Log_AP!C75</f>
        <v>V1012</v>
      </c>
      <c r="C78" s="16" t="str">
        <f aca="false">Payment_Log_AP!B75</f>
        <v>INV30082</v>
      </c>
      <c r="D78" s="17" t="n">
        <f aca="false">Payment_Log_AP!D75</f>
        <v>46138</v>
      </c>
      <c r="E78" s="18" t="n">
        <f aca="false">Payment_Log_AP!E75</f>
        <v>13999.16</v>
      </c>
      <c r="F78" s="17" t="n">
        <f aca="false">IFERROR(INDEX(Vendor_Invoices_AP!$D$2:$D$882,MATCH(C78,Vendor_Invoices_AP!$A$2:$A$882,0)),"")</f>
        <v>46135</v>
      </c>
      <c r="G78" s="16" t="n">
        <f aca="false">IF(F78="","",D78-F78)</f>
        <v>3</v>
      </c>
      <c r="H78" s="21" t="n">
        <f aca="false">IF(F78="","",DATE(YEAR(D78),MONTH(D78),1))</f>
        <v>46113</v>
      </c>
    </row>
    <row r="79" customFormat="false" ht="15" hidden="false" customHeight="false" outlineLevel="0" collapsed="false">
      <c r="A79" s="16" t="str">
        <f aca="false">Payment_Log_AP!A76</f>
        <v>PAY40075</v>
      </c>
      <c r="B79" s="16" t="str">
        <f aca="false">Payment_Log_AP!C76</f>
        <v>V1016</v>
      </c>
      <c r="C79" s="16" t="str">
        <f aca="false">Payment_Log_AP!B76</f>
        <v>INV30083</v>
      </c>
      <c r="D79" s="17" t="n">
        <f aca="false">Payment_Log_AP!D76</f>
        <v>45721</v>
      </c>
      <c r="E79" s="18" t="n">
        <f aca="false">Payment_Log_AP!E76</f>
        <v>4652.88</v>
      </c>
      <c r="F79" s="17" t="n">
        <f aca="false">IFERROR(INDEX(Vendor_Invoices_AP!$D$2:$D$882,MATCH(C79,Vendor_Invoices_AP!$A$2:$A$882,0)),"")</f>
        <v>45699</v>
      </c>
      <c r="G79" s="16" t="n">
        <f aca="false">IF(F79="","",D79-F79)</f>
        <v>22</v>
      </c>
      <c r="H79" s="21" t="n">
        <f aca="false">IF(F79="","",DATE(YEAR(D79),MONTH(D79),1))</f>
        <v>45717</v>
      </c>
    </row>
    <row r="80" customFormat="false" ht="15" hidden="false" customHeight="false" outlineLevel="0" collapsed="false">
      <c r="A80" s="16" t="str">
        <f aca="false">Payment_Log_AP!A77</f>
        <v>PAY40076</v>
      </c>
      <c r="B80" s="16" t="str">
        <f aca="false">Payment_Log_AP!C77</f>
        <v>V1005</v>
      </c>
      <c r="C80" s="16" t="str">
        <f aca="false">Payment_Log_AP!B77</f>
        <v>INV30084</v>
      </c>
      <c r="D80" s="17" t="n">
        <f aca="false">Payment_Log_AP!D77</f>
        <v>45921</v>
      </c>
      <c r="E80" s="18" t="n">
        <f aca="false">Payment_Log_AP!E77</f>
        <v>131.26</v>
      </c>
      <c r="F80" s="17" t="n">
        <f aca="false">IFERROR(INDEX(Vendor_Invoices_AP!$D$2:$D$882,MATCH(C80,Vendor_Invoices_AP!$A$2:$A$882,0)),"")</f>
        <v>45887</v>
      </c>
      <c r="G80" s="16" t="n">
        <f aca="false">IF(F80="","",D80-F80)</f>
        <v>34</v>
      </c>
      <c r="H80" s="21" t="n">
        <f aca="false">IF(F80="","",DATE(YEAR(D80),MONTH(D80),1))</f>
        <v>45901</v>
      </c>
    </row>
    <row r="81" customFormat="false" ht="15" hidden="false" customHeight="false" outlineLevel="0" collapsed="false">
      <c r="A81" s="16" t="str">
        <f aca="false">Payment_Log_AP!A78</f>
        <v>PAY40077</v>
      </c>
      <c r="B81" s="16" t="str">
        <f aca="false">Payment_Log_AP!C78</f>
        <v>V1002</v>
      </c>
      <c r="C81" s="16" t="str">
        <f aca="false">Payment_Log_AP!B78</f>
        <v>INV30085</v>
      </c>
      <c r="D81" s="17" t="n">
        <f aca="false">Payment_Log_AP!D78</f>
        <v>46023</v>
      </c>
      <c r="E81" s="18" t="n">
        <f aca="false">Payment_Log_AP!E78</f>
        <v>370.46</v>
      </c>
      <c r="F81" s="17" t="n">
        <f aca="false">IFERROR(INDEX(Vendor_Invoices_AP!$D$2:$D$882,MATCH(C81,Vendor_Invoices_AP!$A$2:$A$882,0)),"")</f>
        <v>46020</v>
      </c>
      <c r="G81" s="16" t="n">
        <f aca="false">IF(F81="","",D81-F81)</f>
        <v>3</v>
      </c>
      <c r="H81" s="21" t="n">
        <f aca="false">IF(F81="","",DATE(YEAR(D81),MONTH(D81),1))</f>
        <v>46023</v>
      </c>
    </row>
    <row r="82" customFormat="false" ht="15" hidden="false" customHeight="false" outlineLevel="0" collapsed="false">
      <c r="A82" s="16" t="str">
        <f aca="false">Payment_Log_AP!A79</f>
        <v>PAY40078</v>
      </c>
      <c r="B82" s="16" t="str">
        <f aca="false">Payment_Log_AP!C79</f>
        <v>V1014</v>
      </c>
      <c r="C82" s="16" t="str">
        <f aca="false">Payment_Log_AP!B79</f>
        <v>INV30087</v>
      </c>
      <c r="D82" s="17" t="n">
        <f aca="false">Payment_Log_AP!D79</f>
        <v>46077</v>
      </c>
      <c r="E82" s="18" t="n">
        <f aca="false">Payment_Log_AP!E79</f>
        <v>11559.96</v>
      </c>
      <c r="F82" s="17" t="n">
        <f aca="false">IFERROR(INDEX(Vendor_Invoices_AP!$D$2:$D$882,MATCH(C82,Vendor_Invoices_AP!$A$2:$A$882,0)),"")</f>
        <v>46053</v>
      </c>
      <c r="G82" s="16" t="n">
        <f aca="false">IF(F82="","",D82-F82)</f>
        <v>24</v>
      </c>
      <c r="H82" s="21" t="n">
        <f aca="false">IF(F82="","",DATE(YEAR(D82),MONTH(D82),1))</f>
        <v>46054</v>
      </c>
    </row>
    <row r="83" customFormat="false" ht="15" hidden="false" customHeight="false" outlineLevel="0" collapsed="false">
      <c r="A83" s="16" t="str">
        <f aca="false">Payment_Log_AP!A80</f>
        <v>PAY40079</v>
      </c>
      <c r="B83" s="16" t="str">
        <f aca="false">Payment_Log_AP!C80</f>
        <v>V1035</v>
      </c>
      <c r="C83" s="16" t="str">
        <f aca="false">Payment_Log_AP!B80</f>
        <v>INV30088</v>
      </c>
      <c r="D83" s="17" t="n">
        <f aca="false">Payment_Log_AP!D80</f>
        <v>45954</v>
      </c>
      <c r="E83" s="18" t="n">
        <f aca="false">Payment_Log_AP!E80</f>
        <v>1118.76</v>
      </c>
      <c r="F83" s="17" t="n">
        <f aca="false">IFERROR(INDEX(Vendor_Invoices_AP!$D$2:$D$882,MATCH(C83,Vendor_Invoices_AP!$A$2:$A$882,0)),"")</f>
        <v>45937</v>
      </c>
      <c r="G83" s="16" t="n">
        <f aca="false">IF(F83="","",D83-F83)</f>
        <v>17</v>
      </c>
      <c r="H83" s="21" t="n">
        <f aca="false">IF(F83="","",DATE(YEAR(D83),MONTH(D83),1))</f>
        <v>45931</v>
      </c>
    </row>
    <row r="84" customFormat="false" ht="15" hidden="false" customHeight="false" outlineLevel="0" collapsed="false">
      <c r="A84" s="16" t="str">
        <f aca="false">Payment_Log_AP!A81</f>
        <v>PAY40080</v>
      </c>
      <c r="B84" s="16" t="str">
        <f aca="false">Payment_Log_AP!C81</f>
        <v>V1021</v>
      </c>
      <c r="C84" s="16" t="str">
        <f aca="false">Payment_Log_AP!B81</f>
        <v>INV30089</v>
      </c>
      <c r="D84" s="17" t="n">
        <f aca="false">Payment_Log_AP!D81</f>
        <v>45841</v>
      </c>
      <c r="E84" s="18" t="n">
        <f aca="false">Payment_Log_AP!E81</f>
        <v>1602.67</v>
      </c>
      <c r="F84" s="17" t="n">
        <f aca="false">IFERROR(INDEX(Vendor_Invoices_AP!$D$2:$D$882,MATCH(C84,Vendor_Invoices_AP!$A$2:$A$882,0)),"")</f>
        <v>45809</v>
      </c>
      <c r="G84" s="16" t="n">
        <f aca="false">IF(F84="","",D84-F84)</f>
        <v>32</v>
      </c>
      <c r="H84" s="21" t="n">
        <f aca="false">IF(F84="","",DATE(YEAR(D84),MONTH(D84),1))</f>
        <v>45839</v>
      </c>
    </row>
    <row r="85" customFormat="false" ht="15" hidden="false" customHeight="false" outlineLevel="0" collapsed="false">
      <c r="A85" s="16" t="str">
        <f aca="false">Payment_Log_AP!A82</f>
        <v>PAY40081</v>
      </c>
      <c r="B85" s="16" t="str">
        <f aca="false">Payment_Log_AP!C82</f>
        <v>V1002</v>
      </c>
      <c r="C85" s="16" t="str">
        <f aca="false">Payment_Log_AP!B82</f>
        <v>INV30091</v>
      </c>
      <c r="D85" s="17" t="n">
        <f aca="false">Payment_Log_AP!D82</f>
        <v>45709</v>
      </c>
      <c r="E85" s="18" t="n">
        <f aca="false">Payment_Log_AP!E82</f>
        <v>1239.53</v>
      </c>
      <c r="F85" s="17" t="n">
        <f aca="false">IFERROR(INDEX(Vendor_Invoices_AP!$D$2:$D$882,MATCH(C85,Vendor_Invoices_AP!$A$2:$A$882,0)),"")</f>
        <v>45680</v>
      </c>
      <c r="G85" s="16" t="n">
        <f aca="false">IF(F85="","",D85-F85)</f>
        <v>29</v>
      </c>
      <c r="H85" s="21" t="n">
        <f aca="false">IF(F85="","",DATE(YEAR(D85),MONTH(D85),1))</f>
        <v>45689</v>
      </c>
    </row>
    <row r="86" customFormat="false" ht="15" hidden="false" customHeight="false" outlineLevel="0" collapsed="false">
      <c r="A86" s="16" t="str">
        <f aca="false">Payment_Log_AP!A83</f>
        <v>PAY40082</v>
      </c>
      <c r="B86" s="16" t="str">
        <f aca="false">Payment_Log_AP!C83</f>
        <v>V1030</v>
      </c>
      <c r="C86" s="16" t="str">
        <f aca="false">Payment_Log_AP!B83</f>
        <v>INV30092</v>
      </c>
      <c r="D86" s="17" t="n">
        <f aca="false">Payment_Log_AP!D83</f>
        <v>46103</v>
      </c>
      <c r="E86" s="18" t="n">
        <f aca="false">Payment_Log_AP!E83</f>
        <v>6686.22</v>
      </c>
      <c r="F86" s="17" t="n">
        <f aca="false">IFERROR(INDEX(Vendor_Invoices_AP!$D$2:$D$882,MATCH(C86,Vendor_Invoices_AP!$A$2:$A$882,0)),"")</f>
        <v>46091</v>
      </c>
      <c r="G86" s="16" t="n">
        <f aca="false">IF(F86="","",D86-F86)</f>
        <v>12</v>
      </c>
      <c r="H86" s="21" t="n">
        <f aca="false">IF(F86="","",DATE(YEAR(D86),MONTH(D86),1))</f>
        <v>46082</v>
      </c>
    </row>
    <row r="87" customFormat="false" ht="15" hidden="false" customHeight="false" outlineLevel="0" collapsed="false">
      <c r="A87" s="16" t="str">
        <f aca="false">Payment_Log_AP!A84</f>
        <v>PAY40083</v>
      </c>
      <c r="B87" s="16" t="str">
        <f aca="false">Payment_Log_AP!C84</f>
        <v>V1015</v>
      </c>
      <c r="C87" s="16" t="str">
        <f aca="false">Payment_Log_AP!B84</f>
        <v>INV30093</v>
      </c>
      <c r="D87" s="17" t="n">
        <f aca="false">Payment_Log_AP!D84</f>
        <v>46124</v>
      </c>
      <c r="E87" s="18" t="n">
        <f aca="false">Payment_Log_AP!E84</f>
        <v>3940.78</v>
      </c>
      <c r="F87" s="17" t="n">
        <f aca="false">IFERROR(INDEX(Vendor_Invoices_AP!$D$2:$D$882,MATCH(C87,Vendor_Invoices_AP!$A$2:$A$882,0)),"")</f>
        <v>46094</v>
      </c>
      <c r="G87" s="16" t="n">
        <f aca="false">IF(F87="","",D87-F87)</f>
        <v>30</v>
      </c>
      <c r="H87" s="21" t="n">
        <f aca="false">IF(F87="","",DATE(YEAR(D87),MONTH(D87),1))</f>
        <v>46113</v>
      </c>
    </row>
    <row r="88" customFormat="false" ht="15" hidden="false" customHeight="false" outlineLevel="0" collapsed="false">
      <c r="A88" s="16" t="str">
        <f aca="false">Payment_Log_AP!A85</f>
        <v>PAY40084</v>
      </c>
      <c r="B88" s="16" t="str">
        <f aca="false">Payment_Log_AP!C85</f>
        <v>V1036</v>
      </c>
      <c r="C88" s="16" t="str">
        <f aca="false">Payment_Log_AP!B85</f>
        <v>INV30094</v>
      </c>
      <c r="D88" s="17" t="n">
        <f aca="false">Payment_Log_AP!D85</f>
        <v>45764</v>
      </c>
      <c r="E88" s="18" t="n">
        <f aca="false">Payment_Log_AP!E85</f>
        <v>625.95</v>
      </c>
      <c r="F88" s="17" t="n">
        <f aca="false">IFERROR(INDEX(Vendor_Invoices_AP!$D$2:$D$882,MATCH(C88,Vendor_Invoices_AP!$A$2:$A$882,0)),"")</f>
        <v>45732</v>
      </c>
      <c r="G88" s="16" t="n">
        <f aca="false">IF(F88="","",D88-F88)</f>
        <v>32</v>
      </c>
      <c r="H88" s="21" t="n">
        <f aca="false">IF(F88="","",DATE(YEAR(D88),MONTH(D88),1))</f>
        <v>45748</v>
      </c>
    </row>
    <row r="89" customFormat="false" ht="15" hidden="false" customHeight="false" outlineLevel="0" collapsed="false">
      <c r="A89" s="16" t="str">
        <f aca="false">Payment_Log_AP!A86</f>
        <v>PAY40085</v>
      </c>
      <c r="B89" s="16" t="str">
        <f aca="false">Payment_Log_AP!C86</f>
        <v>V1026</v>
      </c>
      <c r="C89" s="16" t="str">
        <f aca="false">Payment_Log_AP!B86</f>
        <v>INV30096</v>
      </c>
      <c r="D89" s="17" t="n">
        <f aca="false">Payment_Log_AP!D86</f>
        <v>45797</v>
      </c>
      <c r="E89" s="18" t="n">
        <f aca="false">Payment_Log_AP!E86</f>
        <v>2302.86</v>
      </c>
      <c r="F89" s="17" t="n">
        <f aca="false">IFERROR(INDEX(Vendor_Invoices_AP!$D$2:$D$882,MATCH(C89,Vendor_Invoices_AP!$A$2:$A$882,0)),"")</f>
        <v>45767</v>
      </c>
      <c r="G89" s="16" t="n">
        <f aca="false">IF(F89="","",D89-F89)</f>
        <v>30</v>
      </c>
      <c r="H89" s="21" t="n">
        <f aca="false">IF(F89="","",DATE(YEAR(D89),MONTH(D89),1))</f>
        <v>45778</v>
      </c>
    </row>
    <row r="90" customFormat="false" ht="15" hidden="false" customHeight="false" outlineLevel="0" collapsed="false">
      <c r="A90" s="16" t="str">
        <f aca="false">Payment_Log_AP!A87</f>
        <v>PAY40086</v>
      </c>
      <c r="B90" s="16" t="str">
        <f aca="false">Payment_Log_AP!C87</f>
        <v>V1026</v>
      </c>
      <c r="C90" s="16" t="str">
        <f aca="false">Payment_Log_AP!B87</f>
        <v>INV30098</v>
      </c>
      <c r="D90" s="17" t="n">
        <f aca="false">Payment_Log_AP!D87</f>
        <v>45961</v>
      </c>
      <c r="E90" s="18" t="n">
        <f aca="false">Payment_Log_AP!E87</f>
        <v>226.65</v>
      </c>
      <c r="F90" s="17" t="n">
        <f aca="false">IFERROR(INDEX(Vendor_Invoices_AP!$D$2:$D$882,MATCH(C90,Vendor_Invoices_AP!$A$2:$A$882,0)),"")</f>
        <v>45955</v>
      </c>
      <c r="G90" s="16" t="n">
        <f aca="false">IF(F90="","",D90-F90)</f>
        <v>6</v>
      </c>
      <c r="H90" s="21" t="n">
        <f aca="false">IF(F90="","",DATE(YEAR(D90),MONTH(D90),1))</f>
        <v>45931</v>
      </c>
    </row>
    <row r="91" customFormat="false" ht="15" hidden="false" customHeight="false" outlineLevel="0" collapsed="false">
      <c r="A91" s="16" t="str">
        <f aca="false">Payment_Log_AP!A88</f>
        <v>PAY40087</v>
      </c>
      <c r="B91" s="16" t="str">
        <f aca="false">Payment_Log_AP!C88</f>
        <v>V1006</v>
      </c>
      <c r="C91" s="16" t="str">
        <f aca="false">Payment_Log_AP!B88</f>
        <v>INV30099</v>
      </c>
      <c r="D91" s="17" t="n">
        <f aca="false">Payment_Log_AP!D88</f>
        <v>45698</v>
      </c>
      <c r="E91" s="18" t="n">
        <f aca="false">Payment_Log_AP!E88</f>
        <v>814.32</v>
      </c>
      <c r="F91" s="17" t="n">
        <f aca="false">IFERROR(INDEX(Vendor_Invoices_AP!$D$2:$D$882,MATCH(C91,Vendor_Invoices_AP!$A$2:$A$882,0)),"")</f>
        <v>45687</v>
      </c>
      <c r="G91" s="16" t="n">
        <f aca="false">IF(F91="","",D91-F91)</f>
        <v>11</v>
      </c>
      <c r="H91" s="21" t="n">
        <f aca="false">IF(F91="","",DATE(YEAR(D91),MONTH(D91),1))</f>
        <v>45689</v>
      </c>
    </row>
    <row r="92" customFormat="false" ht="15" hidden="false" customHeight="false" outlineLevel="0" collapsed="false">
      <c r="A92" s="16" t="str">
        <f aca="false">Payment_Log_AP!A89</f>
        <v>PAY40088</v>
      </c>
      <c r="B92" s="16" t="str">
        <f aca="false">Payment_Log_AP!C89</f>
        <v>V1031</v>
      </c>
      <c r="C92" s="16" t="str">
        <f aca="false">Payment_Log_AP!B89</f>
        <v>INV30100</v>
      </c>
      <c r="D92" s="17" t="n">
        <f aca="false">Payment_Log_AP!D89</f>
        <v>45818</v>
      </c>
      <c r="E92" s="18" t="n">
        <f aca="false">Payment_Log_AP!E89</f>
        <v>1618.39</v>
      </c>
      <c r="F92" s="17" t="n">
        <f aca="false">IFERROR(INDEX(Vendor_Invoices_AP!$D$2:$D$882,MATCH(C92,Vendor_Invoices_AP!$A$2:$A$882,0)),"")</f>
        <v>45804</v>
      </c>
      <c r="G92" s="16" t="n">
        <f aca="false">IF(F92="","",D92-F92)</f>
        <v>14</v>
      </c>
      <c r="H92" s="21" t="n">
        <f aca="false">IF(F92="","",DATE(YEAR(D92),MONTH(D92),1))</f>
        <v>45809</v>
      </c>
    </row>
    <row r="93" customFormat="false" ht="15" hidden="false" customHeight="false" outlineLevel="0" collapsed="false">
      <c r="A93" s="16" t="str">
        <f aca="false">Payment_Log_AP!A90</f>
        <v>PAY40089</v>
      </c>
      <c r="B93" s="16" t="str">
        <f aca="false">Payment_Log_AP!C90</f>
        <v>V1029</v>
      </c>
      <c r="C93" s="16" t="str">
        <f aca="false">Payment_Log_AP!B90</f>
        <v>INV30101</v>
      </c>
      <c r="D93" s="17" t="n">
        <f aca="false">Payment_Log_AP!D90</f>
        <v>46159</v>
      </c>
      <c r="E93" s="18" t="n">
        <f aca="false">Payment_Log_AP!E90</f>
        <v>994</v>
      </c>
      <c r="F93" s="17" t="n">
        <f aca="false">IFERROR(INDEX(Vendor_Invoices_AP!$D$2:$D$882,MATCH(C93,Vendor_Invoices_AP!$A$2:$A$882,0)),"")</f>
        <v>46132</v>
      </c>
      <c r="G93" s="16" t="n">
        <f aca="false">IF(F93="","",D93-F93)</f>
        <v>27</v>
      </c>
      <c r="H93" s="21" t="n">
        <f aca="false">IF(F93="","",DATE(YEAR(D93),MONTH(D93),1))</f>
        <v>46143</v>
      </c>
    </row>
    <row r="94" customFormat="false" ht="15" hidden="false" customHeight="false" outlineLevel="0" collapsed="false">
      <c r="A94" s="16" t="str">
        <f aca="false">Payment_Log_AP!A91</f>
        <v>PAY40090</v>
      </c>
      <c r="B94" s="16" t="str">
        <f aca="false">Payment_Log_AP!C91</f>
        <v>V1009</v>
      </c>
      <c r="C94" s="16" t="str">
        <f aca="false">Payment_Log_AP!B91</f>
        <v>INV30102</v>
      </c>
      <c r="D94" s="17" t="n">
        <f aca="false">Payment_Log_AP!D91</f>
        <v>45930</v>
      </c>
      <c r="E94" s="18" t="n">
        <f aca="false">Payment_Log_AP!E91</f>
        <v>456.94</v>
      </c>
      <c r="F94" s="17" t="n">
        <f aca="false">IFERROR(INDEX(Vendor_Invoices_AP!$D$2:$D$882,MATCH(C94,Vendor_Invoices_AP!$A$2:$A$882,0)),"")</f>
        <v>45923</v>
      </c>
      <c r="G94" s="16" t="n">
        <f aca="false">IF(F94="","",D94-F94)</f>
        <v>7</v>
      </c>
      <c r="H94" s="21" t="n">
        <f aca="false">IF(F94="","",DATE(YEAR(D94),MONTH(D94),1))</f>
        <v>45901</v>
      </c>
    </row>
    <row r="95" customFormat="false" ht="15" hidden="false" customHeight="false" outlineLevel="0" collapsed="false">
      <c r="A95" s="16" t="str">
        <f aca="false">Payment_Log_AP!A92</f>
        <v>PAY40091</v>
      </c>
      <c r="B95" s="16" t="str">
        <f aca="false">Payment_Log_AP!C92</f>
        <v>V1006</v>
      </c>
      <c r="C95" s="16" t="str">
        <f aca="false">Payment_Log_AP!B92</f>
        <v>INV30103</v>
      </c>
      <c r="D95" s="17" t="n">
        <f aca="false">Payment_Log_AP!D92</f>
        <v>46122</v>
      </c>
      <c r="E95" s="18" t="n">
        <f aca="false">Payment_Log_AP!E92</f>
        <v>3515.6</v>
      </c>
      <c r="F95" s="17" t="n">
        <f aca="false">IFERROR(INDEX(Vendor_Invoices_AP!$D$2:$D$882,MATCH(C95,Vendor_Invoices_AP!$A$2:$A$882,0)),"")</f>
        <v>46114</v>
      </c>
      <c r="G95" s="16" t="n">
        <f aca="false">IF(F95="","",D95-F95)</f>
        <v>8</v>
      </c>
      <c r="H95" s="21" t="n">
        <f aca="false">IF(F95="","",DATE(YEAR(D95),MONTH(D95),1))</f>
        <v>46113</v>
      </c>
    </row>
    <row r="96" customFormat="false" ht="15" hidden="false" customHeight="false" outlineLevel="0" collapsed="false">
      <c r="A96" s="16" t="str">
        <f aca="false">Payment_Log_AP!A93</f>
        <v>PAY40092</v>
      </c>
      <c r="B96" s="16" t="str">
        <f aca="false">Payment_Log_AP!C93</f>
        <v>V1006</v>
      </c>
      <c r="C96" s="16" t="str">
        <f aca="false">Payment_Log_AP!B93</f>
        <v>INV30106</v>
      </c>
      <c r="D96" s="17" t="n">
        <f aca="false">Payment_Log_AP!D93</f>
        <v>45998</v>
      </c>
      <c r="E96" s="18" t="n">
        <f aca="false">Payment_Log_AP!E93</f>
        <v>2184.66</v>
      </c>
      <c r="F96" s="17" t="n">
        <f aca="false">IFERROR(INDEX(Vendor_Invoices_AP!$D$2:$D$882,MATCH(C96,Vendor_Invoices_AP!$A$2:$A$882,0)),"")</f>
        <v>45992</v>
      </c>
      <c r="G96" s="16" t="n">
        <f aca="false">IF(F96="","",D96-F96)</f>
        <v>6</v>
      </c>
      <c r="H96" s="21" t="n">
        <f aca="false">IF(F96="","",DATE(YEAR(D96),MONTH(D96),1))</f>
        <v>45992</v>
      </c>
    </row>
    <row r="97" customFormat="false" ht="15" hidden="false" customHeight="false" outlineLevel="0" collapsed="false">
      <c r="A97" s="16" t="str">
        <f aca="false">Payment_Log_AP!A94</f>
        <v>PAY40093</v>
      </c>
      <c r="B97" s="16" t="str">
        <f aca="false">Payment_Log_AP!C94</f>
        <v>V1023</v>
      </c>
      <c r="C97" s="16" t="str">
        <f aca="false">Payment_Log_AP!B94</f>
        <v>INV30108</v>
      </c>
      <c r="D97" s="17" t="n">
        <f aca="false">Payment_Log_AP!D94</f>
        <v>46166</v>
      </c>
      <c r="E97" s="18" t="n">
        <f aca="false">Payment_Log_AP!E94</f>
        <v>3835.01</v>
      </c>
      <c r="F97" s="17" t="n">
        <f aca="false">IFERROR(INDEX(Vendor_Invoices_AP!$D$2:$D$882,MATCH(C97,Vendor_Invoices_AP!$A$2:$A$882,0)),"")</f>
        <v>46148</v>
      </c>
      <c r="G97" s="16" t="n">
        <f aca="false">IF(F97="","",D97-F97)</f>
        <v>18</v>
      </c>
      <c r="H97" s="21" t="n">
        <f aca="false">IF(F97="","",DATE(YEAR(D97),MONTH(D97),1))</f>
        <v>46143</v>
      </c>
    </row>
    <row r="98" customFormat="false" ht="15" hidden="false" customHeight="false" outlineLevel="0" collapsed="false">
      <c r="A98" s="16" t="str">
        <f aca="false">Payment_Log_AP!A95</f>
        <v>PAY40094</v>
      </c>
      <c r="B98" s="16" t="str">
        <f aca="false">Payment_Log_AP!C95</f>
        <v>V1035</v>
      </c>
      <c r="C98" s="16" t="str">
        <f aca="false">Payment_Log_AP!B95</f>
        <v>INV30109</v>
      </c>
      <c r="D98" s="17" t="n">
        <f aca="false">Payment_Log_AP!D95</f>
        <v>46043</v>
      </c>
      <c r="E98" s="18" t="n">
        <f aca="false">Payment_Log_AP!E95</f>
        <v>402.4</v>
      </c>
      <c r="F98" s="17" t="n">
        <f aca="false">IFERROR(INDEX(Vendor_Invoices_AP!$D$2:$D$882,MATCH(C98,Vendor_Invoices_AP!$A$2:$A$882,0)),"")</f>
        <v>46014</v>
      </c>
      <c r="G98" s="16" t="n">
        <f aca="false">IF(F98="","",D98-F98)</f>
        <v>29</v>
      </c>
      <c r="H98" s="21" t="n">
        <f aca="false">IF(F98="","",DATE(YEAR(D98),MONTH(D98),1))</f>
        <v>46023</v>
      </c>
    </row>
    <row r="99" customFormat="false" ht="15" hidden="false" customHeight="false" outlineLevel="0" collapsed="false">
      <c r="A99" s="16" t="str">
        <f aca="false">Payment_Log_AP!A96</f>
        <v>PAY40095</v>
      </c>
      <c r="B99" s="16" t="str">
        <f aca="false">Payment_Log_AP!C96</f>
        <v>V1012</v>
      </c>
      <c r="C99" s="16" t="str">
        <f aca="false">Payment_Log_AP!B96</f>
        <v>INV30112</v>
      </c>
      <c r="D99" s="17" t="n">
        <f aca="false">Payment_Log_AP!D96</f>
        <v>45962</v>
      </c>
      <c r="E99" s="18" t="n">
        <f aca="false">Payment_Log_AP!E96</f>
        <v>816.15</v>
      </c>
      <c r="F99" s="17" t="n">
        <f aca="false">IFERROR(INDEX(Vendor_Invoices_AP!$D$2:$D$882,MATCH(C99,Vendor_Invoices_AP!$A$2:$A$882,0)),"")</f>
        <v>45953</v>
      </c>
      <c r="G99" s="16" t="n">
        <f aca="false">IF(F99="","",D99-F99)</f>
        <v>9</v>
      </c>
      <c r="H99" s="21" t="n">
        <f aca="false">IF(F99="","",DATE(YEAR(D99),MONTH(D99),1))</f>
        <v>45962</v>
      </c>
    </row>
    <row r="100" customFormat="false" ht="15" hidden="false" customHeight="false" outlineLevel="0" collapsed="false">
      <c r="A100" s="16" t="str">
        <f aca="false">Payment_Log_AP!A97</f>
        <v>PAY40096</v>
      </c>
      <c r="B100" s="16" t="str">
        <f aca="false">Payment_Log_AP!C97</f>
        <v>V1012</v>
      </c>
      <c r="C100" s="16" t="str">
        <f aca="false">Payment_Log_AP!B97</f>
        <v>INV30113</v>
      </c>
      <c r="D100" s="17" t="n">
        <f aca="false">Payment_Log_AP!D97</f>
        <v>46147</v>
      </c>
      <c r="E100" s="18" t="n">
        <f aca="false">Payment_Log_AP!E97</f>
        <v>5798.93</v>
      </c>
      <c r="F100" s="17" t="n">
        <f aca="false">IFERROR(INDEX(Vendor_Invoices_AP!$D$2:$D$882,MATCH(C100,Vendor_Invoices_AP!$A$2:$A$882,0)),"")</f>
        <v>46128</v>
      </c>
      <c r="G100" s="16" t="n">
        <f aca="false">IF(F100="","",D100-F100)</f>
        <v>19</v>
      </c>
      <c r="H100" s="21" t="n">
        <f aca="false">IF(F100="","",DATE(YEAR(D100),MONTH(D100),1))</f>
        <v>46143</v>
      </c>
    </row>
    <row r="101" customFormat="false" ht="15" hidden="false" customHeight="false" outlineLevel="0" collapsed="false">
      <c r="A101" s="16" t="str">
        <f aca="false">Payment_Log_AP!A98</f>
        <v>PAY40097</v>
      </c>
      <c r="B101" s="16" t="str">
        <f aca="false">Payment_Log_AP!C98</f>
        <v>V1028</v>
      </c>
      <c r="C101" s="16" t="str">
        <f aca="false">Payment_Log_AP!B98</f>
        <v>INV30114</v>
      </c>
      <c r="D101" s="17" t="n">
        <f aca="false">Payment_Log_AP!D98</f>
        <v>46001</v>
      </c>
      <c r="E101" s="18" t="n">
        <f aca="false">Payment_Log_AP!E98</f>
        <v>3177.07</v>
      </c>
      <c r="F101" s="17" t="n">
        <f aca="false">IFERROR(INDEX(Vendor_Invoices_AP!$D$2:$D$882,MATCH(C101,Vendor_Invoices_AP!$A$2:$A$882,0)),"")</f>
        <v>45976</v>
      </c>
      <c r="G101" s="16" t="n">
        <f aca="false">IF(F101="","",D101-F101)</f>
        <v>25</v>
      </c>
      <c r="H101" s="21" t="n">
        <f aca="false">IF(F101="","",DATE(YEAR(D101),MONTH(D101),1))</f>
        <v>45992</v>
      </c>
    </row>
    <row r="102" customFormat="false" ht="15" hidden="false" customHeight="false" outlineLevel="0" collapsed="false">
      <c r="A102" s="16" t="str">
        <f aca="false">Payment_Log_AP!A99</f>
        <v>PAY40098</v>
      </c>
      <c r="B102" s="16" t="str">
        <f aca="false">Payment_Log_AP!C99</f>
        <v>V1017</v>
      </c>
      <c r="C102" s="16" t="str">
        <f aca="false">Payment_Log_AP!B99</f>
        <v>INV30115</v>
      </c>
      <c r="D102" s="17" t="n">
        <f aca="false">Payment_Log_AP!D99</f>
        <v>46187</v>
      </c>
      <c r="E102" s="18" t="n">
        <f aca="false">Payment_Log_AP!E99</f>
        <v>2099.16</v>
      </c>
      <c r="F102" s="17" t="n">
        <f aca="false">IFERROR(INDEX(Vendor_Invoices_AP!$D$2:$D$882,MATCH(C102,Vendor_Invoices_AP!$A$2:$A$882,0)),"")</f>
        <v>46161</v>
      </c>
      <c r="G102" s="16" t="n">
        <f aca="false">IF(F102="","",D102-F102)</f>
        <v>26</v>
      </c>
      <c r="H102" s="21" t="n">
        <f aca="false">IF(F102="","",DATE(YEAR(D102),MONTH(D102),1))</f>
        <v>46174</v>
      </c>
    </row>
    <row r="103" customFormat="false" ht="15" hidden="false" customHeight="false" outlineLevel="0" collapsed="false">
      <c r="A103" s="16" t="str">
        <f aca="false">Payment_Log_AP!A100</f>
        <v>PAY40099</v>
      </c>
      <c r="B103" s="16" t="str">
        <f aca="false">Payment_Log_AP!C100</f>
        <v>V1015</v>
      </c>
      <c r="C103" s="16" t="str">
        <f aca="false">Payment_Log_AP!B100</f>
        <v>INV30116</v>
      </c>
      <c r="D103" s="17" t="n">
        <f aca="false">Payment_Log_AP!D100</f>
        <v>46106</v>
      </c>
      <c r="E103" s="18" t="n">
        <f aca="false">Payment_Log_AP!E100</f>
        <v>2167.65</v>
      </c>
      <c r="F103" s="17" t="n">
        <f aca="false">IFERROR(INDEX(Vendor_Invoices_AP!$D$2:$D$882,MATCH(C103,Vendor_Invoices_AP!$A$2:$A$882,0)),"")</f>
        <v>46081</v>
      </c>
      <c r="G103" s="16" t="n">
        <f aca="false">IF(F103="","",D103-F103)</f>
        <v>25</v>
      </c>
      <c r="H103" s="21" t="n">
        <f aca="false">IF(F103="","",DATE(YEAR(D103),MONTH(D103),1))</f>
        <v>46082</v>
      </c>
    </row>
    <row r="104" customFormat="false" ht="15" hidden="false" customHeight="false" outlineLevel="0" collapsed="false">
      <c r="A104" s="16" t="str">
        <f aca="false">Payment_Log_AP!A101</f>
        <v>PAY40100</v>
      </c>
      <c r="B104" s="16" t="str">
        <f aca="false">Payment_Log_AP!C101</f>
        <v>V1018</v>
      </c>
      <c r="C104" s="16" t="str">
        <f aca="false">Payment_Log_AP!B101</f>
        <v>INV30117</v>
      </c>
      <c r="D104" s="17" t="n">
        <f aca="false">Payment_Log_AP!D101</f>
        <v>45933</v>
      </c>
      <c r="E104" s="18" t="n">
        <f aca="false">Payment_Log_AP!E101</f>
        <v>865.82</v>
      </c>
      <c r="F104" s="17" t="n">
        <f aca="false">IFERROR(INDEX(Vendor_Invoices_AP!$D$2:$D$882,MATCH(C104,Vendor_Invoices_AP!$A$2:$A$882,0)),"")</f>
        <v>45923</v>
      </c>
      <c r="G104" s="16" t="n">
        <f aca="false">IF(F104="","",D104-F104)</f>
        <v>10</v>
      </c>
      <c r="H104" s="21" t="n">
        <f aca="false">IF(F104="","",DATE(YEAR(D104),MONTH(D104),1))</f>
        <v>45931</v>
      </c>
    </row>
    <row r="105" customFormat="false" ht="15" hidden="false" customHeight="false" outlineLevel="0" collapsed="false">
      <c r="A105" s="16" t="str">
        <f aca="false">Payment_Log_AP!A102</f>
        <v>PAY40101</v>
      </c>
      <c r="B105" s="16" t="str">
        <f aca="false">Payment_Log_AP!C102</f>
        <v>V1006</v>
      </c>
      <c r="C105" s="16" t="str">
        <f aca="false">Payment_Log_AP!B102</f>
        <v>INV30118</v>
      </c>
      <c r="D105" s="17" t="n">
        <f aca="false">Payment_Log_AP!D102</f>
        <v>45837</v>
      </c>
      <c r="E105" s="18" t="n">
        <f aca="false">Payment_Log_AP!E102</f>
        <v>588.49</v>
      </c>
      <c r="F105" s="17" t="n">
        <f aca="false">IFERROR(INDEX(Vendor_Invoices_AP!$D$2:$D$882,MATCH(C105,Vendor_Invoices_AP!$A$2:$A$882,0)),"")</f>
        <v>45817</v>
      </c>
      <c r="G105" s="16" t="n">
        <f aca="false">IF(F105="","",D105-F105)</f>
        <v>20</v>
      </c>
      <c r="H105" s="21" t="n">
        <f aca="false">IF(F105="","",DATE(YEAR(D105),MONTH(D105),1))</f>
        <v>45809</v>
      </c>
    </row>
    <row r="106" customFormat="false" ht="15" hidden="false" customHeight="false" outlineLevel="0" collapsed="false">
      <c r="A106" s="16" t="str">
        <f aca="false">Payment_Log_AP!A103</f>
        <v>PAY40102</v>
      </c>
      <c r="B106" s="16" t="str">
        <f aca="false">Payment_Log_AP!C103</f>
        <v>V1038</v>
      </c>
      <c r="C106" s="16" t="str">
        <f aca="false">Payment_Log_AP!B103</f>
        <v>INV30119</v>
      </c>
      <c r="D106" s="17" t="n">
        <f aca="false">Payment_Log_AP!D103</f>
        <v>45818</v>
      </c>
      <c r="E106" s="18" t="n">
        <f aca="false">Payment_Log_AP!E103</f>
        <v>1755.83</v>
      </c>
      <c r="F106" s="17" t="n">
        <f aca="false">IFERROR(INDEX(Vendor_Invoices_AP!$D$2:$D$882,MATCH(C106,Vendor_Invoices_AP!$A$2:$A$882,0)),"")</f>
        <v>45794</v>
      </c>
      <c r="G106" s="16" t="n">
        <f aca="false">IF(F106="","",D106-F106)</f>
        <v>24</v>
      </c>
      <c r="H106" s="21" t="n">
        <f aca="false">IF(F106="","",DATE(YEAR(D106),MONTH(D106),1))</f>
        <v>45809</v>
      </c>
    </row>
    <row r="107" customFormat="false" ht="15" hidden="false" customHeight="false" outlineLevel="0" collapsed="false">
      <c r="A107" s="16" t="str">
        <f aca="false">Payment_Log_AP!A104</f>
        <v>PAY40103</v>
      </c>
      <c r="B107" s="16" t="str">
        <f aca="false">Payment_Log_AP!C104</f>
        <v>V1026</v>
      </c>
      <c r="C107" s="16" t="str">
        <f aca="false">Payment_Log_AP!B104</f>
        <v>INV30120</v>
      </c>
      <c r="D107" s="17" t="n">
        <f aca="false">Payment_Log_AP!D104</f>
        <v>46041</v>
      </c>
      <c r="E107" s="18" t="n">
        <f aca="false">Payment_Log_AP!E104</f>
        <v>946.66</v>
      </c>
      <c r="F107" s="17" t="n">
        <f aca="false">IFERROR(INDEX(Vendor_Invoices_AP!$D$2:$D$882,MATCH(C107,Vendor_Invoices_AP!$A$2:$A$882,0)),"")</f>
        <v>46010</v>
      </c>
      <c r="G107" s="16" t="n">
        <f aca="false">IF(F107="","",D107-F107)</f>
        <v>31</v>
      </c>
      <c r="H107" s="21" t="n">
        <f aca="false">IF(F107="","",DATE(YEAR(D107),MONTH(D107),1))</f>
        <v>46023</v>
      </c>
    </row>
    <row r="108" customFormat="false" ht="15" hidden="false" customHeight="false" outlineLevel="0" collapsed="false">
      <c r="A108" s="16" t="str">
        <f aca="false">Payment_Log_AP!A105</f>
        <v>PAY40104</v>
      </c>
      <c r="B108" s="16" t="str">
        <f aca="false">Payment_Log_AP!C105</f>
        <v>V1027</v>
      </c>
      <c r="C108" s="16" t="str">
        <f aca="false">Payment_Log_AP!B105</f>
        <v>INV30121</v>
      </c>
      <c r="D108" s="17" t="n">
        <f aca="false">Payment_Log_AP!D105</f>
        <v>46113</v>
      </c>
      <c r="E108" s="18" t="n">
        <f aca="false">Payment_Log_AP!E105</f>
        <v>17767.35</v>
      </c>
      <c r="F108" s="17" t="n">
        <f aca="false">IFERROR(INDEX(Vendor_Invoices_AP!$D$2:$D$882,MATCH(C108,Vendor_Invoices_AP!$A$2:$A$882,0)),"")</f>
        <v>46085</v>
      </c>
      <c r="G108" s="16" t="n">
        <f aca="false">IF(F108="","",D108-F108)</f>
        <v>28</v>
      </c>
      <c r="H108" s="21" t="n">
        <f aca="false">IF(F108="","",DATE(YEAR(D108),MONTH(D108),1))</f>
        <v>46113</v>
      </c>
    </row>
    <row r="109" customFormat="false" ht="15" hidden="false" customHeight="false" outlineLevel="0" collapsed="false">
      <c r="A109" s="16" t="str">
        <f aca="false">Payment_Log_AP!A106</f>
        <v>PAY40105</v>
      </c>
      <c r="B109" s="16" t="str">
        <f aca="false">Payment_Log_AP!C106</f>
        <v>V1002</v>
      </c>
      <c r="C109" s="16" t="str">
        <f aca="false">Payment_Log_AP!B106</f>
        <v>INV30122</v>
      </c>
      <c r="D109" s="17" t="n">
        <f aca="false">Payment_Log_AP!D106</f>
        <v>45980</v>
      </c>
      <c r="E109" s="18" t="n">
        <f aca="false">Payment_Log_AP!E106</f>
        <v>8633.55</v>
      </c>
      <c r="F109" s="17" t="n">
        <f aca="false">IFERROR(INDEX(Vendor_Invoices_AP!$D$2:$D$882,MATCH(C109,Vendor_Invoices_AP!$A$2:$A$882,0)),"")</f>
        <v>45952</v>
      </c>
      <c r="G109" s="16" t="n">
        <f aca="false">IF(F109="","",D109-F109)</f>
        <v>28</v>
      </c>
      <c r="H109" s="21" t="n">
        <f aca="false">IF(F109="","",DATE(YEAR(D109),MONTH(D109),1))</f>
        <v>45962</v>
      </c>
    </row>
    <row r="110" customFormat="false" ht="15" hidden="false" customHeight="false" outlineLevel="0" collapsed="false">
      <c r="A110" s="16" t="str">
        <f aca="false">Payment_Log_AP!A107</f>
        <v>PAY40106</v>
      </c>
      <c r="B110" s="16" t="str">
        <f aca="false">Payment_Log_AP!C107</f>
        <v>V1038</v>
      </c>
      <c r="C110" s="16" t="str">
        <f aca="false">Payment_Log_AP!B107</f>
        <v>INV30123</v>
      </c>
      <c r="D110" s="17" t="n">
        <f aca="false">Payment_Log_AP!D107</f>
        <v>46042</v>
      </c>
      <c r="E110" s="18" t="n">
        <f aca="false">Payment_Log_AP!E107</f>
        <v>1731.53</v>
      </c>
      <c r="F110" s="17" t="n">
        <f aca="false">IFERROR(INDEX(Vendor_Invoices_AP!$D$2:$D$882,MATCH(C110,Vendor_Invoices_AP!$A$2:$A$882,0)),"")</f>
        <v>46012</v>
      </c>
      <c r="G110" s="16" t="n">
        <f aca="false">IF(F110="","",D110-F110)</f>
        <v>30</v>
      </c>
      <c r="H110" s="21" t="n">
        <f aca="false">IF(F110="","",DATE(YEAR(D110),MONTH(D110),1))</f>
        <v>46023</v>
      </c>
    </row>
    <row r="111" customFormat="false" ht="15" hidden="false" customHeight="false" outlineLevel="0" collapsed="false">
      <c r="A111" s="16" t="str">
        <f aca="false">Payment_Log_AP!A108</f>
        <v>PAY40107</v>
      </c>
      <c r="B111" s="16" t="str">
        <f aca="false">Payment_Log_AP!C108</f>
        <v>V1025</v>
      </c>
      <c r="C111" s="16" t="str">
        <f aca="false">Payment_Log_AP!B108</f>
        <v>INV30124</v>
      </c>
      <c r="D111" s="17" t="n">
        <f aca="false">Payment_Log_AP!D108</f>
        <v>45854</v>
      </c>
      <c r="E111" s="18" t="n">
        <f aca="false">Payment_Log_AP!E108</f>
        <v>1559.4</v>
      </c>
      <c r="F111" s="17" t="n">
        <f aca="false">IFERROR(INDEX(Vendor_Invoices_AP!$D$2:$D$882,MATCH(C111,Vendor_Invoices_AP!$A$2:$A$882,0)),"")</f>
        <v>45822</v>
      </c>
      <c r="G111" s="16" t="n">
        <f aca="false">IF(F111="","",D111-F111)</f>
        <v>32</v>
      </c>
      <c r="H111" s="21" t="n">
        <f aca="false">IF(F111="","",DATE(YEAR(D111),MONTH(D111),1))</f>
        <v>45839</v>
      </c>
    </row>
    <row r="112" customFormat="false" ht="15" hidden="false" customHeight="false" outlineLevel="0" collapsed="false">
      <c r="A112" s="16" t="str">
        <f aca="false">Payment_Log_AP!A109</f>
        <v>PAY40108</v>
      </c>
      <c r="B112" s="16" t="str">
        <f aca="false">Payment_Log_AP!C109</f>
        <v>V1019</v>
      </c>
      <c r="C112" s="16" t="str">
        <f aca="false">Payment_Log_AP!B109</f>
        <v>INV30125</v>
      </c>
      <c r="D112" s="17" t="n">
        <f aca="false">Payment_Log_AP!D109</f>
        <v>45745</v>
      </c>
      <c r="E112" s="18" t="n">
        <f aca="false">Payment_Log_AP!E109</f>
        <v>1484.65</v>
      </c>
      <c r="F112" s="17" t="n">
        <f aca="false">IFERROR(INDEX(Vendor_Invoices_AP!$D$2:$D$882,MATCH(C112,Vendor_Invoices_AP!$A$2:$A$882,0)),"")</f>
        <v>45714</v>
      </c>
      <c r="G112" s="16" t="n">
        <f aca="false">IF(F112="","",D112-F112)</f>
        <v>31</v>
      </c>
      <c r="H112" s="21" t="n">
        <f aca="false">IF(F112="","",DATE(YEAR(D112),MONTH(D112),1))</f>
        <v>45717</v>
      </c>
    </row>
    <row r="113" customFormat="false" ht="15" hidden="false" customHeight="false" outlineLevel="0" collapsed="false">
      <c r="A113" s="16" t="str">
        <f aca="false">Payment_Log_AP!A110</f>
        <v>PAY40109</v>
      </c>
      <c r="B113" s="16" t="str">
        <f aca="false">Payment_Log_AP!C110</f>
        <v>V1014</v>
      </c>
      <c r="C113" s="16" t="str">
        <f aca="false">Payment_Log_AP!B110</f>
        <v>INV30126</v>
      </c>
      <c r="D113" s="17" t="n">
        <f aca="false">Payment_Log_AP!D110</f>
        <v>45839</v>
      </c>
      <c r="E113" s="18" t="n">
        <f aca="false">Payment_Log_AP!E110</f>
        <v>448.18</v>
      </c>
      <c r="F113" s="17" t="n">
        <f aca="false">IFERROR(INDEX(Vendor_Invoices_AP!$D$2:$D$882,MATCH(C113,Vendor_Invoices_AP!$A$2:$A$882,0)),"")</f>
        <v>45819</v>
      </c>
      <c r="G113" s="16" t="n">
        <f aca="false">IF(F113="","",D113-F113)</f>
        <v>20</v>
      </c>
      <c r="H113" s="21" t="n">
        <f aca="false">IF(F113="","",DATE(YEAR(D113),MONTH(D113),1))</f>
        <v>45839</v>
      </c>
    </row>
    <row r="114" customFormat="false" ht="15" hidden="false" customHeight="false" outlineLevel="0" collapsed="false">
      <c r="A114" s="16" t="str">
        <f aca="false">Payment_Log_AP!A111</f>
        <v>PAY40110</v>
      </c>
      <c r="B114" s="16" t="str">
        <f aca="false">Payment_Log_AP!C111</f>
        <v>V1028</v>
      </c>
      <c r="C114" s="16" t="str">
        <f aca="false">Payment_Log_AP!B111</f>
        <v>INV30127</v>
      </c>
      <c r="D114" s="17" t="n">
        <f aca="false">Payment_Log_AP!D111</f>
        <v>45815</v>
      </c>
      <c r="E114" s="18" t="n">
        <f aca="false">Payment_Log_AP!E111</f>
        <v>381.28</v>
      </c>
      <c r="F114" s="17" t="n">
        <f aca="false">IFERROR(INDEX(Vendor_Invoices_AP!$D$2:$D$882,MATCH(C114,Vendor_Invoices_AP!$A$2:$A$882,0)),"")</f>
        <v>45811</v>
      </c>
      <c r="G114" s="16" t="n">
        <f aca="false">IF(F114="","",D114-F114)</f>
        <v>4</v>
      </c>
      <c r="H114" s="21" t="n">
        <f aca="false">IF(F114="","",DATE(YEAR(D114),MONTH(D114),1))</f>
        <v>45809</v>
      </c>
    </row>
    <row r="115" customFormat="false" ht="15" hidden="false" customHeight="false" outlineLevel="0" collapsed="false">
      <c r="A115" s="16" t="str">
        <f aca="false">Payment_Log_AP!A112</f>
        <v>PAY40111</v>
      </c>
      <c r="B115" s="16" t="str">
        <f aca="false">Payment_Log_AP!C112</f>
        <v>V1017</v>
      </c>
      <c r="C115" s="16" t="str">
        <f aca="false">Payment_Log_AP!B112</f>
        <v>INV30128</v>
      </c>
      <c r="D115" s="17" t="n">
        <f aca="false">Payment_Log_AP!D112</f>
        <v>45884</v>
      </c>
      <c r="E115" s="18" t="n">
        <f aca="false">Payment_Log_AP!E112</f>
        <v>432.73</v>
      </c>
      <c r="F115" s="17" t="n">
        <f aca="false">IFERROR(INDEX(Vendor_Invoices_AP!$D$2:$D$882,MATCH(C115,Vendor_Invoices_AP!$A$2:$A$882,0)),"")</f>
        <v>45851</v>
      </c>
      <c r="G115" s="16" t="n">
        <f aca="false">IF(F115="","",D115-F115)</f>
        <v>33</v>
      </c>
      <c r="H115" s="21" t="n">
        <f aca="false">IF(F115="","",DATE(YEAR(D115),MONTH(D115),1))</f>
        <v>45870</v>
      </c>
    </row>
    <row r="116" customFormat="false" ht="15" hidden="false" customHeight="false" outlineLevel="0" collapsed="false">
      <c r="A116" s="16" t="str">
        <f aca="false">Payment_Log_AP!A113</f>
        <v>PAY40112</v>
      </c>
      <c r="B116" s="16" t="str">
        <f aca="false">Payment_Log_AP!C113</f>
        <v>V1032</v>
      </c>
      <c r="C116" s="16" t="str">
        <f aca="false">Payment_Log_AP!B113</f>
        <v>INV30129</v>
      </c>
      <c r="D116" s="17" t="n">
        <f aca="false">Payment_Log_AP!D113</f>
        <v>45975</v>
      </c>
      <c r="E116" s="18" t="n">
        <f aca="false">Payment_Log_AP!E113</f>
        <v>2005.68</v>
      </c>
      <c r="F116" s="17" t="n">
        <f aca="false">IFERROR(INDEX(Vendor_Invoices_AP!$D$2:$D$882,MATCH(C116,Vendor_Invoices_AP!$A$2:$A$882,0)),"")</f>
        <v>45958</v>
      </c>
      <c r="G116" s="16" t="n">
        <f aca="false">IF(F116="","",D116-F116)</f>
        <v>17</v>
      </c>
      <c r="H116" s="21" t="n">
        <f aca="false">IF(F116="","",DATE(YEAR(D116),MONTH(D116),1))</f>
        <v>45962</v>
      </c>
    </row>
    <row r="117" customFormat="false" ht="15" hidden="false" customHeight="false" outlineLevel="0" collapsed="false">
      <c r="A117" s="16" t="str">
        <f aca="false">Payment_Log_AP!A114</f>
        <v>PAY40113</v>
      </c>
      <c r="B117" s="16" t="str">
        <f aca="false">Payment_Log_AP!C114</f>
        <v>V1009</v>
      </c>
      <c r="C117" s="16" t="str">
        <f aca="false">Payment_Log_AP!B114</f>
        <v>INV30130</v>
      </c>
      <c r="D117" s="17" t="n">
        <f aca="false">Payment_Log_AP!D114</f>
        <v>45783</v>
      </c>
      <c r="E117" s="18" t="n">
        <f aca="false">Payment_Log_AP!E114</f>
        <v>12091.17</v>
      </c>
      <c r="F117" s="17" t="n">
        <f aca="false">IFERROR(INDEX(Vendor_Invoices_AP!$D$2:$D$882,MATCH(C117,Vendor_Invoices_AP!$A$2:$A$882,0)),"")</f>
        <v>45750</v>
      </c>
      <c r="G117" s="16" t="n">
        <f aca="false">IF(F117="","",D117-F117)</f>
        <v>33</v>
      </c>
      <c r="H117" s="21" t="n">
        <f aca="false">IF(F117="","",DATE(YEAR(D117),MONTH(D117),1))</f>
        <v>45778</v>
      </c>
    </row>
    <row r="118" customFormat="false" ht="15" hidden="false" customHeight="false" outlineLevel="0" collapsed="false">
      <c r="A118" s="16" t="str">
        <f aca="false">Payment_Log_AP!A115</f>
        <v>PAY40114</v>
      </c>
      <c r="B118" s="16" t="str">
        <f aca="false">Payment_Log_AP!C115</f>
        <v>V1003</v>
      </c>
      <c r="C118" s="16" t="str">
        <f aca="false">Payment_Log_AP!B115</f>
        <v>INV30131</v>
      </c>
      <c r="D118" s="17" t="n">
        <f aca="false">Payment_Log_AP!D115</f>
        <v>45813</v>
      </c>
      <c r="E118" s="18" t="n">
        <f aca="false">Payment_Log_AP!E115</f>
        <v>1425.03</v>
      </c>
      <c r="F118" s="17" t="n">
        <f aca="false">IFERROR(INDEX(Vendor_Invoices_AP!$D$2:$D$882,MATCH(C118,Vendor_Invoices_AP!$A$2:$A$882,0)),"")</f>
        <v>45801</v>
      </c>
      <c r="G118" s="16" t="n">
        <f aca="false">IF(F118="","",D118-F118)</f>
        <v>12</v>
      </c>
      <c r="H118" s="21" t="n">
        <f aca="false">IF(F118="","",DATE(YEAR(D118),MONTH(D118),1))</f>
        <v>45809</v>
      </c>
    </row>
    <row r="119" customFormat="false" ht="15" hidden="false" customHeight="false" outlineLevel="0" collapsed="false">
      <c r="A119" s="16" t="str">
        <f aca="false">Payment_Log_AP!A116</f>
        <v>PAY40115</v>
      </c>
      <c r="B119" s="16" t="str">
        <f aca="false">Payment_Log_AP!C116</f>
        <v>V1005</v>
      </c>
      <c r="C119" s="16" t="str">
        <f aca="false">Payment_Log_AP!B116</f>
        <v>INV30132</v>
      </c>
      <c r="D119" s="17" t="n">
        <f aca="false">Payment_Log_AP!D116</f>
        <v>46085</v>
      </c>
      <c r="E119" s="18" t="n">
        <f aca="false">Payment_Log_AP!E116</f>
        <v>13874.68</v>
      </c>
      <c r="F119" s="17" t="n">
        <f aca="false">IFERROR(INDEX(Vendor_Invoices_AP!$D$2:$D$882,MATCH(C119,Vendor_Invoices_AP!$A$2:$A$882,0)),"")</f>
        <v>46058</v>
      </c>
      <c r="G119" s="16" t="n">
        <f aca="false">IF(F119="","",D119-F119)</f>
        <v>27</v>
      </c>
      <c r="H119" s="21" t="n">
        <f aca="false">IF(F119="","",DATE(YEAR(D119),MONTH(D119),1))</f>
        <v>46082</v>
      </c>
    </row>
    <row r="120" customFormat="false" ht="15" hidden="false" customHeight="false" outlineLevel="0" collapsed="false">
      <c r="A120" s="16" t="str">
        <f aca="false">Payment_Log_AP!A117</f>
        <v>PAY40116</v>
      </c>
      <c r="B120" s="16" t="str">
        <f aca="false">Payment_Log_AP!C117</f>
        <v>V1025</v>
      </c>
      <c r="C120" s="16" t="str">
        <f aca="false">Payment_Log_AP!B117</f>
        <v>INV30133</v>
      </c>
      <c r="D120" s="17" t="n">
        <f aca="false">Payment_Log_AP!D117</f>
        <v>46088</v>
      </c>
      <c r="E120" s="18" t="n">
        <f aca="false">Payment_Log_AP!E117</f>
        <v>2603.15</v>
      </c>
      <c r="F120" s="17" t="n">
        <f aca="false">IFERROR(INDEX(Vendor_Invoices_AP!$D$2:$D$882,MATCH(C120,Vendor_Invoices_AP!$A$2:$A$882,0)),"")</f>
        <v>46059</v>
      </c>
      <c r="G120" s="16" t="n">
        <f aca="false">IF(F120="","",D120-F120)</f>
        <v>29</v>
      </c>
      <c r="H120" s="21" t="n">
        <f aca="false">IF(F120="","",DATE(YEAR(D120),MONTH(D120),1))</f>
        <v>46082</v>
      </c>
    </row>
    <row r="121" customFormat="false" ht="15" hidden="false" customHeight="false" outlineLevel="0" collapsed="false">
      <c r="A121" s="16" t="str">
        <f aca="false">Payment_Log_AP!A118</f>
        <v>PAY40117</v>
      </c>
      <c r="B121" s="16" t="str">
        <f aca="false">Payment_Log_AP!C118</f>
        <v>V1007</v>
      </c>
      <c r="C121" s="16" t="str">
        <f aca="false">Payment_Log_AP!B118</f>
        <v>INV30135</v>
      </c>
      <c r="D121" s="17" t="n">
        <f aca="false">Payment_Log_AP!D118</f>
        <v>45902</v>
      </c>
      <c r="E121" s="18" t="n">
        <f aca="false">Payment_Log_AP!E118</f>
        <v>4244.35</v>
      </c>
      <c r="F121" s="17" t="n">
        <f aca="false">IFERROR(INDEX(Vendor_Invoices_AP!$D$2:$D$882,MATCH(C121,Vendor_Invoices_AP!$A$2:$A$882,0)),"")</f>
        <v>45888</v>
      </c>
      <c r="G121" s="16" t="n">
        <f aca="false">IF(F121="","",D121-F121)</f>
        <v>14</v>
      </c>
      <c r="H121" s="21" t="n">
        <f aca="false">IF(F121="","",DATE(YEAR(D121),MONTH(D121),1))</f>
        <v>45901</v>
      </c>
    </row>
    <row r="122" customFormat="false" ht="15" hidden="false" customHeight="false" outlineLevel="0" collapsed="false">
      <c r="A122" s="16" t="str">
        <f aca="false">Payment_Log_AP!A119</f>
        <v>PAY40118</v>
      </c>
      <c r="B122" s="16" t="str">
        <f aca="false">Payment_Log_AP!C119</f>
        <v>V1007</v>
      </c>
      <c r="C122" s="16" t="str">
        <f aca="false">Payment_Log_AP!B119</f>
        <v>INV30137</v>
      </c>
      <c r="D122" s="17" t="n">
        <f aca="false">Payment_Log_AP!D119</f>
        <v>45901</v>
      </c>
      <c r="E122" s="18" t="n">
        <f aca="false">Payment_Log_AP!E119</f>
        <v>1297.3</v>
      </c>
      <c r="F122" s="17" t="n">
        <f aca="false">IFERROR(INDEX(Vendor_Invoices_AP!$D$2:$D$882,MATCH(C122,Vendor_Invoices_AP!$A$2:$A$882,0)),"")</f>
        <v>45894</v>
      </c>
      <c r="G122" s="16" t="n">
        <f aca="false">IF(F122="","",D122-F122)</f>
        <v>7</v>
      </c>
      <c r="H122" s="21" t="n">
        <f aca="false">IF(F122="","",DATE(YEAR(D122),MONTH(D122),1))</f>
        <v>45901</v>
      </c>
    </row>
    <row r="123" customFormat="false" ht="15" hidden="false" customHeight="false" outlineLevel="0" collapsed="false">
      <c r="A123" s="16" t="str">
        <f aca="false">Payment_Log_AP!A120</f>
        <v>PAY40119</v>
      </c>
      <c r="B123" s="16" t="str">
        <f aca="false">Payment_Log_AP!C120</f>
        <v>V1009</v>
      </c>
      <c r="C123" s="16" t="str">
        <f aca="false">Payment_Log_AP!B120</f>
        <v>INV30138</v>
      </c>
      <c r="D123" s="17" t="n">
        <f aca="false">Payment_Log_AP!D120</f>
        <v>45788</v>
      </c>
      <c r="E123" s="18" t="n">
        <f aca="false">Payment_Log_AP!E120</f>
        <v>1349.8</v>
      </c>
      <c r="F123" s="17" t="n">
        <f aca="false">IFERROR(INDEX(Vendor_Invoices_AP!$D$2:$D$882,MATCH(C123,Vendor_Invoices_AP!$A$2:$A$882,0)),"")</f>
        <v>45780</v>
      </c>
      <c r="G123" s="16" t="n">
        <f aca="false">IF(F123="","",D123-F123)</f>
        <v>8</v>
      </c>
      <c r="H123" s="21" t="n">
        <f aca="false">IF(F123="","",DATE(YEAR(D123),MONTH(D123),1))</f>
        <v>45778</v>
      </c>
    </row>
    <row r="124" customFormat="false" ht="15" hidden="false" customHeight="false" outlineLevel="0" collapsed="false">
      <c r="A124" s="16" t="str">
        <f aca="false">Payment_Log_AP!A121</f>
        <v>PAY40120</v>
      </c>
      <c r="B124" s="16" t="str">
        <f aca="false">Payment_Log_AP!C121</f>
        <v>V1022</v>
      </c>
      <c r="C124" s="16" t="str">
        <f aca="false">Payment_Log_AP!B121</f>
        <v>INV30139</v>
      </c>
      <c r="D124" s="17" t="n">
        <f aca="false">Payment_Log_AP!D121</f>
        <v>45925</v>
      </c>
      <c r="E124" s="18" t="n">
        <f aca="false">Payment_Log_AP!E121</f>
        <v>9053.44</v>
      </c>
      <c r="F124" s="17" t="n">
        <f aca="false">IFERROR(INDEX(Vendor_Invoices_AP!$D$2:$D$882,MATCH(C124,Vendor_Invoices_AP!$A$2:$A$882,0)),"")</f>
        <v>45899</v>
      </c>
      <c r="G124" s="16" t="n">
        <f aca="false">IF(F124="","",D124-F124)</f>
        <v>26</v>
      </c>
      <c r="H124" s="21" t="n">
        <f aca="false">IF(F124="","",DATE(YEAR(D124),MONTH(D124),1))</f>
        <v>45901</v>
      </c>
    </row>
    <row r="125" customFormat="false" ht="15" hidden="false" customHeight="false" outlineLevel="0" collapsed="false">
      <c r="A125" s="16" t="str">
        <f aca="false">Payment_Log_AP!A122</f>
        <v>PAY40121</v>
      </c>
      <c r="B125" s="16" t="str">
        <f aca="false">Payment_Log_AP!C122</f>
        <v>V1022</v>
      </c>
      <c r="C125" s="16" t="str">
        <f aca="false">Payment_Log_AP!B122</f>
        <v>INV30140</v>
      </c>
      <c r="D125" s="17" t="n">
        <f aca="false">Payment_Log_AP!D122</f>
        <v>46183</v>
      </c>
      <c r="E125" s="18" t="n">
        <f aca="false">Payment_Log_AP!E122</f>
        <v>974.82</v>
      </c>
      <c r="F125" s="17" t="n">
        <f aca="false">IFERROR(INDEX(Vendor_Invoices_AP!$D$2:$D$882,MATCH(C125,Vendor_Invoices_AP!$A$2:$A$882,0)),"")</f>
        <v>46159</v>
      </c>
      <c r="G125" s="16" t="n">
        <f aca="false">IF(F125="","",D125-F125)</f>
        <v>24</v>
      </c>
      <c r="H125" s="21" t="n">
        <f aca="false">IF(F125="","",DATE(YEAR(D125),MONTH(D125),1))</f>
        <v>46174</v>
      </c>
    </row>
    <row r="126" customFormat="false" ht="15" hidden="false" customHeight="false" outlineLevel="0" collapsed="false">
      <c r="A126" s="16" t="str">
        <f aca="false">Payment_Log_AP!A123</f>
        <v>PAY40122</v>
      </c>
      <c r="B126" s="16" t="str">
        <f aca="false">Payment_Log_AP!C123</f>
        <v>V1034</v>
      </c>
      <c r="C126" s="16" t="str">
        <f aca="false">Payment_Log_AP!B123</f>
        <v>INV30141</v>
      </c>
      <c r="D126" s="17" t="n">
        <f aca="false">Payment_Log_AP!D123</f>
        <v>46004</v>
      </c>
      <c r="E126" s="18" t="n">
        <f aca="false">Payment_Log_AP!E123</f>
        <v>5730.61</v>
      </c>
      <c r="F126" s="17" t="n">
        <f aca="false">IFERROR(INDEX(Vendor_Invoices_AP!$D$2:$D$882,MATCH(C126,Vendor_Invoices_AP!$A$2:$A$882,0)),"")</f>
        <v>45995</v>
      </c>
      <c r="G126" s="16" t="n">
        <f aca="false">IF(F126="","",D126-F126)</f>
        <v>9</v>
      </c>
      <c r="H126" s="21" t="n">
        <f aca="false">IF(F126="","",DATE(YEAR(D126),MONTH(D126),1))</f>
        <v>45992</v>
      </c>
    </row>
    <row r="127" customFormat="false" ht="15" hidden="false" customHeight="false" outlineLevel="0" collapsed="false">
      <c r="A127" s="16" t="str">
        <f aca="false">Payment_Log_AP!A124</f>
        <v>PAY40123</v>
      </c>
      <c r="B127" s="16" t="str">
        <f aca="false">Payment_Log_AP!C124</f>
        <v>V1040</v>
      </c>
      <c r="C127" s="16" t="str">
        <f aca="false">Payment_Log_AP!B124</f>
        <v>INV30142</v>
      </c>
      <c r="D127" s="17" t="n">
        <f aca="false">Payment_Log_AP!D124</f>
        <v>46063</v>
      </c>
      <c r="E127" s="18" t="n">
        <f aca="false">Payment_Log_AP!E124</f>
        <v>11169.56</v>
      </c>
      <c r="F127" s="17" t="n">
        <f aca="false">IFERROR(INDEX(Vendor_Invoices_AP!$D$2:$D$882,MATCH(C127,Vendor_Invoices_AP!$A$2:$A$882,0)),"")</f>
        <v>46050</v>
      </c>
      <c r="G127" s="16" t="n">
        <f aca="false">IF(F127="","",D127-F127)</f>
        <v>13</v>
      </c>
      <c r="H127" s="21" t="n">
        <f aca="false">IF(F127="","",DATE(YEAR(D127),MONTH(D127),1))</f>
        <v>46054</v>
      </c>
    </row>
    <row r="128" customFormat="false" ht="15" hidden="false" customHeight="false" outlineLevel="0" collapsed="false">
      <c r="A128" s="16" t="str">
        <f aca="false">Payment_Log_AP!A125</f>
        <v>PAY40124</v>
      </c>
      <c r="B128" s="16" t="str">
        <f aca="false">Payment_Log_AP!C125</f>
        <v>V1032</v>
      </c>
      <c r="C128" s="16" t="str">
        <f aca="false">Payment_Log_AP!B125</f>
        <v>INV30143</v>
      </c>
      <c r="D128" s="17" t="n">
        <f aca="false">Payment_Log_AP!D125</f>
        <v>46165</v>
      </c>
      <c r="E128" s="18" t="n">
        <f aca="false">Payment_Log_AP!E125</f>
        <v>573.05</v>
      </c>
      <c r="F128" s="17" t="n">
        <f aca="false">IFERROR(INDEX(Vendor_Invoices_AP!$D$2:$D$882,MATCH(C128,Vendor_Invoices_AP!$A$2:$A$882,0)),"")</f>
        <v>46149</v>
      </c>
      <c r="G128" s="16" t="n">
        <f aca="false">IF(F128="","",D128-F128)</f>
        <v>16</v>
      </c>
      <c r="H128" s="21" t="n">
        <f aca="false">IF(F128="","",DATE(YEAR(D128),MONTH(D128),1))</f>
        <v>46143</v>
      </c>
    </row>
    <row r="129" customFormat="false" ht="15" hidden="false" customHeight="false" outlineLevel="0" collapsed="false">
      <c r="A129" s="16" t="str">
        <f aca="false">Payment_Log_AP!A126</f>
        <v>PAY40125</v>
      </c>
      <c r="B129" s="16" t="str">
        <f aca="false">Payment_Log_AP!C126</f>
        <v>V1021</v>
      </c>
      <c r="C129" s="16" t="str">
        <f aca="false">Payment_Log_AP!B126</f>
        <v>INV30144</v>
      </c>
      <c r="D129" s="17" t="n">
        <f aca="false">Payment_Log_AP!D126</f>
        <v>46131</v>
      </c>
      <c r="E129" s="18" t="n">
        <f aca="false">Payment_Log_AP!E126</f>
        <v>267.6</v>
      </c>
      <c r="F129" s="17" t="n">
        <f aca="false">IFERROR(INDEX(Vendor_Invoices_AP!$D$2:$D$882,MATCH(C129,Vendor_Invoices_AP!$A$2:$A$882,0)),"")</f>
        <v>46096</v>
      </c>
      <c r="G129" s="16" t="n">
        <f aca="false">IF(F129="","",D129-F129)</f>
        <v>35</v>
      </c>
      <c r="H129" s="21" t="n">
        <f aca="false">IF(F129="","",DATE(YEAR(D129),MONTH(D129),1))</f>
        <v>46113</v>
      </c>
    </row>
    <row r="130" customFormat="false" ht="15" hidden="false" customHeight="false" outlineLevel="0" collapsed="false">
      <c r="A130" s="16" t="str">
        <f aca="false">Payment_Log_AP!A127</f>
        <v>PAY40126</v>
      </c>
      <c r="B130" s="16" t="str">
        <f aca="false">Payment_Log_AP!C127</f>
        <v>V1036</v>
      </c>
      <c r="C130" s="16" t="str">
        <f aca="false">Payment_Log_AP!B127</f>
        <v>INV30145</v>
      </c>
      <c r="D130" s="17" t="n">
        <f aca="false">Payment_Log_AP!D127</f>
        <v>45881</v>
      </c>
      <c r="E130" s="18" t="n">
        <f aca="false">Payment_Log_AP!E127</f>
        <v>634.26</v>
      </c>
      <c r="F130" s="17" t="n">
        <f aca="false">IFERROR(INDEX(Vendor_Invoices_AP!$D$2:$D$882,MATCH(C130,Vendor_Invoices_AP!$A$2:$A$882,0)),"")</f>
        <v>45871</v>
      </c>
      <c r="G130" s="16" t="n">
        <f aca="false">IF(F130="","",D130-F130)</f>
        <v>10</v>
      </c>
      <c r="H130" s="21" t="n">
        <f aca="false">IF(F130="","",DATE(YEAR(D130),MONTH(D130),1))</f>
        <v>45870</v>
      </c>
    </row>
    <row r="131" customFormat="false" ht="15" hidden="false" customHeight="false" outlineLevel="0" collapsed="false">
      <c r="A131" s="16" t="str">
        <f aca="false">Payment_Log_AP!A128</f>
        <v>PAY40127</v>
      </c>
      <c r="B131" s="16" t="str">
        <f aca="false">Payment_Log_AP!C128</f>
        <v>V1029</v>
      </c>
      <c r="C131" s="16" t="str">
        <f aca="false">Payment_Log_AP!B128</f>
        <v>INV30146</v>
      </c>
      <c r="D131" s="17" t="n">
        <f aca="false">Payment_Log_AP!D128</f>
        <v>45683</v>
      </c>
      <c r="E131" s="18" t="n">
        <f aca="false">Payment_Log_AP!E128</f>
        <v>858.6</v>
      </c>
      <c r="F131" s="17" t="n">
        <f aca="false">IFERROR(INDEX(Vendor_Invoices_AP!$D$2:$D$882,MATCH(C131,Vendor_Invoices_AP!$A$2:$A$882,0)),"")</f>
        <v>45673</v>
      </c>
      <c r="G131" s="16" t="n">
        <f aca="false">IF(F131="","",D131-F131)</f>
        <v>10</v>
      </c>
      <c r="H131" s="21" t="n">
        <f aca="false">IF(F131="","",DATE(YEAR(D131),MONTH(D131),1))</f>
        <v>45658</v>
      </c>
    </row>
    <row r="132" customFormat="false" ht="15" hidden="false" customHeight="false" outlineLevel="0" collapsed="false">
      <c r="A132" s="16" t="str">
        <f aca="false">Payment_Log_AP!A129</f>
        <v>PAY40128</v>
      </c>
      <c r="B132" s="16" t="str">
        <f aca="false">Payment_Log_AP!C129</f>
        <v>V1023</v>
      </c>
      <c r="C132" s="16" t="str">
        <f aca="false">Payment_Log_AP!B129</f>
        <v>INV30147</v>
      </c>
      <c r="D132" s="17" t="n">
        <f aca="false">Payment_Log_AP!D129</f>
        <v>45892</v>
      </c>
      <c r="E132" s="18" t="n">
        <f aca="false">Payment_Log_AP!E129</f>
        <v>1495.05</v>
      </c>
      <c r="F132" s="17" t="n">
        <f aca="false">IFERROR(INDEX(Vendor_Invoices_AP!$D$2:$D$882,MATCH(C132,Vendor_Invoices_AP!$A$2:$A$882,0)),"")</f>
        <v>45863</v>
      </c>
      <c r="G132" s="16" t="n">
        <f aca="false">IF(F132="","",D132-F132)</f>
        <v>29</v>
      </c>
      <c r="H132" s="21" t="n">
        <f aca="false">IF(F132="","",DATE(YEAR(D132),MONTH(D132),1))</f>
        <v>45870</v>
      </c>
    </row>
    <row r="133" customFormat="false" ht="15" hidden="false" customHeight="false" outlineLevel="0" collapsed="false">
      <c r="A133" s="16" t="str">
        <f aca="false">Payment_Log_AP!A130</f>
        <v>PAY40129</v>
      </c>
      <c r="B133" s="16" t="str">
        <f aca="false">Payment_Log_AP!C130</f>
        <v>V1037</v>
      </c>
      <c r="C133" s="16" t="str">
        <f aca="false">Payment_Log_AP!B130</f>
        <v>INV30148</v>
      </c>
      <c r="D133" s="17" t="n">
        <f aca="false">Payment_Log_AP!D130</f>
        <v>46101</v>
      </c>
      <c r="E133" s="18" t="n">
        <f aca="false">Payment_Log_AP!E130</f>
        <v>4226.43</v>
      </c>
      <c r="F133" s="17" t="n">
        <f aca="false">IFERROR(INDEX(Vendor_Invoices_AP!$D$2:$D$882,MATCH(C133,Vendor_Invoices_AP!$A$2:$A$882,0)),"")</f>
        <v>46075</v>
      </c>
      <c r="G133" s="16" t="n">
        <f aca="false">IF(F133="","",D133-F133)</f>
        <v>26</v>
      </c>
      <c r="H133" s="21" t="n">
        <f aca="false">IF(F133="","",DATE(YEAR(D133),MONTH(D133),1))</f>
        <v>46082</v>
      </c>
    </row>
    <row r="134" customFormat="false" ht="15" hidden="false" customHeight="false" outlineLevel="0" collapsed="false">
      <c r="A134" s="16" t="str">
        <f aca="false">Payment_Log_AP!A131</f>
        <v>PAY40130</v>
      </c>
      <c r="B134" s="16" t="str">
        <f aca="false">Payment_Log_AP!C131</f>
        <v>V1029</v>
      </c>
      <c r="C134" s="16" t="str">
        <f aca="false">Payment_Log_AP!B131</f>
        <v>INV30149</v>
      </c>
      <c r="D134" s="17" t="n">
        <f aca="false">Payment_Log_AP!D131</f>
        <v>46173</v>
      </c>
      <c r="E134" s="18" t="n">
        <f aca="false">Payment_Log_AP!E131</f>
        <v>203.15</v>
      </c>
      <c r="F134" s="17" t="n">
        <f aca="false">IFERROR(INDEX(Vendor_Invoices_AP!$D$2:$D$882,MATCH(C134,Vendor_Invoices_AP!$A$2:$A$882,0)),"")</f>
        <v>46145</v>
      </c>
      <c r="G134" s="16" t="n">
        <f aca="false">IF(F134="","",D134-F134)</f>
        <v>28</v>
      </c>
      <c r="H134" s="21" t="n">
        <f aca="false">IF(F134="","",DATE(YEAR(D134),MONTH(D134),1))</f>
        <v>46143</v>
      </c>
    </row>
    <row r="135" customFormat="false" ht="15" hidden="false" customHeight="false" outlineLevel="0" collapsed="false">
      <c r="A135" s="16" t="str">
        <f aca="false">Payment_Log_AP!A132</f>
        <v>PAY40131</v>
      </c>
      <c r="B135" s="16" t="str">
        <f aca="false">Payment_Log_AP!C132</f>
        <v>V1036</v>
      </c>
      <c r="C135" s="16" t="str">
        <f aca="false">Payment_Log_AP!B132</f>
        <v>INV30151</v>
      </c>
      <c r="D135" s="17" t="n">
        <f aca="false">Payment_Log_AP!D132</f>
        <v>45925</v>
      </c>
      <c r="E135" s="18" t="n">
        <f aca="false">Payment_Log_AP!E132</f>
        <v>3143.41</v>
      </c>
      <c r="F135" s="17" t="n">
        <f aca="false">IFERROR(INDEX(Vendor_Invoices_AP!$D$2:$D$882,MATCH(C135,Vendor_Invoices_AP!$A$2:$A$882,0)),"")</f>
        <v>45899</v>
      </c>
      <c r="G135" s="16" t="n">
        <f aca="false">IF(F135="","",D135-F135)</f>
        <v>26</v>
      </c>
      <c r="H135" s="21" t="n">
        <f aca="false">IF(F135="","",DATE(YEAR(D135),MONTH(D135),1))</f>
        <v>45901</v>
      </c>
    </row>
    <row r="136" customFormat="false" ht="15" hidden="false" customHeight="false" outlineLevel="0" collapsed="false">
      <c r="A136" s="16" t="str">
        <f aca="false">Payment_Log_AP!A133</f>
        <v>PAY40132</v>
      </c>
      <c r="B136" s="16" t="str">
        <f aca="false">Payment_Log_AP!C133</f>
        <v>V1005</v>
      </c>
      <c r="C136" s="16" t="str">
        <f aca="false">Payment_Log_AP!B133</f>
        <v>INV30152</v>
      </c>
      <c r="D136" s="17" t="n">
        <f aca="false">Payment_Log_AP!D133</f>
        <v>46113</v>
      </c>
      <c r="E136" s="18" t="n">
        <f aca="false">Payment_Log_AP!E133</f>
        <v>13042.87</v>
      </c>
      <c r="F136" s="17" t="n">
        <f aca="false">IFERROR(INDEX(Vendor_Invoices_AP!$D$2:$D$882,MATCH(C136,Vendor_Invoices_AP!$A$2:$A$882,0)),"")</f>
        <v>46081</v>
      </c>
      <c r="G136" s="16" t="n">
        <f aca="false">IF(F136="","",D136-F136)</f>
        <v>32</v>
      </c>
      <c r="H136" s="21" t="n">
        <f aca="false">IF(F136="","",DATE(YEAR(D136),MONTH(D136),1))</f>
        <v>46113</v>
      </c>
    </row>
    <row r="137" customFormat="false" ht="15" hidden="false" customHeight="false" outlineLevel="0" collapsed="false">
      <c r="A137" s="16" t="str">
        <f aca="false">Payment_Log_AP!A134</f>
        <v>PAY40133</v>
      </c>
      <c r="B137" s="16" t="str">
        <f aca="false">Payment_Log_AP!C134</f>
        <v>V1039</v>
      </c>
      <c r="C137" s="16" t="str">
        <f aca="false">Payment_Log_AP!B134</f>
        <v>INV30153</v>
      </c>
      <c r="D137" s="17" t="n">
        <f aca="false">Payment_Log_AP!D134</f>
        <v>45985</v>
      </c>
      <c r="E137" s="18" t="n">
        <f aca="false">Payment_Log_AP!E134</f>
        <v>4664.8</v>
      </c>
      <c r="F137" s="17" t="n">
        <f aca="false">IFERROR(INDEX(Vendor_Invoices_AP!$D$2:$D$882,MATCH(C137,Vendor_Invoices_AP!$A$2:$A$882,0)),"")</f>
        <v>45957</v>
      </c>
      <c r="G137" s="16" t="n">
        <f aca="false">IF(F137="","",D137-F137)</f>
        <v>28</v>
      </c>
      <c r="H137" s="21" t="n">
        <f aca="false">IF(F137="","",DATE(YEAR(D137),MONTH(D137),1))</f>
        <v>45962</v>
      </c>
    </row>
    <row r="138" customFormat="false" ht="15" hidden="false" customHeight="false" outlineLevel="0" collapsed="false">
      <c r="A138" s="16" t="str">
        <f aca="false">Payment_Log_AP!A135</f>
        <v>PAY40134</v>
      </c>
      <c r="B138" s="16" t="str">
        <f aca="false">Payment_Log_AP!C135</f>
        <v>V1015</v>
      </c>
      <c r="C138" s="16" t="str">
        <f aca="false">Payment_Log_AP!B135</f>
        <v>INV30154</v>
      </c>
      <c r="D138" s="17" t="n">
        <f aca="false">Payment_Log_AP!D135</f>
        <v>46023</v>
      </c>
      <c r="E138" s="18" t="n">
        <f aca="false">Payment_Log_AP!E135</f>
        <v>2106.89</v>
      </c>
      <c r="F138" s="17" t="n">
        <f aca="false">IFERROR(INDEX(Vendor_Invoices_AP!$D$2:$D$882,MATCH(C138,Vendor_Invoices_AP!$A$2:$A$882,0)),"")</f>
        <v>45996</v>
      </c>
      <c r="G138" s="16" t="n">
        <f aca="false">IF(F138="","",D138-F138)</f>
        <v>27</v>
      </c>
      <c r="H138" s="21" t="n">
        <f aca="false">IF(F138="","",DATE(YEAR(D138),MONTH(D138),1))</f>
        <v>46023</v>
      </c>
    </row>
    <row r="139" customFormat="false" ht="15" hidden="false" customHeight="false" outlineLevel="0" collapsed="false">
      <c r="A139" s="16" t="str">
        <f aca="false">Payment_Log_AP!A136</f>
        <v>PAY40135</v>
      </c>
      <c r="B139" s="16" t="str">
        <f aca="false">Payment_Log_AP!C136</f>
        <v>V1008</v>
      </c>
      <c r="C139" s="16" t="str">
        <f aca="false">Payment_Log_AP!B136</f>
        <v>INV30155</v>
      </c>
      <c r="D139" s="17" t="n">
        <f aca="false">Payment_Log_AP!D136</f>
        <v>45805</v>
      </c>
      <c r="E139" s="18" t="n">
        <f aca="false">Payment_Log_AP!E136</f>
        <v>7303.36</v>
      </c>
      <c r="F139" s="17" t="n">
        <f aca="false">IFERROR(INDEX(Vendor_Invoices_AP!$D$2:$D$882,MATCH(C139,Vendor_Invoices_AP!$A$2:$A$882,0)),"")</f>
        <v>45782</v>
      </c>
      <c r="G139" s="16" t="n">
        <f aca="false">IF(F139="","",D139-F139)</f>
        <v>23</v>
      </c>
      <c r="H139" s="21" t="n">
        <f aca="false">IF(F139="","",DATE(YEAR(D139),MONTH(D139),1))</f>
        <v>45778</v>
      </c>
    </row>
    <row r="140" customFormat="false" ht="15" hidden="false" customHeight="false" outlineLevel="0" collapsed="false">
      <c r="A140" s="16" t="str">
        <f aca="false">Payment_Log_AP!A137</f>
        <v>PAY40136</v>
      </c>
      <c r="B140" s="16" t="str">
        <f aca="false">Payment_Log_AP!C137</f>
        <v>V1001</v>
      </c>
      <c r="C140" s="16" t="str">
        <f aca="false">Payment_Log_AP!B137</f>
        <v>INV30156</v>
      </c>
      <c r="D140" s="17" t="n">
        <f aca="false">Payment_Log_AP!D137</f>
        <v>45801</v>
      </c>
      <c r="E140" s="18" t="n">
        <f aca="false">Payment_Log_AP!E137</f>
        <v>2285.28</v>
      </c>
      <c r="F140" s="17" t="n">
        <f aca="false">IFERROR(INDEX(Vendor_Invoices_AP!$D$2:$D$882,MATCH(C140,Vendor_Invoices_AP!$A$2:$A$882,0)),"")</f>
        <v>45782</v>
      </c>
      <c r="G140" s="16" t="n">
        <f aca="false">IF(F140="","",D140-F140)</f>
        <v>19</v>
      </c>
      <c r="H140" s="21" t="n">
        <f aca="false">IF(F140="","",DATE(YEAR(D140),MONTH(D140),1))</f>
        <v>45778</v>
      </c>
    </row>
    <row r="141" customFormat="false" ht="15" hidden="false" customHeight="false" outlineLevel="0" collapsed="false">
      <c r="A141" s="16" t="str">
        <f aca="false">Payment_Log_AP!A138</f>
        <v>PAY40137</v>
      </c>
      <c r="B141" s="16" t="str">
        <f aca="false">Payment_Log_AP!C138</f>
        <v>V1018</v>
      </c>
      <c r="C141" s="16" t="str">
        <f aca="false">Payment_Log_AP!B138</f>
        <v>INV30157</v>
      </c>
      <c r="D141" s="17" t="n">
        <f aca="false">Payment_Log_AP!D138</f>
        <v>45947</v>
      </c>
      <c r="E141" s="18" t="n">
        <f aca="false">Payment_Log_AP!E138</f>
        <v>358.03</v>
      </c>
      <c r="F141" s="17" t="n">
        <f aca="false">IFERROR(INDEX(Vendor_Invoices_AP!$D$2:$D$882,MATCH(C141,Vendor_Invoices_AP!$A$2:$A$882,0)),"")</f>
        <v>45914</v>
      </c>
      <c r="G141" s="16" t="n">
        <f aca="false">IF(F141="","",D141-F141)</f>
        <v>33</v>
      </c>
      <c r="H141" s="21" t="n">
        <f aca="false">IF(F141="","",DATE(YEAR(D141),MONTH(D141),1))</f>
        <v>45931</v>
      </c>
    </row>
    <row r="142" customFormat="false" ht="15" hidden="false" customHeight="false" outlineLevel="0" collapsed="false">
      <c r="A142" s="16" t="str">
        <f aca="false">Payment_Log_AP!A139</f>
        <v>PAY40138</v>
      </c>
      <c r="B142" s="16" t="str">
        <f aca="false">Payment_Log_AP!C139</f>
        <v>V1017</v>
      </c>
      <c r="C142" s="16" t="str">
        <f aca="false">Payment_Log_AP!B139</f>
        <v>INV30158</v>
      </c>
      <c r="D142" s="17" t="n">
        <f aca="false">Payment_Log_AP!D139</f>
        <v>45707</v>
      </c>
      <c r="E142" s="18" t="n">
        <f aca="false">Payment_Log_AP!E139</f>
        <v>2062.27</v>
      </c>
      <c r="F142" s="17" t="n">
        <f aca="false">IFERROR(INDEX(Vendor_Invoices_AP!$D$2:$D$882,MATCH(C142,Vendor_Invoices_AP!$A$2:$A$882,0)),"")</f>
        <v>45677</v>
      </c>
      <c r="G142" s="16" t="n">
        <f aca="false">IF(F142="","",D142-F142)</f>
        <v>30</v>
      </c>
      <c r="H142" s="21" t="n">
        <f aca="false">IF(F142="","",DATE(YEAR(D142),MONTH(D142),1))</f>
        <v>45689</v>
      </c>
    </row>
    <row r="143" customFormat="false" ht="15" hidden="false" customHeight="false" outlineLevel="0" collapsed="false">
      <c r="A143" s="16" t="str">
        <f aca="false">Payment_Log_AP!A140</f>
        <v>PAY40139</v>
      </c>
      <c r="B143" s="16" t="str">
        <f aca="false">Payment_Log_AP!C140</f>
        <v>V1025</v>
      </c>
      <c r="C143" s="16" t="str">
        <f aca="false">Payment_Log_AP!B140</f>
        <v>INV30159</v>
      </c>
      <c r="D143" s="17" t="n">
        <f aca="false">Payment_Log_AP!D140</f>
        <v>45870</v>
      </c>
      <c r="E143" s="18" t="n">
        <f aca="false">Payment_Log_AP!E140</f>
        <v>8142.95</v>
      </c>
      <c r="F143" s="17" t="n">
        <f aca="false">IFERROR(INDEX(Vendor_Invoices_AP!$D$2:$D$882,MATCH(C143,Vendor_Invoices_AP!$A$2:$A$882,0)),"")</f>
        <v>45845</v>
      </c>
      <c r="G143" s="16" t="n">
        <f aca="false">IF(F143="","",D143-F143)</f>
        <v>25</v>
      </c>
      <c r="H143" s="21" t="n">
        <f aca="false">IF(F143="","",DATE(YEAR(D143),MONTH(D143),1))</f>
        <v>45870</v>
      </c>
    </row>
    <row r="144" customFormat="false" ht="15" hidden="false" customHeight="false" outlineLevel="0" collapsed="false">
      <c r="A144" s="16" t="str">
        <f aca="false">Payment_Log_AP!A141</f>
        <v>PAY40140</v>
      </c>
      <c r="B144" s="16" t="str">
        <f aca="false">Payment_Log_AP!C141</f>
        <v>V1017</v>
      </c>
      <c r="C144" s="16" t="str">
        <f aca="false">Payment_Log_AP!B141</f>
        <v>INV30160</v>
      </c>
      <c r="D144" s="17" t="n">
        <f aca="false">Payment_Log_AP!D141</f>
        <v>46063</v>
      </c>
      <c r="E144" s="18" t="n">
        <f aca="false">Payment_Log_AP!E141</f>
        <v>499.89</v>
      </c>
      <c r="F144" s="17" t="n">
        <f aca="false">IFERROR(INDEX(Vendor_Invoices_AP!$D$2:$D$882,MATCH(C144,Vendor_Invoices_AP!$A$2:$A$882,0)),"")</f>
        <v>46039</v>
      </c>
      <c r="G144" s="16" t="n">
        <f aca="false">IF(F144="","",D144-F144)</f>
        <v>24</v>
      </c>
      <c r="H144" s="21" t="n">
        <f aca="false">IF(F144="","",DATE(YEAR(D144),MONTH(D144),1))</f>
        <v>46054</v>
      </c>
    </row>
    <row r="145" customFormat="false" ht="15" hidden="false" customHeight="false" outlineLevel="0" collapsed="false">
      <c r="A145" s="16" t="str">
        <f aca="false">Payment_Log_AP!A142</f>
        <v>PAY40141</v>
      </c>
      <c r="B145" s="16" t="str">
        <f aca="false">Payment_Log_AP!C142</f>
        <v>V1007</v>
      </c>
      <c r="C145" s="16" t="str">
        <f aca="false">Payment_Log_AP!B142</f>
        <v>INV30161</v>
      </c>
      <c r="D145" s="17" t="n">
        <f aca="false">Payment_Log_AP!D142</f>
        <v>45908</v>
      </c>
      <c r="E145" s="18" t="n">
        <f aca="false">Payment_Log_AP!E142</f>
        <v>2573.09</v>
      </c>
      <c r="F145" s="17" t="n">
        <f aca="false">IFERROR(INDEX(Vendor_Invoices_AP!$D$2:$D$882,MATCH(C145,Vendor_Invoices_AP!$A$2:$A$882,0)),"")</f>
        <v>45894</v>
      </c>
      <c r="G145" s="16" t="n">
        <f aca="false">IF(F145="","",D145-F145)</f>
        <v>14</v>
      </c>
      <c r="H145" s="21" t="n">
        <f aca="false">IF(F145="","",DATE(YEAR(D145),MONTH(D145),1))</f>
        <v>45901</v>
      </c>
    </row>
    <row r="146" customFormat="false" ht="15" hidden="false" customHeight="false" outlineLevel="0" collapsed="false">
      <c r="A146" s="16" t="str">
        <f aca="false">Payment_Log_AP!A143</f>
        <v>PAY40142</v>
      </c>
      <c r="B146" s="16" t="str">
        <f aca="false">Payment_Log_AP!C143</f>
        <v>V1002</v>
      </c>
      <c r="C146" s="16" t="str">
        <f aca="false">Payment_Log_AP!B143</f>
        <v>INV30162</v>
      </c>
      <c r="D146" s="17" t="n">
        <f aca="false">Payment_Log_AP!D143</f>
        <v>45785</v>
      </c>
      <c r="E146" s="18" t="n">
        <f aca="false">Payment_Log_AP!E143</f>
        <v>2632.16</v>
      </c>
      <c r="F146" s="17" t="n">
        <f aca="false">IFERROR(INDEX(Vendor_Invoices_AP!$D$2:$D$882,MATCH(C146,Vendor_Invoices_AP!$A$2:$A$882,0)),"")</f>
        <v>45754</v>
      </c>
      <c r="G146" s="16" t="n">
        <f aca="false">IF(F146="","",D146-F146)</f>
        <v>31</v>
      </c>
      <c r="H146" s="21" t="n">
        <f aca="false">IF(F146="","",DATE(YEAR(D146),MONTH(D146),1))</f>
        <v>45778</v>
      </c>
    </row>
    <row r="147" customFormat="false" ht="15" hidden="false" customHeight="false" outlineLevel="0" collapsed="false">
      <c r="A147" s="16" t="str">
        <f aca="false">Payment_Log_AP!A144</f>
        <v>PAY40143</v>
      </c>
      <c r="B147" s="16" t="str">
        <f aca="false">Payment_Log_AP!C144</f>
        <v>V1001</v>
      </c>
      <c r="C147" s="16" t="str">
        <f aca="false">Payment_Log_AP!B144</f>
        <v>INV30163</v>
      </c>
      <c r="D147" s="17" t="n">
        <f aca="false">Payment_Log_AP!D144</f>
        <v>45956</v>
      </c>
      <c r="E147" s="18" t="n">
        <f aca="false">Payment_Log_AP!E144</f>
        <v>332.16</v>
      </c>
      <c r="F147" s="17" t="n">
        <f aca="false">IFERROR(INDEX(Vendor_Invoices_AP!$D$2:$D$882,MATCH(C147,Vendor_Invoices_AP!$A$2:$A$882,0)),"")</f>
        <v>45924</v>
      </c>
      <c r="G147" s="16" t="n">
        <f aca="false">IF(F147="","",D147-F147)</f>
        <v>32</v>
      </c>
      <c r="H147" s="21" t="n">
        <f aca="false">IF(F147="","",DATE(YEAR(D147),MONTH(D147),1))</f>
        <v>45931</v>
      </c>
    </row>
    <row r="148" customFormat="false" ht="15" hidden="false" customHeight="false" outlineLevel="0" collapsed="false">
      <c r="A148" s="16" t="str">
        <f aca="false">Payment_Log_AP!A145</f>
        <v>PAY40144</v>
      </c>
      <c r="B148" s="16" t="str">
        <f aca="false">Payment_Log_AP!C145</f>
        <v>V1035</v>
      </c>
      <c r="C148" s="16" t="str">
        <f aca="false">Payment_Log_AP!B145</f>
        <v>INV30165</v>
      </c>
      <c r="D148" s="17" t="n">
        <f aca="false">Payment_Log_AP!D145</f>
        <v>46019</v>
      </c>
      <c r="E148" s="18" t="n">
        <f aca="false">Payment_Log_AP!E145</f>
        <v>783.53</v>
      </c>
      <c r="F148" s="17" t="n">
        <f aca="false">IFERROR(INDEX(Vendor_Invoices_AP!$D$2:$D$882,MATCH(C148,Vendor_Invoices_AP!$A$2:$A$882,0)),"")</f>
        <v>46003</v>
      </c>
      <c r="G148" s="16" t="n">
        <f aca="false">IF(F148="","",D148-F148)</f>
        <v>16</v>
      </c>
      <c r="H148" s="21" t="n">
        <f aca="false">IF(F148="","",DATE(YEAR(D148),MONTH(D148),1))</f>
        <v>45992</v>
      </c>
    </row>
    <row r="149" customFormat="false" ht="15" hidden="false" customHeight="false" outlineLevel="0" collapsed="false">
      <c r="A149" s="16" t="str">
        <f aca="false">Payment_Log_AP!A146</f>
        <v>PAY40145</v>
      </c>
      <c r="B149" s="16" t="str">
        <f aca="false">Payment_Log_AP!C146</f>
        <v>V1011</v>
      </c>
      <c r="C149" s="16" t="str">
        <f aca="false">Payment_Log_AP!B146</f>
        <v>INV30167</v>
      </c>
      <c r="D149" s="17" t="n">
        <f aca="false">Payment_Log_AP!D146</f>
        <v>45914</v>
      </c>
      <c r="E149" s="18" t="n">
        <f aca="false">Payment_Log_AP!E146</f>
        <v>327.42</v>
      </c>
      <c r="F149" s="17" t="n">
        <f aca="false">IFERROR(INDEX(Vendor_Invoices_AP!$D$2:$D$882,MATCH(C149,Vendor_Invoices_AP!$A$2:$A$882,0)),"")</f>
        <v>45897</v>
      </c>
      <c r="G149" s="16" t="n">
        <f aca="false">IF(F149="","",D149-F149)</f>
        <v>17</v>
      </c>
      <c r="H149" s="21" t="n">
        <f aca="false">IF(F149="","",DATE(YEAR(D149),MONTH(D149),1))</f>
        <v>45901</v>
      </c>
    </row>
    <row r="150" customFormat="false" ht="15" hidden="false" customHeight="false" outlineLevel="0" collapsed="false">
      <c r="A150" s="16" t="str">
        <f aca="false">Payment_Log_AP!A147</f>
        <v>PAY40146</v>
      </c>
      <c r="B150" s="16" t="str">
        <f aca="false">Payment_Log_AP!C147</f>
        <v>V1014</v>
      </c>
      <c r="C150" s="16" t="str">
        <f aca="false">Payment_Log_AP!B147</f>
        <v>INV30168</v>
      </c>
      <c r="D150" s="17" t="n">
        <f aca="false">Payment_Log_AP!D147</f>
        <v>46016</v>
      </c>
      <c r="E150" s="18" t="n">
        <f aca="false">Payment_Log_AP!E147</f>
        <v>12338.24</v>
      </c>
      <c r="F150" s="17" t="n">
        <f aca="false">IFERROR(INDEX(Vendor_Invoices_AP!$D$2:$D$882,MATCH(C150,Vendor_Invoices_AP!$A$2:$A$882,0)),"")</f>
        <v>45983</v>
      </c>
      <c r="G150" s="16" t="n">
        <f aca="false">IF(F150="","",D150-F150)</f>
        <v>33</v>
      </c>
      <c r="H150" s="21" t="n">
        <f aca="false">IF(F150="","",DATE(YEAR(D150),MONTH(D150),1))</f>
        <v>45992</v>
      </c>
    </row>
    <row r="151" customFormat="false" ht="15" hidden="false" customHeight="false" outlineLevel="0" collapsed="false">
      <c r="A151" s="16" t="str">
        <f aca="false">Payment_Log_AP!A148</f>
        <v>PAY40147</v>
      </c>
      <c r="B151" s="16" t="str">
        <f aca="false">Payment_Log_AP!C148</f>
        <v>V1022</v>
      </c>
      <c r="C151" s="16" t="str">
        <f aca="false">Payment_Log_AP!B148</f>
        <v>INV30169</v>
      </c>
      <c r="D151" s="17" t="n">
        <f aca="false">Payment_Log_AP!D148</f>
        <v>45693</v>
      </c>
      <c r="E151" s="18" t="n">
        <f aca="false">Payment_Log_AP!E148</f>
        <v>1431.29</v>
      </c>
      <c r="F151" s="17" t="n">
        <f aca="false">IFERROR(INDEX(Vendor_Invoices_AP!$D$2:$D$882,MATCH(C151,Vendor_Invoices_AP!$A$2:$A$882,0)),"")</f>
        <v>45685</v>
      </c>
      <c r="G151" s="16" t="n">
        <f aca="false">IF(F151="","",D151-F151)</f>
        <v>8</v>
      </c>
      <c r="H151" s="21" t="n">
        <f aca="false">IF(F151="","",DATE(YEAR(D151),MONTH(D151),1))</f>
        <v>45689</v>
      </c>
    </row>
    <row r="152" customFormat="false" ht="15" hidden="false" customHeight="false" outlineLevel="0" collapsed="false">
      <c r="A152" s="16" t="str">
        <f aca="false">Payment_Log_AP!A149</f>
        <v>PAY40148</v>
      </c>
      <c r="B152" s="16" t="str">
        <f aca="false">Payment_Log_AP!C149</f>
        <v>V1028</v>
      </c>
      <c r="C152" s="16" t="str">
        <f aca="false">Payment_Log_AP!B149</f>
        <v>INV30170</v>
      </c>
      <c r="D152" s="17" t="n">
        <f aca="false">Payment_Log_AP!D149</f>
        <v>46029</v>
      </c>
      <c r="E152" s="18" t="n">
        <f aca="false">Payment_Log_AP!E149</f>
        <v>9458.18</v>
      </c>
      <c r="F152" s="17" t="n">
        <f aca="false">IFERROR(INDEX(Vendor_Invoices_AP!$D$2:$D$882,MATCH(C152,Vendor_Invoices_AP!$A$2:$A$882,0)),"")</f>
        <v>46012</v>
      </c>
      <c r="G152" s="16" t="n">
        <f aca="false">IF(F152="","",D152-F152)</f>
        <v>17</v>
      </c>
      <c r="H152" s="21" t="n">
        <f aca="false">IF(F152="","",DATE(YEAR(D152),MONTH(D152),1))</f>
        <v>46023</v>
      </c>
    </row>
    <row r="153" customFormat="false" ht="15" hidden="false" customHeight="false" outlineLevel="0" collapsed="false">
      <c r="A153" s="16" t="str">
        <f aca="false">Payment_Log_AP!A150</f>
        <v>PAY40149</v>
      </c>
      <c r="B153" s="16" t="str">
        <f aca="false">Payment_Log_AP!C150</f>
        <v>V1033</v>
      </c>
      <c r="C153" s="16" t="str">
        <f aca="false">Payment_Log_AP!B150</f>
        <v>INV30171</v>
      </c>
      <c r="D153" s="17" t="n">
        <f aca="false">Payment_Log_AP!D150</f>
        <v>45759</v>
      </c>
      <c r="E153" s="18" t="n">
        <f aca="false">Payment_Log_AP!E150</f>
        <v>354.26</v>
      </c>
      <c r="F153" s="17" t="n">
        <f aca="false">IFERROR(INDEX(Vendor_Invoices_AP!$D$2:$D$882,MATCH(C153,Vendor_Invoices_AP!$A$2:$A$882,0)),"")</f>
        <v>45741</v>
      </c>
      <c r="G153" s="16" t="n">
        <f aca="false">IF(F153="","",D153-F153)</f>
        <v>18</v>
      </c>
      <c r="H153" s="21" t="n">
        <f aca="false">IF(F153="","",DATE(YEAR(D153),MONTH(D153),1))</f>
        <v>45748</v>
      </c>
    </row>
    <row r="154" customFormat="false" ht="15" hidden="false" customHeight="false" outlineLevel="0" collapsed="false">
      <c r="A154" s="16" t="str">
        <f aca="false">Payment_Log_AP!A151</f>
        <v>PAY40150</v>
      </c>
      <c r="B154" s="16" t="str">
        <f aca="false">Payment_Log_AP!C151</f>
        <v>V1024</v>
      </c>
      <c r="C154" s="16" t="str">
        <f aca="false">Payment_Log_AP!B151</f>
        <v>INV30172</v>
      </c>
      <c r="D154" s="17" t="n">
        <f aca="false">Payment_Log_AP!D151</f>
        <v>45934</v>
      </c>
      <c r="E154" s="18" t="n">
        <f aca="false">Payment_Log_AP!E151</f>
        <v>1640.65</v>
      </c>
      <c r="F154" s="17" t="n">
        <f aca="false">IFERROR(INDEX(Vendor_Invoices_AP!$D$2:$D$882,MATCH(C154,Vendor_Invoices_AP!$A$2:$A$882,0)),"")</f>
        <v>45927</v>
      </c>
      <c r="G154" s="16" t="n">
        <f aca="false">IF(F154="","",D154-F154)</f>
        <v>7</v>
      </c>
      <c r="H154" s="21" t="n">
        <f aca="false">IF(F154="","",DATE(YEAR(D154),MONTH(D154),1))</f>
        <v>45931</v>
      </c>
    </row>
    <row r="155" customFormat="false" ht="15" hidden="false" customHeight="false" outlineLevel="0" collapsed="false">
      <c r="A155" s="16" t="str">
        <f aca="false">Payment_Log_AP!A152</f>
        <v>PAY40151</v>
      </c>
      <c r="B155" s="16" t="str">
        <f aca="false">Payment_Log_AP!C152</f>
        <v>V1024</v>
      </c>
      <c r="C155" s="16" t="str">
        <f aca="false">Payment_Log_AP!B152</f>
        <v>INV30173</v>
      </c>
      <c r="D155" s="17" t="n">
        <f aca="false">Payment_Log_AP!D152</f>
        <v>45945</v>
      </c>
      <c r="E155" s="18" t="n">
        <f aca="false">Payment_Log_AP!E152</f>
        <v>1640.65</v>
      </c>
      <c r="F155" s="17" t="n">
        <f aca="false">IFERROR(INDEX(Vendor_Invoices_AP!$D$2:$D$882,MATCH(C155,Vendor_Invoices_AP!$A$2:$A$882,0)),"")</f>
        <v>45915</v>
      </c>
      <c r="G155" s="16" t="n">
        <f aca="false">IF(F155="","",D155-F155)</f>
        <v>30</v>
      </c>
      <c r="H155" s="21" t="n">
        <f aca="false">IF(F155="","",DATE(YEAR(D155),MONTH(D155),1))</f>
        <v>45931</v>
      </c>
    </row>
    <row r="156" customFormat="false" ht="15" hidden="false" customHeight="false" outlineLevel="0" collapsed="false">
      <c r="A156" s="16" t="str">
        <f aca="false">Payment_Log_AP!A153</f>
        <v>PAY40152</v>
      </c>
      <c r="B156" s="16" t="str">
        <f aca="false">Payment_Log_AP!C153</f>
        <v>V1011</v>
      </c>
      <c r="C156" s="16" t="str">
        <f aca="false">Payment_Log_AP!B153</f>
        <v>INV30174</v>
      </c>
      <c r="D156" s="17" t="n">
        <f aca="false">Payment_Log_AP!D153</f>
        <v>45694</v>
      </c>
      <c r="E156" s="18" t="n">
        <f aca="false">Payment_Log_AP!E153</f>
        <v>14457.87</v>
      </c>
      <c r="F156" s="17" t="n">
        <f aca="false">IFERROR(INDEX(Vendor_Invoices_AP!$D$2:$D$882,MATCH(C156,Vendor_Invoices_AP!$A$2:$A$882,0)),"")</f>
        <v>45687</v>
      </c>
      <c r="G156" s="16" t="n">
        <f aca="false">IF(F156="","",D156-F156)</f>
        <v>7</v>
      </c>
      <c r="H156" s="21" t="n">
        <f aca="false">IF(F156="","",DATE(YEAR(D156),MONTH(D156),1))</f>
        <v>45689</v>
      </c>
    </row>
    <row r="157" customFormat="false" ht="15" hidden="false" customHeight="false" outlineLevel="0" collapsed="false">
      <c r="A157" s="16" t="str">
        <f aca="false">Payment_Log_AP!A154</f>
        <v>PAY40153</v>
      </c>
      <c r="B157" s="16" t="str">
        <f aca="false">Payment_Log_AP!C154</f>
        <v>V1011</v>
      </c>
      <c r="C157" s="16" t="str">
        <f aca="false">Payment_Log_AP!B154</f>
        <v>INV30175</v>
      </c>
      <c r="D157" s="17" t="n">
        <f aca="false">Payment_Log_AP!D154</f>
        <v>45889</v>
      </c>
      <c r="E157" s="18" t="n">
        <f aca="false">Payment_Log_AP!E154</f>
        <v>3828.96</v>
      </c>
      <c r="F157" s="17" t="n">
        <f aca="false">IFERROR(INDEX(Vendor_Invoices_AP!$D$2:$D$882,MATCH(C157,Vendor_Invoices_AP!$A$2:$A$882,0)),"")</f>
        <v>45881</v>
      </c>
      <c r="G157" s="16" t="n">
        <f aca="false">IF(F157="","",D157-F157)</f>
        <v>8</v>
      </c>
      <c r="H157" s="21" t="n">
        <f aca="false">IF(F157="","",DATE(YEAR(D157),MONTH(D157),1))</f>
        <v>45870</v>
      </c>
    </row>
    <row r="158" customFormat="false" ht="15" hidden="false" customHeight="false" outlineLevel="0" collapsed="false">
      <c r="A158" s="16" t="str">
        <f aca="false">Payment_Log_AP!A155</f>
        <v>PAY40154</v>
      </c>
      <c r="B158" s="16" t="str">
        <f aca="false">Payment_Log_AP!C155</f>
        <v>V1025</v>
      </c>
      <c r="C158" s="16" t="str">
        <f aca="false">Payment_Log_AP!B155</f>
        <v>INV30176</v>
      </c>
      <c r="D158" s="17" t="n">
        <f aca="false">Payment_Log_AP!D155</f>
        <v>45803</v>
      </c>
      <c r="E158" s="18" t="n">
        <f aca="false">Payment_Log_AP!E155</f>
        <v>1542.51</v>
      </c>
      <c r="F158" s="17" t="n">
        <f aca="false">IFERROR(INDEX(Vendor_Invoices_AP!$D$2:$D$882,MATCH(C158,Vendor_Invoices_AP!$A$2:$A$882,0)),"")</f>
        <v>45784</v>
      </c>
      <c r="G158" s="16" t="n">
        <f aca="false">IF(F158="","",D158-F158)</f>
        <v>19</v>
      </c>
      <c r="H158" s="21" t="n">
        <f aca="false">IF(F158="","",DATE(YEAR(D158),MONTH(D158),1))</f>
        <v>45778</v>
      </c>
    </row>
    <row r="159" customFormat="false" ht="15" hidden="false" customHeight="false" outlineLevel="0" collapsed="false">
      <c r="A159" s="16" t="str">
        <f aca="false">Payment_Log_AP!A156</f>
        <v>PAY40155</v>
      </c>
      <c r="B159" s="16" t="str">
        <f aca="false">Payment_Log_AP!C156</f>
        <v>V1020</v>
      </c>
      <c r="C159" s="16" t="str">
        <f aca="false">Payment_Log_AP!B156</f>
        <v>INV30177</v>
      </c>
      <c r="D159" s="17" t="n">
        <f aca="false">Payment_Log_AP!D156</f>
        <v>45862</v>
      </c>
      <c r="E159" s="18" t="n">
        <f aca="false">Payment_Log_AP!E156</f>
        <v>1235.82</v>
      </c>
      <c r="F159" s="17" t="n">
        <f aca="false">IFERROR(INDEX(Vendor_Invoices_AP!$D$2:$D$882,MATCH(C159,Vendor_Invoices_AP!$A$2:$A$882,0)),"")</f>
        <v>45855</v>
      </c>
      <c r="G159" s="16" t="n">
        <f aca="false">IF(F159="","",D159-F159)</f>
        <v>7</v>
      </c>
      <c r="H159" s="21" t="n">
        <f aca="false">IF(F159="","",DATE(YEAR(D159),MONTH(D159),1))</f>
        <v>45839</v>
      </c>
    </row>
    <row r="160" customFormat="false" ht="15" hidden="false" customHeight="false" outlineLevel="0" collapsed="false">
      <c r="A160" s="16" t="str">
        <f aca="false">Payment_Log_AP!A157</f>
        <v>PAY40156</v>
      </c>
      <c r="B160" s="16" t="str">
        <f aca="false">Payment_Log_AP!C157</f>
        <v>V1005</v>
      </c>
      <c r="C160" s="16" t="str">
        <f aca="false">Payment_Log_AP!B157</f>
        <v>INV30178</v>
      </c>
      <c r="D160" s="17" t="n">
        <f aca="false">Payment_Log_AP!D157</f>
        <v>46100</v>
      </c>
      <c r="E160" s="18" t="n">
        <f aca="false">Payment_Log_AP!E157</f>
        <v>21822.22</v>
      </c>
      <c r="F160" s="17" t="n">
        <f aca="false">IFERROR(INDEX(Vendor_Invoices_AP!$D$2:$D$882,MATCH(C160,Vendor_Invoices_AP!$A$2:$A$882,0)),"")</f>
        <v>46091</v>
      </c>
      <c r="G160" s="16" t="n">
        <f aca="false">IF(F160="","",D160-F160)</f>
        <v>9</v>
      </c>
      <c r="H160" s="21" t="n">
        <f aca="false">IF(F160="","",DATE(YEAR(D160),MONTH(D160),1))</f>
        <v>46082</v>
      </c>
    </row>
    <row r="161" customFormat="false" ht="15" hidden="false" customHeight="false" outlineLevel="0" collapsed="false">
      <c r="A161" s="16" t="str">
        <f aca="false">Payment_Log_AP!A158</f>
        <v>PAY40157</v>
      </c>
      <c r="B161" s="16" t="str">
        <f aca="false">Payment_Log_AP!C158</f>
        <v>V1001</v>
      </c>
      <c r="C161" s="16" t="str">
        <f aca="false">Payment_Log_AP!B158</f>
        <v>INV30179</v>
      </c>
      <c r="D161" s="17" t="n">
        <f aca="false">Payment_Log_AP!D158</f>
        <v>45915</v>
      </c>
      <c r="E161" s="18" t="n">
        <f aca="false">Payment_Log_AP!E158</f>
        <v>3828.8</v>
      </c>
      <c r="F161" s="17" t="n">
        <f aca="false">IFERROR(INDEX(Vendor_Invoices_AP!$D$2:$D$882,MATCH(C161,Vendor_Invoices_AP!$A$2:$A$882,0)),"")</f>
        <v>45888</v>
      </c>
      <c r="G161" s="16" t="n">
        <f aca="false">IF(F161="","",D161-F161)</f>
        <v>27</v>
      </c>
      <c r="H161" s="21" t="n">
        <f aca="false">IF(F161="","",DATE(YEAR(D161),MONTH(D161),1))</f>
        <v>45901</v>
      </c>
    </row>
    <row r="162" customFormat="false" ht="15" hidden="false" customHeight="false" outlineLevel="0" collapsed="false">
      <c r="A162" s="16" t="str">
        <f aca="false">Payment_Log_AP!A159</f>
        <v>PAY40158</v>
      </c>
      <c r="B162" s="16" t="str">
        <f aca="false">Payment_Log_AP!C159</f>
        <v>V1024</v>
      </c>
      <c r="C162" s="16" t="str">
        <f aca="false">Payment_Log_AP!B159</f>
        <v>INV30180</v>
      </c>
      <c r="D162" s="17" t="n">
        <f aca="false">Payment_Log_AP!D159</f>
        <v>46103</v>
      </c>
      <c r="E162" s="18" t="n">
        <f aca="false">Payment_Log_AP!E159</f>
        <v>2084.01</v>
      </c>
      <c r="F162" s="17" t="n">
        <f aca="false">IFERROR(INDEX(Vendor_Invoices_AP!$D$2:$D$882,MATCH(C162,Vendor_Invoices_AP!$A$2:$A$882,0)),"")</f>
        <v>46081</v>
      </c>
      <c r="G162" s="16" t="n">
        <f aca="false">IF(F162="","",D162-F162)</f>
        <v>22</v>
      </c>
      <c r="H162" s="21" t="n">
        <f aca="false">IF(F162="","",DATE(YEAR(D162),MONTH(D162),1))</f>
        <v>46082</v>
      </c>
    </row>
    <row r="163" customFormat="false" ht="15" hidden="false" customHeight="false" outlineLevel="0" collapsed="false">
      <c r="A163" s="16" t="str">
        <f aca="false">Payment_Log_AP!A160</f>
        <v>PAY40159</v>
      </c>
      <c r="B163" s="16" t="str">
        <f aca="false">Payment_Log_AP!C160</f>
        <v>V1003</v>
      </c>
      <c r="C163" s="16" t="str">
        <f aca="false">Payment_Log_AP!B160</f>
        <v>INV30181</v>
      </c>
      <c r="D163" s="17" t="n">
        <f aca="false">Payment_Log_AP!D160</f>
        <v>46157</v>
      </c>
      <c r="E163" s="18" t="n">
        <f aca="false">Payment_Log_AP!E160</f>
        <v>1489.22</v>
      </c>
      <c r="F163" s="17" t="n">
        <f aca="false">IFERROR(INDEX(Vendor_Invoices_AP!$D$2:$D$882,MATCH(C163,Vendor_Invoices_AP!$A$2:$A$882,0)),"")</f>
        <v>46133</v>
      </c>
      <c r="G163" s="16" t="n">
        <f aca="false">IF(F163="","",D163-F163)</f>
        <v>24</v>
      </c>
      <c r="H163" s="21" t="n">
        <f aca="false">IF(F163="","",DATE(YEAR(D163),MONTH(D163),1))</f>
        <v>46143</v>
      </c>
    </row>
    <row r="164" customFormat="false" ht="15" hidden="false" customHeight="false" outlineLevel="0" collapsed="false">
      <c r="A164" s="16" t="str">
        <f aca="false">Payment_Log_AP!A161</f>
        <v>PAY40160</v>
      </c>
      <c r="B164" s="16" t="str">
        <f aca="false">Payment_Log_AP!C161</f>
        <v>V1035</v>
      </c>
      <c r="C164" s="16" t="str">
        <f aca="false">Payment_Log_AP!B161</f>
        <v>INV30182</v>
      </c>
      <c r="D164" s="17" t="n">
        <f aca="false">Payment_Log_AP!D161</f>
        <v>45826</v>
      </c>
      <c r="E164" s="18" t="n">
        <f aca="false">Payment_Log_AP!E161</f>
        <v>1056.69</v>
      </c>
      <c r="F164" s="17" t="n">
        <f aca="false">IFERROR(INDEX(Vendor_Invoices_AP!$D$2:$D$882,MATCH(C164,Vendor_Invoices_AP!$A$2:$A$882,0)),"")</f>
        <v>45816</v>
      </c>
      <c r="G164" s="16" t="n">
        <f aca="false">IF(F164="","",D164-F164)</f>
        <v>10</v>
      </c>
      <c r="H164" s="21" t="n">
        <f aca="false">IF(F164="","",DATE(YEAR(D164),MONTH(D164),1))</f>
        <v>45809</v>
      </c>
    </row>
    <row r="165" customFormat="false" ht="15" hidden="false" customHeight="false" outlineLevel="0" collapsed="false">
      <c r="A165" s="16" t="str">
        <f aca="false">Payment_Log_AP!A162</f>
        <v>PAY40161</v>
      </c>
      <c r="B165" s="16" t="str">
        <f aca="false">Payment_Log_AP!C162</f>
        <v>V1009</v>
      </c>
      <c r="C165" s="16" t="str">
        <f aca="false">Payment_Log_AP!B162</f>
        <v>INV30183</v>
      </c>
      <c r="D165" s="17" t="n">
        <f aca="false">Payment_Log_AP!D162</f>
        <v>45741</v>
      </c>
      <c r="E165" s="18" t="n">
        <f aca="false">Payment_Log_AP!E162</f>
        <v>3628.81</v>
      </c>
      <c r="F165" s="17" t="n">
        <f aca="false">IFERROR(INDEX(Vendor_Invoices_AP!$D$2:$D$882,MATCH(C165,Vendor_Invoices_AP!$A$2:$A$882,0)),"")</f>
        <v>45713</v>
      </c>
      <c r="G165" s="16" t="n">
        <f aca="false">IF(F165="","",D165-F165)</f>
        <v>28</v>
      </c>
      <c r="H165" s="21" t="n">
        <f aca="false">IF(F165="","",DATE(YEAR(D165),MONTH(D165),1))</f>
        <v>45717</v>
      </c>
    </row>
    <row r="166" customFormat="false" ht="15" hidden="false" customHeight="false" outlineLevel="0" collapsed="false">
      <c r="A166" s="16" t="str">
        <f aca="false">Payment_Log_AP!A163</f>
        <v>PAY40162</v>
      </c>
      <c r="B166" s="16" t="str">
        <f aca="false">Payment_Log_AP!C163</f>
        <v>V1034</v>
      </c>
      <c r="C166" s="16" t="str">
        <f aca="false">Payment_Log_AP!B163</f>
        <v>INV30184</v>
      </c>
      <c r="D166" s="17" t="n">
        <f aca="false">Payment_Log_AP!D163</f>
        <v>45712</v>
      </c>
      <c r="E166" s="18" t="n">
        <f aca="false">Payment_Log_AP!E163</f>
        <v>588.95</v>
      </c>
      <c r="F166" s="17" t="n">
        <f aca="false">IFERROR(INDEX(Vendor_Invoices_AP!$D$2:$D$882,MATCH(C166,Vendor_Invoices_AP!$A$2:$A$882,0)),"")</f>
        <v>45678</v>
      </c>
      <c r="G166" s="16" t="n">
        <f aca="false">IF(F166="","",D166-F166)</f>
        <v>34</v>
      </c>
      <c r="H166" s="21" t="n">
        <f aca="false">IF(F166="","",DATE(YEAR(D166),MONTH(D166),1))</f>
        <v>45689</v>
      </c>
    </row>
    <row r="167" customFormat="false" ht="15" hidden="false" customHeight="false" outlineLevel="0" collapsed="false">
      <c r="A167" s="16" t="str">
        <f aca="false">Payment_Log_AP!A164</f>
        <v>PAY40163</v>
      </c>
      <c r="B167" s="16" t="str">
        <f aca="false">Payment_Log_AP!C164</f>
        <v>V1017</v>
      </c>
      <c r="C167" s="16" t="str">
        <f aca="false">Payment_Log_AP!B164</f>
        <v>INV30185</v>
      </c>
      <c r="D167" s="17" t="n">
        <f aca="false">Payment_Log_AP!D164</f>
        <v>45959</v>
      </c>
      <c r="E167" s="18" t="n">
        <f aca="false">Payment_Log_AP!E164</f>
        <v>2268.78</v>
      </c>
      <c r="F167" s="17" t="n">
        <f aca="false">IFERROR(INDEX(Vendor_Invoices_AP!$D$2:$D$882,MATCH(C167,Vendor_Invoices_AP!$A$2:$A$882,0)),"")</f>
        <v>45958</v>
      </c>
      <c r="G167" s="16" t="n">
        <f aca="false">IF(F167="","",D167-F167)</f>
        <v>1</v>
      </c>
      <c r="H167" s="21" t="n">
        <f aca="false">IF(F167="","",DATE(YEAR(D167),MONTH(D167),1))</f>
        <v>45931</v>
      </c>
    </row>
    <row r="168" customFormat="false" ht="15" hidden="false" customHeight="false" outlineLevel="0" collapsed="false">
      <c r="A168" s="16" t="str">
        <f aca="false">Payment_Log_AP!A165</f>
        <v>PAY40164</v>
      </c>
      <c r="B168" s="16" t="str">
        <f aca="false">Payment_Log_AP!C165</f>
        <v>V1033</v>
      </c>
      <c r="C168" s="16" t="str">
        <f aca="false">Payment_Log_AP!B165</f>
        <v>INV30187</v>
      </c>
      <c r="D168" s="17" t="n">
        <f aca="false">Payment_Log_AP!D165</f>
        <v>45895</v>
      </c>
      <c r="E168" s="18" t="n">
        <f aca="false">Payment_Log_AP!E165</f>
        <v>560.32</v>
      </c>
      <c r="F168" s="17" t="n">
        <f aca="false">IFERROR(INDEX(Vendor_Invoices_AP!$D$2:$D$882,MATCH(C168,Vendor_Invoices_AP!$A$2:$A$882,0)),"")</f>
        <v>45869</v>
      </c>
      <c r="G168" s="16" t="n">
        <f aca="false">IF(F168="","",D168-F168)</f>
        <v>26</v>
      </c>
      <c r="H168" s="21" t="n">
        <f aca="false">IF(F168="","",DATE(YEAR(D168),MONTH(D168),1))</f>
        <v>45870</v>
      </c>
    </row>
    <row r="169" customFormat="false" ht="15" hidden="false" customHeight="false" outlineLevel="0" collapsed="false">
      <c r="A169" s="16" t="str">
        <f aca="false">Payment_Log_AP!A166</f>
        <v>PAY40165</v>
      </c>
      <c r="B169" s="16" t="str">
        <f aca="false">Payment_Log_AP!C166</f>
        <v>V1005</v>
      </c>
      <c r="C169" s="16" t="str">
        <f aca="false">Payment_Log_AP!B166</f>
        <v>INV30188</v>
      </c>
      <c r="D169" s="17" t="n">
        <f aca="false">Payment_Log_AP!D166</f>
        <v>46022</v>
      </c>
      <c r="E169" s="18" t="n">
        <f aca="false">Payment_Log_AP!E166</f>
        <v>2281.25</v>
      </c>
      <c r="F169" s="17" t="n">
        <f aca="false">IFERROR(INDEX(Vendor_Invoices_AP!$D$2:$D$882,MATCH(C169,Vendor_Invoices_AP!$A$2:$A$882,0)),"")</f>
        <v>46018</v>
      </c>
      <c r="G169" s="16" t="n">
        <f aca="false">IF(F169="","",D169-F169)</f>
        <v>4</v>
      </c>
      <c r="H169" s="21" t="n">
        <f aca="false">IF(F169="","",DATE(YEAR(D169),MONTH(D169),1))</f>
        <v>45992</v>
      </c>
    </row>
    <row r="170" customFormat="false" ht="15" hidden="false" customHeight="false" outlineLevel="0" collapsed="false">
      <c r="A170" s="16" t="str">
        <f aca="false">Payment_Log_AP!A167</f>
        <v>PAY40166</v>
      </c>
      <c r="B170" s="16" t="str">
        <f aca="false">Payment_Log_AP!C167</f>
        <v>V1008</v>
      </c>
      <c r="C170" s="16" t="str">
        <f aca="false">Payment_Log_AP!B167</f>
        <v>INV30189</v>
      </c>
      <c r="D170" s="17" t="n">
        <f aca="false">Payment_Log_AP!D167</f>
        <v>46108</v>
      </c>
      <c r="E170" s="18" t="n">
        <f aca="false">Payment_Log_AP!E167</f>
        <v>795.03</v>
      </c>
      <c r="F170" s="17" t="n">
        <f aca="false">IFERROR(INDEX(Vendor_Invoices_AP!$D$2:$D$882,MATCH(C170,Vendor_Invoices_AP!$A$2:$A$882,0)),"")</f>
        <v>46088</v>
      </c>
      <c r="G170" s="16" t="n">
        <f aca="false">IF(F170="","",D170-F170)</f>
        <v>20</v>
      </c>
      <c r="H170" s="21" t="n">
        <f aca="false">IF(F170="","",DATE(YEAR(D170),MONTH(D170),1))</f>
        <v>46082</v>
      </c>
    </row>
    <row r="171" customFormat="false" ht="15" hidden="false" customHeight="false" outlineLevel="0" collapsed="false">
      <c r="A171" s="16" t="str">
        <f aca="false">Payment_Log_AP!A168</f>
        <v>PAY40167</v>
      </c>
      <c r="B171" s="16" t="str">
        <f aca="false">Payment_Log_AP!C168</f>
        <v>V1038</v>
      </c>
      <c r="C171" s="16" t="str">
        <f aca="false">Payment_Log_AP!B168</f>
        <v>INV30190</v>
      </c>
      <c r="D171" s="17" t="n">
        <f aca="false">Payment_Log_AP!D168</f>
        <v>46047</v>
      </c>
      <c r="E171" s="18" t="n">
        <f aca="false">Payment_Log_AP!E168</f>
        <v>1829.81</v>
      </c>
      <c r="F171" s="17" t="n">
        <f aca="false">IFERROR(INDEX(Vendor_Invoices_AP!$D$2:$D$882,MATCH(C171,Vendor_Invoices_AP!$A$2:$A$882,0)),"")</f>
        <v>46029</v>
      </c>
      <c r="G171" s="16" t="n">
        <f aca="false">IF(F171="","",D171-F171)</f>
        <v>18</v>
      </c>
      <c r="H171" s="21" t="n">
        <f aca="false">IF(F171="","",DATE(YEAR(D171),MONTH(D171),1))</f>
        <v>46023</v>
      </c>
    </row>
    <row r="172" customFormat="false" ht="15" hidden="false" customHeight="false" outlineLevel="0" collapsed="false">
      <c r="A172" s="16" t="str">
        <f aca="false">Payment_Log_AP!A169</f>
        <v>PAY40168</v>
      </c>
      <c r="B172" s="16" t="str">
        <f aca="false">Payment_Log_AP!C169</f>
        <v>V1017</v>
      </c>
      <c r="C172" s="16" t="str">
        <f aca="false">Payment_Log_AP!B169</f>
        <v>INV30191</v>
      </c>
      <c r="D172" s="17" t="n">
        <f aca="false">Payment_Log_AP!D169</f>
        <v>46089</v>
      </c>
      <c r="E172" s="18" t="n">
        <f aca="false">Payment_Log_AP!E169</f>
        <v>3612.23</v>
      </c>
      <c r="F172" s="17" t="n">
        <f aca="false">IFERROR(INDEX(Vendor_Invoices_AP!$D$2:$D$882,MATCH(C172,Vendor_Invoices_AP!$A$2:$A$882,0)),"")</f>
        <v>46075</v>
      </c>
      <c r="G172" s="16" t="n">
        <f aca="false">IF(F172="","",D172-F172)</f>
        <v>14</v>
      </c>
      <c r="H172" s="21" t="n">
        <f aca="false">IF(F172="","",DATE(YEAR(D172),MONTH(D172),1))</f>
        <v>46082</v>
      </c>
    </row>
    <row r="173" customFormat="false" ht="15" hidden="false" customHeight="false" outlineLevel="0" collapsed="false">
      <c r="A173" s="16" t="str">
        <f aca="false">Payment_Log_AP!A170</f>
        <v>PAY40169</v>
      </c>
      <c r="B173" s="16" t="str">
        <f aca="false">Payment_Log_AP!C170</f>
        <v>V1008</v>
      </c>
      <c r="C173" s="16" t="str">
        <f aca="false">Payment_Log_AP!B170</f>
        <v>INV30193</v>
      </c>
      <c r="D173" s="17" t="n">
        <f aca="false">Payment_Log_AP!D170</f>
        <v>45789</v>
      </c>
      <c r="E173" s="18" t="n">
        <f aca="false">Payment_Log_AP!E170</f>
        <v>1825.14</v>
      </c>
      <c r="F173" s="17" t="n">
        <f aca="false">IFERROR(INDEX(Vendor_Invoices_AP!$D$2:$D$882,MATCH(C173,Vendor_Invoices_AP!$A$2:$A$882,0)),"")</f>
        <v>45769</v>
      </c>
      <c r="G173" s="16" t="n">
        <f aca="false">IF(F173="","",D173-F173)</f>
        <v>20</v>
      </c>
      <c r="H173" s="21" t="n">
        <f aca="false">IF(F173="","",DATE(YEAR(D173),MONTH(D173),1))</f>
        <v>45778</v>
      </c>
    </row>
    <row r="174" customFormat="false" ht="15" hidden="false" customHeight="false" outlineLevel="0" collapsed="false">
      <c r="A174" s="16" t="str">
        <f aca="false">Payment_Log_AP!A171</f>
        <v>PAY40170</v>
      </c>
      <c r="B174" s="16" t="str">
        <f aca="false">Payment_Log_AP!C171</f>
        <v>V1022</v>
      </c>
      <c r="C174" s="16" t="str">
        <f aca="false">Payment_Log_AP!B171</f>
        <v>INV30194</v>
      </c>
      <c r="D174" s="17" t="n">
        <f aca="false">Payment_Log_AP!D171</f>
        <v>45684</v>
      </c>
      <c r="E174" s="18" t="n">
        <f aca="false">Payment_Log_AP!E171</f>
        <v>21706.69</v>
      </c>
      <c r="F174" s="17" t="n">
        <f aca="false">IFERROR(INDEX(Vendor_Invoices_AP!$D$2:$D$882,MATCH(C174,Vendor_Invoices_AP!$A$2:$A$882,0)),"")</f>
        <v>45675</v>
      </c>
      <c r="G174" s="16" t="n">
        <f aca="false">IF(F174="","",D174-F174)</f>
        <v>9</v>
      </c>
      <c r="H174" s="21" t="n">
        <f aca="false">IF(F174="","",DATE(YEAR(D174),MONTH(D174),1))</f>
        <v>45658</v>
      </c>
    </row>
    <row r="175" customFormat="false" ht="15" hidden="false" customHeight="false" outlineLevel="0" collapsed="false">
      <c r="A175" s="16" t="str">
        <f aca="false">Payment_Log_AP!A172</f>
        <v>PAY40171</v>
      </c>
      <c r="B175" s="16" t="str">
        <f aca="false">Payment_Log_AP!C172</f>
        <v>V1011</v>
      </c>
      <c r="C175" s="16" t="str">
        <f aca="false">Payment_Log_AP!B172</f>
        <v>INV30195</v>
      </c>
      <c r="D175" s="17" t="n">
        <f aca="false">Payment_Log_AP!D172</f>
        <v>45778</v>
      </c>
      <c r="E175" s="18" t="n">
        <f aca="false">Payment_Log_AP!E172</f>
        <v>342.72</v>
      </c>
      <c r="F175" s="17" t="n">
        <f aca="false">IFERROR(INDEX(Vendor_Invoices_AP!$D$2:$D$882,MATCH(C175,Vendor_Invoices_AP!$A$2:$A$882,0)),"")</f>
        <v>45758</v>
      </c>
      <c r="G175" s="16" t="n">
        <f aca="false">IF(F175="","",D175-F175)</f>
        <v>20</v>
      </c>
      <c r="H175" s="21" t="n">
        <f aca="false">IF(F175="","",DATE(YEAR(D175),MONTH(D175),1))</f>
        <v>45778</v>
      </c>
    </row>
    <row r="176" customFormat="false" ht="15" hidden="false" customHeight="false" outlineLevel="0" collapsed="false">
      <c r="A176" s="16" t="str">
        <f aca="false">Payment_Log_AP!A173</f>
        <v>PAY40172</v>
      </c>
      <c r="B176" s="16" t="str">
        <f aca="false">Payment_Log_AP!C173</f>
        <v>V1007</v>
      </c>
      <c r="C176" s="16" t="str">
        <f aca="false">Payment_Log_AP!B173</f>
        <v>INV30196</v>
      </c>
      <c r="D176" s="17" t="n">
        <f aca="false">Payment_Log_AP!D173</f>
        <v>45738</v>
      </c>
      <c r="E176" s="18" t="n">
        <f aca="false">Payment_Log_AP!E173</f>
        <v>781.51</v>
      </c>
      <c r="F176" s="17" t="n">
        <f aca="false">IFERROR(INDEX(Vendor_Invoices_AP!$D$2:$D$882,MATCH(C176,Vendor_Invoices_AP!$A$2:$A$882,0)),"")</f>
        <v>45736</v>
      </c>
      <c r="G176" s="16" t="n">
        <f aca="false">IF(F176="","",D176-F176)</f>
        <v>2</v>
      </c>
      <c r="H176" s="21" t="n">
        <f aca="false">IF(F176="","",DATE(YEAR(D176),MONTH(D176),1))</f>
        <v>45717</v>
      </c>
    </row>
    <row r="177" customFormat="false" ht="15" hidden="false" customHeight="false" outlineLevel="0" collapsed="false">
      <c r="A177" s="16" t="str">
        <f aca="false">Payment_Log_AP!A174</f>
        <v>PAY40173</v>
      </c>
      <c r="B177" s="16" t="str">
        <f aca="false">Payment_Log_AP!C174</f>
        <v>V1021</v>
      </c>
      <c r="C177" s="16" t="str">
        <f aca="false">Payment_Log_AP!B174</f>
        <v>INV30197</v>
      </c>
      <c r="D177" s="17" t="n">
        <f aca="false">Payment_Log_AP!D174</f>
        <v>46055</v>
      </c>
      <c r="E177" s="18" t="n">
        <f aca="false">Payment_Log_AP!E174</f>
        <v>5652.95</v>
      </c>
      <c r="F177" s="17" t="n">
        <f aca="false">IFERROR(INDEX(Vendor_Invoices_AP!$D$2:$D$882,MATCH(C177,Vendor_Invoices_AP!$A$2:$A$882,0)),"")</f>
        <v>46027</v>
      </c>
      <c r="G177" s="16" t="n">
        <f aca="false">IF(F177="","",D177-F177)</f>
        <v>28</v>
      </c>
      <c r="H177" s="21" t="n">
        <f aca="false">IF(F177="","",DATE(YEAR(D177),MONTH(D177),1))</f>
        <v>46054</v>
      </c>
    </row>
    <row r="178" customFormat="false" ht="15" hidden="false" customHeight="false" outlineLevel="0" collapsed="false">
      <c r="A178" s="16" t="str">
        <f aca="false">Payment_Log_AP!A175</f>
        <v>PAY40174</v>
      </c>
      <c r="B178" s="16" t="str">
        <f aca="false">Payment_Log_AP!C175</f>
        <v>V1010</v>
      </c>
      <c r="C178" s="16" t="str">
        <f aca="false">Payment_Log_AP!B175</f>
        <v>INV30198</v>
      </c>
      <c r="D178" s="17" t="n">
        <f aca="false">Payment_Log_AP!D175</f>
        <v>45996</v>
      </c>
      <c r="E178" s="18" t="n">
        <f aca="false">Payment_Log_AP!E175</f>
        <v>133.11</v>
      </c>
      <c r="F178" s="17" t="n">
        <f aca="false">IFERROR(INDEX(Vendor_Invoices_AP!$D$2:$D$882,MATCH(C178,Vendor_Invoices_AP!$A$2:$A$882,0)),"")</f>
        <v>45979</v>
      </c>
      <c r="G178" s="16" t="n">
        <f aca="false">IF(F178="","",D178-F178)</f>
        <v>17</v>
      </c>
      <c r="H178" s="21" t="n">
        <f aca="false">IF(F178="","",DATE(YEAR(D178),MONTH(D178),1))</f>
        <v>45992</v>
      </c>
    </row>
    <row r="179" customFormat="false" ht="15" hidden="false" customHeight="false" outlineLevel="0" collapsed="false">
      <c r="A179" s="16" t="str">
        <f aca="false">Payment_Log_AP!A176</f>
        <v>PAY40175</v>
      </c>
      <c r="B179" s="16" t="str">
        <f aca="false">Payment_Log_AP!C176</f>
        <v>V1013</v>
      </c>
      <c r="C179" s="16" t="str">
        <f aca="false">Payment_Log_AP!B176</f>
        <v>INV30199</v>
      </c>
      <c r="D179" s="17" t="n">
        <f aca="false">Payment_Log_AP!D176</f>
        <v>45809</v>
      </c>
      <c r="E179" s="18" t="n">
        <f aca="false">Payment_Log_AP!E176</f>
        <v>17090.48</v>
      </c>
      <c r="F179" s="17" t="n">
        <f aca="false">IFERROR(INDEX(Vendor_Invoices_AP!$D$2:$D$882,MATCH(C179,Vendor_Invoices_AP!$A$2:$A$882,0)),"")</f>
        <v>45801</v>
      </c>
      <c r="G179" s="16" t="n">
        <f aca="false">IF(F179="","",D179-F179)</f>
        <v>8</v>
      </c>
      <c r="H179" s="21" t="n">
        <f aca="false">IF(F179="","",DATE(YEAR(D179),MONTH(D179),1))</f>
        <v>45809</v>
      </c>
    </row>
    <row r="180" customFormat="false" ht="15" hidden="false" customHeight="false" outlineLevel="0" collapsed="false">
      <c r="A180" s="16" t="str">
        <f aca="false">Payment_Log_AP!A177</f>
        <v>PAY40176</v>
      </c>
      <c r="B180" s="16" t="str">
        <f aca="false">Payment_Log_AP!C177</f>
        <v>V1015</v>
      </c>
      <c r="C180" s="16" t="str">
        <f aca="false">Payment_Log_AP!B177</f>
        <v>INV30200</v>
      </c>
      <c r="D180" s="17" t="n">
        <f aca="false">Payment_Log_AP!D177</f>
        <v>46094</v>
      </c>
      <c r="E180" s="18" t="n">
        <f aca="false">Payment_Log_AP!E177</f>
        <v>8157.32</v>
      </c>
      <c r="F180" s="17" t="n">
        <f aca="false">IFERROR(INDEX(Vendor_Invoices_AP!$D$2:$D$882,MATCH(C180,Vendor_Invoices_AP!$A$2:$A$882,0)),"")</f>
        <v>46064</v>
      </c>
      <c r="G180" s="16" t="n">
        <f aca="false">IF(F180="","",D180-F180)</f>
        <v>30</v>
      </c>
      <c r="H180" s="21" t="n">
        <f aca="false">IF(F180="","",DATE(YEAR(D180),MONTH(D180),1))</f>
        <v>46082</v>
      </c>
    </row>
    <row r="181" customFormat="false" ht="15" hidden="false" customHeight="false" outlineLevel="0" collapsed="false">
      <c r="A181" s="16" t="str">
        <f aca="false">Payment_Log_AP!A178</f>
        <v>PAY40177</v>
      </c>
      <c r="B181" s="16" t="str">
        <f aca="false">Payment_Log_AP!C178</f>
        <v>V1018</v>
      </c>
      <c r="C181" s="16" t="str">
        <f aca="false">Payment_Log_AP!B178</f>
        <v>INV30201</v>
      </c>
      <c r="D181" s="17" t="n">
        <f aca="false">Payment_Log_AP!D178</f>
        <v>46118</v>
      </c>
      <c r="E181" s="18" t="n">
        <f aca="false">Payment_Log_AP!E178</f>
        <v>547.49</v>
      </c>
      <c r="F181" s="17" t="n">
        <f aca="false">IFERROR(INDEX(Vendor_Invoices_AP!$D$2:$D$882,MATCH(C181,Vendor_Invoices_AP!$A$2:$A$882,0)),"")</f>
        <v>46083</v>
      </c>
      <c r="G181" s="16" t="n">
        <f aca="false">IF(F181="","",D181-F181)</f>
        <v>35</v>
      </c>
      <c r="H181" s="21" t="n">
        <f aca="false">IF(F181="","",DATE(YEAR(D181),MONTH(D181),1))</f>
        <v>46113</v>
      </c>
    </row>
    <row r="182" customFormat="false" ht="15" hidden="false" customHeight="false" outlineLevel="0" collapsed="false">
      <c r="A182" s="16" t="str">
        <f aca="false">Payment_Log_AP!A179</f>
        <v>PAY40178</v>
      </c>
      <c r="B182" s="16" t="str">
        <f aca="false">Payment_Log_AP!C179</f>
        <v>V1036</v>
      </c>
      <c r="C182" s="16" t="str">
        <f aca="false">Payment_Log_AP!B179</f>
        <v>INV30202</v>
      </c>
      <c r="D182" s="17" t="n">
        <f aca="false">Payment_Log_AP!D179</f>
        <v>45769</v>
      </c>
      <c r="E182" s="18" t="n">
        <f aca="false">Payment_Log_AP!E179</f>
        <v>10027.78</v>
      </c>
      <c r="F182" s="17" t="n">
        <f aca="false">IFERROR(INDEX(Vendor_Invoices_AP!$D$2:$D$882,MATCH(C182,Vendor_Invoices_AP!$A$2:$A$882,0)),"")</f>
        <v>45760</v>
      </c>
      <c r="G182" s="16" t="n">
        <f aca="false">IF(F182="","",D182-F182)</f>
        <v>9</v>
      </c>
      <c r="H182" s="21" t="n">
        <f aca="false">IF(F182="","",DATE(YEAR(D182),MONTH(D182),1))</f>
        <v>45748</v>
      </c>
    </row>
    <row r="183" customFormat="false" ht="15" hidden="false" customHeight="false" outlineLevel="0" collapsed="false">
      <c r="A183" s="16" t="str">
        <f aca="false">Payment_Log_AP!A180</f>
        <v>PAY40179</v>
      </c>
      <c r="B183" s="16" t="str">
        <f aca="false">Payment_Log_AP!C180</f>
        <v>V1031</v>
      </c>
      <c r="C183" s="16" t="str">
        <f aca="false">Payment_Log_AP!B180</f>
        <v>INV30203</v>
      </c>
      <c r="D183" s="17" t="n">
        <f aca="false">Payment_Log_AP!D180</f>
        <v>46034</v>
      </c>
      <c r="E183" s="18" t="n">
        <f aca="false">Payment_Log_AP!E180</f>
        <v>3961.93</v>
      </c>
      <c r="F183" s="17" t="n">
        <f aca="false">IFERROR(INDEX(Vendor_Invoices_AP!$D$2:$D$882,MATCH(C183,Vendor_Invoices_AP!$A$2:$A$882,0)),"")</f>
        <v>46013</v>
      </c>
      <c r="G183" s="16" t="n">
        <f aca="false">IF(F183="","",D183-F183)</f>
        <v>21</v>
      </c>
      <c r="H183" s="21" t="n">
        <f aca="false">IF(F183="","",DATE(YEAR(D183),MONTH(D183),1))</f>
        <v>46023</v>
      </c>
    </row>
    <row r="184" customFormat="false" ht="15" hidden="false" customHeight="false" outlineLevel="0" collapsed="false">
      <c r="A184" s="16" t="str">
        <f aca="false">Payment_Log_AP!A181</f>
        <v>PAY40180</v>
      </c>
      <c r="B184" s="16" t="str">
        <f aca="false">Payment_Log_AP!C181</f>
        <v>V1036</v>
      </c>
      <c r="C184" s="16" t="str">
        <f aca="false">Payment_Log_AP!B181</f>
        <v>INV30204</v>
      </c>
      <c r="D184" s="17" t="n">
        <f aca="false">Payment_Log_AP!D181</f>
        <v>46082</v>
      </c>
      <c r="E184" s="18" t="n">
        <f aca="false">Payment_Log_AP!E181</f>
        <v>2554.75</v>
      </c>
      <c r="F184" s="17" t="n">
        <f aca="false">IFERROR(INDEX(Vendor_Invoices_AP!$D$2:$D$882,MATCH(C184,Vendor_Invoices_AP!$A$2:$A$882,0)),"")</f>
        <v>46075</v>
      </c>
      <c r="G184" s="16" t="n">
        <f aca="false">IF(F184="","",D184-F184)</f>
        <v>7</v>
      </c>
      <c r="H184" s="21" t="n">
        <f aca="false">IF(F184="","",DATE(YEAR(D184),MONTH(D184),1))</f>
        <v>46082</v>
      </c>
    </row>
    <row r="185" customFormat="false" ht="15" hidden="false" customHeight="false" outlineLevel="0" collapsed="false">
      <c r="A185" s="16" t="str">
        <f aca="false">Payment_Log_AP!A182</f>
        <v>PAY40181</v>
      </c>
      <c r="B185" s="16" t="str">
        <f aca="false">Payment_Log_AP!C182</f>
        <v>V1036</v>
      </c>
      <c r="C185" s="16" t="str">
        <f aca="false">Payment_Log_AP!B182</f>
        <v>INV30205</v>
      </c>
      <c r="D185" s="17" t="n">
        <f aca="false">Payment_Log_AP!D182</f>
        <v>45739</v>
      </c>
      <c r="E185" s="18" t="n">
        <f aca="false">Payment_Log_AP!E182</f>
        <v>1471.18</v>
      </c>
      <c r="F185" s="17" t="n">
        <f aca="false">IFERROR(INDEX(Vendor_Invoices_AP!$D$2:$D$882,MATCH(C185,Vendor_Invoices_AP!$A$2:$A$882,0)),"")</f>
        <v>45733</v>
      </c>
      <c r="G185" s="16" t="n">
        <f aca="false">IF(F185="","",D185-F185)</f>
        <v>6</v>
      </c>
      <c r="H185" s="21" t="n">
        <f aca="false">IF(F185="","",DATE(YEAR(D185),MONTH(D185),1))</f>
        <v>45717</v>
      </c>
    </row>
    <row r="186" customFormat="false" ht="15" hidden="false" customHeight="false" outlineLevel="0" collapsed="false">
      <c r="A186" s="16" t="str">
        <f aca="false">Payment_Log_AP!A183</f>
        <v>PAY40182</v>
      </c>
      <c r="B186" s="16" t="str">
        <f aca="false">Payment_Log_AP!C183</f>
        <v>V1006</v>
      </c>
      <c r="C186" s="16" t="str">
        <f aca="false">Payment_Log_AP!B183</f>
        <v>INV30206</v>
      </c>
      <c r="D186" s="17" t="n">
        <f aca="false">Payment_Log_AP!D183</f>
        <v>46143</v>
      </c>
      <c r="E186" s="18" t="n">
        <f aca="false">Payment_Log_AP!E183</f>
        <v>682.63</v>
      </c>
      <c r="F186" s="17" t="n">
        <f aca="false">IFERROR(INDEX(Vendor_Invoices_AP!$D$2:$D$882,MATCH(C186,Vendor_Invoices_AP!$A$2:$A$882,0)),"")</f>
        <v>46112</v>
      </c>
      <c r="G186" s="16" t="n">
        <f aca="false">IF(F186="","",D186-F186)</f>
        <v>31</v>
      </c>
      <c r="H186" s="21" t="n">
        <f aca="false">IF(F186="","",DATE(YEAR(D186),MONTH(D186),1))</f>
        <v>46143</v>
      </c>
    </row>
    <row r="187" customFormat="false" ht="15" hidden="false" customHeight="false" outlineLevel="0" collapsed="false">
      <c r="A187" s="16" t="str">
        <f aca="false">Payment_Log_AP!A184</f>
        <v>PAY40183</v>
      </c>
      <c r="B187" s="16" t="str">
        <f aca="false">Payment_Log_AP!C184</f>
        <v>V1020</v>
      </c>
      <c r="C187" s="16" t="str">
        <f aca="false">Payment_Log_AP!B184</f>
        <v>INV30208</v>
      </c>
      <c r="D187" s="17" t="n">
        <f aca="false">Payment_Log_AP!D184</f>
        <v>45760</v>
      </c>
      <c r="E187" s="18" t="n">
        <f aca="false">Payment_Log_AP!E184</f>
        <v>7251.89</v>
      </c>
      <c r="F187" s="17" t="n">
        <f aca="false">IFERROR(INDEX(Vendor_Invoices_AP!$D$2:$D$882,MATCH(C187,Vendor_Invoices_AP!$A$2:$A$882,0)),"")</f>
        <v>45726</v>
      </c>
      <c r="G187" s="16" t="n">
        <f aca="false">IF(F187="","",D187-F187)</f>
        <v>34</v>
      </c>
      <c r="H187" s="21" t="n">
        <f aca="false">IF(F187="","",DATE(YEAR(D187),MONTH(D187),1))</f>
        <v>45748</v>
      </c>
    </row>
    <row r="188" customFormat="false" ht="15" hidden="false" customHeight="false" outlineLevel="0" collapsed="false">
      <c r="A188" s="16" t="str">
        <f aca="false">Payment_Log_AP!A185</f>
        <v>PAY40184</v>
      </c>
      <c r="B188" s="16" t="str">
        <f aca="false">Payment_Log_AP!C185</f>
        <v>V1009</v>
      </c>
      <c r="C188" s="16" t="str">
        <f aca="false">Payment_Log_AP!B185</f>
        <v>INV30209</v>
      </c>
      <c r="D188" s="17" t="n">
        <f aca="false">Payment_Log_AP!D185</f>
        <v>45708</v>
      </c>
      <c r="E188" s="18" t="n">
        <f aca="false">Payment_Log_AP!E185</f>
        <v>4929.33</v>
      </c>
      <c r="F188" s="17" t="n">
        <f aca="false">IFERROR(INDEX(Vendor_Invoices_AP!$D$2:$D$882,MATCH(C188,Vendor_Invoices_AP!$A$2:$A$882,0)),"")</f>
        <v>45680</v>
      </c>
      <c r="G188" s="16" t="n">
        <f aca="false">IF(F188="","",D188-F188)</f>
        <v>28</v>
      </c>
      <c r="H188" s="21" t="n">
        <f aca="false">IF(F188="","",DATE(YEAR(D188),MONTH(D188),1))</f>
        <v>45689</v>
      </c>
    </row>
    <row r="189" customFormat="false" ht="15" hidden="false" customHeight="false" outlineLevel="0" collapsed="false">
      <c r="A189" s="16" t="str">
        <f aca="false">Payment_Log_AP!A186</f>
        <v>PAY40185</v>
      </c>
      <c r="B189" s="16" t="str">
        <f aca="false">Payment_Log_AP!C186</f>
        <v>V1005</v>
      </c>
      <c r="C189" s="16" t="str">
        <f aca="false">Payment_Log_AP!B186</f>
        <v>INV30211</v>
      </c>
      <c r="D189" s="17" t="n">
        <f aca="false">Payment_Log_AP!D186</f>
        <v>46058</v>
      </c>
      <c r="E189" s="18" t="n">
        <f aca="false">Payment_Log_AP!E186</f>
        <v>1074.95</v>
      </c>
      <c r="F189" s="17" t="n">
        <f aca="false">IFERROR(INDEX(Vendor_Invoices_AP!$D$2:$D$882,MATCH(C189,Vendor_Invoices_AP!$A$2:$A$882,0)),"")</f>
        <v>46031</v>
      </c>
      <c r="G189" s="16" t="n">
        <f aca="false">IF(F189="","",D189-F189)</f>
        <v>27</v>
      </c>
      <c r="H189" s="21" t="n">
        <f aca="false">IF(F189="","",DATE(YEAR(D189),MONTH(D189),1))</f>
        <v>46054</v>
      </c>
    </row>
    <row r="190" customFormat="false" ht="15" hidden="false" customHeight="false" outlineLevel="0" collapsed="false">
      <c r="A190" s="16" t="str">
        <f aca="false">Payment_Log_AP!A187</f>
        <v>PAY40186</v>
      </c>
      <c r="B190" s="16" t="str">
        <f aca="false">Payment_Log_AP!C187</f>
        <v>V1034</v>
      </c>
      <c r="C190" s="16" t="str">
        <f aca="false">Payment_Log_AP!B187</f>
        <v>INV30213</v>
      </c>
      <c r="D190" s="17" t="n">
        <f aca="false">Payment_Log_AP!D187</f>
        <v>45929</v>
      </c>
      <c r="E190" s="18" t="n">
        <f aca="false">Payment_Log_AP!E187</f>
        <v>759.35</v>
      </c>
      <c r="F190" s="17" t="n">
        <f aca="false">IFERROR(INDEX(Vendor_Invoices_AP!$D$2:$D$882,MATCH(C190,Vendor_Invoices_AP!$A$2:$A$882,0)),"")</f>
        <v>45896</v>
      </c>
      <c r="G190" s="16" t="n">
        <f aca="false">IF(F190="","",D190-F190)</f>
        <v>33</v>
      </c>
      <c r="H190" s="21" t="n">
        <f aca="false">IF(F190="","",DATE(YEAR(D190),MONTH(D190),1))</f>
        <v>45901</v>
      </c>
    </row>
    <row r="191" customFormat="false" ht="15" hidden="false" customHeight="false" outlineLevel="0" collapsed="false">
      <c r="A191" s="16" t="str">
        <f aca="false">Payment_Log_AP!A188</f>
        <v>PAY40187</v>
      </c>
      <c r="B191" s="16" t="str">
        <f aca="false">Payment_Log_AP!C188</f>
        <v>V1030</v>
      </c>
      <c r="C191" s="16" t="str">
        <f aca="false">Payment_Log_AP!B188</f>
        <v>INV30214</v>
      </c>
      <c r="D191" s="17" t="n">
        <f aca="false">Payment_Log_AP!D188</f>
        <v>46056</v>
      </c>
      <c r="E191" s="18" t="n">
        <f aca="false">Payment_Log_AP!E188</f>
        <v>2745.78</v>
      </c>
      <c r="F191" s="17" t="n">
        <f aca="false">IFERROR(INDEX(Vendor_Invoices_AP!$D$2:$D$882,MATCH(C191,Vendor_Invoices_AP!$A$2:$A$882,0)),"")</f>
        <v>46053</v>
      </c>
      <c r="G191" s="16" t="n">
        <f aca="false">IF(F191="","",D191-F191)</f>
        <v>3</v>
      </c>
      <c r="H191" s="21" t="n">
        <f aca="false">IF(F191="","",DATE(YEAR(D191),MONTH(D191),1))</f>
        <v>46054</v>
      </c>
    </row>
    <row r="192" customFormat="false" ht="15" hidden="false" customHeight="false" outlineLevel="0" collapsed="false">
      <c r="A192" s="16" t="str">
        <f aca="false">Payment_Log_AP!A189</f>
        <v>PAY40188</v>
      </c>
      <c r="B192" s="16" t="str">
        <f aca="false">Payment_Log_AP!C189</f>
        <v>V1011</v>
      </c>
      <c r="C192" s="16" t="str">
        <f aca="false">Payment_Log_AP!B189</f>
        <v>INV30215</v>
      </c>
      <c r="D192" s="17" t="n">
        <f aca="false">Payment_Log_AP!D189</f>
        <v>45713</v>
      </c>
      <c r="E192" s="18" t="n">
        <f aca="false">Payment_Log_AP!E189</f>
        <v>1562.55</v>
      </c>
      <c r="F192" s="17" t="n">
        <f aca="false">IFERROR(INDEX(Vendor_Invoices_AP!$D$2:$D$882,MATCH(C192,Vendor_Invoices_AP!$A$2:$A$882,0)),"")</f>
        <v>45705</v>
      </c>
      <c r="G192" s="16" t="n">
        <f aca="false">IF(F192="","",D192-F192)</f>
        <v>8</v>
      </c>
      <c r="H192" s="21" t="n">
        <f aca="false">IF(F192="","",DATE(YEAR(D192),MONTH(D192),1))</f>
        <v>45689</v>
      </c>
    </row>
    <row r="193" customFormat="false" ht="15" hidden="false" customHeight="false" outlineLevel="0" collapsed="false">
      <c r="A193" s="16" t="str">
        <f aca="false">Payment_Log_AP!A190</f>
        <v>PAY40189</v>
      </c>
      <c r="B193" s="16" t="str">
        <f aca="false">Payment_Log_AP!C190</f>
        <v>V1020</v>
      </c>
      <c r="C193" s="16" t="str">
        <f aca="false">Payment_Log_AP!B190</f>
        <v>INV30216</v>
      </c>
      <c r="D193" s="17" t="n">
        <f aca="false">Payment_Log_AP!D190</f>
        <v>46072</v>
      </c>
      <c r="E193" s="18" t="n">
        <f aca="false">Payment_Log_AP!E190</f>
        <v>1854.08</v>
      </c>
      <c r="F193" s="17" t="n">
        <f aca="false">IFERROR(INDEX(Vendor_Invoices_AP!$D$2:$D$882,MATCH(C193,Vendor_Invoices_AP!$A$2:$A$882,0)),"")</f>
        <v>46053</v>
      </c>
      <c r="G193" s="16" t="n">
        <f aca="false">IF(F193="","",D193-F193)</f>
        <v>19</v>
      </c>
      <c r="H193" s="21" t="n">
        <f aca="false">IF(F193="","",DATE(YEAR(D193),MONTH(D193),1))</f>
        <v>46054</v>
      </c>
    </row>
    <row r="194" customFormat="false" ht="15" hidden="false" customHeight="false" outlineLevel="0" collapsed="false">
      <c r="A194" s="16" t="str">
        <f aca="false">Payment_Log_AP!A191</f>
        <v>PAY40190</v>
      </c>
      <c r="B194" s="16" t="str">
        <f aca="false">Payment_Log_AP!C191</f>
        <v>V1015</v>
      </c>
      <c r="C194" s="16" t="str">
        <f aca="false">Payment_Log_AP!B191</f>
        <v>INV30217</v>
      </c>
      <c r="D194" s="17" t="n">
        <f aca="false">Payment_Log_AP!D191</f>
        <v>46035</v>
      </c>
      <c r="E194" s="18" t="n">
        <f aca="false">Payment_Log_AP!E191</f>
        <v>4069.45</v>
      </c>
      <c r="F194" s="17" t="n">
        <f aca="false">IFERROR(INDEX(Vendor_Invoices_AP!$D$2:$D$882,MATCH(C194,Vendor_Invoices_AP!$A$2:$A$882,0)),"")</f>
        <v>46015</v>
      </c>
      <c r="G194" s="16" t="n">
        <f aca="false">IF(F194="","",D194-F194)</f>
        <v>20</v>
      </c>
      <c r="H194" s="21" t="n">
        <f aca="false">IF(F194="","",DATE(YEAR(D194),MONTH(D194),1))</f>
        <v>46023</v>
      </c>
    </row>
    <row r="195" customFormat="false" ht="15" hidden="false" customHeight="false" outlineLevel="0" collapsed="false">
      <c r="A195" s="16" t="str">
        <f aca="false">Payment_Log_AP!A192</f>
        <v>PAY40191</v>
      </c>
      <c r="B195" s="16" t="str">
        <f aca="false">Payment_Log_AP!C192</f>
        <v>V1004</v>
      </c>
      <c r="C195" s="16" t="str">
        <f aca="false">Payment_Log_AP!B192</f>
        <v>INV30218</v>
      </c>
      <c r="D195" s="17" t="n">
        <f aca="false">Payment_Log_AP!D192</f>
        <v>45737</v>
      </c>
      <c r="E195" s="18" t="n">
        <f aca="false">Payment_Log_AP!E192</f>
        <v>2117.88</v>
      </c>
      <c r="F195" s="17" t="n">
        <f aca="false">IFERROR(INDEX(Vendor_Invoices_AP!$D$2:$D$882,MATCH(C195,Vendor_Invoices_AP!$A$2:$A$882,0)),"")</f>
        <v>45727</v>
      </c>
      <c r="G195" s="16" t="n">
        <f aca="false">IF(F195="","",D195-F195)</f>
        <v>10</v>
      </c>
      <c r="H195" s="21" t="n">
        <f aca="false">IF(F195="","",DATE(YEAR(D195),MONTH(D195),1))</f>
        <v>45717</v>
      </c>
    </row>
    <row r="196" customFormat="false" ht="15" hidden="false" customHeight="false" outlineLevel="0" collapsed="false">
      <c r="A196" s="16" t="str">
        <f aca="false">Payment_Log_AP!A193</f>
        <v>PAY40192</v>
      </c>
      <c r="B196" s="16" t="str">
        <f aca="false">Payment_Log_AP!C193</f>
        <v>V1004</v>
      </c>
      <c r="C196" s="16" t="str">
        <f aca="false">Payment_Log_AP!B193</f>
        <v>INV30219</v>
      </c>
      <c r="D196" s="17" t="n">
        <f aca="false">Payment_Log_AP!D193</f>
        <v>45739</v>
      </c>
      <c r="E196" s="18" t="n">
        <f aca="false">Payment_Log_AP!E193</f>
        <v>2117.88</v>
      </c>
      <c r="F196" s="17" t="n">
        <f aca="false">IFERROR(INDEX(Vendor_Invoices_AP!$D$2:$D$882,MATCH(C196,Vendor_Invoices_AP!$A$2:$A$882,0)),"")</f>
        <v>45719</v>
      </c>
      <c r="G196" s="16" t="n">
        <f aca="false">IF(F196="","",D196-F196)</f>
        <v>20</v>
      </c>
      <c r="H196" s="21" t="n">
        <f aca="false">IF(F196="","",DATE(YEAR(D196),MONTH(D196),1))</f>
        <v>45717</v>
      </c>
    </row>
    <row r="197" customFormat="false" ht="15" hidden="false" customHeight="false" outlineLevel="0" collapsed="false">
      <c r="A197" s="16" t="str">
        <f aca="false">Payment_Log_AP!A194</f>
        <v>PAY40193</v>
      </c>
      <c r="B197" s="16" t="str">
        <f aca="false">Payment_Log_AP!C194</f>
        <v>V1001</v>
      </c>
      <c r="C197" s="16" t="str">
        <f aca="false">Payment_Log_AP!B194</f>
        <v>INV30220</v>
      </c>
      <c r="D197" s="17" t="n">
        <f aca="false">Payment_Log_AP!D194</f>
        <v>46135</v>
      </c>
      <c r="E197" s="18" t="n">
        <f aca="false">Payment_Log_AP!E194</f>
        <v>266.54</v>
      </c>
      <c r="F197" s="17" t="n">
        <f aca="false">IFERROR(INDEX(Vendor_Invoices_AP!$D$2:$D$882,MATCH(C197,Vendor_Invoices_AP!$A$2:$A$882,0)),"")</f>
        <v>46103</v>
      </c>
      <c r="G197" s="16" t="n">
        <f aca="false">IF(F197="","",D197-F197)</f>
        <v>32</v>
      </c>
      <c r="H197" s="21" t="n">
        <f aca="false">IF(F197="","",DATE(YEAR(D197),MONTH(D197),1))</f>
        <v>46113</v>
      </c>
    </row>
    <row r="198" customFormat="false" ht="15" hidden="false" customHeight="false" outlineLevel="0" collapsed="false">
      <c r="A198" s="16" t="str">
        <f aca="false">Payment_Log_AP!A195</f>
        <v>PAY40194</v>
      </c>
      <c r="B198" s="16" t="str">
        <f aca="false">Payment_Log_AP!C195</f>
        <v>V1001</v>
      </c>
      <c r="C198" s="16" t="str">
        <f aca="false">Payment_Log_AP!B195</f>
        <v>INV30221</v>
      </c>
      <c r="D198" s="17" t="n">
        <f aca="false">Payment_Log_AP!D195</f>
        <v>46093</v>
      </c>
      <c r="E198" s="18" t="n">
        <f aca="false">Payment_Log_AP!E195</f>
        <v>266.54</v>
      </c>
      <c r="F198" s="17" t="n">
        <f aca="false">IFERROR(INDEX(Vendor_Invoices_AP!$D$2:$D$882,MATCH(C198,Vendor_Invoices_AP!$A$2:$A$882,0)),"")</f>
        <v>46090</v>
      </c>
      <c r="G198" s="16" t="n">
        <f aca="false">IF(F198="","",D198-F198)</f>
        <v>3</v>
      </c>
      <c r="H198" s="21" t="n">
        <f aca="false">IF(F198="","",DATE(YEAR(D198),MONTH(D198),1))</f>
        <v>46082</v>
      </c>
    </row>
    <row r="199" customFormat="false" ht="15" hidden="false" customHeight="false" outlineLevel="0" collapsed="false">
      <c r="A199" s="16" t="str">
        <f aca="false">Payment_Log_AP!A196</f>
        <v>PAY40195</v>
      </c>
      <c r="B199" s="16" t="str">
        <f aca="false">Payment_Log_AP!C196</f>
        <v>V1016</v>
      </c>
      <c r="C199" s="16" t="str">
        <f aca="false">Payment_Log_AP!B196</f>
        <v>INV30222</v>
      </c>
      <c r="D199" s="17" t="n">
        <f aca="false">Payment_Log_AP!D196</f>
        <v>46170</v>
      </c>
      <c r="E199" s="18" t="n">
        <f aca="false">Payment_Log_AP!E196</f>
        <v>1071.3</v>
      </c>
      <c r="F199" s="17" t="n">
        <f aca="false">IFERROR(INDEX(Vendor_Invoices_AP!$D$2:$D$882,MATCH(C199,Vendor_Invoices_AP!$A$2:$A$882,0)),"")</f>
        <v>46141</v>
      </c>
      <c r="G199" s="16" t="n">
        <f aca="false">IF(F199="","",D199-F199)</f>
        <v>29</v>
      </c>
      <c r="H199" s="21" t="n">
        <f aca="false">IF(F199="","",DATE(YEAR(D199),MONTH(D199),1))</f>
        <v>46143</v>
      </c>
    </row>
    <row r="200" customFormat="false" ht="15" hidden="false" customHeight="false" outlineLevel="0" collapsed="false">
      <c r="A200" s="16" t="str">
        <f aca="false">Payment_Log_AP!A197</f>
        <v>PAY40196</v>
      </c>
      <c r="B200" s="16" t="str">
        <f aca="false">Payment_Log_AP!C197</f>
        <v>V1016</v>
      </c>
      <c r="C200" s="16" t="str">
        <f aca="false">Payment_Log_AP!B197</f>
        <v>INV30223</v>
      </c>
      <c r="D200" s="17" t="n">
        <f aca="false">Payment_Log_AP!D197</f>
        <v>46019</v>
      </c>
      <c r="E200" s="18" t="n">
        <f aca="false">Payment_Log_AP!E197</f>
        <v>728.71</v>
      </c>
      <c r="F200" s="17" t="n">
        <f aca="false">IFERROR(INDEX(Vendor_Invoices_AP!$D$2:$D$882,MATCH(C200,Vendor_Invoices_AP!$A$2:$A$882,0)),"")</f>
        <v>46010</v>
      </c>
      <c r="G200" s="16" t="n">
        <f aca="false">IF(F200="","",D200-F200)</f>
        <v>9</v>
      </c>
      <c r="H200" s="21" t="n">
        <f aca="false">IF(F200="","",DATE(YEAR(D200),MONTH(D200),1))</f>
        <v>45992</v>
      </c>
    </row>
    <row r="201" customFormat="false" ht="15" hidden="false" customHeight="false" outlineLevel="0" collapsed="false">
      <c r="A201" s="16" t="str">
        <f aca="false">Payment_Log_AP!A198</f>
        <v>PAY40197</v>
      </c>
      <c r="B201" s="16" t="str">
        <f aca="false">Payment_Log_AP!C198</f>
        <v>V1023</v>
      </c>
      <c r="C201" s="16" t="str">
        <f aca="false">Payment_Log_AP!B198</f>
        <v>INV30224</v>
      </c>
      <c r="D201" s="17" t="n">
        <f aca="false">Payment_Log_AP!D198</f>
        <v>45773</v>
      </c>
      <c r="E201" s="18" t="n">
        <f aca="false">Payment_Log_AP!E198</f>
        <v>3728.38</v>
      </c>
      <c r="F201" s="17" t="n">
        <f aca="false">IFERROR(INDEX(Vendor_Invoices_AP!$D$2:$D$882,MATCH(C201,Vendor_Invoices_AP!$A$2:$A$882,0)),"")</f>
        <v>45744</v>
      </c>
      <c r="G201" s="16" t="n">
        <f aca="false">IF(F201="","",D201-F201)</f>
        <v>29</v>
      </c>
      <c r="H201" s="21" t="n">
        <f aca="false">IF(F201="","",DATE(YEAR(D201),MONTH(D201),1))</f>
        <v>45748</v>
      </c>
    </row>
    <row r="202" customFormat="false" ht="15" hidden="false" customHeight="false" outlineLevel="0" collapsed="false">
      <c r="A202" s="16" t="str">
        <f aca="false">Payment_Log_AP!A199</f>
        <v>PAY40198</v>
      </c>
      <c r="B202" s="16" t="str">
        <f aca="false">Payment_Log_AP!C199</f>
        <v>V1016</v>
      </c>
      <c r="C202" s="16" t="str">
        <f aca="false">Payment_Log_AP!B199</f>
        <v>INV30225</v>
      </c>
      <c r="D202" s="17" t="n">
        <f aca="false">Payment_Log_AP!D199</f>
        <v>46204</v>
      </c>
      <c r="E202" s="18" t="n">
        <f aca="false">Payment_Log_AP!E199</f>
        <v>5712.19</v>
      </c>
      <c r="F202" s="17" t="n">
        <f aca="false">IFERROR(INDEX(Vendor_Invoices_AP!$D$2:$D$882,MATCH(C202,Vendor_Invoices_AP!$A$2:$A$882,0)),"")</f>
        <v>46198</v>
      </c>
      <c r="G202" s="16" t="n">
        <f aca="false">IF(F202="","",D202-F202)</f>
        <v>6</v>
      </c>
      <c r="H202" s="21" t="n">
        <f aca="false">IF(F202="","",DATE(YEAR(D202),MONTH(D202),1))</f>
        <v>46204</v>
      </c>
    </row>
    <row r="203" customFormat="false" ht="15" hidden="false" customHeight="false" outlineLevel="0" collapsed="false">
      <c r="A203" s="16" t="str">
        <f aca="false">Payment_Log_AP!A200</f>
        <v>PAY40199</v>
      </c>
      <c r="B203" s="16" t="str">
        <f aca="false">Payment_Log_AP!C200</f>
        <v>V1018</v>
      </c>
      <c r="C203" s="16" t="str">
        <f aca="false">Payment_Log_AP!B200</f>
        <v>INV30227</v>
      </c>
      <c r="D203" s="17" t="n">
        <f aca="false">Payment_Log_AP!D200</f>
        <v>45872</v>
      </c>
      <c r="E203" s="18" t="n">
        <f aca="false">Payment_Log_AP!E200</f>
        <v>1442.03</v>
      </c>
      <c r="F203" s="17" t="n">
        <f aca="false">IFERROR(INDEX(Vendor_Invoices_AP!$D$2:$D$882,MATCH(C203,Vendor_Invoices_AP!$A$2:$A$882,0)),"")</f>
        <v>45869</v>
      </c>
      <c r="G203" s="16" t="n">
        <f aca="false">IF(F203="","",D203-F203)</f>
        <v>3</v>
      </c>
      <c r="H203" s="21" t="n">
        <f aca="false">IF(F203="","",DATE(YEAR(D203),MONTH(D203),1))</f>
        <v>45870</v>
      </c>
    </row>
    <row r="204" customFormat="false" ht="15" hidden="false" customHeight="false" outlineLevel="0" collapsed="false">
      <c r="A204" s="16" t="str">
        <f aca="false">Payment_Log_AP!A201</f>
        <v>PAY40200</v>
      </c>
      <c r="B204" s="16" t="str">
        <f aca="false">Payment_Log_AP!C201</f>
        <v>V1007</v>
      </c>
      <c r="C204" s="16" t="str">
        <f aca="false">Payment_Log_AP!B201</f>
        <v>INV30228</v>
      </c>
      <c r="D204" s="17" t="n">
        <f aca="false">Payment_Log_AP!D201</f>
        <v>45904</v>
      </c>
      <c r="E204" s="18" t="n">
        <f aca="false">Payment_Log_AP!E201</f>
        <v>14974.83</v>
      </c>
      <c r="F204" s="17" t="n">
        <f aca="false">IFERROR(INDEX(Vendor_Invoices_AP!$D$2:$D$882,MATCH(C204,Vendor_Invoices_AP!$A$2:$A$882,0)),"")</f>
        <v>45893</v>
      </c>
      <c r="G204" s="16" t="n">
        <f aca="false">IF(F204="","",D204-F204)</f>
        <v>11</v>
      </c>
      <c r="H204" s="21" t="n">
        <f aca="false">IF(F204="","",DATE(YEAR(D204),MONTH(D204),1))</f>
        <v>45901</v>
      </c>
    </row>
    <row r="205" customFormat="false" ht="15" hidden="false" customHeight="false" outlineLevel="0" collapsed="false">
      <c r="A205" s="16" t="str">
        <f aca="false">Payment_Log_AP!A202</f>
        <v>PAY40201</v>
      </c>
      <c r="B205" s="16" t="str">
        <f aca="false">Payment_Log_AP!C202</f>
        <v>V1032</v>
      </c>
      <c r="C205" s="16" t="str">
        <f aca="false">Payment_Log_AP!B202</f>
        <v>INV30229</v>
      </c>
      <c r="D205" s="17" t="n">
        <f aca="false">Payment_Log_AP!D202</f>
        <v>45900</v>
      </c>
      <c r="E205" s="18" t="n">
        <f aca="false">Payment_Log_AP!E202</f>
        <v>877.63</v>
      </c>
      <c r="F205" s="17" t="n">
        <f aca="false">IFERROR(INDEX(Vendor_Invoices_AP!$D$2:$D$882,MATCH(C205,Vendor_Invoices_AP!$A$2:$A$882,0)),"")</f>
        <v>45880</v>
      </c>
      <c r="G205" s="16" t="n">
        <f aca="false">IF(F205="","",D205-F205)</f>
        <v>20</v>
      </c>
      <c r="H205" s="21" t="n">
        <f aca="false">IF(F205="","",DATE(YEAR(D205),MONTH(D205),1))</f>
        <v>45870</v>
      </c>
    </row>
    <row r="206" customFormat="false" ht="15" hidden="false" customHeight="false" outlineLevel="0" collapsed="false">
      <c r="A206" s="16" t="str">
        <f aca="false">Payment_Log_AP!A203</f>
        <v>PAY40202</v>
      </c>
      <c r="B206" s="16" t="str">
        <f aca="false">Payment_Log_AP!C203</f>
        <v>V1033</v>
      </c>
      <c r="C206" s="16" t="str">
        <f aca="false">Payment_Log_AP!B203</f>
        <v>INV30230</v>
      </c>
      <c r="D206" s="17" t="n">
        <f aca="false">Payment_Log_AP!D203</f>
        <v>45991</v>
      </c>
      <c r="E206" s="18" t="n">
        <f aca="false">Payment_Log_AP!E203</f>
        <v>2542.66</v>
      </c>
      <c r="F206" s="17" t="n">
        <f aca="false">IFERROR(INDEX(Vendor_Invoices_AP!$D$2:$D$882,MATCH(C206,Vendor_Invoices_AP!$A$2:$A$882,0)),"")</f>
        <v>45956</v>
      </c>
      <c r="G206" s="16" t="n">
        <f aca="false">IF(F206="","",D206-F206)</f>
        <v>35</v>
      </c>
      <c r="H206" s="21" t="n">
        <f aca="false">IF(F206="","",DATE(YEAR(D206),MONTH(D206),1))</f>
        <v>45962</v>
      </c>
    </row>
    <row r="207" customFormat="false" ht="15" hidden="false" customHeight="false" outlineLevel="0" collapsed="false">
      <c r="A207" s="16" t="str">
        <f aca="false">Payment_Log_AP!A204</f>
        <v>PAY40203</v>
      </c>
      <c r="B207" s="16" t="str">
        <f aca="false">Payment_Log_AP!C204</f>
        <v>V1007</v>
      </c>
      <c r="C207" s="16" t="str">
        <f aca="false">Payment_Log_AP!B204</f>
        <v>INV30231</v>
      </c>
      <c r="D207" s="17" t="n">
        <f aca="false">Payment_Log_AP!D204</f>
        <v>45882</v>
      </c>
      <c r="E207" s="18" t="n">
        <f aca="false">Payment_Log_AP!E204</f>
        <v>3210.01</v>
      </c>
      <c r="F207" s="17" t="n">
        <f aca="false">IFERROR(INDEX(Vendor_Invoices_AP!$D$2:$D$882,MATCH(C207,Vendor_Invoices_AP!$A$2:$A$882,0)),"")</f>
        <v>45851</v>
      </c>
      <c r="G207" s="16" t="n">
        <f aca="false">IF(F207="","",D207-F207)</f>
        <v>31</v>
      </c>
      <c r="H207" s="21" t="n">
        <f aca="false">IF(F207="","",DATE(YEAR(D207),MONTH(D207),1))</f>
        <v>45870</v>
      </c>
    </row>
    <row r="208" customFormat="false" ht="15" hidden="false" customHeight="false" outlineLevel="0" collapsed="false">
      <c r="A208" s="16" t="str">
        <f aca="false">Payment_Log_AP!A205</f>
        <v>PAY40204</v>
      </c>
      <c r="B208" s="16" t="str">
        <f aca="false">Payment_Log_AP!C205</f>
        <v>V1005</v>
      </c>
      <c r="C208" s="16" t="str">
        <f aca="false">Payment_Log_AP!B205</f>
        <v>INV30233</v>
      </c>
      <c r="D208" s="17" t="n">
        <f aca="false">Payment_Log_AP!D205</f>
        <v>46123</v>
      </c>
      <c r="E208" s="18" t="n">
        <f aca="false">Payment_Log_AP!E205</f>
        <v>4612.25</v>
      </c>
      <c r="F208" s="17" t="n">
        <f aca="false">IFERROR(INDEX(Vendor_Invoices_AP!$D$2:$D$882,MATCH(C208,Vendor_Invoices_AP!$A$2:$A$882,0)),"")</f>
        <v>46121</v>
      </c>
      <c r="G208" s="16" t="n">
        <f aca="false">IF(F208="","",D208-F208)</f>
        <v>2</v>
      </c>
      <c r="H208" s="21" t="n">
        <f aca="false">IF(F208="","",DATE(YEAR(D208),MONTH(D208),1))</f>
        <v>46113</v>
      </c>
    </row>
    <row r="209" customFormat="false" ht="15" hidden="false" customHeight="false" outlineLevel="0" collapsed="false">
      <c r="A209" s="16" t="str">
        <f aca="false">Payment_Log_AP!A206</f>
        <v>PAY40205</v>
      </c>
      <c r="B209" s="16" t="str">
        <f aca="false">Payment_Log_AP!C206</f>
        <v>V1031</v>
      </c>
      <c r="C209" s="16" t="str">
        <f aca="false">Payment_Log_AP!B206</f>
        <v>INV30234</v>
      </c>
      <c r="D209" s="17" t="n">
        <f aca="false">Payment_Log_AP!D206</f>
        <v>45762</v>
      </c>
      <c r="E209" s="18" t="n">
        <f aca="false">Payment_Log_AP!E206</f>
        <v>884.17</v>
      </c>
      <c r="F209" s="17" t="n">
        <f aca="false">IFERROR(INDEX(Vendor_Invoices_AP!$D$2:$D$882,MATCH(C209,Vendor_Invoices_AP!$A$2:$A$882,0)),"")</f>
        <v>45733</v>
      </c>
      <c r="G209" s="16" t="n">
        <f aca="false">IF(F209="","",D209-F209)</f>
        <v>29</v>
      </c>
      <c r="H209" s="21" t="n">
        <f aca="false">IF(F209="","",DATE(YEAR(D209),MONTH(D209),1))</f>
        <v>45748</v>
      </c>
    </row>
    <row r="210" customFormat="false" ht="15" hidden="false" customHeight="false" outlineLevel="0" collapsed="false">
      <c r="A210" s="16" t="str">
        <f aca="false">Payment_Log_AP!A207</f>
        <v>PAY40206</v>
      </c>
      <c r="B210" s="16" t="str">
        <f aca="false">Payment_Log_AP!C207</f>
        <v>V1020</v>
      </c>
      <c r="C210" s="16" t="str">
        <f aca="false">Payment_Log_AP!B207</f>
        <v>INV30236</v>
      </c>
      <c r="D210" s="17" t="n">
        <f aca="false">Payment_Log_AP!D207</f>
        <v>46041</v>
      </c>
      <c r="E210" s="18" t="n">
        <f aca="false">Payment_Log_AP!E207</f>
        <v>1486.84</v>
      </c>
      <c r="F210" s="17" t="n">
        <f aca="false">IFERROR(INDEX(Vendor_Invoices_AP!$D$2:$D$882,MATCH(C210,Vendor_Invoices_AP!$A$2:$A$882,0)),"")</f>
        <v>46009</v>
      </c>
      <c r="G210" s="16" t="n">
        <f aca="false">IF(F210="","",D210-F210)</f>
        <v>32</v>
      </c>
      <c r="H210" s="21" t="n">
        <f aca="false">IF(F210="","",DATE(YEAR(D210),MONTH(D210),1))</f>
        <v>46023</v>
      </c>
    </row>
    <row r="211" customFormat="false" ht="15" hidden="false" customHeight="false" outlineLevel="0" collapsed="false">
      <c r="A211" s="16" t="str">
        <f aca="false">Payment_Log_AP!A208</f>
        <v>PAY40207</v>
      </c>
      <c r="B211" s="16" t="str">
        <f aca="false">Payment_Log_AP!C208</f>
        <v>V1020</v>
      </c>
      <c r="C211" s="16" t="str">
        <f aca="false">Payment_Log_AP!B208</f>
        <v>INV30237</v>
      </c>
      <c r="D211" s="17" t="n">
        <f aca="false">Payment_Log_AP!D208</f>
        <v>46011</v>
      </c>
      <c r="E211" s="18" t="n">
        <f aca="false">Payment_Log_AP!E208</f>
        <v>1741.37</v>
      </c>
      <c r="F211" s="17" t="n">
        <f aca="false">IFERROR(INDEX(Vendor_Invoices_AP!$D$2:$D$882,MATCH(C211,Vendor_Invoices_AP!$A$2:$A$882,0)),"")</f>
        <v>46009</v>
      </c>
      <c r="G211" s="16" t="n">
        <f aca="false">IF(F211="","",D211-F211)</f>
        <v>2</v>
      </c>
      <c r="H211" s="21" t="n">
        <f aca="false">IF(F211="","",DATE(YEAR(D211),MONTH(D211),1))</f>
        <v>45992</v>
      </c>
    </row>
    <row r="212" customFormat="false" ht="15" hidden="false" customHeight="false" outlineLevel="0" collapsed="false">
      <c r="A212" s="16" t="str">
        <f aca="false">Payment_Log_AP!A209</f>
        <v>PAY40208</v>
      </c>
      <c r="B212" s="16" t="str">
        <f aca="false">Payment_Log_AP!C209</f>
        <v>V1030</v>
      </c>
      <c r="C212" s="16" t="str">
        <f aca="false">Payment_Log_AP!B209</f>
        <v>INV30238</v>
      </c>
      <c r="D212" s="17" t="n">
        <f aca="false">Payment_Log_AP!D209</f>
        <v>46133</v>
      </c>
      <c r="E212" s="18" t="n">
        <f aca="false">Payment_Log_AP!E209</f>
        <v>201.48</v>
      </c>
      <c r="F212" s="17" t="n">
        <f aca="false">IFERROR(INDEX(Vendor_Invoices_AP!$D$2:$D$882,MATCH(C212,Vendor_Invoices_AP!$A$2:$A$882,0)),"")</f>
        <v>46126</v>
      </c>
      <c r="G212" s="16" t="n">
        <f aca="false">IF(F212="","",D212-F212)</f>
        <v>7</v>
      </c>
      <c r="H212" s="21" t="n">
        <f aca="false">IF(F212="","",DATE(YEAR(D212),MONTH(D212),1))</f>
        <v>46113</v>
      </c>
    </row>
    <row r="213" customFormat="false" ht="15" hidden="false" customHeight="false" outlineLevel="0" collapsed="false">
      <c r="A213" s="16" t="str">
        <f aca="false">Payment_Log_AP!A210</f>
        <v>PAY40209</v>
      </c>
      <c r="B213" s="16" t="str">
        <f aca="false">Payment_Log_AP!C210</f>
        <v>V1035</v>
      </c>
      <c r="C213" s="16" t="str">
        <f aca="false">Payment_Log_AP!B210</f>
        <v>INV30239</v>
      </c>
      <c r="D213" s="17" t="n">
        <f aca="false">Payment_Log_AP!D210</f>
        <v>46059</v>
      </c>
      <c r="E213" s="18" t="n">
        <f aca="false">Payment_Log_AP!E210</f>
        <v>4326.08</v>
      </c>
      <c r="F213" s="17" t="n">
        <f aca="false">IFERROR(INDEX(Vendor_Invoices_AP!$D$2:$D$882,MATCH(C213,Vendor_Invoices_AP!$A$2:$A$882,0)),"")</f>
        <v>46053</v>
      </c>
      <c r="G213" s="16" t="n">
        <f aca="false">IF(F213="","",D213-F213)</f>
        <v>6</v>
      </c>
      <c r="H213" s="21" t="n">
        <f aca="false">IF(F213="","",DATE(YEAR(D213),MONTH(D213),1))</f>
        <v>46054</v>
      </c>
    </row>
    <row r="214" customFormat="false" ht="15" hidden="false" customHeight="false" outlineLevel="0" collapsed="false">
      <c r="A214" s="16" t="str">
        <f aca="false">Payment_Log_AP!A211</f>
        <v>PAY40210</v>
      </c>
      <c r="B214" s="16" t="str">
        <f aca="false">Payment_Log_AP!C211</f>
        <v>V1013</v>
      </c>
      <c r="C214" s="16" t="str">
        <f aca="false">Payment_Log_AP!B211</f>
        <v>INV30240</v>
      </c>
      <c r="D214" s="17" t="n">
        <f aca="false">Payment_Log_AP!D211</f>
        <v>45908</v>
      </c>
      <c r="E214" s="18" t="n">
        <f aca="false">Payment_Log_AP!E211</f>
        <v>1933.86</v>
      </c>
      <c r="F214" s="17" t="n">
        <f aca="false">IFERROR(INDEX(Vendor_Invoices_AP!$D$2:$D$882,MATCH(C214,Vendor_Invoices_AP!$A$2:$A$882,0)),"")</f>
        <v>45897</v>
      </c>
      <c r="G214" s="16" t="n">
        <f aca="false">IF(F214="","",D214-F214)</f>
        <v>11</v>
      </c>
      <c r="H214" s="21" t="n">
        <f aca="false">IF(F214="","",DATE(YEAR(D214),MONTH(D214),1))</f>
        <v>45901</v>
      </c>
    </row>
    <row r="215" customFormat="false" ht="15" hidden="false" customHeight="false" outlineLevel="0" collapsed="false">
      <c r="A215" s="16" t="str">
        <f aca="false">Payment_Log_AP!A212</f>
        <v>PAY40211</v>
      </c>
      <c r="B215" s="16" t="str">
        <f aca="false">Payment_Log_AP!C212</f>
        <v>V1005</v>
      </c>
      <c r="C215" s="16" t="str">
        <f aca="false">Payment_Log_AP!B212</f>
        <v>INV30241</v>
      </c>
      <c r="D215" s="17" t="n">
        <f aca="false">Payment_Log_AP!D212</f>
        <v>46076</v>
      </c>
      <c r="E215" s="18" t="n">
        <f aca="false">Payment_Log_AP!E212</f>
        <v>301.96</v>
      </c>
      <c r="F215" s="17" t="n">
        <f aca="false">IFERROR(INDEX(Vendor_Invoices_AP!$D$2:$D$882,MATCH(C215,Vendor_Invoices_AP!$A$2:$A$882,0)),"")</f>
        <v>46074</v>
      </c>
      <c r="G215" s="16" t="n">
        <f aca="false">IF(F215="","",D215-F215)</f>
        <v>2</v>
      </c>
      <c r="H215" s="21" t="n">
        <f aca="false">IF(F215="","",DATE(YEAR(D215),MONTH(D215),1))</f>
        <v>46054</v>
      </c>
    </row>
    <row r="216" customFormat="false" ht="15" hidden="false" customHeight="false" outlineLevel="0" collapsed="false">
      <c r="A216" s="16" t="str">
        <f aca="false">Payment_Log_AP!A213</f>
        <v>PAY40212</v>
      </c>
      <c r="B216" s="16" t="str">
        <f aca="false">Payment_Log_AP!C213</f>
        <v>V1038</v>
      </c>
      <c r="C216" s="16" t="str">
        <f aca="false">Payment_Log_AP!B213</f>
        <v>INV30243</v>
      </c>
      <c r="D216" s="17" t="n">
        <f aca="false">Payment_Log_AP!D213</f>
        <v>45845</v>
      </c>
      <c r="E216" s="18" t="n">
        <f aca="false">Payment_Log_AP!E213</f>
        <v>594.08</v>
      </c>
      <c r="F216" s="17" t="n">
        <f aca="false">IFERROR(INDEX(Vendor_Invoices_AP!$D$2:$D$882,MATCH(C216,Vendor_Invoices_AP!$A$2:$A$882,0)),"")</f>
        <v>45824</v>
      </c>
      <c r="G216" s="16" t="n">
        <f aca="false">IF(F216="","",D216-F216)</f>
        <v>21</v>
      </c>
      <c r="H216" s="21" t="n">
        <f aca="false">IF(F216="","",DATE(YEAR(D216),MONTH(D216),1))</f>
        <v>45839</v>
      </c>
    </row>
    <row r="217" customFormat="false" ht="15" hidden="false" customHeight="false" outlineLevel="0" collapsed="false">
      <c r="A217" s="16" t="str">
        <f aca="false">Payment_Log_AP!A214</f>
        <v>PAY40213</v>
      </c>
      <c r="B217" s="16" t="str">
        <f aca="false">Payment_Log_AP!C214</f>
        <v>V1007</v>
      </c>
      <c r="C217" s="16" t="str">
        <f aca="false">Payment_Log_AP!B214</f>
        <v>INV30244</v>
      </c>
      <c r="D217" s="17" t="n">
        <f aca="false">Payment_Log_AP!D214</f>
        <v>46119</v>
      </c>
      <c r="E217" s="18" t="n">
        <f aca="false">Payment_Log_AP!E214</f>
        <v>4409.64</v>
      </c>
      <c r="F217" s="17" t="n">
        <f aca="false">IFERROR(INDEX(Vendor_Invoices_AP!$D$2:$D$882,MATCH(C217,Vendor_Invoices_AP!$A$2:$A$882,0)),"")</f>
        <v>46111</v>
      </c>
      <c r="G217" s="16" t="n">
        <f aca="false">IF(F217="","",D217-F217)</f>
        <v>8</v>
      </c>
      <c r="H217" s="21" t="n">
        <f aca="false">IF(F217="","",DATE(YEAR(D217),MONTH(D217),1))</f>
        <v>46113</v>
      </c>
    </row>
    <row r="218" customFormat="false" ht="15" hidden="false" customHeight="false" outlineLevel="0" collapsed="false">
      <c r="A218" s="16" t="str">
        <f aca="false">Payment_Log_AP!A215</f>
        <v>PAY40214</v>
      </c>
      <c r="B218" s="16" t="str">
        <f aca="false">Payment_Log_AP!C215</f>
        <v>V1020</v>
      </c>
      <c r="C218" s="16" t="str">
        <f aca="false">Payment_Log_AP!B215</f>
        <v>INV30245</v>
      </c>
      <c r="D218" s="17" t="n">
        <f aca="false">Payment_Log_AP!D215</f>
        <v>45988</v>
      </c>
      <c r="E218" s="18" t="n">
        <f aca="false">Payment_Log_AP!E215</f>
        <v>1370.36</v>
      </c>
      <c r="F218" s="17" t="n">
        <f aca="false">IFERROR(INDEX(Vendor_Invoices_AP!$D$2:$D$882,MATCH(C218,Vendor_Invoices_AP!$A$2:$A$882,0)),"")</f>
        <v>45972</v>
      </c>
      <c r="G218" s="16" t="n">
        <f aca="false">IF(F218="","",D218-F218)</f>
        <v>16</v>
      </c>
      <c r="H218" s="21" t="n">
        <f aca="false">IF(F218="","",DATE(YEAR(D218),MONTH(D218),1))</f>
        <v>45962</v>
      </c>
    </row>
    <row r="219" customFormat="false" ht="15" hidden="false" customHeight="false" outlineLevel="0" collapsed="false">
      <c r="A219" s="16" t="str">
        <f aca="false">Payment_Log_AP!A216</f>
        <v>PAY40215</v>
      </c>
      <c r="B219" s="16" t="str">
        <f aca="false">Payment_Log_AP!C216</f>
        <v>V1031</v>
      </c>
      <c r="C219" s="16" t="str">
        <f aca="false">Payment_Log_AP!B216</f>
        <v>INV30246</v>
      </c>
      <c r="D219" s="17" t="n">
        <f aca="false">Payment_Log_AP!D216</f>
        <v>45933</v>
      </c>
      <c r="E219" s="18" t="n">
        <f aca="false">Payment_Log_AP!E216</f>
        <v>480.9</v>
      </c>
      <c r="F219" s="17" t="n">
        <f aca="false">IFERROR(INDEX(Vendor_Invoices_AP!$D$2:$D$882,MATCH(C219,Vendor_Invoices_AP!$A$2:$A$882,0)),"")</f>
        <v>45925</v>
      </c>
      <c r="G219" s="16" t="n">
        <f aca="false">IF(F219="","",D219-F219)</f>
        <v>8</v>
      </c>
      <c r="H219" s="21" t="n">
        <f aca="false">IF(F219="","",DATE(YEAR(D219),MONTH(D219),1))</f>
        <v>45931</v>
      </c>
    </row>
    <row r="220" customFormat="false" ht="15" hidden="false" customHeight="false" outlineLevel="0" collapsed="false">
      <c r="A220" s="16" t="str">
        <f aca="false">Payment_Log_AP!A217</f>
        <v>PAY40216</v>
      </c>
      <c r="B220" s="16" t="str">
        <f aca="false">Payment_Log_AP!C217</f>
        <v>V1024</v>
      </c>
      <c r="C220" s="16" t="str">
        <f aca="false">Payment_Log_AP!B217</f>
        <v>INV30247</v>
      </c>
      <c r="D220" s="17" t="n">
        <f aca="false">Payment_Log_AP!D217</f>
        <v>45930</v>
      </c>
      <c r="E220" s="18" t="n">
        <f aca="false">Payment_Log_AP!E217</f>
        <v>728.26</v>
      </c>
      <c r="F220" s="17" t="n">
        <f aca="false">IFERROR(INDEX(Vendor_Invoices_AP!$D$2:$D$882,MATCH(C220,Vendor_Invoices_AP!$A$2:$A$882,0)),"")</f>
        <v>45903</v>
      </c>
      <c r="G220" s="16" t="n">
        <f aca="false">IF(F220="","",D220-F220)</f>
        <v>27</v>
      </c>
      <c r="H220" s="21" t="n">
        <f aca="false">IF(F220="","",DATE(YEAR(D220),MONTH(D220),1))</f>
        <v>45901</v>
      </c>
    </row>
    <row r="221" customFormat="false" ht="15" hidden="false" customHeight="false" outlineLevel="0" collapsed="false">
      <c r="A221" s="16" t="str">
        <f aca="false">Payment_Log_AP!A218</f>
        <v>PAY40217</v>
      </c>
      <c r="B221" s="16" t="str">
        <f aca="false">Payment_Log_AP!C218</f>
        <v>V1035</v>
      </c>
      <c r="C221" s="16" t="str">
        <f aca="false">Payment_Log_AP!B218</f>
        <v>INV30248</v>
      </c>
      <c r="D221" s="17" t="n">
        <f aca="false">Payment_Log_AP!D218</f>
        <v>46096</v>
      </c>
      <c r="E221" s="18" t="n">
        <f aca="false">Payment_Log_AP!E218</f>
        <v>4217.99</v>
      </c>
      <c r="F221" s="17" t="n">
        <f aca="false">IFERROR(INDEX(Vendor_Invoices_AP!$D$2:$D$882,MATCH(C221,Vendor_Invoices_AP!$A$2:$A$882,0)),"")</f>
        <v>46081</v>
      </c>
      <c r="G221" s="16" t="n">
        <f aca="false">IF(F221="","",D221-F221)</f>
        <v>15</v>
      </c>
      <c r="H221" s="21" t="n">
        <f aca="false">IF(F221="","",DATE(YEAR(D221),MONTH(D221),1))</f>
        <v>46082</v>
      </c>
    </row>
    <row r="222" customFormat="false" ht="15" hidden="false" customHeight="false" outlineLevel="0" collapsed="false">
      <c r="A222" s="16" t="str">
        <f aca="false">Payment_Log_AP!A219</f>
        <v>PAY40218</v>
      </c>
      <c r="B222" s="16" t="str">
        <f aca="false">Payment_Log_AP!C219</f>
        <v>V1007</v>
      </c>
      <c r="C222" s="16" t="str">
        <f aca="false">Payment_Log_AP!B219</f>
        <v>INV30250</v>
      </c>
      <c r="D222" s="17" t="n">
        <f aca="false">Payment_Log_AP!D219</f>
        <v>46160</v>
      </c>
      <c r="E222" s="18" t="n">
        <f aca="false">Payment_Log_AP!E219</f>
        <v>2055.39</v>
      </c>
      <c r="F222" s="17" t="n">
        <f aca="false">IFERROR(INDEX(Vendor_Invoices_AP!$D$2:$D$882,MATCH(C222,Vendor_Invoices_AP!$A$2:$A$882,0)),"")</f>
        <v>46144</v>
      </c>
      <c r="G222" s="16" t="n">
        <f aca="false">IF(F222="","",D222-F222)</f>
        <v>16</v>
      </c>
      <c r="H222" s="21" t="n">
        <f aca="false">IF(F222="","",DATE(YEAR(D222),MONTH(D222),1))</f>
        <v>46143</v>
      </c>
    </row>
    <row r="223" customFormat="false" ht="15" hidden="false" customHeight="false" outlineLevel="0" collapsed="false">
      <c r="A223" s="16" t="str">
        <f aca="false">Payment_Log_AP!A220</f>
        <v>PAY40219</v>
      </c>
      <c r="B223" s="16" t="str">
        <f aca="false">Payment_Log_AP!C220</f>
        <v>V1019</v>
      </c>
      <c r="C223" s="16" t="str">
        <f aca="false">Payment_Log_AP!B220</f>
        <v>INV30251</v>
      </c>
      <c r="D223" s="17" t="n">
        <f aca="false">Payment_Log_AP!D220</f>
        <v>46135</v>
      </c>
      <c r="E223" s="18" t="n">
        <f aca="false">Payment_Log_AP!E220</f>
        <v>207.67</v>
      </c>
      <c r="F223" s="17" t="n">
        <f aca="false">IFERROR(INDEX(Vendor_Invoices_AP!$D$2:$D$882,MATCH(C223,Vendor_Invoices_AP!$A$2:$A$882,0)),"")</f>
        <v>46129</v>
      </c>
      <c r="G223" s="16" t="n">
        <f aca="false">IF(F223="","",D223-F223)</f>
        <v>6</v>
      </c>
      <c r="H223" s="21" t="n">
        <f aca="false">IF(F223="","",DATE(YEAR(D223),MONTH(D223),1))</f>
        <v>46113</v>
      </c>
    </row>
    <row r="224" customFormat="false" ht="15" hidden="false" customHeight="false" outlineLevel="0" collapsed="false">
      <c r="A224" s="16" t="str">
        <f aca="false">Payment_Log_AP!A221</f>
        <v>PAY40220</v>
      </c>
      <c r="B224" s="16" t="str">
        <f aca="false">Payment_Log_AP!C221</f>
        <v>V1023</v>
      </c>
      <c r="C224" s="16" t="str">
        <f aca="false">Payment_Log_AP!B221</f>
        <v>INV30252</v>
      </c>
      <c r="D224" s="17" t="n">
        <f aca="false">Payment_Log_AP!D221</f>
        <v>45762</v>
      </c>
      <c r="E224" s="18" t="n">
        <f aca="false">Payment_Log_AP!E221</f>
        <v>1766.28</v>
      </c>
      <c r="F224" s="17" t="n">
        <f aca="false">IFERROR(INDEX(Vendor_Invoices_AP!$D$2:$D$882,MATCH(C224,Vendor_Invoices_AP!$A$2:$A$882,0)),"")</f>
        <v>45727</v>
      </c>
      <c r="G224" s="16" t="n">
        <f aca="false">IF(F224="","",D224-F224)</f>
        <v>35</v>
      </c>
      <c r="H224" s="21" t="n">
        <f aca="false">IF(F224="","",DATE(YEAR(D224),MONTH(D224),1))</f>
        <v>45748</v>
      </c>
    </row>
    <row r="225" customFormat="false" ht="15" hidden="false" customHeight="false" outlineLevel="0" collapsed="false">
      <c r="A225" s="16" t="str">
        <f aca="false">Payment_Log_AP!A222</f>
        <v>PAY40221</v>
      </c>
      <c r="B225" s="16" t="str">
        <f aca="false">Payment_Log_AP!C222</f>
        <v>V1036</v>
      </c>
      <c r="C225" s="16" t="str">
        <f aca="false">Payment_Log_AP!B222</f>
        <v>INV30253</v>
      </c>
      <c r="D225" s="17" t="n">
        <f aca="false">Payment_Log_AP!D222</f>
        <v>46190</v>
      </c>
      <c r="E225" s="18" t="n">
        <f aca="false">Payment_Log_AP!E222</f>
        <v>1408.36</v>
      </c>
      <c r="F225" s="17" t="n">
        <f aca="false">IFERROR(INDEX(Vendor_Invoices_AP!$D$2:$D$882,MATCH(C225,Vendor_Invoices_AP!$A$2:$A$882,0)),"")</f>
        <v>46162</v>
      </c>
      <c r="G225" s="16" t="n">
        <f aca="false">IF(F225="","",D225-F225)</f>
        <v>28</v>
      </c>
      <c r="H225" s="21" t="n">
        <f aca="false">IF(F225="","",DATE(YEAR(D225),MONTH(D225),1))</f>
        <v>46174</v>
      </c>
    </row>
    <row r="226" customFormat="false" ht="15" hidden="false" customHeight="false" outlineLevel="0" collapsed="false">
      <c r="A226" s="16" t="str">
        <f aca="false">Payment_Log_AP!A223</f>
        <v>PAY40222</v>
      </c>
      <c r="B226" s="16" t="str">
        <f aca="false">Payment_Log_AP!C223</f>
        <v>V1030</v>
      </c>
      <c r="C226" s="16" t="str">
        <f aca="false">Payment_Log_AP!B223</f>
        <v>INV30254</v>
      </c>
      <c r="D226" s="17" t="n">
        <f aca="false">Payment_Log_AP!D223</f>
        <v>45816</v>
      </c>
      <c r="E226" s="18" t="n">
        <f aca="false">Payment_Log_AP!E223</f>
        <v>1546.99</v>
      </c>
      <c r="F226" s="17" t="n">
        <f aca="false">IFERROR(INDEX(Vendor_Invoices_AP!$D$2:$D$882,MATCH(C226,Vendor_Invoices_AP!$A$2:$A$882,0)),"")</f>
        <v>45797</v>
      </c>
      <c r="G226" s="16" t="n">
        <f aca="false">IF(F226="","",D226-F226)</f>
        <v>19</v>
      </c>
      <c r="H226" s="21" t="n">
        <f aca="false">IF(F226="","",DATE(YEAR(D226),MONTH(D226),1))</f>
        <v>45809</v>
      </c>
    </row>
    <row r="227" customFormat="false" ht="15" hidden="false" customHeight="false" outlineLevel="0" collapsed="false">
      <c r="A227" s="16" t="str">
        <f aca="false">Payment_Log_AP!A224</f>
        <v>PAY40223</v>
      </c>
      <c r="B227" s="16" t="str">
        <f aca="false">Payment_Log_AP!C224</f>
        <v>V1030</v>
      </c>
      <c r="C227" s="16" t="str">
        <f aca="false">Payment_Log_AP!B224</f>
        <v>INV30254</v>
      </c>
      <c r="D227" s="17" t="n">
        <f aca="false">Payment_Log_AP!D224</f>
        <v>45824</v>
      </c>
      <c r="E227" s="18" t="n">
        <f aca="false">Payment_Log_AP!E224</f>
        <v>1546.99</v>
      </c>
      <c r="F227" s="17" t="n">
        <f aca="false">IFERROR(INDEX(Vendor_Invoices_AP!$D$2:$D$882,MATCH(C227,Vendor_Invoices_AP!$A$2:$A$882,0)),"")</f>
        <v>45797</v>
      </c>
      <c r="G227" s="16" t="n">
        <f aca="false">IF(F227="","",D227-F227)</f>
        <v>27</v>
      </c>
      <c r="H227" s="21" t="n">
        <f aca="false">IF(F227="","",DATE(YEAR(D227),MONTH(D227),1))</f>
        <v>45809</v>
      </c>
    </row>
    <row r="228" customFormat="false" ht="15" hidden="false" customHeight="false" outlineLevel="0" collapsed="false">
      <c r="A228" s="16" t="str">
        <f aca="false">Payment_Log_AP!A225</f>
        <v>PAY40224</v>
      </c>
      <c r="B228" s="16" t="str">
        <f aca="false">Payment_Log_AP!C225</f>
        <v>V1040</v>
      </c>
      <c r="C228" s="16" t="str">
        <f aca="false">Payment_Log_AP!B225</f>
        <v>INV30255</v>
      </c>
      <c r="D228" s="17" t="n">
        <f aca="false">Payment_Log_AP!D225</f>
        <v>45954</v>
      </c>
      <c r="E228" s="18" t="n">
        <f aca="false">Payment_Log_AP!E225</f>
        <v>5615.74</v>
      </c>
      <c r="F228" s="17" t="n">
        <f aca="false">IFERROR(INDEX(Vendor_Invoices_AP!$D$2:$D$882,MATCH(C228,Vendor_Invoices_AP!$A$2:$A$882,0)),"")</f>
        <v>45929</v>
      </c>
      <c r="G228" s="16" t="n">
        <f aca="false">IF(F228="","",D228-F228)</f>
        <v>25</v>
      </c>
      <c r="H228" s="21" t="n">
        <f aca="false">IF(F228="","",DATE(YEAR(D228),MONTH(D228),1))</f>
        <v>45931</v>
      </c>
    </row>
    <row r="229" customFormat="false" ht="15" hidden="false" customHeight="false" outlineLevel="0" collapsed="false">
      <c r="A229" s="16" t="str">
        <f aca="false">Payment_Log_AP!A226</f>
        <v>PAY40225</v>
      </c>
      <c r="B229" s="16" t="str">
        <f aca="false">Payment_Log_AP!C226</f>
        <v>V1034</v>
      </c>
      <c r="C229" s="16" t="str">
        <f aca="false">Payment_Log_AP!B226</f>
        <v>INV30256</v>
      </c>
      <c r="D229" s="17" t="n">
        <f aca="false">Payment_Log_AP!D226</f>
        <v>46044</v>
      </c>
      <c r="E229" s="18" t="n">
        <f aca="false">Payment_Log_AP!E226</f>
        <v>3821.71</v>
      </c>
      <c r="F229" s="17" t="n">
        <f aca="false">IFERROR(INDEX(Vendor_Invoices_AP!$D$2:$D$882,MATCH(C229,Vendor_Invoices_AP!$A$2:$A$882,0)),"")</f>
        <v>46011</v>
      </c>
      <c r="G229" s="16" t="n">
        <f aca="false">IF(F229="","",D229-F229)</f>
        <v>33</v>
      </c>
      <c r="H229" s="21" t="n">
        <f aca="false">IF(F229="","",DATE(YEAR(D229),MONTH(D229),1))</f>
        <v>46023</v>
      </c>
    </row>
    <row r="230" customFormat="false" ht="15" hidden="false" customHeight="false" outlineLevel="0" collapsed="false">
      <c r="A230" s="16" t="str">
        <f aca="false">Payment_Log_AP!A227</f>
        <v>PAY40226</v>
      </c>
      <c r="B230" s="16" t="str">
        <f aca="false">Payment_Log_AP!C227</f>
        <v>V1008</v>
      </c>
      <c r="C230" s="16" t="str">
        <f aca="false">Payment_Log_AP!B227</f>
        <v>INV30257</v>
      </c>
      <c r="D230" s="17" t="n">
        <f aca="false">Payment_Log_AP!D227</f>
        <v>45881</v>
      </c>
      <c r="E230" s="18" t="n">
        <f aca="false">Payment_Log_AP!E227</f>
        <v>943.22</v>
      </c>
      <c r="F230" s="17" t="n">
        <f aca="false">IFERROR(INDEX(Vendor_Invoices_AP!$D$2:$D$882,MATCH(C230,Vendor_Invoices_AP!$A$2:$A$882,0)),"")</f>
        <v>45876</v>
      </c>
      <c r="G230" s="16" t="n">
        <f aca="false">IF(F230="","",D230-F230)</f>
        <v>5</v>
      </c>
      <c r="H230" s="21" t="n">
        <f aca="false">IF(F230="","",DATE(YEAR(D230),MONTH(D230),1))</f>
        <v>45870</v>
      </c>
    </row>
    <row r="231" customFormat="false" ht="15" hidden="false" customHeight="false" outlineLevel="0" collapsed="false">
      <c r="A231" s="16" t="str">
        <f aca="false">Payment_Log_AP!A228</f>
        <v>PAY40227</v>
      </c>
      <c r="B231" s="16" t="str">
        <f aca="false">Payment_Log_AP!C228</f>
        <v>V1031</v>
      </c>
      <c r="C231" s="16" t="str">
        <f aca="false">Payment_Log_AP!B228</f>
        <v>INV30258</v>
      </c>
      <c r="D231" s="17" t="n">
        <f aca="false">Payment_Log_AP!D228</f>
        <v>45695</v>
      </c>
      <c r="E231" s="18" t="n">
        <f aca="false">Payment_Log_AP!E228</f>
        <v>618.31</v>
      </c>
      <c r="F231" s="17" t="n">
        <f aca="false">IFERROR(INDEX(Vendor_Invoices_AP!$D$2:$D$882,MATCH(C231,Vendor_Invoices_AP!$A$2:$A$882,0)),"")</f>
        <v>45686</v>
      </c>
      <c r="G231" s="16" t="n">
        <f aca="false">IF(F231="","",D231-F231)</f>
        <v>9</v>
      </c>
      <c r="H231" s="21" t="n">
        <f aca="false">IF(F231="","",DATE(YEAR(D231),MONTH(D231),1))</f>
        <v>45689</v>
      </c>
    </row>
    <row r="232" customFormat="false" ht="15" hidden="false" customHeight="false" outlineLevel="0" collapsed="false">
      <c r="A232" s="16" t="str">
        <f aca="false">Payment_Log_AP!A229</f>
        <v>PAY40228</v>
      </c>
      <c r="B232" s="16" t="str">
        <f aca="false">Payment_Log_AP!C229</f>
        <v>V1038</v>
      </c>
      <c r="C232" s="16" t="str">
        <f aca="false">Payment_Log_AP!B229</f>
        <v>INV30259</v>
      </c>
      <c r="D232" s="17" t="n">
        <f aca="false">Payment_Log_AP!D229</f>
        <v>46179</v>
      </c>
      <c r="E232" s="18" t="n">
        <f aca="false">Payment_Log_AP!E229</f>
        <v>17214.28</v>
      </c>
      <c r="F232" s="17" t="n">
        <f aca="false">IFERROR(INDEX(Vendor_Invoices_AP!$D$2:$D$882,MATCH(C232,Vendor_Invoices_AP!$A$2:$A$882,0)),"")</f>
        <v>46146</v>
      </c>
      <c r="G232" s="16" t="n">
        <f aca="false">IF(F232="","",D232-F232)</f>
        <v>33</v>
      </c>
      <c r="H232" s="21" t="n">
        <f aca="false">IF(F232="","",DATE(YEAR(D232),MONTH(D232),1))</f>
        <v>46174</v>
      </c>
    </row>
    <row r="233" customFormat="false" ht="15" hidden="false" customHeight="false" outlineLevel="0" collapsed="false">
      <c r="A233" s="16" t="str">
        <f aca="false">Payment_Log_AP!A230</f>
        <v>PAY40229</v>
      </c>
      <c r="B233" s="16" t="str">
        <f aca="false">Payment_Log_AP!C230</f>
        <v>V1020</v>
      </c>
      <c r="C233" s="16" t="str">
        <f aca="false">Payment_Log_AP!B230</f>
        <v>INV30261</v>
      </c>
      <c r="D233" s="17" t="n">
        <f aca="false">Payment_Log_AP!D230</f>
        <v>45827</v>
      </c>
      <c r="E233" s="18" t="n">
        <f aca="false">Payment_Log_AP!E230</f>
        <v>1164.57</v>
      </c>
      <c r="F233" s="17" t="n">
        <f aca="false">IFERROR(INDEX(Vendor_Invoices_AP!$D$2:$D$882,MATCH(C233,Vendor_Invoices_AP!$A$2:$A$882,0)),"")</f>
        <v>45798</v>
      </c>
      <c r="G233" s="16" t="n">
        <f aca="false">IF(F233="","",D233-F233)</f>
        <v>29</v>
      </c>
      <c r="H233" s="21" t="n">
        <f aca="false">IF(F233="","",DATE(YEAR(D233),MONTH(D233),1))</f>
        <v>45809</v>
      </c>
    </row>
    <row r="234" customFormat="false" ht="15" hidden="false" customHeight="false" outlineLevel="0" collapsed="false">
      <c r="A234" s="16" t="str">
        <f aca="false">Payment_Log_AP!A231</f>
        <v>PAY40230</v>
      </c>
      <c r="B234" s="16" t="str">
        <f aca="false">Payment_Log_AP!C231</f>
        <v>V1030</v>
      </c>
      <c r="C234" s="16" t="str">
        <f aca="false">Payment_Log_AP!B231</f>
        <v>INV30263</v>
      </c>
      <c r="D234" s="17" t="n">
        <f aca="false">Payment_Log_AP!D231</f>
        <v>45876</v>
      </c>
      <c r="E234" s="18" t="n">
        <f aca="false">Payment_Log_AP!E231</f>
        <v>1150.99</v>
      </c>
      <c r="F234" s="17" t="n">
        <f aca="false">IFERROR(INDEX(Vendor_Invoices_AP!$D$2:$D$882,MATCH(C234,Vendor_Invoices_AP!$A$2:$A$882,0)),"")</f>
        <v>45846</v>
      </c>
      <c r="G234" s="16" t="n">
        <f aca="false">IF(F234="","",D234-F234)</f>
        <v>30</v>
      </c>
      <c r="H234" s="21" t="n">
        <f aca="false">IF(F234="","",DATE(YEAR(D234),MONTH(D234),1))</f>
        <v>45870</v>
      </c>
    </row>
    <row r="235" customFormat="false" ht="15" hidden="false" customHeight="false" outlineLevel="0" collapsed="false">
      <c r="A235" s="16" t="str">
        <f aca="false">Payment_Log_AP!A232</f>
        <v>PAY40231</v>
      </c>
      <c r="B235" s="16" t="str">
        <f aca="false">Payment_Log_AP!C232</f>
        <v>V1030</v>
      </c>
      <c r="C235" s="16" t="str">
        <f aca="false">Payment_Log_AP!B232</f>
        <v>INV30264</v>
      </c>
      <c r="D235" s="17" t="n">
        <f aca="false">Payment_Log_AP!D232</f>
        <v>45865</v>
      </c>
      <c r="E235" s="18" t="n">
        <f aca="false">Payment_Log_AP!E232</f>
        <v>1219.73</v>
      </c>
      <c r="F235" s="17" t="n">
        <f aca="false">IFERROR(INDEX(Vendor_Invoices_AP!$D$2:$D$882,MATCH(C235,Vendor_Invoices_AP!$A$2:$A$882,0)),"")</f>
        <v>45864</v>
      </c>
      <c r="G235" s="16" t="n">
        <f aca="false">IF(F235="","",D235-F235)</f>
        <v>1</v>
      </c>
      <c r="H235" s="21" t="n">
        <f aca="false">IF(F235="","",DATE(YEAR(D235),MONTH(D235),1))</f>
        <v>45839</v>
      </c>
    </row>
    <row r="236" customFormat="false" ht="15" hidden="false" customHeight="false" outlineLevel="0" collapsed="false">
      <c r="A236" s="16" t="str">
        <f aca="false">Payment_Log_AP!A233</f>
        <v>PAY40232</v>
      </c>
      <c r="B236" s="16" t="str">
        <f aca="false">Payment_Log_AP!C233</f>
        <v>V1030</v>
      </c>
      <c r="C236" s="16" t="str">
        <f aca="false">Payment_Log_AP!B233</f>
        <v>INV30264</v>
      </c>
      <c r="D236" s="17" t="n">
        <f aca="false">Payment_Log_AP!D233</f>
        <v>45866</v>
      </c>
      <c r="E236" s="18" t="n">
        <f aca="false">Payment_Log_AP!E233</f>
        <v>1219.73</v>
      </c>
      <c r="F236" s="17" t="n">
        <f aca="false">IFERROR(INDEX(Vendor_Invoices_AP!$D$2:$D$882,MATCH(C236,Vendor_Invoices_AP!$A$2:$A$882,0)),"")</f>
        <v>45864</v>
      </c>
      <c r="G236" s="16" t="n">
        <f aca="false">IF(F236="","",D236-F236)</f>
        <v>2</v>
      </c>
      <c r="H236" s="21" t="n">
        <f aca="false">IF(F236="","",DATE(YEAR(D236),MONTH(D236),1))</f>
        <v>45839</v>
      </c>
    </row>
    <row r="237" customFormat="false" ht="15" hidden="false" customHeight="false" outlineLevel="0" collapsed="false">
      <c r="A237" s="16" t="str">
        <f aca="false">Payment_Log_AP!A234</f>
        <v>PAY40233</v>
      </c>
      <c r="B237" s="16" t="str">
        <f aca="false">Payment_Log_AP!C234</f>
        <v>V1007</v>
      </c>
      <c r="C237" s="16" t="str">
        <f aca="false">Payment_Log_AP!B234</f>
        <v>INV30265</v>
      </c>
      <c r="D237" s="17" t="n">
        <f aca="false">Payment_Log_AP!D234</f>
        <v>46171</v>
      </c>
      <c r="E237" s="18" t="n">
        <f aca="false">Payment_Log_AP!E234</f>
        <v>2121.27</v>
      </c>
      <c r="F237" s="17" t="n">
        <f aca="false">IFERROR(INDEX(Vendor_Invoices_AP!$D$2:$D$882,MATCH(C237,Vendor_Invoices_AP!$A$2:$A$882,0)),"")</f>
        <v>46139</v>
      </c>
      <c r="G237" s="16" t="n">
        <f aca="false">IF(F237="","",D237-F237)</f>
        <v>32</v>
      </c>
      <c r="H237" s="21" t="n">
        <f aca="false">IF(F237="","",DATE(YEAR(D237),MONTH(D237),1))</f>
        <v>46143</v>
      </c>
    </row>
    <row r="238" customFormat="false" ht="15" hidden="false" customHeight="false" outlineLevel="0" collapsed="false">
      <c r="A238" s="16" t="str">
        <f aca="false">Payment_Log_AP!A235</f>
        <v>PAY40234</v>
      </c>
      <c r="B238" s="16" t="str">
        <f aca="false">Payment_Log_AP!C235</f>
        <v>V1008</v>
      </c>
      <c r="C238" s="16" t="str">
        <f aca="false">Payment_Log_AP!B235</f>
        <v>INV30266</v>
      </c>
      <c r="D238" s="17" t="n">
        <f aca="false">Payment_Log_AP!D235</f>
        <v>46057</v>
      </c>
      <c r="E238" s="18" t="n">
        <f aca="false">Payment_Log_AP!E235</f>
        <v>782.81</v>
      </c>
      <c r="F238" s="17" t="n">
        <f aca="false">IFERROR(INDEX(Vendor_Invoices_AP!$D$2:$D$882,MATCH(C238,Vendor_Invoices_AP!$A$2:$A$882,0)),"")</f>
        <v>46052</v>
      </c>
      <c r="G238" s="16" t="n">
        <f aca="false">IF(F238="","",D238-F238)</f>
        <v>5</v>
      </c>
      <c r="H238" s="21" t="n">
        <f aca="false">IF(F238="","",DATE(YEAR(D238),MONTH(D238),1))</f>
        <v>46054</v>
      </c>
    </row>
    <row r="239" customFormat="false" ht="15" hidden="false" customHeight="false" outlineLevel="0" collapsed="false">
      <c r="A239" s="16" t="str">
        <f aca="false">Payment_Log_AP!A236</f>
        <v>PAY40235</v>
      </c>
      <c r="B239" s="16" t="str">
        <f aca="false">Payment_Log_AP!C236</f>
        <v>V1007</v>
      </c>
      <c r="C239" s="16" t="str">
        <f aca="false">Payment_Log_AP!B236</f>
        <v>INV30267</v>
      </c>
      <c r="D239" s="17" t="n">
        <f aca="false">Payment_Log_AP!D236</f>
        <v>45847</v>
      </c>
      <c r="E239" s="18" t="n">
        <f aca="false">Payment_Log_AP!E236</f>
        <v>231.64</v>
      </c>
      <c r="F239" s="17" t="n">
        <f aca="false">IFERROR(INDEX(Vendor_Invoices_AP!$D$2:$D$882,MATCH(C239,Vendor_Invoices_AP!$A$2:$A$882,0)),"")</f>
        <v>45818</v>
      </c>
      <c r="G239" s="16" t="n">
        <f aca="false">IF(F239="","",D239-F239)</f>
        <v>29</v>
      </c>
      <c r="H239" s="21" t="n">
        <f aca="false">IF(F239="","",DATE(YEAR(D239),MONTH(D239),1))</f>
        <v>45839</v>
      </c>
    </row>
    <row r="240" customFormat="false" ht="15" hidden="false" customHeight="false" outlineLevel="0" collapsed="false">
      <c r="A240" s="16" t="str">
        <f aca="false">Payment_Log_AP!A237</f>
        <v>PAY40236</v>
      </c>
      <c r="B240" s="16" t="str">
        <f aca="false">Payment_Log_AP!C237</f>
        <v>V1021</v>
      </c>
      <c r="C240" s="16" t="str">
        <f aca="false">Payment_Log_AP!B237</f>
        <v>INV30268</v>
      </c>
      <c r="D240" s="17" t="n">
        <f aca="false">Payment_Log_AP!D237</f>
        <v>45706</v>
      </c>
      <c r="E240" s="18" t="n">
        <f aca="false">Payment_Log_AP!E237</f>
        <v>585.14</v>
      </c>
      <c r="F240" s="17" t="n">
        <f aca="false">IFERROR(INDEX(Vendor_Invoices_AP!$D$2:$D$882,MATCH(C240,Vendor_Invoices_AP!$A$2:$A$882,0)),"")</f>
        <v>45683</v>
      </c>
      <c r="G240" s="16" t="n">
        <f aca="false">IF(F240="","",D240-F240)</f>
        <v>23</v>
      </c>
      <c r="H240" s="21" t="n">
        <f aca="false">IF(F240="","",DATE(YEAR(D240),MONTH(D240),1))</f>
        <v>45689</v>
      </c>
    </row>
    <row r="241" customFormat="false" ht="15" hidden="false" customHeight="false" outlineLevel="0" collapsed="false">
      <c r="A241" s="16" t="str">
        <f aca="false">Payment_Log_AP!A238</f>
        <v>PAY40237</v>
      </c>
      <c r="B241" s="16" t="str">
        <f aca="false">Payment_Log_AP!C238</f>
        <v>V1022</v>
      </c>
      <c r="C241" s="16" t="str">
        <f aca="false">Payment_Log_AP!B238</f>
        <v>INV30269</v>
      </c>
      <c r="D241" s="17" t="n">
        <f aca="false">Payment_Log_AP!D238</f>
        <v>46178</v>
      </c>
      <c r="E241" s="18" t="n">
        <f aca="false">Payment_Log_AP!E238</f>
        <v>2715.46</v>
      </c>
      <c r="F241" s="17" t="n">
        <f aca="false">IFERROR(INDEX(Vendor_Invoices_AP!$D$2:$D$882,MATCH(C241,Vendor_Invoices_AP!$A$2:$A$882,0)),"")</f>
        <v>46177</v>
      </c>
      <c r="G241" s="16" t="n">
        <f aca="false">IF(F241="","",D241-F241)</f>
        <v>1</v>
      </c>
      <c r="H241" s="21" t="n">
        <f aca="false">IF(F241="","",DATE(YEAR(D241),MONTH(D241),1))</f>
        <v>46174</v>
      </c>
    </row>
    <row r="242" customFormat="false" ht="15" hidden="false" customHeight="false" outlineLevel="0" collapsed="false">
      <c r="A242" s="16" t="str">
        <f aca="false">Payment_Log_AP!A239</f>
        <v>PAY40238</v>
      </c>
      <c r="B242" s="16" t="str">
        <f aca="false">Payment_Log_AP!C239</f>
        <v>V1022</v>
      </c>
      <c r="C242" s="16" t="str">
        <f aca="false">Payment_Log_AP!B239</f>
        <v>INV30271</v>
      </c>
      <c r="D242" s="17" t="n">
        <f aca="false">Payment_Log_AP!D239</f>
        <v>46074</v>
      </c>
      <c r="E242" s="18" t="n">
        <f aca="false">Payment_Log_AP!E239</f>
        <v>5917.43</v>
      </c>
      <c r="F242" s="17" t="n">
        <f aca="false">IFERROR(INDEX(Vendor_Invoices_AP!$D$2:$D$882,MATCH(C242,Vendor_Invoices_AP!$A$2:$A$882,0)),"")</f>
        <v>46059</v>
      </c>
      <c r="G242" s="16" t="n">
        <f aca="false">IF(F242="","",D242-F242)</f>
        <v>15</v>
      </c>
      <c r="H242" s="21" t="n">
        <f aca="false">IF(F242="","",DATE(YEAR(D242),MONTH(D242),1))</f>
        <v>46054</v>
      </c>
    </row>
    <row r="243" customFormat="false" ht="15" hidden="false" customHeight="false" outlineLevel="0" collapsed="false">
      <c r="A243" s="16" t="str">
        <f aca="false">Payment_Log_AP!A240</f>
        <v>PAY40239</v>
      </c>
      <c r="B243" s="16" t="str">
        <f aca="false">Payment_Log_AP!C240</f>
        <v>V1003</v>
      </c>
      <c r="C243" s="16" t="str">
        <f aca="false">Payment_Log_AP!B240</f>
        <v>INV30272</v>
      </c>
      <c r="D243" s="17" t="n">
        <f aca="false">Payment_Log_AP!D240</f>
        <v>45967</v>
      </c>
      <c r="E243" s="18" t="n">
        <f aca="false">Payment_Log_AP!E240</f>
        <v>866.85</v>
      </c>
      <c r="F243" s="17" t="n">
        <f aca="false">IFERROR(INDEX(Vendor_Invoices_AP!$D$2:$D$882,MATCH(C243,Vendor_Invoices_AP!$A$2:$A$882,0)),"")</f>
        <v>45944</v>
      </c>
      <c r="G243" s="16" t="n">
        <f aca="false">IF(F243="","",D243-F243)</f>
        <v>23</v>
      </c>
      <c r="H243" s="21" t="n">
        <f aca="false">IF(F243="","",DATE(YEAR(D243),MONTH(D243),1))</f>
        <v>45962</v>
      </c>
    </row>
    <row r="244" customFormat="false" ht="15" hidden="false" customHeight="false" outlineLevel="0" collapsed="false">
      <c r="A244" s="16" t="str">
        <f aca="false">Payment_Log_AP!A241</f>
        <v>PAY40240</v>
      </c>
      <c r="B244" s="16" t="str">
        <f aca="false">Payment_Log_AP!C241</f>
        <v>V1017</v>
      </c>
      <c r="C244" s="16" t="str">
        <f aca="false">Payment_Log_AP!B241</f>
        <v>INV30273</v>
      </c>
      <c r="D244" s="17" t="n">
        <f aca="false">Payment_Log_AP!D241</f>
        <v>46116</v>
      </c>
      <c r="E244" s="18" t="n">
        <f aca="false">Payment_Log_AP!E241</f>
        <v>5943.52</v>
      </c>
      <c r="F244" s="17" t="n">
        <f aca="false">IFERROR(INDEX(Vendor_Invoices_AP!$D$2:$D$882,MATCH(C244,Vendor_Invoices_AP!$A$2:$A$882,0)),"")</f>
        <v>46096</v>
      </c>
      <c r="G244" s="16" t="n">
        <f aca="false">IF(F244="","",D244-F244)</f>
        <v>20</v>
      </c>
      <c r="H244" s="21" t="n">
        <f aca="false">IF(F244="","",DATE(YEAR(D244),MONTH(D244),1))</f>
        <v>46113</v>
      </c>
    </row>
    <row r="245" customFormat="false" ht="15" hidden="false" customHeight="false" outlineLevel="0" collapsed="false">
      <c r="A245" s="16" t="str">
        <f aca="false">Payment_Log_AP!A242</f>
        <v>PAY40241</v>
      </c>
      <c r="B245" s="16" t="str">
        <f aca="false">Payment_Log_AP!C242</f>
        <v>V1016</v>
      </c>
      <c r="C245" s="16" t="str">
        <f aca="false">Payment_Log_AP!B242</f>
        <v>INV30274</v>
      </c>
      <c r="D245" s="17" t="n">
        <f aca="false">Payment_Log_AP!D242</f>
        <v>46075</v>
      </c>
      <c r="E245" s="18" t="n">
        <f aca="false">Payment_Log_AP!E242</f>
        <v>2495.51</v>
      </c>
      <c r="F245" s="17" t="n">
        <f aca="false">IFERROR(INDEX(Vendor_Invoices_AP!$D$2:$D$882,MATCH(C245,Vendor_Invoices_AP!$A$2:$A$882,0)),"")</f>
        <v>46051</v>
      </c>
      <c r="G245" s="16" t="n">
        <f aca="false">IF(F245="","",D245-F245)</f>
        <v>24</v>
      </c>
      <c r="H245" s="21" t="n">
        <f aca="false">IF(F245="","",DATE(YEAR(D245),MONTH(D245),1))</f>
        <v>46054</v>
      </c>
    </row>
    <row r="246" customFormat="false" ht="15" hidden="false" customHeight="false" outlineLevel="0" collapsed="false">
      <c r="A246" s="16" t="str">
        <f aca="false">Payment_Log_AP!A243</f>
        <v>PAY40242</v>
      </c>
      <c r="B246" s="16" t="str">
        <f aca="false">Payment_Log_AP!C243</f>
        <v>V1035</v>
      </c>
      <c r="C246" s="16" t="str">
        <f aca="false">Payment_Log_AP!B243</f>
        <v>INV30276</v>
      </c>
      <c r="D246" s="17" t="n">
        <f aca="false">Payment_Log_AP!D243</f>
        <v>45944</v>
      </c>
      <c r="E246" s="18" t="n">
        <f aca="false">Payment_Log_AP!E243</f>
        <v>1274.7</v>
      </c>
      <c r="F246" s="17" t="n">
        <f aca="false">IFERROR(INDEX(Vendor_Invoices_AP!$D$2:$D$882,MATCH(C246,Vendor_Invoices_AP!$A$2:$A$882,0)),"")</f>
        <v>45930</v>
      </c>
      <c r="G246" s="16" t="n">
        <f aca="false">IF(F246="","",D246-F246)</f>
        <v>14</v>
      </c>
      <c r="H246" s="21" t="n">
        <f aca="false">IF(F246="","",DATE(YEAR(D246),MONTH(D246),1))</f>
        <v>45931</v>
      </c>
    </row>
    <row r="247" customFormat="false" ht="15" hidden="false" customHeight="false" outlineLevel="0" collapsed="false">
      <c r="A247" s="16" t="str">
        <f aca="false">Payment_Log_AP!A244</f>
        <v>PAY40243</v>
      </c>
      <c r="B247" s="16" t="str">
        <f aca="false">Payment_Log_AP!C244</f>
        <v>V1003</v>
      </c>
      <c r="C247" s="16" t="str">
        <f aca="false">Payment_Log_AP!B244</f>
        <v>INV30277</v>
      </c>
      <c r="D247" s="17" t="n">
        <f aca="false">Payment_Log_AP!D244</f>
        <v>46141</v>
      </c>
      <c r="E247" s="18" t="n">
        <f aca="false">Payment_Log_AP!E244</f>
        <v>2055.42</v>
      </c>
      <c r="F247" s="17" t="n">
        <f aca="false">IFERROR(INDEX(Vendor_Invoices_AP!$D$2:$D$882,MATCH(C247,Vendor_Invoices_AP!$A$2:$A$882,0)),"")</f>
        <v>46115</v>
      </c>
      <c r="G247" s="16" t="n">
        <f aca="false">IF(F247="","",D247-F247)</f>
        <v>26</v>
      </c>
      <c r="H247" s="21" t="n">
        <f aca="false">IF(F247="","",DATE(YEAR(D247),MONTH(D247),1))</f>
        <v>46113</v>
      </c>
    </row>
    <row r="248" customFormat="false" ht="15" hidden="false" customHeight="false" outlineLevel="0" collapsed="false">
      <c r="A248" s="16" t="str">
        <f aca="false">Payment_Log_AP!A245</f>
        <v>PAY40244</v>
      </c>
      <c r="B248" s="16" t="str">
        <f aca="false">Payment_Log_AP!C245</f>
        <v>V1012</v>
      </c>
      <c r="C248" s="16" t="str">
        <f aca="false">Payment_Log_AP!B245</f>
        <v>INV30278</v>
      </c>
      <c r="D248" s="17" t="n">
        <f aca="false">Payment_Log_AP!D245</f>
        <v>45743</v>
      </c>
      <c r="E248" s="18" t="n">
        <f aca="false">Payment_Log_AP!E245</f>
        <v>8984.32</v>
      </c>
      <c r="F248" s="17" t="n">
        <f aca="false">IFERROR(INDEX(Vendor_Invoices_AP!$D$2:$D$882,MATCH(C248,Vendor_Invoices_AP!$A$2:$A$882,0)),"")</f>
        <v>45711</v>
      </c>
      <c r="G248" s="16" t="n">
        <f aca="false">IF(F248="","",D248-F248)</f>
        <v>32</v>
      </c>
      <c r="H248" s="21" t="n">
        <f aca="false">IF(F248="","",DATE(YEAR(D248),MONTH(D248),1))</f>
        <v>45717</v>
      </c>
    </row>
    <row r="249" customFormat="false" ht="15" hidden="false" customHeight="false" outlineLevel="0" collapsed="false">
      <c r="A249" s="16" t="str">
        <f aca="false">Payment_Log_AP!A246</f>
        <v>PAY40245</v>
      </c>
      <c r="B249" s="16" t="str">
        <f aca="false">Payment_Log_AP!C246</f>
        <v>V1022</v>
      </c>
      <c r="C249" s="16" t="str">
        <f aca="false">Payment_Log_AP!B246</f>
        <v>INV30279</v>
      </c>
      <c r="D249" s="17" t="n">
        <f aca="false">Payment_Log_AP!D246</f>
        <v>45805</v>
      </c>
      <c r="E249" s="18" t="n">
        <f aca="false">Payment_Log_AP!E246</f>
        <v>4378.74</v>
      </c>
      <c r="F249" s="17" t="n">
        <f aca="false">IFERROR(INDEX(Vendor_Invoices_AP!$D$2:$D$882,MATCH(C249,Vendor_Invoices_AP!$A$2:$A$882,0)),"")</f>
        <v>45793</v>
      </c>
      <c r="G249" s="16" t="n">
        <f aca="false">IF(F249="","",D249-F249)</f>
        <v>12</v>
      </c>
      <c r="H249" s="21" t="n">
        <f aca="false">IF(F249="","",DATE(YEAR(D249),MONTH(D249),1))</f>
        <v>45778</v>
      </c>
    </row>
    <row r="250" customFormat="false" ht="15" hidden="false" customHeight="false" outlineLevel="0" collapsed="false">
      <c r="A250" s="16" t="str">
        <f aca="false">Payment_Log_AP!A247</f>
        <v>PAY40246</v>
      </c>
      <c r="B250" s="16" t="str">
        <f aca="false">Payment_Log_AP!C247</f>
        <v>V1030</v>
      </c>
      <c r="C250" s="16" t="str">
        <f aca="false">Payment_Log_AP!B247</f>
        <v>INV30280</v>
      </c>
      <c r="D250" s="17" t="n">
        <f aca="false">Payment_Log_AP!D247</f>
        <v>46053</v>
      </c>
      <c r="E250" s="18" t="n">
        <f aca="false">Payment_Log_AP!E247</f>
        <v>519.69</v>
      </c>
      <c r="F250" s="17" t="n">
        <f aca="false">IFERROR(INDEX(Vendor_Invoices_AP!$D$2:$D$882,MATCH(C250,Vendor_Invoices_AP!$A$2:$A$882,0)),"")</f>
        <v>46044</v>
      </c>
      <c r="G250" s="16" t="n">
        <f aca="false">IF(F250="","",D250-F250)</f>
        <v>9</v>
      </c>
      <c r="H250" s="21" t="n">
        <f aca="false">IF(F250="","",DATE(YEAR(D250),MONTH(D250),1))</f>
        <v>46023</v>
      </c>
    </row>
    <row r="251" customFormat="false" ht="15" hidden="false" customHeight="false" outlineLevel="0" collapsed="false">
      <c r="A251" s="16" t="str">
        <f aca="false">Payment_Log_AP!A248</f>
        <v>PAY40247</v>
      </c>
      <c r="B251" s="16" t="str">
        <f aca="false">Payment_Log_AP!C248</f>
        <v>V1017</v>
      </c>
      <c r="C251" s="16" t="str">
        <f aca="false">Payment_Log_AP!B248</f>
        <v>INV30281</v>
      </c>
      <c r="D251" s="17" t="n">
        <f aca="false">Payment_Log_AP!D248</f>
        <v>45860</v>
      </c>
      <c r="E251" s="18" t="n">
        <f aca="false">Payment_Log_AP!E248</f>
        <v>2656.9</v>
      </c>
      <c r="F251" s="17" t="n">
        <f aca="false">IFERROR(INDEX(Vendor_Invoices_AP!$D$2:$D$882,MATCH(C251,Vendor_Invoices_AP!$A$2:$A$882,0)),"")</f>
        <v>45826</v>
      </c>
      <c r="G251" s="16" t="n">
        <f aca="false">IF(F251="","",D251-F251)</f>
        <v>34</v>
      </c>
      <c r="H251" s="21" t="n">
        <f aca="false">IF(F251="","",DATE(YEAR(D251),MONTH(D251),1))</f>
        <v>45839</v>
      </c>
    </row>
    <row r="252" customFormat="false" ht="15" hidden="false" customHeight="false" outlineLevel="0" collapsed="false">
      <c r="A252" s="16" t="str">
        <f aca="false">Payment_Log_AP!A249</f>
        <v>PAY40248</v>
      </c>
      <c r="B252" s="16" t="str">
        <f aca="false">Payment_Log_AP!C249</f>
        <v>V1016</v>
      </c>
      <c r="C252" s="16" t="str">
        <f aca="false">Payment_Log_AP!B249</f>
        <v>INV30282</v>
      </c>
      <c r="D252" s="17" t="n">
        <f aca="false">Payment_Log_AP!D249</f>
        <v>46012</v>
      </c>
      <c r="E252" s="18" t="n">
        <f aca="false">Payment_Log_AP!E249</f>
        <v>611.97</v>
      </c>
      <c r="F252" s="17" t="n">
        <f aca="false">IFERROR(INDEX(Vendor_Invoices_AP!$D$2:$D$882,MATCH(C252,Vendor_Invoices_AP!$A$2:$A$882,0)),"")</f>
        <v>45977</v>
      </c>
      <c r="G252" s="16" t="n">
        <f aca="false">IF(F252="","",D252-F252)</f>
        <v>35</v>
      </c>
      <c r="H252" s="21" t="n">
        <f aca="false">IF(F252="","",DATE(YEAR(D252),MONTH(D252),1))</f>
        <v>45992</v>
      </c>
    </row>
    <row r="253" customFormat="false" ht="15" hidden="false" customHeight="false" outlineLevel="0" collapsed="false">
      <c r="A253" s="16" t="str">
        <f aca="false">Payment_Log_AP!A250</f>
        <v>PAY40249</v>
      </c>
      <c r="B253" s="16" t="str">
        <f aca="false">Payment_Log_AP!C250</f>
        <v>V1015</v>
      </c>
      <c r="C253" s="16" t="str">
        <f aca="false">Payment_Log_AP!B250</f>
        <v>INV30283</v>
      </c>
      <c r="D253" s="17" t="n">
        <f aca="false">Payment_Log_AP!D250</f>
        <v>45935</v>
      </c>
      <c r="E253" s="18" t="n">
        <f aca="false">Payment_Log_AP!E250</f>
        <v>3378.98</v>
      </c>
      <c r="F253" s="17" t="n">
        <f aca="false">IFERROR(INDEX(Vendor_Invoices_AP!$D$2:$D$882,MATCH(C253,Vendor_Invoices_AP!$A$2:$A$882,0)),"")</f>
        <v>45934</v>
      </c>
      <c r="G253" s="16" t="n">
        <f aca="false">IF(F253="","",D253-F253)</f>
        <v>1</v>
      </c>
      <c r="H253" s="21" t="n">
        <f aca="false">IF(F253="","",DATE(YEAR(D253),MONTH(D253),1))</f>
        <v>45931</v>
      </c>
    </row>
    <row r="254" customFormat="false" ht="15" hidden="false" customHeight="false" outlineLevel="0" collapsed="false">
      <c r="A254" s="16" t="str">
        <f aca="false">Payment_Log_AP!A251</f>
        <v>PAY40250</v>
      </c>
      <c r="B254" s="16" t="str">
        <f aca="false">Payment_Log_AP!C251</f>
        <v>V1005</v>
      </c>
      <c r="C254" s="16" t="str">
        <f aca="false">Payment_Log_AP!B251</f>
        <v>INV30285</v>
      </c>
      <c r="D254" s="17" t="n">
        <f aca="false">Payment_Log_AP!D251</f>
        <v>45935</v>
      </c>
      <c r="E254" s="18" t="n">
        <f aca="false">Payment_Log_AP!E251</f>
        <v>225.68</v>
      </c>
      <c r="F254" s="17" t="n">
        <f aca="false">IFERROR(INDEX(Vendor_Invoices_AP!$D$2:$D$882,MATCH(C254,Vendor_Invoices_AP!$A$2:$A$882,0)),"")</f>
        <v>45914</v>
      </c>
      <c r="G254" s="16" t="n">
        <f aca="false">IF(F254="","",D254-F254)</f>
        <v>21</v>
      </c>
      <c r="H254" s="21" t="n">
        <f aca="false">IF(F254="","",DATE(YEAR(D254),MONTH(D254),1))</f>
        <v>45931</v>
      </c>
    </row>
    <row r="255" customFormat="false" ht="15" hidden="false" customHeight="false" outlineLevel="0" collapsed="false">
      <c r="A255" s="16" t="str">
        <f aca="false">Payment_Log_AP!A252</f>
        <v>PAY40251</v>
      </c>
      <c r="B255" s="16" t="str">
        <f aca="false">Payment_Log_AP!C252</f>
        <v>V1004</v>
      </c>
      <c r="C255" s="16" t="str">
        <f aca="false">Payment_Log_AP!B252</f>
        <v>INV30286</v>
      </c>
      <c r="D255" s="17" t="n">
        <f aca="false">Payment_Log_AP!D252</f>
        <v>46093</v>
      </c>
      <c r="E255" s="18" t="n">
        <f aca="false">Payment_Log_AP!E252</f>
        <v>1424.85</v>
      </c>
      <c r="F255" s="17" t="n">
        <f aca="false">IFERROR(INDEX(Vendor_Invoices_AP!$D$2:$D$882,MATCH(C255,Vendor_Invoices_AP!$A$2:$A$882,0)),"")</f>
        <v>46085</v>
      </c>
      <c r="G255" s="16" t="n">
        <f aca="false">IF(F255="","",D255-F255)</f>
        <v>8</v>
      </c>
      <c r="H255" s="21" t="n">
        <f aca="false">IF(F255="","",DATE(YEAR(D255),MONTH(D255),1))</f>
        <v>46082</v>
      </c>
    </row>
    <row r="256" customFormat="false" ht="15" hidden="false" customHeight="false" outlineLevel="0" collapsed="false">
      <c r="A256" s="16" t="str">
        <f aca="false">Payment_Log_AP!A253</f>
        <v>PAY40252</v>
      </c>
      <c r="B256" s="16" t="str">
        <f aca="false">Payment_Log_AP!C253</f>
        <v>V1040</v>
      </c>
      <c r="C256" s="16" t="str">
        <f aca="false">Payment_Log_AP!B253</f>
        <v>INV30287</v>
      </c>
      <c r="D256" s="17" t="n">
        <f aca="false">Payment_Log_AP!D253</f>
        <v>45856</v>
      </c>
      <c r="E256" s="18" t="n">
        <f aca="false">Payment_Log_AP!E253</f>
        <v>643.44</v>
      </c>
      <c r="F256" s="17" t="n">
        <f aca="false">IFERROR(INDEX(Vendor_Invoices_AP!$D$2:$D$882,MATCH(C256,Vendor_Invoices_AP!$A$2:$A$882,0)),"")</f>
        <v>45853</v>
      </c>
      <c r="G256" s="16" t="n">
        <f aca="false">IF(F256="","",D256-F256)</f>
        <v>3</v>
      </c>
      <c r="H256" s="21" t="n">
        <f aca="false">IF(F256="","",DATE(YEAR(D256),MONTH(D256),1))</f>
        <v>45839</v>
      </c>
    </row>
    <row r="257" customFormat="false" ht="15" hidden="false" customHeight="false" outlineLevel="0" collapsed="false">
      <c r="A257" s="16" t="str">
        <f aca="false">Payment_Log_AP!A254</f>
        <v>PAY40253</v>
      </c>
      <c r="B257" s="16" t="str">
        <f aca="false">Payment_Log_AP!C254</f>
        <v>V1038</v>
      </c>
      <c r="C257" s="16" t="str">
        <f aca="false">Payment_Log_AP!B254</f>
        <v>INV30289</v>
      </c>
      <c r="D257" s="17" t="n">
        <f aca="false">Payment_Log_AP!D254</f>
        <v>45851</v>
      </c>
      <c r="E257" s="18" t="n">
        <f aca="false">Payment_Log_AP!E254</f>
        <v>289.77</v>
      </c>
      <c r="F257" s="17" t="n">
        <f aca="false">IFERROR(INDEX(Vendor_Invoices_AP!$D$2:$D$882,MATCH(C257,Vendor_Invoices_AP!$A$2:$A$882,0)),"")</f>
        <v>45830</v>
      </c>
      <c r="G257" s="16" t="n">
        <f aca="false">IF(F257="","",D257-F257)</f>
        <v>21</v>
      </c>
      <c r="H257" s="21" t="n">
        <f aca="false">IF(F257="","",DATE(YEAR(D257),MONTH(D257),1))</f>
        <v>45839</v>
      </c>
    </row>
    <row r="258" customFormat="false" ht="15" hidden="false" customHeight="false" outlineLevel="0" collapsed="false">
      <c r="A258" s="16" t="str">
        <f aca="false">Payment_Log_AP!A255</f>
        <v>PAY40254</v>
      </c>
      <c r="B258" s="16" t="str">
        <f aca="false">Payment_Log_AP!C255</f>
        <v>V1011</v>
      </c>
      <c r="C258" s="16" t="str">
        <f aca="false">Payment_Log_AP!B255</f>
        <v>INV30290</v>
      </c>
      <c r="D258" s="17" t="n">
        <f aca="false">Payment_Log_AP!D255</f>
        <v>45815</v>
      </c>
      <c r="E258" s="18" t="n">
        <f aca="false">Payment_Log_AP!E255</f>
        <v>325.7</v>
      </c>
      <c r="F258" s="17" t="n">
        <f aca="false">IFERROR(INDEX(Vendor_Invoices_AP!$D$2:$D$882,MATCH(C258,Vendor_Invoices_AP!$A$2:$A$882,0)),"")</f>
        <v>45813</v>
      </c>
      <c r="G258" s="16" t="n">
        <f aca="false">IF(F258="","",D258-F258)</f>
        <v>2</v>
      </c>
      <c r="H258" s="21" t="n">
        <f aca="false">IF(F258="","",DATE(YEAR(D258),MONTH(D258),1))</f>
        <v>45809</v>
      </c>
    </row>
    <row r="259" customFormat="false" ht="15" hidden="false" customHeight="false" outlineLevel="0" collapsed="false">
      <c r="A259" s="16" t="str">
        <f aca="false">Payment_Log_AP!A256</f>
        <v>PAY40255</v>
      </c>
      <c r="B259" s="16" t="str">
        <f aca="false">Payment_Log_AP!C256</f>
        <v>V1031</v>
      </c>
      <c r="C259" s="16" t="str">
        <f aca="false">Payment_Log_AP!B256</f>
        <v>INV30291</v>
      </c>
      <c r="D259" s="17" t="n">
        <f aca="false">Payment_Log_AP!D256</f>
        <v>45734</v>
      </c>
      <c r="E259" s="18" t="n">
        <f aca="false">Payment_Log_AP!E256</f>
        <v>8611.23</v>
      </c>
      <c r="F259" s="17" t="n">
        <f aca="false">IFERROR(INDEX(Vendor_Invoices_AP!$D$2:$D$882,MATCH(C259,Vendor_Invoices_AP!$A$2:$A$882,0)),"")</f>
        <v>45729</v>
      </c>
      <c r="G259" s="16" t="n">
        <f aca="false">IF(F259="","",D259-F259)</f>
        <v>5</v>
      </c>
      <c r="H259" s="21" t="n">
        <f aca="false">IF(F259="","",DATE(YEAR(D259),MONTH(D259),1))</f>
        <v>45717</v>
      </c>
    </row>
    <row r="260" customFormat="false" ht="15" hidden="false" customHeight="false" outlineLevel="0" collapsed="false">
      <c r="A260" s="16" t="str">
        <f aca="false">Payment_Log_AP!A257</f>
        <v>PAY40256</v>
      </c>
      <c r="B260" s="16" t="str">
        <f aca="false">Payment_Log_AP!C257</f>
        <v>V1005</v>
      </c>
      <c r="C260" s="16" t="str">
        <f aca="false">Payment_Log_AP!B257</f>
        <v>INV30292</v>
      </c>
      <c r="D260" s="17" t="n">
        <f aca="false">Payment_Log_AP!D257</f>
        <v>45781</v>
      </c>
      <c r="E260" s="18" t="n">
        <f aca="false">Payment_Log_AP!E257</f>
        <v>1496.91</v>
      </c>
      <c r="F260" s="17" t="n">
        <f aca="false">IFERROR(INDEX(Vendor_Invoices_AP!$D$2:$D$882,MATCH(C260,Vendor_Invoices_AP!$A$2:$A$882,0)),"")</f>
        <v>45776</v>
      </c>
      <c r="G260" s="16" t="n">
        <f aca="false">IF(F260="","",D260-F260)</f>
        <v>5</v>
      </c>
      <c r="H260" s="21" t="n">
        <f aca="false">IF(F260="","",DATE(YEAR(D260),MONTH(D260),1))</f>
        <v>45778</v>
      </c>
    </row>
    <row r="261" customFormat="false" ht="15" hidden="false" customHeight="false" outlineLevel="0" collapsed="false">
      <c r="A261" s="16" t="str">
        <f aca="false">Payment_Log_AP!A258</f>
        <v>PAY40257</v>
      </c>
      <c r="B261" s="16" t="str">
        <f aca="false">Payment_Log_AP!C258</f>
        <v>V1031</v>
      </c>
      <c r="C261" s="16" t="str">
        <f aca="false">Payment_Log_AP!B258</f>
        <v>INV30293</v>
      </c>
      <c r="D261" s="17" t="n">
        <f aca="false">Payment_Log_AP!D258</f>
        <v>45746</v>
      </c>
      <c r="E261" s="18" t="n">
        <f aca="false">Payment_Log_AP!E258</f>
        <v>6053.15</v>
      </c>
      <c r="F261" s="17" t="n">
        <f aca="false">IFERROR(INDEX(Vendor_Invoices_AP!$D$2:$D$882,MATCH(C261,Vendor_Invoices_AP!$A$2:$A$882,0)),"")</f>
        <v>45744</v>
      </c>
      <c r="G261" s="16" t="n">
        <f aca="false">IF(F261="","",D261-F261)</f>
        <v>2</v>
      </c>
      <c r="H261" s="21" t="n">
        <f aca="false">IF(F261="","",DATE(YEAR(D261),MONTH(D261),1))</f>
        <v>45717</v>
      </c>
    </row>
    <row r="262" customFormat="false" ht="15" hidden="false" customHeight="false" outlineLevel="0" collapsed="false">
      <c r="A262" s="16" t="str">
        <f aca="false">Payment_Log_AP!A259</f>
        <v>PAY40258</v>
      </c>
      <c r="B262" s="16" t="str">
        <f aca="false">Payment_Log_AP!C259</f>
        <v>V1035</v>
      </c>
      <c r="C262" s="16" t="str">
        <f aca="false">Payment_Log_AP!B259</f>
        <v>INV30294</v>
      </c>
      <c r="D262" s="17" t="n">
        <f aca="false">Payment_Log_AP!D259</f>
        <v>45990</v>
      </c>
      <c r="E262" s="18" t="n">
        <f aca="false">Payment_Log_AP!E259</f>
        <v>3104.44</v>
      </c>
      <c r="F262" s="17" t="n">
        <f aca="false">IFERROR(INDEX(Vendor_Invoices_AP!$D$2:$D$882,MATCH(C262,Vendor_Invoices_AP!$A$2:$A$882,0)),"")</f>
        <v>45959</v>
      </c>
      <c r="G262" s="16" t="n">
        <f aca="false">IF(F262="","",D262-F262)</f>
        <v>31</v>
      </c>
      <c r="H262" s="21" t="n">
        <f aca="false">IF(F262="","",DATE(YEAR(D262),MONTH(D262),1))</f>
        <v>45962</v>
      </c>
    </row>
    <row r="263" customFormat="false" ht="15" hidden="false" customHeight="false" outlineLevel="0" collapsed="false">
      <c r="A263" s="16" t="str">
        <f aca="false">Payment_Log_AP!A260</f>
        <v>PAY40259</v>
      </c>
      <c r="B263" s="16" t="str">
        <f aca="false">Payment_Log_AP!C260</f>
        <v>V1029</v>
      </c>
      <c r="C263" s="16" t="str">
        <f aca="false">Payment_Log_AP!B260</f>
        <v>INV30295</v>
      </c>
      <c r="D263" s="17" t="n">
        <f aca="false">Payment_Log_AP!D260</f>
        <v>46107</v>
      </c>
      <c r="E263" s="18" t="n">
        <f aca="false">Payment_Log_AP!E260</f>
        <v>1405.31</v>
      </c>
      <c r="F263" s="17" t="n">
        <f aca="false">IFERROR(INDEX(Vendor_Invoices_AP!$D$2:$D$882,MATCH(C263,Vendor_Invoices_AP!$A$2:$A$882,0)),"")</f>
        <v>46085</v>
      </c>
      <c r="G263" s="16" t="n">
        <f aca="false">IF(F263="","",D263-F263)</f>
        <v>22</v>
      </c>
      <c r="H263" s="21" t="n">
        <f aca="false">IF(F263="","",DATE(YEAR(D263),MONTH(D263),1))</f>
        <v>46082</v>
      </c>
    </row>
    <row r="264" customFormat="false" ht="15" hidden="false" customHeight="false" outlineLevel="0" collapsed="false">
      <c r="A264" s="16" t="str">
        <f aca="false">Payment_Log_AP!A261</f>
        <v>PAY40260</v>
      </c>
      <c r="B264" s="16" t="str">
        <f aca="false">Payment_Log_AP!C261</f>
        <v>V1026</v>
      </c>
      <c r="C264" s="16" t="str">
        <f aca="false">Payment_Log_AP!B261</f>
        <v>INV30296</v>
      </c>
      <c r="D264" s="17" t="n">
        <f aca="false">Payment_Log_AP!D261</f>
        <v>45792</v>
      </c>
      <c r="E264" s="18" t="n">
        <f aca="false">Payment_Log_AP!E261</f>
        <v>3241.37</v>
      </c>
      <c r="F264" s="17" t="n">
        <f aca="false">IFERROR(INDEX(Vendor_Invoices_AP!$D$2:$D$882,MATCH(C264,Vendor_Invoices_AP!$A$2:$A$882,0)),"")</f>
        <v>45763</v>
      </c>
      <c r="G264" s="16" t="n">
        <f aca="false">IF(F264="","",D264-F264)</f>
        <v>29</v>
      </c>
      <c r="H264" s="21" t="n">
        <f aca="false">IF(F264="","",DATE(YEAR(D264),MONTH(D264),1))</f>
        <v>45778</v>
      </c>
    </row>
    <row r="265" customFormat="false" ht="15" hidden="false" customHeight="false" outlineLevel="0" collapsed="false">
      <c r="A265" s="16" t="str">
        <f aca="false">Payment_Log_AP!A262</f>
        <v>PAY40261</v>
      </c>
      <c r="B265" s="16" t="str">
        <f aca="false">Payment_Log_AP!C262</f>
        <v>V1036</v>
      </c>
      <c r="C265" s="16" t="str">
        <f aca="false">Payment_Log_AP!B262</f>
        <v>INV30297</v>
      </c>
      <c r="D265" s="17" t="n">
        <f aca="false">Payment_Log_AP!D262</f>
        <v>45794</v>
      </c>
      <c r="E265" s="18" t="n">
        <f aca="false">Payment_Log_AP!E262</f>
        <v>871.5</v>
      </c>
      <c r="F265" s="17" t="n">
        <f aca="false">IFERROR(INDEX(Vendor_Invoices_AP!$D$2:$D$882,MATCH(C265,Vendor_Invoices_AP!$A$2:$A$882,0)),"")</f>
        <v>45788</v>
      </c>
      <c r="G265" s="16" t="n">
        <f aca="false">IF(F265="","",D265-F265)</f>
        <v>6</v>
      </c>
      <c r="H265" s="21" t="n">
        <f aca="false">IF(F265="","",DATE(YEAR(D265),MONTH(D265),1))</f>
        <v>45778</v>
      </c>
    </row>
    <row r="266" customFormat="false" ht="15" hidden="false" customHeight="false" outlineLevel="0" collapsed="false">
      <c r="A266" s="16" t="str">
        <f aca="false">Payment_Log_AP!A263</f>
        <v>PAY40262</v>
      </c>
      <c r="B266" s="16" t="str">
        <f aca="false">Payment_Log_AP!C263</f>
        <v>V1019</v>
      </c>
      <c r="C266" s="16" t="str">
        <f aca="false">Payment_Log_AP!B263</f>
        <v>INV30298</v>
      </c>
      <c r="D266" s="17" t="n">
        <f aca="false">Payment_Log_AP!D263</f>
        <v>45948</v>
      </c>
      <c r="E266" s="18" t="n">
        <f aca="false">Payment_Log_AP!E263</f>
        <v>651.66</v>
      </c>
      <c r="F266" s="17" t="n">
        <f aca="false">IFERROR(INDEX(Vendor_Invoices_AP!$D$2:$D$882,MATCH(C266,Vendor_Invoices_AP!$A$2:$A$882,0)),"")</f>
        <v>45943</v>
      </c>
      <c r="G266" s="16" t="n">
        <f aca="false">IF(F266="","",D266-F266)</f>
        <v>5</v>
      </c>
      <c r="H266" s="21" t="n">
        <f aca="false">IF(F266="","",DATE(YEAR(D266),MONTH(D266),1))</f>
        <v>45931</v>
      </c>
    </row>
    <row r="267" customFormat="false" ht="15" hidden="false" customHeight="false" outlineLevel="0" collapsed="false">
      <c r="A267" s="16" t="str">
        <f aca="false">Payment_Log_AP!A264</f>
        <v>PAY40263</v>
      </c>
      <c r="B267" s="16" t="str">
        <f aca="false">Payment_Log_AP!C264</f>
        <v>V1027</v>
      </c>
      <c r="C267" s="16" t="str">
        <f aca="false">Payment_Log_AP!B264</f>
        <v>INV30299</v>
      </c>
      <c r="D267" s="17" t="n">
        <f aca="false">Payment_Log_AP!D264</f>
        <v>46077</v>
      </c>
      <c r="E267" s="18" t="n">
        <f aca="false">Payment_Log_AP!E264</f>
        <v>2962.24</v>
      </c>
      <c r="F267" s="17" t="n">
        <f aca="false">IFERROR(INDEX(Vendor_Invoices_AP!$D$2:$D$882,MATCH(C267,Vendor_Invoices_AP!$A$2:$A$882,0)),"")</f>
        <v>46073</v>
      </c>
      <c r="G267" s="16" t="n">
        <f aca="false">IF(F267="","",D267-F267)</f>
        <v>4</v>
      </c>
      <c r="H267" s="21" t="n">
        <f aca="false">IF(F267="","",DATE(YEAR(D267),MONTH(D267),1))</f>
        <v>46054</v>
      </c>
    </row>
    <row r="268" customFormat="false" ht="15" hidden="false" customHeight="false" outlineLevel="0" collapsed="false">
      <c r="A268" s="16" t="str">
        <f aca="false">Payment_Log_AP!A265</f>
        <v>PAY40264</v>
      </c>
      <c r="B268" s="16" t="str">
        <f aca="false">Payment_Log_AP!C265</f>
        <v>V1022</v>
      </c>
      <c r="C268" s="16" t="str">
        <f aca="false">Payment_Log_AP!B265</f>
        <v>INV30301</v>
      </c>
      <c r="D268" s="17" t="n">
        <f aca="false">Payment_Log_AP!D265</f>
        <v>45956</v>
      </c>
      <c r="E268" s="18" t="n">
        <f aca="false">Payment_Log_AP!E265</f>
        <v>7560.72</v>
      </c>
      <c r="F268" s="17" t="n">
        <f aca="false">IFERROR(INDEX(Vendor_Invoices_AP!$D$2:$D$882,MATCH(C268,Vendor_Invoices_AP!$A$2:$A$882,0)),"")</f>
        <v>45952</v>
      </c>
      <c r="G268" s="16" t="n">
        <f aca="false">IF(F268="","",D268-F268)</f>
        <v>4</v>
      </c>
      <c r="H268" s="21" t="n">
        <f aca="false">IF(F268="","",DATE(YEAR(D268),MONTH(D268),1))</f>
        <v>45931</v>
      </c>
    </row>
    <row r="269" customFormat="false" ht="15" hidden="false" customHeight="false" outlineLevel="0" collapsed="false">
      <c r="A269" s="16" t="str">
        <f aca="false">Payment_Log_AP!A266</f>
        <v>PAY40265</v>
      </c>
      <c r="B269" s="16" t="str">
        <f aca="false">Payment_Log_AP!C266</f>
        <v>V1032</v>
      </c>
      <c r="C269" s="16" t="str">
        <f aca="false">Payment_Log_AP!B266</f>
        <v>INV30302</v>
      </c>
      <c r="D269" s="17" t="n">
        <f aca="false">Payment_Log_AP!D266</f>
        <v>45864</v>
      </c>
      <c r="E269" s="18" t="n">
        <f aca="false">Payment_Log_AP!E266</f>
        <v>2957.14</v>
      </c>
      <c r="F269" s="17" t="n">
        <f aca="false">IFERROR(INDEX(Vendor_Invoices_AP!$D$2:$D$882,MATCH(C269,Vendor_Invoices_AP!$A$2:$A$882,0)),"")</f>
        <v>45837</v>
      </c>
      <c r="G269" s="16" t="n">
        <f aca="false">IF(F269="","",D269-F269)</f>
        <v>27</v>
      </c>
      <c r="H269" s="21" t="n">
        <f aca="false">IF(F269="","",DATE(YEAR(D269),MONTH(D269),1))</f>
        <v>45839</v>
      </c>
    </row>
    <row r="270" customFormat="false" ht="15" hidden="false" customHeight="false" outlineLevel="0" collapsed="false">
      <c r="A270" s="16" t="str">
        <f aca="false">Payment_Log_AP!A267</f>
        <v>PAY40266</v>
      </c>
      <c r="B270" s="16" t="str">
        <f aca="false">Payment_Log_AP!C267</f>
        <v>V1023</v>
      </c>
      <c r="C270" s="16" t="str">
        <f aca="false">Payment_Log_AP!B267</f>
        <v>INV30303</v>
      </c>
      <c r="D270" s="17" t="n">
        <f aca="false">Payment_Log_AP!D267</f>
        <v>45716</v>
      </c>
      <c r="E270" s="18" t="n">
        <f aca="false">Payment_Log_AP!E267</f>
        <v>1792.24</v>
      </c>
      <c r="F270" s="17" t="n">
        <f aca="false">IFERROR(INDEX(Vendor_Invoices_AP!$D$2:$D$882,MATCH(C270,Vendor_Invoices_AP!$A$2:$A$882,0)),"")</f>
        <v>45715</v>
      </c>
      <c r="G270" s="16" t="n">
        <f aca="false">IF(F270="","",D270-F270)</f>
        <v>1</v>
      </c>
      <c r="H270" s="21" t="n">
        <f aca="false">IF(F270="","",DATE(YEAR(D270),MONTH(D270),1))</f>
        <v>45689</v>
      </c>
    </row>
    <row r="271" customFormat="false" ht="15" hidden="false" customHeight="false" outlineLevel="0" collapsed="false">
      <c r="A271" s="16" t="str">
        <f aca="false">Payment_Log_AP!A268</f>
        <v>PAY40267</v>
      </c>
      <c r="B271" s="16" t="str">
        <f aca="false">Payment_Log_AP!C268</f>
        <v>V1034</v>
      </c>
      <c r="C271" s="16" t="str">
        <f aca="false">Payment_Log_AP!B268</f>
        <v>INV30304</v>
      </c>
      <c r="D271" s="17" t="n">
        <f aca="false">Payment_Log_AP!D268</f>
        <v>45776</v>
      </c>
      <c r="E271" s="18" t="n">
        <f aca="false">Payment_Log_AP!E268</f>
        <v>3587.55</v>
      </c>
      <c r="F271" s="17" t="n">
        <f aca="false">IFERROR(INDEX(Vendor_Invoices_AP!$D$2:$D$882,MATCH(C271,Vendor_Invoices_AP!$A$2:$A$882,0)),"")</f>
        <v>45769</v>
      </c>
      <c r="G271" s="16" t="n">
        <f aca="false">IF(F271="","",D271-F271)</f>
        <v>7</v>
      </c>
      <c r="H271" s="21" t="n">
        <f aca="false">IF(F271="","",DATE(YEAR(D271),MONTH(D271),1))</f>
        <v>45748</v>
      </c>
    </row>
    <row r="272" customFormat="false" ht="15" hidden="false" customHeight="false" outlineLevel="0" collapsed="false">
      <c r="A272" s="16" t="str">
        <f aca="false">Payment_Log_AP!A269</f>
        <v>PAY40268</v>
      </c>
      <c r="B272" s="16" t="str">
        <f aca="false">Payment_Log_AP!C269</f>
        <v>V1027</v>
      </c>
      <c r="C272" s="16" t="str">
        <f aca="false">Payment_Log_AP!B269</f>
        <v>INV30305</v>
      </c>
      <c r="D272" s="17" t="n">
        <f aca="false">Payment_Log_AP!D269</f>
        <v>45785</v>
      </c>
      <c r="E272" s="18" t="n">
        <f aca="false">Payment_Log_AP!E269</f>
        <v>13244.8</v>
      </c>
      <c r="F272" s="17" t="n">
        <f aca="false">IFERROR(INDEX(Vendor_Invoices_AP!$D$2:$D$882,MATCH(C272,Vendor_Invoices_AP!$A$2:$A$882,0)),"")</f>
        <v>45783</v>
      </c>
      <c r="G272" s="16" t="n">
        <f aca="false">IF(F272="","",D272-F272)</f>
        <v>2</v>
      </c>
      <c r="H272" s="21" t="n">
        <f aca="false">IF(F272="","",DATE(YEAR(D272),MONTH(D272),1))</f>
        <v>45778</v>
      </c>
    </row>
    <row r="273" customFormat="false" ht="15" hidden="false" customHeight="false" outlineLevel="0" collapsed="false">
      <c r="A273" s="16" t="str">
        <f aca="false">Payment_Log_AP!A270</f>
        <v>PAY40269</v>
      </c>
      <c r="B273" s="16" t="str">
        <f aca="false">Payment_Log_AP!C270</f>
        <v>V1035</v>
      </c>
      <c r="C273" s="16" t="str">
        <f aca="false">Payment_Log_AP!B270</f>
        <v>INV30306</v>
      </c>
      <c r="D273" s="17" t="n">
        <f aca="false">Payment_Log_AP!D270</f>
        <v>45773</v>
      </c>
      <c r="E273" s="18" t="n">
        <f aca="false">Payment_Log_AP!E270</f>
        <v>810.36</v>
      </c>
      <c r="F273" s="17" t="n">
        <f aca="false">IFERROR(INDEX(Vendor_Invoices_AP!$D$2:$D$882,MATCH(C273,Vendor_Invoices_AP!$A$2:$A$882,0)),"")</f>
        <v>45766</v>
      </c>
      <c r="G273" s="16" t="n">
        <f aca="false">IF(F273="","",D273-F273)</f>
        <v>7</v>
      </c>
      <c r="H273" s="21" t="n">
        <f aca="false">IF(F273="","",DATE(YEAR(D273),MONTH(D273),1))</f>
        <v>45748</v>
      </c>
    </row>
    <row r="274" customFormat="false" ht="15" hidden="false" customHeight="false" outlineLevel="0" collapsed="false">
      <c r="A274" s="16" t="str">
        <f aca="false">Payment_Log_AP!A271</f>
        <v>PAY40270</v>
      </c>
      <c r="B274" s="16" t="str">
        <f aca="false">Payment_Log_AP!C271</f>
        <v>V1035</v>
      </c>
      <c r="C274" s="16" t="str">
        <f aca="false">Payment_Log_AP!B271</f>
        <v>INV30306</v>
      </c>
      <c r="D274" s="17" t="n">
        <f aca="false">Payment_Log_AP!D271</f>
        <v>45775</v>
      </c>
      <c r="E274" s="18" t="n">
        <f aca="false">Payment_Log_AP!E271</f>
        <v>810.36</v>
      </c>
      <c r="F274" s="17" t="n">
        <f aca="false">IFERROR(INDEX(Vendor_Invoices_AP!$D$2:$D$882,MATCH(C274,Vendor_Invoices_AP!$A$2:$A$882,0)),"")</f>
        <v>45766</v>
      </c>
      <c r="G274" s="16" t="n">
        <f aca="false">IF(F274="","",D274-F274)</f>
        <v>9</v>
      </c>
      <c r="H274" s="21" t="n">
        <f aca="false">IF(F274="","",DATE(YEAR(D274),MONTH(D274),1))</f>
        <v>45748</v>
      </c>
    </row>
    <row r="275" customFormat="false" ht="15" hidden="false" customHeight="false" outlineLevel="0" collapsed="false">
      <c r="A275" s="16" t="str">
        <f aca="false">Payment_Log_AP!A272</f>
        <v>PAY40271</v>
      </c>
      <c r="B275" s="16" t="str">
        <f aca="false">Payment_Log_AP!C272</f>
        <v>V1009</v>
      </c>
      <c r="C275" s="16" t="str">
        <f aca="false">Payment_Log_AP!B272</f>
        <v>INV30308</v>
      </c>
      <c r="D275" s="17" t="n">
        <f aca="false">Payment_Log_AP!D272</f>
        <v>45706</v>
      </c>
      <c r="E275" s="18" t="n">
        <f aca="false">Payment_Log_AP!E272</f>
        <v>256.08</v>
      </c>
      <c r="F275" s="17" t="n">
        <f aca="false">IFERROR(INDEX(Vendor_Invoices_AP!$D$2:$D$882,MATCH(C275,Vendor_Invoices_AP!$A$2:$A$882,0)),"")</f>
        <v>45673</v>
      </c>
      <c r="G275" s="16" t="n">
        <f aca="false">IF(F275="","",D275-F275)</f>
        <v>33</v>
      </c>
      <c r="H275" s="21" t="n">
        <f aca="false">IF(F275="","",DATE(YEAR(D275),MONTH(D275),1))</f>
        <v>45689</v>
      </c>
    </row>
    <row r="276" customFormat="false" ht="15" hidden="false" customHeight="false" outlineLevel="0" collapsed="false">
      <c r="A276" s="16" t="str">
        <f aca="false">Payment_Log_AP!A273</f>
        <v>PAY40272</v>
      </c>
      <c r="B276" s="16" t="str">
        <f aca="false">Payment_Log_AP!C273</f>
        <v>V1010</v>
      </c>
      <c r="C276" s="16" t="str">
        <f aca="false">Payment_Log_AP!B273</f>
        <v>INV30309</v>
      </c>
      <c r="D276" s="17" t="n">
        <f aca="false">Payment_Log_AP!D273</f>
        <v>45988</v>
      </c>
      <c r="E276" s="18" t="n">
        <f aca="false">Payment_Log_AP!E273</f>
        <v>8486.94</v>
      </c>
      <c r="F276" s="17" t="n">
        <f aca="false">IFERROR(INDEX(Vendor_Invoices_AP!$D$2:$D$882,MATCH(C276,Vendor_Invoices_AP!$A$2:$A$882,0)),"")</f>
        <v>45959</v>
      </c>
      <c r="G276" s="16" t="n">
        <f aca="false">IF(F276="","",D276-F276)</f>
        <v>29</v>
      </c>
      <c r="H276" s="21" t="n">
        <f aca="false">IF(F276="","",DATE(YEAR(D276),MONTH(D276),1))</f>
        <v>45962</v>
      </c>
    </row>
    <row r="277" customFormat="false" ht="15" hidden="false" customHeight="false" outlineLevel="0" collapsed="false">
      <c r="A277" s="16" t="str">
        <f aca="false">Payment_Log_AP!A274</f>
        <v>PAY40273</v>
      </c>
      <c r="B277" s="16" t="str">
        <f aca="false">Payment_Log_AP!C274</f>
        <v>V1013</v>
      </c>
      <c r="C277" s="16" t="str">
        <f aca="false">Payment_Log_AP!B274</f>
        <v>INV30310</v>
      </c>
      <c r="D277" s="17" t="n">
        <f aca="false">Payment_Log_AP!D274</f>
        <v>45817</v>
      </c>
      <c r="E277" s="18" t="n">
        <f aca="false">Payment_Log_AP!E274</f>
        <v>3079.87</v>
      </c>
      <c r="F277" s="17" t="n">
        <f aca="false">IFERROR(INDEX(Vendor_Invoices_AP!$D$2:$D$882,MATCH(C277,Vendor_Invoices_AP!$A$2:$A$882,0)),"")</f>
        <v>45813</v>
      </c>
      <c r="G277" s="16" t="n">
        <f aca="false">IF(F277="","",D277-F277)</f>
        <v>4</v>
      </c>
      <c r="H277" s="21" t="n">
        <f aca="false">IF(F277="","",DATE(YEAR(D277),MONTH(D277),1))</f>
        <v>45809</v>
      </c>
    </row>
    <row r="278" customFormat="false" ht="15" hidden="false" customHeight="false" outlineLevel="0" collapsed="false">
      <c r="A278" s="16" t="str">
        <f aca="false">Payment_Log_AP!A275</f>
        <v>PAY40274</v>
      </c>
      <c r="B278" s="16" t="str">
        <f aca="false">Payment_Log_AP!C275</f>
        <v>V1037</v>
      </c>
      <c r="C278" s="16" t="str">
        <f aca="false">Payment_Log_AP!B275</f>
        <v>INV30312</v>
      </c>
      <c r="D278" s="17" t="n">
        <f aca="false">Payment_Log_AP!D275</f>
        <v>45997</v>
      </c>
      <c r="E278" s="18" t="n">
        <f aca="false">Payment_Log_AP!E275</f>
        <v>4491.48</v>
      </c>
      <c r="F278" s="17" t="n">
        <f aca="false">IFERROR(INDEX(Vendor_Invoices_AP!$D$2:$D$882,MATCH(C278,Vendor_Invoices_AP!$A$2:$A$882,0)),"")</f>
        <v>45962</v>
      </c>
      <c r="G278" s="16" t="n">
        <f aca="false">IF(F278="","",D278-F278)</f>
        <v>35</v>
      </c>
      <c r="H278" s="21" t="n">
        <f aca="false">IF(F278="","",DATE(YEAR(D278),MONTH(D278),1))</f>
        <v>45992</v>
      </c>
    </row>
    <row r="279" customFormat="false" ht="15" hidden="false" customHeight="false" outlineLevel="0" collapsed="false">
      <c r="A279" s="16" t="str">
        <f aca="false">Payment_Log_AP!A276</f>
        <v>PAY40275</v>
      </c>
      <c r="B279" s="16" t="str">
        <f aca="false">Payment_Log_AP!C276</f>
        <v>V1005</v>
      </c>
      <c r="C279" s="16" t="str">
        <f aca="false">Payment_Log_AP!B276</f>
        <v>INV30313</v>
      </c>
      <c r="D279" s="17" t="n">
        <f aca="false">Payment_Log_AP!D276</f>
        <v>46068</v>
      </c>
      <c r="E279" s="18" t="n">
        <f aca="false">Payment_Log_AP!E276</f>
        <v>1494.98</v>
      </c>
      <c r="F279" s="17" t="n">
        <f aca="false">IFERROR(INDEX(Vendor_Invoices_AP!$D$2:$D$882,MATCH(C279,Vendor_Invoices_AP!$A$2:$A$882,0)),"")</f>
        <v>46046</v>
      </c>
      <c r="G279" s="16" t="n">
        <f aca="false">IF(F279="","",D279-F279)</f>
        <v>22</v>
      </c>
      <c r="H279" s="21" t="n">
        <f aca="false">IF(F279="","",DATE(YEAR(D279),MONTH(D279),1))</f>
        <v>46054</v>
      </c>
    </row>
    <row r="280" customFormat="false" ht="15" hidden="false" customHeight="false" outlineLevel="0" collapsed="false">
      <c r="A280" s="16" t="str">
        <f aca="false">Payment_Log_AP!A277</f>
        <v>PAY40276</v>
      </c>
      <c r="B280" s="16" t="str">
        <f aca="false">Payment_Log_AP!C277</f>
        <v>V1033</v>
      </c>
      <c r="C280" s="16" t="str">
        <f aca="false">Payment_Log_AP!B277</f>
        <v>INV30314</v>
      </c>
      <c r="D280" s="17" t="n">
        <f aca="false">Payment_Log_AP!D277</f>
        <v>45739</v>
      </c>
      <c r="E280" s="18" t="n">
        <f aca="false">Payment_Log_AP!E277</f>
        <v>1119.52</v>
      </c>
      <c r="F280" s="17" t="n">
        <f aca="false">IFERROR(INDEX(Vendor_Invoices_AP!$D$2:$D$882,MATCH(C280,Vendor_Invoices_AP!$A$2:$A$882,0)),"")</f>
        <v>45729</v>
      </c>
      <c r="G280" s="16" t="n">
        <f aca="false">IF(F280="","",D280-F280)</f>
        <v>10</v>
      </c>
      <c r="H280" s="21" t="n">
        <f aca="false">IF(F280="","",DATE(YEAR(D280),MONTH(D280),1))</f>
        <v>45717</v>
      </c>
    </row>
    <row r="281" customFormat="false" ht="15" hidden="false" customHeight="false" outlineLevel="0" collapsed="false">
      <c r="A281" s="16" t="str">
        <f aca="false">Payment_Log_AP!A278</f>
        <v>PAY40277</v>
      </c>
      <c r="B281" s="16" t="str">
        <f aca="false">Payment_Log_AP!C278</f>
        <v>V1006</v>
      </c>
      <c r="C281" s="16" t="str">
        <f aca="false">Payment_Log_AP!B278</f>
        <v>INV30315</v>
      </c>
      <c r="D281" s="17" t="n">
        <f aca="false">Payment_Log_AP!D278</f>
        <v>46139</v>
      </c>
      <c r="E281" s="18" t="n">
        <f aca="false">Payment_Log_AP!E278</f>
        <v>531.72</v>
      </c>
      <c r="F281" s="17" t="n">
        <f aca="false">IFERROR(INDEX(Vendor_Invoices_AP!$D$2:$D$882,MATCH(C281,Vendor_Invoices_AP!$A$2:$A$882,0)),"")</f>
        <v>46135</v>
      </c>
      <c r="G281" s="16" t="n">
        <f aca="false">IF(F281="","",D281-F281)</f>
        <v>4</v>
      </c>
      <c r="H281" s="21" t="n">
        <f aca="false">IF(F281="","",DATE(YEAR(D281),MONTH(D281),1))</f>
        <v>46113</v>
      </c>
    </row>
    <row r="282" customFormat="false" ht="15" hidden="false" customHeight="false" outlineLevel="0" collapsed="false">
      <c r="A282" s="16" t="str">
        <f aca="false">Payment_Log_AP!A279</f>
        <v>PAY40278</v>
      </c>
      <c r="B282" s="16" t="str">
        <f aca="false">Payment_Log_AP!C279</f>
        <v>V1019</v>
      </c>
      <c r="C282" s="16" t="str">
        <f aca="false">Payment_Log_AP!B279</f>
        <v>INV30317</v>
      </c>
      <c r="D282" s="17" t="n">
        <f aca="false">Payment_Log_AP!D279</f>
        <v>46157</v>
      </c>
      <c r="E282" s="18" t="n">
        <f aca="false">Payment_Log_AP!E279</f>
        <v>6043.12</v>
      </c>
      <c r="F282" s="17" t="n">
        <f aca="false">IFERROR(INDEX(Vendor_Invoices_AP!$D$2:$D$882,MATCH(C282,Vendor_Invoices_AP!$A$2:$A$882,0)),"")</f>
        <v>46144</v>
      </c>
      <c r="G282" s="16" t="n">
        <f aca="false">IF(F282="","",D282-F282)</f>
        <v>13</v>
      </c>
      <c r="H282" s="21" t="n">
        <f aca="false">IF(F282="","",DATE(YEAR(D282),MONTH(D282),1))</f>
        <v>46143</v>
      </c>
    </row>
    <row r="283" customFormat="false" ht="15" hidden="false" customHeight="false" outlineLevel="0" collapsed="false">
      <c r="A283" s="16" t="str">
        <f aca="false">Payment_Log_AP!A280</f>
        <v>PAY40279</v>
      </c>
      <c r="B283" s="16" t="str">
        <f aca="false">Payment_Log_AP!C280</f>
        <v>V1014</v>
      </c>
      <c r="C283" s="16" t="str">
        <f aca="false">Payment_Log_AP!B280</f>
        <v>INV30318</v>
      </c>
      <c r="D283" s="17" t="n">
        <f aca="false">Payment_Log_AP!D280</f>
        <v>46009</v>
      </c>
      <c r="E283" s="18" t="n">
        <f aca="false">Payment_Log_AP!E280</f>
        <v>1017.03</v>
      </c>
      <c r="F283" s="17" t="n">
        <f aca="false">IFERROR(INDEX(Vendor_Invoices_AP!$D$2:$D$882,MATCH(C283,Vendor_Invoices_AP!$A$2:$A$882,0)),"")</f>
        <v>45979</v>
      </c>
      <c r="G283" s="16" t="n">
        <f aca="false">IF(F283="","",D283-F283)</f>
        <v>30</v>
      </c>
      <c r="H283" s="21" t="n">
        <f aca="false">IF(F283="","",DATE(YEAR(D283),MONTH(D283),1))</f>
        <v>45992</v>
      </c>
    </row>
    <row r="284" customFormat="false" ht="15" hidden="false" customHeight="false" outlineLevel="0" collapsed="false">
      <c r="A284" s="16" t="str">
        <f aca="false">Payment_Log_AP!A281</f>
        <v>PAY40280</v>
      </c>
      <c r="B284" s="16" t="str">
        <f aca="false">Payment_Log_AP!C281</f>
        <v>V1017</v>
      </c>
      <c r="C284" s="16" t="str">
        <f aca="false">Payment_Log_AP!B281</f>
        <v>INV30319</v>
      </c>
      <c r="D284" s="17" t="n">
        <f aca="false">Payment_Log_AP!D281</f>
        <v>45959</v>
      </c>
      <c r="E284" s="18" t="n">
        <f aca="false">Payment_Log_AP!E281</f>
        <v>33982.32</v>
      </c>
      <c r="F284" s="17" t="n">
        <f aca="false">IFERROR(INDEX(Vendor_Invoices_AP!$D$2:$D$882,MATCH(C284,Vendor_Invoices_AP!$A$2:$A$882,0)),"")</f>
        <v>45937</v>
      </c>
      <c r="G284" s="16" t="n">
        <f aca="false">IF(F284="","",D284-F284)</f>
        <v>22</v>
      </c>
      <c r="H284" s="21" t="n">
        <f aca="false">IF(F284="","",DATE(YEAR(D284),MONTH(D284),1))</f>
        <v>45931</v>
      </c>
    </row>
    <row r="285" customFormat="false" ht="15" hidden="false" customHeight="false" outlineLevel="0" collapsed="false">
      <c r="A285" s="16" t="str">
        <f aca="false">Payment_Log_AP!A282</f>
        <v>PAY40281</v>
      </c>
      <c r="B285" s="16" t="str">
        <f aca="false">Payment_Log_AP!C282</f>
        <v>V1026</v>
      </c>
      <c r="C285" s="16" t="str">
        <f aca="false">Payment_Log_AP!B282</f>
        <v>INV30320</v>
      </c>
      <c r="D285" s="17" t="n">
        <f aca="false">Payment_Log_AP!D282</f>
        <v>45949</v>
      </c>
      <c r="E285" s="18" t="n">
        <f aca="false">Payment_Log_AP!E282</f>
        <v>2011.97</v>
      </c>
      <c r="F285" s="17" t="n">
        <f aca="false">IFERROR(INDEX(Vendor_Invoices_AP!$D$2:$D$882,MATCH(C285,Vendor_Invoices_AP!$A$2:$A$882,0)),"")</f>
        <v>45919</v>
      </c>
      <c r="G285" s="16" t="n">
        <f aca="false">IF(F285="","",D285-F285)</f>
        <v>30</v>
      </c>
      <c r="H285" s="21" t="n">
        <f aca="false">IF(F285="","",DATE(YEAR(D285),MONTH(D285),1))</f>
        <v>45931</v>
      </c>
    </row>
    <row r="286" customFormat="false" ht="15" hidden="false" customHeight="false" outlineLevel="0" collapsed="false">
      <c r="A286" s="16" t="str">
        <f aca="false">Payment_Log_AP!A283</f>
        <v>PAY40282</v>
      </c>
      <c r="B286" s="16" t="str">
        <f aca="false">Payment_Log_AP!C283</f>
        <v>V1026</v>
      </c>
      <c r="C286" s="16" t="str">
        <f aca="false">Payment_Log_AP!B283</f>
        <v>INV30322</v>
      </c>
      <c r="D286" s="17" t="n">
        <f aca="false">Payment_Log_AP!D283</f>
        <v>45725</v>
      </c>
      <c r="E286" s="18" t="n">
        <f aca="false">Payment_Log_AP!E283</f>
        <v>1953.14</v>
      </c>
      <c r="F286" s="17" t="n">
        <f aca="false">IFERROR(INDEX(Vendor_Invoices_AP!$D$2:$D$882,MATCH(C286,Vendor_Invoices_AP!$A$2:$A$882,0)),"")</f>
        <v>45710</v>
      </c>
      <c r="G286" s="16" t="n">
        <f aca="false">IF(F286="","",D286-F286)</f>
        <v>15</v>
      </c>
      <c r="H286" s="21" t="n">
        <f aca="false">IF(F286="","",DATE(YEAR(D286),MONTH(D286),1))</f>
        <v>45717</v>
      </c>
    </row>
    <row r="287" customFormat="false" ht="15" hidden="false" customHeight="false" outlineLevel="0" collapsed="false">
      <c r="A287" s="16" t="str">
        <f aca="false">Payment_Log_AP!A284</f>
        <v>PAY40283</v>
      </c>
      <c r="B287" s="16" t="str">
        <f aca="false">Payment_Log_AP!C284</f>
        <v>V1031</v>
      </c>
      <c r="C287" s="16" t="str">
        <f aca="false">Payment_Log_AP!B284</f>
        <v>INV30323</v>
      </c>
      <c r="D287" s="17" t="n">
        <f aca="false">Payment_Log_AP!D284</f>
        <v>46204</v>
      </c>
      <c r="E287" s="18" t="n">
        <f aca="false">Payment_Log_AP!E284</f>
        <v>275.18</v>
      </c>
      <c r="F287" s="17" t="n">
        <f aca="false">IFERROR(INDEX(Vendor_Invoices_AP!$D$2:$D$882,MATCH(C287,Vendor_Invoices_AP!$A$2:$A$882,0)),"")</f>
        <v>46182</v>
      </c>
      <c r="G287" s="16" t="n">
        <f aca="false">IF(F287="","",D287-F287)</f>
        <v>22</v>
      </c>
      <c r="H287" s="21" t="n">
        <f aca="false">IF(F287="","",DATE(YEAR(D287),MONTH(D287),1))</f>
        <v>46204</v>
      </c>
    </row>
    <row r="288" customFormat="false" ht="15" hidden="false" customHeight="false" outlineLevel="0" collapsed="false">
      <c r="A288" s="16" t="str">
        <f aca="false">Payment_Log_AP!A285</f>
        <v>PAY40284</v>
      </c>
      <c r="B288" s="16" t="str">
        <f aca="false">Payment_Log_AP!C285</f>
        <v>V1002</v>
      </c>
      <c r="C288" s="16" t="str">
        <f aca="false">Payment_Log_AP!B285</f>
        <v>INV30324</v>
      </c>
      <c r="D288" s="17" t="n">
        <f aca="false">Payment_Log_AP!D285</f>
        <v>45921</v>
      </c>
      <c r="E288" s="18" t="n">
        <f aca="false">Payment_Log_AP!E285</f>
        <v>2929.12</v>
      </c>
      <c r="F288" s="17" t="n">
        <f aca="false">IFERROR(INDEX(Vendor_Invoices_AP!$D$2:$D$882,MATCH(C288,Vendor_Invoices_AP!$A$2:$A$882,0)),"")</f>
        <v>45920</v>
      </c>
      <c r="G288" s="16" t="n">
        <f aca="false">IF(F288="","",D288-F288)</f>
        <v>1</v>
      </c>
      <c r="H288" s="21" t="n">
        <f aca="false">IF(F288="","",DATE(YEAR(D288),MONTH(D288),1))</f>
        <v>45901</v>
      </c>
    </row>
    <row r="289" customFormat="false" ht="15" hidden="false" customHeight="false" outlineLevel="0" collapsed="false">
      <c r="A289" s="16" t="str">
        <f aca="false">Payment_Log_AP!A286</f>
        <v>PAY40285</v>
      </c>
      <c r="B289" s="16" t="str">
        <f aca="false">Payment_Log_AP!C286</f>
        <v>V1002</v>
      </c>
      <c r="C289" s="16" t="str">
        <f aca="false">Payment_Log_AP!B286</f>
        <v>INV30324</v>
      </c>
      <c r="D289" s="17" t="n">
        <f aca="false">Payment_Log_AP!D286</f>
        <v>45927</v>
      </c>
      <c r="E289" s="18" t="n">
        <f aca="false">Payment_Log_AP!E286</f>
        <v>2929.12</v>
      </c>
      <c r="F289" s="17" t="n">
        <f aca="false">IFERROR(INDEX(Vendor_Invoices_AP!$D$2:$D$882,MATCH(C289,Vendor_Invoices_AP!$A$2:$A$882,0)),"")</f>
        <v>45920</v>
      </c>
      <c r="G289" s="16" t="n">
        <f aca="false">IF(F289="","",D289-F289)</f>
        <v>7</v>
      </c>
      <c r="H289" s="21" t="n">
        <f aca="false">IF(F289="","",DATE(YEAR(D289),MONTH(D289),1))</f>
        <v>45901</v>
      </c>
    </row>
    <row r="290" customFormat="false" ht="15" hidden="false" customHeight="false" outlineLevel="0" collapsed="false">
      <c r="A290" s="16" t="str">
        <f aca="false">Payment_Log_AP!A287</f>
        <v>PAY40286</v>
      </c>
      <c r="B290" s="16" t="str">
        <f aca="false">Payment_Log_AP!C287</f>
        <v>V1015</v>
      </c>
      <c r="C290" s="16" t="str">
        <f aca="false">Payment_Log_AP!B287</f>
        <v>INV30325</v>
      </c>
      <c r="D290" s="17" t="n">
        <f aca="false">Payment_Log_AP!D287</f>
        <v>46138</v>
      </c>
      <c r="E290" s="18" t="n">
        <f aca="false">Payment_Log_AP!E287</f>
        <v>2560.65</v>
      </c>
      <c r="F290" s="17" t="n">
        <f aca="false">IFERROR(INDEX(Vendor_Invoices_AP!$D$2:$D$882,MATCH(C290,Vendor_Invoices_AP!$A$2:$A$882,0)),"")</f>
        <v>46128</v>
      </c>
      <c r="G290" s="16" t="n">
        <f aca="false">IF(F290="","",D290-F290)</f>
        <v>10</v>
      </c>
      <c r="H290" s="21" t="n">
        <f aca="false">IF(F290="","",DATE(YEAR(D290),MONTH(D290),1))</f>
        <v>46113</v>
      </c>
    </row>
    <row r="291" customFormat="false" ht="15" hidden="false" customHeight="false" outlineLevel="0" collapsed="false">
      <c r="A291" s="16" t="str">
        <f aca="false">Payment_Log_AP!A288</f>
        <v>PAY40287</v>
      </c>
      <c r="B291" s="16" t="str">
        <f aca="false">Payment_Log_AP!C288</f>
        <v>V1016</v>
      </c>
      <c r="C291" s="16" t="str">
        <f aca="false">Payment_Log_AP!B288</f>
        <v>INV30326</v>
      </c>
      <c r="D291" s="17" t="n">
        <f aca="false">Payment_Log_AP!D288</f>
        <v>45918</v>
      </c>
      <c r="E291" s="18" t="n">
        <f aca="false">Payment_Log_AP!E288</f>
        <v>1086.25</v>
      </c>
      <c r="F291" s="17" t="n">
        <f aca="false">IFERROR(INDEX(Vendor_Invoices_AP!$D$2:$D$882,MATCH(C291,Vendor_Invoices_AP!$A$2:$A$882,0)),"")</f>
        <v>45894</v>
      </c>
      <c r="G291" s="16" t="n">
        <f aca="false">IF(F291="","",D291-F291)</f>
        <v>24</v>
      </c>
      <c r="H291" s="21" t="n">
        <f aca="false">IF(F291="","",DATE(YEAR(D291),MONTH(D291),1))</f>
        <v>45901</v>
      </c>
    </row>
    <row r="292" customFormat="false" ht="15" hidden="false" customHeight="false" outlineLevel="0" collapsed="false">
      <c r="A292" s="16" t="str">
        <f aca="false">Payment_Log_AP!A289</f>
        <v>PAY40288</v>
      </c>
      <c r="B292" s="16" t="str">
        <f aca="false">Payment_Log_AP!C289</f>
        <v>V1039</v>
      </c>
      <c r="C292" s="16" t="str">
        <f aca="false">Payment_Log_AP!B289</f>
        <v>INV30327</v>
      </c>
      <c r="D292" s="17" t="n">
        <f aca="false">Payment_Log_AP!D289</f>
        <v>45727</v>
      </c>
      <c r="E292" s="18" t="n">
        <f aca="false">Payment_Log_AP!E289</f>
        <v>3484.24</v>
      </c>
      <c r="F292" s="17" t="n">
        <f aca="false">IFERROR(INDEX(Vendor_Invoices_AP!$D$2:$D$882,MATCH(C292,Vendor_Invoices_AP!$A$2:$A$882,0)),"")</f>
        <v>45708</v>
      </c>
      <c r="G292" s="16" t="n">
        <f aca="false">IF(F292="","",D292-F292)</f>
        <v>19</v>
      </c>
      <c r="H292" s="21" t="n">
        <f aca="false">IF(F292="","",DATE(YEAR(D292),MONTH(D292),1))</f>
        <v>45717</v>
      </c>
    </row>
    <row r="293" customFormat="false" ht="15" hidden="false" customHeight="false" outlineLevel="0" collapsed="false">
      <c r="A293" s="16" t="str">
        <f aca="false">Payment_Log_AP!A290</f>
        <v>PAY40289</v>
      </c>
      <c r="B293" s="16" t="str">
        <f aca="false">Payment_Log_AP!C290</f>
        <v>V1025</v>
      </c>
      <c r="C293" s="16" t="str">
        <f aca="false">Payment_Log_AP!B290</f>
        <v>INV30328</v>
      </c>
      <c r="D293" s="17" t="n">
        <f aca="false">Payment_Log_AP!D290</f>
        <v>46015</v>
      </c>
      <c r="E293" s="18" t="n">
        <f aca="false">Payment_Log_AP!E290</f>
        <v>4212.6</v>
      </c>
      <c r="F293" s="17" t="n">
        <f aca="false">IFERROR(INDEX(Vendor_Invoices_AP!$D$2:$D$882,MATCH(C293,Vendor_Invoices_AP!$A$2:$A$882,0)),"")</f>
        <v>46003</v>
      </c>
      <c r="G293" s="16" t="n">
        <f aca="false">IF(F293="","",D293-F293)</f>
        <v>12</v>
      </c>
      <c r="H293" s="21" t="n">
        <f aca="false">IF(F293="","",DATE(YEAR(D293),MONTH(D293),1))</f>
        <v>45992</v>
      </c>
    </row>
    <row r="294" customFormat="false" ht="15" hidden="false" customHeight="false" outlineLevel="0" collapsed="false">
      <c r="A294" s="16" t="str">
        <f aca="false">Payment_Log_AP!A291</f>
        <v>PAY40290</v>
      </c>
      <c r="B294" s="16" t="str">
        <f aca="false">Payment_Log_AP!C291</f>
        <v>V1032</v>
      </c>
      <c r="C294" s="16" t="str">
        <f aca="false">Payment_Log_AP!B291</f>
        <v>INV30329</v>
      </c>
      <c r="D294" s="17" t="n">
        <f aca="false">Payment_Log_AP!D291</f>
        <v>45709</v>
      </c>
      <c r="E294" s="18" t="n">
        <f aca="false">Payment_Log_AP!E291</f>
        <v>2560.27</v>
      </c>
      <c r="F294" s="17" t="n">
        <f aca="false">IFERROR(INDEX(Vendor_Invoices_AP!$D$2:$D$882,MATCH(C294,Vendor_Invoices_AP!$A$2:$A$882,0)),"")</f>
        <v>45696</v>
      </c>
      <c r="G294" s="16" t="n">
        <f aca="false">IF(F294="","",D294-F294)</f>
        <v>13</v>
      </c>
      <c r="H294" s="21" t="n">
        <f aca="false">IF(F294="","",DATE(YEAR(D294),MONTH(D294),1))</f>
        <v>45689</v>
      </c>
    </row>
    <row r="295" customFormat="false" ht="15" hidden="false" customHeight="false" outlineLevel="0" collapsed="false">
      <c r="A295" s="16" t="str">
        <f aca="false">Payment_Log_AP!A292</f>
        <v>PAY40291</v>
      </c>
      <c r="B295" s="16" t="str">
        <f aca="false">Payment_Log_AP!C292</f>
        <v>V1025</v>
      </c>
      <c r="C295" s="16" t="str">
        <f aca="false">Payment_Log_AP!B292</f>
        <v>INV30330</v>
      </c>
      <c r="D295" s="17" t="n">
        <f aca="false">Payment_Log_AP!D292</f>
        <v>45769</v>
      </c>
      <c r="E295" s="18" t="n">
        <f aca="false">Payment_Log_AP!E292</f>
        <v>3373.65</v>
      </c>
      <c r="F295" s="17" t="n">
        <f aca="false">IFERROR(INDEX(Vendor_Invoices_AP!$D$2:$D$882,MATCH(C295,Vendor_Invoices_AP!$A$2:$A$882,0)),"")</f>
        <v>45762</v>
      </c>
      <c r="G295" s="16" t="n">
        <f aca="false">IF(F295="","",D295-F295)</f>
        <v>7</v>
      </c>
      <c r="H295" s="21" t="n">
        <f aca="false">IF(F295="","",DATE(YEAR(D295),MONTH(D295),1))</f>
        <v>45748</v>
      </c>
    </row>
    <row r="296" customFormat="false" ht="15" hidden="false" customHeight="false" outlineLevel="0" collapsed="false">
      <c r="A296" s="16" t="str">
        <f aca="false">Payment_Log_AP!A293</f>
        <v>PAY40292</v>
      </c>
      <c r="B296" s="16" t="str">
        <f aca="false">Payment_Log_AP!C293</f>
        <v>V1031</v>
      </c>
      <c r="C296" s="16" t="str">
        <f aca="false">Payment_Log_AP!B293</f>
        <v>INV30331</v>
      </c>
      <c r="D296" s="17" t="n">
        <f aca="false">Payment_Log_AP!D293</f>
        <v>45990</v>
      </c>
      <c r="E296" s="18" t="n">
        <f aca="false">Payment_Log_AP!E293</f>
        <v>1093.64</v>
      </c>
      <c r="F296" s="17" t="n">
        <f aca="false">IFERROR(INDEX(Vendor_Invoices_AP!$D$2:$D$882,MATCH(C296,Vendor_Invoices_AP!$A$2:$A$882,0)),"")</f>
        <v>45982</v>
      </c>
      <c r="G296" s="16" t="n">
        <f aca="false">IF(F296="","",D296-F296)</f>
        <v>8</v>
      </c>
      <c r="H296" s="21" t="n">
        <f aca="false">IF(F296="","",DATE(YEAR(D296),MONTH(D296),1))</f>
        <v>45962</v>
      </c>
    </row>
    <row r="297" customFormat="false" ht="15" hidden="false" customHeight="false" outlineLevel="0" collapsed="false">
      <c r="A297" s="16" t="str">
        <f aca="false">Payment_Log_AP!A294</f>
        <v>PAY40293</v>
      </c>
      <c r="B297" s="16" t="str">
        <f aca="false">Payment_Log_AP!C294</f>
        <v>V1038</v>
      </c>
      <c r="C297" s="16" t="str">
        <f aca="false">Payment_Log_AP!B294</f>
        <v>INV30332</v>
      </c>
      <c r="D297" s="17" t="n">
        <f aca="false">Payment_Log_AP!D294</f>
        <v>45861</v>
      </c>
      <c r="E297" s="18" t="n">
        <f aca="false">Payment_Log_AP!E294</f>
        <v>1134.36</v>
      </c>
      <c r="F297" s="17" t="n">
        <f aca="false">IFERROR(INDEX(Vendor_Invoices_AP!$D$2:$D$882,MATCH(C297,Vendor_Invoices_AP!$A$2:$A$882,0)),"")</f>
        <v>45845</v>
      </c>
      <c r="G297" s="16" t="n">
        <f aca="false">IF(F297="","",D297-F297)</f>
        <v>16</v>
      </c>
      <c r="H297" s="21" t="n">
        <f aca="false">IF(F297="","",DATE(YEAR(D297),MONTH(D297),1))</f>
        <v>45839</v>
      </c>
    </row>
    <row r="298" customFormat="false" ht="15" hidden="false" customHeight="false" outlineLevel="0" collapsed="false">
      <c r="A298" s="16" t="str">
        <f aca="false">Payment_Log_AP!A295</f>
        <v>PAY40294</v>
      </c>
      <c r="B298" s="16" t="str">
        <f aca="false">Payment_Log_AP!C295</f>
        <v>V1009</v>
      </c>
      <c r="C298" s="16" t="str">
        <f aca="false">Payment_Log_AP!B295</f>
        <v>INV30336</v>
      </c>
      <c r="D298" s="17" t="n">
        <f aca="false">Payment_Log_AP!D295</f>
        <v>46016</v>
      </c>
      <c r="E298" s="18" t="n">
        <f aca="false">Payment_Log_AP!E295</f>
        <v>4424.59</v>
      </c>
      <c r="F298" s="17" t="n">
        <f aca="false">IFERROR(INDEX(Vendor_Invoices_AP!$D$2:$D$882,MATCH(C298,Vendor_Invoices_AP!$A$2:$A$882,0)),"")</f>
        <v>46011</v>
      </c>
      <c r="G298" s="16" t="n">
        <f aca="false">IF(F298="","",D298-F298)</f>
        <v>5</v>
      </c>
      <c r="H298" s="21" t="n">
        <f aca="false">IF(F298="","",DATE(YEAR(D298),MONTH(D298),1))</f>
        <v>45992</v>
      </c>
    </row>
    <row r="299" customFormat="false" ht="15" hidden="false" customHeight="false" outlineLevel="0" collapsed="false">
      <c r="A299" s="16" t="str">
        <f aca="false">Payment_Log_AP!A296</f>
        <v>PAY40295</v>
      </c>
      <c r="B299" s="16" t="str">
        <f aca="false">Payment_Log_AP!C296</f>
        <v>V1006</v>
      </c>
      <c r="C299" s="16" t="str">
        <f aca="false">Payment_Log_AP!B296</f>
        <v>INV30338</v>
      </c>
      <c r="D299" s="17" t="n">
        <f aca="false">Payment_Log_AP!D296</f>
        <v>45799</v>
      </c>
      <c r="E299" s="18" t="n">
        <f aca="false">Payment_Log_AP!E296</f>
        <v>606.42</v>
      </c>
      <c r="F299" s="17" t="n">
        <f aca="false">IFERROR(INDEX(Vendor_Invoices_AP!$D$2:$D$882,MATCH(C299,Vendor_Invoices_AP!$A$2:$A$882,0)),"")</f>
        <v>45786</v>
      </c>
      <c r="G299" s="16" t="n">
        <f aca="false">IF(F299="","",D299-F299)</f>
        <v>13</v>
      </c>
      <c r="H299" s="21" t="n">
        <f aca="false">IF(F299="","",DATE(YEAR(D299),MONTH(D299),1))</f>
        <v>45778</v>
      </c>
    </row>
    <row r="300" customFormat="false" ht="15" hidden="false" customHeight="false" outlineLevel="0" collapsed="false">
      <c r="A300" s="16" t="str">
        <f aca="false">Payment_Log_AP!A297</f>
        <v>PAY40296</v>
      </c>
      <c r="B300" s="16" t="str">
        <f aca="false">Payment_Log_AP!C297</f>
        <v>V1002</v>
      </c>
      <c r="C300" s="16" t="str">
        <f aca="false">Payment_Log_AP!B297</f>
        <v>INV30339</v>
      </c>
      <c r="D300" s="17" t="n">
        <f aca="false">Payment_Log_AP!D297</f>
        <v>45976</v>
      </c>
      <c r="E300" s="18" t="n">
        <f aca="false">Payment_Log_AP!E297</f>
        <v>1652.62</v>
      </c>
      <c r="F300" s="17" t="n">
        <f aca="false">IFERROR(INDEX(Vendor_Invoices_AP!$D$2:$D$882,MATCH(C300,Vendor_Invoices_AP!$A$2:$A$882,0)),"")</f>
        <v>45948</v>
      </c>
      <c r="G300" s="16" t="n">
        <f aca="false">IF(F300="","",D300-F300)</f>
        <v>28</v>
      </c>
      <c r="H300" s="21" t="n">
        <f aca="false">IF(F300="","",DATE(YEAR(D300),MONTH(D300),1))</f>
        <v>45962</v>
      </c>
    </row>
    <row r="301" customFormat="false" ht="15" hidden="false" customHeight="false" outlineLevel="0" collapsed="false">
      <c r="A301" s="16" t="str">
        <f aca="false">Payment_Log_AP!A298</f>
        <v>PAY40297</v>
      </c>
      <c r="B301" s="16" t="str">
        <f aca="false">Payment_Log_AP!C298</f>
        <v>V1012</v>
      </c>
      <c r="C301" s="16" t="str">
        <f aca="false">Payment_Log_AP!B298</f>
        <v>INV30340</v>
      </c>
      <c r="D301" s="17" t="n">
        <f aca="false">Payment_Log_AP!D298</f>
        <v>45923</v>
      </c>
      <c r="E301" s="18" t="n">
        <f aca="false">Payment_Log_AP!E298</f>
        <v>609.35</v>
      </c>
      <c r="F301" s="17" t="n">
        <f aca="false">IFERROR(INDEX(Vendor_Invoices_AP!$D$2:$D$882,MATCH(C301,Vendor_Invoices_AP!$A$2:$A$882,0)),"")</f>
        <v>45910</v>
      </c>
      <c r="G301" s="16" t="n">
        <f aca="false">IF(F301="","",D301-F301)</f>
        <v>13</v>
      </c>
      <c r="H301" s="21" t="n">
        <f aca="false">IF(F301="","",DATE(YEAR(D301),MONTH(D301),1))</f>
        <v>45901</v>
      </c>
    </row>
    <row r="302" customFormat="false" ht="15" hidden="false" customHeight="false" outlineLevel="0" collapsed="false">
      <c r="A302" s="16" t="str">
        <f aca="false">Payment_Log_AP!A299</f>
        <v>PAY40298</v>
      </c>
      <c r="B302" s="16" t="str">
        <f aca="false">Payment_Log_AP!C299</f>
        <v>V1011</v>
      </c>
      <c r="C302" s="16" t="str">
        <f aca="false">Payment_Log_AP!B299</f>
        <v>INV30341</v>
      </c>
      <c r="D302" s="17" t="n">
        <f aca="false">Payment_Log_AP!D299</f>
        <v>45928</v>
      </c>
      <c r="E302" s="18" t="n">
        <f aca="false">Payment_Log_AP!E299</f>
        <v>1216.45</v>
      </c>
      <c r="F302" s="17" t="n">
        <f aca="false">IFERROR(INDEX(Vendor_Invoices_AP!$D$2:$D$882,MATCH(C302,Vendor_Invoices_AP!$A$2:$A$882,0)),"")</f>
        <v>45924</v>
      </c>
      <c r="G302" s="16" t="n">
        <f aca="false">IF(F302="","",D302-F302)</f>
        <v>4</v>
      </c>
      <c r="H302" s="21" t="n">
        <f aca="false">IF(F302="","",DATE(YEAR(D302),MONTH(D302),1))</f>
        <v>45901</v>
      </c>
    </row>
    <row r="303" customFormat="false" ht="15" hidden="false" customHeight="false" outlineLevel="0" collapsed="false">
      <c r="A303" s="16" t="str">
        <f aca="false">Payment_Log_AP!A300</f>
        <v>PAY40299</v>
      </c>
      <c r="B303" s="16" t="str">
        <f aca="false">Payment_Log_AP!C300</f>
        <v>V1037</v>
      </c>
      <c r="C303" s="16" t="str">
        <f aca="false">Payment_Log_AP!B300</f>
        <v>INV30342</v>
      </c>
      <c r="D303" s="17" t="n">
        <f aca="false">Payment_Log_AP!D300</f>
        <v>46164</v>
      </c>
      <c r="E303" s="18" t="n">
        <f aca="false">Payment_Log_AP!E300</f>
        <v>3585.97</v>
      </c>
      <c r="F303" s="17" t="n">
        <f aca="false">IFERROR(INDEX(Vendor_Invoices_AP!$D$2:$D$882,MATCH(C303,Vendor_Invoices_AP!$A$2:$A$882,0)),"")</f>
        <v>46132</v>
      </c>
      <c r="G303" s="16" t="n">
        <f aca="false">IF(F303="","",D303-F303)</f>
        <v>32</v>
      </c>
      <c r="H303" s="21" t="n">
        <f aca="false">IF(F303="","",DATE(YEAR(D303),MONTH(D303),1))</f>
        <v>46143</v>
      </c>
    </row>
    <row r="304" customFormat="false" ht="15" hidden="false" customHeight="false" outlineLevel="0" collapsed="false">
      <c r="A304" s="16" t="str">
        <f aca="false">Payment_Log_AP!A301</f>
        <v>PAY40300</v>
      </c>
      <c r="B304" s="16" t="str">
        <f aca="false">Payment_Log_AP!C301</f>
        <v>V1006</v>
      </c>
      <c r="C304" s="16" t="str">
        <f aca="false">Payment_Log_AP!B301</f>
        <v>INV30344</v>
      </c>
      <c r="D304" s="17" t="n">
        <f aca="false">Payment_Log_AP!D301</f>
        <v>45874</v>
      </c>
      <c r="E304" s="18" t="n">
        <f aca="false">Payment_Log_AP!E301</f>
        <v>5413.88</v>
      </c>
      <c r="F304" s="17" t="n">
        <f aca="false">IFERROR(INDEX(Vendor_Invoices_AP!$D$2:$D$882,MATCH(C304,Vendor_Invoices_AP!$A$2:$A$882,0)),"")</f>
        <v>45849</v>
      </c>
      <c r="G304" s="16" t="n">
        <f aca="false">IF(F304="","",D304-F304)</f>
        <v>25</v>
      </c>
      <c r="H304" s="21" t="n">
        <f aca="false">IF(F304="","",DATE(YEAR(D304),MONTH(D304),1))</f>
        <v>45870</v>
      </c>
    </row>
    <row r="305" customFormat="false" ht="15" hidden="false" customHeight="false" outlineLevel="0" collapsed="false">
      <c r="A305" s="16" t="str">
        <f aca="false">Payment_Log_AP!A302</f>
        <v>PAY40301</v>
      </c>
      <c r="B305" s="16" t="str">
        <f aca="false">Payment_Log_AP!C302</f>
        <v>V1029</v>
      </c>
      <c r="C305" s="16" t="str">
        <f aca="false">Payment_Log_AP!B302</f>
        <v>INV30345</v>
      </c>
      <c r="D305" s="17" t="n">
        <f aca="false">Payment_Log_AP!D302</f>
        <v>46042</v>
      </c>
      <c r="E305" s="18" t="n">
        <f aca="false">Payment_Log_AP!E302</f>
        <v>4075.62</v>
      </c>
      <c r="F305" s="17" t="n">
        <f aca="false">IFERROR(INDEX(Vendor_Invoices_AP!$D$2:$D$882,MATCH(C305,Vendor_Invoices_AP!$A$2:$A$882,0)),"")</f>
        <v>46021</v>
      </c>
      <c r="G305" s="16" t="n">
        <f aca="false">IF(F305="","",D305-F305)</f>
        <v>21</v>
      </c>
      <c r="H305" s="21" t="n">
        <f aca="false">IF(F305="","",DATE(YEAR(D305),MONTH(D305),1))</f>
        <v>46023</v>
      </c>
    </row>
    <row r="306" customFormat="false" ht="15" hidden="false" customHeight="false" outlineLevel="0" collapsed="false">
      <c r="A306" s="16" t="str">
        <f aca="false">Payment_Log_AP!A303</f>
        <v>PAY40302</v>
      </c>
      <c r="B306" s="16" t="str">
        <f aca="false">Payment_Log_AP!C303</f>
        <v>V1037</v>
      </c>
      <c r="C306" s="16" t="str">
        <f aca="false">Payment_Log_AP!B303</f>
        <v>INV30346</v>
      </c>
      <c r="D306" s="17" t="n">
        <f aca="false">Payment_Log_AP!D303</f>
        <v>46027</v>
      </c>
      <c r="E306" s="18" t="n">
        <f aca="false">Payment_Log_AP!E303</f>
        <v>674.21</v>
      </c>
      <c r="F306" s="17" t="n">
        <f aca="false">IFERROR(INDEX(Vendor_Invoices_AP!$D$2:$D$882,MATCH(C306,Vendor_Invoices_AP!$A$2:$A$882,0)),"")</f>
        <v>45995</v>
      </c>
      <c r="G306" s="16" t="n">
        <f aca="false">IF(F306="","",D306-F306)</f>
        <v>32</v>
      </c>
      <c r="H306" s="21" t="n">
        <f aca="false">IF(F306="","",DATE(YEAR(D306),MONTH(D306),1))</f>
        <v>46023</v>
      </c>
    </row>
    <row r="307" customFormat="false" ht="15" hidden="false" customHeight="false" outlineLevel="0" collapsed="false">
      <c r="A307" s="16" t="str">
        <f aca="false">Payment_Log_AP!A304</f>
        <v>PAY40303</v>
      </c>
      <c r="B307" s="16" t="str">
        <f aca="false">Payment_Log_AP!C304</f>
        <v>V1007</v>
      </c>
      <c r="C307" s="16" t="str">
        <f aca="false">Payment_Log_AP!B304</f>
        <v>INV30347</v>
      </c>
      <c r="D307" s="17" t="n">
        <f aca="false">Payment_Log_AP!D304</f>
        <v>46085</v>
      </c>
      <c r="E307" s="18" t="n">
        <f aca="false">Payment_Log_AP!E304</f>
        <v>1314.98</v>
      </c>
      <c r="F307" s="17" t="n">
        <f aca="false">IFERROR(INDEX(Vendor_Invoices_AP!$D$2:$D$882,MATCH(C307,Vendor_Invoices_AP!$A$2:$A$882,0)),"")</f>
        <v>46082</v>
      </c>
      <c r="G307" s="16" t="n">
        <f aca="false">IF(F307="","",D307-F307)</f>
        <v>3</v>
      </c>
      <c r="H307" s="21" t="n">
        <f aca="false">IF(F307="","",DATE(YEAR(D307),MONTH(D307),1))</f>
        <v>46082</v>
      </c>
    </row>
    <row r="308" customFormat="false" ht="15" hidden="false" customHeight="false" outlineLevel="0" collapsed="false">
      <c r="A308" s="16" t="str">
        <f aca="false">Payment_Log_AP!A305</f>
        <v>PAY40304</v>
      </c>
      <c r="B308" s="16" t="str">
        <f aca="false">Payment_Log_AP!C305</f>
        <v>V1007</v>
      </c>
      <c r="C308" s="16" t="str">
        <f aca="false">Payment_Log_AP!B305</f>
        <v>INV30348</v>
      </c>
      <c r="D308" s="17" t="n">
        <f aca="false">Payment_Log_AP!D305</f>
        <v>46098</v>
      </c>
      <c r="E308" s="18" t="n">
        <f aca="false">Payment_Log_AP!E305</f>
        <v>1314.98</v>
      </c>
      <c r="F308" s="17" t="n">
        <f aca="false">IFERROR(INDEX(Vendor_Invoices_AP!$D$2:$D$882,MATCH(C308,Vendor_Invoices_AP!$A$2:$A$882,0)),"")</f>
        <v>46082</v>
      </c>
      <c r="G308" s="16" t="n">
        <f aca="false">IF(F308="","",D308-F308)</f>
        <v>16</v>
      </c>
      <c r="H308" s="21" t="n">
        <f aca="false">IF(F308="","",DATE(YEAR(D308),MONTH(D308),1))</f>
        <v>46082</v>
      </c>
    </row>
    <row r="309" customFormat="false" ht="15" hidden="false" customHeight="false" outlineLevel="0" collapsed="false">
      <c r="A309" s="16" t="str">
        <f aca="false">Payment_Log_AP!A306</f>
        <v>PAY40305</v>
      </c>
      <c r="B309" s="16" t="str">
        <f aca="false">Payment_Log_AP!C306</f>
        <v>V1040</v>
      </c>
      <c r="C309" s="16" t="str">
        <f aca="false">Payment_Log_AP!B306</f>
        <v>INV30350</v>
      </c>
      <c r="D309" s="17" t="n">
        <f aca="false">Payment_Log_AP!D306</f>
        <v>45799</v>
      </c>
      <c r="E309" s="18" t="n">
        <f aca="false">Payment_Log_AP!E306</f>
        <v>427.04</v>
      </c>
      <c r="F309" s="17" t="n">
        <f aca="false">IFERROR(INDEX(Vendor_Invoices_AP!$D$2:$D$882,MATCH(C309,Vendor_Invoices_AP!$A$2:$A$882,0)),"")</f>
        <v>45775</v>
      </c>
      <c r="G309" s="16" t="n">
        <f aca="false">IF(F309="","",D309-F309)</f>
        <v>24</v>
      </c>
      <c r="H309" s="21" t="n">
        <f aca="false">IF(F309="","",DATE(YEAR(D309),MONTH(D309),1))</f>
        <v>45778</v>
      </c>
    </row>
    <row r="310" customFormat="false" ht="15" hidden="false" customHeight="false" outlineLevel="0" collapsed="false">
      <c r="A310" s="16" t="str">
        <f aca="false">Payment_Log_AP!A307</f>
        <v>PAY40306</v>
      </c>
      <c r="B310" s="16" t="str">
        <f aca="false">Payment_Log_AP!C307</f>
        <v>V1040</v>
      </c>
      <c r="C310" s="16" t="str">
        <f aca="false">Payment_Log_AP!B307</f>
        <v>INV30351</v>
      </c>
      <c r="D310" s="17" t="n">
        <f aca="false">Payment_Log_AP!D307</f>
        <v>45794</v>
      </c>
      <c r="E310" s="18" t="n">
        <f aca="false">Payment_Log_AP!E307</f>
        <v>427.04</v>
      </c>
      <c r="F310" s="17" t="n">
        <f aca="false">IFERROR(INDEX(Vendor_Invoices_AP!$D$2:$D$882,MATCH(C310,Vendor_Invoices_AP!$A$2:$A$882,0)),"")</f>
        <v>45788</v>
      </c>
      <c r="G310" s="16" t="n">
        <f aca="false">IF(F310="","",D310-F310)</f>
        <v>6</v>
      </c>
      <c r="H310" s="21" t="n">
        <f aca="false">IF(F310="","",DATE(YEAR(D310),MONTH(D310),1))</f>
        <v>45778</v>
      </c>
    </row>
    <row r="311" customFormat="false" ht="15" hidden="false" customHeight="false" outlineLevel="0" collapsed="false">
      <c r="A311" s="16" t="str">
        <f aca="false">Payment_Log_AP!A308</f>
        <v>PAY40307</v>
      </c>
      <c r="B311" s="16" t="str">
        <f aca="false">Payment_Log_AP!C308</f>
        <v>V1003</v>
      </c>
      <c r="C311" s="16" t="str">
        <f aca="false">Payment_Log_AP!B308</f>
        <v>INV30352</v>
      </c>
      <c r="D311" s="17" t="n">
        <f aca="false">Payment_Log_AP!D308</f>
        <v>45793</v>
      </c>
      <c r="E311" s="18" t="n">
        <f aca="false">Payment_Log_AP!E308</f>
        <v>1109.9</v>
      </c>
      <c r="F311" s="17" t="n">
        <f aca="false">IFERROR(INDEX(Vendor_Invoices_AP!$D$2:$D$882,MATCH(C311,Vendor_Invoices_AP!$A$2:$A$882,0)),"")</f>
        <v>45790</v>
      </c>
      <c r="G311" s="16" t="n">
        <f aca="false">IF(F311="","",D311-F311)</f>
        <v>3</v>
      </c>
      <c r="H311" s="21" t="n">
        <f aca="false">IF(F311="","",DATE(YEAR(D311),MONTH(D311),1))</f>
        <v>45778</v>
      </c>
    </row>
    <row r="312" customFormat="false" ht="15" hidden="false" customHeight="false" outlineLevel="0" collapsed="false">
      <c r="A312" s="16" t="str">
        <f aca="false">Payment_Log_AP!A309</f>
        <v>PAY40308</v>
      </c>
      <c r="B312" s="16" t="str">
        <f aca="false">Payment_Log_AP!C309</f>
        <v>V1001</v>
      </c>
      <c r="C312" s="16" t="str">
        <f aca="false">Payment_Log_AP!B309</f>
        <v>INV30353</v>
      </c>
      <c r="D312" s="17" t="n">
        <f aca="false">Payment_Log_AP!D309</f>
        <v>46060</v>
      </c>
      <c r="E312" s="18" t="n">
        <f aca="false">Payment_Log_AP!E309</f>
        <v>3284.61</v>
      </c>
      <c r="F312" s="17" t="n">
        <f aca="false">IFERROR(INDEX(Vendor_Invoices_AP!$D$2:$D$882,MATCH(C312,Vendor_Invoices_AP!$A$2:$A$882,0)),"")</f>
        <v>46031</v>
      </c>
      <c r="G312" s="16" t="n">
        <f aca="false">IF(F312="","",D312-F312)</f>
        <v>29</v>
      </c>
      <c r="H312" s="21" t="n">
        <f aca="false">IF(F312="","",DATE(YEAR(D312),MONTH(D312),1))</f>
        <v>46054</v>
      </c>
    </row>
    <row r="313" customFormat="false" ht="15" hidden="false" customHeight="false" outlineLevel="0" collapsed="false">
      <c r="A313" s="16" t="str">
        <f aca="false">Payment_Log_AP!A310</f>
        <v>PAY40309</v>
      </c>
      <c r="B313" s="16" t="str">
        <f aca="false">Payment_Log_AP!C310</f>
        <v>V1028</v>
      </c>
      <c r="C313" s="16" t="str">
        <f aca="false">Payment_Log_AP!B310</f>
        <v>INV30354</v>
      </c>
      <c r="D313" s="17" t="n">
        <f aca="false">Payment_Log_AP!D310</f>
        <v>45783</v>
      </c>
      <c r="E313" s="18" t="n">
        <f aca="false">Payment_Log_AP!E310</f>
        <v>2187.07</v>
      </c>
      <c r="F313" s="17" t="n">
        <f aca="false">IFERROR(INDEX(Vendor_Invoices_AP!$D$2:$D$882,MATCH(C313,Vendor_Invoices_AP!$A$2:$A$882,0)),"")</f>
        <v>45751</v>
      </c>
      <c r="G313" s="16" t="n">
        <f aca="false">IF(F313="","",D313-F313)</f>
        <v>32</v>
      </c>
      <c r="H313" s="21" t="n">
        <f aca="false">IF(F313="","",DATE(YEAR(D313),MONTH(D313),1))</f>
        <v>45778</v>
      </c>
    </row>
    <row r="314" customFormat="false" ht="15" hidden="false" customHeight="false" outlineLevel="0" collapsed="false">
      <c r="A314" s="16" t="str">
        <f aca="false">Payment_Log_AP!A311</f>
        <v>PAY40310</v>
      </c>
      <c r="B314" s="16" t="str">
        <f aca="false">Payment_Log_AP!C311</f>
        <v>V1026</v>
      </c>
      <c r="C314" s="16" t="str">
        <f aca="false">Payment_Log_AP!B311</f>
        <v>INV30355</v>
      </c>
      <c r="D314" s="17" t="n">
        <f aca="false">Payment_Log_AP!D311</f>
        <v>45783</v>
      </c>
      <c r="E314" s="18" t="n">
        <f aca="false">Payment_Log_AP!E311</f>
        <v>4407.35</v>
      </c>
      <c r="F314" s="17" t="n">
        <f aca="false">IFERROR(INDEX(Vendor_Invoices_AP!$D$2:$D$882,MATCH(C314,Vendor_Invoices_AP!$A$2:$A$882,0)),"")</f>
        <v>45754</v>
      </c>
      <c r="G314" s="16" t="n">
        <f aca="false">IF(F314="","",D314-F314)</f>
        <v>29</v>
      </c>
      <c r="H314" s="21" t="n">
        <f aca="false">IF(F314="","",DATE(YEAR(D314),MONTH(D314),1))</f>
        <v>45778</v>
      </c>
    </row>
    <row r="315" customFormat="false" ht="15" hidden="false" customHeight="false" outlineLevel="0" collapsed="false">
      <c r="A315" s="16" t="str">
        <f aca="false">Payment_Log_AP!A312</f>
        <v>PAY40311</v>
      </c>
      <c r="B315" s="16" t="str">
        <f aca="false">Payment_Log_AP!C312</f>
        <v>V1024</v>
      </c>
      <c r="C315" s="16" t="str">
        <f aca="false">Payment_Log_AP!B312</f>
        <v>INV30356</v>
      </c>
      <c r="D315" s="17" t="n">
        <f aca="false">Payment_Log_AP!D312</f>
        <v>45713</v>
      </c>
      <c r="E315" s="18" t="n">
        <f aca="false">Payment_Log_AP!E312</f>
        <v>814.56</v>
      </c>
      <c r="F315" s="17" t="n">
        <f aca="false">IFERROR(INDEX(Vendor_Invoices_AP!$D$2:$D$882,MATCH(C315,Vendor_Invoices_AP!$A$2:$A$882,0)),"")</f>
        <v>45707</v>
      </c>
      <c r="G315" s="16" t="n">
        <f aca="false">IF(F315="","",D315-F315)</f>
        <v>6</v>
      </c>
      <c r="H315" s="21" t="n">
        <f aca="false">IF(F315="","",DATE(YEAR(D315),MONTH(D315),1))</f>
        <v>45689</v>
      </c>
    </row>
    <row r="316" customFormat="false" ht="15" hidden="false" customHeight="false" outlineLevel="0" collapsed="false">
      <c r="A316" s="16" t="str">
        <f aca="false">Payment_Log_AP!A313</f>
        <v>PAY40312</v>
      </c>
      <c r="B316" s="16" t="str">
        <f aca="false">Payment_Log_AP!C313</f>
        <v>V1003</v>
      </c>
      <c r="C316" s="16" t="str">
        <f aca="false">Payment_Log_AP!B313</f>
        <v>INV30357</v>
      </c>
      <c r="D316" s="17" t="n">
        <f aca="false">Payment_Log_AP!D313</f>
        <v>45673</v>
      </c>
      <c r="E316" s="18" t="n">
        <f aca="false">Payment_Log_AP!E313</f>
        <v>988.16</v>
      </c>
      <c r="F316" s="17" t="n">
        <f aca="false">IFERROR(INDEX(Vendor_Invoices_AP!$D$2:$D$882,MATCH(C316,Vendor_Invoices_AP!$A$2:$A$882,0)),"")</f>
        <v>45667</v>
      </c>
      <c r="G316" s="16" t="n">
        <f aca="false">IF(F316="","",D316-F316)</f>
        <v>6</v>
      </c>
      <c r="H316" s="21" t="n">
        <f aca="false">IF(F316="","",DATE(YEAR(D316),MONTH(D316),1))</f>
        <v>45658</v>
      </c>
    </row>
    <row r="317" customFormat="false" ht="15" hidden="false" customHeight="false" outlineLevel="0" collapsed="false">
      <c r="A317" s="16" t="str">
        <f aca="false">Payment_Log_AP!A314</f>
        <v>PAY40313</v>
      </c>
      <c r="B317" s="16" t="str">
        <f aca="false">Payment_Log_AP!C314</f>
        <v>V1003</v>
      </c>
      <c r="C317" s="16" t="str">
        <f aca="false">Payment_Log_AP!B314</f>
        <v>INV30358</v>
      </c>
      <c r="D317" s="17" t="n">
        <f aca="false">Payment_Log_AP!D314</f>
        <v>45924</v>
      </c>
      <c r="E317" s="18" t="n">
        <f aca="false">Payment_Log_AP!E314</f>
        <v>721.3</v>
      </c>
      <c r="F317" s="17" t="n">
        <f aca="false">IFERROR(INDEX(Vendor_Invoices_AP!$D$2:$D$882,MATCH(C317,Vendor_Invoices_AP!$A$2:$A$882,0)),"")</f>
        <v>45919</v>
      </c>
      <c r="G317" s="16" t="n">
        <f aca="false">IF(F317="","",D317-F317)</f>
        <v>5</v>
      </c>
      <c r="H317" s="21" t="n">
        <f aca="false">IF(F317="","",DATE(YEAR(D317),MONTH(D317),1))</f>
        <v>45901</v>
      </c>
    </row>
    <row r="318" customFormat="false" ht="15" hidden="false" customHeight="false" outlineLevel="0" collapsed="false">
      <c r="A318" s="16" t="str">
        <f aca="false">Payment_Log_AP!A315</f>
        <v>PAY40314</v>
      </c>
      <c r="B318" s="16" t="str">
        <f aca="false">Payment_Log_AP!C315</f>
        <v>V1004</v>
      </c>
      <c r="C318" s="16" t="str">
        <f aca="false">Payment_Log_AP!B315</f>
        <v>INV30359</v>
      </c>
      <c r="D318" s="17" t="n">
        <f aca="false">Payment_Log_AP!D315</f>
        <v>46006</v>
      </c>
      <c r="E318" s="18" t="n">
        <f aca="false">Payment_Log_AP!E315</f>
        <v>5762.48</v>
      </c>
      <c r="F318" s="17" t="n">
        <f aca="false">IFERROR(INDEX(Vendor_Invoices_AP!$D$2:$D$882,MATCH(C318,Vendor_Invoices_AP!$A$2:$A$882,0)),"")</f>
        <v>45993</v>
      </c>
      <c r="G318" s="16" t="n">
        <f aca="false">IF(F318="","",D318-F318)</f>
        <v>13</v>
      </c>
      <c r="H318" s="21" t="n">
        <f aca="false">IF(F318="","",DATE(YEAR(D318),MONTH(D318),1))</f>
        <v>45992</v>
      </c>
    </row>
    <row r="319" customFormat="false" ht="15" hidden="false" customHeight="false" outlineLevel="0" collapsed="false">
      <c r="A319" s="16" t="str">
        <f aca="false">Payment_Log_AP!A316</f>
        <v>PAY40315</v>
      </c>
      <c r="B319" s="16" t="str">
        <f aca="false">Payment_Log_AP!C316</f>
        <v>V1005</v>
      </c>
      <c r="C319" s="16" t="str">
        <f aca="false">Payment_Log_AP!B316</f>
        <v>INV30360</v>
      </c>
      <c r="D319" s="17" t="n">
        <f aca="false">Payment_Log_AP!D316</f>
        <v>45849</v>
      </c>
      <c r="E319" s="18" t="n">
        <f aca="false">Payment_Log_AP!E316</f>
        <v>3958.91</v>
      </c>
      <c r="F319" s="17" t="n">
        <f aca="false">IFERROR(INDEX(Vendor_Invoices_AP!$D$2:$D$882,MATCH(C319,Vendor_Invoices_AP!$A$2:$A$882,0)),"")</f>
        <v>45831</v>
      </c>
      <c r="G319" s="16" t="n">
        <f aca="false">IF(F319="","",D319-F319)</f>
        <v>18</v>
      </c>
      <c r="H319" s="21" t="n">
        <f aca="false">IF(F319="","",DATE(YEAR(D319),MONTH(D319),1))</f>
        <v>45839</v>
      </c>
    </row>
    <row r="320" customFormat="false" ht="15" hidden="false" customHeight="false" outlineLevel="0" collapsed="false">
      <c r="A320" s="16" t="str">
        <f aca="false">Payment_Log_AP!A317</f>
        <v>PAY40316</v>
      </c>
      <c r="B320" s="16" t="str">
        <f aca="false">Payment_Log_AP!C317</f>
        <v>V1025</v>
      </c>
      <c r="C320" s="16" t="str">
        <f aca="false">Payment_Log_AP!B317</f>
        <v>INV30363</v>
      </c>
      <c r="D320" s="17" t="n">
        <f aca="false">Payment_Log_AP!D317</f>
        <v>46097</v>
      </c>
      <c r="E320" s="18" t="n">
        <f aca="false">Payment_Log_AP!E317</f>
        <v>1396.44</v>
      </c>
      <c r="F320" s="17" t="n">
        <f aca="false">IFERROR(INDEX(Vendor_Invoices_AP!$D$2:$D$882,MATCH(C320,Vendor_Invoices_AP!$A$2:$A$882,0)),"")</f>
        <v>46062</v>
      </c>
      <c r="G320" s="16" t="n">
        <f aca="false">IF(F320="","",D320-F320)</f>
        <v>35</v>
      </c>
      <c r="H320" s="21" t="n">
        <f aca="false">IF(F320="","",DATE(YEAR(D320),MONTH(D320),1))</f>
        <v>46082</v>
      </c>
    </row>
    <row r="321" customFormat="false" ht="15" hidden="false" customHeight="false" outlineLevel="0" collapsed="false">
      <c r="A321" s="16" t="str">
        <f aca="false">Payment_Log_AP!A318</f>
        <v>PAY40317</v>
      </c>
      <c r="B321" s="16" t="str">
        <f aca="false">Payment_Log_AP!C318</f>
        <v>V1025</v>
      </c>
      <c r="C321" s="16" t="str">
        <f aca="false">Payment_Log_AP!B318</f>
        <v>INV30363</v>
      </c>
      <c r="D321" s="17" t="n">
        <f aca="false">Payment_Log_AP!D318</f>
        <v>46102</v>
      </c>
      <c r="E321" s="18" t="n">
        <f aca="false">Payment_Log_AP!E318</f>
        <v>1396.44</v>
      </c>
      <c r="F321" s="17" t="n">
        <f aca="false">IFERROR(INDEX(Vendor_Invoices_AP!$D$2:$D$882,MATCH(C321,Vendor_Invoices_AP!$A$2:$A$882,0)),"")</f>
        <v>46062</v>
      </c>
      <c r="G321" s="16" t="n">
        <f aca="false">IF(F321="","",D321-F321)</f>
        <v>40</v>
      </c>
      <c r="H321" s="21" t="n">
        <f aca="false">IF(F321="","",DATE(YEAR(D321),MONTH(D321),1))</f>
        <v>46082</v>
      </c>
    </row>
    <row r="322" customFormat="false" ht="15" hidden="false" customHeight="false" outlineLevel="0" collapsed="false">
      <c r="A322" s="16" t="str">
        <f aca="false">Payment_Log_AP!A319</f>
        <v>PAY40318</v>
      </c>
      <c r="B322" s="16" t="str">
        <f aca="false">Payment_Log_AP!C319</f>
        <v>V1001</v>
      </c>
      <c r="C322" s="16" t="str">
        <f aca="false">Payment_Log_AP!B319</f>
        <v>INV30364</v>
      </c>
      <c r="D322" s="17" t="n">
        <f aca="false">Payment_Log_AP!D319</f>
        <v>45955</v>
      </c>
      <c r="E322" s="18" t="n">
        <f aca="false">Payment_Log_AP!E319</f>
        <v>1682.49</v>
      </c>
      <c r="F322" s="17" t="n">
        <f aca="false">IFERROR(INDEX(Vendor_Invoices_AP!$D$2:$D$882,MATCH(C322,Vendor_Invoices_AP!$A$2:$A$882,0)),"")</f>
        <v>45929</v>
      </c>
      <c r="G322" s="16" t="n">
        <f aca="false">IF(F322="","",D322-F322)</f>
        <v>26</v>
      </c>
      <c r="H322" s="21" t="n">
        <f aca="false">IF(F322="","",DATE(YEAR(D322),MONTH(D322),1))</f>
        <v>45931</v>
      </c>
    </row>
    <row r="323" customFormat="false" ht="15" hidden="false" customHeight="false" outlineLevel="0" collapsed="false">
      <c r="A323" s="16" t="str">
        <f aca="false">Payment_Log_AP!A320</f>
        <v>PAY40319</v>
      </c>
      <c r="B323" s="16" t="str">
        <f aca="false">Payment_Log_AP!C320</f>
        <v>V1037</v>
      </c>
      <c r="C323" s="16" t="str">
        <f aca="false">Payment_Log_AP!B320</f>
        <v>INV30365</v>
      </c>
      <c r="D323" s="17" t="n">
        <f aca="false">Payment_Log_AP!D320</f>
        <v>46049</v>
      </c>
      <c r="E323" s="18" t="n">
        <f aca="false">Payment_Log_AP!E320</f>
        <v>1974.18</v>
      </c>
      <c r="F323" s="17" t="n">
        <f aca="false">IFERROR(INDEX(Vendor_Invoices_AP!$D$2:$D$882,MATCH(C323,Vendor_Invoices_AP!$A$2:$A$882,0)),"")</f>
        <v>46048</v>
      </c>
      <c r="G323" s="16" t="n">
        <f aca="false">IF(F323="","",D323-F323)</f>
        <v>1</v>
      </c>
      <c r="H323" s="21" t="n">
        <f aca="false">IF(F323="","",DATE(YEAR(D323),MONTH(D323),1))</f>
        <v>46023</v>
      </c>
    </row>
    <row r="324" customFormat="false" ht="15" hidden="false" customHeight="false" outlineLevel="0" collapsed="false">
      <c r="A324" s="16" t="str">
        <f aca="false">Payment_Log_AP!A321</f>
        <v>PAY40320</v>
      </c>
      <c r="B324" s="16" t="str">
        <f aca="false">Payment_Log_AP!C321</f>
        <v>V1020</v>
      </c>
      <c r="C324" s="16" t="str">
        <f aca="false">Payment_Log_AP!B321</f>
        <v>INV30368</v>
      </c>
      <c r="D324" s="17" t="n">
        <f aca="false">Payment_Log_AP!D321</f>
        <v>46016</v>
      </c>
      <c r="E324" s="18" t="n">
        <f aca="false">Payment_Log_AP!E321</f>
        <v>2928.06</v>
      </c>
      <c r="F324" s="17" t="n">
        <f aca="false">IFERROR(INDEX(Vendor_Invoices_AP!$D$2:$D$882,MATCH(C324,Vendor_Invoices_AP!$A$2:$A$882,0)),"")</f>
        <v>46001</v>
      </c>
      <c r="G324" s="16" t="n">
        <f aca="false">IF(F324="","",D324-F324)</f>
        <v>15</v>
      </c>
      <c r="H324" s="21" t="n">
        <f aca="false">IF(F324="","",DATE(YEAR(D324),MONTH(D324),1))</f>
        <v>45992</v>
      </c>
    </row>
    <row r="325" customFormat="false" ht="15" hidden="false" customHeight="false" outlineLevel="0" collapsed="false">
      <c r="A325" s="16" t="str">
        <f aca="false">Payment_Log_AP!A322</f>
        <v>PAY40321</v>
      </c>
      <c r="B325" s="16" t="str">
        <f aca="false">Payment_Log_AP!C322</f>
        <v>V1040</v>
      </c>
      <c r="C325" s="16" t="str">
        <f aca="false">Payment_Log_AP!B322</f>
        <v>INV30369</v>
      </c>
      <c r="D325" s="17" t="n">
        <f aca="false">Payment_Log_AP!D322</f>
        <v>46044</v>
      </c>
      <c r="E325" s="18" t="n">
        <f aca="false">Payment_Log_AP!E322</f>
        <v>3306.72</v>
      </c>
      <c r="F325" s="17" t="n">
        <f aca="false">IFERROR(INDEX(Vendor_Invoices_AP!$D$2:$D$882,MATCH(C325,Vendor_Invoices_AP!$A$2:$A$882,0)),"")</f>
        <v>46029</v>
      </c>
      <c r="G325" s="16" t="n">
        <f aca="false">IF(F325="","",D325-F325)</f>
        <v>15</v>
      </c>
      <c r="H325" s="21" t="n">
        <f aca="false">IF(F325="","",DATE(YEAR(D325),MONTH(D325),1))</f>
        <v>46023</v>
      </c>
    </row>
    <row r="326" customFormat="false" ht="15" hidden="false" customHeight="false" outlineLevel="0" collapsed="false">
      <c r="A326" s="16" t="str">
        <f aca="false">Payment_Log_AP!A323</f>
        <v>PAY40322</v>
      </c>
      <c r="B326" s="16" t="str">
        <f aca="false">Payment_Log_AP!C323</f>
        <v>V1019</v>
      </c>
      <c r="C326" s="16" t="str">
        <f aca="false">Payment_Log_AP!B323</f>
        <v>INV30370</v>
      </c>
      <c r="D326" s="17" t="n">
        <f aca="false">Payment_Log_AP!D323</f>
        <v>46179</v>
      </c>
      <c r="E326" s="18" t="n">
        <f aca="false">Payment_Log_AP!E323</f>
        <v>7330.11</v>
      </c>
      <c r="F326" s="17" t="n">
        <f aca="false">IFERROR(INDEX(Vendor_Invoices_AP!$D$2:$D$882,MATCH(C326,Vendor_Invoices_AP!$A$2:$A$882,0)),"")</f>
        <v>46173</v>
      </c>
      <c r="G326" s="16" t="n">
        <f aca="false">IF(F326="","",D326-F326)</f>
        <v>6</v>
      </c>
      <c r="H326" s="21" t="n">
        <f aca="false">IF(F326="","",DATE(YEAR(D326),MONTH(D326),1))</f>
        <v>46174</v>
      </c>
    </row>
    <row r="327" customFormat="false" ht="15" hidden="false" customHeight="false" outlineLevel="0" collapsed="false">
      <c r="A327" s="16" t="str">
        <f aca="false">Payment_Log_AP!A324</f>
        <v>PAY40323</v>
      </c>
      <c r="B327" s="16" t="str">
        <f aca="false">Payment_Log_AP!C324</f>
        <v>V1040</v>
      </c>
      <c r="C327" s="16" t="str">
        <f aca="false">Payment_Log_AP!B324</f>
        <v>INV30371</v>
      </c>
      <c r="D327" s="17" t="n">
        <f aca="false">Payment_Log_AP!D324</f>
        <v>45919</v>
      </c>
      <c r="E327" s="18" t="n">
        <f aca="false">Payment_Log_AP!E324</f>
        <v>305.65</v>
      </c>
      <c r="F327" s="17" t="n">
        <f aca="false">IFERROR(INDEX(Vendor_Invoices_AP!$D$2:$D$882,MATCH(C327,Vendor_Invoices_AP!$A$2:$A$882,0)),"")</f>
        <v>45892</v>
      </c>
      <c r="G327" s="16" t="n">
        <f aca="false">IF(F327="","",D327-F327)</f>
        <v>27</v>
      </c>
      <c r="H327" s="21" t="n">
        <f aca="false">IF(F327="","",DATE(YEAR(D327),MONTH(D327),1))</f>
        <v>45901</v>
      </c>
    </row>
    <row r="328" customFormat="false" ht="15" hidden="false" customHeight="false" outlineLevel="0" collapsed="false">
      <c r="A328" s="16" t="str">
        <f aca="false">Payment_Log_AP!A325</f>
        <v>PAY40324</v>
      </c>
      <c r="B328" s="16" t="str">
        <f aca="false">Payment_Log_AP!C325</f>
        <v>V1012</v>
      </c>
      <c r="C328" s="16" t="str">
        <f aca="false">Payment_Log_AP!B325</f>
        <v>INV30372</v>
      </c>
      <c r="D328" s="17" t="n">
        <f aca="false">Payment_Log_AP!D325</f>
        <v>45972</v>
      </c>
      <c r="E328" s="18" t="n">
        <f aca="false">Payment_Log_AP!E325</f>
        <v>695.44</v>
      </c>
      <c r="F328" s="17" t="n">
        <f aca="false">IFERROR(INDEX(Vendor_Invoices_AP!$D$2:$D$882,MATCH(C328,Vendor_Invoices_AP!$A$2:$A$882,0)),"")</f>
        <v>45970</v>
      </c>
      <c r="G328" s="16" t="n">
        <f aca="false">IF(F328="","",D328-F328)</f>
        <v>2</v>
      </c>
      <c r="H328" s="21" t="n">
        <f aca="false">IF(F328="","",DATE(YEAR(D328),MONTH(D328),1))</f>
        <v>45962</v>
      </c>
    </row>
    <row r="329" customFormat="false" ht="15" hidden="false" customHeight="false" outlineLevel="0" collapsed="false">
      <c r="A329" s="16" t="str">
        <f aca="false">Payment_Log_AP!A326</f>
        <v>PAY40325</v>
      </c>
      <c r="B329" s="16" t="str">
        <f aca="false">Payment_Log_AP!C326</f>
        <v>V1004</v>
      </c>
      <c r="C329" s="16" t="str">
        <f aca="false">Payment_Log_AP!B326</f>
        <v>INV30373</v>
      </c>
      <c r="D329" s="17" t="n">
        <f aca="false">Payment_Log_AP!D326</f>
        <v>46055</v>
      </c>
      <c r="E329" s="18" t="n">
        <f aca="false">Payment_Log_AP!E326</f>
        <v>8378.51</v>
      </c>
      <c r="F329" s="17" t="n">
        <f aca="false">IFERROR(INDEX(Vendor_Invoices_AP!$D$2:$D$882,MATCH(C329,Vendor_Invoices_AP!$A$2:$A$882,0)),"")</f>
        <v>46035</v>
      </c>
      <c r="G329" s="16" t="n">
        <f aca="false">IF(F329="","",D329-F329)</f>
        <v>20</v>
      </c>
      <c r="H329" s="21" t="n">
        <f aca="false">IF(F329="","",DATE(YEAR(D329),MONTH(D329),1))</f>
        <v>46054</v>
      </c>
    </row>
    <row r="330" customFormat="false" ht="15" hidden="false" customHeight="false" outlineLevel="0" collapsed="false">
      <c r="A330" s="16" t="str">
        <f aca="false">Payment_Log_AP!A327</f>
        <v>PAY40326</v>
      </c>
      <c r="B330" s="16" t="str">
        <f aca="false">Payment_Log_AP!C327</f>
        <v>V1005</v>
      </c>
      <c r="C330" s="16" t="str">
        <f aca="false">Payment_Log_AP!B327</f>
        <v>INV30374</v>
      </c>
      <c r="D330" s="17" t="n">
        <f aca="false">Payment_Log_AP!D327</f>
        <v>46196</v>
      </c>
      <c r="E330" s="18" t="n">
        <f aca="false">Payment_Log_AP!E327</f>
        <v>1194.11</v>
      </c>
      <c r="F330" s="17" t="n">
        <f aca="false">IFERROR(INDEX(Vendor_Invoices_AP!$D$2:$D$882,MATCH(C330,Vendor_Invoices_AP!$A$2:$A$882,0)),"")</f>
        <v>46173</v>
      </c>
      <c r="G330" s="16" t="n">
        <f aca="false">IF(F330="","",D330-F330)</f>
        <v>23</v>
      </c>
      <c r="H330" s="21" t="n">
        <f aca="false">IF(F330="","",DATE(YEAR(D330),MONTH(D330),1))</f>
        <v>46174</v>
      </c>
    </row>
    <row r="331" customFormat="false" ht="15" hidden="false" customHeight="false" outlineLevel="0" collapsed="false">
      <c r="A331" s="16" t="str">
        <f aca="false">Payment_Log_AP!A328</f>
        <v>PAY40327</v>
      </c>
      <c r="B331" s="16" t="str">
        <f aca="false">Payment_Log_AP!C328</f>
        <v>V1013</v>
      </c>
      <c r="C331" s="16" t="str">
        <f aca="false">Payment_Log_AP!B328</f>
        <v>INV30375</v>
      </c>
      <c r="D331" s="17" t="n">
        <f aca="false">Payment_Log_AP!D328</f>
        <v>46140</v>
      </c>
      <c r="E331" s="18" t="n">
        <f aca="false">Payment_Log_AP!E328</f>
        <v>755.76</v>
      </c>
      <c r="F331" s="17" t="n">
        <f aca="false">IFERROR(INDEX(Vendor_Invoices_AP!$D$2:$D$882,MATCH(C331,Vendor_Invoices_AP!$A$2:$A$882,0)),"")</f>
        <v>46114</v>
      </c>
      <c r="G331" s="16" t="n">
        <f aca="false">IF(F331="","",D331-F331)</f>
        <v>26</v>
      </c>
      <c r="H331" s="21" t="n">
        <f aca="false">IF(F331="","",DATE(YEAR(D331),MONTH(D331),1))</f>
        <v>46113</v>
      </c>
    </row>
    <row r="332" customFormat="false" ht="15" hidden="false" customHeight="false" outlineLevel="0" collapsed="false">
      <c r="A332" s="16" t="str">
        <f aca="false">Payment_Log_AP!A329</f>
        <v>PAY40328</v>
      </c>
      <c r="B332" s="16" t="str">
        <f aca="false">Payment_Log_AP!C329</f>
        <v>V1033</v>
      </c>
      <c r="C332" s="16" t="str">
        <f aca="false">Payment_Log_AP!B329</f>
        <v>INV30376</v>
      </c>
      <c r="D332" s="17" t="n">
        <f aca="false">Payment_Log_AP!D329</f>
        <v>45701</v>
      </c>
      <c r="E332" s="18" t="n">
        <f aca="false">Payment_Log_AP!E329</f>
        <v>14821.15</v>
      </c>
      <c r="F332" s="17" t="n">
        <f aca="false">IFERROR(INDEX(Vendor_Invoices_AP!$D$2:$D$882,MATCH(C332,Vendor_Invoices_AP!$A$2:$A$882,0)),"")</f>
        <v>45698</v>
      </c>
      <c r="G332" s="16" t="n">
        <f aca="false">IF(F332="","",D332-F332)</f>
        <v>3</v>
      </c>
      <c r="H332" s="21" t="n">
        <f aca="false">IF(F332="","",DATE(YEAR(D332),MONTH(D332),1))</f>
        <v>45689</v>
      </c>
    </row>
    <row r="333" customFormat="false" ht="15" hidden="false" customHeight="false" outlineLevel="0" collapsed="false">
      <c r="A333" s="16" t="str">
        <f aca="false">Payment_Log_AP!A330</f>
        <v>PAY40329</v>
      </c>
      <c r="B333" s="16" t="str">
        <f aca="false">Payment_Log_AP!C330</f>
        <v>V1037</v>
      </c>
      <c r="C333" s="16" t="str">
        <f aca="false">Payment_Log_AP!B330</f>
        <v>INV30378</v>
      </c>
      <c r="D333" s="17" t="n">
        <f aca="false">Payment_Log_AP!D330</f>
        <v>45855</v>
      </c>
      <c r="E333" s="18" t="n">
        <f aca="false">Payment_Log_AP!E330</f>
        <v>4303.23</v>
      </c>
      <c r="F333" s="17" t="n">
        <f aca="false">IFERROR(INDEX(Vendor_Invoices_AP!$D$2:$D$882,MATCH(C333,Vendor_Invoices_AP!$A$2:$A$882,0)),"")</f>
        <v>45829</v>
      </c>
      <c r="G333" s="16" t="n">
        <f aca="false">IF(F333="","",D333-F333)</f>
        <v>26</v>
      </c>
      <c r="H333" s="21" t="n">
        <f aca="false">IF(F333="","",DATE(YEAR(D333),MONTH(D333),1))</f>
        <v>45839</v>
      </c>
    </row>
    <row r="334" customFormat="false" ht="15" hidden="false" customHeight="false" outlineLevel="0" collapsed="false">
      <c r="A334" s="16" t="str">
        <f aca="false">Payment_Log_AP!A331</f>
        <v>PAY40330</v>
      </c>
      <c r="B334" s="16" t="str">
        <f aca="false">Payment_Log_AP!C331</f>
        <v>V1035</v>
      </c>
      <c r="C334" s="16" t="str">
        <f aca="false">Payment_Log_AP!B331</f>
        <v>INV30379</v>
      </c>
      <c r="D334" s="17" t="n">
        <f aca="false">Payment_Log_AP!D331</f>
        <v>46125</v>
      </c>
      <c r="E334" s="18" t="n">
        <f aca="false">Payment_Log_AP!E331</f>
        <v>525.18</v>
      </c>
      <c r="F334" s="17" t="n">
        <f aca="false">IFERROR(INDEX(Vendor_Invoices_AP!$D$2:$D$882,MATCH(C334,Vendor_Invoices_AP!$A$2:$A$882,0)),"")</f>
        <v>46090</v>
      </c>
      <c r="G334" s="16" t="n">
        <f aca="false">IF(F334="","",D334-F334)</f>
        <v>35</v>
      </c>
      <c r="H334" s="21" t="n">
        <f aca="false">IF(F334="","",DATE(YEAR(D334),MONTH(D334),1))</f>
        <v>46113</v>
      </c>
    </row>
    <row r="335" customFormat="false" ht="15" hidden="false" customHeight="false" outlineLevel="0" collapsed="false">
      <c r="A335" s="16" t="str">
        <f aca="false">Payment_Log_AP!A332</f>
        <v>PAY40331</v>
      </c>
      <c r="B335" s="16" t="str">
        <f aca="false">Payment_Log_AP!C332</f>
        <v>V1020</v>
      </c>
      <c r="C335" s="16" t="str">
        <f aca="false">Payment_Log_AP!B332</f>
        <v>INV30380</v>
      </c>
      <c r="D335" s="17" t="n">
        <f aca="false">Payment_Log_AP!D332</f>
        <v>46002</v>
      </c>
      <c r="E335" s="18" t="n">
        <f aca="false">Payment_Log_AP!E332</f>
        <v>2740.38</v>
      </c>
      <c r="F335" s="17" t="n">
        <f aca="false">IFERROR(INDEX(Vendor_Invoices_AP!$D$2:$D$882,MATCH(C335,Vendor_Invoices_AP!$A$2:$A$882,0)),"")</f>
        <v>45973</v>
      </c>
      <c r="G335" s="16" t="n">
        <f aca="false">IF(F335="","",D335-F335)</f>
        <v>29</v>
      </c>
      <c r="H335" s="21" t="n">
        <f aca="false">IF(F335="","",DATE(YEAR(D335),MONTH(D335),1))</f>
        <v>45992</v>
      </c>
    </row>
    <row r="336" customFormat="false" ht="15" hidden="false" customHeight="false" outlineLevel="0" collapsed="false">
      <c r="A336" s="16" t="str">
        <f aca="false">Payment_Log_AP!A333</f>
        <v>PAY40332</v>
      </c>
      <c r="B336" s="16" t="str">
        <f aca="false">Payment_Log_AP!C333</f>
        <v>V1008</v>
      </c>
      <c r="C336" s="16" t="str">
        <f aca="false">Payment_Log_AP!B333</f>
        <v>INV30381</v>
      </c>
      <c r="D336" s="17" t="n">
        <f aca="false">Payment_Log_AP!D333</f>
        <v>45849</v>
      </c>
      <c r="E336" s="18" t="n">
        <f aca="false">Payment_Log_AP!E333</f>
        <v>9606.11</v>
      </c>
      <c r="F336" s="17" t="n">
        <f aca="false">IFERROR(INDEX(Vendor_Invoices_AP!$D$2:$D$882,MATCH(C336,Vendor_Invoices_AP!$A$2:$A$882,0)),"")</f>
        <v>45837</v>
      </c>
      <c r="G336" s="16" t="n">
        <f aca="false">IF(F336="","",D336-F336)</f>
        <v>12</v>
      </c>
      <c r="H336" s="21" t="n">
        <f aca="false">IF(F336="","",DATE(YEAR(D336),MONTH(D336),1))</f>
        <v>45839</v>
      </c>
    </row>
    <row r="337" customFormat="false" ht="15" hidden="false" customHeight="false" outlineLevel="0" collapsed="false">
      <c r="A337" s="16" t="str">
        <f aca="false">Payment_Log_AP!A334</f>
        <v>PAY40333</v>
      </c>
      <c r="B337" s="16" t="str">
        <f aca="false">Payment_Log_AP!C334</f>
        <v>V1021</v>
      </c>
      <c r="C337" s="16" t="str">
        <f aca="false">Payment_Log_AP!B334</f>
        <v>INV30382</v>
      </c>
      <c r="D337" s="17" t="n">
        <f aca="false">Payment_Log_AP!D334</f>
        <v>45741</v>
      </c>
      <c r="E337" s="18" t="n">
        <f aca="false">Payment_Log_AP!E334</f>
        <v>3156.13</v>
      </c>
      <c r="F337" s="17" t="n">
        <f aca="false">IFERROR(INDEX(Vendor_Invoices_AP!$D$2:$D$882,MATCH(C337,Vendor_Invoices_AP!$A$2:$A$882,0)),"")</f>
        <v>45739</v>
      </c>
      <c r="G337" s="16" t="n">
        <f aca="false">IF(F337="","",D337-F337)</f>
        <v>2</v>
      </c>
      <c r="H337" s="21" t="n">
        <f aca="false">IF(F337="","",DATE(YEAR(D337),MONTH(D337),1))</f>
        <v>45717</v>
      </c>
    </row>
    <row r="338" customFormat="false" ht="15" hidden="false" customHeight="false" outlineLevel="0" collapsed="false">
      <c r="A338" s="16" t="str">
        <f aca="false">Payment_Log_AP!A335</f>
        <v>PAY40334</v>
      </c>
      <c r="B338" s="16" t="str">
        <f aca="false">Payment_Log_AP!C335</f>
        <v>V1037</v>
      </c>
      <c r="C338" s="16" t="str">
        <f aca="false">Payment_Log_AP!B335</f>
        <v>INV30384</v>
      </c>
      <c r="D338" s="17" t="n">
        <f aca="false">Payment_Log_AP!D335</f>
        <v>46067</v>
      </c>
      <c r="E338" s="18" t="n">
        <f aca="false">Payment_Log_AP!E335</f>
        <v>4442.2</v>
      </c>
      <c r="F338" s="17" t="n">
        <f aca="false">IFERROR(INDEX(Vendor_Invoices_AP!$D$2:$D$882,MATCH(C338,Vendor_Invoices_AP!$A$2:$A$882,0)),"")</f>
        <v>46053</v>
      </c>
      <c r="G338" s="16" t="n">
        <f aca="false">IF(F338="","",D338-F338)</f>
        <v>14</v>
      </c>
      <c r="H338" s="21" t="n">
        <f aca="false">IF(F338="","",DATE(YEAR(D338),MONTH(D338),1))</f>
        <v>46054</v>
      </c>
    </row>
    <row r="339" customFormat="false" ht="15" hidden="false" customHeight="false" outlineLevel="0" collapsed="false">
      <c r="A339" s="16" t="str">
        <f aca="false">Payment_Log_AP!A336</f>
        <v>PAY40335</v>
      </c>
      <c r="B339" s="16" t="str">
        <f aca="false">Payment_Log_AP!C336</f>
        <v>V1004</v>
      </c>
      <c r="C339" s="16" t="str">
        <f aca="false">Payment_Log_AP!B336</f>
        <v>INV30386</v>
      </c>
      <c r="D339" s="17" t="n">
        <f aca="false">Payment_Log_AP!D336</f>
        <v>45970</v>
      </c>
      <c r="E339" s="18" t="n">
        <f aca="false">Payment_Log_AP!E336</f>
        <v>2002.66</v>
      </c>
      <c r="F339" s="17" t="n">
        <f aca="false">IFERROR(INDEX(Vendor_Invoices_AP!$D$2:$D$882,MATCH(C339,Vendor_Invoices_AP!$A$2:$A$882,0)),"")</f>
        <v>45936</v>
      </c>
      <c r="G339" s="16" t="n">
        <f aca="false">IF(F339="","",D339-F339)</f>
        <v>34</v>
      </c>
      <c r="H339" s="21" t="n">
        <f aca="false">IF(F339="","",DATE(YEAR(D339),MONTH(D339),1))</f>
        <v>45962</v>
      </c>
    </row>
    <row r="340" customFormat="false" ht="15" hidden="false" customHeight="false" outlineLevel="0" collapsed="false">
      <c r="A340" s="16" t="str">
        <f aca="false">Payment_Log_AP!A337</f>
        <v>PAY40336</v>
      </c>
      <c r="B340" s="16" t="str">
        <f aca="false">Payment_Log_AP!C337</f>
        <v>V1024</v>
      </c>
      <c r="C340" s="16" t="str">
        <f aca="false">Payment_Log_AP!B337</f>
        <v>INV30387</v>
      </c>
      <c r="D340" s="17" t="n">
        <f aca="false">Payment_Log_AP!D337</f>
        <v>45969</v>
      </c>
      <c r="E340" s="18" t="n">
        <f aca="false">Payment_Log_AP!E337</f>
        <v>1387.72</v>
      </c>
      <c r="F340" s="17" t="n">
        <f aca="false">IFERROR(INDEX(Vendor_Invoices_AP!$D$2:$D$882,MATCH(C340,Vendor_Invoices_AP!$A$2:$A$882,0)),"")</f>
        <v>45942</v>
      </c>
      <c r="G340" s="16" t="n">
        <f aca="false">IF(F340="","",D340-F340)</f>
        <v>27</v>
      </c>
      <c r="H340" s="21" t="n">
        <f aca="false">IF(F340="","",DATE(YEAR(D340),MONTH(D340),1))</f>
        <v>45962</v>
      </c>
    </row>
    <row r="341" customFormat="false" ht="15" hidden="false" customHeight="false" outlineLevel="0" collapsed="false">
      <c r="A341" s="16" t="str">
        <f aca="false">Payment_Log_AP!A338</f>
        <v>PAY40337</v>
      </c>
      <c r="B341" s="16" t="str">
        <f aca="false">Payment_Log_AP!C338</f>
        <v>V1034</v>
      </c>
      <c r="C341" s="16" t="str">
        <f aca="false">Payment_Log_AP!B338</f>
        <v>INV30388</v>
      </c>
      <c r="D341" s="17" t="n">
        <f aca="false">Payment_Log_AP!D338</f>
        <v>45752</v>
      </c>
      <c r="E341" s="18" t="n">
        <f aca="false">Payment_Log_AP!E338</f>
        <v>2387.19</v>
      </c>
      <c r="F341" s="17" t="n">
        <f aca="false">IFERROR(INDEX(Vendor_Invoices_AP!$D$2:$D$882,MATCH(C341,Vendor_Invoices_AP!$A$2:$A$882,0)),"")</f>
        <v>45717</v>
      </c>
      <c r="G341" s="16" t="n">
        <f aca="false">IF(F341="","",D341-F341)</f>
        <v>35</v>
      </c>
      <c r="H341" s="21" t="n">
        <f aca="false">IF(F341="","",DATE(YEAR(D341),MONTH(D341),1))</f>
        <v>45748</v>
      </c>
    </row>
    <row r="342" customFormat="false" ht="15" hidden="false" customHeight="false" outlineLevel="0" collapsed="false">
      <c r="A342" s="16" t="str">
        <f aca="false">Payment_Log_AP!A339</f>
        <v>PAY40338</v>
      </c>
      <c r="B342" s="16" t="str">
        <f aca="false">Payment_Log_AP!C339</f>
        <v>V1015</v>
      </c>
      <c r="C342" s="16" t="str">
        <f aca="false">Payment_Log_AP!B339</f>
        <v>INV30389</v>
      </c>
      <c r="D342" s="17" t="n">
        <f aca="false">Payment_Log_AP!D339</f>
        <v>45699</v>
      </c>
      <c r="E342" s="18" t="n">
        <f aca="false">Payment_Log_AP!E339</f>
        <v>4785.43</v>
      </c>
      <c r="F342" s="17" t="n">
        <f aca="false">IFERROR(INDEX(Vendor_Invoices_AP!$D$2:$D$882,MATCH(C342,Vendor_Invoices_AP!$A$2:$A$882,0)),"")</f>
        <v>45685</v>
      </c>
      <c r="G342" s="16" t="n">
        <f aca="false">IF(F342="","",D342-F342)</f>
        <v>14</v>
      </c>
      <c r="H342" s="21" t="n">
        <f aca="false">IF(F342="","",DATE(YEAR(D342),MONTH(D342),1))</f>
        <v>45689</v>
      </c>
    </row>
    <row r="343" customFormat="false" ht="15" hidden="false" customHeight="false" outlineLevel="0" collapsed="false">
      <c r="A343" s="16" t="str">
        <f aca="false">Payment_Log_AP!A340</f>
        <v>PAY40339</v>
      </c>
      <c r="B343" s="16" t="str">
        <f aca="false">Payment_Log_AP!C340</f>
        <v>V1004</v>
      </c>
      <c r="C343" s="16" t="str">
        <f aca="false">Payment_Log_AP!B340</f>
        <v>INV30390</v>
      </c>
      <c r="D343" s="17" t="n">
        <f aca="false">Payment_Log_AP!D340</f>
        <v>45934</v>
      </c>
      <c r="E343" s="18" t="n">
        <f aca="false">Payment_Log_AP!E340</f>
        <v>543.23</v>
      </c>
      <c r="F343" s="17" t="n">
        <f aca="false">IFERROR(INDEX(Vendor_Invoices_AP!$D$2:$D$882,MATCH(C343,Vendor_Invoices_AP!$A$2:$A$882,0)),"")</f>
        <v>45903</v>
      </c>
      <c r="G343" s="16" t="n">
        <f aca="false">IF(F343="","",D343-F343)</f>
        <v>31</v>
      </c>
      <c r="H343" s="21" t="n">
        <f aca="false">IF(F343="","",DATE(YEAR(D343),MONTH(D343),1))</f>
        <v>45931</v>
      </c>
    </row>
    <row r="344" customFormat="false" ht="15" hidden="false" customHeight="false" outlineLevel="0" collapsed="false">
      <c r="A344" s="16" t="str">
        <f aca="false">Payment_Log_AP!A341</f>
        <v>PAY40340</v>
      </c>
      <c r="B344" s="16" t="str">
        <f aca="false">Payment_Log_AP!C341</f>
        <v>V1027</v>
      </c>
      <c r="C344" s="16" t="str">
        <f aca="false">Payment_Log_AP!B341</f>
        <v>INV30392</v>
      </c>
      <c r="D344" s="17" t="n">
        <f aca="false">Payment_Log_AP!D341</f>
        <v>45883</v>
      </c>
      <c r="E344" s="18" t="n">
        <f aca="false">Payment_Log_AP!E341</f>
        <v>327.34</v>
      </c>
      <c r="F344" s="17" t="n">
        <f aca="false">IFERROR(INDEX(Vendor_Invoices_AP!$D$2:$D$882,MATCH(C344,Vendor_Invoices_AP!$A$2:$A$882,0)),"")</f>
        <v>45850</v>
      </c>
      <c r="G344" s="16" t="n">
        <f aca="false">IF(F344="","",D344-F344)</f>
        <v>33</v>
      </c>
      <c r="H344" s="21" t="n">
        <f aca="false">IF(F344="","",DATE(YEAR(D344),MONTH(D344),1))</f>
        <v>45870</v>
      </c>
    </row>
    <row r="345" customFormat="false" ht="15" hidden="false" customHeight="false" outlineLevel="0" collapsed="false">
      <c r="A345" s="16" t="str">
        <f aca="false">Payment_Log_AP!A342</f>
        <v>PAY40341</v>
      </c>
      <c r="B345" s="16" t="str">
        <f aca="false">Payment_Log_AP!C342</f>
        <v>V1027</v>
      </c>
      <c r="C345" s="16" t="str">
        <f aca="false">Payment_Log_AP!B342</f>
        <v>INV30393</v>
      </c>
      <c r="D345" s="17" t="n">
        <f aca="false">Payment_Log_AP!D342</f>
        <v>45863</v>
      </c>
      <c r="E345" s="18" t="n">
        <f aca="false">Payment_Log_AP!E342</f>
        <v>327.34</v>
      </c>
      <c r="F345" s="17" t="n">
        <f aca="false">IFERROR(INDEX(Vendor_Invoices_AP!$D$2:$D$882,MATCH(C345,Vendor_Invoices_AP!$A$2:$A$882,0)),"")</f>
        <v>45853</v>
      </c>
      <c r="G345" s="16" t="n">
        <f aca="false">IF(F345="","",D345-F345)</f>
        <v>10</v>
      </c>
      <c r="H345" s="21" t="n">
        <f aca="false">IF(F345="","",DATE(YEAR(D345),MONTH(D345),1))</f>
        <v>45839</v>
      </c>
    </row>
    <row r="346" customFormat="false" ht="15" hidden="false" customHeight="false" outlineLevel="0" collapsed="false">
      <c r="A346" s="16" t="str">
        <f aca="false">Payment_Log_AP!A343</f>
        <v>PAY40342</v>
      </c>
      <c r="B346" s="16" t="str">
        <f aca="false">Payment_Log_AP!C343</f>
        <v>V1004</v>
      </c>
      <c r="C346" s="16" t="str">
        <f aca="false">Payment_Log_AP!B343</f>
        <v>INV30394</v>
      </c>
      <c r="D346" s="17" t="n">
        <f aca="false">Payment_Log_AP!D343</f>
        <v>45826</v>
      </c>
      <c r="E346" s="18" t="n">
        <f aca="false">Payment_Log_AP!E343</f>
        <v>2106.84</v>
      </c>
      <c r="F346" s="17" t="n">
        <f aca="false">IFERROR(INDEX(Vendor_Invoices_AP!$D$2:$D$882,MATCH(C346,Vendor_Invoices_AP!$A$2:$A$882,0)),"")</f>
        <v>45810</v>
      </c>
      <c r="G346" s="16" t="n">
        <f aca="false">IF(F346="","",D346-F346)</f>
        <v>16</v>
      </c>
      <c r="H346" s="21" t="n">
        <f aca="false">IF(F346="","",DATE(YEAR(D346),MONTH(D346),1))</f>
        <v>45809</v>
      </c>
    </row>
    <row r="347" customFormat="false" ht="15" hidden="false" customHeight="false" outlineLevel="0" collapsed="false">
      <c r="A347" s="16" t="str">
        <f aca="false">Payment_Log_AP!A344</f>
        <v>PAY40343</v>
      </c>
      <c r="B347" s="16" t="str">
        <f aca="false">Payment_Log_AP!C344</f>
        <v>V1020</v>
      </c>
      <c r="C347" s="16" t="str">
        <f aca="false">Payment_Log_AP!B344</f>
        <v>INV30395</v>
      </c>
      <c r="D347" s="17" t="n">
        <f aca="false">Payment_Log_AP!D344</f>
        <v>45746</v>
      </c>
      <c r="E347" s="18" t="n">
        <f aca="false">Payment_Log_AP!E344</f>
        <v>175.5</v>
      </c>
      <c r="F347" s="17" t="n">
        <f aca="false">IFERROR(INDEX(Vendor_Invoices_AP!$D$2:$D$882,MATCH(C347,Vendor_Invoices_AP!$A$2:$A$882,0)),"")</f>
        <v>45716</v>
      </c>
      <c r="G347" s="16" t="n">
        <f aca="false">IF(F347="","",D347-F347)</f>
        <v>30</v>
      </c>
      <c r="H347" s="21" t="n">
        <f aca="false">IF(F347="","",DATE(YEAR(D347),MONTH(D347),1))</f>
        <v>45717</v>
      </c>
    </row>
    <row r="348" customFormat="false" ht="15" hidden="false" customHeight="false" outlineLevel="0" collapsed="false">
      <c r="A348" s="16" t="str">
        <f aca="false">Payment_Log_AP!A345</f>
        <v>PAY40344</v>
      </c>
      <c r="B348" s="16" t="str">
        <f aca="false">Payment_Log_AP!C345</f>
        <v>V1024</v>
      </c>
      <c r="C348" s="16" t="str">
        <f aca="false">Payment_Log_AP!B345</f>
        <v>INV30397</v>
      </c>
      <c r="D348" s="17" t="n">
        <f aca="false">Payment_Log_AP!D345</f>
        <v>46146</v>
      </c>
      <c r="E348" s="18" t="n">
        <f aca="false">Payment_Log_AP!E345</f>
        <v>3683.41</v>
      </c>
      <c r="F348" s="17" t="n">
        <f aca="false">IFERROR(INDEX(Vendor_Invoices_AP!$D$2:$D$882,MATCH(C348,Vendor_Invoices_AP!$A$2:$A$882,0)),"")</f>
        <v>46116</v>
      </c>
      <c r="G348" s="16" t="n">
        <f aca="false">IF(F348="","",D348-F348)</f>
        <v>30</v>
      </c>
      <c r="H348" s="21" t="n">
        <f aca="false">IF(F348="","",DATE(YEAR(D348),MONTH(D348),1))</f>
        <v>46143</v>
      </c>
    </row>
    <row r="349" customFormat="false" ht="15" hidden="false" customHeight="false" outlineLevel="0" collapsed="false">
      <c r="A349" s="16" t="str">
        <f aca="false">Payment_Log_AP!A346</f>
        <v>PAY40345</v>
      </c>
      <c r="B349" s="16" t="str">
        <f aca="false">Payment_Log_AP!C346</f>
        <v>V1038</v>
      </c>
      <c r="C349" s="16" t="str">
        <f aca="false">Payment_Log_AP!B346</f>
        <v>INV30398</v>
      </c>
      <c r="D349" s="17" t="n">
        <f aca="false">Payment_Log_AP!D346</f>
        <v>46004</v>
      </c>
      <c r="E349" s="18" t="n">
        <f aca="false">Payment_Log_AP!E346</f>
        <v>1037.11</v>
      </c>
      <c r="F349" s="17" t="n">
        <f aca="false">IFERROR(INDEX(Vendor_Invoices_AP!$D$2:$D$882,MATCH(C349,Vendor_Invoices_AP!$A$2:$A$882,0)),"")</f>
        <v>45984</v>
      </c>
      <c r="G349" s="16" t="n">
        <f aca="false">IF(F349="","",D349-F349)</f>
        <v>20</v>
      </c>
      <c r="H349" s="21" t="n">
        <f aca="false">IF(F349="","",DATE(YEAR(D349),MONTH(D349),1))</f>
        <v>45992</v>
      </c>
    </row>
    <row r="350" customFormat="false" ht="15" hidden="false" customHeight="false" outlineLevel="0" collapsed="false">
      <c r="A350" s="16" t="str">
        <f aca="false">Payment_Log_AP!A347</f>
        <v>PAY40346</v>
      </c>
      <c r="B350" s="16" t="str">
        <f aca="false">Payment_Log_AP!C347</f>
        <v>V1008</v>
      </c>
      <c r="C350" s="16" t="str">
        <f aca="false">Payment_Log_AP!B347</f>
        <v>INV30401</v>
      </c>
      <c r="D350" s="17" t="n">
        <f aca="false">Payment_Log_AP!D347</f>
        <v>46059</v>
      </c>
      <c r="E350" s="18" t="n">
        <f aca="false">Payment_Log_AP!E347</f>
        <v>688.7</v>
      </c>
      <c r="F350" s="17" t="n">
        <f aca="false">IFERROR(INDEX(Vendor_Invoices_AP!$D$2:$D$882,MATCH(C350,Vendor_Invoices_AP!$A$2:$A$882,0)),"")</f>
        <v>46031</v>
      </c>
      <c r="G350" s="16" t="n">
        <f aca="false">IF(F350="","",D350-F350)</f>
        <v>28</v>
      </c>
      <c r="H350" s="21" t="n">
        <f aca="false">IF(F350="","",DATE(YEAR(D350),MONTH(D350),1))</f>
        <v>46054</v>
      </c>
    </row>
    <row r="351" customFormat="false" ht="15" hidden="false" customHeight="false" outlineLevel="0" collapsed="false">
      <c r="A351" s="16" t="str">
        <f aca="false">Payment_Log_AP!A348</f>
        <v>PAY40347</v>
      </c>
      <c r="B351" s="16" t="str">
        <f aca="false">Payment_Log_AP!C348</f>
        <v>V1025</v>
      </c>
      <c r="C351" s="16" t="str">
        <f aca="false">Payment_Log_AP!B348</f>
        <v>INV30402</v>
      </c>
      <c r="D351" s="17" t="n">
        <f aca="false">Payment_Log_AP!D348</f>
        <v>45835</v>
      </c>
      <c r="E351" s="18" t="n">
        <f aca="false">Payment_Log_AP!E348</f>
        <v>8582.35</v>
      </c>
      <c r="F351" s="17" t="n">
        <f aca="false">IFERROR(INDEX(Vendor_Invoices_AP!$D$2:$D$882,MATCH(C351,Vendor_Invoices_AP!$A$2:$A$882,0)),"")</f>
        <v>45828</v>
      </c>
      <c r="G351" s="16" t="n">
        <f aca="false">IF(F351="","",D351-F351)</f>
        <v>7</v>
      </c>
      <c r="H351" s="21" t="n">
        <f aca="false">IF(F351="","",DATE(YEAR(D351),MONTH(D351),1))</f>
        <v>45809</v>
      </c>
    </row>
    <row r="352" customFormat="false" ht="15" hidden="false" customHeight="false" outlineLevel="0" collapsed="false">
      <c r="A352" s="16" t="str">
        <f aca="false">Payment_Log_AP!A349</f>
        <v>PAY40348</v>
      </c>
      <c r="B352" s="16" t="str">
        <f aca="false">Payment_Log_AP!C349</f>
        <v>V1011</v>
      </c>
      <c r="C352" s="16" t="str">
        <f aca="false">Payment_Log_AP!B349</f>
        <v>INV30403</v>
      </c>
      <c r="D352" s="17" t="n">
        <f aca="false">Payment_Log_AP!D349</f>
        <v>45709</v>
      </c>
      <c r="E352" s="18" t="n">
        <f aca="false">Payment_Log_AP!E349</f>
        <v>4765.55</v>
      </c>
      <c r="F352" s="17" t="n">
        <f aca="false">IFERROR(INDEX(Vendor_Invoices_AP!$D$2:$D$882,MATCH(C352,Vendor_Invoices_AP!$A$2:$A$882,0)),"")</f>
        <v>45698</v>
      </c>
      <c r="G352" s="16" t="n">
        <f aca="false">IF(F352="","",D352-F352)</f>
        <v>11</v>
      </c>
      <c r="H352" s="21" t="n">
        <f aca="false">IF(F352="","",DATE(YEAR(D352),MONTH(D352),1))</f>
        <v>45689</v>
      </c>
    </row>
    <row r="353" customFormat="false" ht="15" hidden="false" customHeight="false" outlineLevel="0" collapsed="false">
      <c r="A353" s="16" t="str">
        <f aca="false">Payment_Log_AP!A350</f>
        <v>PAY40349</v>
      </c>
      <c r="B353" s="16" t="str">
        <f aca="false">Payment_Log_AP!C350</f>
        <v>V1002</v>
      </c>
      <c r="C353" s="16" t="str">
        <f aca="false">Payment_Log_AP!B350</f>
        <v>INV30404</v>
      </c>
      <c r="D353" s="17" t="n">
        <f aca="false">Payment_Log_AP!D350</f>
        <v>46095</v>
      </c>
      <c r="E353" s="18" t="n">
        <f aca="false">Payment_Log_AP!E350</f>
        <v>3276.88</v>
      </c>
      <c r="F353" s="17" t="n">
        <f aca="false">IFERROR(INDEX(Vendor_Invoices_AP!$D$2:$D$882,MATCH(C353,Vendor_Invoices_AP!$A$2:$A$882,0)),"")</f>
        <v>46090</v>
      </c>
      <c r="G353" s="16" t="n">
        <f aca="false">IF(F353="","",D353-F353)</f>
        <v>5</v>
      </c>
      <c r="H353" s="21" t="n">
        <f aca="false">IF(F353="","",DATE(YEAR(D353),MONTH(D353),1))</f>
        <v>46082</v>
      </c>
    </row>
    <row r="354" customFormat="false" ht="15" hidden="false" customHeight="false" outlineLevel="0" collapsed="false">
      <c r="A354" s="16" t="str">
        <f aca="false">Payment_Log_AP!A351</f>
        <v>PAY40350</v>
      </c>
      <c r="B354" s="16" t="str">
        <f aca="false">Payment_Log_AP!C351</f>
        <v>V1033</v>
      </c>
      <c r="C354" s="16" t="str">
        <f aca="false">Payment_Log_AP!B351</f>
        <v>INV30405</v>
      </c>
      <c r="D354" s="17" t="n">
        <f aca="false">Payment_Log_AP!D351</f>
        <v>45933</v>
      </c>
      <c r="E354" s="18" t="n">
        <f aca="false">Payment_Log_AP!E351</f>
        <v>1027.11</v>
      </c>
      <c r="F354" s="17" t="n">
        <f aca="false">IFERROR(INDEX(Vendor_Invoices_AP!$D$2:$D$882,MATCH(C354,Vendor_Invoices_AP!$A$2:$A$882,0)),"")</f>
        <v>45925</v>
      </c>
      <c r="G354" s="16" t="n">
        <f aca="false">IF(F354="","",D354-F354)</f>
        <v>8</v>
      </c>
      <c r="H354" s="21" t="n">
        <f aca="false">IF(F354="","",DATE(YEAR(D354),MONTH(D354),1))</f>
        <v>45931</v>
      </c>
    </row>
    <row r="355" customFormat="false" ht="15" hidden="false" customHeight="false" outlineLevel="0" collapsed="false">
      <c r="A355" s="16" t="str">
        <f aca="false">Payment_Log_AP!A352</f>
        <v>PAY40351</v>
      </c>
      <c r="B355" s="16" t="str">
        <f aca="false">Payment_Log_AP!C352</f>
        <v>V1033</v>
      </c>
      <c r="C355" s="16" t="str">
        <f aca="false">Payment_Log_AP!B352</f>
        <v>INV30406</v>
      </c>
      <c r="D355" s="17" t="n">
        <f aca="false">Payment_Log_AP!D352</f>
        <v>45949</v>
      </c>
      <c r="E355" s="18" t="n">
        <f aca="false">Payment_Log_AP!E352</f>
        <v>1027.11</v>
      </c>
      <c r="F355" s="17" t="n">
        <f aca="false">IFERROR(INDEX(Vendor_Invoices_AP!$D$2:$D$882,MATCH(C355,Vendor_Invoices_AP!$A$2:$A$882,0)),"")</f>
        <v>45928</v>
      </c>
      <c r="G355" s="16" t="n">
        <f aca="false">IF(F355="","",D355-F355)</f>
        <v>21</v>
      </c>
      <c r="H355" s="21" t="n">
        <f aca="false">IF(F355="","",DATE(YEAR(D355),MONTH(D355),1))</f>
        <v>45931</v>
      </c>
    </row>
    <row r="356" customFormat="false" ht="15" hidden="false" customHeight="false" outlineLevel="0" collapsed="false">
      <c r="A356" s="16" t="str">
        <f aca="false">Payment_Log_AP!A353</f>
        <v>PAY40352</v>
      </c>
      <c r="B356" s="16" t="str">
        <f aca="false">Payment_Log_AP!C353</f>
        <v>V1030</v>
      </c>
      <c r="C356" s="16" t="str">
        <f aca="false">Payment_Log_AP!B353</f>
        <v>INV30407</v>
      </c>
      <c r="D356" s="17" t="n">
        <f aca="false">Payment_Log_AP!D353</f>
        <v>46065</v>
      </c>
      <c r="E356" s="18" t="n">
        <f aca="false">Payment_Log_AP!E353</f>
        <v>4853.33</v>
      </c>
      <c r="F356" s="17" t="n">
        <f aca="false">IFERROR(INDEX(Vendor_Invoices_AP!$D$2:$D$882,MATCH(C356,Vendor_Invoices_AP!$A$2:$A$882,0)),"")</f>
        <v>46032</v>
      </c>
      <c r="G356" s="16" t="n">
        <f aca="false">IF(F356="","",D356-F356)</f>
        <v>33</v>
      </c>
      <c r="H356" s="21" t="n">
        <f aca="false">IF(F356="","",DATE(YEAR(D356),MONTH(D356),1))</f>
        <v>46054</v>
      </c>
    </row>
    <row r="357" customFormat="false" ht="15" hidden="false" customHeight="false" outlineLevel="0" collapsed="false">
      <c r="A357" s="16" t="str">
        <f aca="false">Payment_Log_AP!A354</f>
        <v>PAY40353</v>
      </c>
      <c r="B357" s="16" t="str">
        <f aca="false">Payment_Log_AP!C354</f>
        <v>V1017</v>
      </c>
      <c r="C357" s="16" t="str">
        <f aca="false">Payment_Log_AP!B354</f>
        <v>INV30408</v>
      </c>
      <c r="D357" s="17" t="n">
        <f aca="false">Payment_Log_AP!D354</f>
        <v>46192</v>
      </c>
      <c r="E357" s="18" t="n">
        <f aca="false">Payment_Log_AP!E354</f>
        <v>4213.88</v>
      </c>
      <c r="F357" s="17" t="n">
        <f aca="false">IFERROR(INDEX(Vendor_Invoices_AP!$D$2:$D$882,MATCH(C357,Vendor_Invoices_AP!$A$2:$A$882,0)),"")</f>
        <v>46162</v>
      </c>
      <c r="G357" s="16" t="n">
        <f aca="false">IF(F357="","",D357-F357)</f>
        <v>30</v>
      </c>
      <c r="H357" s="21" t="n">
        <f aca="false">IF(F357="","",DATE(YEAR(D357),MONTH(D357),1))</f>
        <v>46174</v>
      </c>
    </row>
    <row r="358" customFormat="false" ht="15" hidden="false" customHeight="false" outlineLevel="0" collapsed="false">
      <c r="A358" s="16" t="str">
        <f aca="false">Payment_Log_AP!A355</f>
        <v>PAY40354</v>
      </c>
      <c r="B358" s="16" t="str">
        <f aca="false">Payment_Log_AP!C355</f>
        <v>V1018</v>
      </c>
      <c r="C358" s="16" t="str">
        <f aca="false">Payment_Log_AP!B355</f>
        <v>INV30409</v>
      </c>
      <c r="D358" s="17" t="n">
        <f aca="false">Payment_Log_AP!D355</f>
        <v>45787</v>
      </c>
      <c r="E358" s="18" t="n">
        <f aca="false">Payment_Log_AP!E355</f>
        <v>1024.13</v>
      </c>
      <c r="F358" s="17" t="n">
        <f aca="false">IFERROR(INDEX(Vendor_Invoices_AP!$D$2:$D$882,MATCH(C358,Vendor_Invoices_AP!$A$2:$A$882,0)),"")</f>
        <v>45774</v>
      </c>
      <c r="G358" s="16" t="n">
        <f aca="false">IF(F358="","",D358-F358)</f>
        <v>13</v>
      </c>
      <c r="H358" s="21" t="n">
        <f aca="false">IF(F358="","",DATE(YEAR(D358),MONTH(D358),1))</f>
        <v>45778</v>
      </c>
    </row>
    <row r="359" customFormat="false" ht="15" hidden="false" customHeight="false" outlineLevel="0" collapsed="false">
      <c r="A359" s="16" t="str">
        <f aca="false">Payment_Log_AP!A356</f>
        <v>PAY40355</v>
      </c>
      <c r="B359" s="16" t="str">
        <f aca="false">Payment_Log_AP!C356</f>
        <v>V1002</v>
      </c>
      <c r="C359" s="16" t="str">
        <f aca="false">Payment_Log_AP!B356</f>
        <v>INV30410</v>
      </c>
      <c r="D359" s="17" t="n">
        <f aca="false">Payment_Log_AP!D356</f>
        <v>45994</v>
      </c>
      <c r="E359" s="18" t="n">
        <f aca="false">Payment_Log_AP!E356</f>
        <v>6836.7</v>
      </c>
      <c r="F359" s="17" t="n">
        <f aca="false">IFERROR(INDEX(Vendor_Invoices_AP!$D$2:$D$882,MATCH(C359,Vendor_Invoices_AP!$A$2:$A$882,0)),"")</f>
        <v>45985</v>
      </c>
      <c r="G359" s="16" t="n">
        <f aca="false">IF(F359="","",D359-F359)</f>
        <v>9</v>
      </c>
      <c r="H359" s="21" t="n">
        <f aca="false">IF(F359="","",DATE(YEAR(D359),MONTH(D359),1))</f>
        <v>45992</v>
      </c>
    </row>
    <row r="360" customFormat="false" ht="15" hidden="false" customHeight="false" outlineLevel="0" collapsed="false">
      <c r="A360" s="16" t="str">
        <f aca="false">Payment_Log_AP!A357</f>
        <v>PAY40356</v>
      </c>
      <c r="B360" s="16" t="str">
        <f aca="false">Payment_Log_AP!C357</f>
        <v>V1029</v>
      </c>
      <c r="C360" s="16" t="str">
        <f aca="false">Payment_Log_AP!B357</f>
        <v>INV30411</v>
      </c>
      <c r="D360" s="17" t="n">
        <f aca="false">Payment_Log_AP!D357</f>
        <v>46058</v>
      </c>
      <c r="E360" s="18" t="n">
        <f aca="false">Payment_Log_AP!E357</f>
        <v>2800.96</v>
      </c>
      <c r="F360" s="17" t="n">
        <f aca="false">IFERROR(INDEX(Vendor_Invoices_AP!$D$2:$D$882,MATCH(C360,Vendor_Invoices_AP!$A$2:$A$882,0)),"")</f>
        <v>46028</v>
      </c>
      <c r="G360" s="16" t="n">
        <f aca="false">IF(F360="","",D360-F360)</f>
        <v>30</v>
      </c>
      <c r="H360" s="21" t="n">
        <f aca="false">IF(F360="","",DATE(YEAR(D360),MONTH(D360),1))</f>
        <v>46054</v>
      </c>
    </row>
    <row r="361" customFormat="false" ht="15" hidden="false" customHeight="false" outlineLevel="0" collapsed="false">
      <c r="A361" s="16" t="str">
        <f aca="false">Payment_Log_AP!A358</f>
        <v>PAY40357</v>
      </c>
      <c r="B361" s="16" t="str">
        <f aca="false">Payment_Log_AP!C358</f>
        <v>V1004</v>
      </c>
      <c r="C361" s="16" t="str">
        <f aca="false">Payment_Log_AP!B358</f>
        <v>INV30412</v>
      </c>
      <c r="D361" s="17" t="n">
        <f aca="false">Payment_Log_AP!D358</f>
        <v>45958</v>
      </c>
      <c r="E361" s="18" t="n">
        <f aca="false">Payment_Log_AP!E358</f>
        <v>2607.21</v>
      </c>
      <c r="F361" s="17" t="n">
        <f aca="false">IFERROR(INDEX(Vendor_Invoices_AP!$D$2:$D$882,MATCH(C361,Vendor_Invoices_AP!$A$2:$A$882,0)),"")</f>
        <v>45929</v>
      </c>
      <c r="G361" s="16" t="n">
        <f aca="false">IF(F361="","",D361-F361)</f>
        <v>29</v>
      </c>
      <c r="H361" s="21" t="n">
        <f aca="false">IF(F361="","",DATE(YEAR(D361),MONTH(D361),1))</f>
        <v>45931</v>
      </c>
    </row>
    <row r="362" customFormat="false" ht="15" hidden="false" customHeight="false" outlineLevel="0" collapsed="false">
      <c r="A362" s="16" t="str">
        <f aca="false">Payment_Log_AP!A359</f>
        <v>PAY40358</v>
      </c>
      <c r="B362" s="16" t="str">
        <f aca="false">Payment_Log_AP!C359</f>
        <v>V1014</v>
      </c>
      <c r="C362" s="16" t="str">
        <f aca="false">Payment_Log_AP!B359</f>
        <v>INV30413</v>
      </c>
      <c r="D362" s="17" t="n">
        <f aca="false">Payment_Log_AP!D359</f>
        <v>45742</v>
      </c>
      <c r="E362" s="18" t="n">
        <f aca="false">Payment_Log_AP!E359</f>
        <v>3346.97</v>
      </c>
      <c r="F362" s="17" t="n">
        <f aca="false">IFERROR(INDEX(Vendor_Invoices_AP!$D$2:$D$882,MATCH(C362,Vendor_Invoices_AP!$A$2:$A$882,0)),"")</f>
        <v>45731</v>
      </c>
      <c r="G362" s="16" t="n">
        <f aca="false">IF(F362="","",D362-F362)</f>
        <v>11</v>
      </c>
      <c r="H362" s="21" t="n">
        <f aca="false">IF(F362="","",DATE(YEAR(D362),MONTH(D362),1))</f>
        <v>45717</v>
      </c>
    </row>
    <row r="363" customFormat="false" ht="15" hidden="false" customHeight="false" outlineLevel="0" collapsed="false">
      <c r="A363" s="16" t="str">
        <f aca="false">Payment_Log_AP!A360</f>
        <v>PAY40359</v>
      </c>
      <c r="B363" s="16" t="str">
        <f aca="false">Payment_Log_AP!C360</f>
        <v>V1028</v>
      </c>
      <c r="C363" s="16" t="str">
        <f aca="false">Payment_Log_AP!B360</f>
        <v>INV30414</v>
      </c>
      <c r="D363" s="17" t="n">
        <f aca="false">Payment_Log_AP!D360</f>
        <v>45871</v>
      </c>
      <c r="E363" s="18" t="n">
        <f aca="false">Payment_Log_AP!E360</f>
        <v>927.7</v>
      </c>
      <c r="F363" s="17" t="n">
        <f aca="false">IFERROR(INDEX(Vendor_Invoices_AP!$D$2:$D$882,MATCH(C363,Vendor_Invoices_AP!$A$2:$A$882,0)),"")</f>
        <v>45859</v>
      </c>
      <c r="G363" s="16" t="n">
        <f aca="false">IF(F363="","",D363-F363)</f>
        <v>12</v>
      </c>
      <c r="H363" s="21" t="n">
        <f aca="false">IF(F363="","",DATE(YEAR(D363),MONTH(D363),1))</f>
        <v>45870</v>
      </c>
    </row>
    <row r="364" customFormat="false" ht="15" hidden="false" customHeight="false" outlineLevel="0" collapsed="false">
      <c r="A364" s="16" t="str">
        <f aca="false">Payment_Log_AP!A361</f>
        <v>PAY40360</v>
      </c>
      <c r="B364" s="16" t="str">
        <f aca="false">Payment_Log_AP!C361</f>
        <v>V1018</v>
      </c>
      <c r="C364" s="16" t="str">
        <f aca="false">Payment_Log_AP!B361</f>
        <v>INV30415</v>
      </c>
      <c r="D364" s="17" t="n">
        <f aca="false">Payment_Log_AP!D361</f>
        <v>45871</v>
      </c>
      <c r="E364" s="18" t="n">
        <f aca="false">Payment_Log_AP!E361</f>
        <v>1759.54</v>
      </c>
      <c r="F364" s="17" t="n">
        <f aca="false">IFERROR(INDEX(Vendor_Invoices_AP!$D$2:$D$882,MATCH(C364,Vendor_Invoices_AP!$A$2:$A$882,0)),"")</f>
        <v>45860</v>
      </c>
      <c r="G364" s="16" t="n">
        <f aca="false">IF(F364="","",D364-F364)</f>
        <v>11</v>
      </c>
      <c r="H364" s="21" t="n">
        <f aca="false">IF(F364="","",DATE(YEAR(D364),MONTH(D364),1))</f>
        <v>45870</v>
      </c>
    </row>
    <row r="365" customFormat="false" ht="15" hidden="false" customHeight="false" outlineLevel="0" collapsed="false">
      <c r="A365" s="16" t="str">
        <f aca="false">Payment_Log_AP!A362</f>
        <v>PAY40361</v>
      </c>
      <c r="B365" s="16" t="str">
        <f aca="false">Payment_Log_AP!C362</f>
        <v>V1029</v>
      </c>
      <c r="C365" s="16" t="str">
        <f aca="false">Payment_Log_AP!B362</f>
        <v>INV30416</v>
      </c>
      <c r="D365" s="17" t="n">
        <f aca="false">Payment_Log_AP!D362</f>
        <v>46061</v>
      </c>
      <c r="E365" s="18" t="n">
        <f aca="false">Payment_Log_AP!E362</f>
        <v>1478.45</v>
      </c>
      <c r="F365" s="17" t="n">
        <f aca="false">IFERROR(INDEX(Vendor_Invoices_AP!$D$2:$D$882,MATCH(C365,Vendor_Invoices_AP!$A$2:$A$882,0)),"")</f>
        <v>46043</v>
      </c>
      <c r="G365" s="16" t="n">
        <f aca="false">IF(F365="","",D365-F365)</f>
        <v>18</v>
      </c>
      <c r="H365" s="21" t="n">
        <f aca="false">IF(F365="","",DATE(YEAR(D365),MONTH(D365),1))</f>
        <v>46054</v>
      </c>
    </row>
    <row r="366" customFormat="false" ht="15" hidden="false" customHeight="false" outlineLevel="0" collapsed="false">
      <c r="A366" s="16" t="str">
        <f aca="false">Payment_Log_AP!A363</f>
        <v>PAY40362</v>
      </c>
      <c r="B366" s="16" t="str">
        <f aca="false">Payment_Log_AP!C363</f>
        <v>V1026</v>
      </c>
      <c r="C366" s="16" t="str">
        <f aca="false">Payment_Log_AP!B363</f>
        <v>INV30417</v>
      </c>
      <c r="D366" s="17" t="n">
        <f aca="false">Payment_Log_AP!D363</f>
        <v>46145</v>
      </c>
      <c r="E366" s="18" t="n">
        <f aca="false">Payment_Log_AP!E363</f>
        <v>5195.5</v>
      </c>
      <c r="F366" s="17" t="n">
        <f aca="false">IFERROR(INDEX(Vendor_Invoices_AP!$D$2:$D$882,MATCH(C366,Vendor_Invoices_AP!$A$2:$A$882,0)),"")</f>
        <v>46142</v>
      </c>
      <c r="G366" s="16" t="n">
        <f aca="false">IF(F366="","",D366-F366)</f>
        <v>3</v>
      </c>
      <c r="H366" s="21" t="n">
        <f aca="false">IF(F366="","",DATE(YEAR(D366),MONTH(D366),1))</f>
        <v>46143</v>
      </c>
    </row>
    <row r="367" customFormat="false" ht="15" hidden="false" customHeight="false" outlineLevel="0" collapsed="false">
      <c r="A367" s="16" t="str">
        <f aca="false">Payment_Log_AP!A364</f>
        <v>PAY40363</v>
      </c>
      <c r="B367" s="16" t="str">
        <f aca="false">Payment_Log_AP!C364</f>
        <v>V1025</v>
      </c>
      <c r="C367" s="16" t="str">
        <f aca="false">Payment_Log_AP!B364</f>
        <v>INV30418</v>
      </c>
      <c r="D367" s="17" t="n">
        <f aca="false">Payment_Log_AP!D364</f>
        <v>45892</v>
      </c>
      <c r="E367" s="18" t="n">
        <f aca="false">Payment_Log_AP!E364</f>
        <v>3949.44</v>
      </c>
      <c r="F367" s="17" t="n">
        <f aca="false">IFERROR(INDEX(Vendor_Invoices_AP!$D$2:$D$882,MATCH(C367,Vendor_Invoices_AP!$A$2:$A$882,0)),"")</f>
        <v>45858</v>
      </c>
      <c r="G367" s="16" t="n">
        <f aca="false">IF(F367="","",D367-F367)</f>
        <v>34</v>
      </c>
      <c r="H367" s="21" t="n">
        <f aca="false">IF(F367="","",DATE(YEAR(D367),MONTH(D367),1))</f>
        <v>45870</v>
      </c>
    </row>
    <row r="368" customFormat="false" ht="15" hidden="false" customHeight="false" outlineLevel="0" collapsed="false">
      <c r="A368" s="16" t="str">
        <f aca="false">Payment_Log_AP!A365</f>
        <v>PAY40364</v>
      </c>
      <c r="B368" s="16" t="str">
        <f aca="false">Payment_Log_AP!C365</f>
        <v>V1031</v>
      </c>
      <c r="C368" s="16" t="str">
        <f aca="false">Payment_Log_AP!B365</f>
        <v>INV30419</v>
      </c>
      <c r="D368" s="17" t="n">
        <f aca="false">Payment_Log_AP!D365</f>
        <v>46048</v>
      </c>
      <c r="E368" s="18" t="n">
        <f aca="false">Payment_Log_AP!E365</f>
        <v>1814.72</v>
      </c>
      <c r="F368" s="17" t="n">
        <f aca="false">IFERROR(INDEX(Vendor_Invoices_AP!$D$2:$D$882,MATCH(C368,Vendor_Invoices_AP!$A$2:$A$882,0)),"")</f>
        <v>46044</v>
      </c>
      <c r="G368" s="16" t="n">
        <f aca="false">IF(F368="","",D368-F368)</f>
        <v>4</v>
      </c>
      <c r="H368" s="21" t="n">
        <f aca="false">IF(F368="","",DATE(YEAR(D368),MONTH(D368),1))</f>
        <v>46023</v>
      </c>
    </row>
    <row r="369" customFormat="false" ht="15" hidden="false" customHeight="false" outlineLevel="0" collapsed="false">
      <c r="A369" s="16" t="str">
        <f aca="false">Payment_Log_AP!A366</f>
        <v>PAY40365</v>
      </c>
      <c r="B369" s="16" t="str">
        <f aca="false">Payment_Log_AP!C366</f>
        <v>V1003</v>
      </c>
      <c r="C369" s="16" t="str">
        <f aca="false">Payment_Log_AP!B366</f>
        <v>INV30420</v>
      </c>
      <c r="D369" s="17" t="n">
        <f aca="false">Payment_Log_AP!D366</f>
        <v>45833</v>
      </c>
      <c r="E369" s="18" t="n">
        <f aca="false">Payment_Log_AP!E366</f>
        <v>3826.85</v>
      </c>
      <c r="F369" s="17" t="n">
        <f aca="false">IFERROR(INDEX(Vendor_Invoices_AP!$D$2:$D$882,MATCH(C369,Vendor_Invoices_AP!$A$2:$A$882,0)),"")</f>
        <v>45820</v>
      </c>
      <c r="G369" s="16" t="n">
        <f aca="false">IF(F369="","",D369-F369)</f>
        <v>13</v>
      </c>
      <c r="H369" s="21" t="n">
        <f aca="false">IF(F369="","",DATE(YEAR(D369),MONTH(D369),1))</f>
        <v>45809</v>
      </c>
    </row>
    <row r="370" customFormat="false" ht="15" hidden="false" customHeight="false" outlineLevel="0" collapsed="false">
      <c r="A370" s="16" t="str">
        <f aca="false">Payment_Log_AP!A367</f>
        <v>PAY40366</v>
      </c>
      <c r="B370" s="16" t="str">
        <f aca="false">Payment_Log_AP!C367</f>
        <v>V1013</v>
      </c>
      <c r="C370" s="16" t="str">
        <f aca="false">Payment_Log_AP!B367</f>
        <v>INV30421</v>
      </c>
      <c r="D370" s="17" t="n">
        <f aca="false">Payment_Log_AP!D367</f>
        <v>46200</v>
      </c>
      <c r="E370" s="18" t="n">
        <f aca="false">Payment_Log_AP!E367</f>
        <v>1836.32</v>
      </c>
      <c r="F370" s="17" t="n">
        <f aca="false">IFERROR(INDEX(Vendor_Invoices_AP!$D$2:$D$882,MATCH(C370,Vendor_Invoices_AP!$A$2:$A$882,0)),"")</f>
        <v>46194</v>
      </c>
      <c r="G370" s="16" t="n">
        <f aca="false">IF(F370="","",D370-F370)</f>
        <v>6</v>
      </c>
      <c r="H370" s="21" t="n">
        <f aca="false">IF(F370="","",DATE(YEAR(D370),MONTH(D370),1))</f>
        <v>46174</v>
      </c>
    </row>
    <row r="371" customFormat="false" ht="15" hidden="false" customHeight="false" outlineLevel="0" collapsed="false">
      <c r="A371" s="16" t="str">
        <f aca="false">Payment_Log_AP!A368</f>
        <v>PAY40367</v>
      </c>
      <c r="B371" s="16" t="str">
        <f aca="false">Payment_Log_AP!C368</f>
        <v>V1012</v>
      </c>
      <c r="C371" s="16" t="str">
        <f aca="false">Payment_Log_AP!B368</f>
        <v>INV30423</v>
      </c>
      <c r="D371" s="17" t="n">
        <f aca="false">Payment_Log_AP!D368</f>
        <v>45978</v>
      </c>
      <c r="E371" s="18" t="n">
        <f aca="false">Payment_Log_AP!E368</f>
        <v>7023.92</v>
      </c>
      <c r="F371" s="17" t="n">
        <f aca="false">IFERROR(INDEX(Vendor_Invoices_AP!$D$2:$D$882,MATCH(C371,Vendor_Invoices_AP!$A$2:$A$882,0)),"")</f>
        <v>45965</v>
      </c>
      <c r="G371" s="16" t="n">
        <f aca="false">IF(F371="","",D371-F371)</f>
        <v>13</v>
      </c>
      <c r="H371" s="21" t="n">
        <f aca="false">IF(F371="","",DATE(YEAR(D371),MONTH(D371),1))</f>
        <v>45962</v>
      </c>
    </row>
    <row r="372" customFormat="false" ht="15" hidden="false" customHeight="false" outlineLevel="0" collapsed="false">
      <c r="A372" s="16" t="str">
        <f aca="false">Payment_Log_AP!A369</f>
        <v>PAY40368</v>
      </c>
      <c r="B372" s="16" t="str">
        <f aca="false">Payment_Log_AP!C369</f>
        <v>V1022</v>
      </c>
      <c r="C372" s="16" t="str">
        <f aca="false">Payment_Log_AP!B369</f>
        <v>INV30424</v>
      </c>
      <c r="D372" s="17" t="n">
        <f aca="false">Payment_Log_AP!D369</f>
        <v>45920</v>
      </c>
      <c r="E372" s="18" t="n">
        <f aca="false">Payment_Log_AP!E369</f>
        <v>3586.35</v>
      </c>
      <c r="F372" s="17" t="n">
        <f aca="false">IFERROR(INDEX(Vendor_Invoices_AP!$D$2:$D$882,MATCH(C372,Vendor_Invoices_AP!$A$2:$A$882,0)),"")</f>
        <v>45909</v>
      </c>
      <c r="G372" s="16" t="n">
        <f aca="false">IF(F372="","",D372-F372)</f>
        <v>11</v>
      </c>
      <c r="H372" s="21" t="n">
        <f aca="false">IF(F372="","",DATE(YEAR(D372),MONTH(D372),1))</f>
        <v>45901</v>
      </c>
    </row>
    <row r="373" customFormat="false" ht="15" hidden="false" customHeight="false" outlineLevel="0" collapsed="false">
      <c r="A373" s="16" t="str">
        <f aca="false">Payment_Log_AP!A370</f>
        <v>PAY40369</v>
      </c>
      <c r="B373" s="16" t="str">
        <f aca="false">Payment_Log_AP!C370</f>
        <v>V1029</v>
      </c>
      <c r="C373" s="16" t="str">
        <f aca="false">Payment_Log_AP!B370</f>
        <v>INV30425</v>
      </c>
      <c r="D373" s="17" t="n">
        <f aca="false">Payment_Log_AP!D370</f>
        <v>45862</v>
      </c>
      <c r="E373" s="18" t="n">
        <f aca="false">Payment_Log_AP!E370</f>
        <v>3705.05</v>
      </c>
      <c r="F373" s="17" t="n">
        <f aca="false">IFERROR(INDEX(Vendor_Invoices_AP!$D$2:$D$882,MATCH(C373,Vendor_Invoices_AP!$A$2:$A$882,0)),"")</f>
        <v>45841</v>
      </c>
      <c r="G373" s="16" t="n">
        <f aca="false">IF(F373="","",D373-F373)</f>
        <v>21</v>
      </c>
      <c r="H373" s="21" t="n">
        <f aca="false">IF(F373="","",DATE(YEAR(D373),MONTH(D373),1))</f>
        <v>45839</v>
      </c>
    </row>
    <row r="374" customFormat="false" ht="15" hidden="false" customHeight="false" outlineLevel="0" collapsed="false">
      <c r="A374" s="16" t="str">
        <f aca="false">Payment_Log_AP!A371</f>
        <v>PAY40370</v>
      </c>
      <c r="B374" s="16" t="str">
        <f aca="false">Payment_Log_AP!C371</f>
        <v>V1005</v>
      </c>
      <c r="C374" s="16" t="str">
        <f aca="false">Payment_Log_AP!B371</f>
        <v>INV30426</v>
      </c>
      <c r="D374" s="17" t="n">
        <f aca="false">Payment_Log_AP!D371</f>
        <v>45860</v>
      </c>
      <c r="E374" s="18" t="n">
        <f aca="false">Payment_Log_AP!E371</f>
        <v>4579.99</v>
      </c>
      <c r="F374" s="17" t="n">
        <f aca="false">IFERROR(INDEX(Vendor_Invoices_AP!$D$2:$D$882,MATCH(C374,Vendor_Invoices_AP!$A$2:$A$882,0)),"")</f>
        <v>45846</v>
      </c>
      <c r="G374" s="16" t="n">
        <f aca="false">IF(F374="","",D374-F374)</f>
        <v>14</v>
      </c>
      <c r="H374" s="21" t="n">
        <f aca="false">IF(F374="","",DATE(YEAR(D374),MONTH(D374),1))</f>
        <v>45839</v>
      </c>
    </row>
    <row r="375" customFormat="false" ht="15" hidden="false" customHeight="false" outlineLevel="0" collapsed="false">
      <c r="A375" s="16" t="str">
        <f aca="false">Payment_Log_AP!A372</f>
        <v>PAY40371</v>
      </c>
      <c r="B375" s="16" t="str">
        <f aca="false">Payment_Log_AP!C372</f>
        <v>V1010</v>
      </c>
      <c r="C375" s="16" t="str">
        <f aca="false">Payment_Log_AP!B372</f>
        <v>INV30428</v>
      </c>
      <c r="D375" s="17" t="n">
        <f aca="false">Payment_Log_AP!D372</f>
        <v>45907</v>
      </c>
      <c r="E375" s="18" t="n">
        <f aca="false">Payment_Log_AP!E372</f>
        <v>1348.19</v>
      </c>
      <c r="F375" s="17" t="n">
        <f aca="false">IFERROR(INDEX(Vendor_Invoices_AP!$D$2:$D$882,MATCH(C375,Vendor_Invoices_AP!$A$2:$A$882,0)),"")</f>
        <v>45886</v>
      </c>
      <c r="G375" s="16" t="n">
        <f aca="false">IF(F375="","",D375-F375)</f>
        <v>21</v>
      </c>
      <c r="H375" s="21" t="n">
        <f aca="false">IF(F375="","",DATE(YEAR(D375),MONTH(D375),1))</f>
        <v>45901</v>
      </c>
    </row>
    <row r="376" customFormat="false" ht="15" hidden="false" customHeight="false" outlineLevel="0" collapsed="false">
      <c r="A376" s="16" t="str">
        <f aca="false">Payment_Log_AP!A373</f>
        <v>PAY40372</v>
      </c>
      <c r="B376" s="16" t="str">
        <f aca="false">Payment_Log_AP!C373</f>
        <v>V1010</v>
      </c>
      <c r="C376" s="16" t="str">
        <f aca="false">Payment_Log_AP!B373</f>
        <v>INV30428</v>
      </c>
      <c r="D376" s="17" t="n">
        <f aca="false">Payment_Log_AP!D373</f>
        <v>45913</v>
      </c>
      <c r="E376" s="18" t="n">
        <f aca="false">Payment_Log_AP!E373</f>
        <v>1348.19</v>
      </c>
      <c r="F376" s="17" t="n">
        <f aca="false">IFERROR(INDEX(Vendor_Invoices_AP!$D$2:$D$882,MATCH(C376,Vendor_Invoices_AP!$A$2:$A$882,0)),"")</f>
        <v>45886</v>
      </c>
      <c r="G376" s="16" t="n">
        <f aca="false">IF(F376="","",D376-F376)</f>
        <v>27</v>
      </c>
      <c r="H376" s="21" t="n">
        <f aca="false">IF(F376="","",DATE(YEAR(D376),MONTH(D376),1))</f>
        <v>45901</v>
      </c>
    </row>
    <row r="377" customFormat="false" ht="15" hidden="false" customHeight="false" outlineLevel="0" collapsed="false">
      <c r="A377" s="16" t="str">
        <f aca="false">Payment_Log_AP!A374</f>
        <v>PAY40373</v>
      </c>
      <c r="B377" s="16" t="str">
        <f aca="false">Payment_Log_AP!C374</f>
        <v>V1018</v>
      </c>
      <c r="C377" s="16" t="str">
        <f aca="false">Payment_Log_AP!B374</f>
        <v>INV30429</v>
      </c>
      <c r="D377" s="17" t="n">
        <f aca="false">Payment_Log_AP!D374</f>
        <v>45991</v>
      </c>
      <c r="E377" s="18" t="n">
        <f aca="false">Payment_Log_AP!E374</f>
        <v>2579.5</v>
      </c>
      <c r="F377" s="17" t="n">
        <f aca="false">IFERROR(INDEX(Vendor_Invoices_AP!$D$2:$D$882,MATCH(C377,Vendor_Invoices_AP!$A$2:$A$882,0)),"")</f>
        <v>45961</v>
      </c>
      <c r="G377" s="16" t="n">
        <f aca="false">IF(F377="","",D377-F377)</f>
        <v>30</v>
      </c>
      <c r="H377" s="21" t="n">
        <f aca="false">IF(F377="","",DATE(YEAR(D377),MONTH(D377),1))</f>
        <v>45962</v>
      </c>
    </row>
    <row r="378" customFormat="false" ht="15" hidden="false" customHeight="false" outlineLevel="0" collapsed="false">
      <c r="A378" s="16" t="str">
        <f aca="false">Payment_Log_AP!A375</f>
        <v>PAY40374</v>
      </c>
      <c r="B378" s="16" t="str">
        <f aca="false">Payment_Log_AP!C375</f>
        <v>V1034</v>
      </c>
      <c r="C378" s="16" t="str">
        <f aca="false">Payment_Log_AP!B375</f>
        <v>INV30431</v>
      </c>
      <c r="D378" s="17" t="n">
        <f aca="false">Payment_Log_AP!D375</f>
        <v>46052</v>
      </c>
      <c r="E378" s="18" t="n">
        <f aca="false">Payment_Log_AP!E375</f>
        <v>1850.75</v>
      </c>
      <c r="F378" s="17" t="n">
        <f aca="false">IFERROR(INDEX(Vendor_Invoices_AP!$D$2:$D$882,MATCH(C378,Vendor_Invoices_AP!$A$2:$A$882,0)),"")</f>
        <v>46038</v>
      </c>
      <c r="G378" s="16" t="n">
        <f aca="false">IF(F378="","",D378-F378)</f>
        <v>14</v>
      </c>
      <c r="H378" s="21" t="n">
        <f aca="false">IF(F378="","",DATE(YEAR(D378),MONTH(D378),1))</f>
        <v>46023</v>
      </c>
    </row>
    <row r="379" customFormat="false" ht="15" hidden="false" customHeight="false" outlineLevel="0" collapsed="false">
      <c r="A379" s="16" t="str">
        <f aca="false">Payment_Log_AP!A376</f>
        <v>PAY40375</v>
      </c>
      <c r="B379" s="16" t="str">
        <f aca="false">Payment_Log_AP!C376</f>
        <v>V1006</v>
      </c>
      <c r="C379" s="16" t="str">
        <f aca="false">Payment_Log_AP!B376</f>
        <v>INV30432</v>
      </c>
      <c r="D379" s="17" t="n">
        <f aca="false">Payment_Log_AP!D376</f>
        <v>45972</v>
      </c>
      <c r="E379" s="18" t="n">
        <f aca="false">Payment_Log_AP!E376</f>
        <v>1673.73</v>
      </c>
      <c r="F379" s="17" t="n">
        <f aca="false">IFERROR(INDEX(Vendor_Invoices_AP!$D$2:$D$882,MATCH(C379,Vendor_Invoices_AP!$A$2:$A$882,0)),"")</f>
        <v>45965</v>
      </c>
      <c r="G379" s="16" t="n">
        <f aca="false">IF(F379="","",D379-F379)</f>
        <v>7</v>
      </c>
      <c r="H379" s="21" t="n">
        <f aca="false">IF(F379="","",DATE(YEAR(D379),MONTH(D379),1))</f>
        <v>45962</v>
      </c>
    </row>
    <row r="380" customFormat="false" ht="15" hidden="false" customHeight="false" outlineLevel="0" collapsed="false">
      <c r="A380" s="16" t="str">
        <f aca="false">Payment_Log_AP!A377</f>
        <v>PAY40376</v>
      </c>
      <c r="B380" s="16" t="str">
        <f aca="false">Payment_Log_AP!C377</f>
        <v>V1002</v>
      </c>
      <c r="C380" s="16" t="str">
        <f aca="false">Payment_Log_AP!B377</f>
        <v>INV30433</v>
      </c>
      <c r="D380" s="17" t="n">
        <f aca="false">Payment_Log_AP!D377</f>
        <v>45929</v>
      </c>
      <c r="E380" s="18" t="n">
        <f aca="false">Payment_Log_AP!E377</f>
        <v>3809.51</v>
      </c>
      <c r="F380" s="17" t="n">
        <f aca="false">IFERROR(INDEX(Vendor_Invoices_AP!$D$2:$D$882,MATCH(C380,Vendor_Invoices_AP!$A$2:$A$882,0)),"")</f>
        <v>45908</v>
      </c>
      <c r="G380" s="16" t="n">
        <f aca="false">IF(F380="","",D380-F380)</f>
        <v>21</v>
      </c>
      <c r="H380" s="21" t="n">
        <f aca="false">IF(F380="","",DATE(YEAR(D380),MONTH(D380),1))</f>
        <v>45901</v>
      </c>
    </row>
    <row r="381" customFormat="false" ht="15" hidden="false" customHeight="false" outlineLevel="0" collapsed="false">
      <c r="A381" s="16" t="str">
        <f aca="false">Payment_Log_AP!A378</f>
        <v>PAY40377</v>
      </c>
      <c r="B381" s="16" t="str">
        <f aca="false">Payment_Log_AP!C378</f>
        <v>V1007</v>
      </c>
      <c r="C381" s="16" t="str">
        <f aca="false">Payment_Log_AP!B378</f>
        <v>INV30435</v>
      </c>
      <c r="D381" s="17" t="n">
        <f aca="false">Payment_Log_AP!D378</f>
        <v>45885</v>
      </c>
      <c r="E381" s="18" t="n">
        <f aca="false">Payment_Log_AP!E378</f>
        <v>1115.7</v>
      </c>
      <c r="F381" s="17" t="n">
        <f aca="false">IFERROR(INDEX(Vendor_Invoices_AP!$D$2:$D$882,MATCH(C381,Vendor_Invoices_AP!$A$2:$A$882,0)),"")</f>
        <v>45863</v>
      </c>
      <c r="G381" s="16" t="n">
        <f aca="false">IF(F381="","",D381-F381)</f>
        <v>22</v>
      </c>
      <c r="H381" s="21" t="n">
        <f aca="false">IF(F381="","",DATE(YEAR(D381),MONTH(D381),1))</f>
        <v>45870</v>
      </c>
    </row>
    <row r="382" customFormat="false" ht="15" hidden="false" customHeight="false" outlineLevel="0" collapsed="false">
      <c r="A382" s="16" t="str">
        <f aca="false">Payment_Log_AP!A379</f>
        <v>PAY40378</v>
      </c>
      <c r="B382" s="16" t="str">
        <f aca="false">Payment_Log_AP!C379</f>
        <v>V1019</v>
      </c>
      <c r="C382" s="16" t="str">
        <f aca="false">Payment_Log_AP!B379</f>
        <v>INV30436</v>
      </c>
      <c r="D382" s="17" t="n">
        <f aca="false">Payment_Log_AP!D379</f>
        <v>46104</v>
      </c>
      <c r="E382" s="18" t="n">
        <f aca="false">Payment_Log_AP!E379</f>
        <v>1572.78</v>
      </c>
      <c r="F382" s="17" t="n">
        <f aca="false">IFERROR(INDEX(Vendor_Invoices_AP!$D$2:$D$882,MATCH(C382,Vendor_Invoices_AP!$A$2:$A$882,0)),"")</f>
        <v>46083</v>
      </c>
      <c r="G382" s="16" t="n">
        <f aca="false">IF(F382="","",D382-F382)</f>
        <v>21</v>
      </c>
      <c r="H382" s="21" t="n">
        <f aca="false">IF(F382="","",DATE(YEAR(D382),MONTH(D382),1))</f>
        <v>46082</v>
      </c>
    </row>
    <row r="383" customFormat="false" ht="15" hidden="false" customHeight="false" outlineLevel="0" collapsed="false">
      <c r="A383" s="16" t="str">
        <f aca="false">Payment_Log_AP!A380</f>
        <v>PAY40379</v>
      </c>
      <c r="B383" s="16" t="str">
        <f aca="false">Payment_Log_AP!C380</f>
        <v>V1025</v>
      </c>
      <c r="C383" s="16" t="str">
        <f aca="false">Payment_Log_AP!B380</f>
        <v>INV30437</v>
      </c>
      <c r="D383" s="17" t="n">
        <f aca="false">Payment_Log_AP!D380</f>
        <v>46029</v>
      </c>
      <c r="E383" s="18" t="n">
        <f aca="false">Payment_Log_AP!E380</f>
        <v>1440.58</v>
      </c>
      <c r="F383" s="17" t="n">
        <f aca="false">IFERROR(INDEX(Vendor_Invoices_AP!$D$2:$D$882,MATCH(C383,Vendor_Invoices_AP!$A$2:$A$882,0)),"")</f>
        <v>46000</v>
      </c>
      <c r="G383" s="16" t="n">
        <f aca="false">IF(F383="","",D383-F383)</f>
        <v>29</v>
      </c>
      <c r="H383" s="21" t="n">
        <f aca="false">IF(F383="","",DATE(YEAR(D383),MONTH(D383),1))</f>
        <v>46023</v>
      </c>
    </row>
    <row r="384" customFormat="false" ht="15" hidden="false" customHeight="false" outlineLevel="0" collapsed="false">
      <c r="A384" s="16" t="str">
        <f aca="false">Payment_Log_AP!A381</f>
        <v>PAY40380</v>
      </c>
      <c r="B384" s="16" t="str">
        <f aca="false">Payment_Log_AP!C381</f>
        <v>V1020</v>
      </c>
      <c r="C384" s="16" t="str">
        <f aca="false">Payment_Log_AP!B381</f>
        <v>INV30438</v>
      </c>
      <c r="D384" s="17" t="n">
        <f aca="false">Payment_Log_AP!D381</f>
        <v>46124</v>
      </c>
      <c r="E384" s="18" t="n">
        <f aca="false">Payment_Log_AP!E381</f>
        <v>308.34</v>
      </c>
      <c r="F384" s="17" t="n">
        <f aca="false">IFERROR(INDEX(Vendor_Invoices_AP!$D$2:$D$882,MATCH(C384,Vendor_Invoices_AP!$A$2:$A$882,0)),"")</f>
        <v>46091</v>
      </c>
      <c r="G384" s="16" t="n">
        <f aca="false">IF(F384="","",D384-F384)</f>
        <v>33</v>
      </c>
      <c r="H384" s="21" t="n">
        <f aca="false">IF(F384="","",DATE(YEAR(D384),MONTH(D384),1))</f>
        <v>46113</v>
      </c>
    </row>
    <row r="385" customFormat="false" ht="15" hidden="false" customHeight="false" outlineLevel="0" collapsed="false">
      <c r="A385" s="16" t="str">
        <f aca="false">Payment_Log_AP!A382</f>
        <v>PAY40381</v>
      </c>
      <c r="B385" s="16" t="str">
        <f aca="false">Payment_Log_AP!C382</f>
        <v>V1034</v>
      </c>
      <c r="C385" s="16" t="str">
        <f aca="false">Payment_Log_AP!B382</f>
        <v>INV30439</v>
      </c>
      <c r="D385" s="17" t="n">
        <f aca="false">Payment_Log_AP!D382</f>
        <v>45790</v>
      </c>
      <c r="E385" s="18" t="n">
        <f aca="false">Payment_Log_AP!E382</f>
        <v>303.89</v>
      </c>
      <c r="F385" s="17" t="n">
        <f aca="false">IFERROR(INDEX(Vendor_Invoices_AP!$D$2:$D$882,MATCH(C385,Vendor_Invoices_AP!$A$2:$A$882,0)),"")</f>
        <v>45782</v>
      </c>
      <c r="G385" s="16" t="n">
        <f aca="false">IF(F385="","",D385-F385)</f>
        <v>8</v>
      </c>
      <c r="H385" s="21" t="n">
        <f aca="false">IF(F385="","",DATE(YEAR(D385),MONTH(D385),1))</f>
        <v>45778</v>
      </c>
    </row>
    <row r="386" customFormat="false" ht="15" hidden="false" customHeight="false" outlineLevel="0" collapsed="false">
      <c r="A386" s="16" t="str">
        <f aca="false">Payment_Log_AP!A383</f>
        <v>PAY40382</v>
      </c>
      <c r="B386" s="16" t="str">
        <f aca="false">Payment_Log_AP!C383</f>
        <v>V1023</v>
      </c>
      <c r="C386" s="16" t="str">
        <f aca="false">Payment_Log_AP!B383</f>
        <v>INV30440</v>
      </c>
      <c r="D386" s="17" t="n">
        <f aca="false">Payment_Log_AP!D383</f>
        <v>45984</v>
      </c>
      <c r="E386" s="18" t="n">
        <f aca="false">Payment_Log_AP!E383</f>
        <v>4223.32</v>
      </c>
      <c r="F386" s="17" t="n">
        <f aca="false">IFERROR(INDEX(Vendor_Invoices_AP!$D$2:$D$882,MATCH(C386,Vendor_Invoices_AP!$A$2:$A$882,0)),"")</f>
        <v>45968</v>
      </c>
      <c r="G386" s="16" t="n">
        <f aca="false">IF(F386="","",D386-F386)</f>
        <v>16</v>
      </c>
      <c r="H386" s="21" t="n">
        <f aca="false">IF(F386="","",DATE(YEAR(D386),MONTH(D386),1))</f>
        <v>45962</v>
      </c>
    </row>
    <row r="387" customFormat="false" ht="15" hidden="false" customHeight="false" outlineLevel="0" collapsed="false">
      <c r="A387" s="16" t="str">
        <f aca="false">Payment_Log_AP!A384</f>
        <v>PAY40383</v>
      </c>
      <c r="B387" s="16" t="str">
        <f aca="false">Payment_Log_AP!C384</f>
        <v>V1015</v>
      </c>
      <c r="C387" s="16" t="str">
        <f aca="false">Payment_Log_AP!B384</f>
        <v>INV30441</v>
      </c>
      <c r="D387" s="17" t="n">
        <f aca="false">Payment_Log_AP!D384</f>
        <v>46185</v>
      </c>
      <c r="E387" s="18" t="n">
        <f aca="false">Payment_Log_AP!E384</f>
        <v>1084.38</v>
      </c>
      <c r="F387" s="17" t="n">
        <f aca="false">IFERROR(INDEX(Vendor_Invoices_AP!$D$2:$D$882,MATCH(C387,Vendor_Invoices_AP!$A$2:$A$882,0)),"")</f>
        <v>46166</v>
      </c>
      <c r="G387" s="16" t="n">
        <f aca="false">IF(F387="","",D387-F387)</f>
        <v>19</v>
      </c>
      <c r="H387" s="21" t="n">
        <f aca="false">IF(F387="","",DATE(YEAR(D387),MONTH(D387),1))</f>
        <v>46174</v>
      </c>
    </row>
    <row r="388" customFormat="false" ht="15" hidden="false" customHeight="false" outlineLevel="0" collapsed="false">
      <c r="A388" s="16" t="str">
        <f aca="false">Payment_Log_AP!A385</f>
        <v>PAY40384</v>
      </c>
      <c r="B388" s="16" t="str">
        <f aca="false">Payment_Log_AP!C385</f>
        <v>V1037</v>
      </c>
      <c r="C388" s="16" t="str">
        <f aca="false">Payment_Log_AP!B385</f>
        <v>INV30442</v>
      </c>
      <c r="D388" s="17" t="n">
        <f aca="false">Payment_Log_AP!D385</f>
        <v>45908</v>
      </c>
      <c r="E388" s="18" t="n">
        <f aca="false">Payment_Log_AP!E385</f>
        <v>3288.85</v>
      </c>
      <c r="F388" s="17" t="n">
        <f aca="false">IFERROR(INDEX(Vendor_Invoices_AP!$D$2:$D$882,MATCH(C388,Vendor_Invoices_AP!$A$2:$A$882,0)),"")</f>
        <v>45905</v>
      </c>
      <c r="G388" s="16" t="n">
        <f aca="false">IF(F388="","",D388-F388)</f>
        <v>3</v>
      </c>
      <c r="H388" s="21" t="n">
        <f aca="false">IF(F388="","",DATE(YEAR(D388),MONTH(D388),1))</f>
        <v>45901</v>
      </c>
    </row>
    <row r="389" customFormat="false" ht="15" hidden="false" customHeight="false" outlineLevel="0" collapsed="false">
      <c r="A389" s="16" t="str">
        <f aca="false">Payment_Log_AP!A386</f>
        <v>PAY40385</v>
      </c>
      <c r="B389" s="16" t="str">
        <f aca="false">Payment_Log_AP!C386</f>
        <v>V1002</v>
      </c>
      <c r="C389" s="16" t="str">
        <f aca="false">Payment_Log_AP!B386</f>
        <v>INV30443</v>
      </c>
      <c r="D389" s="17" t="n">
        <f aca="false">Payment_Log_AP!D386</f>
        <v>46078</v>
      </c>
      <c r="E389" s="18" t="n">
        <f aca="false">Payment_Log_AP!E386</f>
        <v>2979.58</v>
      </c>
      <c r="F389" s="17" t="n">
        <f aca="false">IFERROR(INDEX(Vendor_Invoices_AP!$D$2:$D$882,MATCH(C389,Vendor_Invoices_AP!$A$2:$A$882,0)),"")</f>
        <v>46049</v>
      </c>
      <c r="G389" s="16" t="n">
        <f aca="false">IF(F389="","",D389-F389)</f>
        <v>29</v>
      </c>
      <c r="H389" s="21" t="n">
        <f aca="false">IF(F389="","",DATE(YEAR(D389),MONTH(D389),1))</f>
        <v>46054</v>
      </c>
    </row>
    <row r="390" customFormat="false" ht="15" hidden="false" customHeight="false" outlineLevel="0" collapsed="false">
      <c r="A390" s="16" t="str">
        <f aca="false">Payment_Log_AP!A387</f>
        <v>PAY40386</v>
      </c>
      <c r="B390" s="16" t="str">
        <f aca="false">Payment_Log_AP!C387</f>
        <v>V1018</v>
      </c>
      <c r="C390" s="16" t="str">
        <f aca="false">Payment_Log_AP!B387</f>
        <v>INV30444</v>
      </c>
      <c r="D390" s="17" t="n">
        <f aca="false">Payment_Log_AP!D387</f>
        <v>45732</v>
      </c>
      <c r="E390" s="18" t="n">
        <f aca="false">Payment_Log_AP!E387</f>
        <v>209.66</v>
      </c>
      <c r="F390" s="17" t="n">
        <f aca="false">IFERROR(INDEX(Vendor_Invoices_AP!$D$2:$D$882,MATCH(C390,Vendor_Invoices_AP!$A$2:$A$882,0)),"")</f>
        <v>45729</v>
      </c>
      <c r="G390" s="16" t="n">
        <f aca="false">IF(F390="","",D390-F390)</f>
        <v>3</v>
      </c>
      <c r="H390" s="21" t="n">
        <f aca="false">IF(F390="","",DATE(YEAR(D390),MONTH(D390),1))</f>
        <v>45717</v>
      </c>
    </row>
    <row r="391" customFormat="false" ht="15" hidden="false" customHeight="false" outlineLevel="0" collapsed="false">
      <c r="A391" s="16" t="str">
        <f aca="false">Payment_Log_AP!A388</f>
        <v>PAY40387</v>
      </c>
      <c r="B391" s="16" t="str">
        <f aca="false">Payment_Log_AP!C388</f>
        <v>V1037</v>
      </c>
      <c r="C391" s="16" t="str">
        <f aca="false">Payment_Log_AP!B388</f>
        <v>INV30445</v>
      </c>
      <c r="D391" s="17" t="n">
        <f aca="false">Payment_Log_AP!D388</f>
        <v>46198</v>
      </c>
      <c r="E391" s="18" t="n">
        <f aca="false">Payment_Log_AP!E388</f>
        <v>3415.67</v>
      </c>
      <c r="F391" s="17" t="n">
        <f aca="false">IFERROR(INDEX(Vendor_Invoices_AP!$D$2:$D$882,MATCH(C391,Vendor_Invoices_AP!$A$2:$A$882,0)),"")</f>
        <v>46196</v>
      </c>
      <c r="G391" s="16" t="n">
        <f aca="false">IF(F391="","",D391-F391)</f>
        <v>2</v>
      </c>
      <c r="H391" s="21" t="n">
        <f aca="false">IF(F391="","",DATE(YEAR(D391),MONTH(D391),1))</f>
        <v>46174</v>
      </c>
    </row>
    <row r="392" customFormat="false" ht="15" hidden="false" customHeight="false" outlineLevel="0" collapsed="false">
      <c r="A392" s="16" t="str">
        <f aca="false">Payment_Log_AP!A389</f>
        <v>PAY40388</v>
      </c>
      <c r="B392" s="16" t="str">
        <f aca="false">Payment_Log_AP!C389</f>
        <v>V1026</v>
      </c>
      <c r="C392" s="16" t="str">
        <f aca="false">Payment_Log_AP!B389</f>
        <v>INV30447</v>
      </c>
      <c r="D392" s="17" t="n">
        <f aca="false">Payment_Log_AP!D389</f>
        <v>46011</v>
      </c>
      <c r="E392" s="18" t="n">
        <f aca="false">Payment_Log_AP!E389</f>
        <v>1992.56</v>
      </c>
      <c r="F392" s="17" t="n">
        <f aca="false">IFERROR(INDEX(Vendor_Invoices_AP!$D$2:$D$882,MATCH(C392,Vendor_Invoices_AP!$A$2:$A$882,0)),"")</f>
        <v>46007</v>
      </c>
      <c r="G392" s="16" t="n">
        <f aca="false">IF(F392="","",D392-F392)</f>
        <v>4</v>
      </c>
      <c r="H392" s="21" t="n">
        <f aca="false">IF(F392="","",DATE(YEAR(D392),MONTH(D392),1))</f>
        <v>45992</v>
      </c>
    </row>
    <row r="393" customFormat="false" ht="15" hidden="false" customHeight="false" outlineLevel="0" collapsed="false">
      <c r="A393" s="16" t="str">
        <f aca="false">Payment_Log_AP!A390</f>
        <v>PAY40389</v>
      </c>
      <c r="B393" s="16" t="str">
        <f aca="false">Payment_Log_AP!C390</f>
        <v>V1001</v>
      </c>
      <c r="C393" s="16" t="str">
        <f aca="false">Payment_Log_AP!B390</f>
        <v>INV30448</v>
      </c>
      <c r="D393" s="17" t="n">
        <f aca="false">Payment_Log_AP!D390</f>
        <v>45820</v>
      </c>
      <c r="E393" s="18" t="n">
        <f aca="false">Payment_Log_AP!E390</f>
        <v>2035.46</v>
      </c>
      <c r="F393" s="17" t="n">
        <f aca="false">IFERROR(INDEX(Vendor_Invoices_AP!$D$2:$D$882,MATCH(C393,Vendor_Invoices_AP!$A$2:$A$882,0)),"")</f>
        <v>45805</v>
      </c>
      <c r="G393" s="16" t="n">
        <f aca="false">IF(F393="","",D393-F393)</f>
        <v>15</v>
      </c>
      <c r="H393" s="21" t="n">
        <f aca="false">IF(F393="","",DATE(YEAR(D393),MONTH(D393),1))</f>
        <v>45809</v>
      </c>
    </row>
    <row r="394" customFormat="false" ht="15" hidden="false" customHeight="false" outlineLevel="0" collapsed="false">
      <c r="A394" s="16" t="str">
        <f aca="false">Payment_Log_AP!A391</f>
        <v>PAY40390</v>
      </c>
      <c r="B394" s="16" t="str">
        <f aca="false">Payment_Log_AP!C391</f>
        <v>V1006</v>
      </c>
      <c r="C394" s="16" t="str">
        <f aca="false">Payment_Log_AP!B391</f>
        <v>INV30449</v>
      </c>
      <c r="D394" s="17" t="n">
        <f aca="false">Payment_Log_AP!D391</f>
        <v>45757</v>
      </c>
      <c r="E394" s="18" t="n">
        <f aca="false">Payment_Log_AP!E391</f>
        <v>9019.36</v>
      </c>
      <c r="F394" s="17" t="n">
        <f aca="false">IFERROR(INDEX(Vendor_Invoices_AP!$D$2:$D$882,MATCH(C394,Vendor_Invoices_AP!$A$2:$A$882,0)),"")</f>
        <v>45756</v>
      </c>
      <c r="G394" s="16" t="n">
        <f aca="false">IF(F394="","",D394-F394)</f>
        <v>1</v>
      </c>
      <c r="H394" s="21" t="n">
        <f aca="false">IF(F394="","",DATE(YEAR(D394),MONTH(D394),1))</f>
        <v>45748</v>
      </c>
    </row>
    <row r="395" customFormat="false" ht="15" hidden="false" customHeight="false" outlineLevel="0" collapsed="false">
      <c r="A395" s="16" t="str">
        <f aca="false">Payment_Log_AP!A392</f>
        <v>PAY40391</v>
      </c>
      <c r="B395" s="16" t="str">
        <f aca="false">Payment_Log_AP!C392</f>
        <v>V1016</v>
      </c>
      <c r="C395" s="16" t="str">
        <f aca="false">Payment_Log_AP!B392</f>
        <v>INV30450</v>
      </c>
      <c r="D395" s="17" t="n">
        <f aca="false">Payment_Log_AP!D392</f>
        <v>45989</v>
      </c>
      <c r="E395" s="18" t="n">
        <f aca="false">Payment_Log_AP!E392</f>
        <v>1812.95</v>
      </c>
      <c r="F395" s="17" t="n">
        <f aca="false">IFERROR(INDEX(Vendor_Invoices_AP!$D$2:$D$882,MATCH(C395,Vendor_Invoices_AP!$A$2:$A$882,0)),"")</f>
        <v>45976</v>
      </c>
      <c r="G395" s="16" t="n">
        <f aca="false">IF(F395="","",D395-F395)</f>
        <v>13</v>
      </c>
      <c r="H395" s="21" t="n">
        <f aca="false">IF(F395="","",DATE(YEAR(D395),MONTH(D395),1))</f>
        <v>45962</v>
      </c>
    </row>
    <row r="396" customFormat="false" ht="15" hidden="false" customHeight="false" outlineLevel="0" collapsed="false">
      <c r="A396" s="16" t="str">
        <f aca="false">Payment_Log_AP!A393</f>
        <v>PAY40392</v>
      </c>
      <c r="B396" s="16" t="str">
        <f aca="false">Payment_Log_AP!C393</f>
        <v>V1023</v>
      </c>
      <c r="C396" s="16" t="str">
        <f aca="false">Payment_Log_AP!B393</f>
        <v>INV30451</v>
      </c>
      <c r="D396" s="17" t="n">
        <f aca="false">Payment_Log_AP!D393</f>
        <v>45997</v>
      </c>
      <c r="E396" s="18" t="n">
        <f aca="false">Payment_Log_AP!E393</f>
        <v>1047.46</v>
      </c>
      <c r="F396" s="17" t="n">
        <f aca="false">IFERROR(INDEX(Vendor_Invoices_AP!$D$2:$D$882,MATCH(C396,Vendor_Invoices_AP!$A$2:$A$882,0)),"")</f>
        <v>45983</v>
      </c>
      <c r="G396" s="16" t="n">
        <f aca="false">IF(F396="","",D396-F396)</f>
        <v>14</v>
      </c>
      <c r="H396" s="21" t="n">
        <f aca="false">IF(F396="","",DATE(YEAR(D396),MONTH(D396),1))</f>
        <v>45992</v>
      </c>
    </row>
    <row r="397" customFormat="false" ht="15" hidden="false" customHeight="false" outlineLevel="0" collapsed="false">
      <c r="A397" s="16" t="str">
        <f aca="false">Payment_Log_AP!A394</f>
        <v>PAY40393</v>
      </c>
      <c r="B397" s="16" t="str">
        <f aca="false">Payment_Log_AP!C394</f>
        <v>V1009</v>
      </c>
      <c r="C397" s="16" t="str">
        <f aca="false">Payment_Log_AP!B394</f>
        <v>INV30452</v>
      </c>
      <c r="D397" s="17" t="n">
        <f aca="false">Payment_Log_AP!D394</f>
        <v>45727</v>
      </c>
      <c r="E397" s="18" t="n">
        <f aca="false">Payment_Log_AP!E394</f>
        <v>3396.34</v>
      </c>
      <c r="F397" s="17" t="n">
        <f aca="false">IFERROR(INDEX(Vendor_Invoices_AP!$D$2:$D$882,MATCH(C397,Vendor_Invoices_AP!$A$2:$A$882,0)),"")</f>
        <v>45713</v>
      </c>
      <c r="G397" s="16" t="n">
        <f aca="false">IF(F397="","",D397-F397)</f>
        <v>14</v>
      </c>
      <c r="H397" s="21" t="n">
        <f aca="false">IF(F397="","",DATE(YEAR(D397),MONTH(D397),1))</f>
        <v>45717</v>
      </c>
    </row>
    <row r="398" customFormat="false" ht="15" hidden="false" customHeight="false" outlineLevel="0" collapsed="false">
      <c r="A398" s="16" t="str">
        <f aca="false">Payment_Log_AP!A395</f>
        <v>PAY40394</v>
      </c>
      <c r="B398" s="16" t="str">
        <f aca="false">Payment_Log_AP!C395</f>
        <v>V1013</v>
      </c>
      <c r="C398" s="16" t="str">
        <f aca="false">Payment_Log_AP!B395</f>
        <v>INV30454</v>
      </c>
      <c r="D398" s="17" t="n">
        <f aca="false">Payment_Log_AP!D395</f>
        <v>46171</v>
      </c>
      <c r="E398" s="18" t="n">
        <f aca="false">Payment_Log_AP!E395</f>
        <v>1201.82</v>
      </c>
      <c r="F398" s="17" t="n">
        <f aca="false">IFERROR(INDEX(Vendor_Invoices_AP!$D$2:$D$882,MATCH(C398,Vendor_Invoices_AP!$A$2:$A$882,0)),"")</f>
        <v>46158</v>
      </c>
      <c r="G398" s="16" t="n">
        <f aca="false">IF(F398="","",D398-F398)</f>
        <v>13</v>
      </c>
      <c r="H398" s="21" t="n">
        <f aca="false">IF(F398="","",DATE(YEAR(D398),MONTH(D398),1))</f>
        <v>46143</v>
      </c>
    </row>
    <row r="399" customFormat="false" ht="15" hidden="false" customHeight="false" outlineLevel="0" collapsed="false">
      <c r="A399" s="16" t="str">
        <f aca="false">Payment_Log_AP!A396</f>
        <v>PAY40395</v>
      </c>
      <c r="B399" s="16" t="str">
        <f aca="false">Payment_Log_AP!C396</f>
        <v>V1010</v>
      </c>
      <c r="C399" s="16" t="str">
        <f aca="false">Payment_Log_AP!B396</f>
        <v>INV30455</v>
      </c>
      <c r="D399" s="17" t="n">
        <f aca="false">Payment_Log_AP!D396</f>
        <v>45954</v>
      </c>
      <c r="E399" s="18" t="n">
        <f aca="false">Payment_Log_AP!E396</f>
        <v>1494.41</v>
      </c>
      <c r="F399" s="17" t="n">
        <f aca="false">IFERROR(INDEX(Vendor_Invoices_AP!$D$2:$D$882,MATCH(C399,Vendor_Invoices_AP!$A$2:$A$882,0)),"")</f>
        <v>45934</v>
      </c>
      <c r="G399" s="16" t="n">
        <f aca="false">IF(F399="","",D399-F399)</f>
        <v>20</v>
      </c>
      <c r="H399" s="21" t="n">
        <f aca="false">IF(F399="","",DATE(YEAR(D399),MONTH(D399),1))</f>
        <v>45931</v>
      </c>
    </row>
    <row r="400" customFormat="false" ht="15" hidden="false" customHeight="false" outlineLevel="0" collapsed="false">
      <c r="A400" s="16" t="str">
        <f aca="false">Payment_Log_AP!A397</f>
        <v>PAY40396</v>
      </c>
      <c r="B400" s="16" t="str">
        <f aca="false">Payment_Log_AP!C397</f>
        <v>V1018</v>
      </c>
      <c r="C400" s="16" t="str">
        <f aca="false">Payment_Log_AP!B397</f>
        <v>INV30457</v>
      </c>
      <c r="D400" s="17" t="n">
        <f aca="false">Payment_Log_AP!D397</f>
        <v>46150</v>
      </c>
      <c r="E400" s="18" t="n">
        <f aca="false">Payment_Log_AP!E397</f>
        <v>2064.66</v>
      </c>
      <c r="F400" s="17" t="n">
        <f aca="false">IFERROR(INDEX(Vendor_Invoices_AP!$D$2:$D$882,MATCH(C400,Vendor_Invoices_AP!$A$2:$A$882,0)),"")</f>
        <v>46119</v>
      </c>
      <c r="G400" s="16" t="n">
        <f aca="false">IF(F400="","",D400-F400)</f>
        <v>31</v>
      </c>
      <c r="H400" s="21" t="n">
        <f aca="false">IF(F400="","",DATE(YEAR(D400),MONTH(D400),1))</f>
        <v>46143</v>
      </c>
    </row>
    <row r="401" customFormat="false" ht="15" hidden="false" customHeight="false" outlineLevel="0" collapsed="false">
      <c r="A401" s="16" t="str">
        <f aca="false">Payment_Log_AP!A398</f>
        <v>PAY40397</v>
      </c>
      <c r="B401" s="16" t="str">
        <f aca="false">Payment_Log_AP!C398</f>
        <v>V1018</v>
      </c>
      <c r="C401" s="16" t="str">
        <f aca="false">Payment_Log_AP!B398</f>
        <v>INV30458</v>
      </c>
      <c r="D401" s="17" t="n">
        <f aca="false">Payment_Log_AP!D398</f>
        <v>45966</v>
      </c>
      <c r="E401" s="18" t="n">
        <f aca="false">Payment_Log_AP!E398</f>
        <v>882.52</v>
      </c>
      <c r="F401" s="17" t="n">
        <f aca="false">IFERROR(INDEX(Vendor_Invoices_AP!$D$2:$D$882,MATCH(C401,Vendor_Invoices_AP!$A$2:$A$882,0)),"")</f>
        <v>45941</v>
      </c>
      <c r="G401" s="16" t="n">
        <f aca="false">IF(F401="","",D401-F401)</f>
        <v>25</v>
      </c>
      <c r="H401" s="21" t="n">
        <f aca="false">IF(F401="","",DATE(YEAR(D401),MONTH(D401),1))</f>
        <v>45962</v>
      </c>
    </row>
    <row r="402" customFormat="false" ht="15" hidden="false" customHeight="false" outlineLevel="0" collapsed="false">
      <c r="A402" s="16" t="str">
        <f aca="false">Payment_Log_AP!A399</f>
        <v>PAY40398</v>
      </c>
      <c r="B402" s="16" t="str">
        <f aca="false">Payment_Log_AP!C399</f>
        <v>V1028</v>
      </c>
      <c r="C402" s="16" t="str">
        <f aca="false">Payment_Log_AP!B399</f>
        <v>INV30459</v>
      </c>
      <c r="D402" s="17" t="n">
        <f aca="false">Payment_Log_AP!D399</f>
        <v>46086</v>
      </c>
      <c r="E402" s="18" t="n">
        <f aca="false">Payment_Log_AP!E399</f>
        <v>3855.85</v>
      </c>
      <c r="F402" s="17" t="n">
        <f aca="false">IFERROR(INDEX(Vendor_Invoices_AP!$D$2:$D$882,MATCH(C402,Vendor_Invoices_AP!$A$2:$A$882,0)),"")</f>
        <v>46058</v>
      </c>
      <c r="G402" s="16" t="n">
        <f aca="false">IF(F402="","",D402-F402)</f>
        <v>28</v>
      </c>
      <c r="H402" s="21" t="n">
        <f aca="false">IF(F402="","",DATE(YEAR(D402),MONTH(D402),1))</f>
        <v>46082</v>
      </c>
    </row>
    <row r="403" customFormat="false" ht="15" hidden="false" customHeight="false" outlineLevel="0" collapsed="false">
      <c r="A403" s="16" t="str">
        <f aca="false">Payment_Log_AP!A400</f>
        <v>PAY40399</v>
      </c>
      <c r="B403" s="16" t="str">
        <f aca="false">Payment_Log_AP!C400</f>
        <v>V1027</v>
      </c>
      <c r="C403" s="16" t="str">
        <f aca="false">Payment_Log_AP!B400</f>
        <v>INV30460</v>
      </c>
      <c r="D403" s="17" t="n">
        <f aca="false">Payment_Log_AP!D400</f>
        <v>45939</v>
      </c>
      <c r="E403" s="18" t="n">
        <f aca="false">Payment_Log_AP!E400</f>
        <v>1396.94</v>
      </c>
      <c r="F403" s="17" t="n">
        <f aca="false">IFERROR(INDEX(Vendor_Invoices_AP!$D$2:$D$882,MATCH(C403,Vendor_Invoices_AP!$A$2:$A$882,0)),"")</f>
        <v>45937</v>
      </c>
      <c r="G403" s="16" t="n">
        <f aca="false">IF(F403="","",D403-F403)</f>
        <v>2</v>
      </c>
      <c r="H403" s="21" t="n">
        <f aca="false">IF(F403="","",DATE(YEAR(D403),MONTH(D403),1))</f>
        <v>45931</v>
      </c>
    </row>
    <row r="404" customFormat="false" ht="15" hidden="false" customHeight="false" outlineLevel="0" collapsed="false">
      <c r="A404" s="16" t="str">
        <f aca="false">Payment_Log_AP!A401</f>
        <v>PAY40400</v>
      </c>
      <c r="B404" s="16" t="str">
        <f aca="false">Payment_Log_AP!C401</f>
        <v>V1038</v>
      </c>
      <c r="C404" s="16" t="str">
        <f aca="false">Payment_Log_AP!B401</f>
        <v>INV30461</v>
      </c>
      <c r="D404" s="17" t="n">
        <f aca="false">Payment_Log_AP!D401</f>
        <v>45832</v>
      </c>
      <c r="E404" s="18" t="n">
        <f aca="false">Payment_Log_AP!E401</f>
        <v>1284.51</v>
      </c>
      <c r="F404" s="17" t="n">
        <f aca="false">IFERROR(INDEX(Vendor_Invoices_AP!$D$2:$D$882,MATCH(C404,Vendor_Invoices_AP!$A$2:$A$882,0)),"")</f>
        <v>45812</v>
      </c>
      <c r="G404" s="16" t="n">
        <f aca="false">IF(F404="","",D404-F404)</f>
        <v>20</v>
      </c>
      <c r="H404" s="21" t="n">
        <f aca="false">IF(F404="","",DATE(YEAR(D404),MONTH(D404),1))</f>
        <v>45809</v>
      </c>
    </row>
    <row r="405" customFormat="false" ht="15" hidden="false" customHeight="false" outlineLevel="0" collapsed="false">
      <c r="A405" s="16" t="str">
        <f aca="false">Payment_Log_AP!A402</f>
        <v>PAY40401</v>
      </c>
      <c r="B405" s="16" t="str">
        <f aca="false">Payment_Log_AP!C402</f>
        <v>V1030</v>
      </c>
      <c r="C405" s="16" t="str">
        <f aca="false">Payment_Log_AP!B402</f>
        <v>INV30462</v>
      </c>
      <c r="D405" s="17" t="n">
        <f aca="false">Payment_Log_AP!D402</f>
        <v>46149</v>
      </c>
      <c r="E405" s="18" t="n">
        <f aca="false">Payment_Log_AP!E402</f>
        <v>3088.46</v>
      </c>
      <c r="F405" s="17" t="n">
        <f aca="false">IFERROR(INDEX(Vendor_Invoices_AP!$D$2:$D$882,MATCH(C405,Vendor_Invoices_AP!$A$2:$A$882,0)),"")</f>
        <v>46124</v>
      </c>
      <c r="G405" s="16" t="n">
        <f aca="false">IF(F405="","",D405-F405)</f>
        <v>25</v>
      </c>
      <c r="H405" s="21" t="n">
        <f aca="false">IF(F405="","",DATE(YEAR(D405),MONTH(D405),1))</f>
        <v>46143</v>
      </c>
    </row>
    <row r="406" customFormat="false" ht="15" hidden="false" customHeight="false" outlineLevel="0" collapsed="false">
      <c r="A406" s="16" t="str">
        <f aca="false">Payment_Log_AP!A403</f>
        <v>PAY40402</v>
      </c>
      <c r="B406" s="16" t="str">
        <f aca="false">Payment_Log_AP!C403</f>
        <v>V1009</v>
      </c>
      <c r="C406" s="16" t="str">
        <f aca="false">Payment_Log_AP!B403</f>
        <v>INV30464</v>
      </c>
      <c r="D406" s="17" t="n">
        <f aca="false">Payment_Log_AP!D403</f>
        <v>45810</v>
      </c>
      <c r="E406" s="18" t="n">
        <f aca="false">Payment_Log_AP!E403</f>
        <v>3083.99</v>
      </c>
      <c r="F406" s="17" t="n">
        <f aca="false">IFERROR(INDEX(Vendor_Invoices_AP!$D$2:$D$882,MATCH(C406,Vendor_Invoices_AP!$A$2:$A$882,0)),"")</f>
        <v>45801</v>
      </c>
      <c r="G406" s="16" t="n">
        <f aca="false">IF(F406="","",D406-F406)</f>
        <v>9</v>
      </c>
      <c r="H406" s="21" t="n">
        <f aca="false">IF(F406="","",DATE(YEAR(D406),MONTH(D406),1))</f>
        <v>45809</v>
      </c>
    </row>
    <row r="407" customFormat="false" ht="15" hidden="false" customHeight="false" outlineLevel="0" collapsed="false">
      <c r="A407" s="16" t="str">
        <f aca="false">Payment_Log_AP!A404</f>
        <v>PAY40403</v>
      </c>
      <c r="B407" s="16" t="str">
        <f aca="false">Payment_Log_AP!C404</f>
        <v>V1019</v>
      </c>
      <c r="C407" s="16" t="str">
        <f aca="false">Payment_Log_AP!B404</f>
        <v>INV30466</v>
      </c>
      <c r="D407" s="17" t="n">
        <f aca="false">Payment_Log_AP!D404</f>
        <v>45903</v>
      </c>
      <c r="E407" s="18" t="n">
        <f aca="false">Payment_Log_AP!E404</f>
        <v>1846.25</v>
      </c>
      <c r="F407" s="17" t="n">
        <f aca="false">IFERROR(INDEX(Vendor_Invoices_AP!$D$2:$D$882,MATCH(C407,Vendor_Invoices_AP!$A$2:$A$882,0)),"")</f>
        <v>45870</v>
      </c>
      <c r="G407" s="16" t="n">
        <f aca="false">IF(F407="","",D407-F407)</f>
        <v>33</v>
      </c>
      <c r="H407" s="21" t="n">
        <f aca="false">IF(F407="","",DATE(YEAR(D407),MONTH(D407),1))</f>
        <v>45901</v>
      </c>
    </row>
    <row r="408" customFormat="false" ht="15" hidden="false" customHeight="false" outlineLevel="0" collapsed="false">
      <c r="A408" s="16" t="str">
        <f aca="false">Payment_Log_AP!A405</f>
        <v>PAY40404</v>
      </c>
      <c r="B408" s="16" t="str">
        <f aca="false">Payment_Log_AP!C405</f>
        <v>V1016</v>
      </c>
      <c r="C408" s="16" t="str">
        <f aca="false">Payment_Log_AP!B405</f>
        <v>INV30470</v>
      </c>
      <c r="D408" s="17" t="n">
        <f aca="false">Payment_Log_AP!D405</f>
        <v>46168</v>
      </c>
      <c r="E408" s="18" t="n">
        <f aca="false">Payment_Log_AP!E405</f>
        <v>4660.66</v>
      </c>
      <c r="F408" s="17" t="n">
        <f aca="false">IFERROR(INDEX(Vendor_Invoices_AP!$D$2:$D$882,MATCH(C408,Vendor_Invoices_AP!$A$2:$A$882,0)),"")</f>
        <v>46136</v>
      </c>
      <c r="G408" s="16" t="n">
        <f aca="false">IF(F408="","",D408-F408)</f>
        <v>32</v>
      </c>
      <c r="H408" s="21" t="n">
        <f aca="false">IF(F408="","",DATE(YEAR(D408),MONTH(D408),1))</f>
        <v>46143</v>
      </c>
    </row>
    <row r="409" customFormat="false" ht="15" hidden="false" customHeight="false" outlineLevel="0" collapsed="false">
      <c r="A409" s="16" t="str">
        <f aca="false">Payment_Log_AP!A406</f>
        <v>PAY40405</v>
      </c>
      <c r="B409" s="16" t="str">
        <f aca="false">Payment_Log_AP!C406</f>
        <v>V1011</v>
      </c>
      <c r="C409" s="16" t="str">
        <f aca="false">Payment_Log_AP!B406</f>
        <v>INV30471</v>
      </c>
      <c r="D409" s="17" t="n">
        <f aca="false">Payment_Log_AP!D406</f>
        <v>45854</v>
      </c>
      <c r="E409" s="18" t="n">
        <f aca="false">Payment_Log_AP!E406</f>
        <v>4354.54</v>
      </c>
      <c r="F409" s="17" t="n">
        <f aca="false">IFERROR(INDEX(Vendor_Invoices_AP!$D$2:$D$882,MATCH(C409,Vendor_Invoices_AP!$A$2:$A$882,0)),"")</f>
        <v>45827</v>
      </c>
      <c r="G409" s="16" t="n">
        <f aca="false">IF(F409="","",D409-F409)</f>
        <v>27</v>
      </c>
      <c r="H409" s="21" t="n">
        <f aca="false">IF(F409="","",DATE(YEAR(D409),MONTH(D409),1))</f>
        <v>45839</v>
      </c>
    </row>
    <row r="410" customFormat="false" ht="15" hidden="false" customHeight="false" outlineLevel="0" collapsed="false">
      <c r="A410" s="16" t="str">
        <f aca="false">Payment_Log_AP!A407</f>
        <v>PAY40406</v>
      </c>
      <c r="B410" s="16" t="str">
        <f aca="false">Payment_Log_AP!C407</f>
        <v>V1007</v>
      </c>
      <c r="C410" s="16" t="str">
        <f aca="false">Payment_Log_AP!B407</f>
        <v>INV30472</v>
      </c>
      <c r="D410" s="17" t="n">
        <f aca="false">Payment_Log_AP!D407</f>
        <v>46115</v>
      </c>
      <c r="E410" s="18" t="n">
        <f aca="false">Payment_Log_AP!E407</f>
        <v>1820.28</v>
      </c>
      <c r="F410" s="17" t="n">
        <f aca="false">IFERROR(INDEX(Vendor_Invoices_AP!$D$2:$D$882,MATCH(C410,Vendor_Invoices_AP!$A$2:$A$882,0)),"")</f>
        <v>46104</v>
      </c>
      <c r="G410" s="16" t="n">
        <f aca="false">IF(F410="","",D410-F410)</f>
        <v>11</v>
      </c>
      <c r="H410" s="21" t="n">
        <f aca="false">IF(F410="","",DATE(YEAR(D410),MONTH(D410),1))</f>
        <v>46113</v>
      </c>
    </row>
    <row r="411" customFormat="false" ht="15" hidden="false" customHeight="false" outlineLevel="0" collapsed="false">
      <c r="A411" s="16" t="str">
        <f aca="false">Payment_Log_AP!A408</f>
        <v>PAY40407</v>
      </c>
      <c r="B411" s="16" t="str">
        <f aca="false">Payment_Log_AP!C408</f>
        <v>V1013</v>
      </c>
      <c r="C411" s="16" t="str">
        <f aca="false">Payment_Log_AP!B408</f>
        <v>INV30475</v>
      </c>
      <c r="D411" s="17" t="n">
        <f aca="false">Payment_Log_AP!D408</f>
        <v>45983</v>
      </c>
      <c r="E411" s="18" t="n">
        <f aca="false">Payment_Log_AP!E408</f>
        <v>1334.13</v>
      </c>
      <c r="F411" s="17" t="n">
        <f aca="false">IFERROR(INDEX(Vendor_Invoices_AP!$D$2:$D$882,MATCH(C411,Vendor_Invoices_AP!$A$2:$A$882,0)),"")</f>
        <v>45951</v>
      </c>
      <c r="G411" s="16" t="n">
        <f aca="false">IF(F411="","",D411-F411)</f>
        <v>32</v>
      </c>
      <c r="H411" s="21" t="n">
        <f aca="false">IF(F411="","",DATE(YEAR(D411),MONTH(D411),1))</f>
        <v>45962</v>
      </c>
    </row>
    <row r="412" customFormat="false" ht="15" hidden="false" customHeight="false" outlineLevel="0" collapsed="false">
      <c r="A412" s="16" t="str">
        <f aca="false">Payment_Log_AP!A409</f>
        <v>PAY40408</v>
      </c>
      <c r="B412" s="16" t="str">
        <f aca="false">Payment_Log_AP!C409</f>
        <v>V1011</v>
      </c>
      <c r="C412" s="16" t="str">
        <f aca="false">Payment_Log_AP!B409</f>
        <v>INV30476</v>
      </c>
      <c r="D412" s="17" t="n">
        <f aca="false">Payment_Log_AP!D409</f>
        <v>46154</v>
      </c>
      <c r="E412" s="18" t="n">
        <f aca="false">Payment_Log_AP!E409</f>
        <v>2328.91</v>
      </c>
      <c r="F412" s="17" t="n">
        <f aca="false">IFERROR(INDEX(Vendor_Invoices_AP!$D$2:$D$882,MATCH(C412,Vendor_Invoices_AP!$A$2:$A$882,0)),"")</f>
        <v>46126</v>
      </c>
      <c r="G412" s="16" t="n">
        <f aca="false">IF(F412="","",D412-F412)</f>
        <v>28</v>
      </c>
      <c r="H412" s="21" t="n">
        <f aca="false">IF(F412="","",DATE(YEAR(D412),MONTH(D412),1))</f>
        <v>46143</v>
      </c>
    </row>
    <row r="413" customFormat="false" ht="15" hidden="false" customHeight="false" outlineLevel="0" collapsed="false">
      <c r="A413" s="16" t="str">
        <f aca="false">Payment_Log_AP!A410</f>
        <v>PAY40409</v>
      </c>
      <c r="B413" s="16" t="str">
        <f aca="false">Payment_Log_AP!C410</f>
        <v>V1036</v>
      </c>
      <c r="C413" s="16" t="str">
        <f aca="false">Payment_Log_AP!B410</f>
        <v>INV30477</v>
      </c>
      <c r="D413" s="17" t="n">
        <f aca="false">Payment_Log_AP!D410</f>
        <v>45843</v>
      </c>
      <c r="E413" s="18" t="n">
        <f aca="false">Payment_Log_AP!E410</f>
        <v>460.42</v>
      </c>
      <c r="F413" s="17" t="n">
        <f aca="false">IFERROR(INDEX(Vendor_Invoices_AP!$D$2:$D$882,MATCH(C413,Vendor_Invoices_AP!$A$2:$A$882,0)),"")</f>
        <v>45819</v>
      </c>
      <c r="G413" s="16" t="n">
        <f aca="false">IF(F413="","",D413-F413)</f>
        <v>24</v>
      </c>
      <c r="H413" s="21" t="n">
        <f aca="false">IF(F413="","",DATE(YEAR(D413),MONTH(D413),1))</f>
        <v>45839</v>
      </c>
    </row>
    <row r="414" customFormat="false" ht="15" hidden="false" customHeight="false" outlineLevel="0" collapsed="false">
      <c r="A414" s="16" t="str">
        <f aca="false">Payment_Log_AP!A411</f>
        <v>PAY40410</v>
      </c>
      <c r="B414" s="16" t="str">
        <f aca="false">Payment_Log_AP!C411</f>
        <v>V1030</v>
      </c>
      <c r="C414" s="16" t="str">
        <f aca="false">Payment_Log_AP!B411</f>
        <v>INV30478</v>
      </c>
      <c r="D414" s="17" t="n">
        <f aca="false">Payment_Log_AP!D411</f>
        <v>45849</v>
      </c>
      <c r="E414" s="18" t="n">
        <f aca="false">Payment_Log_AP!E411</f>
        <v>820.42</v>
      </c>
      <c r="F414" s="17" t="n">
        <f aca="false">IFERROR(INDEX(Vendor_Invoices_AP!$D$2:$D$882,MATCH(C414,Vendor_Invoices_AP!$A$2:$A$882,0)),"")</f>
        <v>45832</v>
      </c>
      <c r="G414" s="16" t="n">
        <f aca="false">IF(F414="","",D414-F414)</f>
        <v>17</v>
      </c>
      <c r="H414" s="21" t="n">
        <f aca="false">IF(F414="","",DATE(YEAR(D414),MONTH(D414),1))</f>
        <v>45839</v>
      </c>
    </row>
    <row r="415" customFormat="false" ht="15" hidden="false" customHeight="false" outlineLevel="0" collapsed="false">
      <c r="A415" s="16" t="str">
        <f aca="false">Payment_Log_AP!A412</f>
        <v>PAY40411</v>
      </c>
      <c r="B415" s="16" t="str">
        <f aca="false">Payment_Log_AP!C412</f>
        <v>V1028</v>
      </c>
      <c r="C415" s="16" t="str">
        <f aca="false">Payment_Log_AP!B412</f>
        <v>INV30479</v>
      </c>
      <c r="D415" s="17" t="n">
        <f aca="false">Payment_Log_AP!D412</f>
        <v>46010</v>
      </c>
      <c r="E415" s="18" t="n">
        <f aca="false">Payment_Log_AP!E412</f>
        <v>1135.98</v>
      </c>
      <c r="F415" s="17" t="n">
        <f aca="false">IFERROR(INDEX(Vendor_Invoices_AP!$D$2:$D$882,MATCH(C415,Vendor_Invoices_AP!$A$2:$A$882,0)),"")</f>
        <v>45994</v>
      </c>
      <c r="G415" s="16" t="n">
        <f aca="false">IF(F415="","",D415-F415)</f>
        <v>16</v>
      </c>
      <c r="H415" s="21" t="n">
        <f aca="false">IF(F415="","",DATE(YEAR(D415),MONTH(D415),1))</f>
        <v>45992</v>
      </c>
    </row>
    <row r="416" customFormat="false" ht="15" hidden="false" customHeight="false" outlineLevel="0" collapsed="false">
      <c r="A416" s="16" t="str">
        <f aca="false">Payment_Log_AP!A413</f>
        <v>PAY40412</v>
      </c>
      <c r="B416" s="16" t="str">
        <f aca="false">Payment_Log_AP!C413</f>
        <v>V1028</v>
      </c>
      <c r="C416" s="16" t="str">
        <f aca="false">Payment_Log_AP!B413</f>
        <v>INV30479</v>
      </c>
      <c r="D416" s="17" t="n">
        <f aca="false">Payment_Log_AP!D413</f>
        <v>46012</v>
      </c>
      <c r="E416" s="18" t="n">
        <f aca="false">Payment_Log_AP!E413</f>
        <v>1135.98</v>
      </c>
      <c r="F416" s="17" t="n">
        <f aca="false">IFERROR(INDEX(Vendor_Invoices_AP!$D$2:$D$882,MATCH(C416,Vendor_Invoices_AP!$A$2:$A$882,0)),"")</f>
        <v>45994</v>
      </c>
      <c r="G416" s="16" t="n">
        <f aca="false">IF(F416="","",D416-F416)</f>
        <v>18</v>
      </c>
      <c r="H416" s="21" t="n">
        <f aca="false">IF(F416="","",DATE(YEAR(D416),MONTH(D416),1))</f>
        <v>45992</v>
      </c>
    </row>
    <row r="417" customFormat="false" ht="15" hidden="false" customHeight="false" outlineLevel="0" collapsed="false">
      <c r="A417" s="16" t="str">
        <f aca="false">Payment_Log_AP!A414</f>
        <v>PAY40413</v>
      </c>
      <c r="B417" s="16" t="str">
        <f aca="false">Payment_Log_AP!C414</f>
        <v>V1028</v>
      </c>
      <c r="C417" s="16" t="str">
        <f aca="false">Payment_Log_AP!B414</f>
        <v>INV30480</v>
      </c>
      <c r="D417" s="17" t="n">
        <f aca="false">Payment_Log_AP!D414</f>
        <v>46000</v>
      </c>
      <c r="E417" s="18" t="n">
        <f aca="false">Payment_Log_AP!E414</f>
        <v>1135.98</v>
      </c>
      <c r="F417" s="17" t="n">
        <f aca="false">IFERROR(INDEX(Vendor_Invoices_AP!$D$2:$D$882,MATCH(C417,Vendor_Invoices_AP!$A$2:$A$882,0)),"")</f>
        <v>45994</v>
      </c>
      <c r="G417" s="16" t="n">
        <f aca="false">IF(F417="","",D417-F417)</f>
        <v>6</v>
      </c>
      <c r="H417" s="21" t="n">
        <f aca="false">IF(F417="","",DATE(YEAR(D417),MONTH(D417),1))</f>
        <v>45992</v>
      </c>
    </row>
    <row r="418" customFormat="false" ht="15" hidden="false" customHeight="false" outlineLevel="0" collapsed="false">
      <c r="A418" s="16" t="str">
        <f aca="false">Payment_Log_AP!A415</f>
        <v>PAY40414</v>
      </c>
      <c r="B418" s="16" t="str">
        <f aca="false">Payment_Log_AP!C415</f>
        <v>V1001</v>
      </c>
      <c r="C418" s="16" t="str">
        <f aca="false">Payment_Log_AP!B415</f>
        <v>INV30482</v>
      </c>
      <c r="D418" s="17" t="n">
        <f aca="false">Payment_Log_AP!D415</f>
        <v>45949</v>
      </c>
      <c r="E418" s="18" t="n">
        <f aca="false">Payment_Log_AP!E415</f>
        <v>15313.53</v>
      </c>
      <c r="F418" s="17" t="n">
        <f aca="false">IFERROR(INDEX(Vendor_Invoices_AP!$D$2:$D$882,MATCH(C418,Vendor_Invoices_AP!$A$2:$A$882,0)),"")</f>
        <v>45929</v>
      </c>
      <c r="G418" s="16" t="n">
        <f aca="false">IF(F418="","",D418-F418)</f>
        <v>20</v>
      </c>
      <c r="H418" s="21" t="n">
        <f aca="false">IF(F418="","",DATE(YEAR(D418),MONTH(D418),1))</f>
        <v>45931</v>
      </c>
    </row>
    <row r="419" customFormat="false" ht="15" hidden="false" customHeight="false" outlineLevel="0" collapsed="false">
      <c r="A419" s="16" t="str">
        <f aca="false">Payment_Log_AP!A416</f>
        <v>PAY40415</v>
      </c>
      <c r="B419" s="16" t="str">
        <f aca="false">Payment_Log_AP!C416</f>
        <v>V1007</v>
      </c>
      <c r="C419" s="16" t="str">
        <f aca="false">Payment_Log_AP!B416</f>
        <v>INV30483</v>
      </c>
      <c r="D419" s="17" t="n">
        <f aca="false">Payment_Log_AP!D416</f>
        <v>45749</v>
      </c>
      <c r="E419" s="18" t="n">
        <f aca="false">Payment_Log_AP!E416</f>
        <v>653.1</v>
      </c>
      <c r="F419" s="17" t="n">
        <f aca="false">IFERROR(INDEX(Vendor_Invoices_AP!$D$2:$D$882,MATCH(C419,Vendor_Invoices_AP!$A$2:$A$882,0)),"")</f>
        <v>45743</v>
      </c>
      <c r="G419" s="16" t="n">
        <f aca="false">IF(F419="","",D419-F419)</f>
        <v>6</v>
      </c>
      <c r="H419" s="21" t="n">
        <f aca="false">IF(F419="","",DATE(YEAR(D419),MONTH(D419),1))</f>
        <v>45748</v>
      </c>
    </row>
    <row r="420" customFormat="false" ht="15" hidden="false" customHeight="false" outlineLevel="0" collapsed="false">
      <c r="A420" s="16" t="str">
        <f aca="false">Payment_Log_AP!A417</f>
        <v>PAY40416</v>
      </c>
      <c r="B420" s="16" t="str">
        <f aca="false">Payment_Log_AP!C417</f>
        <v>V1008</v>
      </c>
      <c r="C420" s="16" t="str">
        <f aca="false">Payment_Log_AP!B417</f>
        <v>INV30484</v>
      </c>
      <c r="D420" s="17" t="n">
        <f aca="false">Payment_Log_AP!D417</f>
        <v>45985</v>
      </c>
      <c r="E420" s="18" t="n">
        <f aca="false">Payment_Log_AP!E417</f>
        <v>2324.66</v>
      </c>
      <c r="F420" s="17" t="n">
        <f aca="false">IFERROR(INDEX(Vendor_Invoices_AP!$D$2:$D$882,MATCH(C420,Vendor_Invoices_AP!$A$2:$A$882,0)),"")</f>
        <v>45962</v>
      </c>
      <c r="G420" s="16" t="n">
        <f aca="false">IF(F420="","",D420-F420)</f>
        <v>23</v>
      </c>
      <c r="H420" s="21" t="n">
        <f aca="false">IF(F420="","",DATE(YEAR(D420),MONTH(D420),1))</f>
        <v>45962</v>
      </c>
    </row>
    <row r="421" customFormat="false" ht="15" hidden="false" customHeight="false" outlineLevel="0" collapsed="false">
      <c r="A421" s="16" t="str">
        <f aca="false">Payment_Log_AP!A418</f>
        <v>PAY40417</v>
      </c>
      <c r="B421" s="16" t="str">
        <f aca="false">Payment_Log_AP!C418</f>
        <v>V1031</v>
      </c>
      <c r="C421" s="16" t="str">
        <f aca="false">Payment_Log_AP!B418</f>
        <v>INV30485</v>
      </c>
      <c r="D421" s="17" t="n">
        <f aca="false">Payment_Log_AP!D418</f>
        <v>45887</v>
      </c>
      <c r="E421" s="18" t="n">
        <f aca="false">Payment_Log_AP!E418</f>
        <v>1644.55</v>
      </c>
      <c r="F421" s="17" t="n">
        <f aca="false">IFERROR(INDEX(Vendor_Invoices_AP!$D$2:$D$882,MATCH(C421,Vendor_Invoices_AP!$A$2:$A$882,0)),"")</f>
        <v>45861</v>
      </c>
      <c r="G421" s="16" t="n">
        <f aca="false">IF(F421="","",D421-F421)</f>
        <v>26</v>
      </c>
      <c r="H421" s="21" t="n">
        <f aca="false">IF(F421="","",DATE(YEAR(D421),MONTH(D421),1))</f>
        <v>45870</v>
      </c>
    </row>
    <row r="422" customFormat="false" ht="15" hidden="false" customHeight="false" outlineLevel="0" collapsed="false">
      <c r="A422" s="16" t="str">
        <f aca="false">Payment_Log_AP!A419</f>
        <v>PAY40418</v>
      </c>
      <c r="B422" s="16" t="str">
        <f aca="false">Payment_Log_AP!C419</f>
        <v>V1031</v>
      </c>
      <c r="C422" s="16" t="str">
        <f aca="false">Payment_Log_AP!B419</f>
        <v>INV30485</v>
      </c>
      <c r="D422" s="17" t="n">
        <f aca="false">Payment_Log_AP!D419</f>
        <v>45890</v>
      </c>
      <c r="E422" s="18" t="n">
        <f aca="false">Payment_Log_AP!E419</f>
        <v>1644.55</v>
      </c>
      <c r="F422" s="17" t="n">
        <f aca="false">IFERROR(INDEX(Vendor_Invoices_AP!$D$2:$D$882,MATCH(C422,Vendor_Invoices_AP!$A$2:$A$882,0)),"")</f>
        <v>45861</v>
      </c>
      <c r="G422" s="16" t="n">
        <f aca="false">IF(F422="","",D422-F422)</f>
        <v>29</v>
      </c>
      <c r="H422" s="21" t="n">
        <f aca="false">IF(F422="","",DATE(YEAR(D422),MONTH(D422),1))</f>
        <v>45870</v>
      </c>
    </row>
    <row r="423" customFormat="false" ht="15" hidden="false" customHeight="false" outlineLevel="0" collapsed="false">
      <c r="A423" s="16" t="str">
        <f aca="false">Payment_Log_AP!A420</f>
        <v>PAY40419</v>
      </c>
      <c r="B423" s="16" t="str">
        <f aca="false">Payment_Log_AP!C420</f>
        <v>V1003</v>
      </c>
      <c r="C423" s="16" t="str">
        <f aca="false">Payment_Log_AP!B420</f>
        <v>INV30486</v>
      </c>
      <c r="D423" s="17" t="n">
        <f aca="false">Payment_Log_AP!D420</f>
        <v>45970</v>
      </c>
      <c r="E423" s="18" t="n">
        <f aca="false">Payment_Log_AP!E420</f>
        <v>236.77</v>
      </c>
      <c r="F423" s="17" t="n">
        <f aca="false">IFERROR(INDEX(Vendor_Invoices_AP!$D$2:$D$882,MATCH(C423,Vendor_Invoices_AP!$A$2:$A$882,0)),"")</f>
        <v>45965</v>
      </c>
      <c r="G423" s="16" t="n">
        <f aca="false">IF(F423="","",D423-F423)</f>
        <v>5</v>
      </c>
      <c r="H423" s="21" t="n">
        <f aca="false">IF(F423="","",DATE(YEAR(D423),MONTH(D423),1))</f>
        <v>45962</v>
      </c>
    </row>
    <row r="424" customFormat="false" ht="15" hidden="false" customHeight="false" outlineLevel="0" collapsed="false">
      <c r="A424" s="16" t="str">
        <f aca="false">Payment_Log_AP!A421</f>
        <v>PAY40420</v>
      </c>
      <c r="B424" s="16" t="str">
        <f aca="false">Payment_Log_AP!C421</f>
        <v>V1025</v>
      </c>
      <c r="C424" s="16" t="str">
        <f aca="false">Payment_Log_AP!B421</f>
        <v>INV30487</v>
      </c>
      <c r="D424" s="17" t="n">
        <f aca="false">Payment_Log_AP!D421</f>
        <v>45994</v>
      </c>
      <c r="E424" s="18" t="n">
        <f aca="false">Payment_Log_AP!E421</f>
        <v>1018.47</v>
      </c>
      <c r="F424" s="17" t="n">
        <f aca="false">IFERROR(INDEX(Vendor_Invoices_AP!$D$2:$D$882,MATCH(C424,Vendor_Invoices_AP!$A$2:$A$882,0)),"")</f>
        <v>45966</v>
      </c>
      <c r="G424" s="16" t="n">
        <f aca="false">IF(F424="","",D424-F424)</f>
        <v>28</v>
      </c>
      <c r="H424" s="21" t="n">
        <f aca="false">IF(F424="","",DATE(YEAR(D424),MONTH(D424),1))</f>
        <v>45992</v>
      </c>
    </row>
    <row r="425" customFormat="false" ht="15" hidden="false" customHeight="false" outlineLevel="0" collapsed="false">
      <c r="A425" s="16" t="str">
        <f aca="false">Payment_Log_AP!A422</f>
        <v>PAY40421</v>
      </c>
      <c r="B425" s="16" t="str">
        <f aca="false">Payment_Log_AP!C422</f>
        <v>V1024</v>
      </c>
      <c r="C425" s="16" t="str">
        <f aca="false">Payment_Log_AP!B422</f>
        <v>INV30488</v>
      </c>
      <c r="D425" s="17" t="n">
        <f aca="false">Payment_Log_AP!D422</f>
        <v>45930</v>
      </c>
      <c r="E425" s="18" t="n">
        <f aca="false">Payment_Log_AP!E422</f>
        <v>3142.38</v>
      </c>
      <c r="F425" s="17" t="n">
        <f aca="false">IFERROR(INDEX(Vendor_Invoices_AP!$D$2:$D$882,MATCH(C425,Vendor_Invoices_AP!$A$2:$A$882,0)),"")</f>
        <v>45921</v>
      </c>
      <c r="G425" s="16" t="n">
        <f aca="false">IF(F425="","",D425-F425)</f>
        <v>9</v>
      </c>
      <c r="H425" s="21" t="n">
        <f aca="false">IF(F425="","",DATE(YEAR(D425),MONTH(D425),1))</f>
        <v>45901</v>
      </c>
    </row>
    <row r="426" customFormat="false" ht="15" hidden="false" customHeight="false" outlineLevel="0" collapsed="false">
      <c r="A426" s="16" t="str">
        <f aca="false">Payment_Log_AP!A423</f>
        <v>PAY40422</v>
      </c>
      <c r="B426" s="16" t="str">
        <f aca="false">Payment_Log_AP!C423</f>
        <v>V1034</v>
      </c>
      <c r="C426" s="16" t="str">
        <f aca="false">Payment_Log_AP!B423</f>
        <v>INV30489</v>
      </c>
      <c r="D426" s="17" t="n">
        <f aca="false">Payment_Log_AP!D423</f>
        <v>45853</v>
      </c>
      <c r="E426" s="18" t="n">
        <f aca="false">Payment_Log_AP!E423</f>
        <v>2788.31</v>
      </c>
      <c r="F426" s="17" t="n">
        <f aca="false">IFERROR(INDEX(Vendor_Invoices_AP!$D$2:$D$882,MATCH(C426,Vendor_Invoices_AP!$A$2:$A$882,0)),"")</f>
        <v>45845</v>
      </c>
      <c r="G426" s="16" t="n">
        <f aca="false">IF(F426="","",D426-F426)</f>
        <v>8</v>
      </c>
      <c r="H426" s="21" t="n">
        <f aca="false">IF(F426="","",DATE(YEAR(D426),MONTH(D426),1))</f>
        <v>45839</v>
      </c>
    </row>
    <row r="427" customFormat="false" ht="15" hidden="false" customHeight="false" outlineLevel="0" collapsed="false">
      <c r="A427" s="16" t="str">
        <f aca="false">Payment_Log_AP!A424</f>
        <v>PAY40423</v>
      </c>
      <c r="B427" s="16" t="str">
        <f aca="false">Payment_Log_AP!C424</f>
        <v>V1022</v>
      </c>
      <c r="C427" s="16" t="str">
        <f aca="false">Payment_Log_AP!B424</f>
        <v>INV30490</v>
      </c>
      <c r="D427" s="17" t="n">
        <f aca="false">Payment_Log_AP!D424</f>
        <v>45796</v>
      </c>
      <c r="E427" s="18" t="n">
        <f aca="false">Payment_Log_AP!E424</f>
        <v>12520.7</v>
      </c>
      <c r="F427" s="17" t="n">
        <f aca="false">IFERROR(INDEX(Vendor_Invoices_AP!$D$2:$D$882,MATCH(C427,Vendor_Invoices_AP!$A$2:$A$882,0)),"")</f>
        <v>45783</v>
      </c>
      <c r="G427" s="16" t="n">
        <f aca="false">IF(F427="","",D427-F427)</f>
        <v>13</v>
      </c>
      <c r="H427" s="21" t="n">
        <f aca="false">IF(F427="","",DATE(YEAR(D427),MONTH(D427),1))</f>
        <v>45778</v>
      </c>
    </row>
    <row r="428" customFormat="false" ht="15" hidden="false" customHeight="false" outlineLevel="0" collapsed="false">
      <c r="A428" s="16" t="str">
        <f aca="false">Payment_Log_AP!A425</f>
        <v>PAY40424</v>
      </c>
      <c r="B428" s="16" t="str">
        <f aca="false">Payment_Log_AP!C425</f>
        <v>V1019</v>
      </c>
      <c r="C428" s="16" t="str">
        <f aca="false">Payment_Log_AP!B425</f>
        <v>INV30491</v>
      </c>
      <c r="D428" s="17" t="n">
        <f aca="false">Payment_Log_AP!D425</f>
        <v>46075</v>
      </c>
      <c r="E428" s="18" t="n">
        <f aca="false">Payment_Log_AP!E425</f>
        <v>1099.38</v>
      </c>
      <c r="F428" s="17" t="n">
        <f aca="false">IFERROR(INDEX(Vendor_Invoices_AP!$D$2:$D$882,MATCH(C428,Vendor_Invoices_AP!$A$2:$A$882,0)),"")</f>
        <v>46062</v>
      </c>
      <c r="G428" s="16" t="n">
        <f aca="false">IF(F428="","",D428-F428)</f>
        <v>13</v>
      </c>
      <c r="H428" s="21" t="n">
        <f aca="false">IF(F428="","",DATE(YEAR(D428),MONTH(D428),1))</f>
        <v>46054</v>
      </c>
    </row>
    <row r="429" customFormat="false" ht="15" hidden="false" customHeight="false" outlineLevel="0" collapsed="false">
      <c r="A429" s="16" t="str">
        <f aca="false">Payment_Log_AP!A426</f>
        <v>PAY40425</v>
      </c>
      <c r="B429" s="16" t="str">
        <f aca="false">Payment_Log_AP!C426</f>
        <v>V1023</v>
      </c>
      <c r="C429" s="16" t="str">
        <f aca="false">Payment_Log_AP!B426</f>
        <v>INV30492</v>
      </c>
      <c r="D429" s="17" t="n">
        <f aca="false">Payment_Log_AP!D426</f>
        <v>46018</v>
      </c>
      <c r="E429" s="18" t="n">
        <f aca="false">Payment_Log_AP!E426</f>
        <v>3207.79</v>
      </c>
      <c r="F429" s="17" t="n">
        <f aca="false">IFERROR(INDEX(Vendor_Invoices_AP!$D$2:$D$882,MATCH(C429,Vendor_Invoices_AP!$A$2:$A$882,0)),"")</f>
        <v>45989</v>
      </c>
      <c r="G429" s="16" t="n">
        <f aca="false">IF(F429="","",D429-F429)</f>
        <v>29</v>
      </c>
      <c r="H429" s="21" t="n">
        <f aca="false">IF(F429="","",DATE(YEAR(D429),MONTH(D429),1))</f>
        <v>45992</v>
      </c>
    </row>
    <row r="430" customFormat="false" ht="15" hidden="false" customHeight="false" outlineLevel="0" collapsed="false">
      <c r="A430" s="16" t="str">
        <f aca="false">Payment_Log_AP!A427</f>
        <v>PAY40426</v>
      </c>
      <c r="B430" s="16" t="str">
        <f aca="false">Payment_Log_AP!C427</f>
        <v>V1001</v>
      </c>
      <c r="C430" s="16" t="str">
        <f aca="false">Payment_Log_AP!B427</f>
        <v>INV30493</v>
      </c>
      <c r="D430" s="17" t="n">
        <f aca="false">Payment_Log_AP!D427</f>
        <v>45809</v>
      </c>
      <c r="E430" s="18" t="n">
        <f aca="false">Payment_Log_AP!E427</f>
        <v>182.59</v>
      </c>
      <c r="F430" s="17" t="n">
        <f aca="false">IFERROR(INDEX(Vendor_Invoices_AP!$D$2:$D$882,MATCH(C430,Vendor_Invoices_AP!$A$2:$A$882,0)),"")</f>
        <v>45790</v>
      </c>
      <c r="G430" s="16" t="n">
        <f aca="false">IF(F430="","",D430-F430)</f>
        <v>19</v>
      </c>
      <c r="H430" s="21" t="n">
        <f aca="false">IF(F430="","",DATE(YEAR(D430),MONTH(D430),1))</f>
        <v>45809</v>
      </c>
    </row>
    <row r="431" customFormat="false" ht="15" hidden="false" customHeight="false" outlineLevel="0" collapsed="false">
      <c r="A431" s="16" t="str">
        <f aca="false">Payment_Log_AP!A428</f>
        <v>PAY40427</v>
      </c>
      <c r="B431" s="16" t="str">
        <f aca="false">Payment_Log_AP!C428</f>
        <v>V1040</v>
      </c>
      <c r="C431" s="16" t="str">
        <f aca="false">Payment_Log_AP!B428</f>
        <v>INV30494</v>
      </c>
      <c r="D431" s="17" t="n">
        <f aca="false">Payment_Log_AP!D428</f>
        <v>46116</v>
      </c>
      <c r="E431" s="18" t="n">
        <f aca="false">Payment_Log_AP!E428</f>
        <v>1223.73</v>
      </c>
      <c r="F431" s="17" t="n">
        <f aca="false">IFERROR(INDEX(Vendor_Invoices_AP!$D$2:$D$882,MATCH(C431,Vendor_Invoices_AP!$A$2:$A$882,0)),"")</f>
        <v>46094</v>
      </c>
      <c r="G431" s="16" t="n">
        <f aca="false">IF(F431="","",D431-F431)</f>
        <v>22</v>
      </c>
      <c r="H431" s="21" t="n">
        <f aca="false">IF(F431="","",DATE(YEAR(D431),MONTH(D431),1))</f>
        <v>46113</v>
      </c>
    </row>
    <row r="432" customFormat="false" ht="15" hidden="false" customHeight="false" outlineLevel="0" collapsed="false">
      <c r="A432" s="16" t="str">
        <f aca="false">Payment_Log_AP!A429</f>
        <v>PAY40428</v>
      </c>
      <c r="B432" s="16" t="str">
        <f aca="false">Payment_Log_AP!C429</f>
        <v>V1015</v>
      </c>
      <c r="C432" s="16" t="str">
        <f aca="false">Payment_Log_AP!B429</f>
        <v>INV30495</v>
      </c>
      <c r="D432" s="17" t="n">
        <f aca="false">Payment_Log_AP!D429</f>
        <v>45709</v>
      </c>
      <c r="E432" s="18" t="n">
        <f aca="false">Payment_Log_AP!E429</f>
        <v>585.34</v>
      </c>
      <c r="F432" s="17" t="n">
        <f aca="false">IFERROR(INDEX(Vendor_Invoices_AP!$D$2:$D$882,MATCH(C432,Vendor_Invoices_AP!$A$2:$A$882,0)),"")</f>
        <v>45702</v>
      </c>
      <c r="G432" s="16" t="n">
        <f aca="false">IF(F432="","",D432-F432)</f>
        <v>7</v>
      </c>
      <c r="H432" s="21" t="n">
        <f aca="false">IF(F432="","",DATE(YEAR(D432),MONTH(D432),1))</f>
        <v>45689</v>
      </c>
    </row>
    <row r="433" customFormat="false" ht="15" hidden="false" customHeight="false" outlineLevel="0" collapsed="false">
      <c r="A433" s="16" t="str">
        <f aca="false">Payment_Log_AP!A430</f>
        <v>PAY40429</v>
      </c>
      <c r="B433" s="16" t="str">
        <f aca="false">Payment_Log_AP!C430</f>
        <v>V1039</v>
      </c>
      <c r="C433" s="16" t="str">
        <f aca="false">Payment_Log_AP!B430</f>
        <v>INV30496</v>
      </c>
      <c r="D433" s="17" t="n">
        <f aca="false">Payment_Log_AP!D430</f>
        <v>46081</v>
      </c>
      <c r="E433" s="18" t="n">
        <f aca="false">Payment_Log_AP!E430</f>
        <v>40497.91</v>
      </c>
      <c r="F433" s="17" t="n">
        <f aca="false">IFERROR(INDEX(Vendor_Invoices_AP!$D$2:$D$882,MATCH(C433,Vendor_Invoices_AP!$A$2:$A$882,0)),"")</f>
        <v>46080</v>
      </c>
      <c r="G433" s="16" t="n">
        <f aca="false">IF(F433="","",D433-F433)</f>
        <v>1</v>
      </c>
      <c r="H433" s="21" t="n">
        <f aca="false">IF(F433="","",DATE(YEAR(D433),MONTH(D433),1))</f>
        <v>46054</v>
      </c>
    </row>
    <row r="434" customFormat="false" ht="15" hidden="false" customHeight="false" outlineLevel="0" collapsed="false">
      <c r="A434" s="16" t="str">
        <f aca="false">Payment_Log_AP!A431</f>
        <v>PAY40430</v>
      </c>
      <c r="B434" s="16" t="str">
        <f aca="false">Payment_Log_AP!C431</f>
        <v>V1016</v>
      </c>
      <c r="C434" s="16" t="str">
        <f aca="false">Payment_Log_AP!B431</f>
        <v>INV30497</v>
      </c>
      <c r="D434" s="17" t="n">
        <f aca="false">Payment_Log_AP!D431</f>
        <v>46051</v>
      </c>
      <c r="E434" s="18" t="n">
        <f aca="false">Payment_Log_AP!E431</f>
        <v>8071.8</v>
      </c>
      <c r="F434" s="17" t="n">
        <f aca="false">IFERROR(INDEX(Vendor_Invoices_AP!$D$2:$D$882,MATCH(C434,Vendor_Invoices_AP!$A$2:$A$882,0)),"")</f>
        <v>46050</v>
      </c>
      <c r="G434" s="16" t="n">
        <f aca="false">IF(F434="","",D434-F434)</f>
        <v>1</v>
      </c>
      <c r="H434" s="21" t="n">
        <f aca="false">IF(F434="","",DATE(YEAR(D434),MONTH(D434),1))</f>
        <v>46023</v>
      </c>
    </row>
    <row r="435" customFormat="false" ht="15" hidden="false" customHeight="false" outlineLevel="0" collapsed="false">
      <c r="A435" s="16" t="str">
        <f aca="false">Payment_Log_AP!A432</f>
        <v>PAY40431</v>
      </c>
      <c r="B435" s="16" t="str">
        <f aca="false">Payment_Log_AP!C432</f>
        <v>V1012</v>
      </c>
      <c r="C435" s="16" t="str">
        <f aca="false">Payment_Log_AP!B432</f>
        <v>INV30499</v>
      </c>
      <c r="D435" s="17" t="n">
        <f aca="false">Payment_Log_AP!D432</f>
        <v>45923</v>
      </c>
      <c r="E435" s="18" t="n">
        <f aca="false">Payment_Log_AP!E432</f>
        <v>1395.93</v>
      </c>
      <c r="F435" s="17" t="n">
        <f aca="false">IFERROR(INDEX(Vendor_Invoices_AP!$D$2:$D$882,MATCH(C435,Vendor_Invoices_AP!$A$2:$A$882,0)),"")</f>
        <v>45891</v>
      </c>
      <c r="G435" s="16" t="n">
        <f aca="false">IF(F435="","",D435-F435)</f>
        <v>32</v>
      </c>
      <c r="H435" s="21" t="n">
        <f aca="false">IF(F435="","",DATE(YEAR(D435),MONTH(D435),1))</f>
        <v>45901</v>
      </c>
    </row>
    <row r="436" customFormat="false" ht="15" hidden="false" customHeight="false" outlineLevel="0" collapsed="false">
      <c r="A436" s="16" t="str">
        <f aca="false">Payment_Log_AP!A433</f>
        <v>PAY40432</v>
      </c>
      <c r="B436" s="16" t="str">
        <f aca="false">Payment_Log_AP!C433</f>
        <v>V1019</v>
      </c>
      <c r="C436" s="16" t="str">
        <f aca="false">Payment_Log_AP!B433</f>
        <v>INV30500</v>
      </c>
      <c r="D436" s="17" t="n">
        <f aca="false">Payment_Log_AP!D433</f>
        <v>46055</v>
      </c>
      <c r="E436" s="18" t="n">
        <f aca="false">Payment_Log_AP!E433</f>
        <v>2578.48</v>
      </c>
      <c r="F436" s="17" t="n">
        <f aca="false">IFERROR(INDEX(Vendor_Invoices_AP!$D$2:$D$882,MATCH(C436,Vendor_Invoices_AP!$A$2:$A$882,0)),"")</f>
        <v>46033</v>
      </c>
      <c r="G436" s="16" t="n">
        <f aca="false">IF(F436="","",D436-F436)</f>
        <v>22</v>
      </c>
      <c r="H436" s="21" t="n">
        <f aca="false">IF(F436="","",DATE(YEAR(D436),MONTH(D436),1))</f>
        <v>46054</v>
      </c>
    </row>
    <row r="437" customFormat="false" ht="15" hidden="false" customHeight="false" outlineLevel="0" collapsed="false">
      <c r="A437" s="16" t="str">
        <f aca="false">Payment_Log_AP!A434</f>
        <v>PAY40433</v>
      </c>
      <c r="B437" s="16" t="str">
        <f aca="false">Payment_Log_AP!C434</f>
        <v>V1004</v>
      </c>
      <c r="C437" s="16" t="str">
        <f aca="false">Payment_Log_AP!B434</f>
        <v>INV30501</v>
      </c>
      <c r="D437" s="17" t="n">
        <f aca="false">Payment_Log_AP!D434</f>
        <v>46134</v>
      </c>
      <c r="E437" s="18" t="n">
        <f aca="false">Payment_Log_AP!E434</f>
        <v>891.87</v>
      </c>
      <c r="F437" s="17" t="n">
        <f aca="false">IFERROR(INDEX(Vendor_Invoices_AP!$D$2:$D$882,MATCH(C437,Vendor_Invoices_AP!$A$2:$A$882,0)),"")</f>
        <v>46113</v>
      </c>
      <c r="G437" s="16" t="n">
        <f aca="false">IF(F437="","",D437-F437)</f>
        <v>21</v>
      </c>
      <c r="H437" s="21" t="n">
        <f aca="false">IF(F437="","",DATE(YEAR(D437),MONTH(D437),1))</f>
        <v>46113</v>
      </c>
    </row>
    <row r="438" customFormat="false" ht="15" hidden="false" customHeight="false" outlineLevel="0" collapsed="false">
      <c r="A438" s="16" t="str">
        <f aca="false">Payment_Log_AP!A435</f>
        <v>PAY40434</v>
      </c>
      <c r="B438" s="16" t="str">
        <f aca="false">Payment_Log_AP!C435</f>
        <v>V1006</v>
      </c>
      <c r="C438" s="16" t="str">
        <f aca="false">Payment_Log_AP!B435</f>
        <v>INV30503</v>
      </c>
      <c r="D438" s="17" t="n">
        <f aca="false">Payment_Log_AP!D435</f>
        <v>45965</v>
      </c>
      <c r="E438" s="18" t="n">
        <f aca="false">Payment_Log_AP!E435</f>
        <v>1155.61</v>
      </c>
      <c r="F438" s="17" t="n">
        <f aca="false">IFERROR(INDEX(Vendor_Invoices_AP!$D$2:$D$882,MATCH(C438,Vendor_Invoices_AP!$A$2:$A$882,0)),"")</f>
        <v>45942</v>
      </c>
      <c r="G438" s="16" t="n">
        <f aca="false">IF(F438="","",D438-F438)</f>
        <v>23</v>
      </c>
      <c r="H438" s="21" t="n">
        <f aca="false">IF(F438="","",DATE(YEAR(D438),MONTH(D438),1))</f>
        <v>45962</v>
      </c>
    </row>
    <row r="439" customFormat="false" ht="15" hidden="false" customHeight="false" outlineLevel="0" collapsed="false">
      <c r="A439" s="16" t="str">
        <f aca="false">Payment_Log_AP!A436</f>
        <v>PAY40435</v>
      </c>
      <c r="B439" s="16" t="str">
        <f aca="false">Payment_Log_AP!C436</f>
        <v>V1007</v>
      </c>
      <c r="C439" s="16" t="str">
        <f aca="false">Payment_Log_AP!B436</f>
        <v>INV30504</v>
      </c>
      <c r="D439" s="17" t="n">
        <f aca="false">Payment_Log_AP!D436</f>
        <v>45708</v>
      </c>
      <c r="E439" s="18" t="n">
        <f aca="false">Payment_Log_AP!E436</f>
        <v>542.8</v>
      </c>
      <c r="F439" s="17" t="n">
        <f aca="false">IFERROR(INDEX(Vendor_Invoices_AP!$D$2:$D$882,MATCH(C439,Vendor_Invoices_AP!$A$2:$A$882,0)),"")</f>
        <v>45682</v>
      </c>
      <c r="G439" s="16" t="n">
        <f aca="false">IF(F439="","",D439-F439)</f>
        <v>26</v>
      </c>
      <c r="H439" s="21" t="n">
        <f aca="false">IF(F439="","",DATE(YEAR(D439),MONTH(D439),1))</f>
        <v>45689</v>
      </c>
    </row>
    <row r="440" customFormat="false" ht="15" hidden="false" customHeight="false" outlineLevel="0" collapsed="false">
      <c r="A440" s="16" t="str">
        <f aca="false">Payment_Log_AP!A437</f>
        <v>PAY40436</v>
      </c>
      <c r="B440" s="16" t="str">
        <f aca="false">Payment_Log_AP!C437</f>
        <v>V1021</v>
      </c>
      <c r="C440" s="16" t="str">
        <f aca="false">Payment_Log_AP!B437</f>
        <v>INV30505</v>
      </c>
      <c r="D440" s="17" t="n">
        <f aca="false">Payment_Log_AP!D437</f>
        <v>45983</v>
      </c>
      <c r="E440" s="18" t="n">
        <f aca="false">Payment_Log_AP!E437</f>
        <v>1208.25</v>
      </c>
      <c r="F440" s="17" t="n">
        <f aca="false">IFERROR(INDEX(Vendor_Invoices_AP!$D$2:$D$882,MATCH(C440,Vendor_Invoices_AP!$A$2:$A$882,0)),"")</f>
        <v>45949</v>
      </c>
      <c r="G440" s="16" t="n">
        <f aca="false">IF(F440="","",D440-F440)</f>
        <v>34</v>
      </c>
      <c r="H440" s="21" t="n">
        <f aca="false">IF(F440="","",DATE(YEAR(D440),MONTH(D440),1))</f>
        <v>45962</v>
      </c>
    </row>
    <row r="441" customFormat="false" ht="15" hidden="false" customHeight="false" outlineLevel="0" collapsed="false">
      <c r="A441" s="16" t="str">
        <f aca="false">Payment_Log_AP!A438</f>
        <v>PAY40437</v>
      </c>
      <c r="B441" s="16" t="str">
        <f aca="false">Payment_Log_AP!C438</f>
        <v>V1038</v>
      </c>
      <c r="C441" s="16" t="str">
        <f aca="false">Payment_Log_AP!B438</f>
        <v>INV30506</v>
      </c>
      <c r="D441" s="17" t="n">
        <f aca="false">Payment_Log_AP!D438</f>
        <v>46006</v>
      </c>
      <c r="E441" s="18" t="n">
        <f aca="false">Payment_Log_AP!E438</f>
        <v>1492.36</v>
      </c>
      <c r="F441" s="17" t="n">
        <f aca="false">IFERROR(INDEX(Vendor_Invoices_AP!$D$2:$D$882,MATCH(C441,Vendor_Invoices_AP!$A$2:$A$882,0)),"")</f>
        <v>45990</v>
      </c>
      <c r="G441" s="16" t="n">
        <f aca="false">IF(F441="","",D441-F441)</f>
        <v>16</v>
      </c>
      <c r="H441" s="21" t="n">
        <f aca="false">IF(F441="","",DATE(YEAR(D441),MONTH(D441),1))</f>
        <v>45992</v>
      </c>
    </row>
    <row r="442" customFormat="false" ht="15" hidden="false" customHeight="false" outlineLevel="0" collapsed="false">
      <c r="A442" s="16" t="str">
        <f aca="false">Payment_Log_AP!A439</f>
        <v>PAY40438</v>
      </c>
      <c r="B442" s="16" t="str">
        <f aca="false">Payment_Log_AP!C439</f>
        <v>V1013</v>
      </c>
      <c r="C442" s="16" t="str">
        <f aca="false">Payment_Log_AP!B439</f>
        <v>INV30507</v>
      </c>
      <c r="D442" s="17" t="n">
        <f aca="false">Payment_Log_AP!D439</f>
        <v>46165</v>
      </c>
      <c r="E442" s="18" t="n">
        <f aca="false">Payment_Log_AP!E439</f>
        <v>916.33</v>
      </c>
      <c r="F442" s="17" t="n">
        <f aca="false">IFERROR(INDEX(Vendor_Invoices_AP!$D$2:$D$882,MATCH(C442,Vendor_Invoices_AP!$A$2:$A$882,0)),"")</f>
        <v>46134</v>
      </c>
      <c r="G442" s="16" t="n">
        <f aca="false">IF(F442="","",D442-F442)</f>
        <v>31</v>
      </c>
      <c r="H442" s="21" t="n">
        <f aca="false">IF(F442="","",DATE(YEAR(D442),MONTH(D442),1))</f>
        <v>46143</v>
      </c>
    </row>
    <row r="443" customFormat="false" ht="15" hidden="false" customHeight="false" outlineLevel="0" collapsed="false">
      <c r="A443" s="16" t="str">
        <f aca="false">Payment_Log_AP!A440</f>
        <v>PAY40439</v>
      </c>
      <c r="B443" s="16" t="str">
        <f aca="false">Payment_Log_AP!C440</f>
        <v>V1016</v>
      </c>
      <c r="C443" s="16" t="str">
        <f aca="false">Payment_Log_AP!B440</f>
        <v>INV30508</v>
      </c>
      <c r="D443" s="17" t="n">
        <f aca="false">Payment_Log_AP!D440</f>
        <v>46160</v>
      </c>
      <c r="E443" s="18" t="n">
        <f aca="false">Payment_Log_AP!E440</f>
        <v>13637.91</v>
      </c>
      <c r="F443" s="17" t="n">
        <f aca="false">IFERROR(INDEX(Vendor_Invoices_AP!$D$2:$D$882,MATCH(C443,Vendor_Invoices_AP!$A$2:$A$882,0)),"")</f>
        <v>46139</v>
      </c>
      <c r="G443" s="16" t="n">
        <f aca="false">IF(F443="","",D443-F443)</f>
        <v>21</v>
      </c>
      <c r="H443" s="21" t="n">
        <f aca="false">IF(F443="","",DATE(YEAR(D443),MONTH(D443),1))</f>
        <v>46143</v>
      </c>
    </row>
    <row r="444" customFormat="false" ht="15" hidden="false" customHeight="false" outlineLevel="0" collapsed="false">
      <c r="A444" s="16" t="str">
        <f aca="false">Payment_Log_AP!A441</f>
        <v>PAY40440</v>
      </c>
      <c r="B444" s="16" t="str">
        <f aca="false">Payment_Log_AP!C441</f>
        <v>V1004</v>
      </c>
      <c r="C444" s="16" t="str">
        <f aca="false">Payment_Log_AP!B441</f>
        <v>INV30509</v>
      </c>
      <c r="D444" s="17" t="n">
        <f aca="false">Payment_Log_AP!D441</f>
        <v>45927</v>
      </c>
      <c r="E444" s="18" t="n">
        <f aca="false">Payment_Log_AP!E441</f>
        <v>984.21</v>
      </c>
      <c r="F444" s="17" t="n">
        <f aca="false">IFERROR(INDEX(Vendor_Invoices_AP!$D$2:$D$882,MATCH(C444,Vendor_Invoices_AP!$A$2:$A$882,0)),"")</f>
        <v>45906</v>
      </c>
      <c r="G444" s="16" t="n">
        <f aca="false">IF(F444="","",D444-F444)</f>
        <v>21</v>
      </c>
      <c r="H444" s="21" t="n">
        <f aca="false">IF(F444="","",DATE(YEAR(D444),MONTH(D444),1))</f>
        <v>45901</v>
      </c>
    </row>
    <row r="445" customFormat="false" ht="15" hidden="false" customHeight="false" outlineLevel="0" collapsed="false">
      <c r="A445" s="16" t="str">
        <f aca="false">Payment_Log_AP!A442</f>
        <v>PAY40441</v>
      </c>
      <c r="B445" s="16" t="str">
        <f aca="false">Payment_Log_AP!C442</f>
        <v>V1012</v>
      </c>
      <c r="C445" s="16" t="str">
        <f aca="false">Payment_Log_AP!B442</f>
        <v>INV30510</v>
      </c>
      <c r="D445" s="17" t="n">
        <f aca="false">Payment_Log_AP!D442</f>
        <v>45972</v>
      </c>
      <c r="E445" s="18" t="n">
        <f aca="false">Payment_Log_AP!E442</f>
        <v>2718.82</v>
      </c>
      <c r="F445" s="17" t="n">
        <f aca="false">IFERROR(INDEX(Vendor_Invoices_AP!$D$2:$D$882,MATCH(C445,Vendor_Invoices_AP!$A$2:$A$882,0)),"")</f>
        <v>45966</v>
      </c>
      <c r="G445" s="16" t="n">
        <f aca="false">IF(F445="","",D445-F445)</f>
        <v>6</v>
      </c>
      <c r="H445" s="21" t="n">
        <f aca="false">IF(F445="","",DATE(YEAR(D445),MONTH(D445),1))</f>
        <v>45962</v>
      </c>
    </row>
    <row r="446" customFormat="false" ht="15" hidden="false" customHeight="false" outlineLevel="0" collapsed="false">
      <c r="A446" s="16" t="str">
        <f aca="false">Payment_Log_AP!A443</f>
        <v>PAY40442</v>
      </c>
      <c r="B446" s="16" t="str">
        <f aca="false">Payment_Log_AP!C443</f>
        <v>V1014</v>
      </c>
      <c r="C446" s="16" t="str">
        <f aca="false">Payment_Log_AP!B443</f>
        <v>INV30514</v>
      </c>
      <c r="D446" s="17" t="n">
        <f aca="false">Payment_Log_AP!D443</f>
        <v>46036</v>
      </c>
      <c r="E446" s="18" t="n">
        <f aca="false">Payment_Log_AP!E443</f>
        <v>790.15</v>
      </c>
      <c r="F446" s="17" t="n">
        <f aca="false">IFERROR(INDEX(Vendor_Invoices_AP!$D$2:$D$882,MATCH(C446,Vendor_Invoices_AP!$A$2:$A$882,0)),"")</f>
        <v>46029</v>
      </c>
      <c r="G446" s="16" t="n">
        <f aca="false">IF(F446="","",D446-F446)</f>
        <v>7</v>
      </c>
      <c r="H446" s="21" t="n">
        <f aca="false">IF(F446="","",DATE(YEAR(D446),MONTH(D446),1))</f>
        <v>46023</v>
      </c>
    </row>
    <row r="447" customFormat="false" ht="15" hidden="false" customHeight="false" outlineLevel="0" collapsed="false">
      <c r="A447" s="16" t="str">
        <f aca="false">Payment_Log_AP!A444</f>
        <v>PAY40443</v>
      </c>
      <c r="B447" s="16" t="str">
        <f aca="false">Payment_Log_AP!C444</f>
        <v>V1009</v>
      </c>
      <c r="C447" s="16" t="str">
        <f aca="false">Payment_Log_AP!B444</f>
        <v>INV30515</v>
      </c>
      <c r="D447" s="17" t="n">
        <f aca="false">Payment_Log_AP!D444</f>
        <v>45775</v>
      </c>
      <c r="E447" s="18" t="n">
        <f aca="false">Payment_Log_AP!E444</f>
        <v>2141.21</v>
      </c>
      <c r="F447" s="17" t="n">
        <f aca="false">IFERROR(INDEX(Vendor_Invoices_AP!$D$2:$D$882,MATCH(C447,Vendor_Invoices_AP!$A$2:$A$882,0)),"")</f>
        <v>45765</v>
      </c>
      <c r="G447" s="16" t="n">
        <f aca="false">IF(F447="","",D447-F447)</f>
        <v>10</v>
      </c>
      <c r="H447" s="21" t="n">
        <f aca="false">IF(F447="","",DATE(YEAR(D447),MONTH(D447),1))</f>
        <v>45748</v>
      </c>
    </row>
    <row r="448" customFormat="false" ht="15" hidden="false" customHeight="false" outlineLevel="0" collapsed="false">
      <c r="A448" s="16" t="str">
        <f aca="false">Payment_Log_AP!A445</f>
        <v>PAY40444</v>
      </c>
      <c r="B448" s="16" t="str">
        <f aca="false">Payment_Log_AP!C445</f>
        <v>V1010</v>
      </c>
      <c r="C448" s="16" t="str">
        <f aca="false">Payment_Log_AP!B445</f>
        <v>INV30516</v>
      </c>
      <c r="D448" s="17" t="n">
        <f aca="false">Payment_Log_AP!D445</f>
        <v>45955</v>
      </c>
      <c r="E448" s="18" t="n">
        <f aca="false">Payment_Log_AP!E445</f>
        <v>506.73</v>
      </c>
      <c r="F448" s="17" t="n">
        <f aca="false">IFERROR(INDEX(Vendor_Invoices_AP!$D$2:$D$882,MATCH(C448,Vendor_Invoices_AP!$A$2:$A$882,0)),"")</f>
        <v>45935</v>
      </c>
      <c r="G448" s="16" t="n">
        <f aca="false">IF(F448="","",D448-F448)</f>
        <v>20</v>
      </c>
      <c r="H448" s="21" t="n">
        <f aca="false">IF(F448="","",DATE(YEAR(D448),MONTH(D448),1))</f>
        <v>45931</v>
      </c>
    </row>
    <row r="449" customFormat="false" ht="15" hidden="false" customHeight="false" outlineLevel="0" collapsed="false">
      <c r="A449" s="16" t="str">
        <f aca="false">Payment_Log_AP!A446</f>
        <v>PAY40445</v>
      </c>
      <c r="B449" s="16" t="str">
        <f aca="false">Payment_Log_AP!C446</f>
        <v>V1010</v>
      </c>
      <c r="C449" s="16" t="str">
        <f aca="false">Payment_Log_AP!B446</f>
        <v>INV30517</v>
      </c>
      <c r="D449" s="17" t="n">
        <f aca="false">Payment_Log_AP!D446</f>
        <v>45938</v>
      </c>
      <c r="E449" s="18" t="n">
        <f aca="false">Payment_Log_AP!E446</f>
        <v>426.29</v>
      </c>
      <c r="F449" s="17" t="n">
        <f aca="false">IFERROR(INDEX(Vendor_Invoices_AP!$D$2:$D$882,MATCH(C449,Vendor_Invoices_AP!$A$2:$A$882,0)),"")</f>
        <v>45930</v>
      </c>
      <c r="G449" s="16" t="n">
        <f aca="false">IF(F449="","",D449-F449)</f>
        <v>8</v>
      </c>
      <c r="H449" s="21" t="n">
        <f aca="false">IF(F449="","",DATE(YEAR(D449),MONTH(D449),1))</f>
        <v>45931</v>
      </c>
    </row>
    <row r="450" customFormat="false" ht="15" hidden="false" customHeight="false" outlineLevel="0" collapsed="false">
      <c r="A450" s="16" t="str">
        <f aca="false">Payment_Log_AP!A447</f>
        <v>PAY40446</v>
      </c>
      <c r="B450" s="16" t="str">
        <f aca="false">Payment_Log_AP!C447</f>
        <v>V1030</v>
      </c>
      <c r="C450" s="16" t="str">
        <f aca="false">Payment_Log_AP!B447</f>
        <v>INV30519</v>
      </c>
      <c r="D450" s="17" t="n">
        <f aca="false">Payment_Log_AP!D447</f>
        <v>45863</v>
      </c>
      <c r="E450" s="18" t="n">
        <f aca="false">Payment_Log_AP!E447</f>
        <v>3958.3</v>
      </c>
      <c r="F450" s="17" t="n">
        <f aca="false">IFERROR(INDEX(Vendor_Invoices_AP!$D$2:$D$882,MATCH(C450,Vendor_Invoices_AP!$A$2:$A$882,0)),"")</f>
        <v>45857</v>
      </c>
      <c r="G450" s="16" t="n">
        <f aca="false">IF(F450="","",D450-F450)</f>
        <v>6</v>
      </c>
      <c r="H450" s="21" t="n">
        <f aca="false">IF(F450="","",DATE(YEAR(D450),MONTH(D450),1))</f>
        <v>45839</v>
      </c>
    </row>
    <row r="451" customFormat="false" ht="15" hidden="false" customHeight="false" outlineLevel="0" collapsed="false">
      <c r="A451" s="16" t="str">
        <f aca="false">Payment_Log_AP!A448</f>
        <v>PAY40447</v>
      </c>
      <c r="B451" s="16" t="str">
        <f aca="false">Payment_Log_AP!C448</f>
        <v>V1025</v>
      </c>
      <c r="C451" s="16" t="str">
        <f aca="false">Payment_Log_AP!B448</f>
        <v>INV30520</v>
      </c>
      <c r="D451" s="17" t="n">
        <f aca="false">Payment_Log_AP!D448</f>
        <v>46070</v>
      </c>
      <c r="E451" s="18" t="n">
        <f aca="false">Payment_Log_AP!E448</f>
        <v>3426.38</v>
      </c>
      <c r="F451" s="17" t="n">
        <f aca="false">IFERROR(INDEX(Vendor_Invoices_AP!$D$2:$D$882,MATCH(C451,Vendor_Invoices_AP!$A$2:$A$882,0)),"")</f>
        <v>46059</v>
      </c>
      <c r="G451" s="16" t="n">
        <f aca="false">IF(F451="","",D451-F451)</f>
        <v>11</v>
      </c>
      <c r="H451" s="21" t="n">
        <f aca="false">IF(F451="","",DATE(YEAR(D451),MONTH(D451),1))</f>
        <v>46054</v>
      </c>
    </row>
    <row r="452" customFormat="false" ht="15" hidden="false" customHeight="false" outlineLevel="0" collapsed="false">
      <c r="A452" s="16" t="str">
        <f aca="false">Payment_Log_AP!A449</f>
        <v>PAY40448</v>
      </c>
      <c r="B452" s="16" t="str">
        <f aca="false">Payment_Log_AP!C449</f>
        <v>V1033</v>
      </c>
      <c r="C452" s="16" t="str">
        <f aca="false">Payment_Log_AP!B449</f>
        <v>INV30521</v>
      </c>
      <c r="D452" s="17" t="n">
        <f aca="false">Payment_Log_AP!D449</f>
        <v>46034</v>
      </c>
      <c r="E452" s="18" t="n">
        <f aca="false">Payment_Log_AP!E449</f>
        <v>663.66</v>
      </c>
      <c r="F452" s="17" t="n">
        <f aca="false">IFERROR(INDEX(Vendor_Invoices_AP!$D$2:$D$882,MATCH(C452,Vendor_Invoices_AP!$A$2:$A$882,0)),"")</f>
        <v>46019</v>
      </c>
      <c r="G452" s="16" t="n">
        <f aca="false">IF(F452="","",D452-F452)</f>
        <v>15</v>
      </c>
      <c r="H452" s="21" t="n">
        <f aca="false">IF(F452="","",DATE(YEAR(D452),MONTH(D452),1))</f>
        <v>46023</v>
      </c>
    </row>
    <row r="453" customFormat="false" ht="15" hidden="false" customHeight="false" outlineLevel="0" collapsed="false">
      <c r="A453" s="16" t="str">
        <f aca="false">Payment_Log_AP!A450</f>
        <v>PAY40449</v>
      </c>
      <c r="B453" s="16" t="str">
        <f aca="false">Payment_Log_AP!C450</f>
        <v>V1010</v>
      </c>
      <c r="C453" s="16" t="str">
        <f aca="false">Payment_Log_AP!B450</f>
        <v>INV30523</v>
      </c>
      <c r="D453" s="17" t="n">
        <f aca="false">Payment_Log_AP!D450</f>
        <v>46146</v>
      </c>
      <c r="E453" s="18" t="n">
        <f aca="false">Payment_Log_AP!E450</f>
        <v>980.08</v>
      </c>
      <c r="F453" s="17" t="n">
        <f aca="false">IFERROR(INDEX(Vendor_Invoices_AP!$D$2:$D$882,MATCH(C453,Vendor_Invoices_AP!$A$2:$A$882,0)),"")</f>
        <v>46137</v>
      </c>
      <c r="G453" s="16" t="n">
        <f aca="false">IF(F453="","",D453-F453)</f>
        <v>9</v>
      </c>
      <c r="H453" s="21" t="n">
        <f aca="false">IF(F453="","",DATE(YEAR(D453),MONTH(D453),1))</f>
        <v>46143</v>
      </c>
    </row>
    <row r="454" customFormat="false" ht="15" hidden="false" customHeight="false" outlineLevel="0" collapsed="false">
      <c r="A454" s="16" t="str">
        <f aca="false">Payment_Log_AP!A451</f>
        <v>PAY40450</v>
      </c>
      <c r="B454" s="16" t="str">
        <f aca="false">Payment_Log_AP!C451</f>
        <v>V1004</v>
      </c>
      <c r="C454" s="16" t="str">
        <f aca="false">Payment_Log_AP!B451</f>
        <v>INV30524</v>
      </c>
      <c r="D454" s="17" t="n">
        <f aca="false">Payment_Log_AP!D451</f>
        <v>46166</v>
      </c>
      <c r="E454" s="18" t="n">
        <f aca="false">Payment_Log_AP!E451</f>
        <v>2579.28</v>
      </c>
      <c r="F454" s="17" t="n">
        <f aca="false">IFERROR(INDEX(Vendor_Invoices_AP!$D$2:$D$882,MATCH(C454,Vendor_Invoices_AP!$A$2:$A$882,0)),"")</f>
        <v>46151</v>
      </c>
      <c r="G454" s="16" t="n">
        <f aca="false">IF(F454="","",D454-F454)</f>
        <v>15</v>
      </c>
      <c r="H454" s="21" t="n">
        <f aca="false">IF(F454="","",DATE(YEAR(D454),MONTH(D454),1))</f>
        <v>46143</v>
      </c>
    </row>
    <row r="455" customFormat="false" ht="15" hidden="false" customHeight="false" outlineLevel="0" collapsed="false">
      <c r="A455" s="16" t="str">
        <f aca="false">Payment_Log_AP!A452</f>
        <v>PAY40451</v>
      </c>
      <c r="B455" s="16" t="str">
        <f aca="false">Payment_Log_AP!C452</f>
        <v>V1029</v>
      </c>
      <c r="C455" s="16" t="str">
        <f aca="false">Payment_Log_AP!B452</f>
        <v>INV30525</v>
      </c>
      <c r="D455" s="17" t="n">
        <f aca="false">Payment_Log_AP!D452</f>
        <v>45905</v>
      </c>
      <c r="E455" s="18" t="n">
        <f aca="false">Payment_Log_AP!E452</f>
        <v>3221.77</v>
      </c>
      <c r="F455" s="17" t="n">
        <f aca="false">IFERROR(INDEX(Vendor_Invoices_AP!$D$2:$D$882,MATCH(C455,Vendor_Invoices_AP!$A$2:$A$882,0)),"")</f>
        <v>45880</v>
      </c>
      <c r="G455" s="16" t="n">
        <f aca="false">IF(F455="","",D455-F455)</f>
        <v>25</v>
      </c>
      <c r="H455" s="21" t="n">
        <f aca="false">IF(F455="","",DATE(YEAR(D455),MONTH(D455),1))</f>
        <v>45901</v>
      </c>
    </row>
    <row r="456" customFormat="false" ht="15" hidden="false" customHeight="false" outlineLevel="0" collapsed="false">
      <c r="A456" s="16" t="str">
        <f aca="false">Payment_Log_AP!A453</f>
        <v>PAY40452</v>
      </c>
      <c r="B456" s="16" t="str">
        <f aca="false">Payment_Log_AP!C453</f>
        <v>V1029</v>
      </c>
      <c r="C456" s="16" t="str">
        <f aca="false">Payment_Log_AP!B453</f>
        <v>INV30526</v>
      </c>
      <c r="D456" s="17" t="n">
        <f aca="false">Payment_Log_AP!D453</f>
        <v>45841</v>
      </c>
      <c r="E456" s="18" t="n">
        <f aca="false">Payment_Log_AP!E453</f>
        <v>130.66</v>
      </c>
      <c r="F456" s="17" t="n">
        <f aca="false">IFERROR(INDEX(Vendor_Invoices_AP!$D$2:$D$882,MATCH(C456,Vendor_Invoices_AP!$A$2:$A$882,0)),"")</f>
        <v>45833</v>
      </c>
      <c r="G456" s="16" t="n">
        <f aca="false">IF(F456="","",D456-F456)</f>
        <v>8</v>
      </c>
      <c r="H456" s="21" t="n">
        <f aca="false">IF(F456="","",DATE(YEAR(D456),MONTH(D456),1))</f>
        <v>45839</v>
      </c>
    </row>
    <row r="457" customFormat="false" ht="15" hidden="false" customHeight="false" outlineLevel="0" collapsed="false">
      <c r="A457" s="16" t="str">
        <f aca="false">Payment_Log_AP!A454</f>
        <v>PAY40453</v>
      </c>
      <c r="B457" s="16" t="str">
        <f aca="false">Payment_Log_AP!C454</f>
        <v>V1014</v>
      </c>
      <c r="C457" s="16" t="str">
        <f aca="false">Payment_Log_AP!B454</f>
        <v>INV30527</v>
      </c>
      <c r="D457" s="17" t="n">
        <f aca="false">Payment_Log_AP!D454</f>
        <v>46086</v>
      </c>
      <c r="E457" s="18" t="n">
        <f aca="false">Payment_Log_AP!E454</f>
        <v>1768.65</v>
      </c>
      <c r="F457" s="17" t="n">
        <f aca="false">IFERROR(INDEX(Vendor_Invoices_AP!$D$2:$D$882,MATCH(C457,Vendor_Invoices_AP!$A$2:$A$882,0)),"")</f>
        <v>46073</v>
      </c>
      <c r="G457" s="16" t="n">
        <f aca="false">IF(F457="","",D457-F457)</f>
        <v>13</v>
      </c>
      <c r="H457" s="21" t="n">
        <f aca="false">IF(F457="","",DATE(YEAR(D457),MONTH(D457),1))</f>
        <v>46082</v>
      </c>
    </row>
    <row r="458" customFormat="false" ht="15" hidden="false" customHeight="false" outlineLevel="0" collapsed="false">
      <c r="A458" s="16" t="str">
        <f aca="false">Payment_Log_AP!A455</f>
        <v>PAY40454</v>
      </c>
      <c r="B458" s="16" t="str">
        <f aca="false">Payment_Log_AP!C455</f>
        <v>V1034</v>
      </c>
      <c r="C458" s="16" t="str">
        <f aca="false">Payment_Log_AP!B455</f>
        <v>INV30528</v>
      </c>
      <c r="D458" s="17" t="n">
        <f aca="false">Payment_Log_AP!D455</f>
        <v>46116</v>
      </c>
      <c r="E458" s="18" t="n">
        <f aca="false">Payment_Log_AP!E455</f>
        <v>359.03</v>
      </c>
      <c r="F458" s="17" t="n">
        <f aca="false">IFERROR(INDEX(Vendor_Invoices_AP!$D$2:$D$882,MATCH(C458,Vendor_Invoices_AP!$A$2:$A$882,0)),"")</f>
        <v>46095</v>
      </c>
      <c r="G458" s="16" t="n">
        <f aca="false">IF(F458="","",D458-F458)</f>
        <v>21</v>
      </c>
      <c r="H458" s="21" t="n">
        <f aca="false">IF(F458="","",DATE(YEAR(D458),MONTH(D458),1))</f>
        <v>46113</v>
      </c>
    </row>
    <row r="459" customFormat="false" ht="15" hidden="false" customHeight="false" outlineLevel="0" collapsed="false">
      <c r="A459" s="16" t="str">
        <f aca="false">Payment_Log_AP!A456</f>
        <v>PAY40455</v>
      </c>
      <c r="B459" s="16" t="str">
        <f aca="false">Payment_Log_AP!C456</f>
        <v>V1017</v>
      </c>
      <c r="C459" s="16" t="str">
        <f aca="false">Payment_Log_AP!B456</f>
        <v>INV30529</v>
      </c>
      <c r="D459" s="17" t="n">
        <f aca="false">Payment_Log_AP!D456</f>
        <v>46155</v>
      </c>
      <c r="E459" s="18" t="n">
        <f aca="false">Payment_Log_AP!E456</f>
        <v>2508.58</v>
      </c>
      <c r="F459" s="17" t="n">
        <f aca="false">IFERROR(INDEX(Vendor_Invoices_AP!$D$2:$D$882,MATCH(C459,Vendor_Invoices_AP!$A$2:$A$882,0)),"")</f>
        <v>46151</v>
      </c>
      <c r="G459" s="16" t="n">
        <f aca="false">IF(F459="","",D459-F459)</f>
        <v>4</v>
      </c>
      <c r="H459" s="21" t="n">
        <f aca="false">IF(F459="","",DATE(YEAR(D459),MONTH(D459),1))</f>
        <v>46143</v>
      </c>
    </row>
    <row r="460" customFormat="false" ht="15" hidden="false" customHeight="false" outlineLevel="0" collapsed="false">
      <c r="A460" s="16" t="str">
        <f aca="false">Payment_Log_AP!A457</f>
        <v>PAY40456</v>
      </c>
      <c r="B460" s="16" t="str">
        <f aca="false">Payment_Log_AP!C457</f>
        <v>V1010</v>
      </c>
      <c r="C460" s="16" t="str">
        <f aca="false">Payment_Log_AP!B457</f>
        <v>INV30531</v>
      </c>
      <c r="D460" s="17" t="n">
        <f aca="false">Payment_Log_AP!D457</f>
        <v>45740</v>
      </c>
      <c r="E460" s="18" t="n">
        <f aca="false">Payment_Log_AP!E457</f>
        <v>1846.15</v>
      </c>
      <c r="F460" s="17" t="n">
        <f aca="false">IFERROR(INDEX(Vendor_Invoices_AP!$D$2:$D$882,MATCH(C460,Vendor_Invoices_AP!$A$2:$A$882,0)),"")</f>
        <v>45716</v>
      </c>
      <c r="G460" s="16" t="n">
        <f aca="false">IF(F460="","",D460-F460)</f>
        <v>24</v>
      </c>
      <c r="H460" s="21" t="n">
        <f aca="false">IF(F460="","",DATE(YEAR(D460),MONTH(D460),1))</f>
        <v>45717</v>
      </c>
    </row>
    <row r="461" customFormat="false" ht="15" hidden="false" customHeight="false" outlineLevel="0" collapsed="false">
      <c r="A461" s="16" t="str">
        <f aca="false">Payment_Log_AP!A458</f>
        <v>PAY40457</v>
      </c>
      <c r="B461" s="16" t="str">
        <f aca="false">Payment_Log_AP!C458</f>
        <v>V1018</v>
      </c>
      <c r="C461" s="16" t="str">
        <f aca="false">Payment_Log_AP!B458</f>
        <v>INV30532</v>
      </c>
      <c r="D461" s="17" t="n">
        <f aca="false">Payment_Log_AP!D458</f>
        <v>46041</v>
      </c>
      <c r="E461" s="18" t="n">
        <f aca="false">Payment_Log_AP!E458</f>
        <v>1888.25</v>
      </c>
      <c r="F461" s="17" t="n">
        <f aca="false">IFERROR(INDEX(Vendor_Invoices_AP!$D$2:$D$882,MATCH(C461,Vendor_Invoices_AP!$A$2:$A$882,0)),"")</f>
        <v>46026</v>
      </c>
      <c r="G461" s="16" t="n">
        <f aca="false">IF(F461="","",D461-F461)</f>
        <v>15</v>
      </c>
      <c r="H461" s="21" t="n">
        <f aca="false">IF(F461="","",DATE(YEAR(D461),MONTH(D461),1))</f>
        <v>46023</v>
      </c>
    </row>
    <row r="462" customFormat="false" ht="15" hidden="false" customHeight="false" outlineLevel="0" collapsed="false">
      <c r="A462" s="16" t="str">
        <f aca="false">Payment_Log_AP!A459</f>
        <v>PAY40458</v>
      </c>
      <c r="B462" s="16" t="str">
        <f aca="false">Payment_Log_AP!C459</f>
        <v>V1012</v>
      </c>
      <c r="C462" s="16" t="str">
        <f aca="false">Payment_Log_AP!B459</f>
        <v>INV30535</v>
      </c>
      <c r="D462" s="17" t="n">
        <f aca="false">Payment_Log_AP!D459</f>
        <v>46115</v>
      </c>
      <c r="E462" s="18" t="n">
        <f aca="false">Payment_Log_AP!E459</f>
        <v>28542.14</v>
      </c>
      <c r="F462" s="17" t="n">
        <f aca="false">IFERROR(INDEX(Vendor_Invoices_AP!$D$2:$D$882,MATCH(C462,Vendor_Invoices_AP!$A$2:$A$882,0)),"")</f>
        <v>46083</v>
      </c>
      <c r="G462" s="16" t="n">
        <f aca="false">IF(F462="","",D462-F462)</f>
        <v>32</v>
      </c>
      <c r="H462" s="21" t="n">
        <f aca="false">IF(F462="","",DATE(YEAR(D462),MONTH(D462),1))</f>
        <v>46113</v>
      </c>
    </row>
    <row r="463" customFormat="false" ht="15" hidden="false" customHeight="false" outlineLevel="0" collapsed="false">
      <c r="A463" s="16" t="str">
        <f aca="false">Payment_Log_AP!A460</f>
        <v>PAY40459</v>
      </c>
      <c r="B463" s="16" t="str">
        <f aca="false">Payment_Log_AP!C460</f>
        <v>V1033</v>
      </c>
      <c r="C463" s="16" t="str">
        <f aca="false">Payment_Log_AP!B460</f>
        <v>INV30536</v>
      </c>
      <c r="D463" s="17" t="n">
        <f aca="false">Payment_Log_AP!D460</f>
        <v>45915</v>
      </c>
      <c r="E463" s="18" t="n">
        <f aca="false">Payment_Log_AP!E460</f>
        <v>13194.36</v>
      </c>
      <c r="F463" s="17" t="n">
        <f aca="false">IFERROR(INDEX(Vendor_Invoices_AP!$D$2:$D$882,MATCH(C463,Vendor_Invoices_AP!$A$2:$A$882,0)),"")</f>
        <v>45912</v>
      </c>
      <c r="G463" s="16" t="n">
        <f aca="false">IF(F463="","",D463-F463)</f>
        <v>3</v>
      </c>
      <c r="H463" s="21" t="n">
        <f aca="false">IF(F463="","",DATE(YEAR(D463),MONTH(D463),1))</f>
        <v>45901</v>
      </c>
    </row>
    <row r="464" customFormat="false" ht="15" hidden="false" customHeight="false" outlineLevel="0" collapsed="false">
      <c r="A464" s="16" t="str">
        <f aca="false">Payment_Log_AP!A461</f>
        <v>PAY40460</v>
      </c>
      <c r="B464" s="16" t="str">
        <f aca="false">Payment_Log_AP!C461</f>
        <v>V1034</v>
      </c>
      <c r="C464" s="16" t="str">
        <f aca="false">Payment_Log_AP!B461</f>
        <v>INV30538</v>
      </c>
      <c r="D464" s="17" t="n">
        <f aca="false">Payment_Log_AP!D461</f>
        <v>46045</v>
      </c>
      <c r="E464" s="18" t="n">
        <f aca="false">Payment_Log_AP!E461</f>
        <v>999.65</v>
      </c>
      <c r="F464" s="17" t="n">
        <f aca="false">IFERROR(INDEX(Vendor_Invoices_AP!$D$2:$D$882,MATCH(C464,Vendor_Invoices_AP!$A$2:$A$882,0)),"")</f>
        <v>46014</v>
      </c>
      <c r="G464" s="16" t="n">
        <f aca="false">IF(F464="","",D464-F464)</f>
        <v>31</v>
      </c>
      <c r="H464" s="21" t="n">
        <f aca="false">IF(F464="","",DATE(YEAR(D464),MONTH(D464),1))</f>
        <v>46023</v>
      </c>
    </row>
    <row r="465" customFormat="false" ht="15" hidden="false" customHeight="false" outlineLevel="0" collapsed="false">
      <c r="A465" s="16" t="str">
        <f aca="false">Payment_Log_AP!A462</f>
        <v>PAY40461</v>
      </c>
      <c r="B465" s="16" t="str">
        <f aca="false">Payment_Log_AP!C462</f>
        <v>V1010</v>
      </c>
      <c r="C465" s="16" t="str">
        <f aca="false">Payment_Log_AP!B462</f>
        <v>INV30539</v>
      </c>
      <c r="D465" s="17" t="n">
        <f aca="false">Payment_Log_AP!D462</f>
        <v>46179</v>
      </c>
      <c r="E465" s="18" t="n">
        <f aca="false">Payment_Log_AP!E462</f>
        <v>2025.11</v>
      </c>
      <c r="F465" s="17" t="n">
        <f aca="false">IFERROR(INDEX(Vendor_Invoices_AP!$D$2:$D$882,MATCH(C465,Vendor_Invoices_AP!$A$2:$A$882,0)),"")</f>
        <v>46154</v>
      </c>
      <c r="G465" s="16" t="n">
        <f aca="false">IF(F465="","",D465-F465)</f>
        <v>25</v>
      </c>
      <c r="H465" s="21" t="n">
        <f aca="false">IF(F465="","",DATE(YEAR(D465),MONTH(D465),1))</f>
        <v>46174</v>
      </c>
    </row>
    <row r="466" customFormat="false" ht="15" hidden="false" customHeight="false" outlineLevel="0" collapsed="false">
      <c r="A466" s="16" t="str">
        <f aca="false">Payment_Log_AP!A463</f>
        <v>PAY40462</v>
      </c>
      <c r="B466" s="16" t="str">
        <f aca="false">Payment_Log_AP!C463</f>
        <v>V1010</v>
      </c>
      <c r="C466" s="16" t="str">
        <f aca="false">Payment_Log_AP!B463</f>
        <v>INV30540</v>
      </c>
      <c r="D466" s="17" t="n">
        <f aca="false">Payment_Log_AP!D463</f>
        <v>46172</v>
      </c>
      <c r="E466" s="18" t="n">
        <f aca="false">Payment_Log_AP!E463</f>
        <v>2025.11</v>
      </c>
      <c r="F466" s="17" t="n">
        <f aca="false">IFERROR(INDEX(Vendor_Invoices_AP!$D$2:$D$882,MATCH(C466,Vendor_Invoices_AP!$A$2:$A$882,0)),"")</f>
        <v>46158</v>
      </c>
      <c r="G466" s="16" t="n">
        <f aca="false">IF(F466="","",D466-F466)</f>
        <v>14</v>
      </c>
      <c r="H466" s="21" t="n">
        <f aca="false">IF(F466="","",DATE(YEAR(D466),MONTH(D466),1))</f>
        <v>46143</v>
      </c>
    </row>
    <row r="467" customFormat="false" ht="15" hidden="false" customHeight="false" outlineLevel="0" collapsed="false">
      <c r="A467" s="16" t="str">
        <f aca="false">Payment_Log_AP!A464</f>
        <v>PAY40463</v>
      </c>
      <c r="B467" s="16" t="str">
        <f aca="false">Payment_Log_AP!C464</f>
        <v>V1013</v>
      </c>
      <c r="C467" s="16" t="str">
        <f aca="false">Payment_Log_AP!B464</f>
        <v>INV30541</v>
      </c>
      <c r="D467" s="17" t="n">
        <f aca="false">Payment_Log_AP!D464</f>
        <v>45933</v>
      </c>
      <c r="E467" s="18" t="n">
        <f aca="false">Payment_Log_AP!E464</f>
        <v>1346.34</v>
      </c>
      <c r="F467" s="17" t="n">
        <f aca="false">IFERROR(INDEX(Vendor_Invoices_AP!$D$2:$D$882,MATCH(C467,Vendor_Invoices_AP!$A$2:$A$882,0)),"")</f>
        <v>45921</v>
      </c>
      <c r="G467" s="16" t="n">
        <f aca="false">IF(F467="","",D467-F467)</f>
        <v>12</v>
      </c>
      <c r="H467" s="21" t="n">
        <f aca="false">IF(F467="","",DATE(YEAR(D467),MONTH(D467),1))</f>
        <v>45931</v>
      </c>
    </row>
    <row r="468" customFormat="false" ht="15" hidden="false" customHeight="false" outlineLevel="0" collapsed="false">
      <c r="A468" s="16" t="str">
        <f aca="false">Payment_Log_AP!A465</f>
        <v>PAY40464</v>
      </c>
      <c r="B468" s="16" t="str">
        <f aca="false">Payment_Log_AP!C465</f>
        <v>V1017</v>
      </c>
      <c r="C468" s="16" t="str">
        <f aca="false">Payment_Log_AP!B465</f>
        <v>INV30542</v>
      </c>
      <c r="D468" s="17" t="n">
        <f aca="false">Payment_Log_AP!D465</f>
        <v>46050</v>
      </c>
      <c r="E468" s="18" t="n">
        <f aca="false">Payment_Log_AP!E465</f>
        <v>473.72</v>
      </c>
      <c r="F468" s="17" t="n">
        <f aca="false">IFERROR(INDEX(Vendor_Invoices_AP!$D$2:$D$882,MATCH(C468,Vendor_Invoices_AP!$A$2:$A$882,0)),"")</f>
        <v>46039</v>
      </c>
      <c r="G468" s="16" t="n">
        <f aca="false">IF(F468="","",D468-F468)</f>
        <v>11</v>
      </c>
      <c r="H468" s="21" t="n">
        <f aca="false">IF(F468="","",DATE(YEAR(D468),MONTH(D468),1))</f>
        <v>46023</v>
      </c>
    </row>
    <row r="469" customFormat="false" ht="15" hidden="false" customHeight="false" outlineLevel="0" collapsed="false">
      <c r="A469" s="16" t="str">
        <f aca="false">Payment_Log_AP!A466</f>
        <v>PAY40465</v>
      </c>
      <c r="B469" s="16" t="str">
        <f aca="false">Payment_Log_AP!C466</f>
        <v>V1029</v>
      </c>
      <c r="C469" s="16" t="str">
        <f aca="false">Payment_Log_AP!B466</f>
        <v>INV30545</v>
      </c>
      <c r="D469" s="17" t="n">
        <f aca="false">Payment_Log_AP!D466</f>
        <v>46127</v>
      </c>
      <c r="E469" s="18" t="n">
        <f aca="false">Payment_Log_AP!E466</f>
        <v>4513.74</v>
      </c>
      <c r="F469" s="17" t="n">
        <f aca="false">IFERROR(INDEX(Vendor_Invoices_AP!$D$2:$D$882,MATCH(C469,Vendor_Invoices_AP!$A$2:$A$882,0)),"")</f>
        <v>46101</v>
      </c>
      <c r="G469" s="16" t="n">
        <f aca="false">IF(F469="","",D469-F469)</f>
        <v>26</v>
      </c>
      <c r="H469" s="21" t="n">
        <f aca="false">IF(F469="","",DATE(YEAR(D469),MONTH(D469),1))</f>
        <v>46113</v>
      </c>
    </row>
    <row r="470" customFormat="false" ht="15" hidden="false" customHeight="false" outlineLevel="0" collapsed="false">
      <c r="A470" s="16" t="str">
        <f aca="false">Payment_Log_AP!A467</f>
        <v>PAY40466</v>
      </c>
      <c r="B470" s="16" t="str">
        <f aca="false">Payment_Log_AP!C467</f>
        <v>V1028</v>
      </c>
      <c r="C470" s="16" t="str">
        <f aca="false">Payment_Log_AP!B467</f>
        <v>INV30546</v>
      </c>
      <c r="D470" s="17" t="n">
        <f aca="false">Payment_Log_AP!D467</f>
        <v>45840</v>
      </c>
      <c r="E470" s="18" t="n">
        <f aca="false">Payment_Log_AP!E467</f>
        <v>1308.52</v>
      </c>
      <c r="F470" s="17" t="n">
        <f aca="false">IFERROR(INDEX(Vendor_Invoices_AP!$D$2:$D$882,MATCH(C470,Vendor_Invoices_AP!$A$2:$A$882,0)),"")</f>
        <v>45827</v>
      </c>
      <c r="G470" s="16" t="n">
        <f aca="false">IF(F470="","",D470-F470)</f>
        <v>13</v>
      </c>
      <c r="H470" s="21" t="n">
        <f aca="false">IF(F470="","",DATE(YEAR(D470),MONTH(D470),1))</f>
        <v>45839</v>
      </c>
    </row>
    <row r="471" customFormat="false" ht="15" hidden="false" customHeight="false" outlineLevel="0" collapsed="false">
      <c r="A471" s="16" t="str">
        <f aca="false">Payment_Log_AP!A468</f>
        <v>PAY40467</v>
      </c>
      <c r="B471" s="16" t="str">
        <f aca="false">Payment_Log_AP!C468</f>
        <v>V1028</v>
      </c>
      <c r="C471" s="16" t="str">
        <f aca="false">Payment_Log_AP!B468</f>
        <v>INV30547</v>
      </c>
      <c r="D471" s="17" t="n">
        <f aca="false">Payment_Log_AP!D468</f>
        <v>45871</v>
      </c>
      <c r="E471" s="18" t="n">
        <f aca="false">Payment_Log_AP!E468</f>
        <v>2254.68</v>
      </c>
      <c r="F471" s="17" t="n">
        <f aca="false">IFERROR(INDEX(Vendor_Invoices_AP!$D$2:$D$882,MATCH(C471,Vendor_Invoices_AP!$A$2:$A$882,0)),"")</f>
        <v>45867</v>
      </c>
      <c r="G471" s="16" t="n">
        <f aca="false">IF(F471="","",D471-F471)</f>
        <v>4</v>
      </c>
      <c r="H471" s="21" t="n">
        <f aca="false">IF(F471="","",DATE(YEAR(D471),MONTH(D471),1))</f>
        <v>45870</v>
      </c>
    </row>
    <row r="472" customFormat="false" ht="15" hidden="false" customHeight="false" outlineLevel="0" collapsed="false">
      <c r="A472" s="16" t="str">
        <f aca="false">Payment_Log_AP!A469</f>
        <v>PAY40468</v>
      </c>
      <c r="B472" s="16" t="str">
        <f aca="false">Payment_Log_AP!C469</f>
        <v>V1028</v>
      </c>
      <c r="C472" s="16" t="str">
        <f aca="false">Payment_Log_AP!B469</f>
        <v>INV30548</v>
      </c>
      <c r="D472" s="17" t="n">
        <f aca="false">Payment_Log_AP!D469</f>
        <v>45891</v>
      </c>
      <c r="E472" s="18" t="n">
        <f aca="false">Payment_Log_AP!E469</f>
        <v>2254.68</v>
      </c>
      <c r="F472" s="17" t="n">
        <f aca="false">IFERROR(INDEX(Vendor_Invoices_AP!$D$2:$D$882,MATCH(C472,Vendor_Invoices_AP!$A$2:$A$882,0)),"")</f>
        <v>45882</v>
      </c>
      <c r="G472" s="16" t="n">
        <f aca="false">IF(F472="","",D472-F472)</f>
        <v>9</v>
      </c>
      <c r="H472" s="21" t="n">
        <f aca="false">IF(F472="","",DATE(YEAR(D472),MONTH(D472),1))</f>
        <v>45870</v>
      </c>
    </row>
    <row r="473" customFormat="false" ht="15" hidden="false" customHeight="false" outlineLevel="0" collapsed="false">
      <c r="A473" s="16" t="str">
        <f aca="false">Payment_Log_AP!A470</f>
        <v>PAY40469</v>
      </c>
      <c r="B473" s="16" t="str">
        <f aca="false">Payment_Log_AP!C470</f>
        <v>V1023</v>
      </c>
      <c r="C473" s="16" t="str">
        <f aca="false">Payment_Log_AP!B470</f>
        <v>INV30549</v>
      </c>
      <c r="D473" s="17" t="n">
        <f aca="false">Payment_Log_AP!D470</f>
        <v>45760</v>
      </c>
      <c r="E473" s="18" t="n">
        <f aca="false">Payment_Log_AP!E470</f>
        <v>5770.92</v>
      </c>
      <c r="F473" s="17" t="n">
        <f aca="false">IFERROR(INDEX(Vendor_Invoices_AP!$D$2:$D$882,MATCH(C473,Vendor_Invoices_AP!$A$2:$A$882,0)),"")</f>
        <v>45750</v>
      </c>
      <c r="G473" s="16" t="n">
        <f aca="false">IF(F473="","",D473-F473)</f>
        <v>10</v>
      </c>
      <c r="H473" s="21" t="n">
        <f aca="false">IF(F473="","",DATE(YEAR(D473),MONTH(D473),1))</f>
        <v>45748</v>
      </c>
    </row>
    <row r="474" customFormat="false" ht="15" hidden="false" customHeight="false" outlineLevel="0" collapsed="false">
      <c r="A474" s="16" t="str">
        <f aca="false">Payment_Log_AP!A471</f>
        <v>PAY40470</v>
      </c>
      <c r="B474" s="16" t="str">
        <f aca="false">Payment_Log_AP!C471</f>
        <v>V1016</v>
      </c>
      <c r="C474" s="16" t="str">
        <f aca="false">Payment_Log_AP!B471</f>
        <v>INV30550</v>
      </c>
      <c r="D474" s="17" t="n">
        <f aca="false">Payment_Log_AP!D471</f>
        <v>45972</v>
      </c>
      <c r="E474" s="18" t="n">
        <f aca="false">Payment_Log_AP!E471</f>
        <v>2271.46</v>
      </c>
      <c r="F474" s="17" t="n">
        <f aca="false">IFERROR(INDEX(Vendor_Invoices_AP!$D$2:$D$882,MATCH(C474,Vendor_Invoices_AP!$A$2:$A$882,0)),"")</f>
        <v>45971</v>
      </c>
      <c r="G474" s="16" t="n">
        <f aca="false">IF(F474="","",D474-F474)</f>
        <v>1</v>
      </c>
      <c r="H474" s="21" t="n">
        <f aca="false">IF(F474="","",DATE(YEAR(D474),MONTH(D474),1))</f>
        <v>45962</v>
      </c>
    </row>
    <row r="475" customFormat="false" ht="15" hidden="false" customHeight="false" outlineLevel="0" collapsed="false">
      <c r="A475" s="16" t="str">
        <f aca="false">Payment_Log_AP!A472</f>
        <v>PAY40471</v>
      </c>
      <c r="B475" s="16" t="str">
        <f aca="false">Payment_Log_AP!C472</f>
        <v>V1012</v>
      </c>
      <c r="C475" s="16" t="str">
        <f aca="false">Payment_Log_AP!B472</f>
        <v>INV30551</v>
      </c>
      <c r="D475" s="17" t="n">
        <f aca="false">Payment_Log_AP!D472</f>
        <v>45994</v>
      </c>
      <c r="E475" s="18" t="n">
        <f aca="false">Payment_Log_AP!E472</f>
        <v>567.17</v>
      </c>
      <c r="F475" s="17" t="n">
        <f aca="false">IFERROR(INDEX(Vendor_Invoices_AP!$D$2:$D$882,MATCH(C475,Vendor_Invoices_AP!$A$2:$A$882,0)),"")</f>
        <v>45984</v>
      </c>
      <c r="G475" s="16" t="n">
        <f aca="false">IF(F475="","",D475-F475)</f>
        <v>10</v>
      </c>
      <c r="H475" s="21" t="n">
        <f aca="false">IF(F475="","",DATE(YEAR(D475),MONTH(D475),1))</f>
        <v>45992</v>
      </c>
    </row>
    <row r="476" customFormat="false" ht="15" hidden="false" customHeight="false" outlineLevel="0" collapsed="false">
      <c r="A476" s="16" t="str">
        <f aca="false">Payment_Log_AP!A473</f>
        <v>PAY40472</v>
      </c>
      <c r="B476" s="16" t="str">
        <f aca="false">Payment_Log_AP!C473</f>
        <v>V1010</v>
      </c>
      <c r="C476" s="16" t="str">
        <f aca="false">Payment_Log_AP!B473</f>
        <v>INV30552</v>
      </c>
      <c r="D476" s="17" t="n">
        <f aca="false">Payment_Log_AP!D473</f>
        <v>46104</v>
      </c>
      <c r="E476" s="18" t="n">
        <f aca="false">Payment_Log_AP!E473</f>
        <v>4021.66</v>
      </c>
      <c r="F476" s="17" t="n">
        <f aca="false">IFERROR(INDEX(Vendor_Invoices_AP!$D$2:$D$882,MATCH(C476,Vendor_Invoices_AP!$A$2:$A$882,0)),"")</f>
        <v>46093</v>
      </c>
      <c r="G476" s="16" t="n">
        <f aca="false">IF(F476="","",D476-F476)</f>
        <v>11</v>
      </c>
      <c r="H476" s="21" t="n">
        <f aca="false">IF(F476="","",DATE(YEAR(D476),MONTH(D476),1))</f>
        <v>46082</v>
      </c>
    </row>
    <row r="477" customFormat="false" ht="15" hidden="false" customHeight="false" outlineLevel="0" collapsed="false">
      <c r="A477" s="16" t="str">
        <f aca="false">Payment_Log_AP!A474</f>
        <v>PAY40473</v>
      </c>
      <c r="B477" s="16" t="str">
        <f aca="false">Payment_Log_AP!C474</f>
        <v>V1002</v>
      </c>
      <c r="C477" s="16" t="str">
        <f aca="false">Payment_Log_AP!B474</f>
        <v>INV30554</v>
      </c>
      <c r="D477" s="17" t="n">
        <f aca="false">Payment_Log_AP!D474</f>
        <v>45720</v>
      </c>
      <c r="E477" s="18" t="n">
        <f aca="false">Payment_Log_AP!E474</f>
        <v>21176.94</v>
      </c>
      <c r="F477" s="17" t="n">
        <f aca="false">IFERROR(INDEX(Vendor_Invoices_AP!$D$2:$D$882,MATCH(C477,Vendor_Invoices_AP!$A$2:$A$882,0)),"")</f>
        <v>45716</v>
      </c>
      <c r="G477" s="16" t="n">
        <f aca="false">IF(F477="","",D477-F477)</f>
        <v>4</v>
      </c>
      <c r="H477" s="21" t="n">
        <f aca="false">IF(F477="","",DATE(YEAR(D477),MONTH(D477),1))</f>
        <v>45717</v>
      </c>
    </row>
    <row r="478" customFormat="false" ht="15" hidden="false" customHeight="false" outlineLevel="0" collapsed="false">
      <c r="A478" s="16" t="str">
        <f aca="false">Payment_Log_AP!A475</f>
        <v>PAY40474</v>
      </c>
      <c r="B478" s="16" t="str">
        <f aca="false">Payment_Log_AP!C475</f>
        <v>V1010</v>
      </c>
      <c r="C478" s="16" t="str">
        <f aca="false">Payment_Log_AP!B475</f>
        <v>INV30555</v>
      </c>
      <c r="D478" s="17" t="n">
        <f aca="false">Payment_Log_AP!D475</f>
        <v>46176</v>
      </c>
      <c r="E478" s="18" t="n">
        <f aca="false">Payment_Log_AP!E475</f>
        <v>3298.58</v>
      </c>
      <c r="F478" s="17" t="n">
        <f aca="false">IFERROR(INDEX(Vendor_Invoices_AP!$D$2:$D$882,MATCH(C478,Vendor_Invoices_AP!$A$2:$A$882,0)),"")</f>
        <v>46148</v>
      </c>
      <c r="G478" s="16" t="n">
        <f aca="false">IF(F478="","",D478-F478)</f>
        <v>28</v>
      </c>
      <c r="H478" s="21" t="n">
        <f aca="false">IF(F478="","",DATE(YEAR(D478),MONTH(D478),1))</f>
        <v>46174</v>
      </c>
    </row>
    <row r="479" customFormat="false" ht="15" hidden="false" customHeight="false" outlineLevel="0" collapsed="false">
      <c r="A479" s="16" t="str">
        <f aca="false">Payment_Log_AP!A476</f>
        <v>PAY40475</v>
      </c>
      <c r="B479" s="16" t="str">
        <f aca="false">Payment_Log_AP!C476</f>
        <v>V1031</v>
      </c>
      <c r="C479" s="16" t="str">
        <f aca="false">Payment_Log_AP!B476</f>
        <v>INV30556</v>
      </c>
      <c r="D479" s="17" t="n">
        <f aca="false">Payment_Log_AP!D476</f>
        <v>46018</v>
      </c>
      <c r="E479" s="18" t="n">
        <f aca="false">Payment_Log_AP!E476</f>
        <v>6459.27</v>
      </c>
      <c r="F479" s="17" t="n">
        <f aca="false">IFERROR(INDEX(Vendor_Invoices_AP!$D$2:$D$882,MATCH(C479,Vendor_Invoices_AP!$A$2:$A$882,0)),"")</f>
        <v>46015</v>
      </c>
      <c r="G479" s="16" t="n">
        <f aca="false">IF(F479="","",D479-F479)</f>
        <v>3</v>
      </c>
      <c r="H479" s="21" t="n">
        <f aca="false">IF(F479="","",DATE(YEAR(D479),MONTH(D479),1))</f>
        <v>45992</v>
      </c>
    </row>
    <row r="480" customFormat="false" ht="15" hidden="false" customHeight="false" outlineLevel="0" collapsed="false">
      <c r="A480" s="16" t="str">
        <f aca="false">Payment_Log_AP!A477</f>
        <v>PAY40476</v>
      </c>
      <c r="B480" s="16" t="str">
        <f aca="false">Payment_Log_AP!C477</f>
        <v>V1012</v>
      </c>
      <c r="C480" s="16" t="str">
        <f aca="false">Payment_Log_AP!B477</f>
        <v>INV30557</v>
      </c>
      <c r="D480" s="17" t="n">
        <f aca="false">Payment_Log_AP!D477</f>
        <v>45823</v>
      </c>
      <c r="E480" s="18" t="n">
        <f aca="false">Payment_Log_AP!E477</f>
        <v>622.67</v>
      </c>
      <c r="F480" s="17" t="n">
        <f aca="false">IFERROR(INDEX(Vendor_Invoices_AP!$D$2:$D$882,MATCH(C480,Vendor_Invoices_AP!$A$2:$A$882,0)),"")</f>
        <v>45811</v>
      </c>
      <c r="G480" s="16" t="n">
        <f aca="false">IF(F480="","",D480-F480)</f>
        <v>12</v>
      </c>
      <c r="H480" s="21" t="n">
        <f aca="false">IF(F480="","",DATE(YEAR(D480),MONTH(D480),1))</f>
        <v>45809</v>
      </c>
    </row>
    <row r="481" customFormat="false" ht="15" hidden="false" customHeight="false" outlineLevel="0" collapsed="false">
      <c r="A481" s="16" t="str">
        <f aca="false">Payment_Log_AP!A478</f>
        <v>PAY40477</v>
      </c>
      <c r="B481" s="16" t="str">
        <f aca="false">Payment_Log_AP!C478</f>
        <v>V1005</v>
      </c>
      <c r="C481" s="16" t="str">
        <f aca="false">Payment_Log_AP!B478</f>
        <v>INV30559</v>
      </c>
      <c r="D481" s="17" t="n">
        <f aca="false">Payment_Log_AP!D478</f>
        <v>45752</v>
      </c>
      <c r="E481" s="18" t="n">
        <f aca="false">Payment_Log_AP!E478</f>
        <v>4894.13</v>
      </c>
      <c r="F481" s="17" t="n">
        <f aca="false">IFERROR(INDEX(Vendor_Invoices_AP!$D$2:$D$882,MATCH(C481,Vendor_Invoices_AP!$A$2:$A$882,0)),"")</f>
        <v>45746</v>
      </c>
      <c r="G481" s="16" t="n">
        <f aca="false">IF(F481="","",D481-F481)</f>
        <v>6</v>
      </c>
      <c r="H481" s="21" t="n">
        <f aca="false">IF(F481="","",DATE(YEAR(D481),MONTH(D481),1))</f>
        <v>45748</v>
      </c>
    </row>
    <row r="482" customFormat="false" ht="15" hidden="false" customHeight="false" outlineLevel="0" collapsed="false">
      <c r="A482" s="16" t="str">
        <f aca="false">Payment_Log_AP!A479</f>
        <v>PAY40478</v>
      </c>
      <c r="B482" s="16" t="str">
        <f aca="false">Payment_Log_AP!C479</f>
        <v>V1024</v>
      </c>
      <c r="C482" s="16" t="str">
        <f aca="false">Payment_Log_AP!B479</f>
        <v>INV30560</v>
      </c>
      <c r="D482" s="17" t="n">
        <f aca="false">Payment_Log_AP!D479</f>
        <v>45946</v>
      </c>
      <c r="E482" s="18" t="n">
        <f aca="false">Payment_Log_AP!E479</f>
        <v>640.41</v>
      </c>
      <c r="F482" s="17" t="n">
        <f aca="false">IFERROR(INDEX(Vendor_Invoices_AP!$D$2:$D$882,MATCH(C482,Vendor_Invoices_AP!$A$2:$A$882,0)),"")</f>
        <v>45928</v>
      </c>
      <c r="G482" s="16" t="n">
        <f aca="false">IF(F482="","",D482-F482)</f>
        <v>18</v>
      </c>
      <c r="H482" s="21" t="n">
        <f aca="false">IF(F482="","",DATE(YEAR(D482),MONTH(D482),1))</f>
        <v>45931</v>
      </c>
    </row>
    <row r="483" customFormat="false" ht="15" hidden="false" customHeight="false" outlineLevel="0" collapsed="false">
      <c r="A483" s="16" t="str">
        <f aca="false">Payment_Log_AP!A480</f>
        <v>PAY40479</v>
      </c>
      <c r="B483" s="16" t="str">
        <f aca="false">Payment_Log_AP!C480</f>
        <v>V1016</v>
      </c>
      <c r="C483" s="16" t="str">
        <f aca="false">Payment_Log_AP!B480</f>
        <v>INV30561</v>
      </c>
      <c r="D483" s="17" t="n">
        <f aca="false">Payment_Log_AP!D480</f>
        <v>45816</v>
      </c>
      <c r="E483" s="18" t="n">
        <f aca="false">Payment_Log_AP!E480</f>
        <v>6607.07</v>
      </c>
      <c r="F483" s="17" t="n">
        <f aca="false">IFERROR(INDEX(Vendor_Invoices_AP!$D$2:$D$882,MATCH(C483,Vendor_Invoices_AP!$A$2:$A$882,0)),"")</f>
        <v>45810</v>
      </c>
      <c r="G483" s="16" t="n">
        <f aca="false">IF(F483="","",D483-F483)</f>
        <v>6</v>
      </c>
      <c r="H483" s="21" t="n">
        <f aca="false">IF(F483="","",DATE(YEAR(D483),MONTH(D483),1))</f>
        <v>45809</v>
      </c>
    </row>
    <row r="484" customFormat="false" ht="15" hidden="false" customHeight="false" outlineLevel="0" collapsed="false">
      <c r="A484" s="16" t="str">
        <f aca="false">Payment_Log_AP!A481</f>
        <v>PAY40480</v>
      </c>
      <c r="B484" s="16" t="str">
        <f aca="false">Payment_Log_AP!C481</f>
        <v>V1028</v>
      </c>
      <c r="C484" s="16" t="str">
        <f aca="false">Payment_Log_AP!B481</f>
        <v>INV30562</v>
      </c>
      <c r="D484" s="17" t="n">
        <f aca="false">Payment_Log_AP!D481</f>
        <v>45845</v>
      </c>
      <c r="E484" s="18" t="n">
        <f aca="false">Payment_Log_AP!E481</f>
        <v>647.86</v>
      </c>
      <c r="F484" s="17" t="n">
        <f aca="false">IFERROR(INDEX(Vendor_Invoices_AP!$D$2:$D$882,MATCH(C484,Vendor_Invoices_AP!$A$2:$A$882,0)),"")</f>
        <v>45812</v>
      </c>
      <c r="G484" s="16" t="n">
        <f aca="false">IF(F484="","",D484-F484)</f>
        <v>33</v>
      </c>
      <c r="H484" s="21" t="n">
        <f aca="false">IF(F484="","",DATE(YEAR(D484),MONTH(D484),1))</f>
        <v>45839</v>
      </c>
    </row>
    <row r="485" customFormat="false" ht="15" hidden="false" customHeight="false" outlineLevel="0" collapsed="false">
      <c r="A485" s="16" t="str">
        <f aca="false">Payment_Log_AP!A482</f>
        <v>PAY40481</v>
      </c>
      <c r="B485" s="16" t="str">
        <f aca="false">Payment_Log_AP!C482</f>
        <v>V1022</v>
      </c>
      <c r="C485" s="16" t="str">
        <f aca="false">Payment_Log_AP!B482</f>
        <v>INV30563</v>
      </c>
      <c r="D485" s="17" t="n">
        <f aca="false">Payment_Log_AP!D482</f>
        <v>45717</v>
      </c>
      <c r="E485" s="18" t="n">
        <f aca="false">Payment_Log_AP!E482</f>
        <v>517.06</v>
      </c>
      <c r="F485" s="17" t="n">
        <f aca="false">IFERROR(INDEX(Vendor_Invoices_AP!$D$2:$D$882,MATCH(C485,Vendor_Invoices_AP!$A$2:$A$882,0)),"")</f>
        <v>45686</v>
      </c>
      <c r="G485" s="16" t="n">
        <f aca="false">IF(F485="","",D485-F485)</f>
        <v>31</v>
      </c>
      <c r="H485" s="21" t="n">
        <f aca="false">IF(F485="","",DATE(YEAR(D485),MONTH(D485),1))</f>
        <v>45717</v>
      </c>
    </row>
    <row r="486" customFormat="false" ht="15" hidden="false" customHeight="false" outlineLevel="0" collapsed="false">
      <c r="A486" s="16" t="str">
        <f aca="false">Payment_Log_AP!A483</f>
        <v>PAY40482</v>
      </c>
      <c r="B486" s="16" t="str">
        <f aca="false">Payment_Log_AP!C483</f>
        <v>V1011</v>
      </c>
      <c r="C486" s="16" t="str">
        <f aca="false">Payment_Log_AP!B483</f>
        <v>INV30564</v>
      </c>
      <c r="D486" s="17" t="n">
        <f aca="false">Payment_Log_AP!D483</f>
        <v>46111</v>
      </c>
      <c r="E486" s="18" t="n">
        <f aca="false">Payment_Log_AP!E483</f>
        <v>316.1</v>
      </c>
      <c r="F486" s="17" t="n">
        <f aca="false">IFERROR(INDEX(Vendor_Invoices_AP!$D$2:$D$882,MATCH(C486,Vendor_Invoices_AP!$A$2:$A$882,0)),"")</f>
        <v>46099</v>
      </c>
      <c r="G486" s="16" t="n">
        <f aca="false">IF(F486="","",D486-F486)</f>
        <v>12</v>
      </c>
      <c r="H486" s="21" t="n">
        <f aca="false">IF(F486="","",DATE(YEAR(D486),MONTH(D486),1))</f>
        <v>46082</v>
      </c>
    </row>
    <row r="487" customFormat="false" ht="15" hidden="false" customHeight="false" outlineLevel="0" collapsed="false">
      <c r="A487" s="16" t="str">
        <f aca="false">Payment_Log_AP!A484</f>
        <v>PAY40483</v>
      </c>
      <c r="B487" s="16" t="str">
        <f aca="false">Payment_Log_AP!C484</f>
        <v>V1034</v>
      </c>
      <c r="C487" s="16" t="str">
        <f aca="false">Payment_Log_AP!B484</f>
        <v>INV30565</v>
      </c>
      <c r="D487" s="17" t="n">
        <f aca="false">Payment_Log_AP!D484</f>
        <v>46190</v>
      </c>
      <c r="E487" s="18" t="n">
        <f aca="false">Payment_Log_AP!E484</f>
        <v>4436.8</v>
      </c>
      <c r="F487" s="17" t="n">
        <f aca="false">IFERROR(INDEX(Vendor_Invoices_AP!$D$2:$D$882,MATCH(C487,Vendor_Invoices_AP!$A$2:$A$882,0)),"")</f>
        <v>46162</v>
      </c>
      <c r="G487" s="16" t="n">
        <f aca="false">IF(F487="","",D487-F487)</f>
        <v>28</v>
      </c>
      <c r="H487" s="21" t="n">
        <f aca="false">IF(F487="","",DATE(YEAR(D487),MONTH(D487),1))</f>
        <v>46174</v>
      </c>
    </row>
    <row r="488" customFormat="false" ht="15" hidden="false" customHeight="false" outlineLevel="0" collapsed="false">
      <c r="A488" s="16" t="str">
        <f aca="false">Payment_Log_AP!A485</f>
        <v>PAY40484</v>
      </c>
      <c r="B488" s="16" t="str">
        <f aca="false">Payment_Log_AP!C485</f>
        <v>V1026</v>
      </c>
      <c r="C488" s="16" t="str">
        <f aca="false">Payment_Log_AP!B485</f>
        <v>INV30566</v>
      </c>
      <c r="D488" s="17" t="n">
        <f aca="false">Payment_Log_AP!D485</f>
        <v>46054</v>
      </c>
      <c r="E488" s="18" t="n">
        <f aca="false">Payment_Log_AP!E485</f>
        <v>6594.42</v>
      </c>
      <c r="F488" s="17" t="n">
        <f aca="false">IFERROR(INDEX(Vendor_Invoices_AP!$D$2:$D$882,MATCH(C488,Vendor_Invoices_AP!$A$2:$A$882,0)),"")</f>
        <v>46049</v>
      </c>
      <c r="G488" s="16" t="n">
        <f aca="false">IF(F488="","",D488-F488)</f>
        <v>5</v>
      </c>
      <c r="H488" s="21" t="n">
        <f aca="false">IF(F488="","",DATE(YEAR(D488),MONTH(D488),1))</f>
        <v>46054</v>
      </c>
    </row>
    <row r="489" customFormat="false" ht="15" hidden="false" customHeight="false" outlineLevel="0" collapsed="false">
      <c r="A489" s="16" t="str">
        <f aca="false">Payment_Log_AP!A486</f>
        <v>PAY40485</v>
      </c>
      <c r="B489" s="16" t="str">
        <f aca="false">Payment_Log_AP!C486</f>
        <v>V1027</v>
      </c>
      <c r="C489" s="16" t="str">
        <f aca="false">Payment_Log_AP!B486</f>
        <v>INV30567</v>
      </c>
      <c r="D489" s="17" t="n">
        <f aca="false">Payment_Log_AP!D486</f>
        <v>45780</v>
      </c>
      <c r="E489" s="18" t="n">
        <f aca="false">Payment_Log_AP!E486</f>
        <v>836.54</v>
      </c>
      <c r="F489" s="17" t="n">
        <f aca="false">IFERROR(INDEX(Vendor_Invoices_AP!$D$2:$D$882,MATCH(C489,Vendor_Invoices_AP!$A$2:$A$882,0)),"")</f>
        <v>45754</v>
      </c>
      <c r="G489" s="16" t="n">
        <f aca="false">IF(F489="","",D489-F489)</f>
        <v>26</v>
      </c>
      <c r="H489" s="21" t="n">
        <f aca="false">IF(F489="","",DATE(YEAR(D489),MONTH(D489),1))</f>
        <v>45778</v>
      </c>
    </row>
    <row r="490" customFormat="false" ht="15" hidden="false" customHeight="false" outlineLevel="0" collapsed="false">
      <c r="A490" s="16" t="str">
        <f aca="false">Payment_Log_AP!A487</f>
        <v>PAY40486</v>
      </c>
      <c r="B490" s="16" t="str">
        <f aca="false">Payment_Log_AP!C487</f>
        <v>V1020</v>
      </c>
      <c r="C490" s="16" t="str">
        <f aca="false">Payment_Log_AP!B487</f>
        <v>INV30568</v>
      </c>
      <c r="D490" s="17" t="n">
        <f aca="false">Payment_Log_AP!D487</f>
        <v>45953</v>
      </c>
      <c r="E490" s="18" t="n">
        <f aca="false">Payment_Log_AP!E487</f>
        <v>1170.71</v>
      </c>
      <c r="F490" s="17" t="n">
        <f aca="false">IFERROR(INDEX(Vendor_Invoices_AP!$D$2:$D$882,MATCH(C490,Vendor_Invoices_AP!$A$2:$A$882,0)),"")</f>
        <v>45918</v>
      </c>
      <c r="G490" s="16" t="n">
        <f aca="false">IF(F490="","",D490-F490)</f>
        <v>35</v>
      </c>
      <c r="H490" s="21" t="n">
        <f aca="false">IF(F490="","",DATE(YEAR(D490),MONTH(D490),1))</f>
        <v>45931</v>
      </c>
    </row>
    <row r="491" customFormat="false" ht="15" hidden="false" customHeight="false" outlineLevel="0" collapsed="false">
      <c r="A491" s="16" t="str">
        <f aca="false">Payment_Log_AP!A488</f>
        <v>PAY40487</v>
      </c>
      <c r="B491" s="16" t="str">
        <f aca="false">Payment_Log_AP!C488</f>
        <v>V1027</v>
      </c>
      <c r="C491" s="16" t="str">
        <f aca="false">Payment_Log_AP!B488</f>
        <v>INV30569</v>
      </c>
      <c r="D491" s="17" t="n">
        <f aca="false">Payment_Log_AP!D488</f>
        <v>45879</v>
      </c>
      <c r="E491" s="18" t="n">
        <f aca="false">Payment_Log_AP!E488</f>
        <v>4155.49</v>
      </c>
      <c r="F491" s="17" t="n">
        <f aca="false">IFERROR(INDEX(Vendor_Invoices_AP!$D$2:$D$882,MATCH(C491,Vendor_Invoices_AP!$A$2:$A$882,0)),"")</f>
        <v>45871</v>
      </c>
      <c r="G491" s="16" t="n">
        <f aca="false">IF(F491="","",D491-F491)</f>
        <v>8</v>
      </c>
      <c r="H491" s="21" t="n">
        <f aca="false">IF(F491="","",DATE(YEAR(D491),MONTH(D491),1))</f>
        <v>45870</v>
      </c>
    </row>
    <row r="492" customFormat="false" ht="15" hidden="false" customHeight="false" outlineLevel="0" collapsed="false">
      <c r="A492" s="16" t="str">
        <f aca="false">Payment_Log_AP!A489</f>
        <v>PAY40488</v>
      </c>
      <c r="B492" s="16" t="str">
        <f aca="false">Payment_Log_AP!C489</f>
        <v>V1028</v>
      </c>
      <c r="C492" s="16" t="str">
        <f aca="false">Payment_Log_AP!B489</f>
        <v>INV30570</v>
      </c>
      <c r="D492" s="17" t="n">
        <f aca="false">Payment_Log_AP!D489</f>
        <v>45987</v>
      </c>
      <c r="E492" s="18" t="n">
        <f aca="false">Payment_Log_AP!E489</f>
        <v>813.95</v>
      </c>
      <c r="F492" s="17" t="n">
        <f aca="false">IFERROR(INDEX(Vendor_Invoices_AP!$D$2:$D$882,MATCH(C492,Vendor_Invoices_AP!$A$2:$A$882,0)),"")</f>
        <v>45986</v>
      </c>
      <c r="G492" s="16" t="n">
        <f aca="false">IF(F492="","",D492-F492)</f>
        <v>1</v>
      </c>
      <c r="H492" s="21" t="n">
        <f aca="false">IF(F492="","",DATE(YEAR(D492),MONTH(D492),1))</f>
        <v>45962</v>
      </c>
    </row>
    <row r="493" customFormat="false" ht="15" hidden="false" customHeight="false" outlineLevel="0" collapsed="false">
      <c r="A493" s="16" t="str">
        <f aca="false">Payment_Log_AP!A490</f>
        <v>PAY40489</v>
      </c>
      <c r="B493" s="16" t="str">
        <f aca="false">Payment_Log_AP!C490</f>
        <v>V1021</v>
      </c>
      <c r="C493" s="16" t="str">
        <f aca="false">Payment_Log_AP!B490</f>
        <v>INV30571</v>
      </c>
      <c r="D493" s="17" t="n">
        <f aca="false">Payment_Log_AP!D490</f>
        <v>46022</v>
      </c>
      <c r="E493" s="18" t="n">
        <f aca="false">Payment_Log_AP!E490</f>
        <v>219.09</v>
      </c>
      <c r="F493" s="17" t="n">
        <f aca="false">IFERROR(INDEX(Vendor_Invoices_AP!$D$2:$D$882,MATCH(C493,Vendor_Invoices_AP!$A$2:$A$882,0)),"")</f>
        <v>46013</v>
      </c>
      <c r="G493" s="16" t="n">
        <f aca="false">IF(F493="","",D493-F493)</f>
        <v>9</v>
      </c>
      <c r="H493" s="21" t="n">
        <f aca="false">IF(F493="","",DATE(YEAR(D493),MONTH(D493),1))</f>
        <v>45992</v>
      </c>
    </row>
    <row r="494" customFormat="false" ht="15" hidden="false" customHeight="false" outlineLevel="0" collapsed="false">
      <c r="A494" s="16" t="str">
        <f aca="false">Payment_Log_AP!A491</f>
        <v>PAY40490</v>
      </c>
      <c r="B494" s="16" t="str">
        <f aca="false">Payment_Log_AP!C491</f>
        <v>V1018</v>
      </c>
      <c r="C494" s="16" t="str">
        <f aca="false">Payment_Log_AP!B491</f>
        <v>INV30572</v>
      </c>
      <c r="D494" s="17" t="n">
        <f aca="false">Payment_Log_AP!D491</f>
        <v>45908</v>
      </c>
      <c r="E494" s="18" t="n">
        <f aca="false">Payment_Log_AP!E491</f>
        <v>313.99</v>
      </c>
      <c r="F494" s="17" t="n">
        <f aca="false">IFERROR(INDEX(Vendor_Invoices_AP!$D$2:$D$882,MATCH(C494,Vendor_Invoices_AP!$A$2:$A$882,0)),"")</f>
        <v>45891</v>
      </c>
      <c r="G494" s="16" t="n">
        <f aca="false">IF(F494="","",D494-F494)</f>
        <v>17</v>
      </c>
      <c r="H494" s="21" t="n">
        <f aca="false">IF(F494="","",DATE(YEAR(D494),MONTH(D494),1))</f>
        <v>45901</v>
      </c>
    </row>
    <row r="495" customFormat="false" ht="15" hidden="false" customHeight="false" outlineLevel="0" collapsed="false">
      <c r="A495" s="16" t="str">
        <f aca="false">Payment_Log_AP!A492</f>
        <v>PAY40491</v>
      </c>
      <c r="B495" s="16" t="str">
        <f aca="false">Payment_Log_AP!C492</f>
        <v>V1018</v>
      </c>
      <c r="C495" s="16" t="str">
        <f aca="false">Payment_Log_AP!B492</f>
        <v>INV30573</v>
      </c>
      <c r="D495" s="17" t="n">
        <f aca="false">Payment_Log_AP!D492</f>
        <v>45911</v>
      </c>
      <c r="E495" s="18" t="n">
        <f aca="false">Payment_Log_AP!E492</f>
        <v>313.99</v>
      </c>
      <c r="F495" s="17" t="n">
        <f aca="false">IFERROR(INDEX(Vendor_Invoices_AP!$D$2:$D$882,MATCH(C495,Vendor_Invoices_AP!$A$2:$A$882,0)),"")</f>
        <v>45891</v>
      </c>
      <c r="G495" s="16" t="n">
        <f aca="false">IF(F495="","",D495-F495)</f>
        <v>20</v>
      </c>
      <c r="H495" s="21" t="n">
        <f aca="false">IF(F495="","",DATE(YEAR(D495),MONTH(D495),1))</f>
        <v>45901</v>
      </c>
    </row>
    <row r="496" customFormat="false" ht="15" hidden="false" customHeight="false" outlineLevel="0" collapsed="false">
      <c r="A496" s="16" t="str">
        <f aca="false">Payment_Log_AP!A493</f>
        <v>PAY40492</v>
      </c>
      <c r="B496" s="16" t="str">
        <f aca="false">Payment_Log_AP!C493</f>
        <v>V1005</v>
      </c>
      <c r="C496" s="16" t="str">
        <f aca="false">Payment_Log_AP!B493</f>
        <v>INV30574</v>
      </c>
      <c r="D496" s="17" t="n">
        <f aca="false">Payment_Log_AP!D493</f>
        <v>45818</v>
      </c>
      <c r="E496" s="18" t="n">
        <f aca="false">Payment_Log_AP!E493</f>
        <v>7086.46</v>
      </c>
      <c r="F496" s="17" t="n">
        <f aca="false">IFERROR(INDEX(Vendor_Invoices_AP!$D$2:$D$882,MATCH(C496,Vendor_Invoices_AP!$A$2:$A$882,0)),"")</f>
        <v>45817</v>
      </c>
      <c r="G496" s="16" t="n">
        <f aca="false">IF(F496="","",D496-F496)</f>
        <v>1</v>
      </c>
      <c r="H496" s="21" t="n">
        <f aca="false">IF(F496="","",DATE(YEAR(D496),MONTH(D496),1))</f>
        <v>45809</v>
      </c>
    </row>
    <row r="497" customFormat="false" ht="15" hidden="false" customHeight="false" outlineLevel="0" collapsed="false">
      <c r="A497" s="16" t="str">
        <f aca="false">Payment_Log_AP!A494</f>
        <v>PAY40493</v>
      </c>
      <c r="B497" s="16" t="str">
        <f aca="false">Payment_Log_AP!C494</f>
        <v>V1005</v>
      </c>
      <c r="C497" s="16" t="str">
        <f aca="false">Payment_Log_AP!B494</f>
        <v>INV30576</v>
      </c>
      <c r="D497" s="17" t="n">
        <f aca="false">Payment_Log_AP!D494</f>
        <v>45806</v>
      </c>
      <c r="E497" s="18" t="n">
        <f aca="false">Payment_Log_AP!E494</f>
        <v>745.67</v>
      </c>
      <c r="F497" s="17" t="n">
        <f aca="false">IFERROR(INDEX(Vendor_Invoices_AP!$D$2:$D$882,MATCH(C497,Vendor_Invoices_AP!$A$2:$A$882,0)),"")</f>
        <v>45787</v>
      </c>
      <c r="G497" s="16" t="n">
        <f aca="false">IF(F497="","",D497-F497)</f>
        <v>19</v>
      </c>
      <c r="H497" s="21" t="n">
        <f aca="false">IF(F497="","",DATE(YEAR(D497),MONTH(D497),1))</f>
        <v>45778</v>
      </c>
    </row>
    <row r="498" customFormat="false" ht="15" hidden="false" customHeight="false" outlineLevel="0" collapsed="false">
      <c r="A498" s="16" t="str">
        <f aca="false">Payment_Log_AP!A495</f>
        <v>PAY40494</v>
      </c>
      <c r="B498" s="16" t="str">
        <f aca="false">Payment_Log_AP!C495</f>
        <v>V1005</v>
      </c>
      <c r="C498" s="16" t="str">
        <f aca="false">Payment_Log_AP!B495</f>
        <v>INV30577</v>
      </c>
      <c r="D498" s="17" t="n">
        <f aca="false">Payment_Log_AP!D495</f>
        <v>45808</v>
      </c>
      <c r="E498" s="18" t="n">
        <f aca="false">Payment_Log_AP!E495</f>
        <v>745.67</v>
      </c>
      <c r="F498" s="17" t="n">
        <f aca="false">IFERROR(INDEX(Vendor_Invoices_AP!$D$2:$D$882,MATCH(C498,Vendor_Invoices_AP!$A$2:$A$882,0)),"")</f>
        <v>45787</v>
      </c>
      <c r="G498" s="16" t="n">
        <f aca="false">IF(F498="","",D498-F498)</f>
        <v>21</v>
      </c>
      <c r="H498" s="21" t="n">
        <f aca="false">IF(F498="","",DATE(YEAR(D498),MONTH(D498),1))</f>
        <v>45778</v>
      </c>
    </row>
    <row r="499" customFormat="false" ht="15" hidden="false" customHeight="false" outlineLevel="0" collapsed="false">
      <c r="A499" s="16" t="str">
        <f aca="false">Payment_Log_AP!A496</f>
        <v>PAY40495</v>
      </c>
      <c r="B499" s="16" t="str">
        <f aca="false">Payment_Log_AP!C496</f>
        <v>V1038</v>
      </c>
      <c r="C499" s="16" t="str">
        <f aca="false">Payment_Log_AP!B496</f>
        <v>INV30578</v>
      </c>
      <c r="D499" s="17" t="n">
        <f aca="false">Payment_Log_AP!D496</f>
        <v>45895</v>
      </c>
      <c r="E499" s="18" t="n">
        <f aca="false">Payment_Log_AP!E496</f>
        <v>2119.2</v>
      </c>
      <c r="F499" s="17" t="n">
        <f aca="false">IFERROR(INDEX(Vendor_Invoices_AP!$D$2:$D$882,MATCH(C499,Vendor_Invoices_AP!$A$2:$A$882,0)),"")</f>
        <v>45888</v>
      </c>
      <c r="G499" s="16" t="n">
        <f aca="false">IF(F499="","",D499-F499)</f>
        <v>7</v>
      </c>
      <c r="H499" s="21" t="n">
        <f aca="false">IF(F499="","",DATE(YEAR(D499),MONTH(D499),1))</f>
        <v>45870</v>
      </c>
    </row>
    <row r="500" customFormat="false" ht="15" hidden="false" customHeight="false" outlineLevel="0" collapsed="false">
      <c r="A500" s="16" t="str">
        <f aca="false">Payment_Log_AP!A497</f>
        <v>PAY40496</v>
      </c>
      <c r="B500" s="16" t="str">
        <f aca="false">Payment_Log_AP!C497</f>
        <v>V1015</v>
      </c>
      <c r="C500" s="16" t="str">
        <f aca="false">Payment_Log_AP!B497</f>
        <v>INV30579</v>
      </c>
      <c r="D500" s="17" t="n">
        <f aca="false">Payment_Log_AP!D497</f>
        <v>45946</v>
      </c>
      <c r="E500" s="18" t="n">
        <f aca="false">Payment_Log_AP!E497</f>
        <v>202.78</v>
      </c>
      <c r="F500" s="17" t="n">
        <f aca="false">IFERROR(INDEX(Vendor_Invoices_AP!$D$2:$D$882,MATCH(C500,Vendor_Invoices_AP!$A$2:$A$882,0)),"")</f>
        <v>45926</v>
      </c>
      <c r="G500" s="16" t="n">
        <f aca="false">IF(F500="","",D500-F500)</f>
        <v>20</v>
      </c>
      <c r="H500" s="21" t="n">
        <f aca="false">IF(F500="","",DATE(YEAR(D500),MONTH(D500),1))</f>
        <v>45931</v>
      </c>
    </row>
    <row r="501" customFormat="false" ht="15" hidden="false" customHeight="false" outlineLevel="0" collapsed="false">
      <c r="A501" s="16" t="str">
        <f aca="false">Payment_Log_AP!A498</f>
        <v>PAY40497</v>
      </c>
      <c r="B501" s="16" t="str">
        <f aca="false">Payment_Log_AP!C498</f>
        <v>V1023</v>
      </c>
      <c r="C501" s="16" t="str">
        <f aca="false">Payment_Log_AP!B498</f>
        <v>INV30580</v>
      </c>
      <c r="D501" s="17" t="n">
        <f aca="false">Payment_Log_AP!D498</f>
        <v>45815</v>
      </c>
      <c r="E501" s="18" t="n">
        <f aca="false">Payment_Log_AP!E498</f>
        <v>1869.57</v>
      </c>
      <c r="F501" s="17" t="n">
        <f aca="false">IFERROR(INDEX(Vendor_Invoices_AP!$D$2:$D$882,MATCH(C501,Vendor_Invoices_AP!$A$2:$A$882,0)),"")</f>
        <v>45801</v>
      </c>
      <c r="G501" s="16" t="n">
        <f aca="false">IF(F501="","",D501-F501)</f>
        <v>14</v>
      </c>
      <c r="H501" s="21" t="n">
        <f aca="false">IF(F501="","",DATE(YEAR(D501),MONTH(D501),1))</f>
        <v>45809</v>
      </c>
    </row>
    <row r="502" customFormat="false" ht="15" hidden="false" customHeight="false" outlineLevel="0" collapsed="false">
      <c r="A502" s="16" t="str">
        <f aca="false">Payment_Log_AP!A499</f>
        <v>PAY40498</v>
      </c>
      <c r="B502" s="16" t="str">
        <f aca="false">Payment_Log_AP!C499</f>
        <v>V1012</v>
      </c>
      <c r="C502" s="16" t="str">
        <f aca="false">Payment_Log_AP!B499</f>
        <v>INV30581</v>
      </c>
      <c r="D502" s="17" t="n">
        <f aca="false">Payment_Log_AP!D499</f>
        <v>46017</v>
      </c>
      <c r="E502" s="18" t="n">
        <f aca="false">Payment_Log_AP!E499</f>
        <v>1002.81</v>
      </c>
      <c r="F502" s="17" t="n">
        <f aca="false">IFERROR(INDEX(Vendor_Invoices_AP!$D$2:$D$882,MATCH(C502,Vendor_Invoices_AP!$A$2:$A$882,0)),"")</f>
        <v>45989</v>
      </c>
      <c r="G502" s="16" t="n">
        <f aca="false">IF(F502="","",D502-F502)</f>
        <v>28</v>
      </c>
      <c r="H502" s="21" t="n">
        <f aca="false">IF(F502="","",DATE(YEAR(D502),MONTH(D502),1))</f>
        <v>45992</v>
      </c>
    </row>
    <row r="503" customFormat="false" ht="15" hidden="false" customHeight="false" outlineLevel="0" collapsed="false">
      <c r="A503" s="16" t="str">
        <f aca="false">Payment_Log_AP!A500</f>
        <v>PAY40499</v>
      </c>
      <c r="B503" s="16" t="str">
        <f aca="false">Payment_Log_AP!C500</f>
        <v>V1019</v>
      </c>
      <c r="C503" s="16" t="str">
        <f aca="false">Payment_Log_AP!B500</f>
        <v>INV30582</v>
      </c>
      <c r="D503" s="17" t="n">
        <f aca="false">Payment_Log_AP!D500</f>
        <v>45987</v>
      </c>
      <c r="E503" s="18" t="n">
        <f aca="false">Payment_Log_AP!E500</f>
        <v>829.86</v>
      </c>
      <c r="F503" s="17" t="n">
        <f aca="false">IFERROR(INDEX(Vendor_Invoices_AP!$D$2:$D$882,MATCH(C503,Vendor_Invoices_AP!$A$2:$A$882,0)),"")</f>
        <v>45976</v>
      </c>
      <c r="G503" s="16" t="n">
        <f aca="false">IF(F503="","",D503-F503)</f>
        <v>11</v>
      </c>
      <c r="H503" s="21" t="n">
        <f aca="false">IF(F503="","",DATE(YEAR(D503),MONTH(D503),1))</f>
        <v>45962</v>
      </c>
    </row>
    <row r="504" customFormat="false" ht="15" hidden="false" customHeight="false" outlineLevel="0" collapsed="false">
      <c r="A504" s="16" t="str">
        <f aca="false">Payment_Log_AP!A501</f>
        <v>PAY40500</v>
      </c>
      <c r="B504" s="16" t="str">
        <f aca="false">Payment_Log_AP!C501</f>
        <v>V1028</v>
      </c>
      <c r="C504" s="16" t="str">
        <f aca="false">Payment_Log_AP!B501</f>
        <v>INV30584</v>
      </c>
      <c r="D504" s="17" t="n">
        <f aca="false">Payment_Log_AP!D501</f>
        <v>45844</v>
      </c>
      <c r="E504" s="18" t="n">
        <f aca="false">Payment_Log_AP!E501</f>
        <v>3096.07</v>
      </c>
      <c r="F504" s="17" t="n">
        <f aca="false">IFERROR(INDEX(Vendor_Invoices_AP!$D$2:$D$882,MATCH(C504,Vendor_Invoices_AP!$A$2:$A$882,0)),"")</f>
        <v>45834</v>
      </c>
      <c r="G504" s="16" t="n">
        <f aca="false">IF(F504="","",D504-F504)</f>
        <v>10</v>
      </c>
      <c r="H504" s="21" t="n">
        <f aca="false">IF(F504="","",DATE(YEAR(D504),MONTH(D504),1))</f>
        <v>45839</v>
      </c>
    </row>
    <row r="505" customFormat="false" ht="15" hidden="false" customHeight="false" outlineLevel="0" collapsed="false">
      <c r="A505" s="16" t="str">
        <f aca="false">Payment_Log_AP!A502</f>
        <v>PAY40501</v>
      </c>
      <c r="B505" s="16" t="str">
        <f aca="false">Payment_Log_AP!C502</f>
        <v>V1003</v>
      </c>
      <c r="C505" s="16" t="str">
        <f aca="false">Payment_Log_AP!B502</f>
        <v>INV30586</v>
      </c>
      <c r="D505" s="17" t="n">
        <f aca="false">Payment_Log_AP!D502</f>
        <v>46061</v>
      </c>
      <c r="E505" s="18" t="n">
        <f aca="false">Payment_Log_AP!E502</f>
        <v>1462.27</v>
      </c>
      <c r="F505" s="17" t="n">
        <f aca="false">IFERROR(INDEX(Vendor_Invoices_AP!$D$2:$D$882,MATCH(C505,Vendor_Invoices_AP!$A$2:$A$882,0)),"")</f>
        <v>46028</v>
      </c>
      <c r="G505" s="16" t="n">
        <f aca="false">IF(F505="","",D505-F505)</f>
        <v>33</v>
      </c>
      <c r="H505" s="21" t="n">
        <f aca="false">IF(F505="","",DATE(YEAR(D505),MONTH(D505),1))</f>
        <v>46054</v>
      </c>
    </row>
    <row r="506" customFormat="false" ht="15" hidden="false" customHeight="false" outlineLevel="0" collapsed="false">
      <c r="A506" s="16" t="str">
        <f aca="false">Payment_Log_AP!A503</f>
        <v>PAY40502</v>
      </c>
      <c r="B506" s="16" t="str">
        <f aca="false">Payment_Log_AP!C503</f>
        <v>V1023</v>
      </c>
      <c r="C506" s="16" t="str">
        <f aca="false">Payment_Log_AP!B503</f>
        <v>INV30587</v>
      </c>
      <c r="D506" s="17" t="n">
        <f aca="false">Payment_Log_AP!D503</f>
        <v>45845</v>
      </c>
      <c r="E506" s="18" t="n">
        <f aca="false">Payment_Log_AP!E503</f>
        <v>1476.77</v>
      </c>
      <c r="F506" s="17" t="n">
        <f aca="false">IFERROR(INDEX(Vendor_Invoices_AP!$D$2:$D$882,MATCH(C506,Vendor_Invoices_AP!$A$2:$A$882,0)),"")</f>
        <v>45817</v>
      </c>
      <c r="G506" s="16" t="n">
        <f aca="false">IF(F506="","",D506-F506)</f>
        <v>28</v>
      </c>
      <c r="H506" s="21" t="n">
        <f aca="false">IF(F506="","",DATE(YEAR(D506),MONTH(D506),1))</f>
        <v>45839</v>
      </c>
    </row>
    <row r="507" customFormat="false" ht="15" hidden="false" customHeight="false" outlineLevel="0" collapsed="false">
      <c r="A507" s="16" t="str">
        <f aca="false">Payment_Log_AP!A504</f>
        <v>PAY40503</v>
      </c>
      <c r="B507" s="16" t="str">
        <f aca="false">Payment_Log_AP!C504</f>
        <v>V1036</v>
      </c>
      <c r="C507" s="16" t="str">
        <f aca="false">Payment_Log_AP!B504</f>
        <v>INV30588</v>
      </c>
      <c r="D507" s="17" t="n">
        <f aca="false">Payment_Log_AP!D504</f>
        <v>45983</v>
      </c>
      <c r="E507" s="18" t="n">
        <f aca="false">Payment_Log_AP!E504</f>
        <v>3152.95</v>
      </c>
      <c r="F507" s="17" t="n">
        <f aca="false">IFERROR(INDEX(Vendor_Invoices_AP!$D$2:$D$882,MATCH(C507,Vendor_Invoices_AP!$A$2:$A$882,0)),"")</f>
        <v>45978</v>
      </c>
      <c r="G507" s="16" t="n">
        <f aca="false">IF(F507="","",D507-F507)</f>
        <v>5</v>
      </c>
      <c r="H507" s="21" t="n">
        <f aca="false">IF(F507="","",DATE(YEAR(D507),MONTH(D507),1))</f>
        <v>45962</v>
      </c>
    </row>
    <row r="508" customFormat="false" ht="15" hidden="false" customHeight="false" outlineLevel="0" collapsed="false">
      <c r="A508" s="16" t="str">
        <f aca="false">Payment_Log_AP!A505</f>
        <v>PAY40504</v>
      </c>
      <c r="B508" s="16" t="str">
        <f aca="false">Payment_Log_AP!C505</f>
        <v>V1003</v>
      </c>
      <c r="C508" s="16" t="str">
        <f aca="false">Payment_Log_AP!B505</f>
        <v>INV30589</v>
      </c>
      <c r="D508" s="17" t="n">
        <f aca="false">Payment_Log_AP!D505</f>
        <v>46068</v>
      </c>
      <c r="E508" s="18" t="n">
        <f aca="false">Payment_Log_AP!E505</f>
        <v>3405.2</v>
      </c>
      <c r="F508" s="17" t="n">
        <f aca="false">IFERROR(INDEX(Vendor_Invoices_AP!$D$2:$D$882,MATCH(C508,Vendor_Invoices_AP!$A$2:$A$882,0)),"")</f>
        <v>46041</v>
      </c>
      <c r="G508" s="16" t="n">
        <f aca="false">IF(F508="","",D508-F508)</f>
        <v>27</v>
      </c>
      <c r="H508" s="21" t="n">
        <f aca="false">IF(F508="","",DATE(YEAR(D508),MONTH(D508),1))</f>
        <v>46054</v>
      </c>
    </row>
    <row r="509" customFormat="false" ht="15" hidden="false" customHeight="false" outlineLevel="0" collapsed="false">
      <c r="A509" s="16" t="str">
        <f aca="false">Payment_Log_AP!A506</f>
        <v>PAY40505</v>
      </c>
      <c r="B509" s="16" t="str">
        <f aca="false">Payment_Log_AP!C506</f>
        <v>V1013</v>
      </c>
      <c r="C509" s="16" t="str">
        <f aca="false">Payment_Log_AP!B506</f>
        <v>INV30590</v>
      </c>
      <c r="D509" s="17" t="n">
        <f aca="false">Payment_Log_AP!D506</f>
        <v>46093</v>
      </c>
      <c r="E509" s="18" t="n">
        <f aca="false">Payment_Log_AP!E506</f>
        <v>290.16</v>
      </c>
      <c r="F509" s="17" t="n">
        <f aca="false">IFERROR(INDEX(Vendor_Invoices_AP!$D$2:$D$882,MATCH(C509,Vendor_Invoices_AP!$A$2:$A$882,0)),"")</f>
        <v>46071</v>
      </c>
      <c r="G509" s="16" t="n">
        <f aca="false">IF(F509="","",D509-F509)</f>
        <v>22</v>
      </c>
      <c r="H509" s="21" t="n">
        <f aca="false">IF(F509="","",DATE(YEAR(D509),MONTH(D509),1))</f>
        <v>46082</v>
      </c>
    </row>
    <row r="510" customFormat="false" ht="15" hidden="false" customHeight="false" outlineLevel="0" collapsed="false">
      <c r="A510" s="16" t="str">
        <f aca="false">Payment_Log_AP!A507</f>
        <v>PAY40506</v>
      </c>
      <c r="B510" s="16" t="str">
        <f aca="false">Payment_Log_AP!C507</f>
        <v>V1030</v>
      </c>
      <c r="C510" s="16" t="str">
        <f aca="false">Payment_Log_AP!B507</f>
        <v>INV30591</v>
      </c>
      <c r="D510" s="17" t="n">
        <f aca="false">Payment_Log_AP!D507</f>
        <v>45719</v>
      </c>
      <c r="E510" s="18" t="n">
        <f aca="false">Payment_Log_AP!E507</f>
        <v>3177.82</v>
      </c>
      <c r="F510" s="17" t="n">
        <f aca="false">IFERROR(INDEX(Vendor_Invoices_AP!$D$2:$D$882,MATCH(C510,Vendor_Invoices_AP!$A$2:$A$882,0)),"")</f>
        <v>45701</v>
      </c>
      <c r="G510" s="16" t="n">
        <f aca="false">IF(F510="","",D510-F510)</f>
        <v>18</v>
      </c>
      <c r="H510" s="21" t="n">
        <f aca="false">IF(F510="","",DATE(YEAR(D510),MONTH(D510),1))</f>
        <v>45717</v>
      </c>
    </row>
    <row r="511" customFormat="false" ht="15" hidden="false" customHeight="false" outlineLevel="0" collapsed="false">
      <c r="A511" s="16" t="str">
        <f aca="false">Payment_Log_AP!A508</f>
        <v>PAY40507</v>
      </c>
      <c r="B511" s="16" t="str">
        <f aca="false">Payment_Log_AP!C508</f>
        <v>V1009</v>
      </c>
      <c r="C511" s="16" t="str">
        <f aca="false">Payment_Log_AP!B508</f>
        <v>INV30593</v>
      </c>
      <c r="D511" s="17" t="n">
        <f aca="false">Payment_Log_AP!D508</f>
        <v>45951</v>
      </c>
      <c r="E511" s="18" t="n">
        <f aca="false">Payment_Log_AP!E508</f>
        <v>2363.54</v>
      </c>
      <c r="F511" s="17" t="n">
        <f aca="false">IFERROR(INDEX(Vendor_Invoices_AP!$D$2:$D$882,MATCH(C511,Vendor_Invoices_AP!$A$2:$A$882,0)),"")</f>
        <v>45944</v>
      </c>
      <c r="G511" s="16" t="n">
        <f aca="false">IF(F511="","",D511-F511)</f>
        <v>7</v>
      </c>
      <c r="H511" s="21" t="n">
        <f aca="false">IF(F511="","",DATE(YEAR(D511),MONTH(D511),1))</f>
        <v>45931</v>
      </c>
    </row>
    <row r="512" customFormat="false" ht="15" hidden="false" customHeight="false" outlineLevel="0" collapsed="false">
      <c r="A512" s="16" t="str">
        <f aca="false">Payment_Log_AP!A509</f>
        <v>PAY40508</v>
      </c>
      <c r="B512" s="16" t="str">
        <f aca="false">Payment_Log_AP!C509</f>
        <v>V1006</v>
      </c>
      <c r="C512" s="16" t="str">
        <f aca="false">Payment_Log_AP!B509</f>
        <v>INV30594</v>
      </c>
      <c r="D512" s="17" t="n">
        <f aca="false">Payment_Log_AP!D509</f>
        <v>46174</v>
      </c>
      <c r="E512" s="18" t="n">
        <f aca="false">Payment_Log_AP!E509</f>
        <v>1328.83</v>
      </c>
      <c r="F512" s="17" t="n">
        <f aca="false">IFERROR(INDEX(Vendor_Invoices_AP!$D$2:$D$882,MATCH(C512,Vendor_Invoices_AP!$A$2:$A$882,0)),"")</f>
        <v>46154</v>
      </c>
      <c r="G512" s="16" t="n">
        <f aca="false">IF(F512="","",D512-F512)</f>
        <v>20</v>
      </c>
      <c r="H512" s="21" t="n">
        <f aca="false">IF(F512="","",DATE(YEAR(D512),MONTH(D512),1))</f>
        <v>46174</v>
      </c>
    </row>
    <row r="513" customFormat="false" ht="15" hidden="false" customHeight="false" outlineLevel="0" collapsed="false">
      <c r="A513" s="16" t="str">
        <f aca="false">Payment_Log_AP!A510</f>
        <v>PAY40509</v>
      </c>
      <c r="B513" s="16" t="str">
        <f aca="false">Payment_Log_AP!C510</f>
        <v>V1020</v>
      </c>
      <c r="C513" s="16" t="str">
        <f aca="false">Payment_Log_AP!B510</f>
        <v>INV30595</v>
      </c>
      <c r="D513" s="17" t="n">
        <f aca="false">Payment_Log_AP!D510</f>
        <v>45848</v>
      </c>
      <c r="E513" s="18" t="n">
        <f aca="false">Payment_Log_AP!E510</f>
        <v>940.45</v>
      </c>
      <c r="F513" s="17" t="n">
        <f aca="false">IFERROR(INDEX(Vendor_Invoices_AP!$D$2:$D$882,MATCH(C513,Vendor_Invoices_AP!$A$2:$A$882,0)),"")</f>
        <v>45829</v>
      </c>
      <c r="G513" s="16" t="n">
        <f aca="false">IF(F513="","",D513-F513)</f>
        <v>19</v>
      </c>
      <c r="H513" s="21" t="n">
        <f aca="false">IF(F513="","",DATE(YEAR(D513),MONTH(D513),1))</f>
        <v>45839</v>
      </c>
    </row>
    <row r="514" customFormat="false" ht="15" hidden="false" customHeight="false" outlineLevel="0" collapsed="false">
      <c r="A514" s="16" t="str">
        <f aca="false">Payment_Log_AP!A511</f>
        <v>PAY40510</v>
      </c>
      <c r="B514" s="16" t="str">
        <f aca="false">Payment_Log_AP!C511</f>
        <v>V1036</v>
      </c>
      <c r="C514" s="16" t="str">
        <f aca="false">Payment_Log_AP!B511</f>
        <v>INV30596</v>
      </c>
      <c r="D514" s="17" t="n">
        <f aca="false">Payment_Log_AP!D511</f>
        <v>46106</v>
      </c>
      <c r="E514" s="18" t="n">
        <f aca="false">Payment_Log_AP!E511</f>
        <v>3318.83</v>
      </c>
      <c r="F514" s="17" t="n">
        <f aca="false">IFERROR(INDEX(Vendor_Invoices_AP!$D$2:$D$882,MATCH(C514,Vendor_Invoices_AP!$A$2:$A$882,0)),"")</f>
        <v>46095</v>
      </c>
      <c r="G514" s="16" t="n">
        <f aca="false">IF(F514="","",D514-F514)</f>
        <v>11</v>
      </c>
      <c r="H514" s="21" t="n">
        <f aca="false">IF(F514="","",DATE(YEAR(D514),MONTH(D514),1))</f>
        <v>46082</v>
      </c>
    </row>
    <row r="515" customFormat="false" ht="15" hidden="false" customHeight="false" outlineLevel="0" collapsed="false">
      <c r="A515" s="16" t="str">
        <f aca="false">Payment_Log_AP!A512</f>
        <v>PAY40511</v>
      </c>
      <c r="B515" s="16" t="str">
        <f aca="false">Payment_Log_AP!C512</f>
        <v>V1007</v>
      </c>
      <c r="C515" s="16" t="str">
        <f aca="false">Payment_Log_AP!B512</f>
        <v>INV30597</v>
      </c>
      <c r="D515" s="17" t="n">
        <f aca="false">Payment_Log_AP!D512</f>
        <v>46021</v>
      </c>
      <c r="E515" s="18" t="n">
        <f aca="false">Payment_Log_AP!E512</f>
        <v>2949.36</v>
      </c>
      <c r="F515" s="17" t="n">
        <f aca="false">IFERROR(INDEX(Vendor_Invoices_AP!$D$2:$D$882,MATCH(C515,Vendor_Invoices_AP!$A$2:$A$882,0)),"")</f>
        <v>45998</v>
      </c>
      <c r="G515" s="16" t="n">
        <f aca="false">IF(F515="","",D515-F515)</f>
        <v>23</v>
      </c>
      <c r="H515" s="21" t="n">
        <f aca="false">IF(F515="","",DATE(YEAR(D515),MONTH(D515),1))</f>
        <v>45992</v>
      </c>
    </row>
    <row r="516" customFormat="false" ht="15" hidden="false" customHeight="false" outlineLevel="0" collapsed="false">
      <c r="A516" s="16" t="str">
        <f aca="false">Payment_Log_AP!A513</f>
        <v>PAY40512</v>
      </c>
      <c r="B516" s="16" t="str">
        <f aca="false">Payment_Log_AP!C513</f>
        <v>V1008</v>
      </c>
      <c r="C516" s="16" t="str">
        <f aca="false">Payment_Log_AP!B513</f>
        <v>INV30598</v>
      </c>
      <c r="D516" s="17" t="n">
        <f aca="false">Payment_Log_AP!D513</f>
        <v>45865</v>
      </c>
      <c r="E516" s="18" t="n">
        <f aca="false">Payment_Log_AP!E513</f>
        <v>1733.53</v>
      </c>
      <c r="F516" s="17" t="n">
        <f aca="false">IFERROR(INDEX(Vendor_Invoices_AP!$D$2:$D$882,MATCH(C516,Vendor_Invoices_AP!$A$2:$A$882,0)),"")</f>
        <v>45864</v>
      </c>
      <c r="G516" s="16" t="n">
        <f aca="false">IF(F516="","",D516-F516)</f>
        <v>1</v>
      </c>
      <c r="H516" s="21" t="n">
        <f aca="false">IF(F516="","",DATE(YEAR(D516),MONTH(D516),1))</f>
        <v>45839</v>
      </c>
    </row>
    <row r="517" customFormat="false" ht="15" hidden="false" customHeight="false" outlineLevel="0" collapsed="false">
      <c r="A517" s="16" t="str">
        <f aca="false">Payment_Log_AP!A514</f>
        <v>PAY40513</v>
      </c>
      <c r="B517" s="16" t="str">
        <f aca="false">Payment_Log_AP!C514</f>
        <v>V1035</v>
      </c>
      <c r="C517" s="16" t="str">
        <f aca="false">Payment_Log_AP!B514</f>
        <v>INV30599</v>
      </c>
      <c r="D517" s="17" t="n">
        <f aca="false">Payment_Log_AP!D514</f>
        <v>46039</v>
      </c>
      <c r="E517" s="18" t="n">
        <f aca="false">Payment_Log_AP!E514</f>
        <v>2308.67</v>
      </c>
      <c r="F517" s="17" t="n">
        <f aca="false">IFERROR(INDEX(Vendor_Invoices_AP!$D$2:$D$882,MATCH(C517,Vendor_Invoices_AP!$A$2:$A$882,0)),"")</f>
        <v>46021</v>
      </c>
      <c r="G517" s="16" t="n">
        <f aca="false">IF(F517="","",D517-F517)</f>
        <v>18</v>
      </c>
      <c r="H517" s="21" t="n">
        <f aca="false">IF(F517="","",DATE(YEAR(D517),MONTH(D517),1))</f>
        <v>46023</v>
      </c>
    </row>
    <row r="518" customFormat="false" ht="15" hidden="false" customHeight="false" outlineLevel="0" collapsed="false">
      <c r="A518" s="16" t="str">
        <f aca="false">Payment_Log_AP!A515</f>
        <v>PAY40514</v>
      </c>
      <c r="B518" s="16" t="str">
        <f aca="false">Payment_Log_AP!C515</f>
        <v>V1029</v>
      </c>
      <c r="C518" s="16" t="str">
        <f aca="false">Payment_Log_AP!B515</f>
        <v>INV30600</v>
      </c>
      <c r="D518" s="17" t="n">
        <f aca="false">Payment_Log_AP!D515</f>
        <v>46045</v>
      </c>
      <c r="E518" s="18" t="n">
        <f aca="false">Payment_Log_AP!E515</f>
        <v>3697.76</v>
      </c>
      <c r="F518" s="17" t="n">
        <f aca="false">IFERROR(INDEX(Vendor_Invoices_AP!$D$2:$D$882,MATCH(C518,Vendor_Invoices_AP!$A$2:$A$882,0)),"")</f>
        <v>46021</v>
      </c>
      <c r="G518" s="16" t="n">
        <f aca="false">IF(F518="","",D518-F518)</f>
        <v>24</v>
      </c>
      <c r="H518" s="21" t="n">
        <f aca="false">IF(F518="","",DATE(YEAR(D518),MONTH(D518),1))</f>
        <v>46023</v>
      </c>
    </row>
    <row r="519" customFormat="false" ht="15" hidden="false" customHeight="false" outlineLevel="0" collapsed="false">
      <c r="A519" s="16" t="str">
        <f aca="false">Payment_Log_AP!A516</f>
        <v>PAY40515</v>
      </c>
      <c r="B519" s="16" t="str">
        <f aca="false">Payment_Log_AP!C516</f>
        <v>V1013</v>
      </c>
      <c r="C519" s="16" t="str">
        <f aca="false">Payment_Log_AP!B516</f>
        <v>INV30601</v>
      </c>
      <c r="D519" s="17" t="n">
        <f aca="false">Payment_Log_AP!D516</f>
        <v>46076</v>
      </c>
      <c r="E519" s="18" t="n">
        <f aca="false">Payment_Log_AP!E516</f>
        <v>1532.53</v>
      </c>
      <c r="F519" s="17" t="n">
        <f aca="false">IFERROR(INDEX(Vendor_Invoices_AP!$D$2:$D$882,MATCH(C519,Vendor_Invoices_AP!$A$2:$A$882,0)),"")</f>
        <v>46046</v>
      </c>
      <c r="G519" s="16" t="n">
        <f aca="false">IF(F519="","",D519-F519)</f>
        <v>30</v>
      </c>
      <c r="H519" s="21" t="n">
        <f aca="false">IF(F519="","",DATE(YEAR(D519),MONTH(D519),1))</f>
        <v>46054</v>
      </c>
    </row>
    <row r="520" customFormat="false" ht="15" hidden="false" customHeight="false" outlineLevel="0" collapsed="false">
      <c r="A520" s="16" t="str">
        <f aca="false">Payment_Log_AP!A517</f>
        <v>PAY40516</v>
      </c>
      <c r="B520" s="16" t="str">
        <f aca="false">Payment_Log_AP!C517</f>
        <v>V1018</v>
      </c>
      <c r="C520" s="16" t="str">
        <f aca="false">Payment_Log_AP!B517</f>
        <v>INV30602</v>
      </c>
      <c r="D520" s="17" t="n">
        <f aca="false">Payment_Log_AP!D517</f>
        <v>46104</v>
      </c>
      <c r="E520" s="18" t="n">
        <f aca="false">Payment_Log_AP!E517</f>
        <v>354.2</v>
      </c>
      <c r="F520" s="17" t="n">
        <f aca="false">IFERROR(INDEX(Vendor_Invoices_AP!$D$2:$D$882,MATCH(C520,Vendor_Invoices_AP!$A$2:$A$882,0)),"")</f>
        <v>46074</v>
      </c>
      <c r="G520" s="16" t="n">
        <f aca="false">IF(F520="","",D520-F520)</f>
        <v>30</v>
      </c>
      <c r="H520" s="21" t="n">
        <f aca="false">IF(F520="","",DATE(YEAR(D520),MONTH(D520),1))</f>
        <v>46082</v>
      </c>
    </row>
    <row r="521" customFormat="false" ht="15" hidden="false" customHeight="false" outlineLevel="0" collapsed="false">
      <c r="A521" s="16" t="str">
        <f aca="false">Payment_Log_AP!A518</f>
        <v>PAY40517</v>
      </c>
      <c r="B521" s="16" t="str">
        <f aca="false">Payment_Log_AP!C518</f>
        <v>V1021</v>
      </c>
      <c r="C521" s="16" t="str">
        <f aca="false">Payment_Log_AP!B518</f>
        <v>INV30603</v>
      </c>
      <c r="D521" s="17" t="n">
        <f aca="false">Payment_Log_AP!D518</f>
        <v>46052</v>
      </c>
      <c r="E521" s="18" t="n">
        <f aca="false">Payment_Log_AP!E518</f>
        <v>1077.17</v>
      </c>
      <c r="F521" s="17" t="n">
        <f aca="false">IFERROR(INDEX(Vendor_Invoices_AP!$D$2:$D$882,MATCH(C521,Vendor_Invoices_AP!$A$2:$A$882,0)),"")</f>
        <v>46037</v>
      </c>
      <c r="G521" s="16" t="n">
        <f aca="false">IF(F521="","",D521-F521)</f>
        <v>15</v>
      </c>
      <c r="H521" s="21" t="n">
        <f aca="false">IF(F521="","",DATE(YEAR(D521),MONTH(D521),1))</f>
        <v>46023</v>
      </c>
    </row>
    <row r="522" customFormat="false" ht="15" hidden="false" customHeight="false" outlineLevel="0" collapsed="false">
      <c r="A522" s="16" t="str">
        <f aca="false">Payment_Log_AP!A519</f>
        <v>PAY40518</v>
      </c>
      <c r="B522" s="16" t="str">
        <f aca="false">Payment_Log_AP!C519</f>
        <v>V1015</v>
      </c>
      <c r="C522" s="16" t="str">
        <f aca="false">Payment_Log_AP!B519</f>
        <v>INV30604</v>
      </c>
      <c r="D522" s="17" t="n">
        <f aca="false">Payment_Log_AP!D519</f>
        <v>46146</v>
      </c>
      <c r="E522" s="18" t="n">
        <f aca="false">Payment_Log_AP!E519</f>
        <v>968.37</v>
      </c>
      <c r="F522" s="17" t="n">
        <f aca="false">IFERROR(INDEX(Vendor_Invoices_AP!$D$2:$D$882,MATCH(C522,Vendor_Invoices_AP!$A$2:$A$882,0)),"")</f>
        <v>46126</v>
      </c>
      <c r="G522" s="16" t="n">
        <f aca="false">IF(F522="","",D522-F522)</f>
        <v>20</v>
      </c>
      <c r="H522" s="21" t="n">
        <f aca="false">IF(F522="","",DATE(YEAR(D522),MONTH(D522),1))</f>
        <v>46143</v>
      </c>
    </row>
    <row r="523" customFormat="false" ht="15" hidden="false" customHeight="false" outlineLevel="0" collapsed="false">
      <c r="A523" s="16" t="str">
        <f aca="false">Payment_Log_AP!A520</f>
        <v>PAY40519</v>
      </c>
      <c r="B523" s="16" t="str">
        <f aca="false">Payment_Log_AP!C520</f>
        <v>V1005</v>
      </c>
      <c r="C523" s="16" t="str">
        <f aca="false">Payment_Log_AP!B520</f>
        <v>INV30605</v>
      </c>
      <c r="D523" s="17" t="n">
        <f aca="false">Payment_Log_AP!D520</f>
        <v>46028</v>
      </c>
      <c r="E523" s="18" t="n">
        <f aca="false">Payment_Log_AP!E520</f>
        <v>1370.11</v>
      </c>
      <c r="F523" s="17" t="n">
        <f aca="false">IFERROR(INDEX(Vendor_Invoices_AP!$D$2:$D$882,MATCH(C523,Vendor_Invoices_AP!$A$2:$A$882,0)),"")</f>
        <v>46022</v>
      </c>
      <c r="G523" s="16" t="n">
        <f aca="false">IF(F523="","",D523-F523)</f>
        <v>6</v>
      </c>
      <c r="H523" s="21" t="n">
        <f aca="false">IF(F523="","",DATE(YEAR(D523),MONTH(D523),1))</f>
        <v>46023</v>
      </c>
    </row>
    <row r="524" customFormat="false" ht="15" hidden="false" customHeight="false" outlineLevel="0" collapsed="false">
      <c r="A524" s="16" t="str">
        <f aca="false">Payment_Log_AP!A521</f>
        <v>PAY40520</v>
      </c>
      <c r="B524" s="16" t="str">
        <f aca="false">Payment_Log_AP!C521</f>
        <v>V1030</v>
      </c>
      <c r="C524" s="16" t="str">
        <f aca="false">Payment_Log_AP!B521</f>
        <v>INV30607</v>
      </c>
      <c r="D524" s="17" t="n">
        <f aca="false">Payment_Log_AP!D521</f>
        <v>46018</v>
      </c>
      <c r="E524" s="18" t="n">
        <f aca="false">Payment_Log_AP!E521</f>
        <v>3138.5</v>
      </c>
      <c r="F524" s="17" t="n">
        <f aca="false">IFERROR(INDEX(Vendor_Invoices_AP!$D$2:$D$882,MATCH(C524,Vendor_Invoices_AP!$A$2:$A$882,0)),"")</f>
        <v>46014</v>
      </c>
      <c r="G524" s="16" t="n">
        <f aca="false">IF(F524="","",D524-F524)</f>
        <v>4</v>
      </c>
      <c r="H524" s="21" t="n">
        <f aca="false">IF(F524="","",DATE(YEAR(D524),MONTH(D524),1))</f>
        <v>45992</v>
      </c>
    </row>
    <row r="525" customFormat="false" ht="15" hidden="false" customHeight="false" outlineLevel="0" collapsed="false">
      <c r="A525" s="16" t="str">
        <f aca="false">Payment_Log_AP!A522</f>
        <v>PAY40521</v>
      </c>
      <c r="B525" s="16" t="str">
        <f aca="false">Payment_Log_AP!C522</f>
        <v>V1011</v>
      </c>
      <c r="C525" s="16" t="str">
        <f aca="false">Payment_Log_AP!B522</f>
        <v>INV30608</v>
      </c>
      <c r="D525" s="17" t="n">
        <f aca="false">Payment_Log_AP!D522</f>
        <v>45869</v>
      </c>
      <c r="E525" s="18" t="n">
        <f aca="false">Payment_Log_AP!E522</f>
        <v>4085.56</v>
      </c>
      <c r="F525" s="17" t="n">
        <f aca="false">IFERROR(INDEX(Vendor_Invoices_AP!$D$2:$D$882,MATCH(C525,Vendor_Invoices_AP!$A$2:$A$882,0)),"")</f>
        <v>45837</v>
      </c>
      <c r="G525" s="16" t="n">
        <f aca="false">IF(F525="","",D525-F525)</f>
        <v>32</v>
      </c>
      <c r="H525" s="21" t="n">
        <f aca="false">IF(F525="","",DATE(YEAR(D525),MONTH(D525),1))</f>
        <v>45839</v>
      </c>
    </row>
    <row r="526" customFormat="false" ht="15" hidden="false" customHeight="false" outlineLevel="0" collapsed="false">
      <c r="A526" s="16" t="str">
        <f aca="false">Payment_Log_AP!A523</f>
        <v>PAY40522</v>
      </c>
      <c r="B526" s="16" t="str">
        <f aca="false">Payment_Log_AP!C523</f>
        <v>V1001</v>
      </c>
      <c r="C526" s="16" t="str">
        <f aca="false">Payment_Log_AP!B523</f>
        <v>INV30609</v>
      </c>
      <c r="D526" s="17" t="n">
        <f aca="false">Payment_Log_AP!D523</f>
        <v>45934</v>
      </c>
      <c r="E526" s="18" t="n">
        <f aca="false">Payment_Log_AP!E523</f>
        <v>2086.29</v>
      </c>
      <c r="F526" s="17" t="n">
        <f aca="false">IFERROR(INDEX(Vendor_Invoices_AP!$D$2:$D$882,MATCH(C526,Vendor_Invoices_AP!$A$2:$A$882,0)),"")</f>
        <v>45901</v>
      </c>
      <c r="G526" s="16" t="n">
        <f aca="false">IF(F526="","",D526-F526)</f>
        <v>33</v>
      </c>
      <c r="H526" s="21" t="n">
        <f aca="false">IF(F526="","",DATE(YEAR(D526),MONTH(D526),1))</f>
        <v>45931</v>
      </c>
    </row>
    <row r="527" customFormat="false" ht="15" hidden="false" customHeight="false" outlineLevel="0" collapsed="false">
      <c r="A527" s="16" t="str">
        <f aca="false">Payment_Log_AP!A524</f>
        <v>PAY40523</v>
      </c>
      <c r="B527" s="16" t="str">
        <f aca="false">Payment_Log_AP!C524</f>
        <v>V1027</v>
      </c>
      <c r="C527" s="16" t="str">
        <f aca="false">Payment_Log_AP!B524</f>
        <v>INV30610</v>
      </c>
      <c r="D527" s="17" t="n">
        <f aca="false">Payment_Log_AP!D524</f>
        <v>46019</v>
      </c>
      <c r="E527" s="18" t="n">
        <f aca="false">Payment_Log_AP!E524</f>
        <v>345.65</v>
      </c>
      <c r="F527" s="17" t="n">
        <f aca="false">IFERROR(INDEX(Vendor_Invoices_AP!$D$2:$D$882,MATCH(C527,Vendor_Invoices_AP!$A$2:$A$882,0)),"")</f>
        <v>45984</v>
      </c>
      <c r="G527" s="16" t="n">
        <f aca="false">IF(F527="","",D527-F527)</f>
        <v>35</v>
      </c>
      <c r="H527" s="21" t="n">
        <f aca="false">IF(F527="","",DATE(YEAR(D527),MONTH(D527),1))</f>
        <v>45992</v>
      </c>
    </row>
    <row r="528" customFormat="false" ht="15" hidden="false" customHeight="false" outlineLevel="0" collapsed="false">
      <c r="A528" s="16" t="str">
        <f aca="false">Payment_Log_AP!A525</f>
        <v>PAY40524</v>
      </c>
      <c r="B528" s="16" t="str">
        <f aca="false">Payment_Log_AP!C525</f>
        <v>V1020</v>
      </c>
      <c r="C528" s="16" t="str">
        <f aca="false">Payment_Log_AP!B525</f>
        <v>INV30611</v>
      </c>
      <c r="D528" s="17" t="n">
        <f aca="false">Payment_Log_AP!D525</f>
        <v>46080</v>
      </c>
      <c r="E528" s="18" t="n">
        <f aca="false">Payment_Log_AP!E525</f>
        <v>1516.39</v>
      </c>
      <c r="F528" s="17" t="n">
        <f aca="false">IFERROR(INDEX(Vendor_Invoices_AP!$D$2:$D$882,MATCH(C528,Vendor_Invoices_AP!$A$2:$A$882,0)),"")</f>
        <v>46079</v>
      </c>
      <c r="G528" s="16" t="n">
        <f aca="false">IF(F528="","",D528-F528)</f>
        <v>1</v>
      </c>
      <c r="H528" s="21" t="n">
        <f aca="false">IF(F528="","",DATE(YEAR(D528),MONTH(D528),1))</f>
        <v>46054</v>
      </c>
    </row>
    <row r="529" customFormat="false" ht="15" hidden="false" customHeight="false" outlineLevel="0" collapsed="false">
      <c r="A529" s="16" t="str">
        <f aca="false">Payment_Log_AP!A526</f>
        <v>PAY40525</v>
      </c>
      <c r="B529" s="16" t="str">
        <f aca="false">Payment_Log_AP!C526</f>
        <v>V1001</v>
      </c>
      <c r="C529" s="16" t="str">
        <f aca="false">Payment_Log_AP!B526</f>
        <v>INV30612</v>
      </c>
      <c r="D529" s="17" t="n">
        <f aca="false">Payment_Log_AP!D526</f>
        <v>45745</v>
      </c>
      <c r="E529" s="18" t="n">
        <f aca="false">Payment_Log_AP!E526</f>
        <v>19832.55</v>
      </c>
      <c r="F529" s="17" t="n">
        <f aca="false">IFERROR(INDEX(Vendor_Invoices_AP!$D$2:$D$882,MATCH(C529,Vendor_Invoices_AP!$A$2:$A$882,0)),"")</f>
        <v>45729</v>
      </c>
      <c r="G529" s="16" t="n">
        <f aca="false">IF(F529="","",D529-F529)</f>
        <v>16</v>
      </c>
      <c r="H529" s="21" t="n">
        <f aca="false">IF(F529="","",DATE(YEAR(D529),MONTH(D529),1))</f>
        <v>45717</v>
      </c>
    </row>
    <row r="530" customFormat="false" ht="15" hidden="false" customHeight="false" outlineLevel="0" collapsed="false">
      <c r="A530" s="16" t="str">
        <f aca="false">Payment_Log_AP!A527</f>
        <v>PAY40526</v>
      </c>
      <c r="B530" s="16" t="str">
        <f aca="false">Payment_Log_AP!C527</f>
        <v>V1009</v>
      </c>
      <c r="C530" s="16" t="str">
        <f aca="false">Payment_Log_AP!B527</f>
        <v>INV30614</v>
      </c>
      <c r="D530" s="17" t="n">
        <f aca="false">Payment_Log_AP!D527</f>
        <v>46119</v>
      </c>
      <c r="E530" s="18" t="n">
        <f aca="false">Payment_Log_AP!E527</f>
        <v>2360.64</v>
      </c>
      <c r="F530" s="17" t="n">
        <f aca="false">IFERROR(INDEX(Vendor_Invoices_AP!$D$2:$D$882,MATCH(C530,Vendor_Invoices_AP!$A$2:$A$882,0)),"")</f>
        <v>46085</v>
      </c>
      <c r="G530" s="16" t="n">
        <f aca="false">IF(F530="","",D530-F530)</f>
        <v>34</v>
      </c>
      <c r="H530" s="21" t="n">
        <f aca="false">IF(F530="","",DATE(YEAR(D530),MONTH(D530),1))</f>
        <v>46113</v>
      </c>
    </row>
    <row r="531" customFormat="false" ht="15" hidden="false" customHeight="false" outlineLevel="0" collapsed="false">
      <c r="A531" s="16" t="str">
        <f aca="false">Payment_Log_AP!A528</f>
        <v>PAY40527</v>
      </c>
      <c r="B531" s="16" t="str">
        <f aca="false">Payment_Log_AP!C528</f>
        <v>V1009</v>
      </c>
      <c r="C531" s="16" t="str">
        <f aca="false">Payment_Log_AP!B528</f>
        <v>INV30615</v>
      </c>
      <c r="D531" s="17" t="n">
        <f aca="false">Payment_Log_AP!D528</f>
        <v>45781</v>
      </c>
      <c r="E531" s="18" t="n">
        <f aca="false">Payment_Log_AP!E528</f>
        <v>1484.72</v>
      </c>
      <c r="F531" s="17" t="n">
        <f aca="false">IFERROR(INDEX(Vendor_Invoices_AP!$D$2:$D$882,MATCH(C531,Vendor_Invoices_AP!$A$2:$A$882,0)),"")</f>
        <v>45772</v>
      </c>
      <c r="G531" s="16" t="n">
        <f aca="false">IF(F531="","",D531-F531)</f>
        <v>9</v>
      </c>
      <c r="H531" s="21" t="n">
        <f aca="false">IF(F531="","",DATE(YEAR(D531),MONTH(D531),1))</f>
        <v>45778</v>
      </c>
    </row>
    <row r="532" customFormat="false" ht="15" hidden="false" customHeight="false" outlineLevel="0" collapsed="false">
      <c r="A532" s="16" t="str">
        <f aca="false">Payment_Log_AP!A529</f>
        <v>PAY40528</v>
      </c>
      <c r="B532" s="16" t="str">
        <f aca="false">Payment_Log_AP!C529</f>
        <v>V1018</v>
      </c>
      <c r="C532" s="16" t="str">
        <f aca="false">Payment_Log_AP!B529</f>
        <v>INV30616</v>
      </c>
      <c r="D532" s="17" t="n">
        <f aca="false">Payment_Log_AP!D529</f>
        <v>45771</v>
      </c>
      <c r="E532" s="18" t="n">
        <f aca="false">Payment_Log_AP!E529</f>
        <v>1627.91</v>
      </c>
      <c r="F532" s="17" t="n">
        <f aca="false">IFERROR(INDEX(Vendor_Invoices_AP!$D$2:$D$882,MATCH(C532,Vendor_Invoices_AP!$A$2:$A$882,0)),"")</f>
        <v>45746</v>
      </c>
      <c r="G532" s="16" t="n">
        <f aca="false">IF(F532="","",D532-F532)</f>
        <v>25</v>
      </c>
      <c r="H532" s="21" t="n">
        <f aca="false">IF(F532="","",DATE(YEAR(D532),MONTH(D532),1))</f>
        <v>45748</v>
      </c>
    </row>
    <row r="533" customFormat="false" ht="15" hidden="false" customHeight="false" outlineLevel="0" collapsed="false">
      <c r="A533" s="16" t="str">
        <f aca="false">Payment_Log_AP!A530</f>
        <v>PAY40529</v>
      </c>
      <c r="B533" s="16" t="str">
        <f aca="false">Payment_Log_AP!C530</f>
        <v>V1001</v>
      </c>
      <c r="C533" s="16" t="str">
        <f aca="false">Payment_Log_AP!B530</f>
        <v>INV30617</v>
      </c>
      <c r="D533" s="17" t="n">
        <f aca="false">Payment_Log_AP!D530</f>
        <v>45979</v>
      </c>
      <c r="E533" s="18" t="n">
        <f aca="false">Payment_Log_AP!E530</f>
        <v>1311.69</v>
      </c>
      <c r="F533" s="17" t="n">
        <f aca="false">IFERROR(INDEX(Vendor_Invoices_AP!$D$2:$D$882,MATCH(C533,Vendor_Invoices_AP!$A$2:$A$882,0)),"")</f>
        <v>45963</v>
      </c>
      <c r="G533" s="16" t="n">
        <f aca="false">IF(F533="","",D533-F533)</f>
        <v>16</v>
      </c>
      <c r="H533" s="21" t="n">
        <f aca="false">IF(F533="","",DATE(YEAR(D533),MONTH(D533),1))</f>
        <v>45962</v>
      </c>
    </row>
    <row r="534" customFormat="false" ht="15" hidden="false" customHeight="false" outlineLevel="0" collapsed="false">
      <c r="A534" s="16" t="str">
        <f aca="false">Payment_Log_AP!A531</f>
        <v>PAY40530</v>
      </c>
      <c r="B534" s="16" t="str">
        <f aca="false">Payment_Log_AP!C531</f>
        <v>V1001</v>
      </c>
      <c r="C534" s="16" t="str">
        <f aca="false">Payment_Log_AP!B531</f>
        <v>INV30618</v>
      </c>
      <c r="D534" s="17" t="n">
        <f aca="false">Payment_Log_AP!D531</f>
        <v>45971</v>
      </c>
      <c r="E534" s="18" t="n">
        <f aca="false">Payment_Log_AP!E531</f>
        <v>1090.07</v>
      </c>
      <c r="F534" s="17" t="n">
        <f aca="false">IFERROR(INDEX(Vendor_Invoices_AP!$D$2:$D$882,MATCH(C534,Vendor_Invoices_AP!$A$2:$A$882,0)),"")</f>
        <v>45954</v>
      </c>
      <c r="G534" s="16" t="n">
        <f aca="false">IF(F534="","",D534-F534)</f>
        <v>17</v>
      </c>
      <c r="H534" s="21" t="n">
        <f aca="false">IF(F534="","",DATE(YEAR(D534),MONTH(D534),1))</f>
        <v>45962</v>
      </c>
    </row>
    <row r="535" customFormat="false" ht="15" hidden="false" customHeight="false" outlineLevel="0" collapsed="false">
      <c r="A535" s="16" t="str">
        <f aca="false">Payment_Log_AP!A532</f>
        <v>PAY40531</v>
      </c>
      <c r="B535" s="16" t="str">
        <f aca="false">Payment_Log_AP!C532</f>
        <v>V1001</v>
      </c>
      <c r="C535" s="16" t="str">
        <f aca="false">Payment_Log_AP!B532</f>
        <v>INV30618</v>
      </c>
      <c r="D535" s="17" t="n">
        <f aca="false">Payment_Log_AP!D532</f>
        <v>45981</v>
      </c>
      <c r="E535" s="18" t="n">
        <f aca="false">Payment_Log_AP!E532</f>
        <v>1090.07</v>
      </c>
      <c r="F535" s="17" t="n">
        <f aca="false">IFERROR(INDEX(Vendor_Invoices_AP!$D$2:$D$882,MATCH(C535,Vendor_Invoices_AP!$A$2:$A$882,0)),"")</f>
        <v>45954</v>
      </c>
      <c r="G535" s="16" t="n">
        <f aca="false">IF(F535="","",D535-F535)</f>
        <v>27</v>
      </c>
      <c r="H535" s="21" t="n">
        <f aca="false">IF(F535="","",DATE(YEAR(D535),MONTH(D535),1))</f>
        <v>45962</v>
      </c>
    </row>
    <row r="536" customFormat="false" ht="15" hidden="false" customHeight="false" outlineLevel="0" collapsed="false">
      <c r="A536" s="16" t="str">
        <f aca="false">Payment_Log_AP!A533</f>
        <v>PAY40532</v>
      </c>
      <c r="B536" s="16" t="str">
        <f aca="false">Payment_Log_AP!C533</f>
        <v>V1024</v>
      </c>
      <c r="C536" s="16" t="str">
        <f aca="false">Payment_Log_AP!B533</f>
        <v>INV30622</v>
      </c>
      <c r="D536" s="17" t="n">
        <f aca="false">Payment_Log_AP!D533</f>
        <v>46116</v>
      </c>
      <c r="E536" s="18" t="n">
        <f aca="false">Payment_Log_AP!E533</f>
        <v>2753.96</v>
      </c>
      <c r="F536" s="17" t="n">
        <f aca="false">IFERROR(INDEX(Vendor_Invoices_AP!$D$2:$D$882,MATCH(C536,Vendor_Invoices_AP!$A$2:$A$882,0)),"")</f>
        <v>46113</v>
      </c>
      <c r="G536" s="16" t="n">
        <f aca="false">IF(F536="","",D536-F536)</f>
        <v>3</v>
      </c>
      <c r="H536" s="21" t="n">
        <f aca="false">IF(F536="","",DATE(YEAR(D536),MONTH(D536),1))</f>
        <v>46113</v>
      </c>
    </row>
    <row r="537" customFormat="false" ht="15" hidden="false" customHeight="false" outlineLevel="0" collapsed="false">
      <c r="A537" s="16" t="str">
        <f aca="false">Payment_Log_AP!A534</f>
        <v>PAY40533</v>
      </c>
      <c r="B537" s="16" t="str">
        <f aca="false">Payment_Log_AP!C534</f>
        <v>V1013</v>
      </c>
      <c r="C537" s="16" t="str">
        <f aca="false">Payment_Log_AP!B534</f>
        <v>INV30623</v>
      </c>
      <c r="D537" s="17" t="n">
        <f aca="false">Payment_Log_AP!D534</f>
        <v>45804</v>
      </c>
      <c r="E537" s="18" t="n">
        <f aca="false">Payment_Log_AP!E534</f>
        <v>5478.24</v>
      </c>
      <c r="F537" s="17" t="n">
        <f aca="false">IFERROR(INDEX(Vendor_Invoices_AP!$D$2:$D$882,MATCH(C537,Vendor_Invoices_AP!$A$2:$A$882,0)),"")</f>
        <v>45800</v>
      </c>
      <c r="G537" s="16" t="n">
        <f aca="false">IF(F537="","",D537-F537)</f>
        <v>4</v>
      </c>
      <c r="H537" s="21" t="n">
        <f aca="false">IF(F537="","",DATE(YEAR(D537),MONTH(D537),1))</f>
        <v>45778</v>
      </c>
    </row>
    <row r="538" customFormat="false" ht="15" hidden="false" customHeight="false" outlineLevel="0" collapsed="false">
      <c r="A538" s="16" t="str">
        <f aca="false">Payment_Log_AP!A535</f>
        <v>PAY40534</v>
      </c>
      <c r="B538" s="16" t="str">
        <f aca="false">Payment_Log_AP!C535</f>
        <v>V1013</v>
      </c>
      <c r="C538" s="16" t="str">
        <f aca="false">Payment_Log_AP!B535</f>
        <v>INV30623</v>
      </c>
      <c r="D538" s="17" t="n">
        <f aca="false">Payment_Log_AP!D535</f>
        <v>45812</v>
      </c>
      <c r="E538" s="18" t="n">
        <f aca="false">Payment_Log_AP!E535</f>
        <v>5478.24</v>
      </c>
      <c r="F538" s="17" t="n">
        <f aca="false">IFERROR(INDEX(Vendor_Invoices_AP!$D$2:$D$882,MATCH(C538,Vendor_Invoices_AP!$A$2:$A$882,0)),"")</f>
        <v>45800</v>
      </c>
      <c r="G538" s="16" t="n">
        <f aca="false">IF(F538="","",D538-F538)</f>
        <v>12</v>
      </c>
      <c r="H538" s="21" t="n">
        <f aca="false">IF(F538="","",DATE(YEAR(D538),MONTH(D538),1))</f>
        <v>45809</v>
      </c>
    </row>
    <row r="539" customFormat="false" ht="15" hidden="false" customHeight="false" outlineLevel="0" collapsed="false">
      <c r="A539" s="16" t="str">
        <f aca="false">Payment_Log_AP!A536</f>
        <v>PAY40535</v>
      </c>
      <c r="B539" s="16" t="str">
        <f aca="false">Payment_Log_AP!C536</f>
        <v>V1009</v>
      </c>
      <c r="C539" s="16" t="str">
        <f aca="false">Payment_Log_AP!B536</f>
        <v>INV30624</v>
      </c>
      <c r="D539" s="17" t="n">
        <f aca="false">Payment_Log_AP!D536</f>
        <v>46117</v>
      </c>
      <c r="E539" s="18" t="n">
        <f aca="false">Payment_Log_AP!E536</f>
        <v>581.73</v>
      </c>
      <c r="F539" s="17" t="n">
        <f aca="false">IFERROR(INDEX(Vendor_Invoices_AP!$D$2:$D$882,MATCH(C539,Vendor_Invoices_AP!$A$2:$A$882,0)),"")</f>
        <v>46110</v>
      </c>
      <c r="G539" s="16" t="n">
        <f aca="false">IF(F539="","",D539-F539)</f>
        <v>7</v>
      </c>
      <c r="H539" s="21" t="n">
        <f aca="false">IF(F539="","",DATE(YEAR(D539),MONTH(D539),1))</f>
        <v>46113</v>
      </c>
    </row>
    <row r="540" customFormat="false" ht="15" hidden="false" customHeight="false" outlineLevel="0" collapsed="false">
      <c r="A540" s="16" t="str">
        <f aca="false">Payment_Log_AP!A537</f>
        <v>PAY40536</v>
      </c>
      <c r="B540" s="16" t="str">
        <f aca="false">Payment_Log_AP!C537</f>
        <v>V1005</v>
      </c>
      <c r="C540" s="16" t="str">
        <f aca="false">Payment_Log_AP!B537</f>
        <v>INV30625</v>
      </c>
      <c r="D540" s="17" t="n">
        <f aca="false">Payment_Log_AP!D537</f>
        <v>45948</v>
      </c>
      <c r="E540" s="18" t="n">
        <f aca="false">Payment_Log_AP!E537</f>
        <v>2739.78</v>
      </c>
      <c r="F540" s="17" t="n">
        <f aca="false">IFERROR(INDEX(Vendor_Invoices_AP!$D$2:$D$882,MATCH(C540,Vendor_Invoices_AP!$A$2:$A$882,0)),"")</f>
        <v>45922</v>
      </c>
      <c r="G540" s="16" t="n">
        <f aca="false">IF(F540="","",D540-F540)</f>
        <v>26</v>
      </c>
      <c r="H540" s="21" t="n">
        <f aca="false">IF(F540="","",DATE(YEAR(D540),MONTH(D540),1))</f>
        <v>45931</v>
      </c>
    </row>
    <row r="541" customFormat="false" ht="15" hidden="false" customHeight="false" outlineLevel="0" collapsed="false">
      <c r="A541" s="16" t="str">
        <f aca="false">Payment_Log_AP!A538</f>
        <v>PAY40537</v>
      </c>
      <c r="B541" s="16" t="str">
        <f aca="false">Payment_Log_AP!C538</f>
        <v>V1005</v>
      </c>
      <c r="C541" s="16" t="str">
        <f aca="false">Payment_Log_AP!B538</f>
        <v>INV30625</v>
      </c>
      <c r="D541" s="17" t="n">
        <f aca="false">Payment_Log_AP!D538</f>
        <v>45955</v>
      </c>
      <c r="E541" s="18" t="n">
        <f aca="false">Payment_Log_AP!E538</f>
        <v>2739.78</v>
      </c>
      <c r="F541" s="17" t="n">
        <f aca="false">IFERROR(INDEX(Vendor_Invoices_AP!$D$2:$D$882,MATCH(C541,Vendor_Invoices_AP!$A$2:$A$882,0)),"")</f>
        <v>45922</v>
      </c>
      <c r="G541" s="16" t="n">
        <f aca="false">IF(F541="","",D541-F541)</f>
        <v>33</v>
      </c>
      <c r="H541" s="21" t="n">
        <f aca="false">IF(F541="","",DATE(YEAR(D541),MONTH(D541),1))</f>
        <v>45931</v>
      </c>
    </row>
    <row r="542" customFormat="false" ht="15" hidden="false" customHeight="false" outlineLevel="0" collapsed="false">
      <c r="A542" s="16" t="str">
        <f aca="false">Payment_Log_AP!A539</f>
        <v>PAY40538</v>
      </c>
      <c r="B542" s="16" t="str">
        <f aca="false">Payment_Log_AP!C539</f>
        <v>V1011</v>
      </c>
      <c r="C542" s="16" t="str">
        <f aca="false">Payment_Log_AP!B539</f>
        <v>INV30626</v>
      </c>
      <c r="D542" s="17" t="n">
        <f aca="false">Payment_Log_AP!D539</f>
        <v>46142</v>
      </c>
      <c r="E542" s="18" t="n">
        <f aca="false">Payment_Log_AP!E539</f>
        <v>329.34</v>
      </c>
      <c r="F542" s="17" t="n">
        <f aca="false">IFERROR(INDEX(Vendor_Invoices_AP!$D$2:$D$882,MATCH(C542,Vendor_Invoices_AP!$A$2:$A$882,0)),"")</f>
        <v>46108</v>
      </c>
      <c r="G542" s="16" t="n">
        <f aca="false">IF(F542="","",D542-F542)</f>
        <v>34</v>
      </c>
      <c r="H542" s="21" t="n">
        <f aca="false">IF(F542="","",DATE(YEAR(D542),MONTH(D542),1))</f>
        <v>46113</v>
      </c>
    </row>
    <row r="543" customFormat="false" ht="15" hidden="false" customHeight="false" outlineLevel="0" collapsed="false">
      <c r="A543" s="16" t="str">
        <f aca="false">Payment_Log_AP!A540</f>
        <v>PAY40539</v>
      </c>
      <c r="B543" s="16" t="str">
        <f aca="false">Payment_Log_AP!C540</f>
        <v>V1024</v>
      </c>
      <c r="C543" s="16" t="str">
        <f aca="false">Payment_Log_AP!B540</f>
        <v>INV30628</v>
      </c>
      <c r="D543" s="17" t="n">
        <f aca="false">Payment_Log_AP!D540</f>
        <v>45864</v>
      </c>
      <c r="E543" s="18" t="n">
        <f aca="false">Payment_Log_AP!E540</f>
        <v>5307.07</v>
      </c>
      <c r="F543" s="17" t="n">
        <f aca="false">IFERROR(INDEX(Vendor_Invoices_AP!$D$2:$D$882,MATCH(C543,Vendor_Invoices_AP!$A$2:$A$882,0)),"")</f>
        <v>45847</v>
      </c>
      <c r="G543" s="16" t="n">
        <f aca="false">IF(F543="","",D543-F543)</f>
        <v>17</v>
      </c>
      <c r="H543" s="21" t="n">
        <f aca="false">IF(F543="","",DATE(YEAR(D543),MONTH(D543),1))</f>
        <v>45839</v>
      </c>
    </row>
    <row r="544" customFormat="false" ht="15" hidden="false" customHeight="false" outlineLevel="0" collapsed="false">
      <c r="A544" s="16" t="str">
        <f aca="false">Payment_Log_AP!A541</f>
        <v>PAY40540</v>
      </c>
      <c r="B544" s="16" t="str">
        <f aca="false">Payment_Log_AP!C541</f>
        <v>V1004</v>
      </c>
      <c r="C544" s="16" t="str">
        <f aca="false">Payment_Log_AP!B541</f>
        <v>INV30629</v>
      </c>
      <c r="D544" s="17" t="n">
        <f aca="false">Payment_Log_AP!D541</f>
        <v>45765</v>
      </c>
      <c r="E544" s="18" t="n">
        <f aca="false">Payment_Log_AP!E541</f>
        <v>4575.5</v>
      </c>
      <c r="F544" s="17" t="n">
        <f aca="false">IFERROR(INDEX(Vendor_Invoices_AP!$D$2:$D$882,MATCH(C544,Vendor_Invoices_AP!$A$2:$A$882,0)),"")</f>
        <v>45741</v>
      </c>
      <c r="G544" s="16" t="n">
        <f aca="false">IF(F544="","",D544-F544)</f>
        <v>24</v>
      </c>
      <c r="H544" s="21" t="n">
        <f aca="false">IF(F544="","",DATE(YEAR(D544),MONTH(D544),1))</f>
        <v>45748</v>
      </c>
    </row>
    <row r="545" customFormat="false" ht="15" hidden="false" customHeight="false" outlineLevel="0" collapsed="false">
      <c r="A545" s="16" t="str">
        <f aca="false">Payment_Log_AP!A542</f>
        <v>PAY40541</v>
      </c>
      <c r="B545" s="16" t="str">
        <f aca="false">Payment_Log_AP!C542</f>
        <v>V1024</v>
      </c>
      <c r="C545" s="16" t="str">
        <f aca="false">Payment_Log_AP!B542</f>
        <v>INV30631</v>
      </c>
      <c r="D545" s="17" t="n">
        <f aca="false">Payment_Log_AP!D542</f>
        <v>45788</v>
      </c>
      <c r="E545" s="18" t="n">
        <f aca="false">Payment_Log_AP!E542</f>
        <v>4978.47</v>
      </c>
      <c r="F545" s="17" t="n">
        <f aca="false">IFERROR(INDEX(Vendor_Invoices_AP!$D$2:$D$882,MATCH(C545,Vendor_Invoices_AP!$A$2:$A$882,0)),"")</f>
        <v>45759</v>
      </c>
      <c r="G545" s="16" t="n">
        <f aca="false">IF(F545="","",D545-F545)</f>
        <v>29</v>
      </c>
      <c r="H545" s="21" t="n">
        <f aca="false">IF(F545="","",DATE(YEAR(D545),MONTH(D545),1))</f>
        <v>45778</v>
      </c>
    </row>
    <row r="546" customFormat="false" ht="15" hidden="false" customHeight="false" outlineLevel="0" collapsed="false">
      <c r="A546" s="16" t="str">
        <f aca="false">Payment_Log_AP!A543</f>
        <v>PAY40542</v>
      </c>
      <c r="B546" s="16" t="str">
        <f aca="false">Payment_Log_AP!C543</f>
        <v>V1024</v>
      </c>
      <c r="C546" s="16" t="str">
        <f aca="false">Payment_Log_AP!B543</f>
        <v>INV30633</v>
      </c>
      <c r="D546" s="17" t="n">
        <f aca="false">Payment_Log_AP!D543</f>
        <v>46147</v>
      </c>
      <c r="E546" s="18" t="n">
        <f aca="false">Payment_Log_AP!E543</f>
        <v>4005.11</v>
      </c>
      <c r="F546" s="17" t="n">
        <f aca="false">IFERROR(INDEX(Vendor_Invoices_AP!$D$2:$D$882,MATCH(C546,Vendor_Invoices_AP!$A$2:$A$882,0)),"")</f>
        <v>46134</v>
      </c>
      <c r="G546" s="16" t="n">
        <f aca="false">IF(F546="","",D546-F546)</f>
        <v>13</v>
      </c>
      <c r="H546" s="21" t="n">
        <f aca="false">IF(F546="","",DATE(YEAR(D546),MONTH(D546),1))</f>
        <v>46143</v>
      </c>
    </row>
    <row r="547" customFormat="false" ht="15" hidden="false" customHeight="false" outlineLevel="0" collapsed="false">
      <c r="A547" s="16" t="str">
        <f aca="false">Payment_Log_AP!A544</f>
        <v>PAY40543</v>
      </c>
      <c r="B547" s="16" t="str">
        <f aca="false">Payment_Log_AP!C544</f>
        <v>V1003</v>
      </c>
      <c r="C547" s="16" t="str">
        <f aca="false">Payment_Log_AP!B544</f>
        <v>INV30634</v>
      </c>
      <c r="D547" s="17" t="n">
        <f aca="false">Payment_Log_AP!D544</f>
        <v>46090</v>
      </c>
      <c r="E547" s="18" t="n">
        <f aca="false">Payment_Log_AP!E544</f>
        <v>1866.99</v>
      </c>
      <c r="F547" s="17" t="n">
        <f aca="false">IFERROR(INDEX(Vendor_Invoices_AP!$D$2:$D$882,MATCH(C547,Vendor_Invoices_AP!$A$2:$A$882,0)),"")</f>
        <v>46064</v>
      </c>
      <c r="G547" s="16" t="n">
        <f aca="false">IF(F547="","",D547-F547)</f>
        <v>26</v>
      </c>
      <c r="H547" s="21" t="n">
        <f aca="false">IF(F547="","",DATE(YEAR(D547),MONTH(D547),1))</f>
        <v>46082</v>
      </c>
    </row>
    <row r="548" customFormat="false" ht="15" hidden="false" customHeight="false" outlineLevel="0" collapsed="false">
      <c r="A548" s="16" t="str">
        <f aca="false">Payment_Log_AP!A545</f>
        <v>PAY40544</v>
      </c>
      <c r="B548" s="16" t="str">
        <f aca="false">Payment_Log_AP!C545</f>
        <v>V1007</v>
      </c>
      <c r="C548" s="16" t="str">
        <f aca="false">Payment_Log_AP!B545</f>
        <v>INV30640</v>
      </c>
      <c r="D548" s="17" t="n">
        <f aca="false">Payment_Log_AP!D545</f>
        <v>45699</v>
      </c>
      <c r="E548" s="18" t="n">
        <f aca="false">Payment_Log_AP!E545</f>
        <v>4880.22</v>
      </c>
      <c r="F548" s="17" t="n">
        <f aca="false">IFERROR(INDEX(Vendor_Invoices_AP!$D$2:$D$882,MATCH(C548,Vendor_Invoices_AP!$A$2:$A$882,0)),"")</f>
        <v>45667</v>
      </c>
      <c r="G548" s="16" t="n">
        <f aca="false">IF(F548="","",D548-F548)</f>
        <v>32</v>
      </c>
      <c r="H548" s="21" t="n">
        <f aca="false">IF(F548="","",DATE(YEAR(D548),MONTH(D548),1))</f>
        <v>45689</v>
      </c>
    </row>
    <row r="549" customFormat="false" ht="15" hidden="false" customHeight="false" outlineLevel="0" collapsed="false">
      <c r="A549" s="16" t="str">
        <f aca="false">Payment_Log_AP!A546</f>
        <v>PAY40545</v>
      </c>
      <c r="B549" s="16" t="str">
        <f aca="false">Payment_Log_AP!C546</f>
        <v>V1024</v>
      </c>
      <c r="C549" s="16" t="str">
        <f aca="false">Payment_Log_AP!B546</f>
        <v>INV30641</v>
      </c>
      <c r="D549" s="17" t="n">
        <f aca="false">Payment_Log_AP!D546</f>
        <v>45993</v>
      </c>
      <c r="E549" s="18" t="n">
        <f aca="false">Payment_Log_AP!E546</f>
        <v>2581.16</v>
      </c>
      <c r="F549" s="17" t="n">
        <f aca="false">IFERROR(INDEX(Vendor_Invoices_AP!$D$2:$D$882,MATCH(C549,Vendor_Invoices_AP!$A$2:$A$882,0)),"")</f>
        <v>45972</v>
      </c>
      <c r="G549" s="16" t="n">
        <f aca="false">IF(F549="","",D549-F549)</f>
        <v>21</v>
      </c>
      <c r="H549" s="21" t="n">
        <f aca="false">IF(F549="","",DATE(YEAR(D549),MONTH(D549),1))</f>
        <v>45992</v>
      </c>
    </row>
    <row r="550" customFormat="false" ht="15" hidden="false" customHeight="false" outlineLevel="0" collapsed="false">
      <c r="A550" s="16" t="str">
        <f aca="false">Payment_Log_AP!A547</f>
        <v>PAY40546</v>
      </c>
      <c r="B550" s="16" t="str">
        <f aca="false">Payment_Log_AP!C547</f>
        <v>V1032</v>
      </c>
      <c r="C550" s="16" t="str">
        <f aca="false">Payment_Log_AP!B547</f>
        <v>INV30643</v>
      </c>
      <c r="D550" s="17" t="n">
        <f aca="false">Payment_Log_AP!D547</f>
        <v>46073</v>
      </c>
      <c r="E550" s="18" t="n">
        <f aca="false">Payment_Log_AP!E547</f>
        <v>2330.25</v>
      </c>
      <c r="F550" s="17" t="n">
        <f aca="false">IFERROR(INDEX(Vendor_Invoices_AP!$D$2:$D$882,MATCH(C550,Vendor_Invoices_AP!$A$2:$A$882,0)),"")</f>
        <v>46048</v>
      </c>
      <c r="G550" s="16" t="n">
        <f aca="false">IF(F550="","",D550-F550)</f>
        <v>25</v>
      </c>
      <c r="H550" s="21" t="n">
        <f aca="false">IF(F550="","",DATE(YEAR(D550),MONTH(D550),1))</f>
        <v>46054</v>
      </c>
    </row>
    <row r="551" customFormat="false" ht="15" hidden="false" customHeight="false" outlineLevel="0" collapsed="false">
      <c r="A551" s="16" t="str">
        <f aca="false">Payment_Log_AP!A548</f>
        <v>PAY40547</v>
      </c>
      <c r="B551" s="16" t="str">
        <f aca="false">Payment_Log_AP!C548</f>
        <v>V1029</v>
      </c>
      <c r="C551" s="16" t="str">
        <f aca="false">Payment_Log_AP!B548</f>
        <v>INV30644</v>
      </c>
      <c r="D551" s="17" t="n">
        <f aca="false">Payment_Log_AP!D548</f>
        <v>46036</v>
      </c>
      <c r="E551" s="18" t="n">
        <f aca="false">Payment_Log_AP!E548</f>
        <v>1142.31</v>
      </c>
      <c r="F551" s="17" t="n">
        <f aca="false">IFERROR(INDEX(Vendor_Invoices_AP!$D$2:$D$882,MATCH(C551,Vendor_Invoices_AP!$A$2:$A$882,0)),"")</f>
        <v>46034</v>
      </c>
      <c r="G551" s="16" t="n">
        <f aca="false">IF(F551="","",D551-F551)</f>
        <v>2</v>
      </c>
      <c r="H551" s="21" t="n">
        <f aca="false">IF(F551="","",DATE(YEAR(D551),MONTH(D551),1))</f>
        <v>46023</v>
      </c>
    </row>
    <row r="552" customFormat="false" ht="15" hidden="false" customHeight="false" outlineLevel="0" collapsed="false">
      <c r="A552" s="16" t="str">
        <f aca="false">Payment_Log_AP!A549</f>
        <v>PAY40548</v>
      </c>
      <c r="B552" s="16" t="str">
        <f aca="false">Payment_Log_AP!C549</f>
        <v>V1030</v>
      </c>
      <c r="C552" s="16" t="str">
        <f aca="false">Payment_Log_AP!B549</f>
        <v>INV30645</v>
      </c>
      <c r="D552" s="17" t="n">
        <f aca="false">Payment_Log_AP!D549</f>
        <v>45999</v>
      </c>
      <c r="E552" s="18" t="n">
        <f aca="false">Payment_Log_AP!E549</f>
        <v>5378.13</v>
      </c>
      <c r="F552" s="17" t="n">
        <f aca="false">IFERROR(INDEX(Vendor_Invoices_AP!$D$2:$D$882,MATCH(C552,Vendor_Invoices_AP!$A$2:$A$882,0)),"")</f>
        <v>45983</v>
      </c>
      <c r="G552" s="16" t="n">
        <f aca="false">IF(F552="","",D552-F552)</f>
        <v>16</v>
      </c>
      <c r="H552" s="21" t="n">
        <f aca="false">IF(F552="","",DATE(YEAR(D552),MONTH(D552),1))</f>
        <v>45992</v>
      </c>
    </row>
    <row r="553" customFormat="false" ht="15" hidden="false" customHeight="false" outlineLevel="0" collapsed="false">
      <c r="A553" s="16" t="str">
        <f aca="false">Payment_Log_AP!A550</f>
        <v>PAY40549</v>
      </c>
      <c r="B553" s="16" t="str">
        <f aca="false">Payment_Log_AP!C550</f>
        <v>V1002</v>
      </c>
      <c r="C553" s="16" t="str">
        <f aca="false">Payment_Log_AP!B550</f>
        <v>INV30646</v>
      </c>
      <c r="D553" s="17" t="n">
        <f aca="false">Payment_Log_AP!D550</f>
        <v>46114</v>
      </c>
      <c r="E553" s="18" t="n">
        <f aca="false">Payment_Log_AP!E550</f>
        <v>1479.77</v>
      </c>
      <c r="F553" s="17" t="n">
        <f aca="false">IFERROR(INDEX(Vendor_Invoices_AP!$D$2:$D$882,MATCH(C553,Vendor_Invoices_AP!$A$2:$A$882,0)),"")</f>
        <v>46113</v>
      </c>
      <c r="G553" s="16" t="n">
        <f aca="false">IF(F553="","",D553-F553)</f>
        <v>1</v>
      </c>
      <c r="H553" s="21" t="n">
        <f aca="false">IF(F553="","",DATE(YEAR(D553),MONTH(D553),1))</f>
        <v>46113</v>
      </c>
    </row>
    <row r="554" customFormat="false" ht="15" hidden="false" customHeight="false" outlineLevel="0" collapsed="false">
      <c r="A554" s="16" t="str">
        <f aca="false">Payment_Log_AP!A551</f>
        <v>PAY40550</v>
      </c>
      <c r="B554" s="16" t="str">
        <f aca="false">Payment_Log_AP!C551</f>
        <v>V1002</v>
      </c>
      <c r="C554" s="16" t="str">
        <f aca="false">Payment_Log_AP!B551</f>
        <v>INV30647</v>
      </c>
      <c r="D554" s="17" t="n">
        <f aca="false">Payment_Log_AP!D551</f>
        <v>46133</v>
      </c>
      <c r="E554" s="18" t="n">
        <f aca="false">Payment_Log_AP!E551</f>
        <v>1479.77</v>
      </c>
      <c r="F554" s="17" t="n">
        <f aca="false">IFERROR(INDEX(Vendor_Invoices_AP!$D$2:$D$882,MATCH(C554,Vendor_Invoices_AP!$A$2:$A$882,0)),"")</f>
        <v>46127</v>
      </c>
      <c r="G554" s="16" t="n">
        <f aca="false">IF(F554="","",D554-F554)</f>
        <v>6</v>
      </c>
      <c r="H554" s="21" t="n">
        <f aca="false">IF(F554="","",DATE(YEAR(D554),MONTH(D554),1))</f>
        <v>46113</v>
      </c>
    </row>
    <row r="555" customFormat="false" ht="15" hidden="false" customHeight="false" outlineLevel="0" collapsed="false">
      <c r="A555" s="16" t="str">
        <f aca="false">Payment_Log_AP!A552</f>
        <v>PAY40551</v>
      </c>
      <c r="B555" s="16" t="str">
        <f aca="false">Payment_Log_AP!C552</f>
        <v>V1007</v>
      </c>
      <c r="C555" s="16" t="str">
        <f aca="false">Payment_Log_AP!B552</f>
        <v>INV30649</v>
      </c>
      <c r="D555" s="17" t="n">
        <f aca="false">Payment_Log_AP!D552</f>
        <v>45744</v>
      </c>
      <c r="E555" s="18" t="n">
        <f aca="false">Payment_Log_AP!E552</f>
        <v>1679.49</v>
      </c>
      <c r="F555" s="17" t="n">
        <f aca="false">IFERROR(INDEX(Vendor_Invoices_AP!$D$2:$D$882,MATCH(C555,Vendor_Invoices_AP!$A$2:$A$882,0)),"")</f>
        <v>45726</v>
      </c>
      <c r="G555" s="16" t="n">
        <f aca="false">IF(F555="","",D555-F555)</f>
        <v>18</v>
      </c>
      <c r="H555" s="21" t="n">
        <f aca="false">IF(F555="","",DATE(YEAR(D555),MONTH(D555),1))</f>
        <v>45717</v>
      </c>
    </row>
    <row r="556" customFormat="false" ht="15" hidden="false" customHeight="false" outlineLevel="0" collapsed="false">
      <c r="A556" s="16" t="str">
        <f aca="false">Payment_Log_AP!A553</f>
        <v>PAY40552</v>
      </c>
      <c r="B556" s="16" t="str">
        <f aca="false">Payment_Log_AP!C553</f>
        <v>V1034</v>
      </c>
      <c r="C556" s="16" t="str">
        <f aca="false">Payment_Log_AP!B553</f>
        <v>INV30651</v>
      </c>
      <c r="D556" s="17" t="n">
        <f aca="false">Payment_Log_AP!D553</f>
        <v>45832</v>
      </c>
      <c r="E556" s="18" t="n">
        <f aca="false">Payment_Log_AP!E553</f>
        <v>2035.58</v>
      </c>
      <c r="F556" s="17" t="n">
        <f aca="false">IFERROR(INDEX(Vendor_Invoices_AP!$D$2:$D$882,MATCH(C556,Vendor_Invoices_AP!$A$2:$A$882,0)),"")</f>
        <v>45804</v>
      </c>
      <c r="G556" s="16" t="n">
        <f aca="false">IF(F556="","",D556-F556)</f>
        <v>28</v>
      </c>
      <c r="H556" s="21" t="n">
        <f aca="false">IF(F556="","",DATE(YEAR(D556),MONTH(D556),1))</f>
        <v>45809</v>
      </c>
    </row>
    <row r="557" customFormat="false" ht="15" hidden="false" customHeight="false" outlineLevel="0" collapsed="false">
      <c r="A557" s="16" t="str">
        <f aca="false">Payment_Log_AP!A554</f>
        <v>PAY40553</v>
      </c>
      <c r="B557" s="16" t="str">
        <f aca="false">Payment_Log_AP!C554</f>
        <v>V1025</v>
      </c>
      <c r="C557" s="16" t="str">
        <f aca="false">Payment_Log_AP!B554</f>
        <v>INV30652</v>
      </c>
      <c r="D557" s="17" t="n">
        <f aca="false">Payment_Log_AP!D554</f>
        <v>45700</v>
      </c>
      <c r="E557" s="18" t="n">
        <f aca="false">Payment_Log_AP!E554</f>
        <v>1499.87</v>
      </c>
      <c r="F557" s="17" t="n">
        <f aca="false">IFERROR(INDEX(Vendor_Invoices_AP!$D$2:$D$882,MATCH(C557,Vendor_Invoices_AP!$A$2:$A$882,0)),"")</f>
        <v>45693</v>
      </c>
      <c r="G557" s="16" t="n">
        <f aca="false">IF(F557="","",D557-F557)</f>
        <v>7</v>
      </c>
      <c r="H557" s="21" t="n">
        <f aca="false">IF(F557="","",DATE(YEAR(D557),MONTH(D557),1))</f>
        <v>45689</v>
      </c>
    </row>
    <row r="558" customFormat="false" ht="15" hidden="false" customHeight="false" outlineLevel="0" collapsed="false">
      <c r="A558" s="16" t="str">
        <f aca="false">Payment_Log_AP!A555</f>
        <v>PAY40554</v>
      </c>
      <c r="B558" s="16" t="str">
        <f aca="false">Payment_Log_AP!C555</f>
        <v>V1005</v>
      </c>
      <c r="C558" s="16" t="str">
        <f aca="false">Payment_Log_AP!B555</f>
        <v>INV30653</v>
      </c>
      <c r="D558" s="17" t="n">
        <f aca="false">Payment_Log_AP!D555</f>
        <v>46157</v>
      </c>
      <c r="E558" s="18" t="n">
        <f aca="false">Payment_Log_AP!E555</f>
        <v>2691.6</v>
      </c>
      <c r="F558" s="17" t="n">
        <f aca="false">IFERROR(INDEX(Vendor_Invoices_AP!$D$2:$D$882,MATCH(C558,Vendor_Invoices_AP!$A$2:$A$882,0)),"")</f>
        <v>46147</v>
      </c>
      <c r="G558" s="16" t="n">
        <f aca="false">IF(F558="","",D558-F558)</f>
        <v>10</v>
      </c>
      <c r="H558" s="21" t="n">
        <f aca="false">IF(F558="","",DATE(YEAR(D558),MONTH(D558),1))</f>
        <v>46143</v>
      </c>
    </row>
    <row r="559" customFormat="false" ht="15" hidden="false" customHeight="false" outlineLevel="0" collapsed="false">
      <c r="A559" s="16" t="str">
        <f aca="false">Payment_Log_AP!A556</f>
        <v>PAY40555</v>
      </c>
      <c r="B559" s="16" t="str">
        <f aca="false">Payment_Log_AP!C556</f>
        <v>V1008</v>
      </c>
      <c r="C559" s="16" t="str">
        <f aca="false">Payment_Log_AP!B556</f>
        <v>INV30654</v>
      </c>
      <c r="D559" s="17" t="n">
        <f aca="false">Payment_Log_AP!D556</f>
        <v>45998</v>
      </c>
      <c r="E559" s="18" t="n">
        <f aca="false">Payment_Log_AP!E556</f>
        <v>687.41</v>
      </c>
      <c r="F559" s="17" t="n">
        <f aca="false">IFERROR(INDEX(Vendor_Invoices_AP!$D$2:$D$882,MATCH(C559,Vendor_Invoices_AP!$A$2:$A$882,0)),"")</f>
        <v>45980</v>
      </c>
      <c r="G559" s="16" t="n">
        <f aca="false">IF(F559="","",D559-F559)</f>
        <v>18</v>
      </c>
      <c r="H559" s="21" t="n">
        <f aca="false">IF(F559="","",DATE(YEAR(D559),MONTH(D559),1))</f>
        <v>45992</v>
      </c>
    </row>
    <row r="560" customFormat="false" ht="15" hidden="false" customHeight="false" outlineLevel="0" collapsed="false">
      <c r="A560" s="16" t="str">
        <f aca="false">Payment_Log_AP!A557</f>
        <v>PAY40556</v>
      </c>
      <c r="B560" s="16" t="str">
        <f aca="false">Payment_Log_AP!C557</f>
        <v>V1031</v>
      </c>
      <c r="C560" s="16" t="str">
        <f aca="false">Payment_Log_AP!B557</f>
        <v>INV30655</v>
      </c>
      <c r="D560" s="17" t="n">
        <f aca="false">Payment_Log_AP!D557</f>
        <v>46172</v>
      </c>
      <c r="E560" s="18" t="n">
        <f aca="false">Payment_Log_AP!E557</f>
        <v>915.68</v>
      </c>
      <c r="F560" s="17" t="n">
        <f aca="false">IFERROR(INDEX(Vendor_Invoices_AP!$D$2:$D$882,MATCH(C560,Vendor_Invoices_AP!$A$2:$A$882,0)),"")</f>
        <v>46159</v>
      </c>
      <c r="G560" s="16" t="n">
        <f aca="false">IF(F560="","",D560-F560)</f>
        <v>13</v>
      </c>
      <c r="H560" s="21" t="n">
        <f aca="false">IF(F560="","",DATE(YEAR(D560),MONTH(D560),1))</f>
        <v>46143</v>
      </c>
    </row>
    <row r="561" customFormat="false" ht="15" hidden="false" customHeight="false" outlineLevel="0" collapsed="false">
      <c r="A561" s="16" t="str">
        <f aca="false">Payment_Log_AP!A558</f>
        <v>PAY40557</v>
      </c>
      <c r="B561" s="16" t="str">
        <f aca="false">Payment_Log_AP!C558</f>
        <v>V1017</v>
      </c>
      <c r="C561" s="16" t="str">
        <f aca="false">Payment_Log_AP!B558</f>
        <v>INV30656</v>
      </c>
      <c r="D561" s="17" t="n">
        <f aca="false">Payment_Log_AP!D558</f>
        <v>45822</v>
      </c>
      <c r="E561" s="18" t="n">
        <f aca="false">Payment_Log_AP!E558</f>
        <v>1560.82</v>
      </c>
      <c r="F561" s="17" t="n">
        <f aca="false">IFERROR(INDEX(Vendor_Invoices_AP!$D$2:$D$882,MATCH(C561,Vendor_Invoices_AP!$A$2:$A$882,0)),"")</f>
        <v>45788</v>
      </c>
      <c r="G561" s="16" t="n">
        <f aca="false">IF(F561="","",D561-F561)</f>
        <v>34</v>
      </c>
      <c r="H561" s="21" t="n">
        <f aca="false">IF(F561="","",DATE(YEAR(D561),MONTH(D561),1))</f>
        <v>45809</v>
      </c>
    </row>
    <row r="562" customFormat="false" ht="15" hidden="false" customHeight="false" outlineLevel="0" collapsed="false">
      <c r="A562" s="16" t="str">
        <f aca="false">Payment_Log_AP!A559</f>
        <v>PAY40558</v>
      </c>
      <c r="B562" s="16" t="str">
        <f aca="false">Payment_Log_AP!C559</f>
        <v>V1032</v>
      </c>
      <c r="C562" s="16" t="str">
        <f aca="false">Payment_Log_AP!B559</f>
        <v>INV30658</v>
      </c>
      <c r="D562" s="17" t="n">
        <f aca="false">Payment_Log_AP!D559</f>
        <v>46142</v>
      </c>
      <c r="E562" s="18" t="n">
        <f aca="false">Payment_Log_AP!E559</f>
        <v>827.43</v>
      </c>
      <c r="F562" s="17" t="n">
        <f aca="false">IFERROR(INDEX(Vendor_Invoices_AP!$D$2:$D$882,MATCH(C562,Vendor_Invoices_AP!$A$2:$A$882,0)),"")</f>
        <v>46114</v>
      </c>
      <c r="G562" s="16" t="n">
        <f aca="false">IF(F562="","",D562-F562)</f>
        <v>28</v>
      </c>
      <c r="H562" s="21" t="n">
        <f aca="false">IF(F562="","",DATE(YEAR(D562),MONTH(D562),1))</f>
        <v>46113</v>
      </c>
    </row>
    <row r="563" customFormat="false" ht="15" hidden="false" customHeight="false" outlineLevel="0" collapsed="false">
      <c r="A563" s="16" t="str">
        <f aca="false">Payment_Log_AP!A560</f>
        <v>PAY40559</v>
      </c>
      <c r="B563" s="16" t="str">
        <f aca="false">Payment_Log_AP!C560</f>
        <v>V1036</v>
      </c>
      <c r="C563" s="16" t="str">
        <f aca="false">Payment_Log_AP!B560</f>
        <v>INV30659</v>
      </c>
      <c r="D563" s="17" t="n">
        <f aca="false">Payment_Log_AP!D560</f>
        <v>46175</v>
      </c>
      <c r="E563" s="18" t="n">
        <f aca="false">Payment_Log_AP!E560</f>
        <v>11648.06</v>
      </c>
      <c r="F563" s="17" t="n">
        <f aca="false">IFERROR(INDEX(Vendor_Invoices_AP!$D$2:$D$882,MATCH(C563,Vendor_Invoices_AP!$A$2:$A$882,0)),"")</f>
        <v>46171</v>
      </c>
      <c r="G563" s="16" t="n">
        <f aca="false">IF(F563="","",D563-F563)</f>
        <v>4</v>
      </c>
      <c r="H563" s="21" t="n">
        <f aca="false">IF(F563="","",DATE(YEAR(D563),MONTH(D563),1))</f>
        <v>46174</v>
      </c>
    </row>
    <row r="564" customFormat="false" ht="15" hidden="false" customHeight="false" outlineLevel="0" collapsed="false">
      <c r="A564" s="16" t="str">
        <f aca="false">Payment_Log_AP!A561</f>
        <v>PAY40560</v>
      </c>
      <c r="B564" s="16" t="str">
        <f aca="false">Payment_Log_AP!C561</f>
        <v>V1036</v>
      </c>
      <c r="C564" s="16" t="str">
        <f aca="false">Payment_Log_AP!B561</f>
        <v>INV30660</v>
      </c>
      <c r="D564" s="17" t="n">
        <f aca="false">Payment_Log_AP!D561</f>
        <v>46185</v>
      </c>
      <c r="E564" s="18" t="n">
        <f aca="false">Payment_Log_AP!E561</f>
        <v>11648.06</v>
      </c>
      <c r="F564" s="17" t="n">
        <f aca="false">IFERROR(INDEX(Vendor_Invoices_AP!$D$2:$D$882,MATCH(C564,Vendor_Invoices_AP!$A$2:$A$882,0)),"")</f>
        <v>46162</v>
      </c>
      <c r="G564" s="16" t="n">
        <f aca="false">IF(F564="","",D564-F564)</f>
        <v>23</v>
      </c>
      <c r="H564" s="21" t="n">
        <f aca="false">IF(F564="","",DATE(YEAR(D564),MONTH(D564),1))</f>
        <v>46174</v>
      </c>
    </row>
    <row r="565" customFormat="false" ht="15" hidden="false" customHeight="false" outlineLevel="0" collapsed="false">
      <c r="A565" s="16" t="str">
        <f aca="false">Payment_Log_AP!A562</f>
        <v>PAY40561</v>
      </c>
      <c r="B565" s="16" t="str">
        <f aca="false">Payment_Log_AP!C562</f>
        <v>V1012</v>
      </c>
      <c r="C565" s="16" t="str">
        <f aca="false">Payment_Log_AP!B562</f>
        <v>INV30661</v>
      </c>
      <c r="D565" s="17" t="n">
        <f aca="false">Payment_Log_AP!D562</f>
        <v>45846</v>
      </c>
      <c r="E565" s="18" t="n">
        <f aca="false">Payment_Log_AP!E562</f>
        <v>12577.05</v>
      </c>
      <c r="F565" s="17" t="n">
        <f aca="false">IFERROR(INDEX(Vendor_Invoices_AP!$D$2:$D$882,MATCH(C565,Vendor_Invoices_AP!$A$2:$A$882,0)),"")</f>
        <v>45834</v>
      </c>
      <c r="G565" s="16" t="n">
        <f aca="false">IF(F565="","",D565-F565)</f>
        <v>12</v>
      </c>
      <c r="H565" s="21" t="n">
        <f aca="false">IF(F565="","",DATE(YEAR(D565),MONTH(D565),1))</f>
        <v>45839</v>
      </c>
    </row>
    <row r="566" customFormat="false" ht="15" hidden="false" customHeight="false" outlineLevel="0" collapsed="false">
      <c r="A566" s="16" t="str">
        <f aca="false">Payment_Log_AP!A563</f>
        <v>PAY40562</v>
      </c>
      <c r="B566" s="16" t="str">
        <f aca="false">Payment_Log_AP!C563</f>
        <v>V1012</v>
      </c>
      <c r="C566" s="16" t="str">
        <f aca="false">Payment_Log_AP!B563</f>
        <v>INV30661</v>
      </c>
      <c r="D566" s="17" t="n">
        <f aca="false">Payment_Log_AP!D563</f>
        <v>45852</v>
      </c>
      <c r="E566" s="18" t="n">
        <f aca="false">Payment_Log_AP!E563</f>
        <v>12577.05</v>
      </c>
      <c r="F566" s="17" t="n">
        <f aca="false">IFERROR(INDEX(Vendor_Invoices_AP!$D$2:$D$882,MATCH(C566,Vendor_Invoices_AP!$A$2:$A$882,0)),"")</f>
        <v>45834</v>
      </c>
      <c r="G566" s="16" t="n">
        <f aca="false">IF(F566="","",D566-F566)</f>
        <v>18</v>
      </c>
      <c r="H566" s="21" t="n">
        <f aca="false">IF(F566="","",DATE(YEAR(D566),MONTH(D566),1))</f>
        <v>45839</v>
      </c>
    </row>
    <row r="567" customFormat="false" ht="15" hidden="false" customHeight="false" outlineLevel="0" collapsed="false">
      <c r="A567" s="16" t="str">
        <f aca="false">Payment_Log_AP!A564</f>
        <v>PAY40563</v>
      </c>
      <c r="B567" s="16" t="str">
        <f aca="false">Payment_Log_AP!C564</f>
        <v>V1010</v>
      </c>
      <c r="C567" s="16" t="str">
        <f aca="false">Payment_Log_AP!B564</f>
        <v>INV30662</v>
      </c>
      <c r="D567" s="17" t="n">
        <f aca="false">Payment_Log_AP!D564</f>
        <v>45910</v>
      </c>
      <c r="E567" s="18" t="n">
        <f aca="false">Payment_Log_AP!E564</f>
        <v>1362.33</v>
      </c>
      <c r="F567" s="17" t="n">
        <f aca="false">IFERROR(INDEX(Vendor_Invoices_AP!$D$2:$D$882,MATCH(C567,Vendor_Invoices_AP!$A$2:$A$882,0)),"")</f>
        <v>45892</v>
      </c>
      <c r="G567" s="16" t="n">
        <f aca="false">IF(F567="","",D567-F567)</f>
        <v>18</v>
      </c>
      <c r="H567" s="21" t="n">
        <f aca="false">IF(F567="","",DATE(YEAR(D567),MONTH(D567),1))</f>
        <v>45901</v>
      </c>
    </row>
    <row r="568" customFormat="false" ht="15" hidden="false" customHeight="false" outlineLevel="0" collapsed="false">
      <c r="A568" s="16" t="str">
        <f aca="false">Payment_Log_AP!A565</f>
        <v>PAY40564</v>
      </c>
      <c r="B568" s="16" t="str">
        <f aca="false">Payment_Log_AP!C565</f>
        <v>V1034</v>
      </c>
      <c r="C568" s="16" t="str">
        <f aca="false">Payment_Log_AP!B565</f>
        <v>INV30663</v>
      </c>
      <c r="D568" s="17" t="n">
        <f aca="false">Payment_Log_AP!D565</f>
        <v>45775</v>
      </c>
      <c r="E568" s="18" t="n">
        <f aca="false">Payment_Log_AP!E565</f>
        <v>2061.29</v>
      </c>
      <c r="F568" s="17" t="n">
        <f aca="false">IFERROR(INDEX(Vendor_Invoices_AP!$D$2:$D$882,MATCH(C568,Vendor_Invoices_AP!$A$2:$A$882,0)),"")</f>
        <v>45743</v>
      </c>
      <c r="G568" s="16" t="n">
        <f aca="false">IF(F568="","",D568-F568)</f>
        <v>32</v>
      </c>
      <c r="H568" s="21" t="n">
        <f aca="false">IF(F568="","",DATE(YEAR(D568),MONTH(D568),1))</f>
        <v>45748</v>
      </c>
    </row>
    <row r="569" customFormat="false" ht="15" hidden="false" customHeight="false" outlineLevel="0" collapsed="false">
      <c r="A569" s="16" t="str">
        <f aca="false">Payment_Log_AP!A566</f>
        <v>PAY40565</v>
      </c>
      <c r="B569" s="16" t="str">
        <f aca="false">Payment_Log_AP!C566</f>
        <v>V1002</v>
      </c>
      <c r="C569" s="16" t="str">
        <f aca="false">Payment_Log_AP!B566</f>
        <v>INV30664</v>
      </c>
      <c r="D569" s="17" t="n">
        <f aca="false">Payment_Log_AP!D566</f>
        <v>46182</v>
      </c>
      <c r="E569" s="18" t="n">
        <f aca="false">Payment_Log_AP!E566</f>
        <v>1760.94</v>
      </c>
      <c r="F569" s="17" t="n">
        <f aca="false">IFERROR(INDEX(Vendor_Invoices_AP!$D$2:$D$882,MATCH(C569,Vendor_Invoices_AP!$A$2:$A$882,0)),"")</f>
        <v>46181</v>
      </c>
      <c r="G569" s="16" t="n">
        <f aca="false">IF(F569="","",D569-F569)</f>
        <v>1</v>
      </c>
      <c r="H569" s="21" t="n">
        <f aca="false">IF(F569="","",DATE(YEAR(D569),MONTH(D569),1))</f>
        <v>46174</v>
      </c>
    </row>
    <row r="570" customFormat="false" ht="15" hidden="false" customHeight="false" outlineLevel="0" collapsed="false">
      <c r="A570" s="16" t="str">
        <f aca="false">Payment_Log_AP!A567</f>
        <v>PAY40566</v>
      </c>
      <c r="B570" s="16" t="str">
        <f aca="false">Payment_Log_AP!C567</f>
        <v>V1009</v>
      </c>
      <c r="C570" s="16" t="str">
        <f aca="false">Payment_Log_AP!B567</f>
        <v>INV30665</v>
      </c>
      <c r="D570" s="17" t="n">
        <f aca="false">Payment_Log_AP!D567</f>
        <v>45864</v>
      </c>
      <c r="E570" s="18" t="n">
        <f aca="false">Payment_Log_AP!E567</f>
        <v>4559.69</v>
      </c>
      <c r="F570" s="17" t="n">
        <f aca="false">IFERROR(INDEX(Vendor_Invoices_AP!$D$2:$D$882,MATCH(C570,Vendor_Invoices_AP!$A$2:$A$882,0)),"")</f>
        <v>45840</v>
      </c>
      <c r="G570" s="16" t="n">
        <f aca="false">IF(F570="","",D570-F570)</f>
        <v>24</v>
      </c>
      <c r="H570" s="21" t="n">
        <f aca="false">IF(F570="","",DATE(YEAR(D570),MONTH(D570),1))</f>
        <v>45839</v>
      </c>
    </row>
    <row r="571" customFormat="false" ht="15" hidden="false" customHeight="false" outlineLevel="0" collapsed="false">
      <c r="A571" s="16" t="str">
        <f aca="false">Payment_Log_AP!A568</f>
        <v>PAY40567</v>
      </c>
      <c r="B571" s="16" t="str">
        <f aca="false">Payment_Log_AP!C568</f>
        <v>V1032</v>
      </c>
      <c r="C571" s="16" t="str">
        <f aca="false">Payment_Log_AP!B568</f>
        <v>INV30666</v>
      </c>
      <c r="D571" s="17" t="n">
        <f aca="false">Payment_Log_AP!D568</f>
        <v>45966</v>
      </c>
      <c r="E571" s="18" t="n">
        <f aca="false">Payment_Log_AP!E568</f>
        <v>285.04</v>
      </c>
      <c r="F571" s="17" t="n">
        <f aca="false">IFERROR(INDEX(Vendor_Invoices_AP!$D$2:$D$882,MATCH(C571,Vendor_Invoices_AP!$A$2:$A$882,0)),"")</f>
        <v>45941</v>
      </c>
      <c r="G571" s="16" t="n">
        <f aca="false">IF(F571="","",D571-F571)</f>
        <v>25</v>
      </c>
      <c r="H571" s="21" t="n">
        <f aca="false">IF(F571="","",DATE(YEAR(D571),MONTH(D571),1))</f>
        <v>45962</v>
      </c>
    </row>
    <row r="572" customFormat="false" ht="15" hidden="false" customHeight="false" outlineLevel="0" collapsed="false">
      <c r="A572" s="16" t="str">
        <f aca="false">Payment_Log_AP!A569</f>
        <v>PAY40568</v>
      </c>
      <c r="B572" s="16" t="str">
        <f aca="false">Payment_Log_AP!C569</f>
        <v>V1028</v>
      </c>
      <c r="C572" s="16" t="str">
        <f aca="false">Payment_Log_AP!B569</f>
        <v>INV30667</v>
      </c>
      <c r="D572" s="17" t="n">
        <f aca="false">Payment_Log_AP!D569</f>
        <v>45734</v>
      </c>
      <c r="E572" s="18" t="n">
        <f aca="false">Payment_Log_AP!E569</f>
        <v>2954.28</v>
      </c>
      <c r="F572" s="17" t="n">
        <f aca="false">IFERROR(INDEX(Vendor_Invoices_AP!$D$2:$D$882,MATCH(C572,Vendor_Invoices_AP!$A$2:$A$882,0)),"")</f>
        <v>45726</v>
      </c>
      <c r="G572" s="16" t="n">
        <f aca="false">IF(F572="","",D572-F572)</f>
        <v>8</v>
      </c>
      <c r="H572" s="21" t="n">
        <f aca="false">IF(F572="","",DATE(YEAR(D572),MONTH(D572),1))</f>
        <v>45717</v>
      </c>
    </row>
    <row r="573" customFormat="false" ht="15" hidden="false" customHeight="false" outlineLevel="0" collapsed="false">
      <c r="A573" s="16" t="str">
        <f aca="false">Payment_Log_AP!A570</f>
        <v>PAY40569</v>
      </c>
      <c r="B573" s="16" t="str">
        <f aca="false">Payment_Log_AP!C570</f>
        <v>V1028</v>
      </c>
      <c r="C573" s="16" t="str">
        <f aca="false">Payment_Log_AP!B570</f>
        <v>INV30669</v>
      </c>
      <c r="D573" s="17" t="n">
        <f aca="false">Payment_Log_AP!D570</f>
        <v>45754</v>
      </c>
      <c r="E573" s="18" t="n">
        <f aca="false">Payment_Log_AP!E570</f>
        <v>603.77</v>
      </c>
      <c r="F573" s="17" t="n">
        <f aca="false">IFERROR(INDEX(Vendor_Invoices_AP!$D$2:$D$882,MATCH(C573,Vendor_Invoices_AP!$A$2:$A$882,0)),"")</f>
        <v>45741</v>
      </c>
      <c r="G573" s="16" t="n">
        <f aca="false">IF(F573="","",D573-F573)</f>
        <v>13</v>
      </c>
      <c r="H573" s="21" t="n">
        <f aca="false">IF(F573="","",DATE(YEAR(D573),MONTH(D573),1))</f>
        <v>45748</v>
      </c>
    </row>
    <row r="574" customFormat="false" ht="15" hidden="false" customHeight="false" outlineLevel="0" collapsed="false">
      <c r="A574" s="16" t="str">
        <f aca="false">Payment_Log_AP!A571</f>
        <v>PAY40570</v>
      </c>
      <c r="B574" s="16" t="str">
        <f aca="false">Payment_Log_AP!C571</f>
        <v>V1040</v>
      </c>
      <c r="C574" s="16" t="str">
        <f aca="false">Payment_Log_AP!B571</f>
        <v>INV30671</v>
      </c>
      <c r="D574" s="17" t="n">
        <f aca="false">Payment_Log_AP!D571</f>
        <v>46063</v>
      </c>
      <c r="E574" s="18" t="n">
        <f aca="false">Payment_Log_AP!E571</f>
        <v>767.92</v>
      </c>
      <c r="F574" s="17" t="n">
        <f aca="false">IFERROR(INDEX(Vendor_Invoices_AP!$D$2:$D$882,MATCH(C574,Vendor_Invoices_AP!$A$2:$A$882,0)),"")</f>
        <v>46028</v>
      </c>
      <c r="G574" s="16" t="n">
        <f aca="false">IF(F574="","",D574-F574)</f>
        <v>35</v>
      </c>
      <c r="H574" s="21" t="n">
        <f aca="false">IF(F574="","",DATE(YEAR(D574),MONTH(D574),1))</f>
        <v>46054</v>
      </c>
    </row>
    <row r="575" customFormat="false" ht="15" hidden="false" customHeight="false" outlineLevel="0" collapsed="false">
      <c r="A575" s="16" t="str">
        <f aca="false">Payment_Log_AP!A572</f>
        <v>PAY40571</v>
      </c>
      <c r="B575" s="16" t="str">
        <f aca="false">Payment_Log_AP!C572</f>
        <v>V1010</v>
      </c>
      <c r="C575" s="16" t="str">
        <f aca="false">Payment_Log_AP!B572</f>
        <v>INV30672</v>
      </c>
      <c r="D575" s="17" t="n">
        <f aca="false">Payment_Log_AP!D572</f>
        <v>46083</v>
      </c>
      <c r="E575" s="18" t="n">
        <f aca="false">Payment_Log_AP!E572</f>
        <v>2186.62</v>
      </c>
      <c r="F575" s="17" t="n">
        <f aca="false">IFERROR(INDEX(Vendor_Invoices_AP!$D$2:$D$882,MATCH(C575,Vendor_Invoices_AP!$A$2:$A$882,0)),"")</f>
        <v>46070</v>
      </c>
      <c r="G575" s="16" t="n">
        <f aca="false">IF(F575="","",D575-F575)</f>
        <v>13</v>
      </c>
      <c r="H575" s="21" t="n">
        <f aca="false">IF(F575="","",DATE(YEAR(D575),MONTH(D575),1))</f>
        <v>46082</v>
      </c>
    </row>
    <row r="576" customFormat="false" ht="15" hidden="false" customHeight="false" outlineLevel="0" collapsed="false">
      <c r="A576" s="16" t="str">
        <f aca="false">Payment_Log_AP!A573</f>
        <v>PAY40572</v>
      </c>
      <c r="B576" s="16" t="str">
        <f aca="false">Payment_Log_AP!C573</f>
        <v>V1022</v>
      </c>
      <c r="C576" s="16" t="str">
        <f aca="false">Payment_Log_AP!B573</f>
        <v>INV30673</v>
      </c>
      <c r="D576" s="17" t="n">
        <f aca="false">Payment_Log_AP!D573</f>
        <v>46201</v>
      </c>
      <c r="E576" s="18" t="n">
        <f aca="false">Payment_Log_AP!E573</f>
        <v>2778.4</v>
      </c>
      <c r="F576" s="17" t="n">
        <f aca="false">IFERROR(INDEX(Vendor_Invoices_AP!$D$2:$D$882,MATCH(C576,Vendor_Invoices_AP!$A$2:$A$882,0)),"")</f>
        <v>46184</v>
      </c>
      <c r="G576" s="16" t="n">
        <f aca="false">IF(F576="","",D576-F576)</f>
        <v>17</v>
      </c>
      <c r="H576" s="21" t="n">
        <f aca="false">IF(F576="","",DATE(YEAR(D576),MONTH(D576),1))</f>
        <v>46174</v>
      </c>
    </row>
    <row r="577" customFormat="false" ht="15" hidden="false" customHeight="false" outlineLevel="0" collapsed="false">
      <c r="A577" s="16" t="str">
        <f aca="false">Payment_Log_AP!A574</f>
        <v>PAY40573</v>
      </c>
      <c r="B577" s="16" t="str">
        <f aca="false">Payment_Log_AP!C574</f>
        <v>V1037</v>
      </c>
      <c r="C577" s="16" t="str">
        <f aca="false">Payment_Log_AP!B574</f>
        <v>INV30674</v>
      </c>
      <c r="D577" s="17" t="n">
        <f aca="false">Payment_Log_AP!D574</f>
        <v>45916</v>
      </c>
      <c r="E577" s="18" t="n">
        <f aca="false">Payment_Log_AP!E574</f>
        <v>989.27</v>
      </c>
      <c r="F577" s="17" t="n">
        <f aca="false">IFERROR(INDEX(Vendor_Invoices_AP!$D$2:$D$882,MATCH(C577,Vendor_Invoices_AP!$A$2:$A$882,0)),"")</f>
        <v>45908</v>
      </c>
      <c r="G577" s="16" t="n">
        <f aca="false">IF(F577="","",D577-F577)</f>
        <v>8</v>
      </c>
      <c r="H577" s="21" t="n">
        <f aca="false">IF(F577="","",DATE(YEAR(D577),MONTH(D577),1))</f>
        <v>45901</v>
      </c>
    </row>
    <row r="578" customFormat="false" ht="15" hidden="false" customHeight="false" outlineLevel="0" collapsed="false">
      <c r="A578" s="16" t="str">
        <f aca="false">Payment_Log_AP!A575</f>
        <v>PAY40574</v>
      </c>
      <c r="B578" s="16" t="str">
        <f aca="false">Payment_Log_AP!C575</f>
        <v>V1032</v>
      </c>
      <c r="C578" s="16" t="str">
        <f aca="false">Payment_Log_AP!B575</f>
        <v>INV30675</v>
      </c>
      <c r="D578" s="17" t="n">
        <f aca="false">Payment_Log_AP!D575</f>
        <v>46115</v>
      </c>
      <c r="E578" s="18" t="n">
        <f aca="false">Payment_Log_AP!E575</f>
        <v>1556.9</v>
      </c>
      <c r="F578" s="17" t="n">
        <f aca="false">IFERROR(INDEX(Vendor_Invoices_AP!$D$2:$D$882,MATCH(C578,Vendor_Invoices_AP!$A$2:$A$882,0)),"")</f>
        <v>46082</v>
      </c>
      <c r="G578" s="16" t="n">
        <f aca="false">IF(F578="","",D578-F578)</f>
        <v>33</v>
      </c>
      <c r="H578" s="21" t="n">
        <f aca="false">IF(F578="","",DATE(YEAR(D578),MONTH(D578),1))</f>
        <v>46113</v>
      </c>
    </row>
    <row r="579" customFormat="false" ht="15" hidden="false" customHeight="false" outlineLevel="0" collapsed="false">
      <c r="A579" s="16" t="str">
        <f aca="false">Payment_Log_AP!A576</f>
        <v>PAY40575</v>
      </c>
      <c r="B579" s="16" t="str">
        <f aca="false">Payment_Log_AP!C576</f>
        <v>V1011</v>
      </c>
      <c r="C579" s="16" t="str">
        <f aca="false">Payment_Log_AP!B576</f>
        <v>INV30676</v>
      </c>
      <c r="D579" s="17" t="n">
        <f aca="false">Payment_Log_AP!D576</f>
        <v>45755</v>
      </c>
      <c r="E579" s="18" t="n">
        <f aca="false">Payment_Log_AP!E576</f>
        <v>6662.15</v>
      </c>
      <c r="F579" s="17" t="n">
        <f aca="false">IFERROR(INDEX(Vendor_Invoices_AP!$D$2:$D$882,MATCH(C579,Vendor_Invoices_AP!$A$2:$A$882,0)),"")</f>
        <v>45746</v>
      </c>
      <c r="G579" s="16" t="n">
        <f aca="false">IF(F579="","",D579-F579)</f>
        <v>9</v>
      </c>
      <c r="H579" s="21" t="n">
        <f aca="false">IF(F579="","",DATE(YEAR(D579),MONTH(D579),1))</f>
        <v>45748</v>
      </c>
    </row>
    <row r="580" customFormat="false" ht="15" hidden="false" customHeight="false" outlineLevel="0" collapsed="false">
      <c r="A580" s="16" t="str">
        <f aca="false">Payment_Log_AP!A577</f>
        <v>PAY40576</v>
      </c>
      <c r="B580" s="16" t="str">
        <f aca="false">Payment_Log_AP!C577</f>
        <v>V1039</v>
      </c>
      <c r="C580" s="16" t="str">
        <f aca="false">Payment_Log_AP!B577</f>
        <v>INV30677</v>
      </c>
      <c r="D580" s="17" t="n">
        <f aca="false">Payment_Log_AP!D577</f>
        <v>45905</v>
      </c>
      <c r="E580" s="18" t="n">
        <f aca="false">Payment_Log_AP!E577</f>
        <v>5757.86</v>
      </c>
      <c r="F580" s="17" t="n">
        <f aca="false">IFERROR(INDEX(Vendor_Invoices_AP!$D$2:$D$882,MATCH(C580,Vendor_Invoices_AP!$A$2:$A$882,0)),"")</f>
        <v>45892</v>
      </c>
      <c r="G580" s="16" t="n">
        <f aca="false">IF(F580="","",D580-F580)</f>
        <v>13</v>
      </c>
      <c r="H580" s="21" t="n">
        <f aca="false">IF(F580="","",DATE(YEAR(D580),MONTH(D580),1))</f>
        <v>45901</v>
      </c>
    </row>
    <row r="581" customFormat="false" ht="15" hidden="false" customHeight="false" outlineLevel="0" collapsed="false">
      <c r="A581" s="16" t="str">
        <f aca="false">Payment_Log_AP!A578</f>
        <v>PAY40577</v>
      </c>
      <c r="B581" s="16" t="str">
        <f aca="false">Payment_Log_AP!C578</f>
        <v>V1030</v>
      </c>
      <c r="C581" s="16" t="str">
        <f aca="false">Payment_Log_AP!B578</f>
        <v>INV30678</v>
      </c>
      <c r="D581" s="17" t="n">
        <f aca="false">Payment_Log_AP!D578</f>
        <v>45754</v>
      </c>
      <c r="E581" s="18" t="n">
        <f aca="false">Payment_Log_AP!E578</f>
        <v>6869</v>
      </c>
      <c r="F581" s="17" t="n">
        <f aca="false">IFERROR(INDEX(Vendor_Invoices_AP!$D$2:$D$882,MATCH(C581,Vendor_Invoices_AP!$A$2:$A$882,0)),"")</f>
        <v>45721</v>
      </c>
      <c r="G581" s="16" t="n">
        <f aca="false">IF(F581="","",D581-F581)</f>
        <v>33</v>
      </c>
      <c r="H581" s="21" t="n">
        <f aca="false">IF(F581="","",DATE(YEAR(D581),MONTH(D581),1))</f>
        <v>45748</v>
      </c>
    </row>
    <row r="582" customFormat="false" ht="15" hidden="false" customHeight="false" outlineLevel="0" collapsed="false">
      <c r="A582" s="16" t="str">
        <f aca="false">Payment_Log_AP!A579</f>
        <v>PAY40578</v>
      </c>
      <c r="B582" s="16" t="str">
        <f aca="false">Payment_Log_AP!C579</f>
        <v>V1029</v>
      </c>
      <c r="C582" s="16" t="str">
        <f aca="false">Payment_Log_AP!B579</f>
        <v>INV30679</v>
      </c>
      <c r="D582" s="17" t="n">
        <f aca="false">Payment_Log_AP!D579</f>
        <v>45958</v>
      </c>
      <c r="E582" s="18" t="n">
        <f aca="false">Payment_Log_AP!E579</f>
        <v>228.89</v>
      </c>
      <c r="F582" s="17" t="n">
        <f aca="false">IFERROR(INDEX(Vendor_Invoices_AP!$D$2:$D$882,MATCH(C582,Vendor_Invoices_AP!$A$2:$A$882,0)),"")</f>
        <v>45933</v>
      </c>
      <c r="G582" s="16" t="n">
        <f aca="false">IF(F582="","",D582-F582)</f>
        <v>25</v>
      </c>
      <c r="H582" s="21" t="n">
        <f aca="false">IF(F582="","",DATE(YEAR(D582),MONTH(D582),1))</f>
        <v>45931</v>
      </c>
    </row>
    <row r="583" customFormat="false" ht="15" hidden="false" customHeight="false" outlineLevel="0" collapsed="false">
      <c r="A583" s="16" t="str">
        <f aca="false">Payment_Log_AP!A580</f>
        <v>PAY40579</v>
      </c>
      <c r="B583" s="16" t="str">
        <f aca="false">Payment_Log_AP!C580</f>
        <v>V1020</v>
      </c>
      <c r="C583" s="16" t="str">
        <f aca="false">Payment_Log_AP!B580</f>
        <v>INV30680</v>
      </c>
      <c r="D583" s="17" t="n">
        <f aca="false">Payment_Log_AP!D580</f>
        <v>45912</v>
      </c>
      <c r="E583" s="18" t="n">
        <f aca="false">Payment_Log_AP!E580</f>
        <v>887.06</v>
      </c>
      <c r="F583" s="17" t="n">
        <f aca="false">IFERROR(INDEX(Vendor_Invoices_AP!$D$2:$D$882,MATCH(C583,Vendor_Invoices_AP!$A$2:$A$882,0)),"")</f>
        <v>45900</v>
      </c>
      <c r="G583" s="16" t="n">
        <f aca="false">IF(F583="","",D583-F583)</f>
        <v>12</v>
      </c>
      <c r="H583" s="21" t="n">
        <f aca="false">IF(F583="","",DATE(YEAR(D583),MONTH(D583),1))</f>
        <v>45901</v>
      </c>
    </row>
    <row r="584" customFormat="false" ht="15" hidden="false" customHeight="false" outlineLevel="0" collapsed="false">
      <c r="A584" s="16" t="str">
        <f aca="false">Payment_Log_AP!A581</f>
        <v>PAY40580</v>
      </c>
      <c r="B584" s="16" t="str">
        <f aca="false">Payment_Log_AP!C581</f>
        <v>V1002</v>
      </c>
      <c r="C584" s="16" t="str">
        <f aca="false">Payment_Log_AP!B581</f>
        <v>INV30681</v>
      </c>
      <c r="D584" s="17" t="n">
        <f aca="false">Payment_Log_AP!D581</f>
        <v>46179</v>
      </c>
      <c r="E584" s="18" t="n">
        <f aca="false">Payment_Log_AP!E581</f>
        <v>2875.96</v>
      </c>
      <c r="F584" s="17" t="n">
        <f aca="false">IFERROR(INDEX(Vendor_Invoices_AP!$D$2:$D$882,MATCH(C584,Vendor_Invoices_AP!$A$2:$A$882,0)),"")</f>
        <v>46178</v>
      </c>
      <c r="G584" s="16" t="n">
        <f aca="false">IF(F584="","",D584-F584)</f>
        <v>1</v>
      </c>
      <c r="H584" s="21" t="n">
        <f aca="false">IF(F584="","",DATE(YEAR(D584),MONTH(D584),1))</f>
        <v>46174</v>
      </c>
    </row>
    <row r="585" customFormat="false" ht="15" hidden="false" customHeight="false" outlineLevel="0" collapsed="false">
      <c r="A585" s="16" t="str">
        <f aca="false">Payment_Log_AP!A582</f>
        <v>PAY40581</v>
      </c>
      <c r="B585" s="16" t="str">
        <f aca="false">Payment_Log_AP!C582</f>
        <v>V1004</v>
      </c>
      <c r="C585" s="16" t="str">
        <f aca="false">Payment_Log_AP!B582</f>
        <v>INV30682</v>
      </c>
      <c r="D585" s="17" t="n">
        <f aca="false">Payment_Log_AP!D582</f>
        <v>45709</v>
      </c>
      <c r="E585" s="18" t="n">
        <f aca="false">Payment_Log_AP!E582</f>
        <v>3337.25</v>
      </c>
      <c r="F585" s="17" t="n">
        <f aca="false">IFERROR(INDEX(Vendor_Invoices_AP!$D$2:$D$882,MATCH(C585,Vendor_Invoices_AP!$A$2:$A$882,0)),"")</f>
        <v>45692</v>
      </c>
      <c r="G585" s="16" t="n">
        <f aca="false">IF(F585="","",D585-F585)</f>
        <v>17</v>
      </c>
      <c r="H585" s="21" t="n">
        <f aca="false">IF(F585="","",DATE(YEAR(D585),MONTH(D585),1))</f>
        <v>45689</v>
      </c>
    </row>
    <row r="586" customFormat="false" ht="15" hidden="false" customHeight="false" outlineLevel="0" collapsed="false">
      <c r="A586" s="16" t="str">
        <f aca="false">Payment_Log_AP!A583</f>
        <v>PAY40582</v>
      </c>
      <c r="B586" s="16" t="str">
        <f aca="false">Payment_Log_AP!C583</f>
        <v>V1038</v>
      </c>
      <c r="C586" s="16" t="str">
        <f aca="false">Payment_Log_AP!B583</f>
        <v>INV30683</v>
      </c>
      <c r="D586" s="17" t="n">
        <f aca="false">Payment_Log_AP!D583</f>
        <v>45892</v>
      </c>
      <c r="E586" s="18" t="n">
        <f aca="false">Payment_Log_AP!E583</f>
        <v>3555.6</v>
      </c>
      <c r="F586" s="17" t="n">
        <f aca="false">IFERROR(INDEX(Vendor_Invoices_AP!$D$2:$D$882,MATCH(C586,Vendor_Invoices_AP!$A$2:$A$882,0)),"")</f>
        <v>45874</v>
      </c>
      <c r="G586" s="16" t="n">
        <f aca="false">IF(F586="","",D586-F586)</f>
        <v>18</v>
      </c>
      <c r="H586" s="21" t="n">
        <f aca="false">IF(F586="","",DATE(YEAR(D586),MONTH(D586),1))</f>
        <v>45870</v>
      </c>
    </row>
    <row r="587" customFormat="false" ht="15" hidden="false" customHeight="false" outlineLevel="0" collapsed="false">
      <c r="A587" s="16" t="str">
        <f aca="false">Payment_Log_AP!A584</f>
        <v>PAY40583</v>
      </c>
      <c r="B587" s="16" t="str">
        <f aca="false">Payment_Log_AP!C584</f>
        <v>V1012</v>
      </c>
      <c r="C587" s="16" t="str">
        <f aca="false">Payment_Log_AP!B584</f>
        <v>INV30684</v>
      </c>
      <c r="D587" s="17" t="n">
        <f aca="false">Payment_Log_AP!D584</f>
        <v>45939</v>
      </c>
      <c r="E587" s="18" t="n">
        <f aca="false">Payment_Log_AP!E584</f>
        <v>313.22</v>
      </c>
      <c r="F587" s="17" t="n">
        <f aca="false">IFERROR(INDEX(Vendor_Invoices_AP!$D$2:$D$882,MATCH(C587,Vendor_Invoices_AP!$A$2:$A$882,0)),"")</f>
        <v>45923</v>
      </c>
      <c r="G587" s="16" t="n">
        <f aca="false">IF(F587="","",D587-F587)</f>
        <v>16</v>
      </c>
      <c r="H587" s="21" t="n">
        <f aca="false">IF(F587="","",DATE(YEAR(D587),MONTH(D587),1))</f>
        <v>45931</v>
      </c>
    </row>
    <row r="588" customFormat="false" ht="15" hidden="false" customHeight="false" outlineLevel="0" collapsed="false">
      <c r="A588" s="16" t="str">
        <f aca="false">Payment_Log_AP!A585</f>
        <v>PAY40584</v>
      </c>
      <c r="B588" s="16" t="str">
        <f aca="false">Payment_Log_AP!C585</f>
        <v>V1001</v>
      </c>
      <c r="C588" s="16" t="str">
        <f aca="false">Payment_Log_AP!B585</f>
        <v>INV30685</v>
      </c>
      <c r="D588" s="17" t="n">
        <f aca="false">Payment_Log_AP!D585</f>
        <v>46203</v>
      </c>
      <c r="E588" s="18" t="n">
        <f aca="false">Payment_Log_AP!E585</f>
        <v>36063.86</v>
      </c>
      <c r="F588" s="17" t="n">
        <f aca="false">IFERROR(INDEX(Vendor_Invoices_AP!$D$2:$D$882,MATCH(C588,Vendor_Invoices_AP!$A$2:$A$882,0)),"")</f>
        <v>46185</v>
      </c>
      <c r="G588" s="16" t="n">
        <f aca="false">IF(F588="","",D588-F588)</f>
        <v>18</v>
      </c>
      <c r="H588" s="21" t="n">
        <f aca="false">IF(F588="","",DATE(YEAR(D588),MONTH(D588),1))</f>
        <v>46174</v>
      </c>
    </row>
    <row r="589" customFormat="false" ht="15" hidden="false" customHeight="false" outlineLevel="0" collapsed="false">
      <c r="A589" s="16" t="str">
        <f aca="false">Payment_Log_AP!A586</f>
        <v>PAY40585</v>
      </c>
      <c r="B589" s="16" t="str">
        <f aca="false">Payment_Log_AP!C586</f>
        <v>V1007</v>
      </c>
      <c r="C589" s="16" t="str">
        <f aca="false">Payment_Log_AP!B586</f>
        <v>INV30686</v>
      </c>
      <c r="D589" s="17" t="n">
        <f aca="false">Payment_Log_AP!D586</f>
        <v>46164</v>
      </c>
      <c r="E589" s="18" t="n">
        <f aca="false">Payment_Log_AP!E586</f>
        <v>1139.17</v>
      </c>
      <c r="F589" s="17" t="n">
        <f aca="false">IFERROR(INDEX(Vendor_Invoices_AP!$D$2:$D$882,MATCH(C589,Vendor_Invoices_AP!$A$2:$A$882,0)),"")</f>
        <v>46148</v>
      </c>
      <c r="G589" s="16" t="n">
        <f aca="false">IF(F589="","",D589-F589)</f>
        <v>16</v>
      </c>
      <c r="H589" s="21" t="n">
        <f aca="false">IF(F589="","",DATE(YEAR(D589),MONTH(D589),1))</f>
        <v>46143</v>
      </c>
    </row>
    <row r="590" customFormat="false" ht="15" hidden="false" customHeight="false" outlineLevel="0" collapsed="false">
      <c r="A590" s="16" t="str">
        <f aca="false">Payment_Log_AP!A587</f>
        <v>PAY40586</v>
      </c>
      <c r="B590" s="16" t="str">
        <f aca="false">Payment_Log_AP!C587</f>
        <v>V1025</v>
      </c>
      <c r="C590" s="16" t="str">
        <f aca="false">Payment_Log_AP!B587</f>
        <v>INV30687</v>
      </c>
      <c r="D590" s="17" t="n">
        <f aca="false">Payment_Log_AP!D587</f>
        <v>45741</v>
      </c>
      <c r="E590" s="18" t="n">
        <f aca="false">Payment_Log_AP!E587</f>
        <v>989.07</v>
      </c>
      <c r="F590" s="17" t="n">
        <f aca="false">IFERROR(INDEX(Vendor_Invoices_AP!$D$2:$D$882,MATCH(C590,Vendor_Invoices_AP!$A$2:$A$882,0)),"")</f>
        <v>45718</v>
      </c>
      <c r="G590" s="16" t="n">
        <f aca="false">IF(F590="","",D590-F590)</f>
        <v>23</v>
      </c>
      <c r="H590" s="21" t="n">
        <f aca="false">IF(F590="","",DATE(YEAR(D590),MONTH(D590),1))</f>
        <v>45717</v>
      </c>
    </row>
    <row r="591" customFormat="false" ht="15" hidden="false" customHeight="false" outlineLevel="0" collapsed="false">
      <c r="A591" s="16" t="str">
        <f aca="false">Payment_Log_AP!A588</f>
        <v>PAY40587</v>
      </c>
      <c r="B591" s="16" t="str">
        <f aca="false">Payment_Log_AP!C588</f>
        <v>V1032</v>
      </c>
      <c r="C591" s="16" t="str">
        <f aca="false">Payment_Log_AP!B588</f>
        <v>INV30689</v>
      </c>
      <c r="D591" s="17" t="n">
        <f aca="false">Payment_Log_AP!D588</f>
        <v>45987</v>
      </c>
      <c r="E591" s="18" t="n">
        <f aca="false">Payment_Log_AP!E588</f>
        <v>2408.69</v>
      </c>
      <c r="F591" s="17" t="n">
        <f aca="false">IFERROR(INDEX(Vendor_Invoices_AP!$D$2:$D$882,MATCH(C591,Vendor_Invoices_AP!$A$2:$A$882,0)),"")</f>
        <v>45970</v>
      </c>
      <c r="G591" s="16" t="n">
        <f aca="false">IF(F591="","",D591-F591)</f>
        <v>17</v>
      </c>
      <c r="H591" s="21" t="n">
        <f aca="false">IF(F591="","",DATE(YEAR(D591),MONTH(D591),1))</f>
        <v>45962</v>
      </c>
    </row>
    <row r="592" customFormat="false" ht="15" hidden="false" customHeight="false" outlineLevel="0" collapsed="false">
      <c r="A592" s="16" t="str">
        <f aca="false">Payment_Log_AP!A589</f>
        <v>PAY40588</v>
      </c>
      <c r="B592" s="16" t="str">
        <f aca="false">Payment_Log_AP!C589</f>
        <v>V1030</v>
      </c>
      <c r="C592" s="16" t="str">
        <f aca="false">Payment_Log_AP!B589</f>
        <v>INV30692</v>
      </c>
      <c r="D592" s="17" t="n">
        <f aca="false">Payment_Log_AP!D589</f>
        <v>45888</v>
      </c>
      <c r="E592" s="18" t="n">
        <f aca="false">Payment_Log_AP!E589</f>
        <v>526.61</v>
      </c>
      <c r="F592" s="17" t="n">
        <f aca="false">IFERROR(INDEX(Vendor_Invoices_AP!$D$2:$D$882,MATCH(C592,Vendor_Invoices_AP!$A$2:$A$882,0)),"")</f>
        <v>45887</v>
      </c>
      <c r="G592" s="16" t="n">
        <f aca="false">IF(F592="","",D592-F592)</f>
        <v>1</v>
      </c>
      <c r="H592" s="21" t="n">
        <f aca="false">IF(F592="","",DATE(YEAR(D592),MONTH(D592),1))</f>
        <v>45870</v>
      </c>
    </row>
    <row r="593" customFormat="false" ht="15" hidden="false" customHeight="false" outlineLevel="0" collapsed="false">
      <c r="A593" s="16" t="str">
        <f aca="false">Payment_Log_AP!A590</f>
        <v>PAY40589</v>
      </c>
      <c r="B593" s="16" t="str">
        <f aca="false">Payment_Log_AP!C590</f>
        <v>V1008</v>
      </c>
      <c r="C593" s="16" t="str">
        <f aca="false">Payment_Log_AP!B590</f>
        <v>INV30694</v>
      </c>
      <c r="D593" s="17" t="n">
        <f aca="false">Payment_Log_AP!D590</f>
        <v>45750</v>
      </c>
      <c r="E593" s="18" t="n">
        <f aca="false">Payment_Log_AP!E590</f>
        <v>3315.09</v>
      </c>
      <c r="F593" s="17" t="n">
        <f aca="false">IFERROR(INDEX(Vendor_Invoices_AP!$D$2:$D$882,MATCH(C593,Vendor_Invoices_AP!$A$2:$A$882,0)),"")</f>
        <v>45748</v>
      </c>
      <c r="G593" s="16" t="n">
        <f aca="false">IF(F593="","",D593-F593)</f>
        <v>2</v>
      </c>
      <c r="H593" s="21" t="n">
        <f aca="false">IF(F593="","",DATE(YEAR(D593),MONTH(D593),1))</f>
        <v>45748</v>
      </c>
    </row>
    <row r="594" customFormat="false" ht="15" hidden="false" customHeight="false" outlineLevel="0" collapsed="false">
      <c r="A594" s="16" t="str">
        <f aca="false">Payment_Log_AP!A591</f>
        <v>PAY40590</v>
      </c>
      <c r="B594" s="16" t="str">
        <f aca="false">Payment_Log_AP!C591</f>
        <v>V1009</v>
      </c>
      <c r="C594" s="16" t="str">
        <f aca="false">Payment_Log_AP!B591</f>
        <v>INV30695</v>
      </c>
      <c r="D594" s="17" t="n">
        <f aca="false">Payment_Log_AP!D591</f>
        <v>46152</v>
      </c>
      <c r="E594" s="18" t="n">
        <f aca="false">Payment_Log_AP!E591</f>
        <v>1645.78</v>
      </c>
      <c r="F594" s="17" t="n">
        <f aca="false">IFERROR(INDEX(Vendor_Invoices_AP!$D$2:$D$882,MATCH(C594,Vendor_Invoices_AP!$A$2:$A$882,0)),"")</f>
        <v>46135</v>
      </c>
      <c r="G594" s="16" t="n">
        <f aca="false">IF(F594="","",D594-F594)</f>
        <v>17</v>
      </c>
      <c r="H594" s="21" t="n">
        <f aca="false">IF(F594="","",DATE(YEAR(D594),MONTH(D594),1))</f>
        <v>46143</v>
      </c>
    </row>
    <row r="595" customFormat="false" ht="15" hidden="false" customHeight="false" outlineLevel="0" collapsed="false">
      <c r="A595" s="16" t="str">
        <f aca="false">Payment_Log_AP!A592</f>
        <v>PAY40591</v>
      </c>
      <c r="B595" s="16" t="str">
        <f aca="false">Payment_Log_AP!C592</f>
        <v>V1009</v>
      </c>
      <c r="C595" s="16" t="str">
        <f aca="false">Payment_Log_AP!B592</f>
        <v>INV30696</v>
      </c>
      <c r="D595" s="17" t="n">
        <f aca="false">Payment_Log_AP!D592</f>
        <v>46162</v>
      </c>
      <c r="E595" s="18" t="n">
        <f aca="false">Payment_Log_AP!E592</f>
        <v>1645.78</v>
      </c>
      <c r="F595" s="17" t="n">
        <f aca="false">IFERROR(INDEX(Vendor_Invoices_AP!$D$2:$D$882,MATCH(C595,Vendor_Invoices_AP!$A$2:$A$882,0)),"")</f>
        <v>46144</v>
      </c>
      <c r="G595" s="16" t="n">
        <f aca="false">IF(F595="","",D595-F595)</f>
        <v>18</v>
      </c>
      <c r="H595" s="21" t="n">
        <f aca="false">IF(F595="","",DATE(YEAR(D595),MONTH(D595),1))</f>
        <v>46143</v>
      </c>
    </row>
    <row r="596" customFormat="false" ht="15" hidden="false" customHeight="false" outlineLevel="0" collapsed="false">
      <c r="A596" s="16" t="str">
        <f aca="false">Payment_Log_AP!A593</f>
        <v>PAY40592</v>
      </c>
      <c r="B596" s="16" t="str">
        <f aca="false">Payment_Log_AP!C593</f>
        <v>V1009</v>
      </c>
      <c r="C596" s="16" t="str">
        <f aca="false">Payment_Log_AP!B593</f>
        <v>INV30697</v>
      </c>
      <c r="D596" s="17" t="n">
        <f aca="false">Payment_Log_AP!D593</f>
        <v>45939</v>
      </c>
      <c r="E596" s="18" t="n">
        <f aca="false">Payment_Log_AP!E593</f>
        <v>2048.02</v>
      </c>
      <c r="F596" s="17" t="n">
        <f aca="false">IFERROR(INDEX(Vendor_Invoices_AP!$D$2:$D$882,MATCH(C596,Vendor_Invoices_AP!$A$2:$A$882,0)),"")</f>
        <v>45913</v>
      </c>
      <c r="G596" s="16" t="n">
        <f aca="false">IF(F596="","",D596-F596)</f>
        <v>26</v>
      </c>
      <c r="H596" s="21" t="n">
        <f aca="false">IF(F596="","",DATE(YEAR(D596),MONTH(D596),1))</f>
        <v>45931</v>
      </c>
    </row>
    <row r="597" customFormat="false" ht="15" hidden="false" customHeight="false" outlineLevel="0" collapsed="false">
      <c r="A597" s="16" t="str">
        <f aca="false">Payment_Log_AP!A594</f>
        <v>PAY40593</v>
      </c>
      <c r="B597" s="16" t="str">
        <f aca="false">Payment_Log_AP!C594</f>
        <v>V1025</v>
      </c>
      <c r="C597" s="16" t="str">
        <f aca="false">Payment_Log_AP!B594</f>
        <v>INV30698</v>
      </c>
      <c r="D597" s="17" t="n">
        <f aca="false">Payment_Log_AP!D594</f>
        <v>46059</v>
      </c>
      <c r="E597" s="18" t="n">
        <f aca="false">Payment_Log_AP!E594</f>
        <v>1796.9</v>
      </c>
      <c r="F597" s="17" t="n">
        <f aca="false">IFERROR(INDEX(Vendor_Invoices_AP!$D$2:$D$882,MATCH(C597,Vendor_Invoices_AP!$A$2:$A$882,0)),"")</f>
        <v>46031</v>
      </c>
      <c r="G597" s="16" t="n">
        <f aca="false">IF(F597="","",D597-F597)</f>
        <v>28</v>
      </c>
      <c r="H597" s="21" t="n">
        <f aca="false">IF(F597="","",DATE(YEAR(D597),MONTH(D597),1))</f>
        <v>46054</v>
      </c>
    </row>
    <row r="598" customFormat="false" ht="15" hidden="false" customHeight="false" outlineLevel="0" collapsed="false">
      <c r="A598" s="16" t="str">
        <f aca="false">Payment_Log_AP!A595</f>
        <v>PAY40594</v>
      </c>
      <c r="B598" s="16" t="str">
        <f aca="false">Payment_Log_AP!C595</f>
        <v>V1012</v>
      </c>
      <c r="C598" s="16" t="str">
        <f aca="false">Payment_Log_AP!B595</f>
        <v>INV30699</v>
      </c>
      <c r="D598" s="17" t="n">
        <f aca="false">Payment_Log_AP!D595</f>
        <v>46062</v>
      </c>
      <c r="E598" s="18" t="n">
        <f aca="false">Payment_Log_AP!E595</f>
        <v>2764.38</v>
      </c>
      <c r="F598" s="17" t="n">
        <f aca="false">IFERROR(INDEX(Vendor_Invoices_AP!$D$2:$D$882,MATCH(C598,Vendor_Invoices_AP!$A$2:$A$882,0)),"")</f>
        <v>46030</v>
      </c>
      <c r="G598" s="16" t="n">
        <f aca="false">IF(F598="","",D598-F598)</f>
        <v>32</v>
      </c>
      <c r="H598" s="21" t="n">
        <f aca="false">IF(F598="","",DATE(YEAR(D598),MONTH(D598),1))</f>
        <v>46054</v>
      </c>
    </row>
    <row r="599" customFormat="false" ht="15" hidden="false" customHeight="false" outlineLevel="0" collapsed="false">
      <c r="A599" s="16" t="str">
        <f aca="false">Payment_Log_AP!A596</f>
        <v>PAY40595</v>
      </c>
      <c r="B599" s="16" t="str">
        <f aca="false">Payment_Log_AP!C596</f>
        <v>V1012</v>
      </c>
      <c r="C599" s="16" t="str">
        <f aca="false">Payment_Log_AP!B596</f>
        <v>INV30700</v>
      </c>
      <c r="D599" s="17" t="n">
        <f aca="false">Payment_Log_AP!D596</f>
        <v>46009</v>
      </c>
      <c r="E599" s="18" t="n">
        <f aca="false">Payment_Log_AP!E596</f>
        <v>3596.65</v>
      </c>
      <c r="F599" s="17" t="n">
        <f aca="false">IFERROR(INDEX(Vendor_Invoices_AP!$D$2:$D$882,MATCH(C599,Vendor_Invoices_AP!$A$2:$A$882,0)),"")</f>
        <v>45997</v>
      </c>
      <c r="G599" s="16" t="n">
        <f aca="false">IF(F599="","",D599-F599)</f>
        <v>12</v>
      </c>
      <c r="H599" s="21" t="n">
        <f aca="false">IF(F599="","",DATE(YEAR(D599),MONTH(D599),1))</f>
        <v>45992</v>
      </c>
    </row>
    <row r="600" customFormat="false" ht="15" hidden="false" customHeight="false" outlineLevel="0" collapsed="false">
      <c r="A600" s="16" t="str">
        <f aca="false">Payment_Log_AP!A597</f>
        <v>PAY40596</v>
      </c>
      <c r="B600" s="16" t="str">
        <f aca="false">Payment_Log_AP!C597</f>
        <v>V1039</v>
      </c>
      <c r="C600" s="16" t="str">
        <f aca="false">Payment_Log_AP!B597</f>
        <v>INV30702</v>
      </c>
      <c r="D600" s="17" t="n">
        <f aca="false">Payment_Log_AP!D597</f>
        <v>46129</v>
      </c>
      <c r="E600" s="18" t="n">
        <f aca="false">Payment_Log_AP!E597</f>
        <v>2397.02</v>
      </c>
      <c r="F600" s="17" t="n">
        <f aca="false">IFERROR(INDEX(Vendor_Invoices_AP!$D$2:$D$882,MATCH(C600,Vendor_Invoices_AP!$A$2:$A$882,0)),"")</f>
        <v>46110</v>
      </c>
      <c r="G600" s="16" t="n">
        <f aca="false">IF(F600="","",D600-F600)</f>
        <v>19</v>
      </c>
      <c r="H600" s="21" t="n">
        <f aca="false">IF(F600="","",DATE(YEAR(D600),MONTH(D600),1))</f>
        <v>46113</v>
      </c>
    </row>
    <row r="601" customFormat="false" ht="15" hidden="false" customHeight="false" outlineLevel="0" collapsed="false">
      <c r="A601" s="16" t="str">
        <f aca="false">Payment_Log_AP!A598</f>
        <v>PAY40597</v>
      </c>
      <c r="B601" s="16" t="str">
        <f aca="false">Payment_Log_AP!C598</f>
        <v>V1035</v>
      </c>
      <c r="C601" s="16" t="str">
        <f aca="false">Payment_Log_AP!B598</f>
        <v>INV30703</v>
      </c>
      <c r="D601" s="17" t="n">
        <f aca="false">Payment_Log_AP!D598</f>
        <v>45824</v>
      </c>
      <c r="E601" s="18" t="n">
        <f aca="false">Payment_Log_AP!E598</f>
        <v>15935.12</v>
      </c>
      <c r="F601" s="17" t="n">
        <f aca="false">IFERROR(INDEX(Vendor_Invoices_AP!$D$2:$D$882,MATCH(C601,Vendor_Invoices_AP!$A$2:$A$882,0)),"")</f>
        <v>45798</v>
      </c>
      <c r="G601" s="16" t="n">
        <f aca="false">IF(F601="","",D601-F601)</f>
        <v>26</v>
      </c>
      <c r="H601" s="21" t="n">
        <f aca="false">IF(F601="","",DATE(YEAR(D601),MONTH(D601),1))</f>
        <v>45809</v>
      </c>
    </row>
    <row r="602" customFormat="false" ht="15" hidden="false" customHeight="false" outlineLevel="0" collapsed="false">
      <c r="A602" s="16" t="str">
        <f aca="false">Payment_Log_AP!A599</f>
        <v>PAY40598</v>
      </c>
      <c r="B602" s="16" t="str">
        <f aca="false">Payment_Log_AP!C599</f>
        <v>V1028</v>
      </c>
      <c r="C602" s="16" t="str">
        <f aca="false">Payment_Log_AP!B599</f>
        <v>INV30704</v>
      </c>
      <c r="D602" s="17" t="n">
        <f aca="false">Payment_Log_AP!D599</f>
        <v>45761</v>
      </c>
      <c r="E602" s="18" t="n">
        <f aca="false">Payment_Log_AP!E599</f>
        <v>524.67</v>
      </c>
      <c r="F602" s="17" t="n">
        <f aca="false">IFERROR(INDEX(Vendor_Invoices_AP!$D$2:$D$882,MATCH(C602,Vendor_Invoices_AP!$A$2:$A$882,0)),"")</f>
        <v>45745</v>
      </c>
      <c r="G602" s="16" t="n">
        <f aca="false">IF(F602="","",D602-F602)</f>
        <v>16</v>
      </c>
      <c r="H602" s="21" t="n">
        <f aca="false">IF(F602="","",DATE(YEAR(D602),MONTH(D602),1))</f>
        <v>45748</v>
      </c>
    </row>
    <row r="603" customFormat="false" ht="15" hidden="false" customHeight="false" outlineLevel="0" collapsed="false">
      <c r="A603" s="16" t="str">
        <f aca="false">Payment_Log_AP!A600</f>
        <v>PAY40599</v>
      </c>
      <c r="B603" s="16" t="str">
        <f aca="false">Payment_Log_AP!C600</f>
        <v>V1040</v>
      </c>
      <c r="C603" s="16" t="str">
        <f aca="false">Payment_Log_AP!B600</f>
        <v>INV30706</v>
      </c>
      <c r="D603" s="17" t="n">
        <f aca="false">Payment_Log_AP!D600</f>
        <v>45754</v>
      </c>
      <c r="E603" s="18" t="n">
        <f aca="false">Payment_Log_AP!E600</f>
        <v>979.13</v>
      </c>
      <c r="F603" s="17" t="n">
        <f aca="false">IFERROR(INDEX(Vendor_Invoices_AP!$D$2:$D$882,MATCH(C603,Vendor_Invoices_AP!$A$2:$A$882,0)),"")</f>
        <v>45720</v>
      </c>
      <c r="G603" s="16" t="n">
        <f aca="false">IF(F603="","",D603-F603)</f>
        <v>34</v>
      </c>
      <c r="H603" s="21" t="n">
        <f aca="false">IF(F603="","",DATE(YEAR(D603),MONTH(D603),1))</f>
        <v>45748</v>
      </c>
    </row>
    <row r="604" customFormat="false" ht="15" hidden="false" customHeight="false" outlineLevel="0" collapsed="false">
      <c r="A604" s="16" t="str">
        <f aca="false">Payment_Log_AP!A601</f>
        <v>PAY40600</v>
      </c>
      <c r="B604" s="16" t="str">
        <f aca="false">Payment_Log_AP!C601</f>
        <v>V1006</v>
      </c>
      <c r="C604" s="16" t="str">
        <f aca="false">Payment_Log_AP!B601</f>
        <v>INV30707</v>
      </c>
      <c r="D604" s="17" t="n">
        <f aca="false">Payment_Log_AP!D601</f>
        <v>46092</v>
      </c>
      <c r="E604" s="18" t="n">
        <f aca="false">Payment_Log_AP!E601</f>
        <v>3602.11</v>
      </c>
      <c r="F604" s="17" t="n">
        <f aca="false">IFERROR(INDEX(Vendor_Invoices_AP!$D$2:$D$882,MATCH(C604,Vendor_Invoices_AP!$A$2:$A$882,0)),"")</f>
        <v>46085</v>
      </c>
      <c r="G604" s="16" t="n">
        <f aca="false">IF(F604="","",D604-F604)</f>
        <v>7</v>
      </c>
      <c r="H604" s="21" t="n">
        <f aca="false">IF(F604="","",DATE(YEAR(D604),MONTH(D604),1))</f>
        <v>46082</v>
      </c>
    </row>
    <row r="605" customFormat="false" ht="15" hidden="false" customHeight="false" outlineLevel="0" collapsed="false">
      <c r="A605" s="16" t="str">
        <f aca="false">Payment_Log_AP!A602</f>
        <v>PAY40601</v>
      </c>
      <c r="B605" s="16" t="str">
        <f aca="false">Payment_Log_AP!C602</f>
        <v>V1015</v>
      </c>
      <c r="C605" s="16" t="str">
        <f aca="false">Payment_Log_AP!B602</f>
        <v>INV30708</v>
      </c>
      <c r="D605" s="17" t="n">
        <f aca="false">Payment_Log_AP!D602</f>
        <v>45774</v>
      </c>
      <c r="E605" s="18" t="n">
        <f aca="false">Payment_Log_AP!E602</f>
        <v>579.61</v>
      </c>
      <c r="F605" s="17" t="n">
        <f aca="false">IFERROR(INDEX(Vendor_Invoices_AP!$D$2:$D$882,MATCH(C605,Vendor_Invoices_AP!$A$2:$A$882,0)),"")</f>
        <v>45773</v>
      </c>
      <c r="G605" s="16" t="n">
        <f aca="false">IF(F605="","",D605-F605)</f>
        <v>1</v>
      </c>
      <c r="H605" s="21" t="n">
        <f aca="false">IF(F605="","",DATE(YEAR(D605),MONTH(D605),1))</f>
        <v>45748</v>
      </c>
    </row>
    <row r="606" customFormat="false" ht="15" hidden="false" customHeight="false" outlineLevel="0" collapsed="false">
      <c r="A606" s="16" t="str">
        <f aca="false">Payment_Log_AP!A603</f>
        <v>PAY40602</v>
      </c>
      <c r="B606" s="16" t="str">
        <f aca="false">Payment_Log_AP!C603</f>
        <v>V1018</v>
      </c>
      <c r="C606" s="16" t="str">
        <f aca="false">Payment_Log_AP!B603</f>
        <v>INV30709</v>
      </c>
      <c r="D606" s="17" t="n">
        <f aca="false">Payment_Log_AP!D603</f>
        <v>45810</v>
      </c>
      <c r="E606" s="18" t="n">
        <f aca="false">Payment_Log_AP!E603</f>
        <v>2463.86</v>
      </c>
      <c r="F606" s="17" t="n">
        <f aca="false">IFERROR(INDEX(Vendor_Invoices_AP!$D$2:$D$882,MATCH(C606,Vendor_Invoices_AP!$A$2:$A$882,0)),"")</f>
        <v>45792</v>
      </c>
      <c r="G606" s="16" t="n">
        <f aca="false">IF(F606="","",D606-F606)</f>
        <v>18</v>
      </c>
      <c r="H606" s="21" t="n">
        <f aca="false">IF(F606="","",DATE(YEAR(D606),MONTH(D606),1))</f>
        <v>45809</v>
      </c>
    </row>
    <row r="607" customFormat="false" ht="15" hidden="false" customHeight="false" outlineLevel="0" collapsed="false">
      <c r="A607" s="16" t="str">
        <f aca="false">Payment_Log_AP!A604</f>
        <v>PAY40603</v>
      </c>
      <c r="B607" s="16" t="str">
        <f aca="false">Payment_Log_AP!C604</f>
        <v>V1020</v>
      </c>
      <c r="C607" s="16" t="str">
        <f aca="false">Payment_Log_AP!B604</f>
        <v>INV30710</v>
      </c>
      <c r="D607" s="17" t="n">
        <f aca="false">Payment_Log_AP!D604</f>
        <v>46149</v>
      </c>
      <c r="E607" s="18" t="n">
        <f aca="false">Payment_Log_AP!E604</f>
        <v>2741.68</v>
      </c>
      <c r="F607" s="17" t="n">
        <f aca="false">IFERROR(INDEX(Vendor_Invoices_AP!$D$2:$D$882,MATCH(C607,Vendor_Invoices_AP!$A$2:$A$882,0)),"")</f>
        <v>46148</v>
      </c>
      <c r="G607" s="16" t="n">
        <f aca="false">IF(F607="","",D607-F607)</f>
        <v>1</v>
      </c>
      <c r="H607" s="21" t="n">
        <f aca="false">IF(F607="","",DATE(YEAR(D607),MONTH(D607),1))</f>
        <v>46143</v>
      </c>
    </row>
    <row r="608" customFormat="false" ht="15" hidden="false" customHeight="false" outlineLevel="0" collapsed="false">
      <c r="A608" s="16" t="str">
        <f aca="false">Payment_Log_AP!A605</f>
        <v>PAY40604</v>
      </c>
      <c r="B608" s="16" t="str">
        <f aca="false">Payment_Log_AP!C605</f>
        <v>V1022</v>
      </c>
      <c r="C608" s="16" t="str">
        <f aca="false">Payment_Log_AP!B605</f>
        <v>INV30711</v>
      </c>
      <c r="D608" s="17" t="n">
        <f aca="false">Payment_Log_AP!D605</f>
        <v>45862</v>
      </c>
      <c r="E608" s="18" t="n">
        <f aca="false">Payment_Log_AP!E605</f>
        <v>683.18</v>
      </c>
      <c r="F608" s="17" t="n">
        <f aca="false">IFERROR(INDEX(Vendor_Invoices_AP!$D$2:$D$882,MATCH(C608,Vendor_Invoices_AP!$A$2:$A$882,0)),"")</f>
        <v>45856</v>
      </c>
      <c r="G608" s="16" t="n">
        <f aca="false">IF(F608="","",D608-F608)</f>
        <v>6</v>
      </c>
      <c r="H608" s="21" t="n">
        <f aca="false">IF(F608="","",DATE(YEAR(D608),MONTH(D608),1))</f>
        <v>45839</v>
      </c>
    </row>
    <row r="609" customFormat="false" ht="15" hidden="false" customHeight="false" outlineLevel="0" collapsed="false">
      <c r="A609" s="16" t="str">
        <f aca="false">Payment_Log_AP!A606</f>
        <v>PAY40605</v>
      </c>
      <c r="B609" s="16" t="str">
        <f aca="false">Payment_Log_AP!C606</f>
        <v>V1029</v>
      </c>
      <c r="C609" s="16" t="str">
        <f aca="false">Payment_Log_AP!B606</f>
        <v>INV30712</v>
      </c>
      <c r="D609" s="17" t="n">
        <f aca="false">Payment_Log_AP!D606</f>
        <v>45780</v>
      </c>
      <c r="E609" s="18" t="n">
        <f aca="false">Payment_Log_AP!E606</f>
        <v>1624.72</v>
      </c>
      <c r="F609" s="17" t="n">
        <f aca="false">IFERROR(INDEX(Vendor_Invoices_AP!$D$2:$D$882,MATCH(C609,Vendor_Invoices_AP!$A$2:$A$882,0)),"")</f>
        <v>45751</v>
      </c>
      <c r="G609" s="16" t="n">
        <f aca="false">IF(F609="","",D609-F609)</f>
        <v>29</v>
      </c>
      <c r="H609" s="21" t="n">
        <f aca="false">IF(F609="","",DATE(YEAR(D609),MONTH(D609),1))</f>
        <v>45778</v>
      </c>
    </row>
    <row r="610" customFormat="false" ht="15" hidden="false" customHeight="false" outlineLevel="0" collapsed="false">
      <c r="A610" s="16" t="str">
        <f aca="false">Payment_Log_AP!A607</f>
        <v>PAY40606</v>
      </c>
      <c r="B610" s="16" t="str">
        <f aca="false">Payment_Log_AP!C607</f>
        <v>V1018</v>
      </c>
      <c r="C610" s="16" t="str">
        <f aca="false">Payment_Log_AP!B607</f>
        <v>INV30713</v>
      </c>
      <c r="D610" s="17" t="n">
        <f aca="false">Payment_Log_AP!D607</f>
        <v>46168</v>
      </c>
      <c r="E610" s="18" t="n">
        <f aca="false">Payment_Log_AP!E607</f>
        <v>1846.75</v>
      </c>
      <c r="F610" s="17" t="n">
        <f aca="false">IFERROR(INDEX(Vendor_Invoices_AP!$D$2:$D$882,MATCH(C610,Vendor_Invoices_AP!$A$2:$A$882,0)),"")</f>
        <v>46152</v>
      </c>
      <c r="G610" s="16" t="n">
        <f aca="false">IF(F610="","",D610-F610)</f>
        <v>16</v>
      </c>
      <c r="H610" s="21" t="n">
        <f aca="false">IF(F610="","",DATE(YEAR(D610),MONTH(D610),1))</f>
        <v>46143</v>
      </c>
    </row>
    <row r="611" customFormat="false" ht="15" hidden="false" customHeight="false" outlineLevel="0" collapsed="false">
      <c r="A611" s="16" t="str">
        <f aca="false">Payment_Log_AP!A608</f>
        <v>PAY40607</v>
      </c>
      <c r="B611" s="16" t="str">
        <f aca="false">Payment_Log_AP!C608</f>
        <v>V1034</v>
      </c>
      <c r="C611" s="16" t="str">
        <f aca="false">Payment_Log_AP!B608</f>
        <v>INV30714</v>
      </c>
      <c r="D611" s="17" t="n">
        <f aca="false">Payment_Log_AP!D608</f>
        <v>45698</v>
      </c>
      <c r="E611" s="18" t="n">
        <f aca="false">Payment_Log_AP!E608</f>
        <v>1307.64</v>
      </c>
      <c r="F611" s="17" t="n">
        <f aca="false">IFERROR(INDEX(Vendor_Invoices_AP!$D$2:$D$882,MATCH(C611,Vendor_Invoices_AP!$A$2:$A$882,0)),"")</f>
        <v>45663</v>
      </c>
      <c r="G611" s="16" t="n">
        <f aca="false">IF(F611="","",D611-F611)</f>
        <v>35</v>
      </c>
      <c r="H611" s="21" t="n">
        <f aca="false">IF(F611="","",DATE(YEAR(D611),MONTH(D611),1))</f>
        <v>45689</v>
      </c>
    </row>
    <row r="612" customFormat="false" ht="15" hidden="false" customHeight="false" outlineLevel="0" collapsed="false">
      <c r="A612" s="16" t="str">
        <f aca="false">Payment_Log_AP!A609</f>
        <v>PAY40608</v>
      </c>
      <c r="B612" s="16" t="str">
        <f aca="false">Payment_Log_AP!C609</f>
        <v>V1033</v>
      </c>
      <c r="C612" s="16" t="str">
        <f aca="false">Payment_Log_AP!B609</f>
        <v>INV30715</v>
      </c>
      <c r="D612" s="17" t="n">
        <f aca="false">Payment_Log_AP!D609</f>
        <v>46171</v>
      </c>
      <c r="E612" s="18" t="n">
        <f aca="false">Payment_Log_AP!E609</f>
        <v>1035.87</v>
      </c>
      <c r="F612" s="17" t="n">
        <f aca="false">IFERROR(INDEX(Vendor_Invoices_AP!$D$2:$D$882,MATCH(C612,Vendor_Invoices_AP!$A$2:$A$882,0)),"")</f>
        <v>46136</v>
      </c>
      <c r="G612" s="16" t="n">
        <f aca="false">IF(F612="","",D612-F612)</f>
        <v>35</v>
      </c>
      <c r="H612" s="21" t="n">
        <f aca="false">IF(F612="","",DATE(YEAR(D612),MONTH(D612),1))</f>
        <v>46143</v>
      </c>
    </row>
    <row r="613" customFormat="false" ht="15" hidden="false" customHeight="false" outlineLevel="0" collapsed="false">
      <c r="A613" s="16" t="str">
        <f aca="false">Payment_Log_AP!A610</f>
        <v>PAY40609</v>
      </c>
      <c r="B613" s="16" t="str">
        <f aca="false">Payment_Log_AP!C610</f>
        <v>V1037</v>
      </c>
      <c r="C613" s="16" t="str">
        <f aca="false">Payment_Log_AP!B610</f>
        <v>INV30716</v>
      </c>
      <c r="D613" s="17" t="n">
        <f aca="false">Payment_Log_AP!D610</f>
        <v>45770</v>
      </c>
      <c r="E613" s="18" t="n">
        <f aca="false">Payment_Log_AP!E610</f>
        <v>7340.64</v>
      </c>
      <c r="F613" s="17" t="n">
        <f aca="false">IFERROR(INDEX(Vendor_Invoices_AP!$D$2:$D$882,MATCH(C613,Vendor_Invoices_AP!$A$2:$A$882,0)),"")</f>
        <v>45743</v>
      </c>
      <c r="G613" s="16" t="n">
        <f aca="false">IF(F613="","",D613-F613)</f>
        <v>27</v>
      </c>
      <c r="H613" s="21" t="n">
        <f aca="false">IF(F613="","",DATE(YEAR(D613),MONTH(D613),1))</f>
        <v>45748</v>
      </c>
    </row>
    <row r="614" customFormat="false" ht="15" hidden="false" customHeight="false" outlineLevel="0" collapsed="false">
      <c r="A614" s="16" t="str">
        <f aca="false">Payment_Log_AP!A611</f>
        <v>PAY40610</v>
      </c>
      <c r="B614" s="16" t="str">
        <f aca="false">Payment_Log_AP!C611</f>
        <v>V1037</v>
      </c>
      <c r="C614" s="16" t="str">
        <f aca="false">Payment_Log_AP!B611</f>
        <v>INV30716</v>
      </c>
      <c r="D614" s="17" t="n">
        <f aca="false">Payment_Log_AP!D611</f>
        <v>45774</v>
      </c>
      <c r="E614" s="18" t="n">
        <f aca="false">Payment_Log_AP!E611</f>
        <v>7340.64</v>
      </c>
      <c r="F614" s="17" t="n">
        <f aca="false">IFERROR(INDEX(Vendor_Invoices_AP!$D$2:$D$882,MATCH(C614,Vendor_Invoices_AP!$A$2:$A$882,0)),"")</f>
        <v>45743</v>
      </c>
      <c r="G614" s="16" t="n">
        <f aca="false">IF(F614="","",D614-F614)</f>
        <v>31</v>
      </c>
      <c r="H614" s="21" t="n">
        <f aca="false">IF(F614="","",DATE(YEAR(D614),MONTH(D614),1))</f>
        <v>45748</v>
      </c>
    </row>
    <row r="615" customFormat="false" ht="15" hidden="false" customHeight="false" outlineLevel="0" collapsed="false">
      <c r="A615" s="16" t="str">
        <f aca="false">Payment_Log_AP!A612</f>
        <v>PAY40611</v>
      </c>
      <c r="B615" s="16" t="str">
        <f aca="false">Payment_Log_AP!C612</f>
        <v>V1011</v>
      </c>
      <c r="C615" s="16" t="str">
        <f aca="false">Payment_Log_AP!B612</f>
        <v>INV30717</v>
      </c>
      <c r="D615" s="17" t="n">
        <f aca="false">Payment_Log_AP!D612</f>
        <v>45770</v>
      </c>
      <c r="E615" s="18" t="n">
        <f aca="false">Payment_Log_AP!E612</f>
        <v>957.43</v>
      </c>
      <c r="F615" s="17" t="n">
        <f aca="false">IFERROR(INDEX(Vendor_Invoices_AP!$D$2:$D$882,MATCH(C615,Vendor_Invoices_AP!$A$2:$A$882,0)),"")</f>
        <v>45745</v>
      </c>
      <c r="G615" s="16" t="n">
        <f aca="false">IF(F615="","",D615-F615)</f>
        <v>25</v>
      </c>
      <c r="H615" s="21" t="n">
        <f aca="false">IF(F615="","",DATE(YEAR(D615),MONTH(D615),1))</f>
        <v>45748</v>
      </c>
    </row>
    <row r="616" customFormat="false" ht="15" hidden="false" customHeight="false" outlineLevel="0" collapsed="false">
      <c r="A616" s="16" t="str">
        <f aca="false">Payment_Log_AP!A613</f>
        <v>PAY40612</v>
      </c>
      <c r="B616" s="16" t="str">
        <f aca="false">Payment_Log_AP!C613</f>
        <v>V1010</v>
      </c>
      <c r="C616" s="16" t="str">
        <f aca="false">Payment_Log_AP!B613</f>
        <v>INV30718</v>
      </c>
      <c r="D616" s="17" t="n">
        <f aca="false">Payment_Log_AP!D613</f>
        <v>45841</v>
      </c>
      <c r="E616" s="18" t="n">
        <f aca="false">Payment_Log_AP!E613</f>
        <v>2509.24</v>
      </c>
      <c r="F616" s="17" t="n">
        <f aca="false">IFERROR(INDEX(Vendor_Invoices_AP!$D$2:$D$882,MATCH(C616,Vendor_Invoices_AP!$A$2:$A$882,0)),"")</f>
        <v>45816</v>
      </c>
      <c r="G616" s="16" t="n">
        <f aca="false">IF(F616="","",D616-F616)</f>
        <v>25</v>
      </c>
      <c r="H616" s="21" t="n">
        <f aca="false">IF(F616="","",DATE(YEAR(D616),MONTH(D616),1))</f>
        <v>45839</v>
      </c>
    </row>
    <row r="617" customFormat="false" ht="15" hidden="false" customHeight="false" outlineLevel="0" collapsed="false">
      <c r="A617" s="16" t="str">
        <f aca="false">Payment_Log_AP!A614</f>
        <v>PAY40613</v>
      </c>
      <c r="B617" s="16" t="str">
        <f aca="false">Payment_Log_AP!C614</f>
        <v>V1039</v>
      </c>
      <c r="C617" s="16" t="str">
        <f aca="false">Payment_Log_AP!B614</f>
        <v>INV30720</v>
      </c>
      <c r="D617" s="17" t="n">
        <f aca="false">Payment_Log_AP!D614</f>
        <v>46062</v>
      </c>
      <c r="E617" s="18" t="n">
        <f aca="false">Payment_Log_AP!E614</f>
        <v>629.25</v>
      </c>
      <c r="F617" s="17" t="n">
        <f aca="false">IFERROR(INDEX(Vendor_Invoices_AP!$D$2:$D$882,MATCH(C617,Vendor_Invoices_AP!$A$2:$A$882,0)),"")</f>
        <v>46043</v>
      </c>
      <c r="G617" s="16" t="n">
        <f aca="false">IF(F617="","",D617-F617)</f>
        <v>19</v>
      </c>
      <c r="H617" s="21" t="n">
        <f aca="false">IF(F617="","",DATE(YEAR(D617),MONTH(D617),1))</f>
        <v>46054</v>
      </c>
    </row>
    <row r="618" customFormat="false" ht="15" hidden="false" customHeight="false" outlineLevel="0" collapsed="false">
      <c r="A618" s="16" t="str">
        <f aca="false">Payment_Log_AP!A615</f>
        <v>PAY40614</v>
      </c>
      <c r="B618" s="16" t="str">
        <f aca="false">Payment_Log_AP!C615</f>
        <v>V1029</v>
      </c>
      <c r="C618" s="16" t="str">
        <f aca="false">Payment_Log_AP!B615</f>
        <v>INV30721</v>
      </c>
      <c r="D618" s="17" t="n">
        <f aca="false">Payment_Log_AP!D615</f>
        <v>45700</v>
      </c>
      <c r="E618" s="18" t="n">
        <f aca="false">Payment_Log_AP!E615</f>
        <v>24756.78</v>
      </c>
      <c r="F618" s="17" t="n">
        <f aca="false">IFERROR(INDEX(Vendor_Invoices_AP!$D$2:$D$882,MATCH(C618,Vendor_Invoices_AP!$A$2:$A$882,0)),"")</f>
        <v>45676</v>
      </c>
      <c r="G618" s="16" t="n">
        <f aca="false">IF(F618="","",D618-F618)</f>
        <v>24</v>
      </c>
      <c r="H618" s="21" t="n">
        <f aca="false">IF(F618="","",DATE(YEAR(D618),MONTH(D618),1))</f>
        <v>45689</v>
      </c>
    </row>
    <row r="619" customFormat="false" ht="15" hidden="false" customHeight="false" outlineLevel="0" collapsed="false">
      <c r="A619" s="16" t="str">
        <f aca="false">Payment_Log_AP!A616</f>
        <v>PAY40615</v>
      </c>
      <c r="B619" s="16" t="str">
        <f aca="false">Payment_Log_AP!C616</f>
        <v>V1017</v>
      </c>
      <c r="C619" s="16" t="str">
        <f aca="false">Payment_Log_AP!B616</f>
        <v>INV30722</v>
      </c>
      <c r="D619" s="17" t="n">
        <f aca="false">Payment_Log_AP!D616</f>
        <v>45696</v>
      </c>
      <c r="E619" s="18" t="n">
        <f aca="false">Payment_Log_AP!E616</f>
        <v>2964.49</v>
      </c>
      <c r="F619" s="17" t="n">
        <f aca="false">IFERROR(INDEX(Vendor_Invoices_AP!$D$2:$D$882,MATCH(C619,Vendor_Invoices_AP!$A$2:$A$882,0)),"")</f>
        <v>45684</v>
      </c>
      <c r="G619" s="16" t="n">
        <f aca="false">IF(F619="","",D619-F619)</f>
        <v>12</v>
      </c>
      <c r="H619" s="21" t="n">
        <f aca="false">IF(F619="","",DATE(YEAR(D619),MONTH(D619),1))</f>
        <v>45689</v>
      </c>
    </row>
    <row r="620" customFormat="false" ht="15" hidden="false" customHeight="false" outlineLevel="0" collapsed="false">
      <c r="A620" s="16" t="str">
        <f aca="false">Payment_Log_AP!A617</f>
        <v>PAY40616</v>
      </c>
      <c r="B620" s="16" t="str">
        <f aca="false">Payment_Log_AP!C617</f>
        <v>V1010</v>
      </c>
      <c r="C620" s="16" t="str">
        <f aca="false">Payment_Log_AP!B617</f>
        <v>INV30723</v>
      </c>
      <c r="D620" s="17" t="n">
        <f aca="false">Payment_Log_AP!D617</f>
        <v>46128</v>
      </c>
      <c r="E620" s="18" t="n">
        <f aca="false">Payment_Log_AP!E617</f>
        <v>3993.23</v>
      </c>
      <c r="F620" s="17" t="n">
        <f aca="false">IFERROR(INDEX(Vendor_Invoices_AP!$D$2:$D$882,MATCH(C620,Vendor_Invoices_AP!$A$2:$A$882,0)),"")</f>
        <v>46100</v>
      </c>
      <c r="G620" s="16" t="n">
        <f aca="false">IF(F620="","",D620-F620)</f>
        <v>28</v>
      </c>
      <c r="H620" s="21" t="n">
        <f aca="false">IF(F620="","",DATE(YEAR(D620),MONTH(D620),1))</f>
        <v>46113</v>
      </c>
    </row>
    <row r="621" customFormat="false" ht="15" hidden="false" customHeight="false" outlineLevel="0" collapsed="false">
      <c r="A621" s="16" t="str">
        <f aca="false">Payment_Log_AP!A618</f>
        <v>PAY40617</v>
      </c>
      <c r="B621" s="16" t="str">
        <f aca="false">Payment_Log_AP!C618</f>
        <v>V1035</v>
      </c>
      <c r="C621" s="16" t="str">
        <f aca="false">Payment_Log_AP!B618</f>
        <v>INV30724</v>
      </c>
      <c r="D621" s="17" t="n">
        <f aca="false">Payment_Log_AP!D618</f>
        <v>45823</v>
      </c>
      <c r="E621" s="18" t="n">
        <f aca="false">Payment_Log_AP!E618</f>
        <v>1604.06</v>
      </c>
      <c r="F621" s="17" t="n">
        <f aca="false">IFERROR(INDEX(Vendor_Invoices_AP!$D$2:$D$882,MATCH(C621,Vendor_Invoices_AP!$A$2:$A$882,0)),"")</f>
        <v>45804</v>
      </c>
      <c r="G621" s="16" t="n">
        <f aca="false">IF(F621="","",D621-F621)</f>
        <v>19</v>
      </c>
      <c r="H621" s="21" t="n">
        <f aca="false">IF(F621="","",DATE(YEAR(D621),MONTH(D621),1))</f>
        <v>45809</v>
      </c>
    </row>
    <row r="622" customFormat="false" ht="15" hidden="false" customHeight="false" outlineLevel="0" collapsed="false">
      <c r="A622" s="16" t="str">
        <f aca="false">Payment_Log_AP!A619</f>
        <v>PAY40618</v>
      </c>
      <c r="B622" s="16" t="str">
        <f aca="false">Payment_Log_AP!C619</f>
        <v>V1039</v>
      </c>
      <c r="C622" s="16" t="str">
        <f aca="false">Payment_Log_AP!B619</f>
        <v>INV30725</v>
      </c>
      <c r="D622" s="17" t="n">
        <f aca="false">Payment_Log_AP!D619</f>
        <v>45885</v>
      </c>
      <c r="E622" s="18" t="n">
        <f aca="false">Payment_Log_AP!E619</f>
        <v>2211.07</v>
      </c>
      <c r="F622" s="17" t="n">
        <f aca="false">IFERROR(INDEX(Vendor_Invoices_AP!$D$2:$D$882,MATCH(C622,Vendor_Invoices_AP!$A$2:$A$882,0)),"")</f>
        <v>45853</v>
      </c>
      <c r="G622" s="16" t="n">
        <f aca="false">IF(F622="","",D622-F622)</f>
        <v>32</v>
      </c>
      <c r="H622" s="21" t="n">
        <f aca="false">IF(F622="","",DATE(YEAR(D622),MONTH(D622),1))</f>
        <v>45870</v>
      </c>
    </row>
    <row r="623" customFormat="false" ht="15" hidden="false" customHeight="false" outlineLevel="0" collapsed="false">
      <c r="A623" s="16" t="str">
        <f aca="false">Payment_Log_AP!A620</f>
        <v>PAY40619</v>
      </c>
      <c r="B623" s="16" t="str">
        <f aca="false">Payment_Log_AP!C620</f>
        <v>V1010</v>
      </c>
      <c r="C623" s="16" t="str">
        <f aca="false">Payment_Log_AP!B620</f>
        <v>INV30726</v>
      </c>
      <c r="D623" s="17" t="n">
        <f aca="false">Payment_Log_AP!D620</f>
        <v>45763</v>
      </c>
      <c r="E623" s="18" t="n">
        <f aca="false">Payment_Log_AP!E620</f>
        <v>1034.65</v>
      </c>
      <c r="F623" s="17" t="n">
        <f aca="false">IFERROR(INDEX(Vendor_Invoices_AP!$D$2:$D$882,MATCH(C623,Vendor_Invoices_AP!$A$2:$A$882,0)),"")</f>
        <v>45758</v>
      </c>
      <c r="G623" s="16" t="n">
        <f aca="false">IF(F623="","",D623-F623)</f>
        <v>5</v>
      </c>
      <c r="H623" s="21" t="n">
        <f aca="false">IF(F623="","",DATE(YEAR(D623),MONTH(D623),1))</f>
        <v>45748</v>
      </c>
    </row>
    <row r="624" customFormat="false" ht="15" hidden="false" customHeight="false" outlineLevel="0" collapsed="false">
      <c r="A624" s="16" t="str">
        <f aca="false">Payment_Log_AP!A621</f>
        <v>PAY40620</v>
      </c>
      <c r="B624" s="16" t="str">
        <f aca="false">Payment_Log_AP!C621</f>
        <v>V1032</v>
      </c>
      <c r="C624" s="16" t="str">
        <f aca="false">Payment_Log_AP!B621</f>
        <v>INV30728</v>
      </c>
      <c r="D624" s="17" t="n">
        <f aca="false">Payment_Log_AP!D621</f>
        <v>46083</v>
      </c>
      <c r="E624" s="18" t="n">
        <f aca="false">Payment_Log_AP!E621</f>
        <v>1848.76</v>
      </c>
      <c r="F624" s="17" t="n">
        <f aca="false">IFERROR(INDEX(Vendor_Invoices_AP!$D$2:$D$882,MATCH(C624,Vendor_Invoices_AP!$A$2:$A$882,0)),"")</f>
        <v>46073</v>
      </c>
      <c r="G624" s="16" t="n">
        <f aca="false">IF(F624="","",D624-F624)</f>
        <v>10</v>
      </c>
      <c r="H624" s="21" t="n">
        <f aca="false">IF(F624="","",DATE(YEAR(D624),MONTH(D624),1))</f>
        <v>46082</v>
      </c>
    </row>
    <row r="625" customFormat="false" ht="15" hidden="false" customHeight="false" outlineLevel="0" collapsed="false">
      <c r="A625" s="16" t="str">
        <f aca="false">Payment_Log_AP!A622</f>
        <v>PAY40621</v>
      </c>
      <c r="B625" s="16" t="str">
        <f aca="false">Payment_Log_AP!C622</f>
        <v>V1039</v>
      </c>
      <c r="C625" s="16" t="str">
        <f aca="false">Payment_Log_AP!B622</f>
        <v>INV30729</v>
      </c>
      <c r="D625" s="17" t="n">
        <f aca="false">Payment_Log_AP!D622</f>
        <v>45988</v>
      </c>
      <c r="E625" s="18" t="n">
        <f aca="false">Payment_Log_AP!E622</f>
        <v>2842.44</v>
      </c>
      <c r="F625" s="17" t="n">
        <f aca="false">IFERROR(INDEX(Vendor_Invoices_AP!$D$2:$D$882,MATCH(C625,Vendor_Invoices_AP!$A$2:$A$882,0)),"")</f>
        <v>45957</v>
      </c>
      <c r="G625" s="16" t="n">
        <f aca="false">IF(F625="","",D625-F625)</f>
        <v>31</v>
      </c>
      <c r="H625" s="21" t="n">
        <f aca="false">IF(F625="","",DATE(YEAR(D625),MONTH(D625),1))</f>
        <v>45962</v>
      </c>
    </row>
    <row r="626" customFormat="false" ht="15" hidden="false" customHeight="false" outlineLevel="0" collapsed="false">
      <c r="A626" s="16" t="str">
        <f aca="false">Payment_Log_AP!A623</f>
        <v>PAY40622</v>
      </c>
      <c r="B626" s="16" t="str">
        <f aca="false">Payment_Log_AP!C623</f>
        <v>V1018</v>
      </c>
      <c r="C626" s="16" t="str">
        <f aca="false">Payment_Log_AP!B623</f>
        <v>INV30730</v>
      </c>
      <c r="D626" s="17" t="n">
        <f aca="false">Payment_Log_AP!D623</f>
        <v>46103</v>
      </c>
      <c r="E626" s="18" t="n">
        <f aca="false">Payment_Log_AP!E623</f>
        <v>2826.44</v>
      </c>
      <c r="F626" s="17" t="n">
        <f aca="false">IFERROR(INDEX(Vendor_Invoices_AP!$D$2:$D$882,MATCH(C626,Vendor_Invoices_AP!$A$2:$A$882,0)),"")</f>
        <v>46085</v>
      </c>
      <c r="G626" s="16" t="n">
        <f aca="false">IF(F626="","",D626-F626)</f>
        <v>18</v>
      </c>
      <c r="H626" s="21" t="n">
        <f aca="false">IF(F626="","",DATE(YEAR(D626),MONTH(D626),1))</f>
        <v>46082</v>
      </c>
    </row>
    <row r="627" customFormat="false" ht="15" hidden="false" customHeight="false" outlineLevel="0" collapsed="false">
      <c r="A627" s="16" t="str">
        <f aca="false">Payment_Log_AP!A624</f>
        <v>PAY40623</v>
      </c>
      <c r="B627" s="16" t="str">
        <f aca="false">Payment_Log_AP!C624</f>
        <v>V1038</v>
      </c>
      <c r="C627" s="16" t="str">
        <f aca="false">Payment_Log_AP!B624</f>
        <v>INV30732</v>
      </c>
      <c r="D627" s="17" t="n">
        <f aca="false">Payment_Log_AP!D624</f>
        <v>46131</v>
      </c>
      <c r="E627" s="18" t="n">
        <f aca="false">Payment_Log_AP!E624</f>
        <v>4662.39</v>
      </c>
      <c r="F627" s="17" t="n">
        <f aca="false">IFERROR(INDEX(Vendor_Invoices_AP!$D$2:$D$882,MATCH(C627,Vendor_Invoices_AP!$A$2:$A$882,0)),"")</f>
        <v>46106</v>
      </c>
      <c r="G627" s="16" t="n">
        <f aca="false">IF(F627="","",D627-F627)</f>
        <v>25</v>
      </c>
      <c r="H627" s="21" t="n">
        <f aca="false">IF(F627="","",DATE(YEAR(D627),MONTH(D627),1))</f>
        <v>46113</v>
      </c>
    </row>
    <row r="628" customFormat="false" ht="15" hidden="false" customHeight="false" outlineLevel="0" collapsed="false">
      <c r="A628" s="16" t="str">
        <f aca="false">Payment_Log_AP!A625</f>
        <v>PAY40624</v>
      </c>
      <c r="B628" s="16" t="str">
        <f aca="false">Payment_Log_AP!C625</f>
        <v>V1040</v>
      </c>
      <c r="C628" s="16" t="str">
        <f aca="false">Payment_Log_AP!B625</f>
        <v>INV30733</v>
      </c>
      <c r="D628" s="17" t="n">
        <f aca="false">Payment_Log_AP!D625</f>
        <v>45970</v>
      </c>
      <c r="E628" s="18" t="n">
        <f aca="false">Payment_Log_AP!E625</f>
        <v>369.39</v>
      </c>
      <c r="F628" s="17" t="n">
        <f aca="false">IFERROR(INDEX(Vendor_Invoices_AP!$D$2:$D$882,MATCH(C628,Vendor_Invoices_AP!$A$2:$A$882,0)),"")</f>
        <v>45943</v>
      </c>
      <c r="G628" s="16" t="n">
        <f aca="false">IF(F628="","",D628-F628)</f>
        <v>27</v>
      </c>
      <c r="H628" s="21" t="n">
        <f aca="false">IF(F628="","",DATE(YEAR(D628),MONTH(D628),1))</f>
        <v>45962</v>
      </c>
    </row>
    <row r="629" customFormat="false" ht="15" hidden="false" customHeight="false" outlineLevel="0" collapsed="false">
      <c r="A629" s="16" t="str">
        <f aca="false">Payment_Log_AP!A626</f>
        <v>PAY40625</v>
      </c>
      <c r="B629" s="16" t="str">
        <f aca="false">Payment_Log_AP!C626</f>
        <v>V1030</v>
      </c>
      <c r="C629" s="16" t="str">
        <f aca="false">Payment_Log_AP!B626</f>
        <v>INV30737</v>
      </c>
      <c r="D629" s="17" t="n">
        <f aca="false">Payment_Log_AP!D626</f>
        <v>45719</v>
      </c>
      <c r="E629" s="18" t="n">
        <f aca="false">Payment_Log_AP!E626</f>
        <v>1081.06</v>
      </c>
      <c r="F629" s="17" t="n">
        <f aca="false">IFERROR(INDEX(Vendor_Invoices_AP!$D$2:$D$882,MATCH(C629,Vendor_Invoices_AP!$A$2:$A$882,0)),"")</f>
        <v>45687</v>
      </c>
      <c r="G629" s="16" t="n">
        <f aca="false">IF(F629="","",D629-F629)</f>
        <v>32</v>
      </c>
      <c r="H629" s="21" t="n">
        <f aca="false">IF(F629="","",DATE(YEAR(D629),MONTH(D629),1))</f>
        <v>45717</v>
      </c>
    </row>
    <row r="630" customFormat="false" ht="15" hidden="false" customHeight="false" outlineLevel="0" collapsed="false">
      <c r="A630" s="16" t="str">
        <f aca="false">Payment_Log_AP!A627</f>
        <v>PAY40626</v>
      </c>
      <c r="B630" s="16" t="str">
        <f aca="false">Payment_Log_AP!C627</f>
        <v>V1023</v>
      </c>
      <c r="C630" s="16" t="str">
        <f aca="false">Payment_Log_AP!B627</f>
        <v>INV30738</v>
      </c>
      <c r="D630" s="17" t="n">
        <f aca="false">Payment_Log_AP!D627</f>
        <v>46118</v>
      </c>
      <c r="E630" s="18" t="n">
        <f aca="false">Payment_Log_AP!E627</f>
        <v>199.69</v>
      </c>
      <c r="F630" s="17" t="n">
        <f aca="false">IFERROR(INDEX(Vendor_Invoices_AP!$D$2:$D$882,MATCH(C630,Vendor_Invoices_AP!$A$2:$A$882,0)),"")</f>
        <v>46091</v>
      </c>
      <c r="G630" s="16" t="n">
        <f aca="false">IF(F630="","",D630-F630)</f>
        <v>27</v>
      </c>
      <c r="H630" s="21" t="n">
        <f aca="false">IF(F630="","",DATE(YEAR(D630),MONTH(D630),1))</f>
        <v>46113</v>
      </c>
    </row>
    <row r="631" customFormat="false" ht="15" hidden="false" customHeight="false" outlineLevel="0" collapsed="false">
      <c r="A631" s="16" t="str">
        <f aca="false">Payment_Log_AP!A628</f>
        <v>PAY40627</v>
      </c>
      <c r="B631" s="16" t="str">
        <f aca="false">Payment_Log_AP!C628</f>
        <v>V1039</v>
      </c>
      <c r="C631" s="16" t="str">
        <f aca="false">Payment_Log_AP!B628</f>
        <v>INV30739</v>
      </c>
      <c r="D631" s="17" t="n">
        <f aca="false">Payment_Log_AP!D628</f>
        <v>46133</v>
      </c>
      <c r="E631" s="18" t="n">
        <f aca="false">Payment_Log_AP!E628</f>
        <v>1143.13</v>
      </c>
      <c r="F631" s="17" t="n">
        <f aca="false">IFERROR(INDEX(Vendor_Invoices_AP!$D$2:$D$882,MATCH(C631,Vendor_Invoices_AP!$A$2:$A$882,0)),"")</f>
        <v>46132</v>
      </c>
      <c r="G631" s="16" t="n">
        <f aca="false">IF(F631="","",D631-F631)</f>
        <v>1</v>
      </c>
      <c r="H631" s="21" t="n">
        <f aca="false">IF(F631="","",DATE(YEAR(D631),MONTH(D631),1))</f>
        <v>46113</v>
      </c>
    </row>
    <row r="632" customFormat="false" ht="15" hidden="false" customHeight="false" outlineLevel="0" collapsed="false">
      <c r="A632" s="16" t="str">
        <f aca="false">Payment_Log_AP!A629</f>
        <v>PAY40628</v>
      </c>
      <c r="B632" s="16" t="str">
        <f aca="false">Payment_Log_AP!C629</f>
        <v>V1033</v>
      </c>
      <c r="C632" s="16" t="str">
        <f aca="false">Payment_Log_AP!B629</f>
        <v>INV30740</v>
      </c>
      <c r="D632" s="17" t="n">
        <f aca="false">Payment_Log_AP!D629</f>
        <v>45979</v>
      </c>
      <c r="E632" s="18" t="n">
        <f aca="false">Payment_Log_AP!E629</f>
        <v>3047.46</v>
      </c>
      <c r="F632" s="17" t="n">
        <f aca="false">IFERROR(INDEX(Vendor_Invoices_AP!$D$2:$D$882,MATCH(C632,Vendor_Invoices_AP!$A$2:$A$882,0)),"")</f>
        <v>45948</v>
      </c>
      <c r="G632" s="16" t="n">
        <f aca="false">IF(F632="","",D632-F632)</f>
        <v>31</v>
      </c>
      <c r="H632" s="21" t="n">
        <f aca="false">IF(F632="","",DATE(YEAR(D632),MONTH(D632),1))</f>
        <v>45962</v>
      </c>
    </row>
    <row r="633" customFormat="false" ht="15" hidden="false" customHeight="false" outlineLevel="0" collapsed="false">
      <c r="A633" s="16" t="str">
        <f aca="false">Payment_Log_AP!A630</f>
        <v>PAY40629</v>
      </c>
      <c r="B633" s="16" t="str">
        <f aca="false">Payment_Log_AP!C630</f>
        <v>V1011</v>
      </c>
      <c r="C633" s="16" t="str">
        <f aca="false">Payment_Log_AP!B630</f>
        <v>INV30741</v>
      </c>
      <c r="D633" s="17" t="n">
        <f aca="false">Payment_Log_AP!D630</f>
        <v>45936</v>
      </c>
      <c r="E633" s="18" t="n">
        <f aca="false">Payment_Log_AP!E630</f>
        <v>2282.24</v>
      </c>
      <c r="F633" s="17" t="n">
        <f aca="false">IFERROR(INDEX(Vendor_Invoices_AP!$D$2:$D$882,MATCH(C633,Vendor_Invoices_AP!$A$2:$A$882,0)),"")</f>
        <v>45913</v>
      </c>
      <c r="G633" s="16" t="n">
        <f aca="false">IF(F633="","",D633-F633)</f>
        <v>23</v>
      </c>
      <c r="H633" s="21" t="n">
        <f aca="false">IF(F633="","",DATE(YEAR(D633),MONTH(D633),1))</f>
        <v>45931</v>
      </c>
    </row>
    <row r="634" customFormat="false" ht="15" hidden="false" customHeight="false" outlineLevel="0" collapsed="false">
      <c r="A634" s="16" t="str">
        <f aca="false">Payment_Log_AP!A631</f>
        <v>PAY40630</v>
      </c>
      <c r="B634" s="16" t="str">
        <f aca="false">Payment_Log_AP!C631</f>
        <v>V1008</v>
      </c>
      <c r="C634" s="16" t="str">
        <f aca="false">Payment_Log_AP!B631</f>
        <v>INV30742</v>
      </c>
      <c r="D634" s="17" t="n">
        <f aca="false">Payment_Log_AP!D631</f>
        <v>46204</v>
      </c>
      <c r="E634" s="18" t="n">
        <f aca="false">Payment_Log_AP!E631</f>
        <v>866.83</v>
      </c>
      <c r="F634" s="17" t="n">
        <f aca="false">IFERROR(INDEX(Vendor_Invoices_AP!$D$2:$D$882,MATCH(C634,Vendor_Invoices_AP!$A$2:$A$882,0)),"")</f>
        <v>46195</v>
      </c>
      <c r="G634" s="16" t="n">
        <f aca="false">IF(F634="","",D634-F634)</f>
        <v>9</v>
      </c>
      <c r="H634" s="21" t="n">
        <f aca="false">IF(F634="","",DATE(YEAR(D634),MONTH(D634),1))</f>
        <v>46204</v>
      </c>
    </row>
    <row r="635" customFormat="false" ht="15" hidden="false" customHeight="false" outlineLevel="0" collapsed="false">
      <c r="A635" s="16" t="str">
        <f aca="false">Payment_Log_AP!A632</f>
        <v>PAY40631</v>
      </c>
      <c r="B635" s="16" t="str">
        <f aca="false">Payment_Log_AP!C632</f>
        <v>V1021</v>
      </c>
      <c r="C635" s="16" t="str">
        <f aca="false">Payment_Log_AP!B632</f>
        <v>INV30743</v>
      </c>
      <c r="D635" s="17" t="n">
        <f aca="false">Payment_Log_AP!D632</f>
        <v>45729</v>
      </c>
      <c r="E635" s="18" t="n">
        <f aca="false">Payment_Log_AP!E632</f>
        <v>9584.39</v>
      </c>
      <c r="F635" s="17" t="n">
        <f aca="false">IFERROR(INDEX(Vendor_Invoices_AP!$D$2:$D$882,MATCH(C635,Vendor_Invoices_AP!$A$2:$A$882,0)),"")</f>
        <v>45702</v>
      </c>
      <c r="G635" s="16" t="n">
        <f aca="false">IF(F635="","",D635-F635)</f>
        <v>27</v>
      </c>
      <c r="H635" s="21" t="n">
        <f aca="false">IF(F635="","",DATE(YEAR(D635),MONTH(D635),1))</f>
        <v>45717</v>
      </c>
    </row>
    <row r="636" customFormat="false" ht="15" hidden="false" customHeight="false" outlineLevel="0" collapsed="false">
      <c r="A636" s="16" t="str">
        <f aca="false">Payment_Log_AP!A633</f>
        <v>PAY40632</v>
      </c>
      <c r="B636" s="16" t="str">
        <f aca="false">Payment_Log_AP!C633</f>
        <v>V1007</v>
      </c>
      <c r="C636" s="16" t="str">
        <f aca="false">Payment_Log_AP!B633</f>
        <v>INV30744</v>
      </c>
      <c r="D636" s="17" t="n">
        <f aca="false">Payment_Log_AP!D633</f>
        <v>45948</v>
      </c>
      <c r="E636" s="18" t="n">
        <f aca="false">Payment_Log_AP!E633</f>
        <v>1413.3</v>
      </c>
      <c r="F636" s="17" t="n">
        <f aca="false">IFERROR(INDEX(Vendor_Invoices_AP!$D$2:$D$882,MATCH(C636,Vendor_Invoices_AP!$A$2:$A$882,0)),"")</f>
        <v>45939</v>
      </c>
      <c r="G636" s="16" t="n">
        <f aca="false">IF(F636="","",D636-F636)</f>
        <v>9</v>
      </c>
      <c r="H636" s="21" t="n">
        <f aca="false">IF(F636="","",DATE(YEAR(D636),MONTH(D636),1))</f>
        <v>45931</v>
      </c>
    </row>
    <row r="637" customFormat="false" ht="15" hidden="false" customHeight="false" outlineLevel="0" collapsed="false">
      <c r="A637" s="16" t="str">
        <f aca="false">Payment_Log_AP!A634</f>
        <v>PAY40633</v>
      </c>
      <c r="B637" s="16" t="str">
        <f aca="false">Payment_Log_AP!C634</f>
        <v>V1035</v>
      </c>
      <c r="C637" s="16" t="str">
        <f aca="false">Payment_Log_AP!B634</f>
        <v>INV30745</v>
      </c>
      <c r="D637" s="17" t="n">
        <f aca="false">Payment_Log_AP!D634</f>
        <v>45926</v>
      </c>
      <c r="E637" s="18" t="n">
        <f aca="false">Payment_Log_AP!E634</f>
        <v>9255.12</v>
      </c>
      <c r="F637" s="17" t="n">
        <f aca="false">IFERROR(INDEX(Vendor_Invoices_AP!$D$2:$D$882,MATCH(C637,Vendor_Invoices_AP!$A$2:$A$882,0)),"")</f>
        <v>45901</v>
      </c>
      <c r="G637" s="16" t="n">
        <f aca="false">IF(F637="","",D637-F637)</f>
        <v>25</v>
      </c>
      <c r="H637" s="21" t="n">
        <f aca="false">IF(F637="","",DATE(YEAR(D637),MONTH(D637),1))</f>
        <v>45901</v>
      </c>
    </row>
    <row r="638" customFormat="false" ht="15" hidden="false" customHeight="false" outlineLevel="0" collapsed="false">
      <c r="A638" s="16" t="str">
        <f aca="false">Payment_Log_AP!A635</f>
        <v>PAY40634</v>
      </c>
      <c r="B638" s="16" t="str">
        <f aca="false">Payment_Log_AP!C635</f>
        <v>V1030</v>
      </c>
      <c r="C638" s="16" t="str">
        <f aca="false">Payment_Log_AP!B635</f>
        <v>INV30746</v>
      </c>
      <c r="D638" s="17" t="n">
        <f aca="false">Payment_Log_AP!D635</f>
        <v>46059</v>
      </c>
      <c r="E638" s="18" t="n">
        <f aca="false">Payment_Log_AP!E635</f>
        <v>363.94</v>
      </c>
      <c r="F638" s="17" t="n">
        <f aca="false">IFERROR(INDEX(Vendor_Invoices_AP!$D$2:$D$882,MATCH(C638,Vendor_Invoices_AP!$A$2:$A$882,0)),"")</f>
        <v>46055</v>
      </c>
      <c r="G638" s="16" t="n">
        <f aca="false">IF(F638="","",D638-F638)</f>
        <v>4</v>
      </c>
      <c r="H638" s="21" t="n">
        <f aca="false">IF(F638="","",DATE(YEAR(D638),MONTH(D638),1))</f>
        <v>46054</v>
      </c>
    </row>
    <row r="639" customFormat="false" ht="15" hidden="false" customHeight="false" outlineLevel="0" collapsed="false">
      <c r="A639" s="16" t="str">
        <f aca="false">Payment_Log_AP!A636</f>
        <v>PAY40635</v>
      </c>
      <c r="B639" s="16" t="str">
        <f aca="false">Payment_Log_AP!C636</f>
        <v>V1009</v>
      </c>
      <c r="C639" s="16" t="str">
        <f aca="false">Payment_Log_AP!B636</f>
        <v>INV30747</v>
      </c>
      <c r="D639" s="17" t="n">
        <f aca="false">Payment_Log_AP!D636</f>
        <v>45939</v>
      </c>
      <c r="E639" s="18" t="n">
        <f aca="false">Payment_Log_AP!E636</f>
        <v>12071.44</v>
      </c>
      <c r="F639" s="17" t="n">
        <f aca="false">IFERROR(INDEX(Vendor_Invoices_AP!$D$2:$D$882,MATCH(C639,Vendor_Invoices_AP!$A$2:$A$882,0)),"")</f>
        <v>45928</v>
      </c>
      <c r="G639" s="16" t="n">
        <f aca="false">IF(F639="","",D639-F639)</f>
        <v>11</v>
      </c>
      <c r="H639" s="21" t="n">
        <f aca="false">IF(F639="","",DATE(YEAR(D639),MONTH(D639),1))</f>
        <v>45931</v>
      </c>
    </row>
    <row r="640" customFormat="false" ht="15" hidden="false" customHeight="false" outlineLevel="0" collapsed="false">
      <c r="A640" s="16" t="str">
        <f aca="false">Payment_Log_AP!A637</f>
        <v>PAY40636</v>
      </c>
      <c r="B640" s="16" t="str">
        <f aca="false">Payment_Log_AP!C637</f>
        <v>V1006</v>
      </c>
      <c r="C640" s="16" t="str">
        <f aca="false">Payment_Log_AP!B637</f>
        <v>INV30748</v>
      </c>
      <c r="D640" s="17" t="n">
        <f aca="false">Payment_Log_AP!D637</f>
        <v>46180</v>
      </c>
      <c r="E640" s="18" t="n">
        <f aca="false">Payment_Log_AP!E637</f>
        <v>345.86</v>
      </c>
      <c r="F640" s="17" t="n">
        <f aca="false">IFERROR(INDEX(Vendor_Invoices_AP!$D$2:$D$882,MATCH(C640,Vendor_Invoices_AP!$A$2:$A$882,0)),"")</f>
        <v>46164</v>
      </c>
      <c r="G640" s="16" t="n">
        <f aca="false">IF(F640="","",D640-F640)</f>
        <v>16</v>
      </c>
      <c r="H640" s="21" t="n">
        <f aca="false">IF(F640="","",DATE(YEAR(D640),MONTH(D640),1))</f>
        <v>46174</v>
      </c>
    </row>
    <row r="641" customFormat="false" ht="15" hidden="false" customHeight="false" outlineLevel="0" collapsed="false">
      <c r="A641" s="16" t="str">
        <f aca="false">Payment_Log_AP!A638</f>
        <v>PAY40637</v>
      </c>
      <c r="B641" s="16" t="str">
        <f aca="false">Payment_Log_AP!C638</f>
        <v>V1006</v>
      </c>
      <c r="C641" s="16" t="str">
        <f aca="false">Payment_Log_AP!B638</f>
        <v>INV30748</v>
      </c>
      <c r="D641" s="17" t="n">
        <f aca="false">Payment_Log_AP!D638</f>
        <v>46187</v>
      </c>
      <c r="E641" s="18" t="n">
        <f aca="false">Payment_Log_AP!E638</f>
        <v>345.86</v>
      </c>
      <c r="F641" s="17" t="n">
        <f aca="false">IFERROR(INDEX(Vendor_Invoices_AP!$D$2:$D$882,MATCH(C641,Vendor_Invoices_AP!$A$2:$A$882,0)),"")</f>
        <v>46164</v>
      </c>
      <c r="G641" s="16" t="n">
        <f aca="false">IF(F641="","",D641-F641)</f>
        <v>23</v>
      </c>
      <c r="H641" s="21" t="n">
        <f aca="false">IF(F641="","",DATE(YEAR(D641),MONTH(D641),1))</f>
        <v>46174</v>
      </c>
    </row>
    <row r="642" customFormat="false" ht="15" hidden="false" customHeight="false" outlineLevel="0" collapsed="false">
      <c r="A642" s="16" t="str">
        <f aca="false">Payment_Log_AP!A639</f>
        <v>PAY40638</v>
      </c>
      <c r="B642" s="16" t="str">
        <f aca="false">Payment_Log_AP!C639</f>
        <v>V1039</v>
      </c>
      <c r="C642" s="16" t="str">
        <f aca="false">Payment_Log_AP!B639</f>
        <v>INV30749</v>
      </c>
      <c r="D642" s="17" t="n">
        <f aca="false">Payment_Log_AP!D639</f>
        <v>45742</v>
      </c>
      <c r="E642" s="18" t="n">
        <f aca="false">Payment_Log_AP!E639</f>
        <v>146.21</v>
      </c>
      <c r="F642" s="17" t="n">
        <f aca="false">IFERROR(INDEX(Vendor_Invoices_AP!$D$2:$D$882,MATCH(C642,Vendor_Invoices_AP!$A$2:$A$882,0)),"")</f>
        <v>45711</v>
      </c>
      <c r="G642" s="16" t="n">
        <f aca="false">IF(F642="","",D642-F642)</f>
        <v>31</v>
      </c>
      <c r="H642" s="21" t="n">
        <f aca="false">IF(F642="","",DATE(YEAR(D642),MONTH(D642),1))</f>
        <v>45717</v>
      </c>
    </row>
    <row r="643" customFormat="false" ht="15" hidden="false" customHeight="false" outlineLevel="0" collapsed="false">
      <c r="A643" s="16" t="str">
        <f aca="false">Payment_Log_AP!A640</f>
        <v>PAY40639</v>
      </c>
      <c r="B643" s="16" t="str">
        <f aca="false">Payment_Log_AP!C640</f>
        <v>V1015</v>
      </c>
      <c r="C643" s="16" t="str">
        <f aca="false">Payment_Log_AP!B640</f>
        <v>INV30750</v>
      </c>
      <c r="D643" s="17" t="n">
        <f aca="false">Payment_Log_AP!D640</f>
        <v>45744</v>
      </c>
      <c r="E643" s="18" t="n">
        <f aca="false">Payment_Log_AP!E640</f>
        <v>2671.57</v>
      </c>
      <c r="F643" s="17" t="n">
        <f aca="false">IFERROR(INDEX(Vendor_Invoices_AP!$D$2:$D$882,MATCH(C643,Vendor_Invoices_AP!$A$2:$A$882,0)),"")</f>
        <v>45724</v>
      </c>
      <c r="G643" s="16" t="n">
        <f aca="false">IF(F643="","",D643-F643)</f>
        <v>20</v>
      </c>
      <c r="H643" s="21" t="n">
        <f aca="false">IF(F643="","",DATE(YEAR(D643),MONTH(D643),1))</f>
        <v>45717</v>
      </c>
    </row>
    <row r="644" customFormat="false" ht="15" hidden="false" customHeight="false" outlineLevel="0" collapsed="false">
      <c r="A644" s="16" t="str">
        <f aca="false">Payment_Log_AP!A641</f>
        <v>PAY40640</v>
      </c>
      <c r="B644" s="16" t="str">
        <f aca="false">Payment_Log_AP!C641</f>
        <v>V1021</v>
      </c>
      <c r="C644" s="16" t="str">
        <f aca="false">Payment_Log_AP!B641</f>
        <v>INV30751</v>
      </c>
      <c r="D644" s="17" t="n">
        <f aca="false">Payment_Log_AP!D641</f>
        <v>46000</v>
      </c>
      <c r="E644" s="18" t="n">
        <f aca="false">Payment_Log_AP!E641</f>
        <v>1652.24</v>
      </c>
      <c r="F644" s="17" t="n">
        <f aca="false">IFERROR(INDEX(Vendor_Invoices_AP!$D$2:$D$882,MATCH(C644,Vendor_Invoices_AP!$A$2:$A$882,0)),"")</f>
        <v>45999</v>
      </c>
      <c r="G644" s="16" t="n">
        <f aca="false">IF(F644="","",D644-F644)</f>
        <v>1</v>
      </c>
      <c r="H644" s="21" t="n">
        <f aca="false">IF(F644="","",DATE(YEAR(D644),MONTH(D644),1))</f>
        <v>45992</v>
      </c>
    </row>
    <row r="645" customFormat="false" ht="15" hidden="false" customHeight="false" outlineLevel="0" collapsed="false">
      <c r="A645" s="16" t="str">
        <f aca="false">Payment_Log_AP!A642</f>
        <v>PAY40641</v>
      </c>
      <c r="B645" s="16" t="str">
        <f aca="false">Payment_Log_AP!C642</f>
        <v>V1006</v>
      </c>
      <c r="C645" s="16" t="str">
        <f aca="false">Payment_Log_AP!B642</f>
        <v>INV30752</v>
      </c>
      <c r="D645" s="17" t="n">
        <f aca="false">Payment_Log_AP!D642</f>
        <v>45712</v>
      </c>
      <c r="E645" s="18" t="n">
        <f aca="false">Payment_Log_AP!E642</f>
        <v>2766.5</v>
      </c>
      <c r="F645" s="17" t="n">
        <f aca="false">IFERROR(INDEX(Vendor_Invoices_AP!$D$2:$D$882,MATCH(C645,Vendor_Invoices_AP!$A$2:$A$882,0)),"")</f>
        <v>45709</v>
      </c>
      <c r="G645" s="16" t="n">
        <f aca="false">IF(F645="","",D645-F645)</f>
        <v>3</v>
      </c>
      <c r="H645" s="21" t="n">
        <f aca="false">IF(F645="","",DATE(YEAR(D645),MONTH(D645),1))</f>
        <v>45689</v>
      </c>
    </row>
    <row r="646" customFormat="false" ht="15" hidden="false" customHeight="false" outlineLevel="0" collapsed="false">
      <c r="A646" s="16" t="str">
        <f aca="false">Payment_Log_AP!A643</f>
        <v>PAY40642</v>
      </c>
      <c r="B646" s="16" t="str">
        <f aca="false">Payment_Log_AP!C643</f>
        <v>V1029</v>
      </c>
      <c r="C646" s="16" t="str">
        <f aca="false">Payment_Log_AP!B643</f>
        <v>INV30753</v>
      </c>
      <c r="D646" s="17" t="n">
        <f aca="false">Payment_Log_AP!D643</f>
        <v>45853</v>
      </c>
      <c r="E646" s="18" t="n">
        <f aca="false">Payment_Log_AP!E643</f>
        <v>5537.55</v>
      </c>
      <c r="F646" s="17" t="n">
        <f aca="false">IFERROR(INDEX(Vendor_Invoices_AP!$D$2:$D$882,MATCH(C646,Vendor_Invoices_AP!$A$2:$A$882,0)),"")</f>
        <v>45825</v>
      </c>
      <c r="G646" s="16" t="n">
        <f aca="false">IF(F646="","",D646-F646)</f>
        <v>28</v>
      </c>
      <c r="H646" s="21" t="n">
        <f aca="false">IF(F646="","",DATE(YEAR(D646),MONTH(D646),1))</f>
        <v>45839</v>
      </c>
    </row>
    <row r="647" customFormat="false" ht="15" hidden="false" customHeight="false" outlineLevel="0" collapsed="false">
      <c r="A647" s="16" t="str">
        <f aca="false">Payment_Log_AP!A644</f>
        <v>PAY40643</v>
      </c>
      <c r="B647" s="16" t="str">
        <f aca="false">Payment_Log_AP!C644</f>
        <v>V1031</v>
      </c>
      <c r="C647" s="16" t="str">
        <f aca="false">Payment_Log_AP!B644</f>
        <v>INV30754</v>
      </c>
      <c r="D647" s="17" t="n">
        <f aca="false">Payment_Log_AP!D644</f>
        <v>46057</v>
      </c>
      <c r="E647" s="18" t="n">
        <f aca="false">Payment_Log_AP!E644</f>
        <v>4823.29</v>
      </c>
      <c r="F647" s="17" t="n">
        <f aca="false">IFERROR(INDEX(Vendor_Invoices_AP!$D$2:$D$882,MATCH(C647,Vendor_Invoices_AP!$A$2:$A$882,0)),"")</f>
        <v>46024</v>
      </c>
      <c r="G647" s="16" t="n">
        <f aca="false">IF(F647="","",D647-F647)</f>
        <v>33</v>
      </c>
      <c r="H647" s="21" t="n">
        <f aca="false">IF(F647="","",DATE(YEAR(D647),MONTH(D647),1))</f>
        <v>46054</v>
      </c>
    </row>
    <row r="648" customFormat="false" ht="15" hidden="false" customHeight="false" outlineLevel="0" collapsed="false">
      <c r="A648" s="16" t="str">
        <f aca="false">Payment_Log_AP!A645</f>
        <v>PAY40644</v>
      </c>
      <c r="B648" s="16" t="str">
        <f aca="false">Payment_Log_AP!C645</f>
        <v>V1013</v>
      </c>
      <c r="C648" s="16" t="str">
        <f aca="false">Payment_Log_AP!B645</f>
        <v>INV30755</v>
      </c>
      <c r="D648" s="17" t="n">
        <f aca="false">Payment_Log_AP!D645</f>
        <v>45990</v>
      </c>
      <c r="E648" s="18" t="n">
        <f aca="false">Payment_Log_AP!E645</f>
        <v>2004.87</v>
      </c>
      <c r="F648" s="17" t="n">
        <f aca="false">IFERROR(INDEX(Vendor_Invoices_AP!$D$2:$D$882,MATCH(C648,Vendor_Invoices_AP!$A$2:$A$882,0)),"")</f>
        <v>45979</v>
      </c>
      <c r="G648" s="16" t="n">
        <f aca="false">IF(F648="","",D648-F648)</f>
        <v>11</v>
      </c>
      <c r="H648" s="21" t="n">
        <f aca="false">IF(F648="","",DATE(YEAR(D648),MONTH(D648),1))</f>
        <v>45962</v>
      </c>
    </row>
    <row r="649" customFormat="false" ht="15" hidden="false" customHeight="false" outlineLevel="0" collapsed="false">
      <c r="A649" s="16" t="str">
        <f aca="false">Payment_Log_AP!A646</f>
        <v>PAY40645</v>
      </c>
      <c r="B649" s="16" t="str">
        <f aca="false">Payment_Log_AP!C646</f>
        <v>V1023</v>
      </c>
      <c r="C649" s="16" t="str">
        <f aca="false">Payment_Log_AP!B646</f>
        <v>INV30756</v>
      </c>
      <c r="D649" s="17" t="n">
        <f aca="false">Payment_Log_AP!D646</f>
        <v>45859</v>
      </c>
      <c r="E649" s="18" t="n">
        <f aca="false">Payment_Log_AP!E646</f>
        <v>368.64</v>
      </c>
      <c r="F649" s="17" t="n">
        <f aca="false">IFERROR(INDEX(Vendor_Invoices_AP!$D$2:$D$882,MATCH(C649,Vendor_Invoices_AP!$A$2:$A$882,0)),"")</f>
        <v>45850</v>
      </c>
      <c r="G649" s="16" t="n">
        <f aca="false">IF(F649="","",D649-F649)</f>
        <v>9</v>
      </c>
      <c r="H649" s="21" t="n">
        <f aca="false">IF(F649="","",DATE(YEAR(D649),MONTH(D649),1))</f>
        <v>45839</v>
      </c>
    </row>
    <row r="650" customFormat="false" ht="15" hidden="false" customHeight="false" outlineLevel="0" collapsed="false">
      <c r="A650" s="16" t="str">
        <f aca="false">Payment_Log_AP!A647</f>
        <v>PAY40646</v>
      </c>
      <c r="B650" s="16" t="str">
        <f aca="false">Payment_Log_AP!C647</f>
        <v>V1011</v>
      </c>
      <c r="C650" s="16" t="str">
        <f aca="false">Payment_Log_AP!B647</f>
        <v>INV30758</v>
      </c>
      <c r="D650" s="17" t="n">
        <f aca="false">Payment_Log_AP!D647</f>
        <v>45968</v>
      </c>
      <c r="E650" s="18" t="n">
        <f aca="false">Payment_Log_AP!E647</f>
        <v>18808.64</v>
      </c>
      <c r="F650" s="17" t="n">
        <f aca="false">IFERROR(INDEX(Vendor_Invoices_AP!$D$2:$D$882,MATCH(C650,Vendor_Invoices_AP!$A$2:$A$882,0)),"")</f>
        <v>45963</v>
      </c>
      <c r="G650" s="16" t="n">
        <f aca="false">IF(F650="","",D650-F650)</f>
        <v>5</v>
      </c>
      <c r="H650" s="21" t="n">
        <f aca="false">IF(F650="","",DATE(YEAR(D650),MONTH(D650),1))</f>
        <v>45962</v>
      </c>
    </row>
    <row r="651" customFormat="false" ht="15" hidden="false" customHeight="false" outlineLevel="0" collapsed="false">
      <c r="A651" s="16" t="str">
        <f aca="false">Payment_Log_AP!A648</f>
        <v>PAY40647</v>
      </c>
      <c r="B651" s="16" t="str">
        <f aca="false">Payment_Log_AP!C648</f>
        <v>V1003</v>
      </c>
      <c r="C651" s="16" t="str">
        <f aca="false">Payment_Log_AP!B648</f>
        <v>INV30759</v>
      </c>
      <c r="D651" s="17" t="n">
        <f aca="false">Payment_Log_AP!D648</f>
        <v>45956</v>
      </c>
      <c r="E651" s="18" t="n">
        <f aca="false">Payment_Log_AP!E648</f>
        <v>2123.75</v>
      </c>
      <c r="F651" s="17" t="n">
        <f aca="false">IFERROR(INDEX(Vendor_Invoices_AP!$D$2:$D$882,MATCH(C651,Vendor_Invoices_AP!$A$2:$A$882,0)),"")</f>
        <v>45930</v>
      </c>
      <c r="G651" s="16" t="n">
        <f aca="false">IF(F651="","",D651-F651)</f>
        <v>26</v>
      </c>
      <c r="H651" s="21" t="n">
        <f aca="false">IF(F651="","",DATE(YEAR(D651),MONTH(D651),1))</f>
        <v>45931</v>
      </c>
    </row>
    <row r="652" customFormat="false" ht="15" hidden="false" customHeight="false" outlineLevel="0" collapsed="false">
      <c r="A652" s="16" t="str">
        <f aca="false">Payment_Log_AP!A649</f>
        <v>PAY40648</v>
      </c>
      <c r="B652" s="16" t="str">
        <f aca="false">Payment_Log_AP!C649</f>
        <v>V1010</v>
      </c>
      <c r="C652" s="16" t="str">
        <f aca="false">Payment_Log_AP!B649</f>
        <v>INV30760</v>
      </c>
      <c r="D652" s="17" t="n">
        <f aca="false">Payment_Log_AP!D649</f>
        <v>46030</v>
      </c>
      <c r="E652" s="18" t="n">
        <f aca="false">Payment_Log_AP!E649</f>
        <v>2641.8</v>
      </c>
      <c r="F652" s="17" t="n">
        <f aca="false">IFERROR(INDEX(Vendor_Invoices_AP!$D$2:$D$882,MATCH(C652,Vendor_Invoices_AP!$A$2:$A$882,0)),"")</f>
        <v>46002</v>
      </c>
      <c r="G652" s="16" t="n">
        <f aca="false">IF(F652="","",D652-F652)</f>
        <v>28</v>
      </c>
      <c r="H652" s="21" t="n">
        <f aca="false">IF(F652="","",DATE(YEAR(D652),MONTH(D652),1))</f>
        <v>46023</v>
      </c>
    </row>
    <row r="653" customFormat="false" ht="15" hidden="false" customHeight="false" outlineLevel="0" collapsed="false">
      <c r="A653" s="16" t="str">
        <f aca="false">Payment_Log_AP!A650</f>
        <v>PAY40649</v>
      </c>
      <c r="B653" s="16" t="str">
        <f aca="false">Payment_Log_AP!C650</f>
        <v>V1015</v>
      </c>
      <c r="C653" s="16" t="str">
        <f aca="false">Payment_Log_AP!B650</f>
        <v>INV30761</v>
      </c>
      <c r="D653" s="17" t="n">
        <f aca="false">Payment_Log_AP!D650</f>
        <v>45761</v>
      </c>
      <c r="E653" s="18" t="n">
        <f aca="false">Payment_Log_AP!E650</f>
        <v>2661.22</v>
      </c>
      <c r="F653" s="17" t="n">
        <f aca="false">IFERROR(INDEX(Vendor_Invoices_AP!$D$2:$D$882,MATCH(C653,Vendor_Invoices_AP!$A$2:$A$882,0)),"")</f>
        <v>45737</v>
      </c>
      <c r="G653" s="16" t="n">
        <f aca="false">IF(F653="","",D653-F653)</f>
        <v>24</v>
      </c>
      <c r="H653" s="21" t="n">
        <f aca="false">IF(F653="","",DATE(YEAR(D653),MONTH(D653),1))</f>
        <v>45748</v>
      </c>
    </row>
    <row r="654" customFormat="false" ht="15" hidden="false" customHeight="false" outlineLevel="0" collapsed="false">
      <c r="A654" s="16" t="str">
        <f aca="false">Payment_Log_AP!A651</f>
        <v>PAY40650</v>
      </c>
      <c r="B654" s="16" t="str">
        <f aca="false">Payment_Log_AP!C651</f>
        <v>V1022</v>
      </c>
      <c r="C654" s="16" t="str">
        <f aca="false">Payment_Log_AP!B651</f>
        <v>INV30762</v>
      </c>
      <c r="D654" s="17" t="n">
        <f aca="false">Payment_Log_AP!D651</f>
        <v>46090</v>
      </c>
      <c r="E654" s="18" t="n">
        <f aca="false">Payment_Log_AP!E651</f>
        <v>2608</v>
      </c>
      <c r="F654" s="17" t="n">
        <f aca="false">IFERROR(INDEX(Vendor_Invoices_AP!$D$2:$D$882,MATCH(C654,Vendor_Invoices_AP!$A$2:$A$882,0)),"")</f>
        <v>46055</v>
      </c>
      <c r="G654" s="16" t="n">
        <f aca="false">IF(F654="","",D654-F654)</f>
        <v>35</v>
      </c>
      <c r="H654" s="21" t="n">
        <f aca="false">IF(F654="","",DATE(YEAR(D654),MONTH(D654),1))</f>
        <v>46082</v>
      </c>
    </row>
    <row r="655" customFormat="false" ht="15" hidden="false" customHeight="false" outlineLevel="0" collapsed="false">
      <c r="A655" s="16" t="str">
        <f aca="false">Payment_Log_AP!A652</f>
        <v>PAY40651</v>
      </c>
      <c r="B655" s="16" t="str">
        <f aca="false">Payment_Log_AP!C652</f>
        <v>V1033</v>
      </c>
      <c r="C655" s="16" t="str">
        <f aca="false">Payment_Log_AP!B652</f>
        <v>INV30763</v>
      </c>
      <c r="D655" s="17" t="n">
        <f aca="false">Payment_Log_AP!D652</f>
        <v>46146</v>
      </c>
      <c r="E655" s="18" t="n">
        <f aca="false">Payment_Log_AP!E652</f>
        <v>19774.14</v>
      </c>
      <c r="F655" s="17" t="n">
        <f aca="false">IFERROR(INDEX(Vendor_Invoices_AP!$D$2:$D$882,MATCH(C655,Vendor_Invoices_AP!$A$2:$A$882,0)),"")</f>
        <v>46126</v>
      </c>
      <c r="G655" s="16" t="n">
        <f aca="false">IF(F655="","",D655-F655)</f>
        <v>20</v>
      </c>
      <c r="H655" s="21" t="n">
        <f aca="false">IF(F655="","",DATE(YEAR(D655),MONTH(D655),1))</f>
        <v>46143</v>
      </c>
    </row>
    <row r="656" customFormat="false" ht="15" hidden="false" customHeight="false" outlineLevel="0" collapsed="false">
      <c r="A656" s="16" t="str">
        <f aca="false">Payment_Log_AP!A653</f>
        <v>PAY40652</v>
      </c>
      <c r="B656" s="16" t="str">
        <f aca="false">Payment_Log_AP!C653</f>
        <v>V1018</v>
      </c>
      <c r="C656" s="16" t="str">
        <f aca="false">Payment_Log_AP!B653</f>
        <v>INV30764</v>
      </c>
      <c r="D656" s="17" t="n">
        <f aca="false">Payment_Log_AP!D653</f>
        <v>46033</v>
      </c>
      <c r="E656" s="18" t="n">
        <f aca="false">Payment_Log_AP!E653</f>
        <v>393.39</v>
      </c>
      <c r="F656" s="17" t="n">
        <f aca="false">IFERROR(INDEX(Vendor_Invoices_AP!$D$2:$D$882,MATCH(C656,Vendor_Invoices_AP!$A$2:$A$882,0)),"")</f>
        <v>46030</v>
      </c>
      <c r="G656" s="16" t="n">
        <f aca="false">IF(F656="","",D656-F656)</f>
        <v>3</v>
      </c>
      <c r="H656" s="21" t="n">
        <f aca="false">IF(F656="","",DATE(YEAR(D656),MONTH(D656),1))</f>
        <v>46023</v>
      </c>
    </row>
    <row r="657" customFormat="false" ht="15" hidden="false" customHeight="false" outlineLevel="0" collapsed="false">
      <c r="A657" s="16" t="str">
        <f aca="false">Payment_Log_AP!A654</f>
        <v>PAY40653</v>
      </c>
      <c r="B657" s="16" t="str">
        <f aca="false">Payment_Log_AP!C654</f>
        <v>V1026</v>
      </c>
      <c r="C657" s="16" t="str">
        <f aca="false">Payment_Log_AP!B654</f>
        <v>INV30766</v>
      </c>
      <c r="D657" s="17" t="n">
        <f aca="false">Payment_Log_AP!D654</f>
        <v>46096</v>
      </c>
      <c r="E657" s="18" t="n">
        <f aca="false">Payment_Log_AP!E654</f>
        <v>19934.95</v>
      </c>
      <c r="F657" s="17" t="n">
        <f aca="false">IFERROR(INDEX(Vendor_Invoices_AP!$D$2:$D$882,MATCH(C657,Vendor_Invoices_AP!$A$2:$A$882,0)),"")</f>
        <v>46065</v>
      </c>
      <c r="G657" s="16" t="n">
        <f aca="false">IF(F657="","",D657-F657)</f>
        <v>31</v>
      </c>
      <c r="H657" s="21" t="n">
        <f aca="false">IF(F657="","",DATE(YEAR(D657),MONTH(D657),1))</f>
        <v>46082</v>
      </c>
    </row>
    <row r="658" customFormat="false" ht="15" hidden="false" customHeight="false" outlineLevel="0" collapsed="false">
      <c r="A658" s="16" t="str">
        <f aca="false">Payment_Log_AP!A655</f>
        <v>PAY40654</v>
      </c>
      <c r="B658" s="16" t="str">
        <f aca="false">Payment_Log_AP!C655</f>
        <v>V1008</v>
      </c>
      <c r="C658" s="16" t="str">
        <f aca="false">Payment_Log_AP!B655</f>
        <v>INV30767</v>
      </c>
      <c r="D658" s="17" t="n">
        <f aca="false">Payment_Log_AP!D655</f>
        <v>45802</v>
      </c>
      <c r="E658" s="18" t="n">
        <f aca="false">Payment_Log_AP!E655</f>
        <v>812.03</v>
      </c>
      <c r="F658" s="17" t="n">
        <f aca="false">IFERROR(INDEX(Vendor_Invoices_AP!$D$2:$D$882,MATCH(C658,Vendor_Invoices_AP!$A$2:$A$882,0)),"")</f>
        <v>45782</v>
      </c>
      <c r="G658" s="16" t="n">
        <f aca="false">IF(F658="","",D658-F658)</f>
        <v>20</v>
      </c>
      <c r="H658" s="21" t="n">
        <f aca="false">IF(F658="","",DATE(YEAR(D658),MONTH(D658),1))</f>
        <v>45778</v>
      </c>
    </row>
    <row r="659" customFormat="false" ht="15" hidden="false" customHeight="false" outlineLevel="0" collapsed="false">
      <c r="A659" s="16" t="str">
        <f aca="false">Payment_Log_AP!A656</f>
        <v>PAY40655</v>
      </c>
      <c r="B659" s="16" t="str">
        <f aca="false">Payment_Log_AP!C656</f>
        <v>V1025</v>
      </c>
      <c r="C659" s="16" t="str">
        <f aca="false">Payment_Log_AP!B656</f>
        <v>INV30768</v>
      </c>
      <c r="D659" s="17" t="n">
        <f aca="false">Payment_Log_AP!D656</f>
        <v>45936</v>
      </c>
      <c r="E659" s="18" t="n">
        <f aca="false">Payment_Log_AP!E656</f>
        <v>26179.49</v>
      </c>
      <c r="F659" s="17" t="n">
        <f aca="false">IFERROR(INDEX(Vendor_Invoices_AP!$D$2:$D$882,MATCH(C659,Vendor_Invoices_AP!$A$2:$A$882,0)),"")</f>
        <v>45910</v>
      </c>
      <c r="G659" s="16" t="n">
        <f aca="false">IF(F659="","",D659-F659)</f>
        <v>26</v>
      </c>
      <c r="H659" s="21" t="n">
        <f aca="false">IF(F659="","",DATE(YEAR(D659),MONTH(D659),1))</f>
        <v>45931</v>
      </c>
    </row>
    <row r="660" customFormat="false" ht="15" hidden="false" customHeight="false" outlineLevel="0" collapsed="false">
      <c r="A660" s="16" t="str">
        <f aca="false">Payment_Log_AP!A657</f>
        <v>PAY40656</v>
      </c>
      <c r="B660" s="16" t="str">
        <f aca="false">Payment_Log_AP!C657</f>
        <v>V1007</v>
      </c>
      <c r="C660" s="16" t="str">
        <f aca="false">Payment_Log_AP!B657</f>
        <v>INV30769</v>
      </c>
      <c r="D660" s="17" t="n">
        <f aca="false">Payment_Log_AP!D657</f>
        <v>45816</v>
      </c>
      <c r="E660" s="18" t="n">
        <f aca="false">Payment_Log_AP!E657</f>
        <v>8117.27</v>
      </c>
      <c r="F660" s="17" t="n">
        <f aca="false">IFERROR(INDEX(Vendor_Invoices_AP!$D$2:$D$882,MATCH(C660,Vendor_Invoices_AP!$A$2:$A$882,0)),"")</f>
        <v>45793</v>
      </c>
      <c r="G660" s="16" t="n">
        <f aca="false">IF(F660="","",D660-F660)</f>
        <v>23</v>
      </c>
      <c r="H660" s="21" t="n">
        <f aca="false">IF(F660="","",DATE(YEAR(D660),MONTH(D660),1))</f>
        <v>45809</v>
      </c>
    </row>
    <row r="661" customFormat="false" ht="15" hidden="false" customHeight="false" outlineLevel="0" collapsed="false">
      <c r="A661" s="16" t="str">
        <f aca="false">Payment_Log_AP!A658</f>
        <v>PAY40657</v>
      </c>
      <c r="B661" s="16" t="str">
        <f aca="false">Payment_Log_AP!C658</f>
        <v>V1038</v>
      </c>
      <c r="C661" s="16" t="str">
        <f aca="false">Payment_Log_AP!B658</f>
        <v>INV30770</v>
      </c>
      <c r="D661" s="17" t="n">
        <f aca="false">Payment_Log_AP!D658</f>
        <v>45880</v>
      </c>
      <c r="E661" s="18" t="n">
        <f aca="false">Payment_Log_AP!E658</f>
        <v>9161.11</v>
      </c>
      <c r="F661" s="17" t="n">
        <f aca="false">IFERROR(INDEX(Vendor_Invoices_AP!$D$2:$D$882,MATCH(C661,Vendor_Invoices_AP!$A$2:$A$882,0)),"")</f>
        <v>45853</v>
      </c>
      <c r="G661" s="16" t="n">
        <f aca="false">IF(F661="","",D661-F661)</f>
        <v>27</v>
      </c>
      <c r="H661" s="21" t="n">
        <f aca="false">IF(F661="","",DATE(YEAR(D661),MONTH(D661),1))</f>
        <v>45870</v>
      </c>
    </row>
    <row r="662" customFormat="false" ht="15" hidden="false" customHeight="false" outlineLevel="0" collapsed="false">
      <c r="A662" s="16" t="str">
        <f aca="false">Payment_Log_AP!A659</f>
        <v>PAY40658</v>
      </c>
      <c r="B662" s="16" t="str">
        <f aca="false">Payment_Log_AP!C659</f>
        <v>V1022</v>
      </c>
      <c r="C662" s="16" t="str">
        <f aca="false">Payment_Log_AP!B659</f>
        <v>INV30771</v>
      </c>
      <c r="D662" s="17" t="n">
        <f aca="false">Payment_Log_AP!D659</f>
        <v>45926</v>
      </c>
      <c r="E662" s="18" t="n">
        <f aca="false">Payment_Log_AP!E659</f>
        <v>1056.4</v>
      </c>
      <c r="F662" s="17" t="n">
        <f aca="false">IFERROR(INDEX(Vendor_Invoices_AP!$D$2:$D$882,MATCH(C662,Vendor_Invoices_AP!$A$2:$A$882,0)),"")</f>
        <v>45924</v>
      </c>
      <c r="G662" s="16" t="n">
        <f aca="false">IF(F662="","",D662-F662)</f>
        <v>2</v>
      </c>
      <c r="H662" s="21" t="n">
        <f aca="false">IF(F662="","",DATE(YEAR(D662),MONTH(D662),1))</f>
        <v>45901</v>
      </c>
    </row>
    <row r="663" customFormat="false" ht="15" hidden="false" customHeight="false" outlineLevel="0" collapsed="false">
      <c r="A663" s="16" t="str">
        <f aca="false">Payment_Log_AP!A660</f>
        <v>PAY40659</v>
      </c>
      <c r="B663" s="16" t="str">
        <f aca="false">Payment_Log_AP!C660</f>
        <v>V1015</v>
      </c>
      <c r="C663" s="16" t="str">
        <f aca="false">Payment_Log_AP!B660</f>
        <v>INV30772</v>
      </c>
      <c r="D663" s="17" t="n">
        <f aca="false">Payment_Log_AP!D660</f>
        <v>45889</v>
      </c>
      <c r="E663" s="18" t="n">
        <f aca="false">Payment_Log_AP!E660</f>
        <v>3577.81</v>
      </c>
      <c r="F663" s="17" t="n">
        <f aca="false">IFERROR(INDEX(Vendor_Invoices_AP!$D$2:$D$882,MATCH(C663,Vendor_Invoices_AP!$A$2:$A$882,0)),"")</f>
        <v>45886</v>
      </c>
      <c r="G663" s="16" t="n">
        <f aca="false">IF(F663="","",D663-F663)</f>
        <v>3</v>
      </c>
      <c r="H663" s="21" t="n">
        <f aca="false">IF(F663="","",DATE(YEAR(D663),MONTH(D663),1))</f>
        <v>45870</v>
      </c>
    </row>
    <row r="664" customFormat="false" ht="15" hidden="false" customHeight="false" outlineLevel="0" collapsed="false">
      <c r="A664" s="16" t="str">
        <f aca="false">Payment_Log_AP!A661</f>
        <v>PAY40660</v>
      </c>
      <c r="B664" s="16" t="str">
        <f aca="false">Payment_Log_AP!C661</f>
        <v>V1006</v>
      </c>
      <c r="C664" s="16" t="str">
        <f aca="false">Payment_Log_AP!B661</f>
        <v>INV30773</v>
      </c>
      <c r="D664" s="17" t="n">
        <f aca="false">Payment_Log_AP!D661</f>
        <v>45737</v>
      </c>
      <c r="E664" s="18" t="n">
        <f aca="false">Payment_Log_AP!E661</f>
        <v>1478.7</v>
      </c>
      <c r="F664" s="17" t="n">
        <f aca="false">IFERROR(INDEX(Vendor_Invoices_AP!$D$2:$D$882,MATCH(C664,Vendor_Invoices_AP!$A$2:$A$882,0)),"")</f>
        <v>45731</v>
      </c>
      <c r="G664" s="16" t="n">
        <f aca="false">IF(F664="","",D664-F664)</f>
        <v>6</v>
      </c>
      <c r="H664" s="21" t="n">
        <f aca="false">IF(F664="","",DATE(YEAR(D664),MONTH(D664),1))</f>
        <v>45717</v>
      </c>
    </row>
    <row r="665" customFormat="false" ht="15" hidden="false" customHeight="false" outlineLevel="0" collapsed="false">
      <c r="A665" s="16" t="str">
        <f aca="false">Payment_Log_AP!A662</f>
        <v>PAY40661</v>
      </c>
      <c r="B665" s="16" t="str">
        <f aca="false">Payment_Log_AP!C662</f>
        <v>V1026</v>
      </c>
      <c r="C665" s="16" t="str">
        <f aca="false">Payment_Log_AP!B662</f>
        <v>INV30774</v>
      </c>
      <c r="D665" s="17" t="n">
        <f aca="false">Payment_Log_AP!D662</f>
        <v>45926</v>
      </c>
      <c r="E665" s="18" t="n">
        <f aca="false">Payment_Log_AP!E662</f>
        <v>5071.62</v>
      </c>
      <c r="F665" s="17" t="n">
        <f aca="false">IFERROR(INDEX(Vendor_Invoices_AP!$D$2:$D$882,MATCH(C665,Vendor_Invoices_AP!$A$2:$A$882,0)),"")</f>
        <v>45912</v>
      </c>
      <c r="G665" s="16" t="n">
        <f aca="false">IF(F665="","",D665-F665)</f>
        <v>14</v>
      </c>
      <c r="H665" s="21" t="n">
        <f aca="false">IF(F665="","",DATE(YEAR(D665),MONTH(D665),1))</f>
        <v>45901</v>
      </c>
    </row>
    <row r="666" customFormat="false" ht="15" hidden="false" customHeight="false" outlineLevel="0" collapsed="false">
      <c r="A666" s="16" t="str">
        <f aca="false">Payment_Log_AP!A663</f>
        <v>PAY40662</v>
      </c>
      <c r="B666" s="16" t="str">
        <f aca="false">Payment_Log_AP!C663</f>
        <v>V1033</v>
      </c>
      <c r="C666" s="16" t="str">
        <f aca="false">Payment_Log_AP!B663</f>
        <v>INV30775</v>
      </c>
      <c r="D666" s="17" t="n">
        <f aca="false">Payment_Log_AP!D663</f>
        <v>46060</v>
      </c>
      <c r="E666" s="18" t="n">
        <f aca="false">Payment_Log_AP!E663</f>
        <v>3714.97</v>
      </c>
      <c r="F666" s="17" t="n">
        <f aca="false">IFERROR(INDEX(Vendor_Invoices_AP!$D$2:$D$882,MATCH(C666,Vendor_Invoices_AP!$A$2:$A$882,0)),"")</f>
        <v>46027</v>
      </c>
      <c r="G666" s="16" t="n">
        <f aca="false">IF(F666="","",D666-F666)</f>
        <v>33</v>
      </c>
      <c r="H666" s="21" t="n">
        <f aca="false">IF(F666="","",DATE(YEAR(D666),MONTH(D666),1))</f>
        <v>46054</v>
      </c>
    </row>
    <row r="667" customFormat="false" ht="15" hidden="false" customHeight="false" outlineLevel="0" collapsed="false">
      <c r="A667" s="16" t="str">
        <f aca="false">Payment_Log_AP!A664</f>
        <v>PAY40663</v>
      </c>
      <c r="B667" s="16" t="str">
        <f aca="false">Payment_Log_AP!C664</f>
        <v>V1025</v>
      </c>
      <c r="C667" s="16" t="str">
        <f aca="false">Payment_Log_AP!B664</f>
        <v>INV30776</v>
      </c>
      <c r="D667" s="17" t="n">
        <f aca="false">Payment_Log_AP!D664</f>
        <v>45889</v>
      </c>
      <c r="E667" s="18" t="n">
        <f aca="false">Payment_Log_AP!E664</f>
        <v>577.47</v>
      </c>
      <c r="F667" s="17" t="n">
        <f aca="false">IFERROR(INDEX(Vendor_Invoices_AP!$D$2:$D$882,MATCH(C667,Vendor_Invoices_AP!$A$2:$A$882,0)),"")</f>
        <v>45870</v>
      </c>
      <c r="G667" s="16" t="n">
        <f aca="false">IF(F667="","",D667-F667)</f>
        <v>19</v>
      </c>
      <c r="H667" s="21" t="n">
        <f aca="false">IF(F667="","",DATE(YEAR(D667),MONTH(D667),1))</f>
        <v>45870</v>
      </c>
    </row>
    <row r="668" customFormat="false" ht="15" hidden="false" customHeight="false" outlineLevel="0" collapsed="false">
      <c r="A668" s="16" t="str">
        <f aca="false">Payment_Log_AP!A665</f>
        <v>PAY40664</v>
      </c>
      <c r="B668" s="16" t="str">
        <f aca="false">Payment_Log_AP!C665</f>
        <v>V1002</v>
      </c>
      <c r="C668" s="16" t="str">
        <f aca="false">Payment_Log_AP!B665</f>
        <v>INV30778</v>
      </c>
      <c r="D668" s="17" t="n">
        <f aca="false">Payment_Log_AP!D665</f>
        <v>46203</v>
      </c>
      <c r="E668" s="18" t="n">
        <f aca="false">Payment_Log_AP!E665</f>
        <v>2429.18</v>
      </c>
      <c r="F668" s="17" t="n">
        <f aca="false">IFERROR(INDEX(Vendor_Invoices_AP!$D$2:$D$882,MATCH(C668,Vendor_Invoices_AP!$A$2:$A$882,0)),"")</f>
        <v>46178</v>
      </c>
      <c r="G668" s="16" t="n">
        <f aca="false">IF(F668="","",D668-F668)</f>
        <v>25</v>
      </c>
      <c r="H668" s="21" t="n">
        <f aca="false">IF(F668="","",DATE(YEAR(D668),MONTH(D668),1))</f>
        <v>46174</v>
      </c>
    </row>
    <row r="669" customFormat="false" ht="15" hidden="false" customHeight="false" outlineLevel="0" collapsed="false">
      <c r="A669" s="16" t="str">
        <f aca="false">Payment_Log_AP!A666</f>
        <v>PAY40665</v>
      </c>
      <c r="B669" s="16" t="str">
        <f aca="false">Payment_Log_AP!C666</f>
        <v>V1010</v>
      </c>
      <c r="C669" s="16" t="str">
        <f aca="false">Payment_Log_AP!B666</f>
        <v>INV30779</v>
      </c>
      <c r="D669" s="17" t="n">
        <f aca="false">Payment_Log_AP!D666</f>
        <v>45721</v>
      </c>
      <c r="E669" s="18" t="n">
        <f aca="false">Payment_Log_AP!E666</f>
        <v>5420.25</v>
      </c>
      <c r="F669" s="17" t="n">
        <f aca="false">IFERROR(INDEX(Vendor_Invoices_AP!$D$2:$D$882,MATCH(C669,Vendor_Invoices_AP!$A$2:$A$882,0)),"")</f>
        <v>45716</v>
      </c>
      <c r="G669" s="16" t="n">
        <f aca="false">IF(F669="","",D669-F669)</f>
        <v>5</v>
      </c>
      <c r="H669" s="21" t="n">
        <f aca="false">IF(F669="","",DATE(YEAR(D669),MONTH(D669),1))</f>
        <v>45717</v>
      </c>
    </row>
    <row r="670" customFormat="false" ht="15" hidden="false" customHeight="false" outlineLevel="0" collapsed="false">
      <c r="A670" s="16" t="str">
        <f aca="false">Payment_Log_AP!A667</f>
        <v>PAY40666</v>
      </c>
      <c r="B670" s="16" t="str">
        <f aca="false">Payment_Log_AP!C667</f>
        <v>V1034</v>
      </c>
      <c r="C670" s="16" t="str">
        <f aca="false">Payment_Log_AP!B667</f>
        <v>INV30781</v>
      </c>
      <c r="D670" s="17" t="n">
        <f aca="false">Payment_Log_AP!D667</f>
        <v>45711</v>
      </c>
      <c r="E670" s="18" t="n">
        <f aca="false">Payment_Log_AP!E667</f>
        <v>5970.05</v>
      </c>
      <c r="F670" s="17" t="n">
        <f aca="false">IFERROR(INDEX(Vendor_Invoices_AP!$D$2:$D$882,MATCH(C670,Vendor_Invoices_AP!$A$2:$A$882,0)),"")</f>
        <v>45710</v>
      </c>
      <c r="G670" s="16" t="n">
        <f aca="false">IF(F670="","",D670-F670)</f>
        <v>1</v>
      </c>
      <c r="H670" s="21" t="n">
        <f aca="false">IF(F670="","",DATE(YEAR(D670),MONTH(D670),1))</f>
        <v>45689</v>
      </c>
    </row>
    <row r="671" customFormat="false" ht="15" hidden="false" customHeight="false" outlineLevel="0" collapsed="false">
      <c r="A671" s="16" t="str">
        <f aca="false">Payment_Log_AP!A668</f>
        <v>PAY40667</v>
      </c>
      <c r="B671" s="16" t="str">
        <f aca="false">Payment_Log_AP!C668</f>
        <v>V1020</v>
      </c>
      <c r="C671" s="16" t="str">
        <f aca="false">Payment_Log_AP!B668</f>
        <v>INV30782</v>
      </c>
      <c r="D671" s="17" t="n">
        <f aca="false">Payment_Log_AP!D668</f>
        <v>45719</v>
      </c>
      <c r="E671" s="18" t="n">
        <f aca="false">Payment_Log_AP!E668</f>
        <v>1166.53</v>
      </c>
      <c r="F671" s="17" t="n">
        <f aca="false">IFERROR(INDEX(Vendor_Invoices_AP!$D$2:$D$882,MATCH(C671,Vendor_Invoices_AP!$A$2:$A$882,0)),"")</f>
        <v>45713</v>
      </c>
      <c r="G671" s="16" t="n">
        <f aca="false">IF(F671="","",D671-F671)</f>
        <v>6</v>
      </c>
      <c r="H671" s="21" t="n">
        <f aca="false">IF(F671="","",DATE(YEAR(D671),MONTH(D671),1))</f>
        <v>45717</v>
      </c>
    </row>
    <row r="672" customFormat="false" ht="15" hidden="false" customHeight="false" outlineLevel="0" collapsed="false">
      <c r="A672" s="16" t="str">
        <f aca="false">Payment_Log_AP!A669</f>
        <v>PAY40668</v>
      </c>
      <c r="B672" s="16" t="str">
        <f aca="false">Payment_Log_AP!C669</f>
        <v>V1040</v>
      </c>
      <c r="C672" s="16" t="str">
        <f aca="false">Payment_Log_AP!B669</f>
        <v>INV30783</v>
      </c>
      <c r="D672" s="17" t="n">
        <f aca="false">Payment_Log_AP!D669</f>
        <v>46103</v>
      </c>
      <c r="E672" s="18" t="n">
        <f aca="false">Payment_Log_AP!E669</f>
        <v>305.02</v>
      </c>
      <c r="F672" s="17" t="n">
        <f aca="false">IFERROR(INDEX(Vendor_Invoices_AP!$D$2:$D$882,MATCH(C672,Vendor_Invoices_AP!$A$2:$A$882,0)),"")</f>
        <v>46084</v>
      </c>
      <c r="G672" s="16" t="n">
        <f aca="false">IF(F672="","",D672-F672)</f>
        <v>19</v>
      </c>
      <c r="H672" s="21" t="n">
        <f aca="false">IF(F672="","",DATE(YEAR(D672),MONTH(D672),1))</f>
        <v>46082</v>
      </c>
    </row>
    <row r="673" customFormat="false" ht="15" hidden="false" customHeight="false" outlineLevel="0" collapsed="false">
      <c r="A673" s="16" t="str">
        <f aca="false">Payment_Log_AP!A670</f>
        <v>PAY40669</v>
      </c>
      <c r="B673" s="16" t="str">
        <f aca="false">Payment_Log_AP!C670</f>
        <v>V1008</v>
      </c>
      <c r="C673" s="16" t="str">
        <f aca="false">Payment_Log_AP!B670</f>
        <v>INV30784</v>
      </c>
      <c r="D673" s="17" t="n">
        <f aca="false">Payment_Log_AP!D670</f>
        <v>46133</v>
      </c>
      <c r="E673" s="18" t="n">
        <f aca="false">Payment_Log_AP!E670</f>
        <v>888.47</v>
      </c>
      <c r="F673" s="17" t="n">
        <f aca="false">IFERROR(INDEX(Vendor_Invoices_AP!$D$2:$D$882,MATCH(C673,Vendor_Invoices_AP!$A$2:$A$882,0)),"")</f>
        <v>46110</v>
      </c>
      <c r="G673" s="16" t="n">
        <f aca="false">IF(F673="","",D673-F673)</f>
        <v>23</v>
      </c>
      <c r="H673" s="21" t="n">
        <f aca="false">IF(F673="","",DATE(YEAR(D673),MONTH(D673),1))</f>
        <v>46113</v>
      </c>
    </row>
    <row r="674" customFormat="false" ht="15" hidden="false" customHeight="false" outlineLevel="0" collapsed="false">
      <c r="A674" s="16" t="str">
        <f aca="false">Payment_Log_AP!A671</f>
        <v>PAY40670</v>
      </c>
      <c r="B674" s="16" t="str">
        <f aca="false">Payment_Log_AP!C671</f>
        <v>V1013</v>
      </c>
      <c r="C674" s="16" t="str">
        <f aca="false">Payment_Log_AP!B671</f>
        <v>INV30785</v>
      </c>
      <c r="D674" s="17" t="n">
        <f aca="false">Payment_Log_AP!D671</f>
        <v>46004</v>
      </c>
      <c r="E674" s="18" t="n">
        <f aca="false">Payment_Log_AP!E671</f>
        <v>6115.66</v>
      </c>
      <c r="F674" s="17" t="n">
        <f aca="false">IFERROR(INDEX(Vendor_Invoices_AP!$D$2:$D$882,MATCH(C674,Vendor_Invoices_AP!$A$2:$A$882,0)),"")</f>
        <v>45974</v>
      </c>
      <c r="G674" s="16" t="n">
        <f aca="false">IF(F674="","",D674-F674)</f>
        <v>30</v>
      </c>
      <c r="H674" s="21" t="n">
        <f aca="false">IF(F674="","",DATE(YEAR(D674),MONTH(D674),1))</f>
        <v>45992</v>
      </c>
    </row>
    <row r="675" customFormat="false" ht="15" hidden="false" customHeight="false" outlineLevel="0" collapsed="false">
      <c r="A675" s="16" t="str">
        <f aca="false">Payment_Log_AP!A672</f>
        <v>PAY40671</v>
      </c>
      <c r="B675" s="16" t="str">
        <f aca="false">Payment_Log_AP!C672</f>
        <v>V1029</v>
      </c>
      <c r="C675" s="16" t="str">
        <f aca="false">Payment_Log_AP!B672</f>
        <v>INV30787</v>
      </c>
      <c r="D675" s="17" t="n">
        <f aca="false">Payment_Log_AP!D672</f>
        <v>46000</v>
      </c>
      <c r="E675" s="18" t="n">
        <f aca="false">Payment_Log_AP!E672</f>
        <v>723.52</v>
      </c>
      <c r="F675" s="17" t="n">
        <f aca="false">IFERROR(INDEX(Vendor_Invoices_AP!$D$2:$D$882,MATCH(C675,Vendor_Invoices_AP!$A$2:$A$882,0)),"")</f>
        <v>45971</v>
      </c>
      <c r="G675" s="16" t="n">
        <f aca="false">IF(F675="","",D675-F675)</f>
        <v>29</v>
      </c>
      <c r="H675" s="21" t="n">
        <f aca="false">IF(F675="","",DATE(YEAR(D675),MONTH(D675),1))</f>
        <v>45992</v>
      </c>
    </row>
    <row r="676" customFormat="false" ht="15" hidden="false" customHeight="false" outlineLevel="0" collapsed="false">
      <c r="A676" s="16" t="str">
        <f aca="false">Payment_Log_AP!A673</f>
        <v>PAY40672</v>
      </c>
      <c r="B676" s="16" t="str">
        <f aca="false">Payment_Log_AP!C673</f>
        <v>V1040</v>
      </c>
      <c r="C676" s="16" t="str">
        <f aca="false">Payment_Log_AP!B673</f>
        <v>INV30789</v>
      </c>
      <c r="D676" s="17" t="n">
        <f aca="false">Payment_Log_AP!D673</f>
        <v>45771</v>
      </c>
      <c r="E676" s="18" t="n">
        <f aca="false">Payment_Log_AP!E673</f>
        <v>1751.47</v>
      </c>
      <c r="F676" s="17" t="n">
        <f aca="false">IFERROR(INDEX(Vendor_Invoices_AP!$D$2:$D$882,MATCH(C676,Vendor_Invoices_AP!$A$2:$A$882,0)),"")</f>
        <v>45747</v>
      </c>
      <c r="G676" s="16" t="n">
        <f aca="false">IF(F676="","",D676-F676)</f>
        <v>24</v>
      </c>
      <c r="H676" s="21" t="n">
        <f aca="false">IF(F676="","",DATE(YEAR(D676),MONTH(D676),1))</f>
        <v>45748</v>
      </c>
    </row>
    <row r="677" customFormat="false" ht="15" hidden="false" customHeight="false" outlineLevel="0" collapsed="false">
      <c r="A677" s="16" t="str">
        <f aca="false">Payment_Log_AP!A674</f>
        <v>PAY40673</v>
      </c>
      <c r="B677" s="16" t="str">
        <f aca="false">Payment_Log_AP!C674</f>
        <v>V1014</v>
      </c>
      <c r="C677" s="16" t="str">
        <f aca="false">Payment_Log_AP!B674</f>
        <v>INV30790</v>
      </c>
      <c r="D677" s="17" t="n">
        <f aca="false">Payment_Log_AP!D674</f>
        <v>45883</v>
      </c>
      <c r="E677" s="18" t="n">
        <f aca="false">Payment_Log_AP!E674</f>
        <v>17936.73</v>
      </c>
      <c r="F677" s="17" t="n">
        <f aca="false">IFERROR(INDEX(Vendor_Invoices_AP!$D$2:$D$882,MATCH(C677,Vendor_Invoices_AP!$A$2:$A$882,0)),"")</f>
        <v>45874</v>
      </c>
      <c r="G677" s="16" t="n">
        <f aca="false">IF(F677="","",D677-F677)</f>
        <v>9</v>
      </c>
      <c r="H677" s="21" t="n">
        <f aca="false">IF(F677="","",DATE(YEAR(D677),MONTH(D677),1))</f>
        <v>45870</v>
      </c>
    </row>
    <row r="678" customFormat="false" ht="15" hidden="false" customHeight="false" outlineLevel="0" collapsed="false">
      <c r="A678" s="16" t="str">
        <f aca="false">Payment_Log_AP!A675</f>
        <v>PAY40674</v>
      </c>
      <c r="B678" s="16" t="str">
        <f aca="false">Payment_Log_AP!C675</f>
        <v>V1039</v>
      </c>
      <c r="C678" s="16" t="str">
        <f aca="false">Payment_Log_AP!B675</f>
        <v>INV30791</v>
      </c>
      <c r="D678" s="17" t="n">
        <f aca="false">Payment_Log_AP!D675</f>
        <v>46061</v>
      </c>
      <c r="E678" s="18" t="n">
        <f aca="false">Payment_Log_AP!E675</f>
        <v>7872.8</v>
      </c>
      <c r="F678" s="17" t="n">
        <f aca="false">IFERROR(INDEX(Vendor_Invoices_AP!$D$2:$D$882,MATCH(C678,Vendor_Invoices_AP!$A$2:$A$882,0)),"")</f>
        <v>46040</v>
      </c>
      <c r="G678" s="16" t="n">
        <f aca="false">IF(F678="","",D678-F678)</f>
        <v>21</v>
      </c>
      <c r="H678" s="21" t="n">
        <f aca="false">IF(F678="","",DATE(YEAR(D678),MONTH(D678),1))</f>
        <v>46054</v>
      </c>
    </row>
    <row r="679" customFormat="false" ht="15" hidden="false" customHeight="false" outlineLevel="0" collapsed="false">
      <c r="A679" s="16" t="str">
        <f aca="false">Payment_Log_AP!A676</f>
        <v>PAY40675</v>
      </c>
      <c r="B679" s="16" t="str">
        <f aca="false">Payment_Log_AP!C676</f>
        <v>V1029</v>
      </c>
      <c r="C679" s="16" t="str">
        <f aca="false">Payment_Log_AP!B676</f>
        <v>INV30792</v>
      </c>
      <c r="D679" s="17" t="n">
        <f aca="false">Payment_Log_AP!D676</f>
        <v>46101</v>
      </c>
      <c r="E679" s="18" t="n">
        <f aca="false">Payment_Log_AP!E676</f>
        <v>886.11</v>
      </c>
      <c r="F679" s="17" t="n">
        <f aca="false">IFERROR(INDEX(Vendor_Invoices_AP!$D$2:$D$882,MATCH(C679,Vendor_Invoices_AP!$A$2:$A$882,0)),"")</f>
        <v>46072</v>
      </c>
      <c r="G679" s="16" t="n">
        <f aca="false">IF(F679="","",D679-F679)</f>
        <v>29</v>
      </c>
      <c r="H679" s="21" t="n">
        <f aca="false">IF(F679="","",DATE(YEAR(D679),MONTH(D679),1))</f>
        <v>46082</v>
      </c>
    </row>
    <row r="680" customFormat="false" ht="15" hidden="false" customHeight="false" outlineLevel="0" collapsed="false">
      <c r="A680" s="16" t="str">
        <f aca="false">Payment_Log_AP!A677</f>
        <v>PAY40676</v>
      </c>
      <c r="B680" s="16" t="str">
        <f aca="false">Payment_Log_AP!C677</f>
        <v>V1022</v>
      </c>
      <c r="C680" s="16" t="str">
        <f aca="false">Payment_Log_AP!B677</f>
        <v>INV30794</v>
      </c>
      <c r="D680" s="17" t="n">
        <f aca="false">Payment_Log_AP!D677</f>
        <v>46061</v>
      </c>
      <c r="E680" s="18" t="n">
        <f aca="false">Payment_Log_AP!E677</f>
        <v>270.06</v>
      </c>
      <c r="F680" s="17" t="n">
        <f aca="false">IFERROR(INDEX(Vendor_Invoices_AP!$D$2:$D$882,MATCH(C680,Vendor_Invoices_AP!$A$2:$A$882,0)),"")</f>
        <v>46057</v>
      </c>
      <c r="G680" s="16" t="n">
        <f aca="false">IF(F680="","",D680-F680)</f>
        <v>4</v>
      </c>
      <c r="H680" s="21" t="n">
        <f aca="false">IF(F680="","",DATE(YEAR(D680),MONTH(D680),1))</f>
        <v>46054</v>
      </c>
    </row>
    <row r="681" customFormat="false" ht="15" hidden="false" customHeight="false" outlineLevel="0" collapsed="false">
      <c r="A681" s="16" t="str">
        <f aca="false">Payment_Log_AP!A678</f>
        <v>PAY40677</v>
      </c>
      <c r="B681" s="16" t="str">
        <f aca="false">Payment_Log_AP!C678</f>
        <v>V1025</v>
      </c>
      <c r="C681" s="16" t="str">
        <f aca="false">Payment_Log_AP!B678</f>
        <v>INV30795</v>
      </c>
      <c r="D681" s="17" t="n">
        <f aca="false">Payment_Log_AP!D678</f>
        <v>46204</v>
      </c>
      <c r="E681" s="18" t="n">
        <f aca="false">Payment_Log_AP!E678</f>
        <v>6371.15</v>
      </c>
      <c r="F681" s="17" t="n">
        <f aca="false">IFERROR(INDEX(Vendor_Invoices_AP!$D$2:$D$882,MATCH(C681,Vendor_Invoices_AP!$A$2:$A$882,0)),"")</f>
        <v>46194</v>
      </c>
      <c r="G681" s="16" t="n">
        <f aca="false">IF(F681="","",D681-F681)</f>
        <v>10</v>
      </c>
      <c r="H681" s="21" t="n">
        <f aca="false">IF(F681="","",DATE(YEAR(D681),MONTH(D681),1))</f>
        <v>46204</v>
      </c>
    </row>
    <row r="682" customFormat="false" ht="15" hidden="false" customHeight="false" outlineLevel="0" collapsed="false">
      <c r="A682" s="16" t="str">
        <f aca="false">Payment_Log_AP!A679</f>
        <v>PAY40678</v>
      </c>
      <c r="B682" s="16" t="str">
        <f aca="false">Payment_Log_AP!C679</f>
        <v>V1028</v>
      </c>
      <c r="C682" s="16" t="str">
        <f aca="false">Payment_Log_AP!B679</f>
        <v>INV30796</v>
      </c>
      <c r="D682" s="17" t="n">
        <f aca="false">Payment_Log_AP!D679</f>
        <v>46030</v>
      </c>
      <c r="E682" s="18" t="n">
        <f aca="false">Payment_Log_AP!E679</f>
        <v>2179.28</v>
      </c>
      <c r="F682" s="17" t="n">
        <f aca="false">IFERROR(INDEX(Vendor_Invoices_AP!$D$2:$D$882,MATCH(C682,Vendor_Invoices_AP!$A$2:$A$882,0)),"")</f>
        <v>46004</v>
      </c>
      <c r="G682" s="16" t="n">
        <f aca="false">IF(F682="","",D682-F682)</f>
        <v>26</v>
      </c>
      <c r="H682" s="21" t="n">
        <f aca="false">IF(F682="","",DATE(YEAR(D682),MONTH(D682),1))</f>
        <v>46023</v>
      </c>
    </row>
    <row r="683" customFormat="false" ht="15" hidden="false" customHeight="false" outlineLevel="0" collapsed="false">
      <c r="A683" s="16" t="str">
        <f aca="false">Payment_Log_AP!A680</f>
        <v>PAY40679</v>
      </c>
      <c r="B683" s="16" t="str">
        <f aca="false">Payment_Log_AP!C680</f>
        <v>V1032</v>
      </c>
      <c r="C683" s="16" t="str">
        <f aca="false">Payment_Log_AP!B680</f>
        <v>INV30797</v>
      </c>
      <c r="D683" s="17" t="n">
        <f aca="false">Payment_Log_AP!D680</f>
        <v>45873</v>
      </c>
      <c r="E683" s="18" t="n">
        <f aca="false">Payment_Log_AP!E680</f>
        <v>4559.19</v>
      </c>
      <c r="F683" s="17" t="n">
        <f aca="false">IFERROR(INDEX(Vendor_Invoices_AP!$D$2:$D$882,MATCH(C683,Vendor_Invoices_AP!$A$2:$A$882,0)),"")</f>
        <v>45867</v>
      </c>
      <c r="G683" s="16" t="n">
        <f aca="false">IF(F683="","",D683-F683)</f>
        <v>6</v>
      </c>
      <c r="H683" s="21" t="n">
        <f aca="false">IF(F683="","",DATE(YEAR(D683),MONTH(D683),1))</f>
        <v>45870</v>
      </c>
    </row>
    <row r="684" customFormat="false" ht="15" hidden="false" customHeight="false" outlineLevel="0" collapsed="false">
      <c r="A684" s="16" t="str">
        <f aca="false">Payment_Log_AP!A681</f>
        <v>PAY40680</v>
      </c>
      <c r="B684" s="16" t="str">
        <f aca="false">Payment_Log_AP!C681</f>
        <v>V1037</v>
      </c>
      <c r="C684" s="16" t="str">
        <f aca="false">Payment_Log_AP!B681</f>
        <v>INV30798</v>
      </c>
      <c r="D684" s="17" t="n">
        <f aca="false">Payment_Log_AP!D681</f>
        <v>46026</v>
      </c>
      <c r="E684" s="18" t="n">
        <f aca="false">Payment_Log_AP!E681</f>
        <v>1738.1</v>
      </c>
      <c r="F684" s="17" t="n">
        <f aca="false">IFERROR(INDEX(Vendor_Invoices_AP!$D$2:$D$882,MATCH(C684,Vendor_Invoices_AP!$A$2:$A$882,0)),"")</f>
        <v>45996</v>
      </c>
      <c r="G684" s="16" t="n">
        <f aca="false">IF(F684="","",D684-F684)</f>
        <v>30</v>
      </c>
      <c r="H684" s="21" t="n">
        <f aca="false">IF(F684="","",DATE(YEAR(D684),MONTH(D684),1))</f>
        <v>46023</v>
      </c>
    </row>
    <row r="685" customFormat="false" ht="15" hidden="false" customHeight="false" outlineLevel="0" collapsed="false">
      <c r="A685" s="16" t="str">
        <f aca="false">Payment_Log_AP!A682</f>
        <v>PAY40681</v>
      </c>
      <c r="B685" s="16" t="str">
        <f aca="false">Payment_Log_AP!C682</f>
        <v>V1010</v>
      </c>
      <c r="C685" s="16" t="str">
        <f aca="false">Payment_Log_AP!B682</f>
        <v>INV30799</v>
      </c>
      <c r="D685" s="17" t="n">
        <f aca="false">Payment_Log_AP!D682</f>
        <v>45815</v>
      </c>
      <c r="E685" s="18" t="n">
        <f aca="false">Payment_Log_AP!E682</f>
        <v>8655.91</v>
      </c>
      <c r="F685" s="17" t="n">
        <f aca="false">IFERROR(INDEX(Vendor_Invoices_AP!$D$2:$D$882,MATCH(C685,Vendor_Invoices_AP!$A$2:$A$882,0)),"")</f>
        <v>45789</v>
      </c>
      <c r="G685" s="16" t="n">
        <f aca="false">IF(F685="","",D685-F685)</f>
        <v>26</v>
      </c>
      <c r="H685" s="21" t="n">
        <f aca="false">IF(F685="","",DATE(YEAR(D685),MONTH(D685),1))</f>
        <v>45809</v>
      </c>
    </row>
    <row r="686" customFormat="false" ht="15" hidden="false" customHeight="false" outlineLevel="0" collapsed="false">
      <c r="A686" s="16" t="str">
        <f aca="false">Payment_Log_AP!A683</f>
        <v>PAY40682</v>
      </c>
      <c r="B686" s="16" t="str">
        <f aca="false">Payment_Log_AP!C683</f>
        <v>V1028</v>
      </c>
      <c r="C686" s="16" t="str">
        <f aca="false">Payment_Log_AP!B683</f>
        <v>INV30800</v>
      </c>
      <c r="D686" s="17" t="n">
        <f aca="false">Payment_Log_AP!D683</f>
        <v>46042</v>
      </c>
      <c r="E686" s="18" t="n">
        <f aca="false">Payment_Log_AP!E683</f>
        <v>3002.81</v>
      </c>
      <c r="F686" s="17" t="n">
        <f aca="false">IFERROR(INDEX(Vendor_Invoices_AP!$D$2:$D$882,MATCH(C686,Vendor_Invoices_AP!$A$2:$A$882,0)),"")</f>
        <v>46021</v>
      </c>
      <c r="G686" s="16" t="n">
        <f aca="false">IF(F686="","",D686-F686)</f>
        <v>21</v>
      </c>
      <c r="H686" s="21" t="n">
        <f aca="false">IF(F686="","",DATE(YEAR(D686),MONTH(D686),1))</f>
        <v>46023</v>
      </c>
    </row>
    <row r="687" customFormat="false" ht="15" hidden="false" customHeight="false" outlineLevel="0" collapsed="false">
      <c r="A687" s="16" t="str">
        <f aca="false">Payment_Log_AP!A684</f>
        <v>PAY40683</v>
      </c>
      <c r="B687" s="16" t="str">
        <f aca="false">Payment_Log_AP!C684</f>
        <v>V1038</v>
      </c>
      <c r="C687" s="16" t="str">
        <f aca="false">Payment_Log_AP!B684</f>
        <v>INV30801</v>
      </c>
      <c r="D687" s="17" t="n">
        <f aca="false">Payment_Log_AP!D684</f>
        <v>45822</v>
      </c>
      <c r="E687" s="18" t="n">
        <f aca="false">Payment_Log_AP!E684</f>
        <v>2069.86</v>
      </c>
      <c r="F687" s="17" t="n">
        <f aca="false">IFERROR(INDEX(Vendor_Invoices_AP!$D$2:$D$882,MATCH(C687,Vendor_Invoices_AP!$A$2:$A$882,0)),"")</f>
        <v>45791</v>
      </c>
      <c r="G687" s="16" t="n">
        <f aca="false">IF(F687="","",D687-F687)</f>
        <v>31</v>
      </c>
      <c r="H687" s="21" t="n">
        <f aca="false">IF(F687="","",DATE(YEAR(D687),MONTH(D687),1))</f>
        <v>45809</v>
      </c>
    </row>
    <row r="688" customFormat="false" ht="15" hidden="false" customHeight="false" outlineLevel="0" collapsed="false">
      <c r="A688" s="16" t="str">
        <f aca="false">Payment_Log_AP!A685</f>
        <v>PAY40684</v>
      </c>
      <c r="B688" s="16" t="str">
        <f aca="false">Payment_Log_AP!C685</f>
        <v>V1019</v>
      </c>
      <c r="C688" s="16" t="str">
        <f aca="false">Payment_Log_AP!B685</f>
        <v>INV30802</v>
      </c>
      <c r="D688" s="17" t="n">
        <f aca="false">Payment_Log_AP!D685</f>
        <v>45742</v>
      </c>
      <c r="E688" s="18" t="n">
        <f aca="false">Payment_Log_AP!E685</f>
        <v>1217.09</v>
      </c>
      <c r="F688" s="17" t="n">
        <f aca="false">IFERROR(INDEX(Vendor_Invoices_AP!$D$2:$D$882,MATCH(C688,Vendor_Invoices_AP!$A$2:$A$882,0)),"")</f>
        <v>45732</v>
      </c>
      <c r="G688" s="16" t="n">
        <f aca="false">IF(F688="","",D688-F688)</f>
        <v>10</v>
      </c>
      <c r="H688" s="21" t="n">
        <f aca="false">IF(F688="","",DATE(YEAR(D688),MONTH(D688),1))</f>
        <v>45717</v>
      </c>
    </row>
    <row r="689" customFormat="false" ht="15" hidden="false" customHeight="false" outlineLevel="0" collapsed="false">
      <c r="A689" s="16" t="str">
        <f aca="false">Payment_Log_AP!A686</f>
        <v>PAY40685</v>
      </c>
      <c r="B689" s="16" t="str">
        <f aca="false">Payment_Log_AP!C686</f>
        <v>V1009</v>
      </c>
      <c r="C689" s="16" t="str">
        <f aca="false">Payment_Log_AP!B686</f>
        <v>INV30803</v>
      </c>
      <c r="D689" s="17" t="n">
        <f aca="false">Payment_Log_AP!D686</f>
        <v>46133</v>
      </c>
      <c r="E689" s="18" t="n">
        <f aca="false">Payment_Log_AP!E686</f>
        <v>680.64</v>
      </c>
      <c r="F689" s="17" t="n">
        <f aca="false">IFERROR(INDEX(Vendor_Invoices_AP!$D$2:$D$882,MATCH(C689,Vendor_Invoices_AP!$A$2:$A$882,0)),"")</f>
        <v>46130</v>
      </c>
      <c r="G689" s="16" t="n">
        <f aca="false">IF(F689="","",D689-F689)</f>
        <v>3</v>
      </c>
      <c r="H689" s="21" t="n">
        <f aca="false">IF(F689="","",DATE(YEAR(D689),MONTH(D689),1))</f>
        <v>46113</v>
      </c>
    </row>
    <row r="690" customFormat="false" ht="15" hidden="false" customHeight="false" outlineLevel="0" collapsed="false">
      <c r="A690" s="16" t="str">
        <f aca="false">Payment_Log_AP!A687</f>
        <v>PAY40686</v>
      </c>
      <c r="B690" s="16" t="str">
        <f aca="false">Payment_Log_AP!C687</f>
        <v>V1035</v>
      </c>
      <c r="C690" s="16" t="str">
        <f aca="false">Payment_Log_AP!B687</f>
        <v>INV30804</v>
      </c>
      <c r="D690" s="17" t="n">
        <f aca="false">Payment_Log_AP!D687</f>
        <v>45911</v>
      </c>
      <c r="E690" s="18" t="n">
        <f aca="false">Payment_Log_AP!E687</f>
        <v>1467.37</v>
      </c>
      <c r="F690" s="17" t="n">
        <f aca="false">IFERROR(INDEX(Vendor_Invoices_AP!$D$2:$D$882,MATCH(C690,Vendor_Invoices_AP!$A$2:$A$882,0)),"")</f>
        <v>45883</v>
      </c>
      <c r="G690" s="16" t="n">
        <f aca="false">IF(F690="","",D690-F690)</f>
        <v>28</v>
      </c>
      <c r="H690" s="21" t="n">
        <f aca="false">IF(F690="","",DATE(YEAR(D690),MONTH(D690),1))</f>
        <v>45901</v>
      </c>
    </row>
    <row r="691" customFormat="false" ht="15" hidden="false" customHeight="false" outlineLevel="0" collapsed="false">
      <c r="A691" s="16" t="str">
        <f aca="false">Payment_Log_AP!A688</f>
        <v>PAY40687</v>
      </c>
      <c r="B691" s="16" t="str">
        <f aca="false">Payment_Log_AP!C688</f>
        <v>V1011</v>
      </c>
      <c r="C691" s="16" t="str">
        <f aca="false">Payment_Log_AP!B688</f>
        <v>INV30805</v>
      </c>
      <c r="D691" s="17" t="n">
        <f aca="false">Payment_Log_AP!D688</f>
        <v>46099</v>
      </c>
      <c r="E691" s="18" t="n">
        <f aca="false">Payment_Log_AP!E688</f>
        <v>816.48</v>
      </c>
      <c r="F691" s="17" t="n">
        <f aca="false">IFERROR(INDEX(Vendor_Invoices_AP!$D$2:$D$882,MATCH(C691,Vendor_Invoices_AP!$A$2:$A$882,0)),"")</f>
        <v>46097</v>
      </c>
      <c r="G691" s="16" t="n">
        <f aca="false">IF(F691="","",D691-F691)</f>
        <v>2</v>
      </c>
      <c r="H691" s="21" t="n">
        <f aca="false">IF(F691="","",DATE(YEAR(D691),MONTH(D691),1))</f>
        <v>46082</v>
      </c>
    </row>
    <row r="692" customFormat="false" ht="15" hidden="false" customHeight="false" outlineLevel="0" collapsed="false">
      <c r="A692" s="16" t="str">
        <f aca="false">Payment_Log_AP!A689</f>
        <v>PAY40688</v>
      </c>
      <c r="B692" s="16" t="str">
        <f aca="false">Payment_Log_AP!C689</f>
        <v>V1002</v>
      </c>
      <c r="C692" s="16" t="str">
        <f aca="false">Payment_Log_AP!B689</f>
        <v>INV30806</v>
      </c>
      <c r="D692" s="17" t="n">
        <f aca="false">Payment_Log_AP!D689</f>
        <v>45982</v>
      </c>
      <c r="E692" s="18" t="n">
        <f aca="false">Payment_Log_AP!E689</f>
        <v>1016.58</v>
      </c>
      <c r="F692" s="17" t="n">
        <f aca="false">IFERROR(INDEX(Vendor_Invoices_AP!$D$2:$D$882,MATCH(C692,Vendor_Invoices_AP!$A$2:$A$882,0)),"")</f>
        <v>45976</v>
      </c>
      <c r="G692" s="16" t="n">
        <f aca="false">IF(F692="","",D692-F692)</f>
        <v>6</v>
      </c>
      <c r="H692" s="21" t="n">
        <f aca="false">IF(F692="","",DATE(YEAR(D692),MONTH(D692),1))</f>
        <v>45962</v>
      </c>
    </row>
    <row r="693" customFormat="false" ht="15" hidden="false" customHeight="false" outlineLevel="0" collapsed="false">
      <c r="A693" s="16" t="str">
        <f aca="false">Payment_Log_AP!A690</f>
        <v>PAY40689</v>
      </c>
      <c r="B693" s="16" t="str">
        <f aca="false">Payment_Log_AP!C690</f>
        <v>V1035</v>
      </c>
      <c r="C693" s="16" t="str">
        <f aca="false">Payment_Log_AP!B690</f>
        <v>INV30807</v>
      </c>
      <c r="D693" s="17" t="n">
        <f aca="false">Payment_Log_AP!D690</f>
        <v>46132</v>
      </c>
      <c r="E693" s="18" t="n">
        <f aca="false">Payment_Log_AP!E690</f>
        <v>7498.53</v>
      </c>
      <c r="F693" s="17" t="n">
        <f aca="false">IFERROR(INDEX(Vendor_Invoices_AP!$D$2:$D$882,MATCH(C693,Vendor_Invoices_AP!$A$2:$A$882,0)),"")</f>
        <v>46112</v>
      </c>
      <c r="G693" s="16" t="n">
        <f aca="false">IF(F693="","",D693-F693)</f>
        <v>20</v>
      </c>
      <c r="H693" s="21" t="n">
        <f aca="false">IF(F693="","",DATE(YEAR(D693),MONTH(D693),1))</f>
        <v>46113</v>
      </c>
    </row>
    <row r="694" customFormat="false" ht="15" hidden="false" customHeight="false" outlineLevel="0" collapsed="false">
      <c r="A694" s="16" t="str">
        <f aca="false">Payment_Log_AP!A691</f>
        <v>PAY40690</v>
      </c>
      <c r="B694" s="16" t="str">
        <f aca="false">Payment_Log_AP!C691</f>
        <v>V1039</v>
      </c>
      <c r="C694" s="16" t="str">
        <f aca="false">Payment_Log_AP!B691</f>
        <v>INV30808</v>
      </c>
      <c r="D694" s="17" t="n">
        <f aca="false">Payment_Log_AP!D691</f>
        <v>46139</v>
      </c>
      <c r="E694" s="18" t="n">
        <f aca="false">Payment_Log_AP!E691</f>
        <v>396.51</v>
      </c>
      <c r="F694" s="17" t="n">
        <f aca="false">IFERROR(INDEX(Vendor_Invoices_AP!$D$2:$D$882,MATCH(C694,Vendor_Invoices_AP!$A$2:$A$882,0)),"")</f>
        <v>46122</v>
      </c>
      <c r="G694" s="16" t="n">
        <f aca="false">IF(F694="","",D694-F694)</f>
        <v>17</v>
      </c>
      <c r="H694" s="21" t="n">
        <f aca="false">IF(F694="","",DATE(YEAR(D694),MONTH(D694),1))</f>
        <v>46113</v>
      </c>
    </row>
    <row r="695" customFormat="false" ht="15" hidden="false" customHeight="false" outlineLevel="0" collapsed="false">
      <c r="A695" s="16" t="str">
        <f aca="false">Payment_Log_AP!A692</f>
        <v>PAY40691</v>
      </c>
      <c r="B695" s="16" t="str">
        <f aca="false">Payment_Log_AP!C692</f>
        <v>V1004</v>
      </c>
      <c r="C695" s="16" t="str">
        <f aca="false">Payment_Log_AP!B692</f>
        <v>INV30810</v>
      </c>
      <c r="D695" s="17" t="n">
        <f aca="false">Payment_Log_AP!D692</f>
        <v>46142</v>
      </c>
      <c r="E695" s="18" t="n">
        <f aca="false">Payment_Log_AP!E692</f>
        <v>1497.3</v>
      </c>
      <c r="F695" s="17" t="n">
        <f aca="false">IFERROR(INDEX(Vendor_Invoices_AP!$D$2:$D$882,MATCH(C695,Vendor_Invoices_AP!$A$2:$A$882,0)),"")</f>
        <v>46122</v>
      </c>
      <c r="G695" s="16" t="n">
        <f aca="false">IF(F695="","",D695-F695)</f>
        <v>20</v>
      </c>
      <c r="H695" s="21" t="n">
        <f aca="false">IF(F695="","",DATE(YEAR(D695),MONTH(D695),1))</f>
        <v>46113</v>
      </c>
    </row>
    <row r="696" customFormat="false" ht="15" hidden="false" customHeight="false" outlineLevel="0" collapsed="false">
      <c r="A696" s="16" t="str">
        <f aca="false">Payment_Log_AP!A693</f>
        <v>PAY40692</v>
      </c>
      <c r="B696" s="16" t="str">
        <f aca="false">Payment_Log_AP!C693</f>
        <v>V1013</v>
      </c>
      <c r="C696" s="16" t="str">
        <f aca="false">Payment_Log_AP!B693</f>
        <v>INV30812</v>
      </c>
      <c r="D696" s="17" t="n">
        <f aca="false">Payment_Log_AP!D693</f>
        <v>46048</v>
      </c>
      <c r="E696" s="18" t="n">
        <f aca="false">Payment_Log_AP!E693</f>
        <v>2091.54</v>
      </c>
      <c r="F696" s="17" t="n">
        <f aca="false">IFERROR(INDEX(Vendor_Invoices_AP!$D$2:$D$882,MATCH(C696,Vendor_Invoices_AP!$A$2:$A$882,0)),"")</f>
        <v>46013</v>
      </c>
      <c r="G696" s="16" t="n">
        <f aca="false">IF(F696="","",D696-F696)</f>
        <v>35</v>
      </c>
      <c r="H696" s="21" t="n">
        <f aca="false">IF(F696="","",DATE(YEAR(D696),MONTH(D696),1))</f>
        <v>46023</v>
      </c>
    </row>
    <row r="697" customFormat="false" ht="15" hidden="false" customHeight="false" outlineLevel="0" collapsed="false">
      <c r="A697" s="16" t="str">
        <f aca="false">Payment_Log_AP!A694</f>
        <v>PAY40693</v>
      </c>
      <c r="B697" s="16" t="str">
        <f aca="false">Payment_Log_AP!C694</f>
        <v>V1013</v>
      </c>
      <c r="C697" s="16" t="str">
        <f aca="false">Payment_Log_AP!B694</f>
        <v>INV30813</v>
      </c>
      <c r="D697" s="17" t="n">
        <f aca="false">Payment_Log_AP!D694</f>
        <v>46054</v>
      </c>
      <c r="E697" s="18" t="n">
        <f aca="false">Payment_Log_AP!E694</f>
        <v>2091.54</v>
      </c>
      <c r="F697" s="17" t="n">
        <f aca="false">IFERROR(INDEX(Vendor_Invoices_AP!$D$2:$D$882,MATCH(C697,Vendor_Invoices_AP!$A$2:$A$882,0)),"")</f>
        <v>46029</v>
      </c>
      <c r="G697" s="16" t="n">
        <f aca="false">IF(F697="","",D697-F697)</f>
        <v>25</v>
      </c>
      <c r="H697" s="21" t="n">
        <f aca="false">IF(F697="","",DATE(YEAR(D697),MONTH(D697),1))</f>
        <v>46054</v>
      </c>
    </row>
    <row r="698" customFormat="false" ht="15" hidden="false" customHeight="false" outlineLevel="0" collapsed="false">
      <c r="A698" s="16" t="str">
        <f aca="false">Payment_Log_AP!A695</f>
        <v>PAY40694</v>
      </c>
      <c r="B698" s="16" t="str">
        <f aca="false">Payment_Log_AP!C695</f>
        <v>V1030</v>
      </c>
      <c r="C698" s="16" t="str">
        <f aca="false">Payment_Log_AP!B695</f>
        <v>INV30814</v>
      </c>
      <c r="D698" s="17" t="n">
        <f aca="false">Payment_Log_AP!D695</f>
        <v>45692</v>
      </c>
      <c r="E698" s="18" t="n">
        <f aca="false">Payment_Log_AP!E695</f>
        <v>994.15</v>
      </c>
      <c r="F698" s="17" t="n">
        <f aca="false">IFERROR(INDEX(Vendor_Invoices_AP!$D$2:$D$882,MATCH(C698,Vendor_Invoices_AP!$A$2:$A$882,0)),"")</f>
        <v>45679</v>
      </c>
      <c r="G698" s="16" t="n">
        <f aca="false">IF(F698="","",D698-F698)</f>
        <v>13</v>
      </c>
      <c r="H698" s="21" t="n">
        <f aca="false">IF(F698="","",DATE(YEAR(D698),MONTH(D698),1))</f>
        <v>45689</v>
      </c>
    </row>
    <row r="699" customFormat="false" ht="15" hidden="false" customHeight="false" outlineLevel="0" collapsed="false">
      <c r="A699" s="16" t="str">
        <f aca="false">Payment_Log_AP!A696</f>
        <v>PAY40695</v>
      </c>
      <c r="B699" s="16" t="str">
        <f aca="false">Payment_Log_AP!C696</f>
        <v>V1016</v>
      </c>
      <c r="C699" s="16" t="str">
        <f aca="false">Payment_Log_AP!B696</f>
        <v>INV30815</v>
      </c>
      <c r="D699" s="17" t="n">
        <f aca="false">Payment_Log_AP!D696</f>
        <v>46180</v>
      </c>
      <c r="E699" s="18" t="n">
        <f aca="false">Payment_Log_AP!E696</f>
        <v>2802.36</v>
      </c>
      <c r="F699" s="17" t="n">
        <f aca="false">IFERROR(INDEX(Vendor_Invoices_AP!$D$2:$D$882,MATCH(C699,Vendor_Invoices_AP!$A$2:$A$882,0)),"")</f>
        <v>46170</v>
      </c>
      <c r="G699" s="16" t="n">
        <f aca="false">IF(F699="","",D699-F699)</f>
        <v>10</v>
      </c>
      <c r="H699" s="21" t="n">
        <f aca="false">IF(F699="","",DATE(YEAR(D699),MONTH(D699),1))</f>
        <v>46174</v>
      </c>
    </row>
    <row r="700" customFormat="false" ht="15" hidden="false" customHeight="false" outlineLevel="0" collapsed="false">
      <c r="A700" s="16" t="str">
        <f aca="false">Payment_Log_AP!A697</f>
        <v>PAY40696</v>
      </c>
      <c r="B700" s="16" t="str">
        <f aca="false">Payment_Log_AP!C697</f>
        <v>V1016</v>
      </c>
      <c r="C700" s="16" t="str">
        <f aca="false">Payment_Log_AP!B697</f>
        <v>INV30816</v>
      </c>
      <c r="D700" s="17" t="n">
        <f aca="false">Payment_Log_AP!D697</f>
        <v>46195</v>
      </c>
      <c r="E700" s="18" t="n">
        <f aca="false">Payment_Log_AP!E697</f>
        <v>2802.36</v>
      </c>
      <c r="F700" s="17" t="n">
        <f aca="false">IFERROR(INDEX(Vendor_Invoices_AP!$D$2:$D$882,MATCH(C700,Vendor_Invoices_AP!$A$2:$A$882,0)),"")</f>
        <v>46174</v>
      </c>
      <c r="G700" s="16" t="n">
        <f aca="false">IF(F700="","",D700-F700)</f>
        <v>21</v>
      </c>
      <c r="H700" s="21" t="n">
        <f aca="false">IF(F700="","",DATE(YEAR(D700),MONTH(D700),1))</f>
        <v>46174</v>
      </c>
    </row>
    <row r="701" customFormat="false" ht="15" hidden="false" customHeight="false" outlineLevel="0" collapsed="false">
      <c r="A701" s="16" t="str">
        <f aca="false">Payment_Log_AP!A698</f>
        <v>PAY40697</v>
      </c>
      <c r="B701" s="16" t="str">
        <f aca="false">Payment_Log_AP!C698</f>
        <v>V1031</v>
      </c>
      <c r="C701" s="16" t="str">
        <f aca="false">Payment_Log_AP!B698</f>
        <v>INV30817</v>
      </c>
      <c r="D701" s="17" t="n">
        <f aca="false">Payment_Log_AP!D698</f>
        <v>46127</v>
      </c>
      <c r="E701" s="18" t="n">
        <f aca="false">Payment_Log_AP!E698</f>
        <v>851.07</v>
      </c>
      <c r="F701" s="17" t="n">
        <f aca="false">IFERROR(INDEX(Vendor_Invoices_AP!$D$2:$D$882,MATCH(C701,Vendor_Invoices_AP!$A$2:$A$882,0)),"")</f>
        <v>46117</v>
      </c>
      <c r="G701" s="16" t="n">
        <f aca="false">IF(F701="","",D701-F701)</f>
        <v>10</v>
      </c>
      <c r="H701" s="21" t="n">
        <f aca="false">IF(F701="","",DATE(YEAR(D701),MONTH(D701),1))</f>
        <v>46113</v>
      </c>
    </row>
    <row r="702" customFormat="false" ht="15" hidden="false" customHeight="false" outlineLevel="0" collapsed="false">
      <c r="A702" s="16" t="str">
        <f aca="false">Payment_Log_AP!A699</f>
        <v>PAY40698</v>
      </c>
      <c r="B702" s="16" t="str">
        <f aca="false">Payment_Log_AP!C699</f>
        <v>V1037</v>
      </c>
      <c r="C702" s="16" t="str">
        <f aca="false">Payment_Log_AP!B699</f>
        <v>INV30818</v>
      </c>
      <c r="D702" s="17" t="n">
        <f aca="false">Payment_Log_AP!D699</f>
        <v>45851</v>
      </c>
      <c r="E702" s="18" t="n">
        <f aca="false">Payment_Log_AP!E699</f>
        <v>14407.31</v>
      </c>
      <c r="F702" s="17" t="n">
        <f aca="false">IFERROR(INDEX(Vendor_Invoices_AP!$D$2:$D$882,MATCH(C702,Vendor_Invoices_AP!$A$2:$A$882,0)),"")</f>
        <v>45824</v>
      </c>
      <c r="G702" s="16" t="n">
        <f aca="false">IF(F702="","",D702-F702)</f>
        <v>27</v>
      </c>
      <c r="H702" s="21" t="n">
        <f aca="false">IF(F702="","",DATE(YEAR(D702),MONTH(D702),1))</f>
        <v>45839</v>
      </c>
    </row>
    <row r="703" customFormat="false" ht="15" hidden="false" customHeight="false" outlineLevel="0" collapsed="false">
      <c r="A703" s="16" t="str">
        <f aca="false">Payment_Log_AP!A700</f>
        <v>PAY40699</v>
      </c>
      <c r="B703" s="16" t="str">
        <f aca="false">Payment_Log_AP!C700</f>
        <v>V1039</v>
      </c>
      <c r="C703" s="16" t="str">
        <f aca="false">Payment_Log_AP!B700</f>
        <v>INV30819</v>
      </c>
      <c r="D703" s="17" t="n">
        <f aca="false">Payment_Log_AP!D700</f>
        <v>45790</v>
      </c>
      <c r="E703" s="18" t="n">
        <f aca="false">Payment_Log_AP!E700</f>
        <v>562.05</v>
      </c>
      <c r="F703" s="17" t="n">
        <f aca="false">IFERROR(INDEX(Vendor_Invoices_AP!$D$2:$D$882,MATCH(C703,Vendor_Invoices_AP!$A$2:$A$882,0)),"")</f>
        <v>45761</v>
      </c>
      <c r="G703" s="16" t="n">
        <f aca="false">IF(F703="","",D703-F703)</f>
        <v>29</v>
      </c>
      <c r="H703" s="21" t="n">
        <f aca="false">IF(F703="","",DATE(YEAR(D703),MONTH(D703),1))</f>
        <v>45778</v>
      </c>
    </row>
    <row r="704" customFormat="false" ht="15" hidden="false" customHeight="false" outlineLevel="0" collapsed="false">
      <c r="A704" s="16" t="str">
        <f aca="false">Payment_Log_AP!A701</f>
        <v>PAY40700</v>
      </c>
      <c r="B704" s="16" t="str">
        <f aca="false">Payment_Log_AP!C701</f>
        <v>V1036</v>
      </c>
      <c r="C704" s="16" t="str">
        <f aca="false">Payment_Log_AP!B701</f>
        <v>INV30820</v>
      </c>
      <c r="D704" s="17" t="n">
        <f aca="false">Payment_Log_AP!D701</f>
        <v>46065</v>
      </c>
      <c r="E704" s="18" t="n">
        <f aca="false">Payment_Log_AP!E701</f>
        <v>4017.91</v>
      </c>
      <c r="F704" s="17" t="n">
        <f aca="false">IFERROR(INDEX(Vendor_Invoices_AP!$D$2:$D$882,MATCH(C704,Vendor_Invoices_AP!$A$2:$A$882,0)),"")</f>
        <v>46058</v>
      </c>
      <c r="G704" s="16" t="n">
        <f aca="false">IF(F704="","",D704-F704)</f>
        <v>7</v>
      </c>
      <c r="H704" s="21" t="n">
        <f aca="false">IF(F704="","",DATE(YEAR(D704),MONTH(D704),1))</f>
        <v>46054</v>
      </c>
    </row>
    <row r="705" customFormat="false" ht="15" hidden="false" customHeight="false" outlineLevel="0" collapsed="false">
      <c r="A705" s="16" t="str">
        <f aca="false">Payment_Log_AP!A702</f>
        <v>PAY40701</v>
      </c>
      <c r="B705" s="16" t="str">
        <f aca="false">Payment_Log_AP!C702</f>
        <v>V1028</v>
      </c>
      <c r="C705" s="16" t="str">
        <f aca="false">Payment_Log_AP!B702</f>
        <v>INV30822</v>
      </c>
      <c r="D705" s="17" t="n">
        <f aca="false">Payment_Log_AP!D702</f>
        <v>45880</v>
      </c>
      <c r="E705" s="18" t="n">
        <f aca="false">Payment_Log_AP!E702</f>
        <v>474.6</v>
      </c>
      <c r="F705" s="17" t="n">
        <f aca="false">IFERROR(INDEX(Vendor_Invoices_AP!$D$2:$D$882,MATCH(C705,Vendor_Invoices_AP!$A$2:$A$882,0)),"")</f>
        <v>45845</v>
      </c>
      <c r="G705" s="16" t="n">
        <f aca="false">IF(F705="","",D705-F705)</f>
        <v>35</v>
      </c>
      <c r="H705" s="21" t="n">
        <f aca="false">IF(F705="","",DATE(YEAR(D705),MONTH(D705),1))</f>
        <v>45870</v>
      </c>
    </row>
    <row r="706" customFormat="false" ht="15" hidden="false" customHeight="false" outlineLevel="0" collapsed="false">
      <c r="A706" s="16" t="str">
        <f aca="false">Payment_Log_AP!A703</f>
        <v>PAY40702</v>
      </c>
      <c r="B706" s="16" t="str">
        <f aca="false">Payment_Log_AP!C703</f>
        <v>V1023</v>
      </c>
      <c r="C706" s="16" t="str">
        <f aca="false">Payment_Log_AP!B703</f>
        <v>INV30823</v>
      </c>
      <c r="D706" s="17" t="n">
        <f aca="false">Payment_Log_AP!D703</f>
        <v>45683</v>
      </c>
      <c r="E706" s="18" t="n">
        <f aca="false">Payment_Log_AP!E703</f>
        <v>857.39</v>
      </c>
      <c r="F706" s="17" t="n">
        <f aca="false">IFERROR(INDEX(Vendor_Invoices_AP!$D$2:$D$882,MATCH(C706,Vendor_Invoices_AP!$A$2:$A$882,0)),"")</f>
        <v>45669</v>
      </c>
      <c r="G706" s="16" t="n">
        <f aca="false">IF(F706="","",D706-F706)</f>
        <v>14</v>
      </c>
      <c r="H706" s="21" t="n">
        <f aca="false">IF(F706="","",DATE(YEAR(D706),MONTH(D706),1))</f>
        <v>45658</v>
      </c>
    </row>
    <row r="707" customFormat="false" ht="15" hidden="false" customHeight="false" outlineLevel="0" collapsed="false">
      <c r="A707" s="16" t="str">
        <f aca="false">Payment_Log_AP!A704</f>
        <v>PAY40703</v>
      </c>
      <c r="B707" s="16" t="str">
        <f aca="false">Payment_Log_AP!C704</f>
        <v>V1003</v>
      </c>
      <c r="C707" s="16" t="str">
        <f aca="false">Payment_Log_AP!B704</f>
        <v>INV30824</v>
      </c>
      <c r="D707" s="17" t="n">
        <f aca="false">Payment_Log_AP!D704</f>
        <v>46150</v>
      </c>
      <c r="E707" s="18" t="n">
        <f aca="false">Payment_Log_AP!E704</f>
        <v>8319.43</v>
      </c>
      <c r="F707" s="17" t="n">
        <f aca="false">IFERROR(INDEX(Vendor_Invoices_AP!$D$2:$D$882,MATCH(C707,Vendor_Invoices_AP!$A$2:$A$882,0)),"")</f>
        <v>46149</v>
      </c>
      <c r="G707" s="16" t="n">
        <f aca="false">IF(F707="","",D707-F707)</f>
        <v>1</v>
      </c>
      <c r="H707" s="21" t="n">
        <f aca="false">IF(F707="","",DATE(YEAR(D707),MONTH(D707),1))</f>
        <v>46143</v>
      </c>
    </row>
    <row r="708" customFormat="false" ht="15" hidden="false" customHeight="false" outlineLevel="0" collapsed="false">
      <c r="A708" s="16" t="str">
        <f aca="false">Payment_Log_AP!A705</f>
        <v>PAY40704</v>
      </c>
      <c r="B708" s="16" t="str">
        <f aca="false">Payment_Log_AP!C705</f>
        <v>V1030</v>
      </c>
      <c r="C708" s="16" t="str">
        <f aca="false">Payment_Log_AP!B705</f>
        <v>INV30825</v>
      </c>
      <c r="D708" s="17" t="n">
        <f aca="false">Payment_Log_AP!D705</f>
        <v>46002</v>
      </c>
      <c r="E708" s="18" t="n">
        <f aca="false">Payment_Log_AP!E705</f>
        <v>259.66</v>
      </c>
      <c r="F708" s="17" t="n">
        <f aca="false">IFERROR(INDEX(Vendor_Invoices_AP!$D$2:$D$882,MATCH(C708,Vendor_Invoices_AP!$A$2:$A$882,0)),"")</f>
        <v>45982</v>
      </c>
      <c r="G708" s="16" t="n">
        <f aca="false">IF(F708="","",D708-F708)</f>
        <v>20</v>
      </c>
      <c r="H708" s="21" t="n">
        <f aca="false">IF(F708="","",DATE(YEAR(D708),MONTH(D708),1))</f>
        <v>45992</v>
      </c>
    </row>
    <row r="709" customFormat="false" ht="15" hidden="false" customHeight="false" outlineLevel="0" collapsed="false">
      <c r="A709" s="16" t="str">
        <f aca="false">Payment_Log_AP!A706</f>
        <v>PAY40705</v>
      </c>
      <c r="B709" s="16" t="str">
        <f aca="false">Payment_Log_AP!C706</f>
        <v>V1025</v>
      </c>
      <c r="C709" s="16" t="str">
        <f aca="false">Payment_Log_AP!B706</f>
        <v>INV30826</v>
      </c>
      <c r="D709" s="17" t="n">
        <f aca="false">Payment_Log_AP!D706</f>
        <v>45919</v>
      </c>
      <c r="E709" s="18" t="n">
        <f aca="false">Payment_Log_AP!E706</f>
        <v>1164.71</v>
      </c>
      <c r="F709" s="17" t="n">
        <f aca="false">IFERROR(INDEX(Vendor_Invoices_AP!$D$2:$D$882,MATCH(C709,Vendor_Invoices_AP!$A$2:$A$882,0)),"")</f>
        <v>45889</v>
      </c>
      <c r="G709" s="16" t="n">
        <f aca="false">IF(F709="","",D709-F709)</f>
        <v>30</v>
      </c>
      <c r="H709" s="21" t="n">
        <f aca="false">IF(F709="","",DATE(YEAR(D709),MONTH(D709),1))</f>
        <v>45901</v>
      </c>
    </row>
    <row r="710" customFormat="false" ht="15" hidden="false" customHeight="false" outlineLevel="0" collapsed="false">
      <c r="A710" s="16" t="str">
        <f aca="false">Payment_Log_AP!A707</f>
        <v>PAY40706</v>
      </c>
      <c r="B710" s="16" t="str">
        <f aca="false">Payment_Log_AP!C707</f>
        <v>V1002</v>
      </c>
      <c r="C710" s="16" t="str">
        <f aca="false">Payment_Log_AP!B707</f>
        <v>INV30827</v>
      </c>
      <c r="D710" s="17" t="n">
        <f aca="false">Payment_Log_AP!D707</f>
        <v>45788</v>
      </c>
      <c r="E710" s="18" t="n">
        <f aca="false">Payment_Log_AP!E707</f>
        <v>820.16</v>
      </c>
      <c r="F710" s="17" t="n">
        <f aca="false">IFERROR(INDEX(Vendor_Invoices_AP!$D$2:$D$882,MATCH(C710,Vendor_Invoices_AP!$A$2:$A$882,0)),"")</f>
        <v>45753</v>
      </c>
      <c r="G710" s="16" t="n">
        <f aca="false">IF(F710="","",D710-F710)</f>
        <v>35</v>
      </c>
      <c r="H710" s="21" t="n">
        <f aca="false">IF(F710="","",DATE(YEAR(D710),MONTH(D710),1))</f>
        <v>45778</v>
      </c>
    </row>
    <row r="711" customFormat="false" ht="15" hidden="false" customHeight="false" outlineLevel="0" collapsed="false">
      <c r="A711" s="16" t="str">
        <f aca="false">Payment_Log_AP!A708</f>
        <v>PAY40707</v>
      </c>
      <c r="B711" s="16" t="str">
        <f aca="false">Payment_Log_AP!C708</f>
        <v>V1030</v>
      </c>
      <c r="C711" s="16" t="str">
        <f aca="false">Payment_Log_AP!B708</f>
        <v>INV30828</v>
      </c>
      <c r="D711" s="17" t="n">
        <f aca="false">Payment_Log_AP!D708</f>
        <v>46023</v>
      </c>
      <c r="E711" s="18" t="n">
        <f aca="false">Payment_Log_AP!E708</f>
        <v>309.11</v>
      </c>
      <c r="F711" s="17" t="n">
        <f aca="false">IFERROR(INDEX(Vendor_Invoices_AP!$D$2:$D$882,MATCH(C711,Vendor_Invoices_AP!$A$2:$A$882,0)),"")</f>
        <v>46015</v>
      </c>
      <c r="G711" s="16" t="n">
        <f aca="false">IF(F711="","",D711-F711)</f>
        <v>8</v>
      </c>
      <c r="H711" s="21" t="n">
        <f aca="false">IF(F711="","",DATE(YEAR(D711),MONTH(D711),1))</f>
        <v>46023</v>
      </c>
    </row>
    <row r="712" customFormat="false" ht="15" hidden="false" customHeight="false" outlineLevel="0" collapsed="false">
      <c r="A712" s="16" t="str">
        <f aca="false">Payment_Log_AP!A709</f>
        <v>PAY40708</v>
      </c>
      <c r="B712" s="16" t="str">
        <f aca="false">Payment_Log_AP!C709</f>
        <v>V1024</v>
      </c>
      <c r="C712" s="16" t="str">
        <f aca="false">Payment_Log_AP!B709</f>
        <v>INV30829</v>
      </c>
      <c r="D712" s="17" t="n">
        <f aca="false">Payment_Log_AP!D709</f>
        <v>45691</v>
      </c>
      <c r="E712" s="18" t="n">
        <f aca="false">Payment_Log_AP!E709</f>
        <v>1722.25</v>
      </c>
      <c r="F712" s="17" t="n">
        <f aca="false">IFERROR(INDEX(Vendor_Invoices_AP!$D$2:$D$882,MATCH(C712,Vendor_Invoices_AP!$A$2:$A$882,0)),"")</f>
        <v>45680</v>
      </c>
      <c r="G712" s="16" t="n">
        <f aca="false">IF(F712="","",D712-F712)</f>
        <v>11</v>
      </c>
      <c r="H712" s="21" t="n">
        <f aca="false">IF(F712="","",DATE(YEAR(D712),MONTH(D712),1))</f>
        <v>45689</v>
      </c>
    </row>
    <row r="713" customFormat="false" ht="15" hidden="false" customHeight="false" outlineLevel="0" collapsed="false">
      <c r="A713" s="16" t="str">
        <f aca="false">Payment_Log_AP!A710</f>
        <v>PAY40709</v>
      </c>
      <c r="B713" s="16" t="str">
        <f aca="false">Payment_Log_AP!C710</f>
        <v>V1004</v>
      </c>
      <c r="C713" s="16" t="str">
        <f aca="false">Payment_Log_AP!B710</f>
        <v>INV30830</v>
      </c>
      <c r="D713" s="17" t="n">
        <f aca="false">Payment_Log_AP!D710</f>
        <v>46103</v>
      </c>
      <c r="E713" s="18" t="n">
        <f aca="false">Payment_Log_AP!E710</f>
        <v>1834.48</v>
      </c>
      <c r="F713" s="17" t="n">
        <f aca="false">IFERROR(INDEX(Vendor_Invoices_AP!$D$2:$D$882,MATCH(C713,Vendor_Invoices_AP!$A$2:$A$882,0)),"")</f>
        <v>46075</v>
      </c>
      <c r="G713" s="16" t="n">
        <f aca="false">IF(F713="","",D713-F713)</f>
        <v>28</v>
      </c>
      <c r="H713" s="21" t="n">
        <f aca="false">IF(F713="","",DATE(YEAR(D713),MONTH(D713),1))</f>
        <v>46082</v>
      </c>
    </row>
    <row r="714" customFormat="false" ht="15" hidden="false" customHeight="false" outlineLevel="0" collapsed="false">
      <c r="A714" s="16" t="str">
        <f aca="false">Payment_Log_AP!A711</f>
        <v>PAY40710</v>
      </c>
      <c r="B714" s="16" t="str">
        <f aca="false">Payment_Log_AP!C711</f>
        <v>V1037</v>
      </c>
      <c r="C714" s="16" t="str">
        <f aca="false">Payment_Log_AP!B711</f>
        <v>INV30833</v>
      </c>
      <c r="D714" s="17" t="n">
        <f aca="false">Payment_Log_AP!D711</f>
        <v>45865</v>
      </c>
      <c r="E714" s="18" t="n">
        <f aca="false">Payment_Log_AP!E711</f>
        <v>2804.48</v>
      </c>
      <c r="F714" s="17" t="n">
        <f aca="false">IFERROR(INDEX(Vendor_Invoices_AP!$D$2:$D$882,MATCH(C714,Vendor_Invoices_AP!$A$2:$A$882,0)),"")</f>
        <v>45859</v>
      </c>
      <c r="G714" s="16" t="n">
        <f aca="false">IF(F714="","",D714-F714)</f>
        <v>6</v>
      </c>
      <c r="H714" s="21" t="n">
        <f aca="false">IF(F714="","",DATE(YEAR(D714),MONTH(D714),1))</f>
        <v>45839</v>
      </c>
    </row>
    <row r="715" customFormat="false" ht="15" hidden="false" customHeight="false" outlineLevel="0" collapsed="false">
      <c r="A715" s="16" t="str">
        <f aca="false">Payment_Log_AP!A712</f>
        <v>PAY40711</v>
      </c>
      <c r="B715" s="16" t="str">
        <f aca="false">Payment_Log_AP!C712</f>
        <v>V1036</v>
      </c>
      <c r="C715" s="16" t="str">
        <f aca="false">Payment_Log_AP!B712</f>
        <v>INV30834</v>
      </c>
      <c r="D715" s="17" t="n">
        <f aca="false">Payment_Log_AP!D712</f>
        <v>45901</v>
      </c>
      <c r="E715" s="18" t="n">
        <f aca="false">Payment_Log_AP!E712</f>
        <v>241.56</v>
      </c>
      <c r="F715" s="17" t="n">
        <f aca="false">IFERROR(INDEX(Vendor_Invoices_AP!$D$2:$D$882,MATCH(C715,Vendor_Invoices_AP!$A$2:$A$882,0)),"")</f>
        <v>45874</v>
      </c>
      <c r="G715" s="16" t="n">
        <f aca="false">IF(F715="","",D715-F715)</f>
        <v>27</v>
      </c>
      <c r="H715" s="21" t="n">
        <f aca="false">IF(F715="","",DATE(YEAR(D715),MONTH(D715),1))</f>
        <v>45901</v>
      </c>
    </row>
    <row r="716" customFormat="false" ht="15" hidden="false" customHeight="false" outlineLevel="0" collapsed="false">
      <c r="A716" s="16" t="str">
        <f aca="false">Payment_Log_AP!A713</f>
        <v>PAY40712</v>
      </c>
      <c r="B716" s="16" t="str">
        <f aca="false">Payment_Log_AP!C713</f>
        <v>V1024</v>
      </c>
      <c r="C716" s="16" t="str">
        <f aca="false">Payment_Log_AP!B713</f>
        <v>INV30835</v>
      </c>
      <c r="D716" s="17" t="n">
        <f aca="false">Payment_Log_AP!D713</f>
        <v>46103</v>
      </c>
      <c r="E716" s="18" t="n">
        <f aca="false">Payment_Log_AP!E713</f>
        <v>2328.97</v>
      </c>
      <c r="F716" s="17" t="n">
        <f aca="false">IFERROR(INDEX(Vendor_Invoices_AP!$D$2:$D$882,MATCH(C716,Vendor_Invoices_AP!$A$2:$A$882,0)),"")</f>
        <v>46068</v>
      </c>
      <c r="G716" s="16" t="n">
        <f aca="false">IF(F716="","",D716-F716)</f>
        <v>35</v>
      </c>
      <c r="H716" s="21" t="n">
        <f aca="false">IF(F716="","",DATE(YEAR(D716),MONTH(D716),1))</f>
        <v>46082</v>
      </c>
    </row>
    <row r="717" customFormat="false" ht="15" hidden="false" customHeight="false" outlineLevel="0" collapsed="false">
      <c r="A717" s="16" t="str">
        <f aca="false">Payment_Log_AP!A714</f>
        <v>PAY40713</v>
      </c>
      <c r="B717" s="16" t="str">
        <f aca="false">Payment_Log_AP!C714</f>
        <v>V1030</v>
      </c>
      <c r="C717" s="16" t="str">
        <f aca="false">Payment_Log_AP!B714</f>
        <v>INV30836</v>
      </c>
      <c r="D717" s="17" t="n">
        <f aca="false">Payment_Log_AP!D714</f>
        <v>46086</v>
      </c>
      <c r="E717" s="18" t="n">
        <f aca="false">Payment_Log_AP!E714</f>
        <v>830.55</v>
      </c>
      <c r="F717" s="17" t="n">
        <f aca="false">IFERROR(INDEX(Vendor_Invoices_AP!$D$2:$D$882,MATCH(C717,Vendor_Invoices_AP!$A$2:$A$882,0)),"")</f>
        <v>46083</v>
      </c>
      <c r="G717" s="16" t="n">
        <f aca="false">IF(F717="","",D717-F717)</f>
        <v>3</v>
      </c>
      <c r="H717" s="21" t="n">
        <f aca="false">IF(F717="","",DATE(YEAR(D717),MONTH(D717),1))</f>
        <v>46082</v>
      </c>
    </row>
    <row r="718" customFormat="false" ht="15" hidden="false" customHeight="false" outlineLevel="0" collapsed="false">
      <c r="A718" s="16" t="str">
        <f aca="false">Payment_Log_AP!A715</f>
        <v>PAY40714</v>
      </c>
      <c r="B718" s="16" t="str">
        <f aca="false">Payment_Log_AP!C715</f>
        <v>V1029</v>
      </c>
      <c r="C718" s="16" t="str">
        <f aca="false">Payment_Log_AP!B715</f>
        <v>INV30837</v>
      </c>
      <c r="D718" s="17" t="n">
        <f aca="false">Payment_Log_AP!D715</f>
        <v>46002</v>
      </c>
      <c r="E718" s="18" t="n">
        <f aca="false">Payment_Log_AP!E715</f>
        <v>1962.84</v>
      </c>
      <c r="F718" s="17" t="n">
        <f aca="false">IFERROR(INDEX(Vendor_Invoices_AP!$D$2:$D$882,MATCH(C718,Vendor_Invoices_AP!$A$2:$A$882,0)),"")</f>
        <v>45972</v>
      </c>
      <c r="G718" s="16" t="n">
        <f aca="false">IF(F718="","",D718-F718)</f>
        <v>30</v>
      </c>
      <c r="H718" s="21" t="n">
        <f aca="false">IF(F718="","",DATE(YEAR(D718),MONTH(D718),1))</f>
        <v>45992</v>
      </c>
    </row>
    <row r="719" customFormat="false" ht="15" hidden="false" customHeight="false" outlineLevel="0" collapsed="false">
      <c r="A719" s="16" t="str">
        <f aca="false">Payment_Log_AP!A716</f>
        <v>PAY40715</v>
      </c>
      <c r="B719" s="16" t="str">
        <f aca="false">Payment_Log_AP!C716</f>
        <v>V1026</v>
      </c>
      <c r="C719" s="16" t="str">
        <f aca="false">Payment_Log_AP!B716</f>
        <v>INV30838</v>
      </c>
      <c r="D719" s="17" t="n">
        <f aca="false">Payment_Log_AP!D716</f>
        <v>45735</v>
      </c>
      <c r="E719" s="18" t="n">
        <f aca="false">Payment_Log_AP!E716</f>
        <v>254.85</v>
      </c>
      <c r="F719" s="17" t="n">
        <f aca="false">IFERROR(INDEX(Vendor_Invoices_AP!$D$2:$D$882,MATCH(C719,Vendor_Invoices_AP!$A$2:$A$882,0)),"")</f>
        <v>45727</v>
      </c>
      <c r="G719" s="16" t="n">
        <f aca="false">IF(F719="","",D719-F719)</f>
        <v>8</v>
      </c>
      <c r="H719" s="21" t="n">
        <f aca="false">IF(F719="","",DATE(YEAR(D719),MONTH(D719),1))</f>
        <v>45717</v>
      </c>
    </row>
    <row r="720" customFormat="false" ht="15" hidden="false" customHeight="false" outlineLevel="0" collapsed="false">
      <c r="A720" s="16" t="str">
        <f aca="false">Payment_Log_AP!A717</f>
        <v>PAY40716</v>
      </c>
      <c r="B720" s="16" t="str">
        <f aca="false">Payment_Log_AP!C717</f>
        <v>V1023</v>
      </c>
      <c r="C720" s="16" t="str">
        <f aca="false">Payment_Log_AP!B717</f>
        <v>INV30840</v>
      </c>
      <c r="D720" s="17" t="n">
        <f aca="false">Payment_Log_AP!D717</f>
        <v>45794</v>
      </c>
      <c r="E720" s="18" t="n">
        <f aca="false">Payment_Log_AP!E717</f>
        <v>6224.71</v>
      </c>
      <c r="F720" s="17" t="n">
        <f aca="false">IFERROR(INDEX(Vendor_Invoices_AP!$D$2:$D$882,MATCH(C720,Vendor_Invoices_AP!$A$2:$A$882,0)),"")</f>
        <v>45768</v>
      </c>
      <c r="G720" s="16" t="n">
        <f aca="false">IF(F720="","",D720-F720)</f>
        <v>26</v>
      </c>
      <c r="H720" s="21" t="n">
        <f aca="false">IF(F720="","",DATE(YEAR(D720),MONTH(D720),1))</f>
        <v>45778</v>
      </c>
    </row>
    <row r="721" customFormat="false" ht="15" hidden="false" customHeight="false" outlineLevel="0" collapsed="false">
      <c r="A721" s="16" t="str">
        <f aca="false">Payment_Log_AP!A718</f>
        <v>PAY40717</v>
      </c>
      <c r="B721" s="16" t="str">
        <f aca="false">Payment_Log_AP!C718</f>
        <v>V1033</v>
      </c>
      <c r="C721" s="16" t="str">
        <f aca="false">Payment_Log_AP!B718</f>
        <v>INV30841</v>
      </c>
      <c r="D721" s="17" t="n">
        <f aca="false">Payment_Log_AP!D718</f>
        <v>46031</v>
      </c>
      <c r="E721" s="18" t="n">
        <f aca="false">Payment_Log_AP!E718</f>
        <v>505.83</v>
      </c>
      <c r="F721" s="17" t="n">
        <f aca="false">IFERROR(INDEX(Vendor_Invoices_AP!$D$2:$D$882,MATCH(C721,Vendor_Invoices_AP!$A$2:$A$882,0)),"")</f>
        <v>45998</v>
      </c>
      <c r="G721" s="16" t="n">
        <f aca="false">IF(F721="","",D721-F721)</f>
        <v>33</v>
      </c>
      <c r="H721" s="21" t="n">
        <f aca="false">IF(F721="","",DATE(YEAR(D721),MONTH(D721),1))</f>
        <v>46023</v>
      </c>
    </row>
    <row r="722" customFormat="false" ht="15" hidden="false" customHeight="false" outlineLevel="0" collapsed="false">
      <c r="A722" s="16" t="str">
        <f aca="false">Payment_Log_AP!A719</f>
        <v>PAY40718</v>
      </c>
      <c r="B722" s="16" t="str">
        <f aca="false">Payment_Log_AP!C719</f>
        <v>V1029</v>
      </c>
      <c r="C722" s="16" t="str">
        <f aca="false">Payment_Log_AP!B719</f>
        <v>INV30842</v>
      </c>
      <c r="D722" s="17" t="n">
        <f aca="false">Payment_Log_AP!D719</f>
        <v>46053</v>
      </c>
      <c r="E722" s="18" t="n">
        <f aca="false">Payment_Log_AP!E719</f>
        <v>3028.33</v>
      </c>
      <c r="F722" s="17" t="n">
        <f aca="false">IFERROR(INDEX(Vendor_Invoices_AP!$D$2:$D$882,MATCH(C722,Vendor_Invoices_AP!$A$2:$A$882,0)),"")</f>
        <v>46033</v>
      </c>
      <c r="G722" s="16" t="n">
        <f aca="false">IF(F722="","",D722-F722)</f>
        <v>20</v>
      </c>
      <c r="H722" s="21" t="n">
        <f aca="false">IF(F722="","",DATE(YEAR(D722),MONTH(D722),1))</f>
        <v>46023</v>
      </c>
    </row>
    <row r="723" customFormat="false" ht="15" hidden="false" customHeight="false" outlineLevel="0" collapsed="false">
      <c r="A723" s="16" t="str">
        <f aca="false">Payment_Log_AP!A720</f>
        <v>PAY40719</v>
      </c>
      <c r="B723" s="16" t="str">
        <f aca="false">Payment_Log_AP!C720</f>
        <v>V1035</v>
      </c>
      <c r="C723" s="16" t="str">
        <f aca="false">Payment_Log_AP!B720</f>
        <v>INV30843</v>
      </c>
      <c r="D723" s="17" t="n">
        <f aca="false">Payment_Log_AP!D720</f>
        <v>45838</v>
      </c>
      <c r="E723" s="18" t="n">
        <f aca="false">Payment_Log_AP!E720</f>
        <v>556.23</v>
      </c>
      <c r="F723" s="17" t="n">
        <f aca="false">IFERROR(INDEX(Vendor_Invoices_AP!$D$2:$D$882,MATCH(C723,Vendor_Invoices_AP!$A$2:$A$882,0)),"")</f>
        <v>45811</v>
      </c>
      <c r="G723" s="16" t="n">
        <f aca="false">IF(F723="","",D723-F723)</f>
        <v>27</v>
      </c>
      <c r="H723" s="21" t="n">
        <f aca="false">IF(F723="","",DATE(YEAR(D723),MONTH(D723),1))</f>
        <v>45809</v>
      </c>
    </row>
    <row r="724" customFormat="false" ht="15" hidden="false" customHeight="false" outlineLevel="0" collapsed="false">
      <c r="A724" s="16" t="str">
        <f aca="false">Payment_Log_AP!A721</f>
        <v>PAY40720</v>
      </c>
      <c r="B724" s="16" t="str">
        <f aca="false">Payment_Log_AP!C721</f>
        <v>V1021</v>
      </c>
      <c r="C724" s="16" t="str">
        <f aca="false">Payment_Log_AP!B721</f>
        <v>INV30844</v>
      </c>
      <c r="D724" s="17" t="n">
        <f aca="false">Payment_Log_AP!D721</f>
        <v>46059</v>
      </c>
      <c r="E724" s="18" t="n">
        <f aca="false">Payment_Log_AP!E721</f>
        <v>12577.38</v>
      </c>
      <c r="F724" s="17" t="n">
        <f aca="false">IFERROR(INDEX(Vendor_Invoices_AP!$D$2:$D$882,MATCH(C724,Vendor_Invoices_AP!$A$2:$A$882,0)),"")</f>
        <v>46035</v>
      </c>
      <c r="G724" s="16" t="n">
        <f aca="false">IF(F724="","",D724-F724)</f>
        <v>24</v>
      </c>
      <c r="H724" s="21" t="n">
        <f aca="false">IF(F724="","",DATE(YEAR(D724),MONTH(D724),1))</f>
        <v>46054</v>
      </c>
    </row>
    <row r="725" customFormat="false" ht="15" hidden="false" customHeight="false" outlineLevel="0" collapsed="false">
      <c r="A725" s="16" t="str">
        <f aca="false">Payment_Log_AP!A722</f>
        <v>PAY40721</v>
      </c>
      <c r="B725" s="16" t="str">
        <f aca="false">Payment_Log_AP!C722</f>
        <v>V1040</v>
      </c>
      <c r="C725" s="16" t="str">
        <f aca="false">Payment_Log_AP!B722</f>
        <v>INV30847</v>
      </c>
      <c r="D725" s="17" t="n">
        <f aca="false">Payment_Log_AP!D722</f>
        <v>45855</v>
      </c>
      <c r="E725" s="18" t="n">
        <f aca="false">Payment_Log_AP!E722</f>
        <v>1844.19</v>
      </c>
      <c r="F725" s="17" t="n">
        <f aca="false">IFERROR(INDEX(Vendor_Invoices_AP!$D$2:$D$882,MATCH(C725,Vendor_Invoices_AP!$A$2:$A$882,0)),"")</f>
        <v>45829</v>
      </c>
      <c r="G725" s="16" t="n">
        <f aca="false">IF(F725="","",D725-F725)</f>
        <v>26</v>
      </c>
      <c r="H725" s="21" t="n">
        <f aca="false">IF(F725="","",DATE(YEAR(D725),MONTH(D725),1))</f>
        <v>45839</v>
      </c>
    </row>
    <row r="726" customFormat="false" ht="15" hidden="false" customHeight="false" outlineLevel="0" collapsed="false">
      <c r="A726" s="16" t="str">
        <f aca="false">Payment_Log_AP!A723</f>
        <v>PAY40722</v>
      </c>
      <c r="B726" s="16" t="str">
        <f aca="false">Payment_Log_AP!C723</f>
        <v>V1016</v>
      </c>
      <c r="C726" s="16" t="str">
        <f aca="false">Payment_Log_AP!B723</f>
        <v>INV30848</v>
      </c>
      <c r="D726" s="17" t="n">
        <f aca="false">Payment_Log_AP!D723</f>
        <v>46090</v>
      </c>
      <c r="E726" s="18" t="n">
        <f aca="false">Payment_Log_AP!E723</f>
        <v>2123.23</v>
      </c>
      <c r="F726" s="17" t="n">
        <f aca="false">IFERROR(INDEX(Vendor_Invoices_AP!$D$2:$D$882,MATCH(C726,Vendor_Invoices_AP!$A$2:$A$882,0)),"")</f>
        <v>46086</v>
      </c>
      <c r="G726" s="16" t="n">
        <f aca="false">IF(F726="","",D726-F726)</f>
        <v>4</v>
      </c>
      <c r="H726" s="21" t="n">
        <f aca="false">IF(F726="","",DATE(YEAR(D726),MONTH(D726),1))</f>
        <v>46082</v>
      </c>
    </row>
    <row r="727" customFormat="false" ht="15" hidden="false" customHeight="false" outlineLevel="0" collapsed="false">
      <c r="A727" s="16" t="str">
        <f aca="false">Payment_Log_AP!A724</f>
        <v>PAY40723</v>
      </c>
      <c r="B727" s="16" t="str">
        <f aca="false">Payment_Log_AP!C724</f>
        <v>V1017</v>
      </c>
      <c r="C727" s="16" t="str">
        <f aca="false">Payment_Log_AP!B724</f>
        <v>INV30849</v>
      </c>
      <c r="D727" s="17" t="n">
        <f aca="false">Payment_Log_AP!D724</f>
        <v>45748</v>
      </c>
      <c r="E727" s="18" t="n">
        <f aca="false">Payment_Log_AP!E724</f>
        <v>424.45</v>
      </c>
      <c r="F727" s="17" t="n">
        <f aca="false">IFERROR(INDEX(Vendor_Invoices_AP!$D$2:$D$882,MATCH(C727,Vendor_Invoices_AP!$A$2:$A$882,0)),"")</f>
        <v>45736</v>
      </c>
      <c r="G727" s="16" t="n">
        <f aca="false">IF(F727="","",D727-F727)</f>
        <v>12</v>
      </c>
      <c r="H727" s="21" t="n">
        <f aca="false">IF(F727="","",DATE(YEAR(D727),MONTH(D727),1))</f>
        <v>45748</v>
      </c>
    </row>
    <row r="728" customFormat="false" ht="15" hidden="false" customHeight="false" outlineLevel="0" collapsed="false">
      <c r="A728" s="16" t="str">
        <f aca="false">Payment_Log_AP!A725</f>
        <v>PAY40724</v>
      </c>
      <c r="B728" s="16" t="str">
        <f aca="false">Payment_Log_AP!C725</f>
        <v>V1006</v>
      </c>
      <c r="C728" s="16" t="str">
        <f aca="false">Payment_Log_AP!B725</f>
        <v>INV30850</v>
      </c>
      <c r="D728" s="17" t="n">
        <f aca="false">Payment_Log_AP!D725</f>
        <v>45937</v>
      </c>
      <c r="E728" s="18" t="n">
        <f aca="false">Payment_Log_AP!E725</f>
        <v>751.88</v>
      </c>
      <c r="F728" s="17" t="n">
        <f aca="false">IFERROR(INDEX(Vendor_Invoices_AP!$D$2:$D$882,MATCH(C728,Vendor_Invoices_AP!$A$2:$A$882,0)),"")</f>
        <v>45909</v>
      </c>
      <c r="G728" s="16" t="n">
        <f aca="false">IF(F728="","",D728-F728)</f>
        <v>28</v>
      </c>
      <c r="H728" s="21" t="n">
        <f aca="false">IF(F728="","",DATE(YEAR(D728),MONTH(D728),1))</f>
        <v>45931</v>
      </c>
    </row>
    <row r="729" customFormat="false" ht="15" hidden="false" customHeight="false" outlineLevel="0" collapsed="false">
      <c r="A729" s="16" t="str">
        <f aca="false">Payment_Log_AP!A726</f>
        <v>PAY40725</v>
      </c>
      <c r="B729" s="16" t="str">
        <f aca="false">Payment_Log_AP!C726</f>
        <v>V1026</v>
      </c>
      <c r="C729" s="16" t="str">
        <f aca="false">Payment_Log_AP!B726</f>
        <v>INV30851</v>
      </c>
      <c r="D729" s="17" t="n">
        <f aca="false">Payment_Log_AP!D726</f>
        <v>45847</v>
      </c>
      <c r="E729" s="18" t="n">
        <f aca="false">Payment_Log_AP!E726</f>
        <v>2408.48</v>
      </c>
      <c r="F729" s="17" t="n">
        <f aca="false">IFERROR(INDEX(Vendor_Invoices_AP!$D$2:$D$882,MATCH(C729,Vendor_Invoices_AP!$A$2:$A$882,0)),"")</f>
        <v>45814</v>
      </c>
      <c r="G729" s="16" t="n">
        <f aca="false">IF(F729="","",D729-F729)</f>
        <v>33</v>
      </c>
      <c r="H729" s="21" t="n">
        <f aca="false">IF(F729="","",DATE(YEAR(D729),MONTH(D729),1))</f>
        <v>45839</v>
      </c>
    </row>
    <row r="730" customFormat="false" ht="15" hidden="false" customHeight="false" outlineLevel="0" collapsed="false">
      <c r="A730" s="16" t="str">
        <f aca="false">Payment_Log_AP!A727</f>
        <v>PAY40726</v>
      </c>
      <c r="B730" s="16" t="str">
        <f aca="false">Payment_Log_AP!C727</f>
        <v>V1025</v>
      </c>
      <c r="C730" s="16" t="str">
        <f aca="false">Payment_Log_AP!B727</f>
        <v>INV30852</v>
      </c>
      <c r="D730" s="17" t="n">
        <f aca="false">Payment_Log_AP!D727</f>
        <v>46048</v>
      </c>
      <c r="E730" s="18" t="n">
        <f aca="false">Payment_Log_AP!E727</f>
        <v>197.82</v>
      </c>
      <c r="F730" s="17" t="n">
        <f aca="false">IFERROR(INDEX(Vendor_Invoices_AP!$D$2:$D$882,MATCH(C730,Vendor_Invoices_AP!$A$2:$A$882,0)),"")</f>
        <v>46031</v>
      </c>
      <c r="G730" s="16" t="n">
        <f aca="false">IF(F730="","",D730-F730)</f>
        <v>17</v>
      </c>
      <c r="H730" s="21" t="n">
        <f aca="false">IF(F730="","",DATE(YEAR(D730),MONTH(D730),1))</f>
        <v>46023</v>
      </c>
    </row>
    <row r="731" customFormat="false" ht="15" hidden="false" customHeight="false" outlineLevel="0" collapsed="false">
      <c r="A731" s="16" t="str">
        <f aca="false">Payment_Log_AP!A728</f>
        <v>PAY40727</v>
      </c>
      <c r="B731" s="16" t="str">
        <f aca="false">Payment_Log_AP!C728</f>
        <v>V1014</v>
      </c>
      <c r="C731" s="16" t="str">
        <f aca="false">Payment_Log_AP!B728</f>
        <v>INV30853</v>
      </c>
      <c r="D731" s="17" t="n">
        <f aca="false">Payment_Log_AP!D728</f>
        <v>45936</v>
      </c>
      <c r="E731" s="18" t="n">
        <f aca="false">Payment_Log_AP!E728</f>
        <v>5024.64</v>
      </c>
      <c r="F731" s="17" t="n">
        <f aca="false">IFERROR(INDEX(Vendor_Invoices_AP!$D$2:$D$882,MATCH(C731,Vendor_Invoices_AP!$A$2:$A$882,0)),"")</f>
        <v>45930</v>
      </c>
      <c r="G731" s="16" t="n">
        <f aca="false">IF(F731="","",D731-F731)</f>
        <v>6</v>
      </c>
      <c r="H731" s="21" t="n">
        <f aca="false">IF(F731="","",DATE(YEAR(D731),MONTH(D731),1))</f>
        <v>45931</v>
      </c>
    </row>
    <row r="732" customFormat="false" ht="15" hidden="false" customHeight="false" outlineLevel="0" collapsed="false">
      <c r="A732" s="16" t="str">
        <f aca="false">Payment_Log_AP!A729</f>
        <v>PAY40728</v>
      </c>
      <c r="B732" s="16" t="str">
        <f aca="false">Payment_Log_AP!C729</f>
        <v>V1014</v>
      </c>
      <c r="C732" s="16" t="str">
        <f aca="false">Payment_Log_AP!B729</f>
        <v>INV30854</v>
      </c>
      <c r="D732" s="17" t="n">
        <f aca="false">Payment_Log_AP!D729</f>
        <v>45956</v>
      </c>
      <c r="E732" s="18" t="n">
        <f aca="false">Payment_Log_AP!E729</f>
        <v>5024.64</v>
      </c>
      <c r="F732" s="17" t="n">
        <f aca="false">IFERROR(INDEX(Vendor_Invoices_AP!$D$2:$D$882,MATCH(C732,Vendor_Invoices_AP!$A$2:$A$882,0)),"")</f>
        <v>45946</v>
      </c>
      <c r="G732" s="16" t="n">
        <f aca="false">IF(F732="","",D732-F732)</f>
        <v>10</v>
      </c>
      <c r="H732" s="21" t="n">
        <f aca="false">IF(F732="","",DATE(YEAR(D732),MONTH(D732),1))</f>
        <v>45931</v>
      </c>
    </row>
    <row r="733" customFormat="false" ht="15" hidden="false" customHeight="false" outlineLevel="0" collapsed="false">
      <c r="A733" s="16" t="str">
        <f aca="false">Payment_Log_AP!A730</f>
        <v>PAY40729</v>
      </c>
      <c r="B733" s="16" t="str">
        <f aca="false">Payment_Log_AP!C730</f>
        <v>V1034</v>
      </c>
      <c r="C733" s="16" t="str">
        <f aca="false">Payment_Log_AP!B730</f>
        <v>INV30855</v>
      </c>
      <c r="D733" s="17" t="n">
        <f aca="false">Payment_Log_AP!D730</f>
        <v>46048</v>
      </c>
      <c r="E733" s="18" t="n">
        <f aca="false">Payment_Log_AP!E730</f>
        <v>4289.12</v>
      </c>
      <c r="F733" s="17" t="n">
        <f aca="false">IFERROR(INDEX(Vendor_Invoices_AP!$D$2:$D$882,MATCH(C733,Vendor_Invoices_AP!$A$2:$A$882,0)),"")</f>
        <v>46042</v>
      </c>
      <c r="G733" s="16" t="n">
        <f aca="false">IF(F733="","",D733-F733)</f>
        <v>6</v>
      </c>
      <c r="H733" s="21" t="n">
        <f aca="false">IF(F733="","",DATE(YEAR(D733),MONTH(D733),1))</f>
        <v>46023</v>
      </c>
    </row>
    <row r="734" customFormat="false" ht="15" hidden="false" customHeight="false" outlineLevel="0" collapsed="false">
      <c r="A734" s="16" t="str">
        <f aca="false">Payment_Log_AP!A731</f>
        <v>PAY40730</v>
      </c>
      <c r="B734" s="16" t="str">
        <f aca="false">Payment_Log_AP!C731</f>
        <v>V1002</v>
      </c>
      <c r="C734" s="16" t="str">
        <f aca="false">Payment_Log_AP!B731</f>
        <v>INV30856</v>
      </c>
      <c r="D734" s="17" t="n">
        <f aca="false">Payment_Log_AP!D731</f>
        <v>45730</v>
      </c>
      <c r="E734" s="18" t="n">
        <f aca="false">Payment_Log_AP!E731</f>
        <v>264.62</v>
      </c>
      <c r="F734" s="17" t="n">
        <f aca="false">IFERROR(INDEX(Vendor_Invoices_AP!$D$2:$D$882,MATCH(C734,Vendor_Invoices_AP!$A$2:$A$882,0)),"")</f>
        <v>45700</v>
      </c>
      <c r="G734" s="16" t="n">
        <f aca="false">IF(F734="","",D734-F734)</f>
        <v>30</v>
      </c>
      <c r="H734" s="21" t="n">
        <f aca="false">IF(F734="","",DATE(YEAR(D734),MONTH(D734),1))</f>
        <v>45717</v>
      </c>
    </row>
    <row r="735" customFormat="false" ht="15" hidden="false" customHeight="false" outlineLevel="0" collapsed="false">
      <c r="A735" s="16" t="str">
        <f aca="false">Payment_Log_AP!A732</f>
        <v>PAY40731</v>
      </c>
      <c r="B735" s="16" t="str">
        <f aca="false">Payment_Log_AP!C732</f>
        <v>V1002</v>
      </c>
      <c r="C735" s="16" t="str">
        <f aca="false">Payment_Log_AP!B732</f>
        <v>INV30857</v>
      </c>
      <c r="D735" s="17" t="n">
        <f aca="false">Payment_Log_AP!D732</f>
        <v>45896</v>
      </c>
      <c r="E735" s="18" t="n">
        <f aca="false">Payment_Log_AP!E732</f>
        <v>18783.05</v>
      </c>
      <c r="F735" s="17" t="n">
        <f aca="false">IFERROR(INDEX(Vendor_Invoices_AP!$D$2:$D$882,MATCH(C735,Vendor_Invoices_AP!$A$2:$A$882,0)),"")</f>
        <v>45881</v>
      </c>
      <c r="G735" s="16" t="n">
        <f aca="false">IF(F735="","",D735-F735)</f>
        <v>15</v>
      </c>
      <c r="H735" s="21" t="n">
        <f aca="false">IF(F735="","",DATE(YEAR(D735),MONTH(D735),1))</f>
        <v>45870</v>
      </c>
    </row>
    <row r="736" customFormat="false" ht="15" hidden="false" customHeight="false" outlineLevel="0" collapsed="false">
      <c r="A736" s="16" t="str">
        <f aca="false">Payment_Log_AP!A733</f>
        <v>PAY40732</v>
      </c>
      <c r="B736" s="16" t="str">
        <f aca="false">Payment_Log_AP!C733</f>
        <v>V1031</v>
      </c>
      <c r="C736" s="16" t="str">
        <f aca="false">Payment_Log_AP!B733</f>
        <v>INV30858</v>
      </c>
      <c r="D736" s="17" t="n">
        <f aca="false">Payment_Log_AP!D733</f>
        <v>46027</v>
      </c>
      <c r="E736" s="18" t="n">
        <f aca="false">Payment_Log_AP!E733</f>
        <v>796.83</v>
      </c>
      <c r="F736" s="17" t="n">
        <f aca="false">IFERROR(INDEX(Vendor_Invoices_AP!$D$2:$D$882,MATCH(C736,Vendor_Invoices_AP!$A$2:$A$882,0)),"")</f>
        <v>46002</v>
      </c>
      <c r="G736" s="16" t="n">
        <f aca="false">IF(F736="","",D736-F736)</f>
        <v>25</v>
      </c>
      <c r="H736" s="21" t="n">
        <f aca="false">IF(F736="","",DATE(YEAR(D736),MONTH(D736),1))</f>
        <v>46023</v>
      </c>
    </row>
    <row r="737" customFormat="false" ht="15" hidden="false" customHeight="false" outlineLevel="0" collapsed="false">
      <c r="A737" s="16" t="str">
        <f aca="false">Payment_Log_AP!A734</f>
        <v>PAY40733</v>
      </c>
      <c r="B737" s="16" t="str">
        <f aca="false">Payment_Log_AP!C734</f>
        <v>V1034</v>
      </c>
      <c r="C737" s="16" t="str">
        <f aca="false">Payment_Log_AP!B734</f>
        <v>INV30859</v>
      </c>
      <c r="D737" s="17" t="n">
        <f aca="false">Payment_Log_AP!D734</f>
        <v>45691</v>
      </c>
      <c r="E737" s="18" t="n">
        <f aca="false">Payment_Log_AP!E734</f>
        <v>115.93</v>
      </c>
      <c r="F737" s="17" t="n">
        <f aca="false">IFERROR(INDEX(Vendor_Invoices_AP!$D$2:$D$882,MATCH(C737,Vendor_Invoices_AP!$A$2:$A$882,0)),"")</f>
        <v>45681</v>
      </c>
      <c r="G737" s="16" t="n">
        <f aca="false">IF(F737="","",D737-F737)</f>
        <v>10</v>
      </c>
      <c r="H737" s="21" t="n">
        <f aca="false">IF(F737="","",DATE(YEAR(D737),MONTH(D737),1))</f>
        <v>45689</v>
      </c>
    </row>
    <row r="738" customFormat="false" ht="15" hidden="false" customHeight="false" outlineLevel="0" collapsed="false">
      <c r="A738" s="16" t="str">
        <f aca="false">Payment_Log_AP!A735</f>
        <v>PAY40734</v>
      </c>
      <c r="B738" s="16" t="str">
        <f aca="false">Payment_Log_AP!C735</f>
        <v>V1039</v>
      </c>
      <c r="C738" s="16" t="str">
        <f aca="false">Payment_Log_AP!B735</f>
        <v>INV30860</v>
      </c>
      <c r="D738" s="17" t="n">
        <f aca="false">Payment_Log_AP!D735</f>
        <v>45832</v>
      </c>
      <c r="E738" s="18" t="n">
        <f aca="false">Payment_Log_AP!E735</f>
        <v>2115.29</v>
      </c>
      <c r="F738" s="17" t="n">
        <f aca="false">IFERROR(INDEX(Vendor_Invoices_AP!$D$2:$D$882,MATCH(C738,Vendor_Invoices_AP!$A$2:$A$882,0)),"")</f>
        <v>45825</v>
      </c>
      <c r="G738" s="16" t="n">
        <f aca="false">IF(F738="","",D738-F738)</f>
        <v>7</v>
      </c>
      <c r="H738" s="21" t="n">
        <f aca="false">IF(F738="","",DATE(YEAR(D738),MONTH(D738),1))</f>
        <v>45809</v>
      </c>
    </row>
    <row r="739" customFormat="false" ht="15" hidden="false" customHeight="false" outlineLevel="0" collapsed="false">
      <c r="A739" s="16" t="str">
        <f aca="false">Payment_Log_AP!A736</f>
        <v>PAY40735</v>
      </c>
      <c r="B739" s="16" t="str">
        <f aca="false">Payment_Log_AP!C736</f>
        <v>V1037</v>
      </c>
      <c r="C739" s="16" t="str">
        <f aca="false">Payment_Log_AP!B736</f>
        <v>INV30861</v>
      </c>
      <c r="D739" s="17" t="n">
        <f aca="false">Payment_Log_AP!D736</f>
        <v>45785</v>
      </c>
      <c r="E739" s="18" t="n">
        <f aca="false">Payment_Log_AP!E736</f>
        <v>1027.6</v>
      </c>
      <c r="F739" s="17" t="n">
        <f aca="false">IFERROR(INDEX(Vendor_Invoices_AP!$D$2:$D$882,MATCH(C739,Vendor_Invoices_AP!$A$2:$A$882,0)),"")</f>
        <v>45778</v>
      </c>
      <c r="G739" s="16" t="n">
        <f aca="false">IF(F739="","",D739-F739)</f>
        <v>7</v>
      </c>
      <c r="H739" s="21" t="n">
        <f aca="false">IF(F739="","",DATE(YEAR(D739),MONTH(D739),1))</f>
        <v>45778</v>
      </c>
    </row>
    <row r="740" customFormat="false" ht="15" hidden="false" customHeight="false" outlineLevel="0" collapsed="false">
      <c r="A740" s="16" t="str">
        <f aca="false">Payment_Log_AP!A737</f>
        <v>PAY40736</v>
      </c>
      <c r="B740" s="16" t="str">
        <f aca="false">Payment_Log_AP!C737</f>
        <v>V1003</v>
      </c>
      <c r="C740" s="16" t="str">
        <f aca="false">Payment_Log_AP!B737</f>
        <v>INV30862</v>
      </c>
      <c r="D740" s="17" t="n">
        <f aca="false">Payment_Log_AP!D737</f>
        <v>45752</v>
      </c>
      <c r="E740" s="18" t="n">
        <f aca="false">Payment_Log_AP!E737</f>
        <v>1165</v>
      </c>
      <c r="F740" s="17" t="n">
        <f aca="false">IFERROR(INDEX(Vendor_Invoices_AP!$D$2:$D$882,MATCH(C740,Vendor_Invoices_AP!$A$2:$A$882,0)),"")</f>
        <v>45746</v>
      </c>
      <c r="G740" s="16" t="n">
        <f aca="false">IF(F740="","",D740-F740)</f>
        <v>6</v>
      </c>
      <c r="H740" s="21" t="n">
        <f aca="false">IF(F740="","",DATE(YEAR(D740),MONTH(D740),1))</f>
        <v>45748</v>
      </c>
    </row>
    <row r="741" customFormat="false" ht="15" hidden="false" customHeight="false" outlineLevel="0" collapsed="false">
      <c r="A741" s="16" t="str">
        <f aca="false">Payment_Log_AP!A738</f>
        <v>PAY40737</v>
      </c>
      <c r="B741" s="16" t="str">
        <f aca="false">Payment_Log_AP!C738</f>
        <v>V1037</v>
      </c>
      <c r="C741" s="16" t="str">
        <f aca="false">Payment_Log_AP!B738</f>
        <v>INV30863</v>
      </c>
      <c r="D741" s="17" t="n">
        <f aca="false">Payment_Log_AP!D738</f>
        <v>45818</v>
      </c>
      <c r="E741" s="18" t="n">
        <f aca="false">Payment_Log_AP!E738</f>
        <v>1553.94</v>
      </c>
      <c r="F741" s="17" t="n">
        <f aca="false">IFERROR(INDEX(Vendor_Invoices_AP!$D$2:$D$882,MATCH(C741,Vendor_Invoices_AP!$A$2:$A$882,0)),"")</f>
        <v>45804</v>
      </c>
      <c r="G741" s="16" t="n">
        <f aca="false">IF(F741="","",D741-F741)</f>
        <v>14</v>
      </c>
      <c r="H741" s="21" t="n">
        <f aca="false">IF(F741="","",DATE(YEAR(D741),MONTH(D741),1))</f>
        <v>45809</v>
      </c>
    </row>
    <row r="742" customFormat="false" ht="15" hidden="false" customHeight="false" outlineLevel="0" collapsed="false">
      <c r="A742" s="16" t="str">
        <f aca="false">Payment_Log_AP!A739</f>
        <v>PAY40738</v>
      </c>
      <c r="B742" s="16" t="str">
        <f aca="false">Payment_Log_AP!C739</f>
        <v>V1037</v>
      </c>
      <c r="C742" s="16" t="str">
        <f aca="false">Payment_Log_AP!B739</f>
        <v>INV30864</v>
      </c>
      <c r="D742" s="17" t="n">
        <f aca="false">Payment_Log_AP!D739</f>
        <v>45835</v>
      </c>
      <c r="E742" s="18" t="n">
        <f aca="false">Payment_Log_AP!E739</f>
        <v>1553.94</v>
      </c>
      <c r="F742" s="17" t="n">
        <f aca="false">IFERROR(INDEX(Vendor_Invoices_AP!$D$2:$D$882,MATCH(C742,Vendor_Invoices_AP!$A$2:$A$882,0)),"")</f>
        <v>45808</v>
      </c>
      <c r="G742" s="16" t="n">
        <f aca="false">IF(F742="","",D742-F742)</f>
        <v>27</v>
      </c>
      <c r="H742" s="21" t="n">
        <f aca="false">IF(F742="","",DATE(YEAR(D742),MONTH(D742),1))</f>
        <v>45809</v>
      </c>
    </row>
    <row r="743" customFormat="false" ht="15" hidden="false" customHeight="false" outlineLevel="0" collapsed="false">
      <c r="A743" s="16" t="str">
        <f aca="false">Payment_Log_AP!A740</f>
        <v>PAY40739</v>
      </c>
      <c r="B743" s="16" t="str">
        <f aca="false">Payment_Log_AP!C740</f>
        <v>V1024</v>
      </c>
      <c r="C743" s="16" t="str">
        <f aca="false">Payment_Log_AP!B740</f>
        <v>INV30865</v>
      </c>
      <c r="D743" s="17" t="n">
        <f aca="false">Payment_Log_AP!D740</f>
        <v>45865</v>
      </c>
      <c r="E743" s="18" t="n">
        <f aca="false">Payment_Log_AP!E740</f>
        <v>764.25</v>
      </c>
      <c r="F743" s="17" t="n">
        <f aca="false">IFERROR(INDEX(Vendor_Invoices_AP!$D$2:$D$882,MATCH(C743,Vendor_Invoices_AP!$A$2:$A$882,0)),"")</f>
        <v>45851</v>
      </c>
      <c r="G743" s="16" t="n">
        <f aca="false">IF(F743="","",D743-F743)</f>
        <v>14</v>
      </c>
      <c r="H743" s="21" t="n">
        <f aca="false">IF(F743="","",DATE(YEAR(D743),MONTH(D743),1))</f>
        <v>45839</v>
      </c>
    </row>
    <row r="744" customFormat="false" ht="15" hidden="false" customHeight="false" outlineLevel="0" collapsed="false">
      <c r="A744" s="16" t="str">
        <f aca="false">Payment_Log_AP!A741</f>
        <v>PAY40740</v>
      </c>
      <c r="B744" s="16" t="str">
        <f aca="false">Payment_Log_AP!C741</f>
        <v>V1022</v>
      </c>
      <c r="C744" s="16" t="str">
        <f aca="false">Payment_Log_AP!B741</f>
        <v>INV30866</v>
      </c>
      <c r="D744" s="17" t="n">
        <f aca="false">Payment_Log_AP!D741</f>
        <v>45708</v>
      </c>
      <c r="E744" s="18" t="n">
        <f aca="false">Payment_Log_AP!E741</f>
        <v>8318.12</v>
      </c>
      <c r="F744" s="17" t="n">
        <f aca="false">IFERROR(INDEX(Vendor_Invoices_AP!$D$2:$D$882,MATCH(C744,Vendor_Invoices_AP!$A$2:$A$882,0)),"")</f>
        <v>45679</v>
      </c>
      <c r="G744" s="16" t="n">
        <f aca="false">IF(F744="","",D744-F744)</f>
        <v>29</v>
      </c>
      <c r="H744" s="21" t="n">
        <f aca="false">IF(F744="","",DATE(YEAR(D744),MONTH(D744),1))</f>
        <v>45689</v>
      </c>
    </row>
    <row r="745" customFormat="false" ht="15" hidden="false" customHeight="false" outlineLevel="0" collapsed="false">
      <c r="A745" s="16" t="str">
        <f aca="false">Payment_Log_AP!A742</f>
        <v>PAY40741</v>
      </c>
      <c r="B745" s="16" t="str">
        <f aca="false">Payment_Log_AP!C742</f>
        <v>V1027</v>
      </c>
      <c r="C745" s="16" t="str">
        <f aca="false">Payment_Log_AP!B742</f>
        <v>INV30867</v>
      </c>
      <c r="D745" s="17" t="n">
        <f aca="false">Payment_Log_AP!D742</f>
        <v>46094</v>
      </c>
      <c r="E745" s="18" t="n">
        <f aca="false">Payment_Log_AP!E742</f>
        <v>2564.63</v>
      </c>
      <c r="F745" s="17" t="n">
        <f aca="false">IFERROR(INDEX(Vendor_Invoices_AP!$D$2:$D$882,MATCH(C745,Vendor_Invoices_AP!$A$2:$A$882,0)),"")</f>
        <v>46082</v>
      </c>
      <c r="G745" s="16" t="n">
        <f aca="false">IF(F745="","",D745-F745)</f>
        <v>12</v>
      </c>
      <c r="H745" s="21" t="n">
        <f aca="false">IF(F745="","",DATE(YEAR(D745),MONTH(D745),1))</f>
        <v>46082</v>
      </c>
    </row>
    <row r="746" customFormat="false" ht="15" hidden="false" customHeight="false" outlineLevel="0" collapsed="false">
      <c r="A746" s="16" t="str">
        <f aca="false">Payment_Log_AP!A743</f>
        <v>PAY40742</v>
      </c>
      <c r="B746" s="16" t="str">
        <f aca="false">Payment_Log_AP!C743</f>
        <v>V1036</v>
      </c>
      <c r="C746" s="16" t="str">
        <f aca="false">Payment_Log_AP!B743</f>
        <v>INV30868</v>
      </c>
      <c r="D746" s="17" t="n">
        <f aca="false">Payment_Log_AP!D743</f>
        <v>45796</v>
      </c>
      <c r="E746" s="18" t="n">
        <f aca="false">Payment_Log_AP!E743</f>
        <v>5467.62</v>
      </c>
      <c r="F746" s="17" t="n">
        <f aca="false">IFERROR(INDEX(Vendor_Invoices_AP!$D$2:$D$882,MATCH(C746,Vendor_Invoices_AP!$A$2:$A$882,0)),"")</f>
        <v>45773</v>
      </c>
      <c r="G746" s="16" t="n">
        <f aca="false">IF(F746="","",D746-F746)</f>
        <v>23</v>
      </c>
      <c r="H746" s="21" t="n">
        <f aca="false">IF(F746="","",DATE(YEAR(D746),MONTH(D746),1))</f>
        <v>45778</v>
      </c>
    </row>
    <row r="747" customFormat="false" ht="15" hidden="false" customHeight="false" outlineLevel="0" collapsed="false">
      <c r="A747" s="16" t="str">
        <f aca="false">Payment_Log_AP!A744</f>
        <v>PAY40743</v>
      </c>
      <c r="B747" s="16" t="str">
        <f aca="false">Payment_Log_AP!C744</f>
        <v>V1009</v>
      </c>
      <c r="C747" s="16" t="str">
        <f aca="false">Payment_Log_AP!B744</f>
        <v>INV30869</v>
      </c>
      <c r="D747" s="17" t="n">
        <f aca="false">Payment_Log_AP!D744</f>
        <v>45873</v>
      </c>
      <c r="E747" s="18" t="n">
        <f aca="false">Payment_Log_AP!E744</f>
        <v>4948.03</v>
      </c>
      <c r="F747" s="17" t="n">
        <f aca="false">IFERROR(INDEX(Vendor_Invoices_AP!$D$2:$D$882,MATCH(C747,Vendor_Invoices_AP!$A$2:$A$882,0)),"")</f>
        <v>45872</v>
      </c>
      <c r="G747" s="16" t="n">
        <f aca="false">IF(F747="","",D747-F747)</f>
        <v>1</v>
      </c>
      <c r="H747" s="21" t="n">
        <f aca="false">IF(F747="","",DATE(YEAR(D747),MONTH(D747),1))</f>
        <v>45870</v>
      </c>
    </row>
    <row r="748" customFormat="false" ht="15" hidden="false" customHeight="false" outlineLevel="0" collapsed="false">
      <c r="A748" s="16" t="str">
        <f aca="false">Payment_Log_AP!A745</f>
        <v>PAY40744</v>
      </c>
      <c r="B748" s="16" t="str">
        <f aca="false">Payment_Log_AP!C745</f>
        <v>V1029</v>
      </c>
      <c r="C748" s="16" t="str">
        <f aca="false">Payment_Log_AP!B745</f>
        <v>INV30870</v>
      </c>
      <c r="D748" s="17" t="n">
        <f aca="false">Payment_Log_AP!D745</f>
        <v>46066</v>
      </c>
      <c r="E748" s="18" t="n">
        <f aca="false">Payment_Log_AP!E745</f>
        <v>1631.21</v>
      </c>
      <c r="F748" s="17" t="n">
        <f aca="false">IFERROR(INDEX(Vendor_Invoices_AP!$D$2:$D$882,MATCH(C748,Vendor_Invoices_AP!$A$2:$A$882,0)),"")</f>
        <v>46058</v>
      </c>
      <c r="G748" s="16" t="n">
        <f aca="false">IF(F748="","",D748-F748)</f>
        <v>8</v>
      </c>
      <c r="H748" s="21" t="n">
        <f aca="false">IF(F748="","",DATE(YEAR(D748),MONTH(D748),1))</f>
        <v>46054</v>
      </c>
    </row>
    <row r="749" customFormat="false" ht="15" hidden="false" customHeight="false" outlineLevel="0" collapsed="false">
      <c r="A749" s="16" t="str">
        <f aca="false">Payment_Log_AP!A746</f>
        <v>PAY40745</v>
      </c>
      <c r="B749" s="16" t="str">
        <f aca="false">Payment_Log_AP!C746</f>
        <v>V1040</v>
      </c>
      <c r="C749" s="16" t="str">
        <f aca="false">Payment_Log_AP!B746</f>
        <v>INV30871</v>
      </c>
      <c r="D749" s="17" t="n">
        <f aca="false">Payment_Log_AP!D746</f>
        <v>45987</v>
      </c>
      <c r="E749" s="18" t="n">
        <f aca="false">Payment_Log_AP!E746</f>
        <v>819.06</v>
      </c>
      <c r="F749" s="17" t="n">
        <f aca="false">IFERROR(INDEX(Vendor_Invoices_AP!$D$2:$D$882,MATCH(C749,Vendor_Invoices_AP!$A$2:$A$882,0)),"")</f>
        <v>45953</v>
      </c>
      <c r="G749" s="16" t="n">
        <f aca="false">IF(F749="","",D749-F749)</f>
        <v>34</v>
      </c>
      <c r="H749" s="21" t="n">
        <f aca="false">IF(F749="","",DATE(YEAR(D749),MONTH(D749),1))</f>
        <v>45962</v>
      </c>
    </row>
    <row r="750" customFormat="false" ht="15" hidden="false" customHeight="false" outlineLevel="0" collapsed="false">
      <c r="A750" s="16" t="str">
        <f aca="false">Payment_Log_AP!A747</f>
        <v>PAY40746</v>
      </c>
      <c r="B750" s="16" t="str">
        <f aca="false">Payment_Log_AP!C747</f>
        <v>V1009</v>
      </c>
      <c r="C750" s="16" t="str">
        <f aca="false">Payment_Log_AP!B747</f>
        <v>INV30872</v>
      </c>
      <c r="D750" s="17" t="n">
        <f aca="false">Payment_Log_AP!D747</f>
        <v>46138</v>
      </c>
      <c r="E750" s="18" t="n">
        <f aca="false">Payment_Log_AP!E747</f>
        <v>1380.81</v>
      </c>
      <c r="F750" s="17" t="n">
        <f aca="false">IFERROR(INDEX(Vendor_Invoices_AP!$D$2:$D$882,MATCH(C750,Vendor_Invoices_AP!$A$2:$A$882,0)),"")</f>
        <v>46124</v>
      </c>
      <c r="G750" s="16" t="n">
        <f aca="false">IF(F750="","",D750-F750)</f>
        <v>14</v>
      </c>
      <c r="H750" s="21" t="n">
        <f aca="false">IF(F750="","",DATE(YEAR(D750),MONTH(D750),1))</f>
        <v>46113</v>
      </c>
    </row>
    <row r="751" customFormat="false" ht="15" hidden="false" customHeight="false" outlineLevel="0" collapsed="false">
      <c r="A751" s="16" t="str">
        <f aca="false">Payment_Log_AP!A748</f>
        <v>PAY40747</v>
      </c>
      <c r="B751" s="16" t="str">
        <f aca="false">Payment_Log_AP!C748</f>
        <v>V1028</v>
      </c>
      <c r="C751" s="16" t="str">
        <f aca="false">Payment_Log_AP!B748</f>
        <v>INV30873</v>
      </c>
      <c r="D751" s="17" t="n">
        <f aca="false">Payment_Log_AP!D748</f>
        <v>46112</v>
      </c>
      <c r="E751" s="18" t="n">
        <f aca="false">Payment_Log_AP!E748</f>
        <v>537.91</v>
      </c>
      <c r="F751" s="17" t="n">
        <f aca="false">IFERROR(INDEX(Vendor_Invoices_AP!$D$2:$D$882,MATCH(C751,Vendor_Invoices_AP!$A$2:$A$882,0)),"")</f>
        <v>46103</v>
      </c>
      <c r="G751" s="16" t="n">
        <f aca="false">IF(F751="","",D751-F751)</f>
        <v>9</v>
      </c>
      <c r="H751" s="21" t="n">
        <f aca="false">IF(F751="","",DATE(YEAR(D751),MONTH(D751),1))</f>
        <v>46082</v>
      </c>
    </row>
    <row r="752" customFormat="false" ht="15" hidden="false" customHeight="false" outlineLevel="0" collapsed="false">
      <c r="A752" s="16" t="str">
        <f aca="false">Payment_Log_AP!A749</f>
        <v>PAY40748</v>
      </c>
      <c r="B752" s="16" t="str">
        <f aca="false">Payment_Log_AP!C749</f>
        <v>V1039</v>
      </c>
      <c r="C752" s="16" t="str">
        <f aca="false">Payment_Log_AP!B749</f>
        <v>INV30874</v>
      </c>
      <c r="D752" s="17" t="n">
        <f aca="false">Payment_Log_AP!D749</f>
        <v>45728</v>
      </c>
      <c r="E752" s="18" t="n">
        <f aca="false">Payment_Log_AP!E749</f>
        <v>2224.01</v>
      </c>
      <c r="F752" s="17" t="n">
        <f aca="false">IFERROR(INDEX(Vendor_Invoices_AP!$D$2:$D$882,MATCH(C752,Vendor_Invoices_AP!$A$2:$A$882,0)),"")</f>
        <v>45722</v>
      </c>
      <c r="G752" s="16" t="n">
        <f aca="false">IF(F752="","",D752-F752)</f>
        <v>6</v>
      </c>
      <c r="H752" s="21" t="n">
        <f aca="false">IF(F752="","",DATE(YEAR(D752),MONTH(D752),1))</f>
        <v>45717</v>
      </c>
    </row>
    <row r="753" customFormat="false" ht="15" hidden="false" customHeight="false" outlineLevel="0" collapsed="false">
      <c r="A753" s="16" t="str">
        <f aca="false">Payment_Log_AP!A750</f>
        <v>PAY40749</v>
      </c>
      <c r="B753" s="16" t="str">
        <f aca="false">Payment_Log_AP!C750</f>
        <v>V1019</v>
      </c>
      <c r="C753" s="16" t="str">
        <f aca="false">Payment_Log_AP!B750</f>
        <v>INV30875</v>
      </c>
      <c r="D753" s="17" t="n">
        <f aca="false">Payment_Log_AP!D750</f>
        <v>46179</v>
      </c>
      <c r="E753" s="18" t="n">
        <f aca="false">Payment_Log_AP!E750</f>
        <v>972.49</v>
      </c>
      <c r="F753" s="17" t="n">
        <f aca="false">IFERROR(INDEX(Vendor_Invoices_AP!$D$2:$D$882,MATCH(C753,Vendor_Invoices_AP!$A$2:$A$882,0)),"")</f>
        <v>46149</v>
      </c>
      <c r="G753" s="16" t="n">
        <f aca="false">IF(F753="","",D753-F753)</f>
        <v>30</v>
      </c>
      <c r="H753" s="21" t="n">
        <f aca="false">IF(F753="","",DATE(YEAR(D753),MONTH(D753),1))</f>
        <v>46174</v>
      </c>
    </row>
    <row r="754" customFormat="false" ht="15" hidden="false" customHeight="false" outlineLevel="0" collapsed="false">
      <c r="A754" s="16" t="str">
        <f aca="false">Payment_Log_AP!A751</f>
        <v>PAY40750</v>
      </c>
      <c r="B754" s="16" t="str">
        <f aca="false">Payment_Log_AP!C751</f>
        <v>V1020</v>
      </c>
      <c r="C754" s="16" t="str">
        <f aca="false">Payment_Log_AP!B751</f>
        <v>INV30878</v>
      </c>
      <c r="D754" s="17" t="n">
        <f aca="false">Payment_Log_AP!D751</f>
        <v>46195</v>
      </c>
      <c r="E754" s="18" t="n">
        <f aca="false">Payment_Log_AP!E751</f>
        <v>7892.6</v>
      </c>
      <c r="F754" s="17" t="n">
        <f aca="false">IFERROR(INDEX(Vendor_Invoices_AP!$D$2:$D$882,MATCH(C754,Vendor_Invoices_AP!$A$2:$A$882,0)),"")</f>
        <v>46182</v>
      </c>
      <c r="G754" s="16" t="n">
        <f aca="false">IF(F754="","",D754-F754)</f>
        <v>13</v>
      </c>
      <c r="H754" s="21" t="n">
        <f aca="false">IF(F754="","",DATE(YEAR(D754),MONTH(D754),1))</f>
        <v>46174</v>
      </c>
    </row>
    <row r="755" customFormat="false" ht="15" hidden="false" customHeight="false" outlineLevel="0" collapsed="false">
      <c r="A755" s="16" t="str">
        <f aca="false">Payment_Log_AP!A752</f>
        <v>PAY40751</v>
      </c>
      <c r="B755" s="16" t="str">
        <f aca="false">Payment_Log_AP!C752</f>
        <v>V1029</v>
      </c>
      <c r="C755" s="16" t="str">
        <f aca="false">Payment_Log_AP!B752</f>
        <v>INV30879</v>
      </c>
      <c r="D755" s="17" t="n">
        <f aca="false">Payment_Log_AP!D752</f>
        <v>46171</v>
      </c>
      <c r="E755" s="18" t="n">
        <f aca="false">Payment_Log_AP!E752</f>
        <v>5336.94</v>
      </c>
      <c r="F755" s="17" t="n">
        <f aca="false">IFERROR(INDEX(Vendor_Invoices_AP!$D$2:$D$882,MATCH(C755,Vendor_Invoices_AP!$A$2:$A$882,0)),"")</f>
        <v>46151</v>
      </c>
      <c r="G755" s="16" t="n">
        <f aca="false">IF(F755="","",D755-F755)</f>
        <v>20</v>
      </c>
      <c r="H755" s="21" t="n">
        <f aca="false">IF(F755="","",DATE(YEAR(D755),MONTH(D755),1))</f>
        <v>46143</v>
      </c>
    </row>
    <row r="756" customFormat="false" ht="15" hidden="false" customHeight="false" outlineLevel="0" collapsed="false">
      <c r="A756" s="16" t="str">
        <f aca="false">Payment_Log_AP!A753</f>
        <v>PAY40752</v>
      </c>
      <c r="B756" s="16" t="str">
        <f aca="false">Payment_Log_AP!C753</f>
        <v>V1014</v>
      </c>
      <c r="C756" s="16" t="str">
        <f aca="false">Payment_Log_AP!B753</f>
        <v>INV30881</v>
      </c>
      <c r="D756" s="17" t="n">
        <f aca="false">Payment_Log_AP!D753</f>
        <v>46002</v>
      </c>
      <c r="E756" s="18" t="n">
        <f aca="false">Payment_Log_AP!E753</f>
        <v>4104.49</v>
      </c>
      <c r="F756" s="17" t="n">
        <f aca="false">IFERROR(INDEX(Vendor_Invoices_AP!$D$2:$D$882,MATCH(C756,Vendor_Invoices_AP!$A$2:$A$882,0)),"")</f>
        <v>45973</v>
      </c>
      <c r="G756" s="16" t="n">
        <f aca="false">IF(F756="","",D756-F756)</f>
        <v>29</v>
      </c>
      <c r="H756" s="21" t="n">
        <f aca="false">IF(F756="","",DATE(YEAR(D756),MONTH(D756),1))</f>
        <v>45992</v>
      </c>
    </row>
  </sheetData>
  <autoFilter ref="A4:H7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5571</v>
      </c>
    </row>
    <row r="2" customFormat="false" ht="15" hidden="false" customHeight="false" outlineLevel="0" collapsed="false">
      <c r="A2" s="2" t="s">
        <v>5572</v>
      </c>
    </row>
    <row r="4" customFormat="false" ht="15" hidden="false" customHeight="false" outlineLevel="0" collapsed="false">
      <c r="A4" s="3" t="s">
        <v>5573</v>
      </c>
      <c r="B4" s="4"/>
    </row>
    <row r="5" customFormat="false" ht="15" hidden="false" customHeight="false" outlineLevel="0" collapsed="false">
      <c r="A5" s="8" t="s">
        <v>5574</v>
      </c>
      <c r="B5" s="22" t="n">
        <f aca="false">SUM(AP_Aging!$B$890:$B$893)</f>
        <v>569517.22</v>
      </c>
    </row>
    <row r="6" customFormat="false" ht="15" hidden="false" customHeight="false" outlineLevel="0" collapsed="false">
      <c r="A6" s="8" t="s">
        <v>5575</v>
      </c>
      <c r="B6" s="22" t="n">
        <f aca="false">SUM(Vendor_Invoices_AP!$E$2:$E$882)</f>
        <v>3067975.26</v>
      </c>
    </row>
    <row r="7" customFormat="false" ht="15" hidden="false" customHeight="false" outlineLevel="0" collapsed="false">
      <c r="A7" s="8" t="s">
        <v>5576</v>
      </c>
      <c r="B7" s="23" t="n">
        <f aca="false">MAX(Vendor_Invoices_AP!$D$2:$D$882)-MIN(Vendor_Invoices_AP!$D$2:$D$882)</f>
        <v>558</v>
      </c>
    </row>
    <row r="8" customFormat="false" ht="15" hidden="false" customHeight="false" outlineLevel="0" collapsed="false">
      <c r="A8" s="8" t="s">
        <v>5577</v>
      </c>
      <c r="B8" s="24" t="n">
        <f aca="false">B5/B6*B7</f>
        <v>103.583171906021</v>
      </c>
    </row>
    <row r="9" customFormat="false" ht="15" hidden="false" customHeight="false" outlineLevel="0" collapsed="false">
      <c r="A9" s="8" t="s">
        <v>5578</v>
      </c>
      <c r="B9" s="24" t="n">
        <f aca="false">AVERAGE(AP_Payment_Detail!$G$5:$G$756)</f>
        <v>17.9867021276596</v>
      </c>
    </row>
    <row r="11" customFormat="false" ht="15" hidden="false" customHeight="false" outlineLevel="0" collapsed="false">
      <c r="A11" s="3" t="s">
        <v>5579</v>
      </c>
      <c r="B11" s="4"/>
      <c r="C11" s="4"/>
    </row>
    <row r="12" customFormat="false" ht="27.75" hidden="false" customHeight="true" outlineLevel="0" collapsed="false">
      <c r="A12" s="7" t="s">
        <v>5580</v>
      </c>
      <c r="B12" s="7" t="s">
        <v>5581</v>
      </c>
      <c r="C12" s="7" t="s">
        <v>5582</v>
      </c>
    </row>
    <row r="13" customFormat="false" ht="15" hidden="false" customHeight="false" outlineLevel="0" collapsed="false">
      <c r="A13" s="25" t="n">
        <v>45658</v>
      </c>
      <c r="B13" s="26" t="n">
        <f aca="false">IFERROR(AVERAGEIFS(AP_Payment_Detail!$G$5:$G$756,AP_Payment_Detail!$H$5:$H$756,A13),0)</f>
        <v>8.66666666666667</v>
      </c>
      <c r="C13" s="27" t="n">
        <f aca="false">SUMIFS(AP_Payment_Detail!$E$5:$E$756,AP_Payment_Detail!$H$5:$H$756,A13)</f>
        <v>28576.85</v>
      </c>
    </row>
    <row r="14" customFormat="false" ht="15" hidden="false" customHeight="false" outlineLevel="0" collapsed="false">
      <c r="A14" s="25" t="n">
        <v>45689</v>
      </c>
      <c r="B14" s="26" t="n">
        <f aca="false">IFERROR(AVERAGEIFS(AP_Payment_Detail!$G$5:$G$756,AP_Payment_Detail!$H$5:$H$756,A14),0)</f>
        <v>16.4848484848485</v>
      </c>
      <c r="C14" s="27" t="n">
        <f aca="false">SUMIFS(AP_Payment_Detail!$E$5:$E$756,AP_Payment_Detail!$H$5:$H$756,A14)</f>
        <v>119868.99</v>
      </c>
    </row>
    <row r="15" customFormat="false" ht="15" hidden="false" customHeight="false" outlineLevel="0" collapsed="false">
      <c r="A15" s="25" t="n">
        <v>45717</v>
      </c>
      <c r="B15" s="26" t="n">
        <f aca="false">IFERROR(AVERAGEIFS(AP_Payment_Detail!$G$5:$G$756,AP_Payment_Detail!$H$5:$H$756,A15),0)</f>
        <v>16.0526315789474</v>
      </c>
      <c r="C15" s="27" t="n">
        <f aca="false">SUMIFS(AP_Payment_Detail!$E$5:$E$756,AP_Payment_Detail!$H$5:$H$756,A15)</f>
        <v>138285.77</v>
      </c>
    </row>
    <row r="16" customFormat="false" ht="15" hidden="false" customHeight="false" outlineLevel="0" collapsed="false">
      <c r="A16" s="25" t="n">
        <v>45748</v>
      </c>
      <c r="B16" s="26" t="n">
        <f aca="false">IFERROR(AVERAGEIFS(AP_Payment_Detail!$G$5:$G$756,AP_Payment_Detail!$H$5:$H$756,A16),0)</f>
        <v>18.475</v>
      </c>
      <c r="C16" s="27" t="n">
        <f aca="false">SUMIFS(AP_Payment_Detail!$E$5:$E$756,AP_Payment_Detail!$H$5:$H$756,A16)</f>
        <v>151944.6</v>
      </c>
    </row>
    <row r="17" customFormat="false" ht="15" hidden="false" customHeight="false" outlineLevel="0" collapsed="false">
      <c r="A17" s="25" t="n">
        <v>45778</v>
      </c>
      <c r="B17" s="26" t="n">
        <f aca="false">IFERROR(AVERAGEIFS(AP_Payment_Detail!$G$5:$G$756,AP_Payment_Detail!$H$5:$H$756,A17),0)</f>
        <v>18.025</v>
      </c>
      <c r="C17" s="27" t="n">
        <f aca="false">SUMIFS(AP_Payment_Detail!$E$5:$E$756,AP_Payment_Detail!$H$5:$H$756,A17)</f>
        <v>115131.97</v>
      </c>
    </row>
    <row r="18" customFormat="false" ht="15" hidden="false" customHeight="false" outlineLevel="0" collapsed="false">
      <c r="A18" s="25" t="n">
        <v>45809</v>
      </c>
      <c r="B18" s="26" t="n">
        <f aca="false">IFERROR(AVERAGEIFS(AP_Payment_Detail!$G$5:$G$756,AP_Payment_Detail!$H$5:$H$756,A18),0)</f>
        <v>16.5128205128205</v>
      </c>
      <c r="C18" s="27" t="n">
        <f aca="false">SUMIFS(AP_Payment_Detail!$E$5:$E$756,AP_Payment_Detail!$H$5:$H$756,A18)</f>
        <v>127916.17</v>
      </c>
    </row>
    <row r="19" customFormat="false" ht="15" hidden="false" customHeight="false" outlineLevel="0" collapsed="false">
      <c r="A19" s="25" t="n">
        <v>45839</v>
      </c>
      <c r="B19" s="26" t="n">
        <f aca="false">IFERROR(AVERAGEIFS(AP_Payment_Detail!$G$5:$G$756,AP_Payment_Detail!$H$5:$H$756,A19),0)</f>
        <v>17.7450980392157</v>
      </c>
      <c r="C19" s="27" t="n">
        <f aca="false">SUMIFS(AP_Payment_Detail!$E$5:$E$756,AP_Payment_Detail!$H$5:$H$756,A19)</f>
        <v>153034.98</v>
      </c>
    </row>
    <row r="20" customFormat="false" ht="15" hidden="false" customHeight="false" outlineLevel="0" collapsed="false">
      <c r="A20" s="25" t="n">
        <v>45870</v>
      </c>
      <c r="B20" s="26" t="n">
        <f aca="false">IFERROR(AVERAGEIFS(AP_Payment_Detail!$G$5:$G$756,AP_Payment_Detail!$H$5:$H$756,A20),0)</f>
        <v>18.0487804878049</v>
      </c>
      <c r="C20" s="27" t="n">
        <f aca="false">SUMIFS(AP_Payment_Detail!$E$5:$E$756,AP_Payment_Detail!$H$5:$H$756,A20)</f>
        <v>155487.54</v>
      </c>
    </row>
    <row r="21" customFormat="false" ht="15" hidden="false" customHeight="false" outlineLevel="0" collapsed="false">
      <c r="A21" s="25" t="n">
        <v>45901</v>
      </c>
      <c r="B21" s="26" t="n">
        <f aca="false">IFERROR(AVERAGEIFS(AP_Payment_Detail!$G$5:$G$756,AP_Payment_Detail!$H$5:$H$756,A21),0)</f>
        <v>17.1428571428571</v>
      </c>
      <c r="C21" s="27" t="n">
        <f aca="false">SUMIFS(AP_Payment_Detail!$E$5:$E$756,AP_Payment_Detail!$H$5:$H$756,A21)</f>
        <v>156557.35</v>
      </c>
    </row>
    <row r="22" customFormat="false" ht="15" hidden="false" customHeight="false" outlineLevel="0" collapsed="false">
      <c r="A22" s="25" t="n">
        <v>45931</v>
      </c>
      <c r="B22" s="26" t="n">
        <f aca="false">IFERROR(AVERAGEIFS(AP_Payment_Detail!$G$5:$G$756,AP_Payment_Detail!$H$5:$H$756,A22),0)</f>
        <v>18.75</v>
      </c>
      <c r="C22" s="27" t="n">
        <f aca="false">SUMIFS(AP_Payment_Detail!$E$5:$E$756,AP_Payment_Detail!$H$5:$H$756,A22)</f>
        <v>180558.89</v>
      </c>
    </row>
    <row r="23" customFormat="false" ht="15" hidden="false" customHeight="false" outlineLevel="0" collapsed="false">
      <c r="A23" s="25" t="n">
        <v>45962</v>
      </c>
      <c r="B23" s="26" t="n">
        <f aca="false">IFERROR(AVERAGEIFS(AP_Payment_Detail!$G$5:$G$756,AP_Payment_Detail!$H$5:$H$756,A23),0)</f>
        <v>19.1111111111111</v>
      </c>
      <c r="C23" s="27" t="n">
        <f aca="false">SUMIFS(AP_Payment_Detail!$E$5:$E$756,AP_Payment_Detail!$H$5:$H$756,A23)</f>
        <v>124879.11</v>
      </c>
    </row>
    <row r="24" customFormat="false" ht="15" hidden="false" customHeight="false" outlineLevel="0" collapsed="false">
      <c r="A24" s="25" t="n">
        <v>45992</v>
      </c>
      <c r="B24" s="26" t="n">
        <f aca="false">IFERROR(AVERAGEIFS(AP_Payment_Detail!$G$5:$G$756,AP_Payment_Detail!$H$5:$H$756,A24),0)</f>
        <v>17.8775510204082</v>
      </c>
      <c r="C24" s="27" t="n">
        <f aca="false">SUMIFS(AP_Payment_Detail!$E$5:$E$756,AP_Payment_Detail!$H$5:$H$756,A24)</f>
        <v>128841.83</v>
      </c>
    </row>
    <row r="25" customFormat="false" ht="15" hidden="false" customHeight="false" outlineLevel="0" collapsed="false">
      <c r="A25" s="25" t="n">
        <v>46023</v>
      </c>
      <c r="B25" s="26" t="n">
        <f aca="false">IFERROR(AVERAGEIFS(AP_Payment_Detail!$G$5:$G$756,AP_Payment_Detail!$H$5:$H$756,A25),0)</f>
        <v>18.1702127659574</v>
      </c>
      <c r="C25" s="27" t="n">
        <f aca="false">SUMIFS(AP_Payment_Detail!$E$5:$E$756,AP_Payment_Detail!$H$5:$H$756,A25)</f>
        <v>114036.6</v>
      </c>
    </row>
    <row r="26" customFormat="false" ht="15" hidden="false" customHeight="false" outlineLevel="0" collapsed="false">
      <c r="A26" s="25" t="n">
        <v>46054</v>
      </c>
      <c r="B26" s="26" t="n">
        <f aca="false">IFERROR(AVERAGEIFS(AP_Payment_Detail!$G$5:$G$756,AP_Payment_Detail!$H$5:$H$756,A26),0)</f>
        <v>19.44</v>
      </c>
      <c r="C26" s="27" t="n">
        <f aca="false">SUMIFS(AP_Payment_Detail!$E$5:$E$756,AP_Payment_Detail!$H$5:$H$756,A26)</f>
        <v>214951.16</v>
      </c>
    </row>
    <row r="27" customFormat="false" ht="15" hidden="false" customHeight="false" outlineLevel="0" collapsed="false">
      <c r="A27" s="25" t="n">
        <v>46082</v>
      </c>
      <c r="B27" s="26" t="n">
        <f aca="false">IFERROR(AVERAGEIFS(AP_Payment_Detail!$G$5:$G$756,AP_Payment_Detail!$H$5:$H$756,A27),0)</f>
        <v>17.9574468085106</v>
      </c>
      <c r="C27" s="27" t="n">
        <f aca="false">SUMIFS(AP_Payment_Detail!$E$5:$E$756,AP_Payment_Detail!$H$5:$H$756,A27)</f>
        <v>175339.43</v>
      </c>
    </row>
    <row r="28" customFormat="false" ht="15" hidden="false" customHeight="false" outlineLevel="0" collapsed="false">
      <c r="A28" s="25" t="n">
        <v>46113</v>
      </c>
      <c r="B28" s="26" t="n">
        <f aca="false">IFERROR(AVERAGEIFS(AP_Payment_Detail!$G$5:$G$756,AP_Payment_Detail!$H$5:$H$756,A28),0)</f>
        <v>19.4897959183673</v>
      </c>
      <c r="C28" s="27" t="n">
        <f aca="false">SUMIFS(AP_Payment_Detail!$E$5:$E$756,AP_Payment_Detail!$H$5:$H$756,A28)</f>
        <v>169620.51</v>
      </c>
    </row>
    <row r="29" customFormat="false" ht="15" hidden="false" customHeight="false" outlineLevel="0" collapsed="false">
      <c r="A29" s="25" t="n">
        <v>46143</v>
      </c>
      <c r="B29" s="26" t="n">
        <f aca="false">IFERROR(AVERAGEIFS(AP_Payment_Detail!$G$5:$G$756,AP_Payment_Detail!$H$5:$H$756,A29),0)</f>
        <v>19.5714285714286</v>
      </c>
      <c r="C29" s="27" t="n">
        <f aca="false">SUMIFS(AP_Payment_Detail!$E$5:$E$756,AP_Payment_Detail!$H$5:$H$756,A29)</f>
        <v>129491.66</v>
      </c>
    </row>
    <row r="30" customFormat="false" ht="15" hidden="false" customHeight="false" outlineLevel="0" collapsed="false">
      <c r="A30" s="25" t="n">
        <v>46174</v>
      </c>
      <c r="B30" s="26" t="n">
        <f aca="false">IFERROR(AVERAGEIFS(AP_Payment_Detail!$G$5:$G$756,AP_Payment_Detail!$H$5:$H$756,A30),0)</f>
        <v>17.5333333333333</v>
      </c>
      <c r="C30" s="27" t="n">
        <f aca="false">SUMIFS(AP_Payment_Detail!$E$5:$E$756,AP_Payment_Detail!$H$5:$H$756,A30)</f>
        <v>143562.16</v>
      </c>
    </row>
    <row r="31" customFormat="false" ht="15" hidden="false" customHeight="false" outlineLevel="0" collapsed="false">
      <c r="A31" s="25" t="n">
        <v>46204</v>
      </c>
      <c r="B31" s="26" t="n">
        <f aca="false">IFERROR(AVERAGEIFS(AP_Payment_Detail!$G$5:$G$756,AP_Payment_Detail!$H$5:$H$756,A31),0)</f>
        <v>11.75</v>
      </c>
      <c r="C31" s="27" t="n">
        <f aca="false">SUMIFS(AP_Payment_Detail!$E$5:$E$756,AP_Payment_Detail!$H$5:$H$756,A31)</f>
        <v>13225.35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6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5583</v>
      </c>
    </row>
    <row r="2" customFormat="false" ht="15" hidden="false" customHeight="false" outlineLevel="0" collapsed="false">
      <c r="A2" s="2" t="s">
        <v>5584</v>
      </c>
    </row>
    <row r="4" customFormat="false" ht="27.75" hidden="false" customHeight="true" outlineLevel="0" collapsed="false">
      <c r="A4" s="7" t="s">
        <v>4423</v>
      </c>
      <c r="B4" s="7" t="s">
        <v>204</v>
      </c>
      <c r="C4" s="7" t="s">
        <v>205</v>
      </c>
      <c r="D4" s="7" t="s">
        <v>4424</v>
      </c>
      <c r="E4" s="7" t="s">
        <v>1956</v>
      </c>
      <c r="F4" s="7" t="s">
        <v>1955</v>
      </c>
      <c r="G4" s="7" t="s">
        <v>5585</v>
      </c>
      <c r="H4" s="7" t="s">
        <v>5550</v>
      </c>
      <c r="I4" s="7" t="s">
        <v>5551</v>
      </c>
      <c r="J4" s="7" t="s">
        <v>5552</v>
      </c>
      <c r="K4" s="7" t="s">
        <v>5546</v>
      </c>
    </row>
    <row r="5" customFormat="false" ht="15" hidden="false" customHeight="false" outlineLevel="0" collapsed="false">
      <c r="A5" s="16" t="str">
        <f aca="false">Customer_Invoices_AR!A2</f>
        <v>ARI60001</v>
      </c>
      <c r="B5" s="16" t="str">
        <f aca="false">Customer_Invoices_AR!B2</f>
        <v>C2003</v>
      </c>
      <c r="C5" s="16" t="str">
        <f aca="false">IFERROR(INDEX(Customer_Master!$B$2:$B$31,MATCH(B5,Customer_Master!$A$2:$A$31,0)),"Unknown Customer")</f>
        <v>Robinson, Jones and Welch</v>
      </c>
      <c r="D5" s="17" t="n">
        <f aca="false">Customer_Invoices_AR!C2</f>
        <v>45986</v>
      </c>
      <c r="E5" s="17" t="n">
        <f aca="false">Customer_Invoices_AR!E2</f>
        <v>46031</v>
      </c>
      <c r="F5" s="18" t="n">
        <f aca="false">Customer_Invoices_AR!D2</f>
        <v>6493.93</v>
      </c>
      <c r="G5" s="18" t="n">
        <f aca="false">SUMIFS(Cash_Receipts_AR!$E$2:$E$503,Cash_Receipts_AR!$B$2:$B$503,A5)</f>
        <v>0</v>
      </c>
      <c r="H5" s="18" t="n">
        <f aca="false">F5-G5</f>
        <v>6493.93</v>
      </c>
      <c r="I5" s="16" t="n">
        <f aca="false">IF(H5&lt;=0.01,0,MAX(Assumptions!$B$5-E5,0))</f>
        <v>203</v>
      </c>
      <c r="J5" s="16" t="str">
        <f aca="false">IF(H5&lt;=0.01,"Paid",IF(I5&lt;=30,"0-30",IF(I5&lt;=60,"31-60",IF(I5&lt;=90,"61-90","90+"))))</f>
        <v>90+</v>
      </c>
      <c r="K5" s="16" t="str">
        <f aca="false">IF(H5&lt;=0.01,"Paid",IF(G5&gt;0,"Partially Paid","Unpaid"))</f>
        <v>Unpaid</v>
      </c>
    </row>
    <row r="6" customFormat="false" ht="15" hidden="false" customHeight="false" outlineLevel="0" collapsed="false">
      <c r="A6" s="16" t="str">
        <f aca="false">Customer_Invoices_AR!A3</f>
        <v>ARI60002</v>
      </c>
      <c r="B6" s="16" t="str">
        <f aca="false">Customer_Invoices_AR!B3</f>
        <v>C2014</v>
      </c>
      <c r="C6" s="16" t="str">
        <f aca="false">IFERROR(INDEX(Customer_Master!$B$2:$B$31,MATCH(B6,Customer_Master!$A$2:$A$31,0)),"Unknown Customer")</f>
        <v>Baxter Inc</v>
      </c>
      <c r="D6" s="17" t="n">
        <f aca="false">Customer_Invoices_AR!C3</f>
        <v>46072</v>
      </c>
      <c r="E6" s="17" t="n">
        <f aca="false">Customer_Invoices_AR!E3</f>
        <v>46102</v>
      </c>
      <c r="F6" s="18" t="n">
        <f aca="false">Customer_Invoices_AR!D3</f>
        <v>3250.9</v>
      </c>
      <c r="G6" s="18" t="n">
        <f aca="false">SUMIFS(Cash_Receipts_AR!$E$2:$E$503,Cash_Receipts_AR!$B$2:$B$503,A6)</f>
        <v>1523.91</v>
      </c>
      <c r="H6" s="18" t="n">
        <f aca="false">F6-G6</f>
        <v>1726.99</v>
      </c>
      <c r="I6" s="16" t="n">
        <f aca="false">IF(H6&lt;=0.01,0,MAX(Assumptions!$B$5-E6,0))</f>
        <v>132</v>
      </c>
      <c r="J6" s="16" t="str">
        <f aca="false">IF(H6&lt;=0.01,"Paid",IF(I6&lt;=30,"0-30",IF(I6&lt;=60,"31-60",IF(I6&lt;=90,"61-90","90+"))))</f>
        <v>90+</v>
      </c>
      <c r="K6" s="16" t="str">
        <f aca="false">IF(H6&lt;=0.01,"Paid",IF(G6&gt;0,"Partially Paid","Unpaid"))</f>
        <v>Partially Paid</v>
      </c>
    </row>
    <row r="7" customFormat="false" ht="15" hidden="false" customHeight="false" outlineLevel="0" collapsed="false">
      <c r="A7" s="16" t="str">
        <f aca="false">Customer_Invoices_AR!A4</f>
        <v>ARI60003</v>
      </c>
      <c r="B7" s="16" t="str">
        <f aca="false">Customer_Invoices_AR!B4</f>
        <v>C2010</v>
      </c>
      <c r="C7" s="16" t="str">
        <f aca="false">IFERROR(INDEX(Customer_Master!$B$2:$B$31,MATCH(B7,Customer_Master!$A$2:$A$31,0)),"Unknown Customer")</f>
        <v>Brown, Valdez and Lucas</v>
      </c>
      <c r="D7" s="17" t="n">
        <f aca="false">Customer_Invoices_AR!C4</f>
        <v>46015</v>
      </c>
      <c r="E7" s="17" t="n">
        <f aca="false">Customer_Invoices_AR!E4</f>
        <v>46075</v>
      </c>
      <c r="F7" s="18" t="n">
        <f aca="false">Customer_Invoices_AR!D4</f>
        <v>715.25</v>
      </c>
      <c r="G7" s="18" t="n">
        <f aca="false">SUMIFS(Cash_Receipts_AR!$E$2:$E$503,Cash_Receipts_AR!$B$2:$B$503,A7)</f>
        <v>715.25</v>
      </c>
      <c r="H7" s="18" t="n">
        <f aca="false">F7-G7</f>
        <v>0</v>
      </c>
      <c r="I7" s="16" t="n">
        <f aca="false">IF(H7&lt;=0.01,0,MAX(Assumptions!$B$5-E7,0))</f>
        <v>0</v>
      </c>
      <c r="J7" s="16" t="str">
        <f aca="false">IF(H7&lt;=0.01,"Paid",IF(I7&lt;=30,"0-30",IF(I7&lt;=60,"31-60",IF(I7&lt;=90,"61-90","90+"))))</f>
        <v>Paid</v>
      </c>
      <c r="K7" s="16" t="str">
        <f aca="false">IF(H7&lt;=0.01,"Paid",IF(G7&gt;0,"Partially Paid","Unpaid"))</f>
        <v>Paid</v>
      </c>
    </row>
    <row r="8" customFormat="false" ht="15" hidden="false" customHeight="false" outlineLevel="0" collapsed="false">
      <c r="A8" s="16" t="str">
        <f aca="false">Customer_Invoices_AR!A5</f>
        <v>ARI60004</v>
      </c>
      <c r="B8" s="16" t="str">
        <f aca="false">Customer_Invoices_AR!B5</f>
        <v>C2030</v>
      </c>
      <c r="C8" s="16" t="str">
        <f aca="false">IFERROR(INDEX(Customer_Master!$B$2:$B$31,MATCH(B8,Customer_Master!$A$2:$A$31,0)),"Unknown Customer")</f>
        <v>Sanchez, Wheeler and Harvey</v>
      </c>
      <c r="D8" s="17" t="n">
        <f aca="false">Customer_Invoices_AR!C5</f>
        <v>45754</v>
      </c>
      <c r="E8" s="17" t="n">
        <f aca="false">Customer_Invoices_AR!E5</f>
        <v>45769</v>
      </c>
      <c r="F8" s="18" t="n">
        <f aca="false">Customer_Invoices_AR!D5</f>
        <v>3252.02</v>
      </c>
      <c r="G8" s="18" t="n">
        <f aca="false">SUMIFS(Cash_Receipts_AR!$E$2:$E$503,Cash_Receipts_AR!$B$2:$B$503,A8)</f>
        <v>3252.02</v>
      </c>
      <c r="H8" s="18" t="n">
        <f aca="false">F8-G8</f>
        <v>0</v>
      </c>
      <c r="I8" s="16" t="n">
        <f aca="false">IF(H8&lt;=0.01,0,MAX(Assumptions!$B$5-E8,0))</f>
        <v>0</v>
      </c>
      <c r="J8" s="16" t="str">
        <f aca="false">IF(H8&lt;=0.01,"Paid",IF(I8&lt;=30,"0-30",IF(I8&lt;=60,"31-60",IF(I8&lt;=90,"61-90","90+"))))</f>
        <v>Paid</v>
      </c>
      <c r="K8" s="16" t="str">
        <f aca="false">IF(H8&lt;=0.01,"Paid",IF(G8&gt;0,"Partially Paid","Unpaid"))</f>
        <v>Paid</v>
      </c>
    </row>
    <row r="9" customFormat="false" ht="15" hidden="false" customHeight="false" outlineLevel="0" collapsed="false">
      <c r="A9" s="16" t="str">
        <f aca="false">Customer_Invoices_AR!A6</f>
        <v>ARI60005</v>
      </c>
      <c r="B9" s="16" t="str">
        <f aca="false">Customer_Invoices_AR!B6</f>
        <v>C2014</v>
      </c>
      <c r="C9" s="16" t="str">
        <f aca="false">IFERROR(INDEX(Customer_Master!$B$2:$B$31,MATCH(B9,Customer_Master!$A$2:$A$31,0)),"Unknown Customer")</f>
        <v>Baxter Inc</v>
      </c>
      <c r="D9" s="17" t="n">
        <f aca="false">Customer_Invoices_AR!C6</f>
        <v>46079</v>
      </c>
      <c r="E9" s="17" t="n">
        <f aca="false">Customer_Invoices_AR!E6</f>
        <v>46109</v>
      </c>
      <c r="F9" s="18" t="n">
        <f aca="false">Customer_Invoices_AR!D6</f>
        <v>6622.57</v>
      </c>
      <c r="G9" s="18" t="n">
        <f aca="false">SUMIFS(Cash_Receipts_AR!$E$2:$E$503,Cash_Receipts_AR!$B$2:$B$503,A9)</f>
        <v>6622.57</v>
      </c>
      <c r="H9" s="18" t="n">
        <f aca="false">F9-G9</f>
        <v>0</v>
      </c>
      <c r="I9" s="16" t="n">
        <f aca="false">IF(H9&lt;=0.01,0,MAX(Assumptions!$B$5-E9,0))</f>
        <v>0</v>
      </c>
      <c r="J9" s="16" t="str">
        <f aca="false">IF(H9&lt;=0.01,"Paid",IF(I9&lt;=30,"0-30",IF(I9&lt;=60,"31-60",IF(I9&lt;=90,"61-90","90+"))))</f>
        <v>Paid</v>
      </c>
      <c r="K9" s="16" t="str">
        <f aca="false">IF(H9&lt;=0.01,"Paid",IF(G9&gt;0,"Partially Paid","Unpaid"))</f>
        <v>Paid</v>
      </c>
    </row>
    <row r="10" customFormat="false" ht="15" hidden="false" customHeight="false" outlineLevel="0" collapsed="false">
      <c r="A10" s="16" t="str">
        <f aca="false">Customer_Invoices_AR!A7</f>
        <v>ARI60006</v>
      </c>
      <c r="B10" s="16" t="str">
        <f aca="false">Customer_Invoices_AR!B7</f>
        <v>C2004</v>
      </c>
      <c r="C10" s="16" t="str">
        <f aca="false">IFERROR(INDEX(Customer_Master!$B$2:$B$31,MATCH(B10,Customer_Master!$A$2:$A$31,0)),"Unknown Customer")</f>
        <v>Jones Inc</v>
      </c>
      <c r="D10" s="17" t="n">
        <f aca="false">Customer_Invoices_AR!C7</f>
        <v>45927</v>
      </c>
      <c r="E10" s="17" t="n">
        <f aca="false">Customer_Invoices_AR!E7</f>
        <v>45957</v>
      </c>
      <c r="F10" s="18" t="n">
        <f aca="false">Customer_Invoices_AR!D7</f>
        <v>8576.41</v>
      </c>
      <c r="G10" s="18" t="n">
        <f aca="false">SUMIFS(Cash_Receipts_AR!$E$2:$E$503,Cash_Receipts_AR!$B$2:$B$503,A10)</f>
        <v>2625.84</v>
      </c>
      <c r="H10" s="18" t="n">
        <f aca="false">F10-G10</f>
        <v>5950.57</v>
      </c>
      <c r="I10" s="16" t="n">
        <f aca="false">IF(H10&lt;=0.01,0,MAX(Assumptions!$B$5-E10,0))</f>
        <v>277</v>
      </c>
      <c r="J10" s="16" t="str">
        <f aca="false">IF(H10&lt;=0.01,"Paid",IF(I10&lt;=30,"0-30",IF(I10&lt;=60,"31-60",IF(I10&lt;=90,"61-90","90+"))))</f>
        <v>90+</v>
      </c>
      <c r="K10" s="16" t="str">
        <f aca="false">IF(H10&lt;=0.01,"Paid",IF(G10&gt;0,"Partially Paid","Unpaid"))</f>
        <v>Partially Paid</v>
      </c>
    </row>
    <row r="11" customFormat="false" ht="15" hidden="false" customHeight="false" outlineLevel="0" collapsed="false">
      <c r="A11" s="16" t="str">
        <f aca="false">Customer_Invoices_AR!A8</f>
        <v>ARI60007</v>
      </c>
      <c r="B11" s="16" t="str">
        <f aca="false">Customer_Invoices_AR!B8</f>
        <v>C2027</v>
      </c>
      <c r="C11" s="16" t="str">
        <f aca="false">IFERROR(INDEX(Customer_Master!$B$2:$B$31,MATCH(B11,Customer_Master!$A$2:$A$31,0)),"Unknown Customer")</f>
        <v>Yu Inc</v>
      </c>
      <c r="D11" s="17" t="n">
        <f aca="false">Customer_Invoices_AR!C8</f>
        <v>46069</v>
      </c>
      <c r="E11" s="17" t="n">
        <f aca="false">Customer_Invoices_AR!E8</f>
        <v>46129</v>
      </c>
      <c r="F11" s="18" t="n">
        <f aca="false">Customer_Invoices_AR!D8</f>
        <v>4091.62</v>
      </c>
      <c r="G11" s="18" t="n">
        <f aca="false">SUMIFS(Cash_Receipts_AR!$E$2:$E$503,Cash_Receipts_AR!$B$2:$B$503,A11)</f>
        <v>4091.62</v>
      </c>
      <c r="H11" s="18" t="n">
        <f aca="false">F11-G11</f>
        <v>0</v>
      </c>
      <c r="I11" s="16" t="n">
        <f aca="false">IF(H11&lt;=0.01,0,MAX(Assumptions!$B$5-E11,0))</f>
        <v>0</v>
      </c>
      <c r="J11" s="16" t="str">
        <f aca="false">IF(H11&lt;=0.01,"Paid",IF(I11&lt;=30,"0-30",IF(I11&lt;=60,"31-60",IF(I11&lt;=90,"61-90","90+"))))</f>
        <v>Paid</v>
      </c>
      <c r="K11" s="16" t="str">
        <f aca="false">IF(H11&lt;=0.01,"Paid",IF(G11&gt;0,"Partially Paid","Unpaid"))</f>
        <v>Paid</v>
      </c>
    </row>
    <row r="12" customFormat="false" ht="15" hidden="false" customHeight="false" outlineLevel="0" collapsed="false">
      <c r="A12" s="16" t="str">
        <f aca="false">Customer_Invoices_AR!A9</f>
        <v>ARI60008</v>
      </c>
      <c r="B12" s="16" t="str">
        <f aca="false">Customer_Invoices_AR!B9</f>
        <v>C2009</v>
      </c>
      <c r="C12" s="16" t="str">
        <f aca="false">IFERROR(INDEX(Customer_Master!$B$2:$B$31,MATCH(B12,Customer_Master!$A$2:$A$31,0)),"Unknown Customer")</f>
        <v>Gomez-Jenkins</v>
      </c>
      <c r="D12" s="17" t="n">
        <f aca="false">Customer_Invoices_AR!C9</f>
        <v>46072</v>
      </c>
      <c r="E12" s="17" t="n">
        <f aca="false">Customer_Invoices_AR!E9</f>
        <v>46117</v>
      </c>
      <c r="F12" s="18" t="n">
        <f aca="false">Customer_Invoices_AR!D9</f>
        <v>673.49</v>
      </c>
      <c r="G12" s="18" t="n">
        <f aca="false">SUMIFS(Cash_Receipts_AR!$E$2:$E$503,Cash_Receipts_AR!$B$2:$B$503,A12)</f>
        <v>673.49</v>
      </c>
      <c r="H12" s="18" t="n">
        <f aca="false">F12-G12</f>
        <v>0</v>
      </c>
      <c r="I12" s="16" t="n">
        <f aca="false">IF(H12&lt;=0.01,0,MAX(Assumptions!$B$5-E12,0))</f>
        <v>0</v>
      </c>
      <c r="J12" s="16" t="str">
        <f aca="false">IF(H12&lt;=0.01,"Paid",IF(I12&lt;=30,"0-30",IF(I12&lt;=60,"31-60",IF(I12&lt;=90,"61-90","90+"))))</f>
        <v>Paid</v>
      </c>
      <c r="K12" s="16" t="str">
        <f aca="false">IF(H12&lt;=0.01,"Paid",IF(G12&gt;0,"Partially Paid","Unpaid"))</f>
        <v>Paid</v>
      </c>
    </row>
    <row r="13" customFormat="false" ht="15" hidden="false" customHeight="false" outlineLevel="0" collapsed="false">
      <c r="A13" s="16" t="str">
        <f aca="false">Customer_Invoices_AR!A10</f>
        <v>ARI60009</v>
      </c>
      <c r="B13" s="16" t="str">
        <f aca="false">Customer_Invoices_AR!B10</f>
        <v>C2027</v>
      </c>
      <c r="C13" s="16" t="str">
        <f aca="false">IFERROR(INDEX(Customer_Master!$B$2:$B$31,MATCH(B13,Customer_Master!$A$2:$A$31,0)),"Unknown Customer")</f>
        <v>Yu Inc</v>
      </c>
      <c r="D13" s="17" t="n">
        <f aca="false">Customer_Invoices_AR!C10</f>
        <v>45902</v>
      </c>
      <c r="E13" s="17" t="n">
        <f aca="false">Customer_Invoices_AR!E10</f>
        <v>45962</v>
      </c>
      <c r="F13" s="18" t="n">
        <f aca="false">Customer_Invoices_AR!D10</f>
        <v>4452.11</v>
      </c>
      <c r="G13" s="18" t="n">
        <f aca="false">SUMIFS(Cash_Receipts_AR!$E$2:$E$503,Cash_Receipts_AR!$B$2:$B$503,A13)</f>
        <v>2365.68</v>
      </c>
      <c r="H13" s="18" t="n">
        <f aca="false">F13-G13</f>
        <v>2086.43</v>
      </c>
      <c r="I13" s="16" t="n">
        <f aca="false">IF(H13&lt;=0.01,0,MAX(Assumptions!$B$5-E13,0))</f>
        <v>272</v>
      </c>
      <c r="J13" s="16" t="str">
        <f aca="false">IF(H13&lt;=0.01,"Paid",IF(I13&lt;=30,"0-30",IF(I13&lt;=60,"31-60",IF(I13&lt;=90,"61-90","90+"))))</f>
        <v>90+</v>
      </c>
      <c r="K13" s="16" t="str">
        <f aca="false">IF(H13&lt;=0.01,"Paid",IF(G13&gt;0,"Partially Paid","Unpaid"))</f>
        <v>Partially Paid</v>
      </c>
    </row>
    <row r="14" customFormat="false" ht="15" hidden="false" customHeight="false" outlineLevel="0" collapsed="false">
      <c r="A14" s="16" t="str">
        <f aca="false">Customer_Invoices_AR!A11</f>
        <v>ARI60010</v>
      </c>
      <c r="B14" s="16" t="str">
        <f aca="false">Customer_Invoices_AR!B11</f>
        <v>C2008</v>
      </c>
      <c r="C14" s="16" t="str">
        <f aca="false">IFERROR(INDEX(Customer_Master!$B$2:$B$31,MATCH(B14,Customer_Master!$A$2:$A$31,0)),"Unknown Customer")</f>
        <v>Lee-Davis</v>
      </c>
      <c r="D14" s="17" t="n">
        <f aca="false">Customer_Invoices_AR!C11</f>
        <v>46161</v>
      </c>
      <c r="E14" s="17" t="n">
        <f aca="false">Customer_Invoices_AR!E11</f>
        <v>46221</v>
      </c>
      <c r="F14" s="18" t="n">
        <f aca="false">Customer_Invoices_AR!D11</f>
        <v>6127.03</v>
      </c>
      <c r="G14" s="18" t="n">
        <f aca="false">SUMIFS(Cash_Receipts_AR!$E$2:$E$503,Cash_Receipts_AR!$B$2:$B$503,A14)</f>
        <v>6127.03</v>
      </c>
      <c r="H14" s="18" t="n">
        <f aca="false">F14-G14</f>
        <v>0</v>
      </c>
      <c r="I14" s="16" t="n">
        <f aca="false">IF(H14&lt;=0.01,0,MAX(Assumptions!$B$5-E14,0))</f>
        <v>0</v>
      </c>
      <c r="J14" s="16" t="str">
        <f aca="false">IF(H14&lt;=0.01,"Paid",IF(I14&lt;=30,"0-30",IF(I14&lt;=60,"31-60",IF(I14&lt;=90,"61-90","90+"))))</f>
        <v>Paid</v>
      </c>
      <c r="K14" s="16" t="str">
        <f aca="false">IF(H14&lt;=0.01,"Paid",IF(G14&gt;0,"Partially Paid","Unpaid"))</f>
        <v>Paid</v>
      </c>
    </row>
    <row r="15" customFormat="false" ht="15" hidden="false" customHeight="false" outlineLevel="0" collapsed="false">
      <c r="A15" s="16" t="str">
        <f aca="false">Customer_Invoices_AR!A12</f>
        <v>ARI60011</v>
      </c>
      <c r="B15" s="16" t="str">
        <f aca="false">Customer_Invoices_AR!B12</f>
        <v>C2001</v>
      </c>
      <c r="C15" s="16" t="str">
        <f aca="false">IFERROR(INDEX(Customer_Master!$B$2:$B$31,MATCH(B15,Customer_Master!$A$2:$A$31,0)),"Unknown Customer")</f>
        <v>Wright Inc</v>
      </c>
      <c r="D15" s="17" t="n">
        <f aca="false">Customer_Invoices_AR!C12</f>
        <v>45965</v>
      </c>
      <c r="E15" s="17" t="n">
        <f aca="false">Customer_Invoices_AR!E12</f>
        <v>46010</v>
      </c>
      <c r="F15" s="18" t="n">
        <f aca="false">Customer_Invoices_AR!D12</f>
        <v>3666.96</v>
      </c>
      <c r="G15" s="18" t="n">
        <f aca="false">SUMIFS(Cash_Receipts_AR!$E$2:$E$503,Cash_Receipts_AR!$B$2:$B$503,A15)</f>
        <v>3666.96</v>
      </c>
      <c r="H15" s="18" t="n">
        <f aca="false">F15-G15</f>
        <v>0</v>
      </c>
      <c r="I15" s="16" t="n">
        <f aca="false">IF(H15&lt;=0.01,0,MAX(Assumptions!$B$5-E15,0))</f>
        <v>0</v>
      </c>
      <c r="J15" s="16" t="str">
        <f aca="false">IF(H15&lt;=0.01,"Paid",IF(I15&lt;=30,"0-30",IF(I15&lt;=60,"31-60",IF(I15&lt;=90,"61-90","90+"))))</f>
        <v>Paid</v>
      </c>
      <c r="K15" s="16" t="str">
        <f aca="false">IF(H15&lt;=0.01,"Paid",IF(G15&gt;0,"Partially Paid","Unpaid"))</f>
        <v>Paid</v>
      </c>
    </row>
    <row r="16" customFormat="false" ht="15" hidden="false" customHeight="false" outlineLevel="0" collapsed="false">
      <c r="A16" s="16" t="str">
        <f aca="false">Customer_Invoices_AR!A13</f>
        <v>ARI60012</v>
      </c>
      <c r="B16" s="16" t="str">
        <f aca="false">Customer_Invoices_AR!B13</f>
        <v>C2016</v>
      </c>
      <c r="C16" s="16" t="str">
        <f aca="false">IFERROR(INDEX(Customer_Master!$B$2:$B$31,MATCH(B16,Customer_Master!$A$2:$A$31,0)),"Unknown Customer")</f>
        <v>Williams PLC</v>
      </c>
      <c r="D16" s="17" t="n">
        <f aca="false">Customer_Invoices_AR!C13</f>
        <v>46004</v>
      </c>
      <c r="E16" s="17" t="n">
        <f aca="false">Customer_Invoices_AR!E13</f>
        <v>46034</v>
      </c>
      <c r="F16" s="18" t="n">
        <f aca="false">Customer_Invoices_AR!D13</f>
        <v>8288.62</v>
      </c>
      <c r="G16" s="18" t="n">
        <f aca="false">SUMIFS(Cash_Receipts_AR!$E$2:$E$503,Cash_Receipts_AR!$B$2:$B$503,A16)</f>
        <v>8288.62</v>
      </c>
      <c r="H16" s="18" t="n">
        <f aca="false">F16-G16</f>
        <v>0</v>
      </c>
      <c r="I16" s="16" t="n">
        <f aca="false">IF(H16&lt;=0.01,0,MAX(Assumptions!$B$5-E16,0))</f>
        <v>0</v>
      </c>
      <c r="J16" s="16" t="str">
        <f aca="false">IF(H16&lt;=0.01,"Paid",IF(I16&lt;=30,"0-30",IF(I16&lt;=60,"31-60",IF(I16&lt;=90,"61-90","90+"))))</f>
        <v>Paid</v>
      </c>
      <c r="K16" s="16" t="str">
        <f aca="false">IF(H16&lt;=0.01,"Paid",IF(G16&gt;0,"Partially Paid","Unpaid"))</f>
        <v>Paid</v>
      </c>
    </row>
    <row r="17" customFormat="false" ht="15" hidden="false" customHeight="false" outlineLevel="0" collapsed="false">
      <c r="A17" s="16" t="str">
        <f aca="false">Customer_Invoices_AR!A14</f>
        <v>ARI60013</v>
      </c>
      <c r="B17" s="16" t="str">
        <f aca="false">Customer_Invoices_AR!B14</f>
        <v>C2025</v>
      </c>
      <c r="C17" s="16" t="str">
        <f aca="false">IFERROR(INDEX(Customer_Master!$B$2:$B$31,MATCH(B17,Customer_Master!$A$2:$A$31,0)),"Unknown Customer")</f>
        <v>Daniels, Adkins and Brown</v>
      </c>
      <c r="D17" s="17" t="n">
        <f aca="false">Customer_Invoices_AR!C14</f>
        <v>45998</v>
      </c>
      <c r="E17" s="17" t="n">
        <f aca="false">Customer_Invoices_AR!E14</f>
        <v>46013</v>
      </c>
      <c r="F17" s="18" t="n">
        <f aca="false">Customer_Invoices_AR!D14</f>
        <v>1708.27</v>
      </c>
      <c r="G17" s="18" t="n">
        <f aca="false">SUMIFS(Cash_Receipts_AR!$E$2:$E$503,Cash_Receipts_AR!$B$2:$B$503,A17)</f>
        <v>1708.27</v>
      </c>
      <c r="H17" s="18" t="n">
        <f aca="false">F17-G17</f>
        <v>0</v>
      </c>
      <c r="I17" s="16" t="n">
        <f aca="false">IF(H17&lt;=0.01,0,MAX(Assumptions!$B$5-E17,0))</f>
        <v>0</v>
      </c>
      <c r="J17" s="16" t="str">
        <f aca="false">IF(H17&lt;=0.01,"Paid",IF(I17&lt;=30,"0-30",IF(I17&lt;=60,"31-60",IF(I17&lt;=90,"61-90","90+"))))</f>
        <v>Paid</v>
      </c>
      <c r="K17" s="16" t="str">
        <f aca="false">IF(H17&lt;=0.01,"Paid",IF(G17&gt;0,"Partially Paid","Unpaid"))</f>
        <v>Paid</v>
      </c>
    </row>
    <row r="18" customFormat="false" ht="15" hidden="false" customHeight="false" outlineLevel="0" collapsed="false">
      <c r="A18" s="16" t="str">
        <f aca="false">Customer_Invoices_AR!A15</f>
        <v>ARI60014</v>
      </c>
      <c r="B18" s="16" t="str">
        <f aca="false">Customer_Invoices_AR!B15</f>
        <v>C2016</v>
      </c>
      <c r="C18" s="16" t="str">
        <f aca="false">IFERROR(INDEX(Customer_Master!$B$2:$B$31,MATCH(B18,Customer_Master!$A$2:$A$31,0)),"Unknown Customer")</f>
        <v>Williams PLC</v>
      </c>
      <c r="D18" s="17" t="n">
        <f aca="false">Customer_Invoices_AR!C15</f>
        <v>46129</v>
      </c>
      <c r="E18" s="17" t="n">
        <f aca="false">Customer_Invoices_AR!E15</f>
        <v>46159</v>
      </c>
      <c r="F18" s="18" t="n">
        <f aca="false">Customer_Invoices_AR!D15</f>
        <v>10942.48</v>
      </c>
      <c r="G18" s="18" t="n">
        <f aca="false">SUMIFS(Cash_Receipts_AR!$E$2:$E$503,Cash_Receipts_AR!$B$2:$B$503,A18)</f>
        <v>10942.48</v>
      </c>
      <c r="H18" s="18" t="n">
        <f aca="false">F18-G18</f>
        <v>0</v>
      </c>
      <c r="I18" s="16" t="n">
        <f aca="false">IF(H18&lt;=0.01,0,MAX(Assumptions!$B$5-E18,0))</f>
        <v>0</v>
      </c>
      <c r="J18" s="16" t="str">
        <f aca="false">IF(H18&lt;=0.01,"Paid",IF(I18&lt;=30,"0-30",IF(I18&lt;=60,"31-60",IF(I18&lt;=90,"61-90","90+"))))</f>
        <v>Paid</v>
      </c>
      <c r="K18" s="16" t="str">
        <f aca="false">IF(H18&lt;=0.01,"Paid",IF(G18&gt;0,"Partially Paid","Unpaid"))</f>
        <v>Paid</v>
      </c>
    </row>
    <row r="19" customFormat="false" ht="15" hidden="false" customHeight="false" outlineLevel="0" collapsed="false">
      <c r="A19" s="16" t="str">
        <f aca="false">Customer_Invoices_AR!A16</f>
        <v>ARI60015</v>
      </c>
      <c r="B19" s="16" t="str">
        <f aca="false">Customer_Invoices_AR!B16</f>
        <v>C2017</v>
      </c>
      <c r="C19" s="16" t="str">
        <f aca="false">IFERROR(INDEX(Customer_Master!$B$2:$B$31,MATCH(B19,Customer_Master!$A$2:$A$31,0)),"Unknown Customer")</f>
        <v>Novak and Sons</v>
      </c>
      <c r="D19" s="17" t="n">
        <f aca="false">Customer_Invoices_AR!C16</f>
        <v>45999</v>
      </c>
      <c r="E19" s="17" t="n">
        <f aca="false">Customer_Invoices_AR!E16</f>
        <v>46014</v>
      </c>
      <c r="F19" s="18" t="n">
        <f aca="false">Customer_Invoices_AR!D16</f>
        <v>1415.72</v>
      </c>
      <c r="G19" s="18" t="n">
        <f aca="false">SUMIFS(Cash_Receipts_AR!$E$2:$E$503,Cash_Receipts_AR!$B$2:$B$503,A19)</f>
        <v>1415.72</v>
      </c>
      <c r="H19" s="18" t="n">
        <f aca="false">F19-G19</f>
        <v>0</v>
      </c>
      <c r="I19" s="16" t="n">
        <f aca="false">IF(H19&lt;=0.01,0,MAX(Assumptions!$B$5-E19,0))</f>
        <v>0</v>
      </c>
      <c r="J19" s="16" t="str">
        <f aca="false">IF(H19&lt;=0.01,"Paid",IF(I19&lt;=30,"0-30",IF(I19&lt;=60,"31-60",IF(I19&lt;=90,"61-90","90+"))))</f>
        <v>Paid</v>
      </c>
      <c r="K19" s="16" t="str">
        <f aca="false">IF(H19&lt;=0.01,"Paid",IF(G19&gt;0,"Partially Paid","Unpaid"))</f>
        <v>Paid</v>
      </c>
    </row>
    <row r="20" customFormat="false" ht="15" hidden="false" customHeight="false" outlineLevel="0" collapsed="false">
      <c r="A20" s="16" t="str">
        <f aca="false">Customer_Invoices_AR!A17</f>
        <v>ARI60016</v>
      </c>
      <c r="B20" s="16" t="str">
        <f aca="false">Customer_Invoices_AR!B17</f>
        <v>C2016</v>
      </c>
      <c r="C20" s="16" t="str">
        <f aca="false">IFERROR(INDEX(Customer_Master!$B$2:$B$31,MATCH(B20,Customer_Master!$A$2:$A$31,0)),"Unknown Customer")</f>
        <v>Williams PLC</v>
      </c>
      <c r="D20" s="17" t="n">
        <f aca="false">Customer_Invoices_AR!C17</f>
        <v>45740</v>
      </c>
      <c r="E20" s="17" t="n">
        <f aca="false">Customer_Invoices_AR!E17</f>
        <v>45770</v>
      </c>
      <c r="F20" s="18" t="n">
        <f aca="false">Customer_Invoices_AR!D17</f>
        <v>2952.16</v>
      </c>
      <c r="G20" s="18" t="n">
        <f aca="false">SUMIFS(Cash_Receipts_AR!$E$2:$E$503,Cash_Receipts_AR!$B$2:$B$503,A20)</f>
        <v>2952.16</v>
      </c>
      <c r="H20" s="18" t="n">
        <f aca="false">F20-G20</f>
        <v>0</v>
      </c>
      <c r="I20" s="16" t="n">
        <f aca="false">IF(H20&lt;=0.01,0,MAX(Assumptions!$B$5-E20,0))</f>
        <v>0</v>
      </c>
      <c r="J20" s="16" t="str">
        <f aca="false">IF(H20&lt;=0.01,"Paid",IF(I20&lt;=30,"0-30",IF(I20&lt;=60,"31-60",IF(I20&lt;=90,"61-90","90+"))))</f>
        <v>Paid</v>
      </c>
      <c r="K20" s="16" t="str">
        <f aca="false">IF(H20&lt;=0.01,"Paid",IF(G20&gt;0,"Partially Paid","Unpaid"))</f>
        <v>Paid</v>
      </c>
    </row>
    <row r="21" customFormat="false" ht="15" hidden="false" customHeight="false" outlineLevel="0" collapsed="false">
      <c r="A21" s="16" t="str">
        <f aca="false">Customer_Invoices_AR!A18</f>
        <v>ARI60017</v>
      </c>
      <c r="B21" s="16" t="str">
        <f aca="false">Customer_Invoices_AR!B18</f>
        <v>C2015</v>
      </c>
      <c r="C21" s="16" t="str">
        <f aca="false">IFERROR(INDEX(Customer_Master!$B$2:$B$31,MATCH(B21,Customer_Master!$A$2:$A$31,0)),"Unknown Customer")</f>
        <v>Morton-Chase</v>
      </c>
      <c r="D21" s="17" t="n">
        <f aca="false">Customer_Invoices_AR!C18</f>
        <v>45695</v>
      </c>
      <c r="E21" s="17" t="n">
        <f aca="false">Customer_Invoices_AR!E18</f>
        <v>45710</v>
      </c>
      <c r="F21" s="18" t="n">
        <f aca="false">Customer_Invoices_AR!D18</f>
        <v>3137.15</v>
      </c>
      <c r="G21" s="18" t="n">
        <f aca="false">SUMIFS(Cash_Receipts_AR!$E$2:$E$503,Cash_Receipts_AR!$B$2:$B$503,A21)</f>
        <v>3137.15</v>
      </c>
      <c r="H21" s="18" t="n">
        <f aca="false">F21-G21</f>
        <v>0</v>
      </c>
      <c r="I21" s="16" t="n">
        <f aca="false">IF(H21&lt;=0.01,0,MAX(Assumptions!$B$5-E21,0))</f>
        <v>0</v>
      </c>
      <c r="J21" s="16" t="str">
        <f aca="false">IF(H21&lt;=0.01,"Paid",IF(I21&lt;=30,"0-30",IF(I21&lt;=60,"31-60",IF(I21&lt;=90,"61-90","90+"))))</f>
        <v>Paid</v>
      </c>
      <c r="K21" s="16" t="str">
        <f aca="false">IF(H21&lt;=0.01,"Paid",IF(G21&gt;0,"Partially Paid","Unpaid"))</f>
        <v>Paid</v>
      </c>
    </row>
    <row r="22" customFormat="false" ht="15" hidden="false" customHeight="false" outlineLevel="0" collapsed="false">
      <c r="A22" s="16" t="str">
        <f aca="false">Customer_Invoices_AR!A19</f>
        <v>ARI60018</v>
      </c>
      <c r="B22" s="16" t="str">
        <f aca="false">Customer_Invoices_AR!B19</f>
        <v>C2001</v>
      </c>
      <c r="C22" s="16" t="str">
        <f aca="false">IFERROR(INDEX(Customer_Master!$B$2:$B$31,MATCH(B22,Customer_Master!$A$2:$A$31,0)),"Unknown Customer")</f>
        <v>Wright Inc</v>
      </c>
      <c r="D22" s="17" t="n">
        <f aca="false">Customer_Invoices_AR!C19</f>
        <v>45899</v>
      </c>
      <c r="E22" s="17" t="n">
        <f aca="false">Customer_Invoices_AR!E19</f>
        <v>45944</v>
      </c>
      <c r="F22" s="18" t="n">
        <f aca="false">Customer_Invoices_AR!D19</f>
        <v>1090.77</v>
      </c>
      <c r="G22" s="18" t="n">
        <f aca="false">SUMIFS(Cash_Receipts_AR!$E$2:$E$503,Cash_Receipts_AR!$B$2:$B$503,A22)</f>
        <v>468.78</v>
      </c>
      <c r="H22" s="18" t="n">
        <f aca="false">F22-G22</f>
        <v>621.99</v>
      </c>
      <c r="I22" s="16" t="n">
        <f aca="false">IF(H22&lt;=0.01,0,MAX(Assumptions!$B$5-E22,0))</f>
        <v>290</v>
      </c>
      <c r="J22" s="16" t="str">
        <f aca="false">IF(H22&lt;=0.01,"Paid",IF(I22&lt;=30,"0-30",IF(I22&lt;=60,"31-60",IF(I22&lt;=90,"61-90","90+"))))</f>
        <v>90+</v>
      </c>
      <c r="K22" s="16" t="str">
        <f aca="false">IF(H22&lt;=0.01,"Paid",IF(G22&gt;0,"Partially Paid","Unpaid"))</f>
        <v>Partially Paid</v>
      </c>
    </row>
    <row r="23" customFormat="false" ht="15" hidden="false" customHeight="false" outlineLevel="0" collapsed="false">
      <c r="A23" s="16" t="str">
        <f aca="false">Customer_Invoices_AR!A20</f>
        <v>ARI60019</v>
      </c>
      <c r="B23" s="16" t="str">
        <f aca="false">Customer_Invoices_AR!B20</f>
        <v>C2012</v>
      </c>
      <c r="C23" s="16" t="str">
        <f aca="false">IFERROR(INDEX(Customer_Master!$B$2:$B$31,MATCH(B23,Customer_Master!$A$2:$A$31,0)),"Unknown Customer")</f>
        <v>Wright and Sons</v>
      </c>
      <c r="D23" s="17" t="n">
        <f aca="false">Customer_Invoices_AR!C20</f>
        <v>45823</v>
      </c>
      <c r="E23" s="17" t="n">
        <f aca="false">Customer_Invoices_AR!E20</f>
        <v>45868</v>
      </c>
      <c r="F23" s="18" t="n">
        <f aca="false">Customer_Invoices_AR!D20</f>
        <v>1542.98</v>
      </c>
      <c r="G23" s="18" t="n">
        <f aca="false">SUMIFS(Cash_Receipts_AR!$E$2:$E$503,Cash_Receipts_AR!$B$2:$B$503,A23)</f>
        <v>1542.98</v>
      </c>
      <c r="H23" s="18" t="n">
        <f aca="false">F23-G23</f>
        <v>0</v>
      </c>
      <c r="I23" s="16" t="n">
        <f aca="false">IF(H23&lt;=0.01,0,MAX(Assumptions!$B$5-E23,0))</f>
        <v>0</v>
      </c>
      <c r="J23" s="16" t="str">
        <f aca="false">IF(H23&lt;=0.01,"Paid",IF(I23&lt;=30,"0-30",IF(I23&lt;=60,"31-60",IF(I23&lt;=90,"61-90","90+"))))</f>
        <v>Paid</v>
      </c>
      <c r="K23" s="16" t="str">
        <f aca="false">IF(H23&lt;=0.01,"Paid",IF(G23&gt;0,"Partially Paid","Unpaid"))</f>
        <v>Paid</v>
      </c>
    </row>
    <row r="24" customFormat="false" ht="15" hidden="false" customHeight="false" outlineLevel="0" collapsed="false">
      <c r="A24" s="16" t="str">
        <f aca="false">Customer_Invoices_AR!A21</f>
        <v>ARI60020</v>
      </c>
      <c r="B24" s="16" t="str">
        <f aca="false">Customer_Invoices_AR!B21</f>
        <v>C2025</v>
      </c>
      <c r="C24" s="16" t="str">
        <f aca="false">IFERROR(INDEX(Customer_Master!$B$2:$B$31,MATCH(B24,Customer_Master!$A$2:$A$31,0)),"Unknown Customer")</f>
        <v>Daniels, Adkins and Brown</v>
      </c>
      <c r="D24" s="17" t="n">
        <f aca="false">Customer_Invoices_AR!C21</f>
        <v>45807</v>
      </c>
      <c r="E24" s="17" t="n">
        <f aca="false">Customer_Invoices_AR!E21</f>
        <v>45822</v>
      </c>
      <c r="F24" s="18" t="n">
        <f aca="false">Customer_Invoices_AR!D21</f>
        <v>4945.6</v>
      </c>
      <c r="G24" s="18" t="n">
        <f aca="false">SUMIFS(Cash_Receipts_AR!$E$2:$E$503,Cash_Receipts_AR!$B$2:$B$503,A24)</f>
        <v>4945.6</v>
      </c>
      <c r="H24" s="18" t="n">
        <f aca="false">F24-G24</f>
        <v>0</v>
      </c>
      <c r="I24" s="16" t="n">
        <f aca="false">IF(H24&lt;=0.01,0,MAX(Assumptions!$B$5-E24,0))</f>
        <v>0</v>
      </c>
      <c r="J24" s="16" t="str">
        <f aca="false">IF(H24&lt;=0.01,"Paid",IF(I24&lt;=30,"0-30",IF(I24&lt;=60,"31-60",IF(I24&lt;=90,"61-90","90+"))))</f>
        <v>Paid</v>
      </c>
      <c r="K24" s="16" t="str">
        <f aca="false">IF(H24&lt;=0.01,"Paid",IF(G24&gt;0,"Partially Paid","Unpaid"))</f>
        <v>Paid</v>
      </c>
    </row>
    <row r="25" customFormat="false" ht="15" hidden="false" customHeight="false" outlineLevel="0" collapsed="false">
      <c r="A25" s="16" t="str">
        <f aca="false">Customer_Invoices_AR!A22</f>
        <v>ARI60021</v>
      </c>
      <c r="B25" s="16" t="str">
        <f aca="false">Customer_Invoices_AR!B22</f>
        <v>C2007</v>
      </c>
      <c r="C25" s="16" t="str">
        <f aca="false">IFERROR(INDEX(Customer_Master!$B$2:$B$31,MATCH(B25,Customer_Master!$A$2:$A$31,0)),"Unknown Customer")</f>
        <v>Johnston, Sanchez and Kennedy</v>
      </c>
      <c r="D25" s="17" t="n">
        <f aca="false">Customer_Invoices_AR!C22</f>
        <v>45688</v>
      </c>
      <c r="E25" s="17" t="n">
        <f aca="false">Customer_Invoices_AR!E22</f>
        <v>45718</v>
      </c>
      <c r="F25" s="18" t="n">
        <f aca="false">Customer_Invoices_AR!D22</f>
        <v>1269.3</v>
      </c>
      <c r="G25" s="18" t="n">
        <f aca="false">SUMIFS(Cash_Receipts_AR!$E$2:$E$503,Cash_Receipts_AR!$B$2:$B$503,A25)</f>
        <v>0</v>
      </c>
      <c r="H25" s="18" t="n">
        <f aca="false">F25-G25</f>
        <v>1269.3</v>
      </c>
      <c r="I25" s="16" t="n">
        <f aca="false">IF(H25&lt;=0.01,0,MAX(Assumptions!$B$5-E25,0))</f>
        <v>516</v>
      </c>
      <c r="J25" s="16" t="str">
        <f aca="false">IF(H25&lt;=0.01,"Paid",IF(I25&lt;=30,"0-30",IF(I25&lt;=60,"31-60",IF(I25&lt;=90,"61-90","90+"))))</f>
        <v>90+</v>
      </c>
      <c r="K25" s="16" t="str">
        <f aca="false">IF(H25&lt;=0.01,"Paid",IF(G25&gt;0,"Partially Paid","Unpaid"))</f>
        <v>Unpaid</v>
      </c>
    </row>
    <row r="26" customFormat="false" ht="15" hidden="false" customHeight="false" outlineLevel="0" collapsed="false">
      <c r="A26" s="16" t="str">
        <f aca="false">Customer_Invoices_AR!A23</f>
        <v>ARI60022</v>
      </c>
      <c r="B26" s="16" t="str">
        <f aca="false">Customer_Invoices_AR!B23</f>
        <v>C2009</v>
      </c>
      <c r="C26" s="16" t="str">
        <f aca="false">IFERROR(INDEX(Customer_Master!$B$2:$B$31,MATCH(B26,Customer_Master!$A$2:$A$31,0)),"Unknown Customer")</f>
        <v>Gomez-Jenkins</v>
      </c>
      <c r="D26" s="17" t="n">
        <f aca="false">Customer_Invoices_AR!C23</f>
        <v>45934</v>
      </c>
      <c r="E26" s="17" t="n">
        <f aca="false">Customer_Invoices_AR!E23</f>
        <v>45979</v>
      </c>
      <c r="F26" s="18" t="n">
        <f aca="false">Customer_Invoices_AR!D23</f>
        <v>10752.52</v>
      </c>
      <c r="G26" s="18" t="n">
        <f aca="false">SUMIFS(Cash_Receipts_AR!$E$2:$E$503,Cash_Receipts_AR!$B$2:$B$503,A26)</f>
        <v>10752.52</v>
      </c>
      <c r="H26" s="18" t="n">
        <f aca="false">F26-G26</f>
        <v>0</v>
      </c>
      <c r="I26" s="16" t="n">
        <f aca="false">IF(H26&lt;=0.01,0,MAX(Assumptions!$B$5-E26,0))</f>
        <v>0</v>
      </c>
      <c r="J26" s="16" t="str">
        <f aca="false">IF(H26&lt;=0.01,"Paid",IF(I26&lt;=30,"0-30",IF(I26&lt;=60,"31-60",IF(I26&lt;=90,"61-90","90+"))))</f>
        <v>Paid</v>
      </c>
      <c r="K26" s="16" t="str">
        <f aca="false">IF(H26&lt;=0.01,"Paid",IF(G26&gt;0,"Partially Paid","Unpaid"))</f>
        <v>Paid</v>
      </c>
    </row>
    <row r="27" customFormat="false" ht="15" hidden="false" customHeight="false" outlineLevel="0" collapsed="false">
      <c r="A27" s="16" t="str">
        <f aca="false">Customer_Invoices_AR!A24</f>
        <v>ARI60023</v>
      </c>
      <c r="B27" s="16" t="str">
        <f aca="false">Customer_Invoices_AR!B24</f>
        <v>C2026</v>
      </c>
      <c r="C27" s="16" t="str">
        <f aca="false">IFERROR(INDEX(Customer_Master!$B$2:$B$31,MATCH(B27,Customer_Master!$A$2:$A$31,0)),"Unknown Customer")</f>
        <v>Woods, Calhoun and Schmidt</v>
      </c>
      <c r="D27" s="17" t="n">
        <f aca="false">Customer_Invoices_AR!C24</f>
        <v>45827</v>
      </c>
      <c r="E27" s="17" t="n">
        <f aca="false">Customer_Invoices_AR!E24</f>
        <v>45887</v>
      </c>
      <c r="F27" s="18" t="n">
        <f aca="false">Customer_Invoices_AR!D24</f>
        <v>738.73</v>
      </c>
      <c r="G27" s="18" t="n">
        <f aca="false">SUMIFS(Cash_Receipts_AR!$E$2:$E$503,Cash_Receipts_AR!$B$2:$B$503,A27)</f>
        <v>738.73</v>
      </c>
      <c r="H27" s="18" t="n">
        <f aca="false">F27-G27</f>
        <v>0</v>
      </c>
      <c r="I27" s="16" t="n">
        <f aca="false">IF(H27&lt;=0.01,0,MAX(Assumptions!$B$5-E27,0))</f>
        <v>0</v>
      </c>
      <c r="J27" s="16" t="str">
        <f aca="false">IF(H27&lt;=0.01,"Paid",IF(I27&lt;=30,"0-30",IF(I27&lt;=60,"31-60",IF(I27&lt;=90,"61-90","90+"))))</f>
        <v>Paid</v>
      </c>
      <c r="K27" s="16" t="str">
        <f aca="false">IF(H27&lt;=0.01,"Paid",IF(G27&gt;0,"Partially Paid","Unpaid"))</f>
        <v>Paid</v>
      </c>
    </row>
    <row r="28" customFormat="false" ht="15" hidden="false" customHeight="false" outlineLevel="0" collapsed="false">
      <c r="A28" s="16" t="str">
        <f aca="false">Customer_Invoices_AR!A25</f>
        <v>ARI60024</v>
      </c>
      <c r="B28" s="16" t="str">
        <f aca="false">Customer_Invoices_AR!B25</f>
        <v>C2008</v>
      </c>
      <c r="C28" s="16" t="str">
        <f aca="false">IFERROR(INDEX(Customer_Master!$B$2:$B$31,MATCH(B28,Customer_Master!$A$2:$A$31,0)),"Unknown Customer")</f>
        <v>Lee-Davis</v>
      </c>
      <c r="D28" s="17" t="n">
        <f aca="false">Customer_Invoices_AR!C25</f>
        <v>45904</v>
      </c>
      <c r="E28" s="17" t="n">
        <f aca="false">Customer_Invoices_AR!E25</f>
        <v>45964</v>
      </c>
      <c r="F28" s="18" t="n">
        <f aca="false">Customer_Invoices_AR!D25</f>
        <v>2574.77</v>
      </c>
      <c r="G28" s="18" t="n">
        <f aca="false">SUMIFS(Cash_Receipts_AR!$E$2:$E$503,Cash_Receipts_AR!$B$2:$B$503,A28)</f>
        <v>2574.77</v>
      </c>
      <c r="H28" s="18" t="n">
        <f aca="false">F28-G28</f>
        <v>0</v>
      </c>
      <c r="I28" s="16" t="n">
        <f aca="false">IF(H28&lt;=0.01,0,MAX(Assumptions!$B$5-E28,0))</f>
        <v>0</v>
      </c>
      <c r="J28" s="16" t="str">
        <f aca="false">IF(H28&lt;=0.01,"Paid",IF(I28&lt;=30,"0-30",IF(I28&lt;=60,"31-60",IF(I28&lt;=90,"61-90","90+"))))</f>
        <v>Paid</v>
      </c>
      <c r="K28" s="16" t="str">
        <f aca="false">IF(H28&lt;=0.01,"Paid",IF(G28&gt;0,"Partially Paid","Unpaid"))</f>
        <v>Paid</v>
      </c>
    </row>
    <row r="29" customFormat="false" ht="15" hidden="false" customHeight="false" outlineLevel="0" collapsed="false">
      <c r="A29" s="16" t="str">
        <f aca="false">Customer_Invoices_AR!A26</f>
        <v>ARI60025</v>
      </c>
      <c r="B29" s="16" t="str">
        <f aca="false">Customer_Invoices_AR!B26</f>
        <v>C2027</v>
      </c>
      <c r="C29" s="16" t="str">
        <f aca="false">IFERROR(INDEX(Customer_Master!$B$2:$B$31,MATCH(B29,Customer_Master!$A$2:$A$31,0)),"Unknown Customer")</f>
        <v>Yu Inc</v>
      </c>
      <c r="D29" s="17" t="n">
        <f aca="false">Customer_Invoices_AR!C26</f>
        <v>45689</v>
      </c>
      <c r="E29" s="17" t="n">
        <f aca="false">Customer_Invoices_AR!E26</f>
        <v>45749</v>
      </c>
      <c r="F29" s="18" t="n">
        <f aca="false">Customer_Invoices_AR!D26</f>
        <v>2017.81</v>
      </c>
      <c r="G29" s="18" t="n">
        <f aca="false">SUMIFS(Cash_Receipts_AR!$E$2:$E$503,Cash_Receipts_AR!$B$2:$B$503,A29)</f>
        <v>0</v>
      </c>
      <c r="H29" s="18" t="n">
        <f aca="false">F29-G29</f>
        <v>2017.81</v>
      </c>
      <c r="I29" s="16" t="n">
        <f aca="false">IF(H29&lt;=0.01,0,MAX(Assumptions!$B$5-E29,0))</f>
        <v>485</v>
      </c>
      <c r="J29" s="16" t="str">
        <f aca="false">IF(H29&lt;=0.01,"Paid",IF(I29&lt;=30,"0-30",IF(I29&lt;=60,"31-60",IF(I29&lt;=90,"61-90","90+"))))</f>
        <v>90+</v>
      </c>
      <c r="K29" s="16" t="str">
        <f aca="false">IF(H29&lt;=0.01,"Paid",IF(G29&gt;0,"Partially Paid","Unpaid"))</f>
        <v>Unpaid</v>
      </c>
    </row>
    <row r="30" customFormat="false" ht="15" hidden="false" customHeight="false" outlineLevel="0" collapsed="false">
      <c r="A30" s="16" t="str">
        <f aca="false">Customer_Invoices_AR!A27</f>
        <v>ARI60026</v>
      </c>
      <c r="B30" s="16" t="str">
        <f aca="false">Customer_Invoices_AR!B27</f>
        <v>C2012</v>
      </c>
      <c r="C30" s="16" t="str">
        <f aca="false">IFERROR(INDEX(Customer_Master!$B$2:$B$31,MATCH(B30,Customer_Master!$A$2:$A$31,0)),"Unknown Customer")</f>
        <v>Wright and Sons</v>
      </c>
      <c r="D30" s="17" t="n">
        <f aca="false">Customer_Invoices_AR!C27</f>
        <v>46111</v>
      </c>
      <c r="E30" s="17" t="n">
        <f aca="false">Customer_Invoices_AR!E27</f>
        <v>46156</v>
      </c>
      <c r="F30" s="18" t="n">
        <f aca="false">Customer_Invoices_AR!D27</f>
        <v>419.87</v>
      </c>
      <c r="G30" s="18" t="n">
        <f aca="false">SUMIFS(Cash_Receipts_AR!$E$2:$E$503,Cash_Receipts_AR!$B$2:$B$503,A30)</f>
        <v>419.87</v>
      </c>
      <c r="H30" s="18" t="n">
        <f aca="false">F30-G30</f>
        <v>0</v>
      </c>
      <c r="I30" s="16" t="n">
        <f aca="false">IF(H30&lt;=0.01,0,MAX(Assumptions!$B$5-E30,0))</f>
        <v>0</v>
      </c>
      <c r="J30" s="16" t="str">
        <f aca="false">IF(H30&lt;=0.01,"Paid",IF(I30&lt;=30,"0-30",IF(I30&lt;=60,"31-60",IF(I30&lt;=90,"61-90","90+"))))</f>
        <v>Paid</v>
      </c>
      <c r="K30" s="16" t="str">
        <f aca="false">IF(H30&lt;=0.01,"Paid",IF(G30&gt;0,"Partially Paid","Unpaid"))</f>
        <v>Paid</v>
      </c>
    </row>
    <row r="31" customFormat="false" ht="15" hidden="false" customHeight="false" outlineLevel="0" collapsed="false">
      <c r="A31" s="16" t="str">
        <f aca="false">Customer_Invoices_AR!A28</f>
        <v>ARI60027</v>
      </c>
      <c r="B31" s="16" t="str">
        <f aca="false">Customer_Invoices_AR!B28</f>
        <v>C2024</v>
      </c>
      <c r="C31" s="16" t="str">
        <f aca="false">IFERROR(INDEX(Customer_Master!$B$2:$B$31,MATCH(B31,Customer_Master!$A$2:$A$31,0)),"Unknown Customer")</f>
        <v>Novak PLC</v>
      </c>
      <c r="D31" s="17" t="n">
        <f aca="false">Customer_Invoices_AR!C28</f>
        <v>45699</v>
      </c>
      <c r="E31" s="17" t="n">
        <f aca="false">Customer_Invoices_AR!E28</f>
        <v>45759</v>
      </c>
      <c r="F31" s="18" t="n">
        <f aca="false">Customer_Invoices_AR!D28</f>
        <v>1097.71</v>
      </c>
      <c r="G31" s="18" t="n">
        <f aca="false">SUMIFS(Cash_Receipts_AR!$E$2:$E$503,Cash_Receipts_AR!$B$2:$B$503,A31)</f>
        <v>1097.71</v>
      </c>
      <c r="H31" s="18" t="n">
        <f aca="false">F31-G31</f>
        <v>0</v>
      </c>
      <c r="I31" s="16" t="n">
        <f aca="false">IF(H31&lt;=0.01,0,MAX(Assumptions!$B$5-E31,0))</f>
        <v>0</v>
      </c>
      <c r="J31" s="16" t="str">
        <f aca="false">IF(H31&lt;=0.01,"Paid",IF(I31&lt;=30,"0-30",IF(I31&lt;=60,"31-60",IF(I31&lt;=90,"61-90","90+"))))</f>
        <v>Paid</v>
      </c>
      <c r="K31" s="16" t="str">
        <f aca="false">IF(H31&lt;=0.01,"Paid",IF(G31&gt;0,"Partially Paid","Unpaid"))</f>
        <v>Paid</v>
      </c>
    </row>
    <row r="32" customFormat="false" ht="15" hidden="false" customHeight="false" outlineLevel="0" collapsed="false">
      <c r="A32" s="16" t="str">
        <f aca="false">Customer_Invoices_AR!A29</f>
        <v>ARI60028</v>
      </c>
      <c r="B32" s="16" t="str">
        <f aca="false">Customer_Invoices_AR!B29</f>
        <v>C2029</v>
      </c>
      <c r="C32" s="16" t="str">
        <f aca="false">IFERROR(INDEX(Customer_Master!$B$2:$B$31,MATCH(B32,Customer_Master!$A$2:$A$31,0)),"Unknown Customer")</f>
        <v>Hensley, Powell and David</v>
      </c>
      <c r="D32" s="17" t="n">
        <f aca="false">Customer_Invoices_AR!C29</f>
        <v>46129</v>
      </c>
      <c r="E32" s="17" t="n">
        <f aca="false">Customer_Invoices_AR!E29</f>
        <v>46189</v>
      </c>
      <c r="F32" s="18" t="n">
        <f aca="false">Customer_Invoices_AR!D29</f>
        <v>3200.16</v>
      </c>
      <c r="G32" s="18" t="n">
        <f aca="false">SUMIFS(Cash_Receipts_AR!$E$2:$E$503,Cash_Receipts_AR!$B$2:$B$503,A32)</f>
        <v>3200.16</v>
      </c>
      <c r="H32" s="18" t="n">
        <f aca="false">F32-G32</f>
        <v>0</v>
      </c>
      <c r="I32" s="16" t="n">
        <f aca="false">IF(H32&lt;=0.01,0,MAX(Assumptions!$B$5-E32,0))</f>
        <v>0</v>
      </c>
      <c r="J32" s="16" t="str">
        <f aca="false">IF(H32&lt;=0.01,"Paid",IF(I32&lt;=30,"0-30",IF(I32&lt;=60,"31-60",IF(I32&lt;=90,"61-90","90+"))))</f>
        <v>Paid</v>
      </c>
      <c r="K32" s="16" t="str">
        <f aca="false">IF(H32&lt;=0.01,"Paid",IF(G32&gt;0,"Partially Paid","Unpaid"))</f>
        <v>Paid</v>
      </c>
    </row>
    <row r="33" customFormat="false" ht="15" hidden="false" customHeight="false" outlineLevel="0" collapsed="false">
      <c r="A33" s="16" t="str">
        <f aca="false">Customer_Invoices_AR!A30</f>
        <v>ARI60029</v>
      </c>
      <c r="B33" s="16" t="str">
        <f aca="false">Customer_Invoices_AR!B30</f>
        <v>C2006</v>
      </c>
      <c r="C33" s="16" t="str">
        <f aca="false">IFERROR(INDEX(Customer_Master!$B$2:$B$31,MATCH(B33,Customer_Master!$A$2:$A$31,0)),"Unknown Customer")</f>
        <v>Washington, Ryan and Cummings</v>
      </c>
      <c r="D33" s="17" t="n">
        <f aca="false">Customer_Invoices_AR!C30</f>
        <v>46124</v>
      </c>
      <c r="E33" s="17" t="n">
        <f aca="false">Customer_Invoices_AR!E30</f>
        <v>46139</v>
      </c>
      <c r="F33" s="18" t="n">
        <f aca="false">Customer_Invoices_AR!D30</f>
        <v>1642.53</v>
      </c>
      <c r="G33" s="18" t="n">
        <f aca="false">SUMIFS(Cash_Receipts_AR!$E$2:$E$503,Cash_Receipts_AR!$B$2:$B$503,A33)</f>
        <v>0</v>
      </c>
      <c r="H33" s="18" t="n">
        <f aca="false">F33-G33</f>
        <v>1642.53</v>
      </c>
      <c r="I33" s="16" t="n">
        <f aca="false">IF(H33&lt;=0.01,0,MAX(Assumptions!$B$5-E33,0))</f>
        <v>95</v>
      </c>
      <c r="J33" s="16" t="str">
        <f aca="false">IF(H33&lt;=0.01,"Paid",IF(I33&lt;=30,"0-30",IF(I33&lt;=60,"31-60",IF(I33&lt;=90,"61-90","90+"))))</f>
        <v>90+</v>
      </c>
      <c r="K33" s="16" t="str">
        <f aca="false">IF(H33&lt;=0.01,"Paid",IF(G33&gt;0,"Partially Paid","Unpaid"))</f>
        <v>Unpaid</v>
      </c>
    </row>
    <row r="34" customFormat="false" ht="15" hidden="false" customHeight="false" outlineLevel="0" collapsed="false">
      <c r="A34" s="16" t="str">
        <f aca="false">Customer_Invoices_AR!A31</f>
        <v>ARI60030</v>
      </c>
      <c r="B34" s="16" t="str">
        <f aca="false">Customer_Invoices_AR!B31</f>
        <v>C2019</v>
      </c>
      <c r="C34" s="16" t="str">
        <f aca="false">IFERROR(INDEX(Customer_Master!$B$2:$B$31,MATCH(B34,Customer_Master!$A$2:$A$31,0)),"Unknown Customer")</f>
        <v>Hancock Inc</v>
      </c>
      <c r="D34" s="17" t="n">
        <f aca="false">Customer_Invoices_AR!C31</f>
        <v>45993</v>
      </c>
      <c r="E34" s="17" t="n">
        <f aca="false">Customer_Invoices_AR!E31</f>
        <v>46008</v>
      </c>
      <c r="F34" s="18" t="n">
        <f aca="false">Customer_Invoices_AR!D31</f>
        <v>3022.81</v>
      </c>
      <c r="G34" s="18" t="n">
        <f aca="false">SUMIFS(Cash_Receipts_AR!$E$2:$E$503,Cash_Receipts_AR!$B$2:$B$503,A34)</f>
        <v>0</v>
      </c>
      <c r="H34" s="18" t="n">
        <f aca="false">F34-G34</f>
        <v>3022.81</v>
      </c>
      <c r="I34" s="16" t="n">
        <f aca="false">IF(H34&lt;=0.01,0,MAX(Assumptions!$B$5-E34,0))</f>
        <v>226</v>
      </c>
      <c r="J34" s="16" t="str">
        <f aca="false">IF(H34&lt;=0.01,"Paid",IF(I34&lt;=30,"0-30",IF(I34&lt;=60,"31-60",IF(I34&lt;=90,"61-90","90+"))))</f>
        <v>90+</v>
      </c>
      <c r="K34" s="16" t="str">
        <f aca="false">IF(H34&lt;=0.01,"Paid",IF(G34&gt;0,"Partially Paid","Unpaid"))</f>
        <v>Unpaid</v>
      </c>
    </row>
    <row r="35" customFormat="false" ht="15" hidden="false" customHeight="false" outlineLevel="0" collapsed="false">
      <c r="A35" s="16" t="str">
        <f aca="false">Customer_Invoices_AR!A32</f>
        <v>ARI60031</v>
      </c>
      <c r="B35" s="16" t="str">
        <f aca="false">Customer_Invoices_AR!B32</f>
        <v>C2028</v>
      </c>
      <c r="C35" s="16" t="str">
        <f aca="false">IFERROR(INDEX(Customer_Master!$B$2:$B$31,MATCH(B35,Customer_Master!$A$2:$A$31,0)),"Unknown Customer")</f>
        <v>Jones Inc</v>
      </c>
      <c r="D35" s="17" t="n">
        <f aca="false">Customer_Invoices_AR!C32</f>
        <v>45934</v>
      </c>
      <c r="E35" s="17" t="n">
        <f aca="false">Customer_Invoices_AR!E32</f>
        <v>45949</v>
      </c>
      <c r="F35" s="18" t="n">
        <f aca="false">Customer_Invoices_AR!D32</f>
        <v>3581.88</v>
      </c>
      <c r="G35" s="18" t="n">
        <f aca="false">SUMIFS(Cash_Receipts_AR!$E$2:$E$503,Cash_Receipts_AR!$B$2:$B$503,A35)</f>
        <v>3581.88</v>
      </c>
      <c r="H35" s="18" t="n">
        <f aca="false">F35-G35</f>
        <v>0</v>
      </c>
      <c r="I35" s="16" t="n">
        <f aca="false">IF(H35&lt;=0.01,0,MAX(Assumptions!$B$5-E35,0))</f>
        <v>0</v>
      </c>
      <c r="J35" s="16" t="str">
        <f aca="false">IF(H35&lt;=0.01,"Paid",IF(I35&lt;=30,"0-30",IF(I35&lt;=60,"31-60",IF(I35&lt;=90,"61-90","90+"))))</f>
        <v>Paid</v>
      </c>
      <c r="K35" s="16" t="str">
        <f aca="false">IF(H35&lt;=0.01,"Paid",IF(G35&gt;0,"Partially Paid","Unpaid"))</f>
        <v>Paid</v>
      </c>
    </row>
    <row r="36" customFormat="false" ht="15" hidden="false" customHeight="false" outlineLevel="0" collapsed="false">
      <c r="A36" s="16" t="str">
        <f aca="false">Customer_Invoices_AR!A33</f>
        <v>ARI60032</v>
      </c>
      <c r="B36" s="16" t="str">
        <f aca="false">Customer_Invoices_AR!B33</f>
        <v>C2027</v>
      </c>
      <c r="C36" s="16" t="str">
        <f aca="false">IFERROR(INDEX(Customer_Master!$B$2:$B$31,MATCH(B36,Customer_Master!$A$2:$A$31,0)),"Unknown Customer")</f>
        <v>Yu Inc</v>
      </c>
      <c r="D36" s="17" t="n">
        <f aca="false">Customer_Invoices_AR!C33</f>
        <v>45910</v>
      </c>
      <c r="E36" s="17" t="n">
        <f aca="false">Customer_Invoices_AR!E33</f>
        <v>45970</v>
      </c>
      <c r="F36" s="18" t="n">
        <f aca="false">Customer_Invoices_AR!D33</f>
        <v>2165.8</v>
      </c>
      <c r="G36" s="18" t="n">
        <f aca="false">SUMIFS(Cash_Receipts_AR!$E$2:$E$503,Cash_Receipts_AR!$B$2:$B$503,A36)</f>
        <v>2165.8</v>
      </c>
      <c r="H36" s="18" t="n">
        <f aca="false">F36-G36</f>
        <v>0</v>
      </c>
      <c r="I36" s="16" t="n">
        <f aca="false">IF(H36&lt;=0.01,0,MAX(Assumptions!$B$5-E36,0))</f>
        <v>0</v>
      </c>
      <c r="J36" s="16" t="str">
        <f aca="false">IF(H36&lt;=0.01,"Paid",IF(I36&lt;=30,"0-30",IF(I36&lt;=60,"31-60",IF(I36&lt;=90,"61-90","90+"))))</f>
        <v>Paid</v>
      </c>
      <c r="K36" s="16" t="str">
        <f aca="false">IF(H36&lt;=0.01,"Paid",IF(G36&gt;0,"Partially Paid","Unpaid"))</f>
        <v>Paid</v>
      </c>
    </row>
    <row r="37" customFormat="false" ht="15" hidden="false" customHeight="false" outlineLevel="0" collapsed="false">
      <c r="A37" s="16" t="str">
        <f aca="false">Customer_Invoices_AR!A34</f>
        <v>ARI60033</v>
      </c>
      <c r="B37" s="16" t="str">
        <f aca="false">Customer_Invoices_AR!B34</f>
        <v>C2018</v>
      </c>
      <c r="C37" s="16" t="str">
        <f aca="false">IFERROR(INDEX(Customer_Master!$B$2:$B$31,MATCH(B37,Customer_Master!$A$2:$A$31,0)),"Unknown Customer")</f>
        <v>Russell Group</v>
      </c>
      <c r="D37" s="17" t="n">
        <f aca="false">Customer_Invoices_AR!C34</f>
        <v>45960</v>
      </c>
      <c r="E37" s="17" t="n">
        <f aca="false">Customer_Invoices_AR!E34</f>
        <v>45975</v>
      </c>
      <c r="F37" s="18" t="n">
        <f aca="false">Customer_Invoices_AR!D34</f>
        <v>1078.27</v>
      </c>
      <c r="G37" s="18" t="n">
        <f aca="false">SUMIFS(Cash_Receipts_AR!$E$2:$E$503,Cash_Receipts_AR!$B$2:$B$503,A37)</f>
        <v>1078.27</v>
      </c>
      <c r="H37" s="18" t="n">
        <f aca="false">F37-G37</f>
        <v>0</v>
      </c>
      <c r="I37" s="16" t="n">
        <f aca="false">IF(H37&lt;=0.01,0,MAX(Assumptions!$B$5-E37,0))</f>
        <v>0</v>
      </c>
      <c r="J37" s="16" t="str">
        <f aca="false">IF(H37&lt;=0.01,"Paid",IF(I37&lt;=30,"0-30",IF(I37&lt;=60,"31-60",IF(I37&lt;=90,"61-90","90+"))))</f>
        <v>Paid</v>
      </c>
      <c r="K37" s="16" t="str">
        <f aca="false">IF(H37&lt;=0.01,"Paid",IF(G37&gt;0,"Partially Paid","Unpaid"))</f>
        <v>Paid</v>
      </c>
    </row>
    <row r="38" customFormat="false" ht="15" hidden="false" customHeight="false" outlineLevel="0" collapsed="false">
      <c r="A38" s="16" t="str">
        <f aca="false">Customer_Invoices_AR!A35</f>
        <v>ARI60034</v>
      </c>
      <c r="B38" s="16" t="str">
        <f aca="false">Customer_Invoices_AR!B35</f>
        <v>C2018</v>
      </c>
      <c r="C38" s="16" t="str">
        <f aca="false">IFERROR(INDEX(Customer_Master!$B$2:$B$31,MATCH(B38,Customer_Master!$A$2:$A$31,0)),"Unknown Customer")</f>
        <v>Russell Group</v>
      </c>
      <c r="D38" s="17" t="n">
        <f aca="false">Customer_Invoices_AR!C35</f>
        <v>46089</v>
      </c>
      <c r="E38" s="17" t="n">
        <f aca="false">Customer_Invoices_AR!E35</f>
        <v>46104</v>
      </c>
      <c r="F38" s="18" t="n">
        <f aca="false">Customer_Invoices_AR!D35</f>
        <v>4109.52</v>
      </c>
      <c r="G38" s="18" t="n">
        <f aca="false">SUMIFS(Cash_Receipts_AR!$E$2:$E$503,Cash_Receipts_AR!$B$2:$B$503,A38)</f>
        <v>4109.52</v>
      </c>
      <c r="H38" s="18" t="n">
        <f aca="false">F38-G38</f>
        <v>0</v>
      </c>
      <c r="I38" s="16" t="n">
        <f aca="false">IF(H38&lt;=0.01,0,MAX(Assumptions!$B$5-E38,0))</f>
        <v>0</v>
      </c>
      <c r="J38" s="16" t="str">
        <f aca="false">IF(H38&lt;=0.01,"Paid",IF(I38&lt;=30,"0-30",IF(I38&lt;=60,"31-60",IF(I38&lt;=90,"61-90","90+"))))</f>
        <v>Paid</v>
      </c>
      <c r="K38" s="16" t="str">
        <f aca="false">IF(H38&lt;=0.01,"Paid",IF(G38&gt;0,"Partially Paid","Unpaid"))</f>
        <v>Paid</v>
      </c>
    </row>
    <row r="39" customFormat="false" ht="15" hidden="false" customHeight="false" outlineLevel="0" collapsed="false">
      <c r="A39" s="16" t="str">
        <f aca="false">Customer_Invoices_AR!A36</f>
        <v>ARI60035</v>
      </c>
      <c r="B39" s="16" t="str">
        <f aca="false">Customer_Invoices_AR!B36</f>
        <v>C2021</v>
      </c>
      <c r="C39" s="16" t="str">
        <f aca="false">IFERROR(INDEX(Customer_Master!$B$2:$B$31,MATCH(B39,Customer_Master!$A$2:$A$31,0)),"Unknown Customer")</f>
        <v>House-Glover</v>
      </c>
      <c r="D39" s="17" t="n">
        <f aca="false">Customer_Invoices_AR!C36</f>
        <v>46146</v>
      </c>
      <c r="E39" s="17" t="n">
        <f aca="false">Customer_Invoices_AR!E36</f>
        <v>46206</v>
      </c>
      <c r="F39" s="18" t="n">
        <f aca="false">Customer_Invoices_AR!D36</f>
        <v>2519.07</v>
      </c>
      <c r="G39" s="18" t="n">
        <f aca="false">SUMIFS(Cash_Receipts_AR!$E$2:$E$503,Cash_Receipts_AR!$B$2:$B$503,A39)</f>
        <v>2519.07</v>
      </c>
      <c r="H39" s="18" t="n">
        <f aca="false">F39-G39</f>
        <v>0</v>
      </c>
      <c r="I39" s="16" t="n">
        <f aca="false">IF(H39&lt;=0.01,0,MAX(Assumptions!$B$5-E39,0))</f>
        <v>0</v>
      </c>
      <c r="J39" s="16" t="str">
        <f aca="false">IF(H39&lt;=0.01,"Paid",IF(I39&lt;=30,"0-30",IF(I39&lt;=60,"31-60",IF(I39&lt;=90,"61-90","90+"))))</f>
        <v>Paid</v>
      </c>
      <c r="K39" s="16" t="str">
        <f aca="false">IF(H39&lt;=0.01,"Paid",IF(G39&gt;0,"Partially Paid","Unpaid"))</f>
        <v>Paid</v>
      </c>
    </row>
    <row r="40" customFormat="false" ht="15" hidden="false" customHeight="false" outlineLevel="0" collapsed="false">
      <c r="A40" s="16" t="str">
        <f aca="false">Customer_Invoices_AR!A37</f>
        <v>ARI60036</v>
      </c>
      <c r="B40" s="16" t="str">
        <f aca="false">Customer_Invoices_AR!B37</f>
        <v>C2001</v>
      </c>
      <c r="C40" s="16" t="str">
        <f aca="false">IFERROR(INDEX(Customer_Master!$B$2:$B$31,MATCH(B40,Customer_Master!$A$2:$A$31,0)),"Unknown Customer")</f>
        <v>Wright Inc</v>
      </c>
      <c r="D40" s="17" t="n">
        <f aca="false">Customer_Invoices_AR!C37</f>
        <v>45903</v>
      </c>
      <c r="E40" s="17" t="n">
        <f aca="false">Customer_Invoices_AR!E37</f>
        <v>45948</v>
      </c>
      <c r="F40" s="18" t="n">
        <f aca="false">Customer_Invoices_AR!D37</f>
        <v>5268.62</v>
      </c>
      <c r="G40" s="18" t="n">
        <f aca="false">SUMIFS(Cash_Receipts_AR!$E$2:$E$503,Cash_Receipts_AR!$B$2:$B$503,A40)</f>
        <v>5268.62</v>
      </c>
      <c r="H40" s="18" t="n">
        <f aca="false">F40-G40</f>
        <v>0</v>
      </c>
      <c r="I40" s="16" t="n">
        <f aca="false">IF(H40&lt;=0.01,0,MAX(Assumptions!$B$5-E40,0))</f>
        <v>0</v>
      </c>
      <c r="J40" s="16" t="str">
        <f aca="false">IF(H40&lt;=0.01,"Paid",IF(I40&lt;=30,"0-30",IF(I40&lt;=60,"31-60",IF(I40&lt;=90,"61-90","90+"))))</f>
        <v>Paid</v>
      </c>
      <c r="K40" s="16" t="str">
        <f aca="false">IF(H40&lt;=0.01,"Paid",IF(G40&gt;0,"Partially Paid","Unpaid"))</f>
        <v>Paid</v>
      </c>
    </row>
    <row r="41" customFormat="false" ht="15" hidden="false" customHeight="false" outlineLevel="0" collapsed="false">
      <c r="A41" s="16" t="str">
        <f aca="false">Customer_Invoices_AR!A38</f>
        <v>ARI60037</v>
      </c>
      <c r="B41" s="16" t="str">
        <f aca="false">Customer_Invoices_AR!B38</f>
        <v>C2027</v>
      </c>
      <c r="C41" s="16" t="str">
        <f aca="false">IFERROR(INDEX(Customer_Master!$B$2:$B$31,MATCH(B41,Customer_Master!$A$2:$A$31,0)),"Unknown Customer")</f>
        <v>Yu Inc</v>
      </c>
      <c r="D41" s="17" t="n">
        <f aca="false">Customer_Invoices_AR!C38</f>
        <v>46099</v>
      </c>
      <c r="E41" s="17" t="n">
        <f aca="false">Customer_Invoices_AR!E38</f>
        <v>46159</v>
      </c>
      <c r="F41" s="18" t="n">
        <f aca="false">Customer_Invoices_AR!D38</f>
        <v>1149.12</v>
      </c>
      <c r="G41" s="18" t="n">
        <f aca="false">SUMIFS(Cash_Receipts_AR!$E$2:$E$503,Cash_Receipts_AR!$B$2:$B$503,A41)</f>
        <v>1149.12</v>
      </c>
      <c r="H41" s="18" t="n">
        <f aca="false">F41-G41</f>
        <v>0</v>
      </c>
      <c r="I41" s="16" t="n">
        <f aca="false">IF(H41&lt;=0.01,0,MAX(Assumptions!$B$5-E41,0))</f>
        <v>0</v>
      </c>
      <c r="J41" s="16" t="str">
        <f aca="false">IF(H41&lt;=0.01,"Paid",IF(I41&lt;=30,"0-30",IF(I41&lt;=60,"31-60",IF(I41&lt;=90,"61-90","90+"))))</f>
        <v>Paid</v>
      </c>
      <c r="K41" s="16" t="str">
        <f aca="false">IF(H41&lt;=0.01,"Paid",IF(G41&gt;0,"Partially Paid","Unpaid"))</f>
        <v>Paid</v>
      </c>
    </row>
    <row r="42" customFormat="false" ht="15" hidden="false" customHeight="false" outlineLevel="0" collapsed="false">
      <c r="A42" s="16" t="str">
        <f aca="false">Customer_Invoices_AR!A39</f>
        <v>ARI60038</v>
      </c>
      <c r="B42" s="16" t="str">
        <f aca="false">Customer_Invoices_AR!B39</f>
        <v>C2011</v>
      </c>
      <c r="C42" s="16" t="str">
        <f aca="false">IFERROR(INDEX(Customer_Master!$B$2:$B$31,MATCH(B42,Customer_Master!$A$2:$A$31,0)),"Unknown Customer")</f>
        <v>Powell LLC</v>
      </c>
      <c r="D42" s="17" t="n">
        <f aca="false">Customer_Invoices_AR!C39</f>
        <v>46013</v>
      </c>
      <c r="E42" s="17" t="n">
        <f aca="false">Customer_Invoices_AR!E39</f>
        <v>46043</v>
      </c>
      <c r="F42" s="18" t="n">
        <f aca="false">Customer_Invoices_AR!D39</f>
        <v>546.28</v>
      </c>
      <c r="G42" s="18" t="n">
        <f aca="false">SUMIFS(Cash_Receipts_AR!$E$2:$E$503,Cash_Receipts_AR!$B$2:$B$503,A42)</f>
        <v>183.38</v>
      </c>
      <c r="H42" s="18" t="n">
        <f aca="false">F42-G42</f>
        <v>362.9</v>
      </c>
      <c r="I42" s="16" t="n">
        <f aca="false">IF(H42&lt;=0.01,0,MAX(Assumptions!$B$5-E42,0))</f>
        <v>191</v>
      </c>
      <c r="J42" s="16" t="str">
        <f aca="false">IF(H42&lt;=0.01,"Paid",IF(I42&lt;=30,"0-30",IF(I42&lt;=60,"31-60",IF(I42&lt;=90,"61-90","90+"))))</f>
        <v>90+</v>
      </c>
      <c r="K42" s="16" t="str">
        <f aca="false">IF(H42&lt;=0.01,"Paid",IF(G42&gt;0,"Partially Paid","Unpaid"))</f>
        <v>Partially Paid</v>
      </c>
    </row>
    <row r="43" customFormat="false" ht="15" hidden="false" customHeight="false" outlineLevel="0" collapsed="false">
      <c r="A43" s="16" t="str">
        <f aca="false">Customer_Invoices_AR!A40</f>
        <v>ARI60039</v>
      </c>
      <c r="B43" s="16" t="str">
        <f aca="false">Customer_Invoices_AR!B40</f>
        <v>C2001</v>
      </c>
      <c r="C43" s="16" t="str">
        <f aca="false">IFERROR(INDEX(Customer_Master!$B$2:$B$31,MATCH(B43,Customer_Master!$A$2:$A$31,0)),"Unknown Customer")</f>
        <v>Wright Inc</v>
      </c>
      <c r="D43" s="17" t="n">
        <f aca="false">Customer_Invoices_AR!C40</f>
        <v>45833</v>
      </c>
      <c r="E43" s="17" t="n">
        <f aca="false">Customer_Invoices_AR!E40</f>
        <v>45878</v>
      </c>
      <c r="F43" s="18" t="n">
        <f aca="false">Customer_Invoices_AR!D40</f>
        <v>5425.91</v>
      </c>
      <c r="G43" s="18" t="n">
        <f aca="false">SUMIFS(Cash_Receipts_AR!$E$2:$E$503,Cash_Receipts_AR!$B$2:$B$503,A43)</f>
        <v>5425.91</v>
      </c>
      <c r="H43" s="18" t="n">
        <f aca="false">F43-G43</f>
        <v>0</v>
      </c>
      <c r="I43" s="16" t="n">
        <f aca="false">IF(H43&lt;=0.01,0,MAX(Assumptions!$B$5-E43,0))</f>
        <v>0</v>
      </c>
      <c r="J43" s="16" t="str">
        <f aca="false">IF(H43&lt;=0.01,"Paid",IF(I43&lt;=30,"0-30",IF(I43&lt;=60,"31-60",IF(I43&lt;=90,"61-90","90+"))))</f>
        <v>Paid</v>
      </c>
      <c r="K43" s="16" t="str">
        <f aca="false">IF(H43&lt;=0.01,"Paid",IF(G43&gt;0,"Partially Paid","Unpaid"))</f>
        <v>Paid</v>
      </c>
    </row>
    <row r="44" customFormat="false" ht="15" hidden="false" customHeight="false" outlineLevel="0" collapsed="false">
      <c r="A44" s="16" t="str">
        <f aca="false">Customer_Invoices_AR!A41</f>
        <v>ARI60040</v>
      </c>
      <c r="B44" s="16" t="str">
        <f aca="false">Customer_Invoices_AR!B41</f>
        <v>C2017</v>
      </c>
      <c r="C44" s="16" t="str">
        <f aca="false">IFERROR(INDEX(Customer_Master!$B$2:$B$31,MATCH(B44,Customer_Master!$A$2:$A$31,0)),"Unknown Customer")</f>
        <v>Novak and Sons</v>
      </c>
      <c r="D44" s="17" t="n">
        <f aca="false">Customer_Invoices_AR!C41</f>
        <v>45917</v>
      </c>
      <c r="E44" s="17" t="n">
        <f aca="false">Customer_Invoices_AR!E41</f>
        <v>45932</v>
      </c>
      <c r="F44" s="18" t="n">
        <f aca="false">Customer_Invoices_AR!D41</f>
        <v>2859.95</v>
      </c>
      <c r="G44" s="18" t="n">
        <f aca="false">SUMIFS(Cash_Receipts_AR!$E$2:$E$503,Cash_Receipts_AR!$B$2:$B$503,A44)</f>
        <v>2859.95</v>
      </c>
      <c r="H44" s="18" t="n">
        <f aca="false">F44-G44</f>
        <v>0</v>
      </c>
      <c r="I44" s="16" t="n">
        <f aca="false">IF(H44&lt;=0.01,0,MAX(Assumptions!$B$5-E44,0))</f>
        <v>0</v>
      </c>
      <c r="J44" s="16" t="str">
        <f aca="false">IF(H44&lt;=0.01,"Paid",IF(I44&lt;=30,"0-30",IF(I44&lt;=60,"31-60",IF(I44&lt;=90,"61-90","90+"))))</f>
        <v>Paid</v>
      </c>
      <c r="K44" s="16" t="str">
        <f aca="false">IF(H44&lt;=0.01,"Paid",IF(G44&gt;0,"Partially Paid","Unpaid"))</f>
        <v>Paid</v>
      </c>
    </row>
    <row r="45" customFormat="false" ht="15" hidden="false" customHeight="false" outlineLevel="0" collapsed="false">
      <c r="A45" s="16" t="str">
        <f aca="false">Customer_Invoices_AR!A42</f>
        <v>ARI60041</v>
      </c>
      <c r="B45" s="16" t="str">
        <f aca="false">Customer_Invoices_AR!B42</f>
        <v>C2013</v>
      </c>
      <c r="C45" s="16" t="str">
        <f aca="false">IFERROR(INDEX(Customer_Master!$B$2:$B$31,MATCH(B45,Customer_Master!$A$2:$A$31,0)),"Unknown Customer")</f>
        <v>West, Henderson and Ramirez</v>
      </c>
      <c r="D45" s="17" t="n">
        <f aca="false">Customer_Invoices_AR!C42</f>
        <v>45740</v>
      </c>
      <c r="E45" s="17" t="n">
        <f aca="false">Customer_Invoices_AR!E42</f>
        <v>45800</v>
      </c>
      <c r="F45" s="18" t="n">
        <f aca="false">Customer_Invoices_AR!D42</f>
        <v>8209.38</v>
      </c>
      <c r="G45" s="18" t="n">
        <f aca="false">SUMIFS(Cash_Receipts_AR!$E$2:$E$503,Cash_Receipts_AR!$B$2:$B$503,A45)</f>
        <v>8209.38</v>
      </c>
      <c r="H45" s="18" t="n">
        <f aca="false">F45-G45</f>
        <v>0</v>
      </c>
      <c r="I45" s="16" t="n">
        <f aca="false">IF(H45&lt;=0.01,0,MAX(Assumptions!$B$5-E45,0))</f>
        <v>0</v>
      </c>
      <c r="J45" s="16" t="str">
        <f aca="false">IF(H45&lt;=0.01,"Paid",IF(I45&lt;=30,"0-30",IF(I45&lt;=60,"31-60",IF(I45&lt;=90,"61-90","90+"))))</f>
        <v>Paid</v>
      </c>
      <c r="K45" s="16" t="str">
        <f aca="false">IF(H45&lt;=0.01,"Paid",IF(G45&gt;0,"Partially Paid","Unpaid"))</f>
        <v>Paid</v>
      </c>
    </row>
    <row r="46" customFormat="false" ht="15" hidden="false" customHeight="false" outlineLevel="0" collapsed="false">
      <c r="A46" s="16" t="str">
        <f aca="false">Customer_Invoices_AR!A43</f>
        <v>ARI60042</v>
      </c>
      <c r="B46" s="16" t="str">
        <f aca="false">Customer_Invoices_AR!B43</f>
        <v>C2010</v>
      </c>
      <c r="C46" s="16" t="str">
        <f aca="false">IFERROR(INDEX(Customer_Master!$B$2:$B$31,MATCH(B46,Customer_Master!$A$2:$A$31,0)),"Unknown Customer")</f>
        <v>Brown, Valdez and Lucas</v>
      </c>
      <c r="D46" s="17" t="n">
        <f aca="false">Customer_Invoices_AR!C43</f>
        <v>45691</v>
      </c>
      <c r="E46" s="17" t="n">
        <f aca="false">Customer_Invoices_AR!E43</f>
        <v>45751</v>
      </c>
      <c r="F46" s="18" t="n">
        <f aca="false">Customer_Invoices_AR!D43</f>
        <v>2699.15</v>
      </c>
      <c r="G46" s="18" t="n">
        <f aca="false">SUMIFS(Cash_Receipts_AR!$E$2:$E$503,Cash_Receipts_AR!$B$2:$B$503,A46)</f>
        <v>2699.15</v>
      </c>
      <c r="H46" s="18" t="n">
        <f aca="false">F46-G46</f>
        <v>0</v>
      </c>
      <c r="I46" s="16" t="n">
        <f aca="false">IF(H46&lt;=0.01,0,MAX(Assumptions!$B$5-E46,0))</f>
        <v>0</v>
      </c>
      <c r="J46" s="16" t="str">
        <f aca="false">IF(H46&lt;=0.01,"Paid",IF(I46&lt;=30,"0-30",IF(I46&lt;=60,"31-60",IF(I46&lt;=90,"61-90","90+"))))</f>
        <v>Paid</v>
      </c>
      <c r="K46" s="16" t="str">
        <f aca="false">IF(H46&lt;=0.01,"Paid",IF(G46&gt;0,"Partially Paid","Unpaid"))</f>
        <v>Paid</v>
      </c>
    </row>
    <row r="47" customFormat="false" ht="15" hidden="false" customHeight="false" outlineLevel="0" collapsed="false">
      <c r="A47" s="16" t="str">
        <f aca="false">Customer_Invoices_AR!A44</f>
        <v>ARI60043</v>
      </c>
      <c r="B47" s="16" t="str">
        <f aca="false">Customer_Invoices_AR!B44</f>
        <v>C2002</v>
      </c>
      <c r="C47" s="16" t="str">
        <f aca="false">IFERROR(INDEX(Customer_Master!$B$2:$B$31,MATCH(B47,Customer_Master!$A$2:$A$31,0)),"Unknown Customer")</f>
        <v>Smith-Spencer</v>
      </c>
      <c r="D47" s="17" t="n">
        <f aca="false">Customer_Invoices_AR!C44</f>
        <v>45714</v>
      </c>
      <c r="E47" s="17" t="n">
        <f aca="false">Customer_Invoices_AR!E44</f>
        <v>45729</v>
      </c>
      <c r="F47" s="18" t="n">
        <f aca="false">Customer_Invoices_AR!D44</f>
        <v>1257.66</v>
      </c>
      <c r="G47" s="18" t="n">
        <f aca="false">SUMIFS(Cash_Receipts_AR!$E$2:$E$503,Cash_Receipts_AR!$B$2:$B$503,A47)</f>
        <v>0</v>
      </c>
      <c r="H47" s="18" t="n">
        <f aca="false">F47-G47</f>
        <v>1257.66</v>
      </c>
      <c r="I47" s="16" t="n">
        <f aca="false">IF(H47&lt;=0.01,0,MAX(Assumptions!$B$5-E47,0))</f>
        <v>505</v>
      </c>
      <c r="J47" s="16" t="str">
        <f aca="false">IF(H47&lt;=0.01,"Paid",IF(I47&lt;=30,"0-30",IF(I47&lt;=60,"31-60",IF(I47&lt;=90,"61-90","90+"))))</f>
        <v>90+</v>
      </c>
      <c r="K47" s="16" t="str">
        <f aca="false">IF(H47&lt;=0.01,"Paid",IF(G47&gt;0,"Partially Paid","Unpaid"))</f>
        <v>Unpaid</v>
      </c>
    </row>
    <row r="48" customFormat="false" ht="15" hidden="false" customHeight="false" outlineLevel="0" collapsed="false">
      <c r="A48" s="16" t="str">
        <f aca="false">Customer_Invoices_AR!A45</f>
        <v>ARI60044</v>
      </c>
      <c r="B48" s="16" t="str">
        <f aca="false">Customer_Invoices_AR!B45</f>
        <v>C2008</v>
      </c>
      <c r="C48" s="16" t="str">
        <f aca="false">IFERROR(INDEX(Customer_Master!$B$2:$B$31,MATCH(B48,Customer_Master!$A$2:$A$31,0)),"Unknown Customer")</f>
        <v>Lee-Davis</v>
      </c>
      <c r="D48" s="17" t="n">
        <f aca="false">Customer_Invoices_AR!C45</f>
        <v>46148</v>
      </c>
      <c r="E48" s="17" t="n">
        <f aca="false">Customer_Invoices_AR!E45</f>
        <v>46208</v>
      </c>
      <c r="F48" s="18" t="n">
        <f aca="false">Customer_Invoices_AR!D45</f>
        <v>1354.65</v>
      </c>
      <c r="G48" s="18" t="n">
        <f aca="false">SUMIFS(Cash_Receipts_AR!$E$2:$E$503,Cash_Receipts_AR!$B$2:$B$503,A48)</f>
        <v>1354.65</v>
      </c>
      <c r="H48" s="18" t="n">
        <f aca="false">F48-G48</f>
        <v>0</v>
      </c>
      <c r="I48" s="16" t="n">
        <f aca="false">IF(H48&lt;=0.01,0,MAX(Assumptions!$B$5-E48,0))</f>
        <v>0</v>
      </c>
      <c r="J48" s="16" t="str">
        <f aca="false">IF(H48&lt;=0.01,"Paid",IF(I48&lt;=30,"0-30",IF(I48&lt;=60,"31-60",IF(I48&lt;=90,"61-90","90+"))))</f>
        <v>Paid</v>
      </c>
      <c r="K48" s="16" t="str">
        <f aca="false">IF(H48&lt;=0.01,"Paid",IF(G48&gt;0,"Partially Paid","Unpaid"))</f>
        <v>Paid</v>
      </c>
    </row>
    <row r="49" customFormat="false" ht="15" hidden="false" customHeight="false" outlineLevel="0" collapsed="false">
      <c r="A49" s="16" t="str">
        <f aca="false">Customer_Invoices_AR!A46</f>
        <v>ARI60045</v>
      </c>
      <c r="B49" s="16" t="str">
        <f aca="false">Customer_Invoices_AR!B46</f>
        <v>C2015</v>
      </c>
      <c r="C49" s="16" t="str">
        <f aca="false">IFERROR(INDEX(Customer_Master!$B$2:$B$31,MATCH(B49,Customer_Master!$A$2:$A$31,0)),"Unknown Customer")</f>
        <v>Morton-Chase</v>
      </c>
      <c r="D49" s="17" t="n">
        <f aca="false">Customer_Invoices_AR!C46</f>
        <v>45845</v>
      </c>
      <c r="E49" s="17" t="n">
        <f aca="false">Customer_Invoices_AR!E46</f>
        <v>45860</v>
      </c>
      <c r="F49" s="18" t="n">
        <f aca="false">Customer_Invoices_AR!D46</f>
        <v>2443.44</v>
      </c>
      <c r="G49" s="18" t="n">
        <f aca="false">SUMIFS(Cash_Receipts_AR!$E$2:$E$503,Cash_Receipts_AR!$B$2:$B$503,A49)</f>
        <v>2443.44</v>
      </c>
      <c r="H49" s="18" t="n">
        <f aca="false">F49-G49</f>
        <v>0</v>
      </c>
      <c r="I49" s="16" t="n">
        <f aca="false">IF(H49&lt;=0.01,0,MAX(Assumptions!$B$5-E49,0))</f>
        <v>0</v>
      </c>
      <c r="J49" s="16" t="str">
        <f aca="false">IF(H49&lt;=0.01,"Paid",IF(I49&lt;=30,"0-30",IF(I49&lt;=60,"31-60",IF(I49&lt;=90,"61-90","90+"))))</f>
        <v>Paid</v>
      </c>
      <c r="K49" s="16" t="str">
        <f aca="false">IF(H49&lt;=0.01,"Paid",IF(G49&gt;0,"Partially Paid","Unpaid"))</f>
        <v>Paid</v>
      </c>
    </row>
    <row r="50" customFormat="false" ht="15" hidden="false" customHeight="false" outlineLevel="0" collapsed="false">
      <c r="A50" s="16" t="str">
        <f aca="false">Customer_Invoices_AR!A47</f>
        <v>ARI60046</v>
      </c>
      <c r="B50" s="16" t="str">
        <f aca="false">Customer_Invoices_AR!B47</f>
        <v>C2016</v>
      </c>
      <c r="C50" s="16" t="str">
        <f aca="false">IFERROR(INDEX(Customer_Master!$B$2:$B$31,MATCH(B50,Customer_Master!$A$2:$A$31,0)),"Unknown Customer")</f>
        <v>Williams PLC</v>
      </c>
      <c r="D50" s="17" t="n">
        <f aca="false">Customer_Invoices_AR!C47</f>
        <v>46047</v>
      </c>
      <c r="E50" s="17" t="n">
        <f aca="false">Customer_Invoices_AR!E47</f>
        <v>46077</v>
      </c>
      <c r="F50" s="18" t="n">
        <f aca="false">Customer_Invoices_AR!D47</f>
        <v>4874.17</v>
      </c>
      <c r="G50" s="18" t="n">
        <f aca="false">SUMIFS(Cash_Receipts_AR!$E$2:$E$503,Cash_Receipts_AR!$B$2:$B$503,A50)</f>
        <v>4874.17</v>
      </c>
      <c r="H50" s="18" t="n">
        <f aca="false">F50-G50</f>
        <v>0</v>
      </c>
      <c r="I50" s="16" t="n">
        <f aca="false">IF(H50&lt;=0.01,0,MAX(Assumptions!$B$5-E50,0))</f>
        <v>0</v>
      </c>
      <c r="J50" s="16" t="str">
        <f aca="false">IF(H50&lt;=0.01,"Paid",IF(I50&lt;=30,"0-30",IF(I50&lt;=60,"31-60",IF(I50&lt;=90,"61-90","90+"))))</f>
        <v>Paid</v>
      </c>
      <c r="K50" s="16" t="str">
        <f aca="false">IF(H50&lt;=0.01,"Paid",IF(G50&gt;0,"Partially Paid","Unpaid"))</f>
        <v>Paid</v>
      </c>
    </row>
    <row r="51" customFormat="false" ht="15" hidden="false" customHeight="false" outlineLevel="0" collapsed="false">
      <c r="A51" s="16" t="str">
        <f aca="false">Customer_Invoices_AR!A48</f>
        <v>ARI60047</v>
      </c>
      <c r="B51" s="16" t="str">
        <f aca="false">Customer_Invoices_AR!B48</f>
        <v>C2002</v>
      </c>
      <c r="C51" s="16" t="str">
        <f aca="false">IFERROR(INDEX(Customer_Master!$B$2:$B$31,MATCH(B51,Customer_Master!$A$2:$A$31,0)),"Unknown Customer")</f>
        <v>Smith-Spencer</v>
      </c>
      <c r="D51" s="17" t="n">
        <f aca="false">Customer_Invoices_AR!C48</f>
        <v>45932</v>
      </c>
      <c r="E51" s="17" t="n">
        <f aca="false">Customer_Invoices_AR!E48</f>
        <v>45947</v>
      </c>
      <c r="F51" s="18" t="n">
        <f aca="false">Customer_Invoices_AR!D48</f>
        <v>326.8</v>
      </c>
      <c r="G51" s="18" t="n">
        <f aca="false">SUMIFS(Cash_Receipts_AR!$E$2:$E$503,Cash_Receipts_AR!$B$2:$B$503,A51)</f>
        <v>0</v>
      </c>
      <c r="H51" s="18" t="n">
        <f aca="false">F51-G51</f>
        <v>326.8</v>
      </c>
      <c r="I51" s="16" t="n">
        <f aca="false">IF(H51&lt;=0.01,0,MAX(Assumptions!$B$5-E51,0))</f>
        <v>287</v>
      </c>
      <c r="J51" s="16" t="str">
        <f aca="false">IF(H51&lt;=0.01,"Paid",IF(I51&lt;=30,"0-30",IF(I51&lt;=60,"31-60",IF(I51&lt;=90,"61-90","90+"))))</f>
        <v>90+</v>
      </c>
      <c r="K51" s="16" t="str">
        <f aca="false">IF(H51&lt;=0.01,"Paid",IF(G51&gt;0,"Partially Paid","Unpaid"))</f>
        <v>Unpaid</v>
      </c>
    </row>
    <row r="52" customFormat="false" ht="15" hidden="false" customHeight="false" outlineLevel="0" collapsed="false">
      <c r="A52" s="16" t="str">
        <f aca="false">Customer_Invoices_AR!A49</f>
        <v>ARI60048</v>
      </c>
      <c r="B52" s="16" t="str">
        <f aca="false">Customer_Invoices_AR!B49</f>
        <v>C2011</v>
      </c>
      <c r="C52" s="16" t="str">
        <f aca="false">IFERROR(INDEX(Customer_Master!$B$2:$B$31,MATCH(B52,Customer_Master!$A$2:$A$31,0)),"Unknown Customer")</f>
        <v>Powell LLC</v>
      </c>
      <c r="D52" s="17" t="n">
        <f aca="false">Customer_Invoices_AR!C49</f>
        <v>45752</v>
      </c>
      <c r="E52" s="17" t="n">
        <f aca="false">Customer_Invoices_AR!E49</f>
        <v>45782</v>
      </c>
      <c r="F52" s="18" t="n">
        <f aca="false">Customer_Invoices_AR!D49</f>
        <v>1044.13</v>
      </c>
      <c r="G52" s="18" t="n">
        <f aca="false">SUMIFS(Cash_Receipts_AR!$E$2:$E$503,Cash_Receipts_AR!$B$2:$B$503,A52)</f>
        <v>0</v>
      </c>
      <c r="H52" s="18" t="n">
        <f aca="false">F52-G52</f>
        <v>1044.13</v>
      </c>
      <c r="I52" s="16" t="n">
        <f aca="false">IF(H52&lt;=0.01,0,MAX(Assumptions!$B$5-E52,0))</f>
        <v>452</v>
      </c>
      <c r="J52" s="16" t="str">
        <f aca="false">IF(H52&lt;=0.01,"Paid",IF(I52&lt;=30,"0-30",IF(I52&lt;=60,"31-60",IF(I52&lt;=90,"61-90","90+"))))</f>
        <v>90+</v>
      </c>
      <c r="K52" s="16" t="str">
        <f aca="false">IF(H52&lt;=0.01,"Paid",IF(G52&gt;0,"Partially Paid","Unpaid"))</f>
        <v>Unpaid</v>
      </c>
    </row>
    <row r="53" customFormat="false" ht="15" hidden="false" customHeight="false" outlineLevel="0" collapsed="false">
      <c r="A53" s="16" t="str">
        <f aca="false">Customer_Invoices_AR!A50</f>
        <v>ARI60049</v>
      </c>
      <c r="B53" s="16" t="str">
        <f aca="false">Customer_Invoices_AR!B50</f>
        <v>C2011</v>
      </c>
      <c r="C53" s="16" t="str">
        <f aca="false">IFERROR(INDEX(Customer_Master!$B$2:$B$31,MATCH(B53,Customer_Master!$A$2:$A$31,0)),"Unknown Customer")</f>
        <v>Powell LLC</v>
      </c>
      <c r="D53" s="17" t="n">
        <f aca="false">Customer_Invoices_AR!C50</f>
        <v>45793</v>
      </c>
      <c r="E53" s="17" t="n">
        <f aca="false">Customer_Invoices_AR!E50</f>
        <v>45823</v>
      </c>
      <c r="F53" s="18" t="n">
        <f aca="false">Customer_Invoices_AR!D50</f>
        <v>3700.7</v>
      </c>
      <c r="G53" s="18" t="n">
        <f aca="false">SUMIFS(Cash_Receipts_AR!$E$2:$E$503,Cash_Receipts_AR!$B$2:$B$503,A53)</f>
        <v>3700.7</v>
      </c>
      <c r="H53" s="18" t="n">
        <f aca="false">F53-G53</f>
        <v>0</v>
      </c>
      <c r="I53" s="16" t="n">
        <f aca="false">IF(H53&lt;=0.01,0,MAX(Assumptions!$B$5-E53,0))</f>
        <v>0</v>
      </c>
      <c r="J53" s="16" t="str">
        <f aca="false">IF(H53&lt;=0.01,"Paid",IF(I53&lt;=30,"0-30",IF(I53&lt;=60,"31-60",IF(I53&lt;=90,"61-90","90+"))))</f>
        <v>Paid</v>
      </c>
      <c r="K53" s="16" t="str">
        <f aca="false">IF(H53&lt;=0.01,"Paid",IF(G53&gt;0,"Partially Paid","Unpaid"))</f>
        <v>Paid</v>
      </c>
    </row>
    <row r="54" customFormat="false" ht="15" hidden="false" customHeight="false" outlineLevel="0" collapsed="false">
      <c r="A54" s="16" t="str">
        <f aca="false">Customer_Invoices_AR!A51</f>
        <v>ARI60050</v>
      </c>
      <c r="B54" s="16" t="str">
        <f aca="false">Customer_Invoices_AR!B51</f>
        <v>C2028</v>
      </c>
      <c r="C54" s="16" t="str">
        <f aca="false">IFERROR(INDEX(Customer_Master!$B$2:$B$31,MATCH(B54,Customer_Master!$A$2:$A$31,0)),"Unknown Customer")</f>
        <v>Jones Inc</v>
      </c>
      <c r="D54" s="17" t="n">
        <f aca="false">Customer_Invoices_AR!C51</f>
        <v>45896</v>
      </c>
      <c r="E54" s="17" t="n">
        <f aca="false">Customer_Invoices_AR!E51</f>
        <v>45911</v>
      </c>
      <c r="F54" s="18" t="n">
        <f aca="false">Customer_Invoices_AR!D51</f>
        <v>1168.97</v>
      </c>
      <c r="G54" s="18" t="n">
        <f aca="false">SUMIFS(Cash_Receipts_AR!$E$2:$E$503,Cash_Receipts_AR!$B$2:$B$503,A54)</f>
        <v>1168.97</v>
      </c>
      <c r="H54" s="18" t="n">
        <f aca="false">F54-G54</f>
        <v>0</v>
      </c>
      <c r="I54" s="16" t="n">
        <f aca="false">IF(H54&lt;=0.01,0,MAX(Assumptions!$B$5-E54,0))</f>
        <v>0</v>
      </c>
      <c r="J54" s="16" t="str">
        <f aca="false">IF(H54&lt;=0.01,"Paid",IF(I54&lt;=30,"0-30",IF(I54&lt;=60,"31-60",IF(I54&lt;=90,"61-90","90+"))))</f>
        <v>Paid</v>
      </c>
      <c r="K54" s="16" t="str">
        <f aca="false">IF(H54&lt;=0.01,"Paid",IF(G54&gt;0,"Partially Paid","Unpaid"))</f>
        <v>Paid</v>
      </c>
    </row>
    <row r="55" customFormat="false" ht="15" hidden="false" customHeight="false" outlineLevel="0" collapsed="false">
      <c r="A55" s="16" t="str">
        <f aca="false">Customer_Invoices_AR!A52</f>
        <v>ARI60051</v>
      </c>
      <c r="B55" s="16" t="str">
        <f aca="false">Customer_Invoices_AR!B52</f>
        <v>C2009</v>
      </c>
      <c r="C55" s="16" t="str">
        <f aca="false">IFERROR(INDEX(Customer_Master!$B$2:$B$31,MATCH(B55,Customer_Master!$A$2:$A$31,0)),"Unknown Customer")</f>
        <v>Gomez-Jenkins</v>
      </c>
      <c r="D55" s="17" t="n">
        <f aca="false">Customer_Invoices_AR!C52</f>
        <v>45897</v>
      </c>
      <c r="E55" s="17" t="n">
        <f aca="false">Customer_Invoices_AR!E52</f>
        <v>45942</v>
      </c>
      <c r="F55" s="18" t="n">
        <f aca="false">Customer_Invoices_AR!D52</f>
        <v>1984.44</v>
      </c>
      <c r="G55" s="18" t="n">
        <f aca="false">SUMIFS(Cash_Receipts_AR!$E$2:$E$503,Cash_Receipts_AR!$B$2:$B$503,A55)</f>
        <v>1984.44</v>
      </c>
      <c r="H55" s="18" t="n">
        <f aca="false">F55-G55</f>
        <v>0</v>
      </c>
      <c r="I55" s="16" t="n">
        <f aca="false">IF(H55&lt;=0.01,0,MAX(Assumptions!$B$5-E55,0))</f>
        <v>0</v>
      </c>
      <c r="J55" s="16" t="str">
        <f aca="false">IF(H55&lt;=0.01,"Paid",IF(I55&lt;=30,"0-30",IF(I55&lt;=60,"31-60",IF(I55&lt;=90,"61-90","90+"))))</f>
        <v>Paid</v>
      </c>
      <c r="K55" s="16" t="str">
        <f aca="false">IF(H55&lt;=0.01,"Paid",IF(G55&gt;0,"Partially Paid","Unpaid"))</f>
        <v>Paid</v>
      </c>
    </row>
    <row r="56" customFormat="false" ht="15" hidden="false" customHeight="false" outlineLevel="0" collapsed="false">
      <c r="A56" s="16" t="str">
        <f aca="false">Customer_Invoices_AR!A53</f>
        <v>ARI60052</v>
      </c>
      <c r="B56" s="16" t="str">
        <f aca="false">Customer_Invoices_AR!B53</f>
        <v>C2019</v>
      </c>
      <c r="C56" s="16" t="str">
        <f aca="false">IFERROR(INDEX(Customer_Master!$B$2:$B$31,MATCH(B56,Customer_Master!$A$2:$A$31,0)),"Unknown Customer")</f>
        <v>Hancock Inc</v>
      </c>
      <c r="D56" s="17" t="n">
        <f aca="false">Customer_Invoices_AR!C53</f>
        <v>45942</v>
      </c>
      <c r="E56" s="17" t="n">
        <f aca="false">Customer_Invoices_AR!E53</f>
        <v>45957</v>
      </c>
      <c r="F56" s="18" t="n">
        <f aca="false">Customer_Invoices_AR!D53</f>
        <v>1193.06</v>
      </c>
      <c r="G56" s="18" t="n">
        <f aca="false">SUMIFS(Cash_Receipts_AR!$E$2:$E$503,Cash_Receipts_AR!$B$2:$B$503,A56)</f>
        <v>918.62</v>
      </c>
      <c r="H56" s="18" t="n">
        <f aca="false">F56-G56</f>
        <v>274.44</v>
      </c>
      <c r="I56" s="16" t="n">
        <f aca="false">IF(H56&lt;=0.01,0,MAX(Assumptions!$B$5-E56,0))</f>
        <v>277</v>
      </c>
      <c r="J56" s="16" t="str">
        <f aca="false">IF(H56&lt;=0.01,"Paid",IF(I56&lt;=30,"0-30",IF(I56&lt;=60,"31-60",IF(I56&lt;=90,"61-90","90+"))))</f>
        <v>90+</v>
      </c>
      <c r="K56" s="16" t="str">
        <f aca="false">IF(H56&lt;=0.01,"Paid",IF(G56&gt;0,"Partially Paid","Unpaid"))</f>
        <v>Partially Paid</v>
      </c>
    </row>
    <row r="57" customFormat="false" ht="15" hidden="false" customHeight="false" outlineLevel="0" collapsed="false">
      <c r="A57" s="16" t="str">
        <f aca="false">Customer_Invoices_AR!A54</f>
        <v>ARI60053</v>
      </c>
      <c r="B57" s="16" t="str">
        <f aca="false">Customer_Invoices_AR!B54</f>
        <v>C2001</v>
      </c>
      <c r="C57" s="16" t="str">
        <f aca="false">IFERROR(INDEX(Customer_Master!$B$2:$B$31,MATCH(B57,Customer_Master!$A$2:$A$31,0)),"Unknown Customer")</f>
        <v>Wright Inc</v>
      </c>
      <c r="D57" s="17" t="n">
        <f aca="false">Customer_Invoices_AR!C54</f>
        <v>45744</v>
      </c>
      <c r="E57" s="17" t="n">
        <f aca="false">Customer_Invoices_AR!E54</f>
        <v>45789</v>
      </c>
      <c r="F57" s="18" t="n">
        <f aca="false">Customer_Invoices_AR!D54</f>
        <v>1358.01</v>
      </c>
      <c r="G57" s="18" t="n">
        <f aca="false">SUMIFS(Cash_Receipts_AR!$E$2:$E$503,Cash_Receipts_AR!$B$2:$B$503,A57)</f>
        <v>1358.01</v>
      </c>
      <c r="H57" s="18" t="n">
        <f aca="false">F57-G57</f>
        <v>0</v>
      </c>
      <c r="I57" s="16" t="n">
        <f aca="false">IF(H57&lt;=0.01,0,MAX(Assumptions!$B$5-E57,0))</f>
        <v>0</v>
      </c>
      <c r="J57" s="16" t="str">
        <f aca="false">IF(H57&lt;=0.01,"Paid",IF(I57&lt;=30,"0-30",IF(I57&lt;=60,"31-60",IF(I57&lt;=90,"61-90","90+"))))</f>
        <v>Paid</v>
      </c>
      <c r="K57" s="16" t="str">
        <f aca="false">IF(H57&lt;=0.01,"Paid",IF(G57&gt;0,"Partially Paid","Unpaid"))</f>
        <v>Paid</v>
      </c>
    </row>
    <row r="58" customFormat="false" ht="15" hidden="false" customHeight="false" outlineLevel="0" collapsed="false">
      <c r="A58" s="16" t="str">
        <f aca="false">Customer_Invoices_AR!A55</f>
        <v>ARI60054</v>
      </c>
      <c r="B58" s="16" t="str">
        <f aca="false">Customer_Invoices_AR!B55</f>
        <v>C2005</v>
      </c>
      <c r="C58" s="16" t="str">
        <f aca="false">IFERROR(INDEX(Customer_Master!$B$2:$B$31,MATCH(B58,Customer_Master!$A$2:$A$31,0)),"Unknown Customer")</f>
        <v>Jones-Young</v>
      </c>
      <c r="D58" s="17" t="n">
        <f aca="false">Customer_Invoices_AR!C55</f>
        <v>45861</v>
      </c>
      <c r="E58" s="17" t="n">
        <f aca="false">Customer_Invoices_AR!E55</f>
        <v>45876</v>
      </c>
      <c r="F58" s="18" t="n">
        <f aca="false">Customer_Invoices_AR!D55</f>
        <v>857.18</v>
      </c>
      <c r="G58" s="18" t="n">
        <f aca="false">SUMIFS(Cash_Receipts_AR!$E$2:$E$503,Cash_Receipts_AR!$B$2:$B$503,A58)</f>
        <v>857.18</v>
      </c>
      <c r="H58" s="18" t="n">
        <f aca="false">F58-G58</f>
        <v>0</v>
      </c>
      <c r="I58" s="16" t="n">
        <f aca="false">IF(H58&lt;=0.01,0,MAX(Assumptions!$B$5-E58,0))</f>
        <v>0</v>
      </c>
      <c r="J58" s="16" t="str">
        <f aca="false">IF(H58&lt;=0.01,"Paid",IF(I58&lt;=30,"0-30",IF(I58&lt;=60,"31-60",IF(I58&lt;=90,"61-90","90+"))))</f>
        <v>Paid</v>
      </c>
      <c r="K58" s="16" t="str">
        <f aca="false">IF(H58&lt;=0.01,"Paid",IF(G58&gt;0,"Partially Paid","Unpaid"))</f>
        <v>Paid</v>
      </c>
    </row>
    <row r="59" customFormat="false" ht="15" hidden="false" customHeight="false" outlineLevel="0" collapsed="false">
      <c r="A59" s="16" t="str">
        <f aca="false">Customer_Invoices_AR!A56</f>
        <v>ARI60055</v>
      </c>
      <c r="B59" s="16" t="str">
        <f aca="false">Customer_Invoices_AR!B56</f>
        <v>C2011</v>
      </c>
      <c r="C59" s="16" t="str">
        <f aca="false">IFERROR(INDEX(Customer_Master!$B$2:$B$31,MATCH(B59,Customer_Master!$A$2:$A$31,0)),"Unknown Customer")</f>
        <v>Powell LLC</v>
      </c>
      <c r="D59" s="17" t="n">
        <f aca="false">Customer_Invoices_AR!C56</f>
        <v>45812</v>
      </c>
      <c r="E59" s="17" t="n">
        <f aca="false">Customer_Invoices_AR!E56</f>
        <v>45842</v>
      </c>
      <c r="F59" s="18" t="n">
        <f aca="false">Customer_Invoices_AR!D56</f>
        <v>2386.51</v>
      </c>
      <c r="G59" s="18" t="n">
        <f aca="false">SUMIFS(Cash_Receipts_AR!$E$2:$E$503,Cash_Receipts_AR!$B$2:$B$503,A59)</f>
        <v>2386.51</v>
      </c>
      <c r="H59" s="18" t="n">
        <f aca="false">F59-G59</f>
        <v>0</v>
      </c>
      <c r="I59" s="16" t="n">
        <f aca="false">IF(H59&lt;=0.01,0,MAX(Assumptions!$B$5-E59,0))</f>
        <v>0</v>
      </c>
      <c r="J59" s="16" t="str">
        <f aca="false">IF(H59&lt;=0.01,"Paid",IF(I59&lt;=30,"0-30",IF(I59&lt;=60,"31-60",IF(I59&lt;=90,"61-90","90+"))))</f>
        <v>Paid</v>
      </c>
      <c r="K59" s="16" t="str">
        <f aca="false">IF(H59&lt;=0.01,"Paid",IF(G59&gt;0,"Partially Paid","Unpaid"))</f>
        <v>Paid</v>
      </c>
    </row>
    <row r="60" customFormat="false" ht="15" hidden="false" customHeight="false" outlineLevel="0" collapsed="false">
      <c r="A60" s="16" t="str">
        <f aca="false">Customer_Invoices_AR!A57</f>
        <v>ARI60056</v>
      </c>
      <c r="B60" s="16" t="str">
        <f aca="false">Customer_Invoices_AR!B57</f>
        <v>C2019</v>
      </c>
      <c r="C60" s="16" t="str">
        <f aca="false">IFERROR(INDEX(Customer_Master!$B$2:$B$31,MATCH(B60,Customer_Master!$A$2:$A$31,0)),"Unknown Customer")</f>
        <v>Hancock Inc</v>
      </c>
      <c r="D60" s="17" t="n">
        <f aca="false">Customer_Invoices_AR!C57</f>
        <v>45880</v>
      </c>
      <c r="E60" s="17" t="n">
        <f aca="false">Customer_Invoices_AR!E57</f>
        <v>45895</v>
      </c>
      <c r="F60" s="18" t="n">
        <f aca="false">Customer_Invoices_AR!D57</f>
        <v>1552.87</v>
      </c>
      <c r="G60" s="18" t="n">
        <f aca="false">SUMIFS(Cash_Receipts_AR!$E$2:$E$503,Cash_Receipts_AR!$B$2:$B$503,A60)</f>
        <v>1552.87</v>
      </c>
      <c r="H60" s="18" t="n">
        <f aca="false">F60-G60</f>
        <v>0</v>
      </c>
      <c r="I60" s="16" t="n">
        <f aca="false">IF(H60&lt;=0.01,0,MAX(Assumptions!$B$5-E60,0))</f>
        <v>0</v>
      </c>
      <c r="J60" s="16" t="str">
        <f aca="false">IF(H60&lt;=0.01,"Paid",IF(I60&lt;=30,"0-30",IF(I60&lt;=60,"31-60",IF(I60&lt;=90,"61-90","90+"))))</f>
        <v>Paid</v>
      </c>
      <c r="K60" s="16" t="str">
        <f aca="false">IF(H60&lt;=0.01,"Paid",IF(G60&gt;0,"Partially Paid","Unpaid"))</f>
        <v>Paid</v>
      </c>
    </row>
    <row r="61" customFormat="false" ht="15" hidden="false" customHeight="false" outlineLevel="0" collapsed="false">
      <c r="A61" s="16" t="str">
        <f aca="false">Customer_Invoices_AR!A58</f>
        <v>ARI60057</v>
      </c>
      <c r="B61" s="16" t="str">
        <f aca="false">Customer_Invoices_AR!B58</f>
        <v>C2020</v>
      </c>
      <c r="C61" s="16" t="str">
        <f aca="false">IFERROR(INDEX(Customer_Master!$B$2:$B$31,MATCH(B61,Customer_Master!$A$2:$A$31,0)),"Unknown Customer")</f>
        <v>Gray Group</v>
      </c>
      <c r="D61" s="17" t="n">
        <f aca="false">Customer_Invoices_AR!C58</f>
        <v>45842</v>
      </c>
      <c r="E61" s="17" t="n">
        <f aca="false">Customer_Invoices_AR!E58</f>
        <v>45872</v>
      </c>
      <c r="F61" s="18" t="n">
        <f aca="false">Customer_Invoices_AR!D58</f>
        <v>738.05</v>
      </c>
      <c r="G61" s="18" t="n">
        <f aca="false">SUMIFS(Cash_Receipts_AR!$E$2:$E$503,Cash_Receipts_AR!$B$2:$B$503,A61)</f>
        <v>0</v>
      </c>
      <c r="H61" s="18" t="n">
        <f aca="false">F61-G61</f>
        <v>738.05</v>
      </c>
      <c r="I61" s="16" t="n">
        <f aca="false">IF(H61&lt;=0.01,0,MAX(Assumptions!$B$5-E61,0))</f>
        <v>362</v>
      </c>
      <c r="J61" s="16" t="str">
        <f aca="false">IF(H61&lt;=0.01,"Paid",IF(I61&lt;=30,"0-30",IF(I61&lt;=60,"31-60",IF(I61&lt;=90,"61-90","90+"))))</f>
        <v>90+</v>
      </c>
      <c r="K61" s="16" t="str">
        <f aca="false">IF(H61&lt;=0.01,"Paid",IF(G61&gt;0,"Partially Paid","Unpaid"))</f>
        <v>Unpaid</v>
      </c>
    </row>
    <row r="62" customFormat="false" ht="15" hidden="false" customHeight="false" outlineLevel="0" collapsed="false">
      <c r="A62" s="16" t="str">
        <f aca="false">Customer_Invoices_AR!A59</f>
        <v>ARI60058</v>
      </c>
      <c r="B62" s="16" t="str">
        <f aca="false">Customer_Invoices_AR!B59</f>
        <v>C2027</v>
      </c>
      <c r="C62" s="16" t="str">
        <f aca="false">IFERROR(INDEX(Customer_Master!$B$2:$B$31,MATCH(B62,Customer_Master!$A$2:$A$31,0)),"Unknown Customer")</f>
        <v>Yu Inc</v>
      </c>
      <c r="D62" s="17" t="n">
        <f aca="false">Customer_Invoices_AR!C59</f>
        <v>45983</v>
      </c>
      <c r="E62" s="17" t="n">
        <f aca="false">Customer_Invoices_AR!E59</f>
        <v>46043</v>
      </c>
      <c r="F62" s="18" t="n">
        <f aca="false">Customer_Invoices_AR!D59</f>
        <v>7195.65</v>
      </c>
      <c r="G62" s="18" t="n">
        <f aca="false">SUMIFS(Cash_Receipts_AR!$E$2:$E$503,Cash_Receipts_AR!$B$2:$B$503,A62)</f>
        <v>0</v>
      </c>
      <c r="H62" s="18" t="n">
        <f aca="false">F62-G62</f>
        <v>7195.65</v>
      </c>
      <c r="I62" s="16" t="n">
        <f aca="false">IF(H62&lt;=0.01,0,MAX(Assumptions!$B$5-E62,0))</f>
        <v>191</v>
      </c>
      <c r="J62" s="16" t="str">
        <f aca="false">IF(H62&lt;=0.01,"Paid",IF(I62&lt;=30,"0-30",IF(I62&lt;=60,"31-60",IF(I62&lt;=90,"61-90","90+"))))</f>
        <v>90+</v>
      </c>
      <c r="K62" s="16" t="str">
        <f aca="false">IF(H62&lt;=0.01,"Paid",IF(G62&gt;0,"Partially Paid","Unpaid"))</f>
        <v>Unpaid</v>
      </c>
    </row>
    <row r="63" customFormat="false" ht="15" hidden="false" customHeight="false" outlineLevel="0" collapsed="false">
      <c r="A63" s="16" t="str">
        <f aca="false">Customer_Invoices_AR!A60</f>
        <v>ARI60059</v>
      </c>
      <c r="B63" s="16" t="str">
        <f aca="false">Customer_Invoices_AR!B60</f>
        <v>C2021</v>
      </c>
      <c r="C63" s="16" t="str">
        <f aca="false">IFERROR(INDEX(Customer_Master!$B$2:$B$31,MATCH(B63,Customer_Master!$A$2:$A$31,0)),"Unknown Customer")</f>
        <v>House-Glover</v>
      </c>
      <c r="D63" s="17" t="n">
        <f aca="false">Customer_Invoices_AR!C60</f>
        <v>46088</v>
      </c>
      <c r="E63" s="17" t="n">
        <f aca="false">Customer_Invoices_AR!E60</f>
        <v>46148</v>
      </c>
      <c r="F63" s="18" t="n">
        <f aca="false">Customer_Invoices_AR!D60</f>
        <v>1143.06</v>
      </c>
      <c r="G63" s="18" t="n">
        <f aca="false">SUMIFS(Cash_Receipts_AR!$E$2:$E$503,Cash_Receipts_AR!$B$2:$B$503,A63)</f>
        <v>1143.06</v>
      </c>
      <c r="H63" s="18" t="n">
        <f aca="false">F63-G63</f>
        <v>0</v>
      </c>
      <c r="I63" s="16" t="n">
        <f aca="false">IF(H63&lt;=0.01,0,MAX(Assumptions!$B$5-E63,0))</f>
        <v>0</v>
      </c>
      <c r="J63" s="16" t="str">
        <f aca="false">IF(H63&lt;=0.01,"Paid",IF(I63&lt;=30,"0-30",IF(I63&lt;=60,"31-60",IF(I63&lt;=90,"61-90","90+"))))</f>
        <v>Paid</v>
      </c>
      <c r="K63" s="16" t="str">
        <f aca="false">IF(H63&lt;=0.01,"Paid",IF(G63&gt;0,"Partially Paid","Unpaid"))</f>
        <v>Paid</v>
      </c>
    </row>
    <row r="64" customFormat="false" ht="15" hidden="false" customHeight="false" outlineLevel="0" collapsed="false">
      <c r="A64" s="16" t="str">
        <f aca="false">Customer_Invoices_AR!A61</f>
        <v>ARI60060</v>
      </c>
      <c r="B64" s="16" t="str">
        <f aca="false">Customer_Invoices_AR!B61</f>
        <v>C2014</v>
      </c>
      <c r="C64" s="16" t="str">
        <f aca="false">IFERROR(INDEX(Customer_Master!$B$2:$B$31,MATCH(B64,Customer_Master!$A$2:$A$31,0)),"Unknown Customer")</f>
        <v>Baxter Inc</v>
      </c>
      <c r="D64" s="17" t="n">
        <f aca="false">Customer_Invoices_AR!C61</f>
        <v>46010</v>
      </c>
      <c r="E64" s="17" t="n">
        <f aca="false">Customer_Invoices_AR!E61</f>
        <v>46040</v>
      </c>
      <c r="F64" s="18" t="n">
        <f aca="false">Customer_Invoices_AR!D61</f>
        <v>139.79</v>
      </c>
      <c r="G64" s="18" t="n">
        <f aca="false">SUMIFS(Cash_Receipts_AR!$E$2:$E$503,Cash_Receipts_AR!$B$2:$B$503,A64)</f>
        <v>139.79</v>
      </c>
      <c r="H64" s="18" t="n">
        <f aca="false">F64-G64</f>
        <v>0</v>
      </c>
      <c r="I64" s="16" t="n">
        <f aca="false">IF(H64&lt;=0.01,0,MAX(Assumptions!$B$5-E64,0))</f>
        <v>0</v>
      </c>
      <c r="J64" s="16" t="str">
        <f aca="false">IF(H64&lt;=0.01,"Paid",IF(I64&lt;=30,"0-30",IF(I64&lt;=60,"31-60",IF(I64&lt;=90,"61-90","90+"))))</f>
        <v>Paid</v>
      </c>
      <c r="K64" s="16" t="str">
        <f aca="false">IF(H64&lt;=0.01,"Paid",IF(G64&gt;0,"Partially Paid","Unpaid"))</f>
        <v>Paid</v>
      </c>
    </row>
    <row r="65" customFormat="false" ht="15" hidden="false" customHeight="false" outlineLevel="0" collapsed="false">
      <c r="A65" s="16" t="str">
        <f aca="false">Customer_Invoices_AR!A62</f>
        <v>ARI60061</v>
      </c>
      <c r="B65" s="16" t="str">
        <f aca="false">Customer_Invoices_AR!B62</f>
        <v>C2005</v>
      </c>
      <c r="C65" s="16" t="str">
        <f aca="false">IFERROR(INDEX(Customer_Master!$B$2:$B$31,MATCH(B65,Customer_Master!$A$2:$A$31,0)),"Unknown Customer")</f>
        <v>Jones-Young</v>
      </c>
      <c r="D65" s="17" t="n">
        <f aca="false">Customer_Invoices_AR!C62</f>
        <v>45693</v>
      </c>
      <c r="E65" s="17" t="n">
        <f aca="false">Customer_Invoices_AR!E62</f>
        <v>45708</v>
      </c>
      <c r="F65" s="18" t="n">
        <f aca="false">Customer_Invoices_AR!D62</f>
        <v>1962</v>
      </c>
      <c r="G65" s="18" t="n">
        <f aca="false">SUMIFS(Cash_Receipts_AR!$E$2:$E$503,Cash_Receipts_AR!$B$2:$B$503,A65)</f>
        <v>1962</v>
      </c>
      <c r="H65" s="18" t="n">
        <f aca="false">F65-G65</f>
        <v>0</v>
      </c>
      <c r="I65" s="16" t="n">
        <f aca="false">IF(H65&lt;=0.01,0,MAX(Assumptions!$B$5-E65,0))</f>
        <v>0</v>
      </c>
      <c r="J65" s="16" t="str">
        <f aca="false">IF(H65&lt;=0.01,"Paid",IF(I65&lt;=30,"0-30",IF(I65&lt;=60,"31-60",IF(I65&lt;=90,"61-90","90+"))))</f>
        <v>Paid</v>
      </c>
      <c r="K65" s="16" t="str">
        <f aca="false">IF(H65&lt;=0.01,"Paid",IF(G65&gt;0,"Partially Paid","Unpaid"))</f>
        <v>Paid</v>
      </c>
    </row>
    <row r="66" customFormat="false" ht="15" hidden="false" customHeight="false" outlineLevel="0" collapsed="false">
      <c r="A66" s="16" t="str">
        <f aca="false">Customer_Invoices_AR!A63</f>
        <v>ARI60062</v>
      </c>
      <c r="B66" s="16" t="str">
        <f aca="false">Customer_Invoices_AR!B63</f>
        <v>C2029</v>
      </c>
      <c r="C66" s="16" t="str">
        <f aca="false">IFERROR(INDEX(Customer_Master!$B$2:$B$31,MATCH(B66,Customer_Master!$A$2:$A$31,0)),"Unknown Customer")</f>
        <v>Hensley, Powell and David</v>
      </c>
      <c r="D66" s="17" t="n">
        <f aca="false">Customer_Invoices_AR!C63</f>
        <v>45709</v>
      </c>
      <c r="E66" s="17" t="n">
        <f aca="false">Customer_Invoices_AR!E63</f>
        <v>45769</v>
      </c>
      <c r="F66" s="18" t="n">
        <f aca="false">Customer_Invoices_AR!D63</f>
        <v>1462.38</v>
      </c>
      <c r="G66" s="18" t="n">
        <f aca="false">SUMIFS(Cash_Receipts_AR!$E$2:$E$503,Cash_Receipts_AR!$B$2:$B$503,A66)</f>
        <v>1022.35</v>
      </c>
      <c r="H66" s="18" t="n">
        <f aca="false">F66-G66</f>
        <v>440.03</v>
      </c>
      <c r="I66" s="16" t="n">
        <f aca="false">IF(H66&lt;=0.01,0,MAX(Assumptions!$B$5-E66,0))</f>
        <v>465</v>
      </c>
      <c r="J66" s="16" t="str">
        <f aca="false">IF(H66&lt;=0.01,"Paid",IF(I66&lt;=30,"0-30",IF(I66&lt;=60,"31-60",IF(I66&lt;=90,"61-90","90+"))))</f>
        <v>90+</v>
      </c>
      <c r="K66" s="16" t="str">
        <f aca="false">IF(H66&lt;=0.01,"Paid",IF(G66&gt;0,"Partially Paid","Unpaid"))</f>
        <v>Partially Paid</v>
      </c>
    </row>
    <row r="67" customFormat="false" ht="15" hidden="false" customHeight="false" outlineLevel="0" collapsed="false">
      <c r="A67" s="16" t="str">
        <f aca="false">Customer_Invoices_AR!A64</f>
        <v>ARI60063</v>
      </c>
      <c r="B67" s="16" t="str">
        <f aca="false">Customer_Invoices_AR!B64</f>
        <v>C2026</v>
      </c>
      <c r="C67" s="16" t="str">
        <f aca="false">IFERROR(INDEX(Customer_Master!$B$2:$B$31,MATCH(B67,Customer_Master!$A$2:$A$31,0)),"Unknown Customer")</f>
        <v>Woods, Calhoun and Schmidt</v>
      </c>
      <c r="D67" s="17" t="n">
        <f aca="false">Customer_Invoices_AR!C64</f>
        <v>46027</v>
      </c>
      <c r="E67" s="17" t="n">
        <f aca="false">Customer_Invoices_AR!E64</f>
        <v>46087</v>
      </c>
      <c r="F67" s="18" t="n">
        <f aca="false">Customer_Invoices_AR!D64</f>
        <v>1069.79</v>
      </c>
      <c r="G67" s="18" t="n">
        <f aca="false">SUMIFS(Cash_Receipts_AR!$E$2:$E$503,Cash_Receipts_AR!$B$2:$B$503,A67)</f>
        <v>1069.79</v>
      </c>
      <c r="H67" s="18" t="n">
        <f aca="false">F67-G67</f>
        <v>0</v>
      </c>
      <c r="I67" s="16" t="n">
        <f aca="false">IF(H67&lt;=0.01,0,MAX(Assumptions!$B$5-E67,0))</f>
        <v>0</v>
      </c>
      <c r="J67" s="16" t="str">
        <f aca="false">IF(H67&lt;=0.01,"Paid",IF(I67&lt;=30,"0-30",IF(I67&lt;=60,"31-60",IF(I67&lt;=90,"61-90","90+"))))</f>
        <v>Paid</v>
      </c>
      <c r="K67" s="16" t="str">
        <f aca="false">IF(H67&lt;=0.01,"Paid",IF(G67&gt;0,"Partially Paid","Unpaid"))</f>
        <v>Paid</v>
      </c>
    </row>
    <row r="68" customFormat="false" ht="15" hidden="false" customHeight="false" outlineLevel="0" collapsed="false">
      <c r="A68" s="16" t="str">
        <f aca="false">Customer_Invoices_AR!A65</f>
        <v>ARI60064</v>
      </c>
      <c r="B68" s="16" t="str">
        <f aca="false">Customer_Invoices_AR!B65</f>
        <v>C2013</v>
      </c>
      <c r="C68" s="16" t="str">
        <f aca="false">IFERROR(INDEX(Customer_Master!$B$2:$B$31,MATCH(B68,Customer_Master!$A$2:$A$31,0)),"Unknown Customer")</f>
        <v>West, Henderson and Ramirez</v>
      </c>
      <c r="D68" s="17" t="n">
        <f aca="false">Customer_Invoices_AR!C65</f>
        <v>45812</v>
      </c>
      <c r="E68" s="17" t="n">
        <f aca="false">Customer_Invoices_AR!E65</f>
        <v>45872</v>
      </c>
      <c r="F68" s="18" t="n">
        <f aca="false">Customer_Invoices_AR!D65</f>
        <v>5778.66</v>
      </c>
      <c r="G68" s="18" t="n">
        <f aca="false">SUMIFS(Cash_Receipts_AR!$E$2:$E$503,Cash_Receipts_AR!$B$2:$B$503,A68)</f>
        <v>5778.66</v>
      </c>
      <c r="H68" s="18" t="n">
        <f aca="false">F68-G68</f>
        <v>0</v>
      </c>
      <c r="I68" s="16" t="n">
        <f aca="false">IF(H68&lt;=0.01,0,MAX(Assumptions!$B$5-E68,0))</f>
        <v>0</v>
      </c>
      <c r="J68" s="16" t="str">
        <f aca="false">IF(H68&lt;=0.01,"Paid",IF(I68&lt;=30,"0-30",IF(I68&lt;=60,"31-60",IF(I68&lt;=90,"61-90","90+"))))</f>
        <v>Paid</v>
      </c>
      <c r="K68" s="16" t="str">
        <f aca="false">IF(H68&lt;=0.01,"Paid",IF(G68&gt;0,"Partially Paid","Unpaid"))</f>
        <v>Paid</v>
      </c>
    </row>
    <row r="69" customFormat="false" ht="15" hidden="false" customHeight="false" outlineLevel="0" collapsed="false">
      <c r="A69" s="16" t="str">
        <f aca="false">Customer_Invoices_AR!A66</f>
        <v>ARI60065</v>
      </c>
      <c r="B69" s="16" t="str">
        <f aca="false">Customer_Invoices_AR!B66</f>
        <v>C2016</v>
      </c>
      <c r="C69" s="16" t="str">
        <f aca="false">IFERROR(INDEX(Customer_Master!$B$2:$B$31,MATCH(B69,Customer_Master!$A$2:$A$31,0)),"Unknown Customer")</f>
        <v>Williams PLC</v>
      </c>
      <c r="D69" s="17" t="n">
        <f aca="false">Customer_Invoices_AR!C66</f>
        <v>46052</v>
      </c>
      <c r="E69" s="17" t="n">
        <f aca="false">Customer_Invoices_AR!E66</f>
        <v>46082</v>
      </c>
      <c r="F69" s="18" t="n">
        <f aca="false">Customer_Invoices_AR!D66</f>
        <v>2296.31</v>
      </c>
      <c r="G69" s="18" t="n">
        <f aca="false">SUMIFS(Cash_Receipts_AR!$E$2:$E$503,Cash_Receipts_AR!$B$2:$B$503,A69)</f>
        <v>2296.31</v>
      </c>
      <c r="H69" s="18" t="n">
        <f aca="false">F69-G69</f>
        <v>0</v>
      </c>
      <c r="I69" s="16" t="n">
        <f aca="false">IF(H69&lt;=0.01,0,MAX(Assumptions!$B$5-E69,0))</f>
        <v>0</v>
      </c>
      <c r="J69" s="16" t="str">
        <f aca="false">IF(H69&lt;=0.01,"Paid",IF(I69&lt;=30,"0-30",IF(I69&lt;=60,"31-60",IF(I69&lt;=90,"61-90","90+"))))</f>
        <v>Paid</v>
      </c>
      <c r="K69" s="16" t="str">
        <f aca="false">IF(H69&lt;=0.01,"Paid",IF(G69&gt;0,"Partially Paid","Unpaid"))</f>
        <v>Paid</v>
      </c>
    </row>
    <row r="70" customFormat="false" ht="15" hidden="false" customHeight="false" outlineLevel="0" collapsed="false">
      <c r="A70" s="16" t="str">
        <f aca="false">Customer_Invoices_AR!A67</f>
        <v>ARI60066</v>
      </c>
      <c r="B70" s="16" t="str">
        <f aca="false">Customer_Invoices_AR!B67</f>
        <v>C2009</v>
      </c>
      <c r="C70" s="16" t="str">
        <f aca="false">IFERROR(INDEX(Customer_Master!$B$2:$B$31,MATCH(B70,Customer_Master!$A$2:$A$31,0)),"Unknown Customer")</f>
        <v>Gomez-Jenkins</v>
      </c>
      <c r="D70" s="17" t="n">
        <f aca="false">Customer_Invoices_AR!C67</f>
        <v>46015</v>
      </c>
      <c r="E70" s="17" t="n">
        <f aca="false">Customer_Invoices_AR!E67</f>
        <v>46060</v>
      </c>
      <c r="F70" s="18" t="n">
        <f aca="false">Customer_Invoices_AR!D67</f>
        <v>7915.97</v>
      </c>
      <c r="G70" s="18" t="n">
        <f aca="false">SUMIFS(Cash_Receipts_AR!$E$2:$E$503,Cash_Receipts_AR!$B$2:$B$503,A70)</f>
        <v>5980.79</v>
      </c>
      <c r="H70" s="18" t="n">
        <f aca="false">F70-G70</f>
        <v>1935.18</v>
      </c>
      <c r="I70" s="16" t="n">
        <f aca="false">IF(H70&lt;=0.01,0,MAX(Assumptions!$B$5-E70,0))</f>
        <v>174</v>
      </c>
      <c r="J70" s="16" t="str">
        <f aca="false">IF(H70&lt;=0.01,"Paid",IF(I70&lt;=30,"0-30",IF(I70&lt;=60,"31-60",IF(I70&lt;=90,"61-90","90+"))))</f>
        <v>90+</v>
      </c>
      <c r="K70" s="16" t="str">
        <f aca="false">IF(H70&lt;=0.01,"Paid",IF(G70&gt;0,"Partially Paid","Unpaid"))</f>
        <v>Partially Paid</v>
      </c>
    </row>
    <row r="71" customFormat="false" ht="15" hidden="false" customHeight="false" outlineLevel="0" collapsed="false">
      <c r="A71" s="16" t="str">
        <f aca="false">Customer_Invoices_AR!A68</f>
        <v>ARI60067</v>
      </c>
      <c r="B71" s="16" t="str">
        <f aca="false">Customer_Invoices_AR!B68</f>
        <v>C2006</v>
      </c>
      <c r="C71" s="16" t="str">
        <f aca="false">IFERROR(INDEX(Customer_Master!$B$2:$B$31,MATCH(B71,Customer_Master!$A$2:$A$31,0)),"Unknown Customer")</f>
        <v>Washington, Ryan and Cummings</v>
      </c>
      <c r="D71" s="17" t="n">
        <f aca="false">Customer_Invoices_AR!C68</f>
        <v>46151</v>
      </c>
      <c r="E71" s="17" t="n">
        <f aca="false">Customer_Invoices_AR!E68</f>
        <v>46166</v>
      </c>
      <c r="F71" s="18" t="n">
        <f aca="false">Customer_Invoices_AR!D68</f>
        <v>2115.58</v>
      </c>
      <c r="G71" s="18" t="n">
        <f aca="false">SUMIFS(Cash_Receipts_AR!$E$2:$E$503,Cash_Receipts_AR!$B$2:$B$503,A71)</f>
        <v>2115.58</v>
      </c>
      <c r="H71" s="18" t="n">
        <f aca="false">F71-G71</f>
        <v>0</v>
      </c>
      <c r="I71" s="16" t="n">
        <f aca="false">IF(H71&lt;=0.01,0,MAX(Assumptions!$B$5-E71,0))</f>
        <v>0</v>
      </c>
      <c r="J71" s="16" t="str">
        <f aca="false">IF(H71&lt;=0.01,"Paid",IF(I71&lt;=30,"0-30",IF(I71&lt;=60,"31-60",IF(I71&lt;=90,"61-90","90+"))))</f>
        <v>Paid</v>
      </c>
      <c r="K71" s="16" t="str">
        <f aca="false">IF(H71&lt;=0.01,"Paid",IF(G71&gt;0,"Partially Paid","Unpaid"))</f>
        <v>Paid</v>
      </c>
    </row>
    <row r="72" customFormat="false" ht="15" hidden="false" customHeight="false" outlineLevel="0" collapsed="false">
      <c r="A72" s="16" t="str">
        <f aca="false">Customer_Invoices_AR!A69</f>
        <v>ARI60068</v>
      </c>
      <c r="B72" s="16" t="str">
        <f aca="false">Customer_Invoices_AR!B69</f>
        <v>C2012</v>
      </c>
      <c r="C72" s="16" t="str">
        <f aca="false">IFERROR(INDEX(Customer_Master!$B$2:$B$31,MATCH(B72,Customer_Master!$A$2:$A$31,0)),"Unknown Customer")</f>
        <v>Wright and Sons</v>
      </c>
      <c r="D72" s="17" t="n">
        <f aca="false">Customer_Invoices_AR!C69</f>
        <v>46133</v>
      </c>
      <c r="E72" s="17" t="n">
        <f aca="false">Customer_Invoices_AR!E69</f>
        <v>46178</v>
      </c>
      <c r="F72" s="18" t="n">
        <f aca="false">Customer_Invoices_AR!D69</f>
        <v>1470.85</v>
      </c>
      <c r="G72" s="18" t="n">
        <f aca="false">SUMIFS(Cash_Receipts_AR!$E$2:$E$503,Cash_Receipts_AR!$B$2:$B$503,A72)</f>
        <v>1470.85</v>
      </c>
      <c r="H72" s="18" t="n">
        <f aca="false">F72-G72</f>
        <v>0</v>
      </c>
      <c r="I72" s="16" t="n">
        <f aca="false">IF(H72&lt;=0.01,0,MAX(Assumptions!$B$5-E72,0))</f>
        <v>0</v>
      </c>
      <c r="J72" s="16" t="str">
        <f aca="false">IF(H72&lt;=0.01,"Paid",IF(I72&lt;=30,"0-30",IF(I72&lt;=60,"31-60",IF(I72&lt;=90,"61-90","90+"))))</f>
        <v>Paid</v>
      </c>
      <c r="K72" s="16" t="str">
        <f aca="false">IF(H72&lt;=0.01,"Paid",IF(G72&gt;0,"Partially Paid","Unpaid"))</f>
        <v>Paid</v>
      </c>
    </row>
    <row r="73" customFormat="false" ht="15" hidden="false" customHeight="false" outlineLevel="0" collapsed="false">
      <c r="A73" s="16" t="str">
        <f aca="false">Customer_Invoices_AR!A70</f>
        <v>ARI60069</v>
      </c>
      <c r="B73" s="16" t="str">
        <f aca="false">Customer_Invoices_AR!B70</f>
        <v>C2006</v>
      </c>
      <c r="C73" s="16" t="str">
        <f aca="false">IFERROR(INDEX(Customer_Master!$B$2:$B$31,MATCH(B73,Customer_Master!$A$2:$A$31,0)),"Unknown Customer")</f>
        <v>Washington, Ryan and Cummings</v>
      </c>
      <c r="D73" s="17" t="n">
        <f aca="false">Customer_Invoices_AR!C70</f>
        <v>45839</v>
      </c>
      <c r="E73" s="17" t="n">
        <f aca="false">Customer_Invoices_AR!E70</f>
        <v>45854</v>
      </c>
      <c r="F73" s="18" t="n">
        <f aca="false">Customer_Invoices_AR!D70</f>
        <v>1903.66</v>
      </c>
      <c r="G73" s="18" t="n">
        <f aca="false">SUMIFS(Cash_Receipts_AR!$E$2:$E$503,Cash_Receipts_AR!$B$2:$B$503,A73)</f>
        <v>1230.79</v>
      </c>
      <c r="H73" s="18" t="n">
        <f aca="false">F73-G73</f>
        <v>672.87</v>
      </c>
      <c r="I73" s="16" t="n">
        <f aca="false">IF(H73&lt;=0.01,0,MAX(Assumptions!$B$5-E73,0))</f>
        <v>380</v>
      </c>
      <c r="J73" s="16" t="str">
        <f aca="false">IF(H73&lt;=0.01,"Paid",IF(I73&lt;=30,"0-30",IF(I73&lt;=60,"31-60",IF(I73&lt;=90,"61-90","90+"))))</f>
        <v>90+</v>
      </c>
      <c r="K73" s="16" t="str">
        <f aca="false">IF(H73&lt;=0.01,"Paid",IF(G73&gt;0,"Partially Paid","Unpaid"))</f>
        <v>Partially Paid</v>
      </c>
    </row>
    <row r="74" customFormat="false" ht="15" hidden="false" customHeight="false" outlineLevel="0" collapsed="false">
      <c r="A74" s="16" t="str">
        <f aca="false">Customer_Invoices_AR!A71</f>
        <v>ARI60070</v>
      </c>
      <c r="B74" s="16" t="str">
        <f aca="false">Customer_Invoices_AR!B71</f>
        <v>C2016</v>
      </c>
      <c r="C74" s="16" t="str">
        <f aca="false">IFERROR(INDEX(Customer_Master!$B$2:$B$31,MATCH(B74,Customer_Master!$A$2:$A$31,0)),"Unknown Customer")</f>
        <v>Williams PLC</v>
      </c>
      <c r="D74" s="17" t="n">
        <f aca="false">Customer_Invoices_AR!C71</f>
        <v>45975</v>
      </c>
      <c r="E74" s="17" t="n">
        <f aca="false">Customer_Invoices_AR!E71</f>
        <v>46005</v>
      </c>
      <c r="F74" s="18" t="n">
        <f aca="false">Customer_Invoices_AR!D71</f>
        <v>11396.88</v>
      </c>
      <c r="G74" s="18" t="n">
        <f aca="false">SUMIFS(Cash_Receipts_AR!$E$2:$E$503,Cash_Receipts_AR!$B$2:$B$503,A74)</f>
        <v>11396.88</v>
      </c>
      <c r="H74" s="18" t="n">
        <f aca="false">F74-G74</f>
        <v>0</v>
      </c>
      <c r="I74" s="16" t="n">
        <f aca="false">IF(H74&lt;=0.01,0,MAX(Assumptions!$B$5-E74,0))</f>
        <v>0</v>
      </c>
      <c r="J74" s="16" t="str">
        <f aca="false">IF(H74&lt;=0.01,"Paid",IF(I74&lt;=30,"0-30",IF(I74&lt;=60,"31-60",IF(I74&lt;=90,"61-90","90+"))))</f>
        <v>Paid</v>
      </c>
      <c r="K74" s="16" t="str">
        <f aca="false">IF(H74&lt;=0.01,"Paid",IF(G74&gt;0,"Partially Paid","Unpaid"))</f>
        <v>Paid</v>
      </c>
    </row>
    <row r="75" customFormat="false" ht="15" hidden="false" customHeight="false" outlineLevel="0" collapsed="false">
      <c r="A75" s="16" t="str">
        <f aca="false">Customer_Invoices_AR!A72</f>
        <v>ARI60071</v>
      </c>
      <c r="B75" s="16" t="str">
        <f aca="false">Customer_Invoices_AR!B72</f>
        <v>C2017</v>
      </c>
      <c r="C75" s="16" t="str">
        <f aca="false">IFERROR(INDEX(Customer_Master!$B$2:$B$31,MATCH(B75,Customer_Master!$A$2:$A$31,0)),"Unknown Customer")</f>
        <v>Novak and Sons</v>
      </c>
      <c r="D75" s="17" t="n">
        <f aca="false">Customer_Invoices_AR!C72</f>
        <v>45735</v>
      </c>
      <c r="E75" s="17" t="n">
        <f aca="false">Customer_Invoices_AR!E72</f>
        <v>45750</v>
      </c>
      <c r="F75" s="18" t="n">
        <f aca="false">Customer_Invoices_AR!D72</f>
        <v>2362.28</v>
      </c>
      <c r="G75" s="18" t="n">
        <f aca="false">SUMIFS(Cash_Receipts_AR!$E$2:$E$503,Cash_Receipts_AR!$B$2:$B$503,A75)</f>
        <v>2362.28</v>
      </c>
      <c r="H75" s="18" t="n">
        <f aca="false">F75-G75</f>
        <v>0</v>
      </c>
      <c r="I75" s="16" t="n">
        <f aca="false">IF(H75&lt;=0.01,0,MAX(Assumptions!$B$5-E75,0))</f>
        <v>0</v>
      </c>
      <c r="J75" s="16" t="str">
        <f aca="false">IF(H75&lt;=0.01,"Paid",IF(I75&lt;=30,"0-30",IF(I75&lt;=60,"31-60",IF(I75&lt;=90,"61-90","90+"))))</f>
        <v>Paid</v>
      </c>
      <c r="K75" s="16" t="str">
        <f aca="false">IF(H75&lt;=0.01,"Paid",IF(G75&gt;0,"Partially Paid","Unpaid"))</f>
        <v>Paid</v>
      </c>
    </row>
    <row r="76" customFormat="false" ht="15" hidden="false" customHeight="false" outlineLevel="0" collapsed="false">
      <c r="A76" s="16" t="str">
        <f aca="false">Customer_Invoices_AR!A73</f>
        <v>ARI60072</v>
      </c>
      <c r="B76" s="16" t="str">
        <f aca="false">Customer_Invoices_AR!B73</f>
        <v>C2030</v>
      </c>
      <c r="C76" s="16" t="str">
        <f aca="false">IFERROR(INDEX(Customer_Master!$B$2:$B$31,MATCH(B76,Customer_Master!$A$2:$A$31,0)),"Unknown Customer")</f>
        <v>Sanchez, Wheeler and Harvey</v>
      </c>
      <c r="D76" s="17" t="n">
        <f aca="false">Customer_Invoices_AR!C73</f>
        <v>45848</v>
      </c>
      <c r="E76" s="17" t="n">
        <f aca="false">Customer_Invoices_AR!E73</f>
        <v>45863</v>
      </c>
      <c r="F76" s="18" t="n">
        <f aca="false">Customer_Invoices_AR!D73</f>
        <v>19405.86</v>
      </c>
      <c r="G76" s="18" t="n">
        <f aca="false">SUMIFS(Cash_Receipts_AR!$E$2:$E$503,Cash_Receipts_AR!$B$2:$B$503,A76)</f>
        <v>19405.86</v>
      </c>
      <c r="H76" s="18" t="n">
        <f aca="false">F76-G76</f>
        <v>0</v>
      </c>
      <c r="I76" s="16" t="n">
        <f aca="false">IF(H76&lt;=0.01,0,MAX(Assumptions!$B$5-E76,0))</f>
        <v>0</v>
      </c>
      <c r="J76" s="16" t="str">
        <f aca="false">IF(H76&lt;=0.01,"Paid",IF(I76&lt;=30,"0-30",IF(I76&lt;=60,"31-60",IF(I76&lt;=90,"61-90","90+"))))</f>
        <v>Paid</v>
      </c>
      <c r="K76" s="16" t="str">
        <f aca="false">IF(H76&lt;=0.01,"Paid",IF(G76&gt;0,"Partially Paid","Unpaid"))</f>
        <v>Paid</v>
      </c>
    </row>
    <row r="77" customFormat="false" ht="15" hidden="false" customHeight="false" outlineLevel="0" collapsed="false">
      <c r="A77" s="16" t="str">
        <f aca="false">Customer_Invoices_AR!A74</f>
        <v>ARI60073</v>
      </c>
      <c r="B77" s="16" t="str">
        <f aca="false">Customer_Invoices_AR!B74</f>
        <v>C2025</v>
      </c>
      <c r="C77" s="16" t="str">
        <f aca="false">IFERROR(INDEX(Customer_Master!$B$2:$B$31,MATCH(B77,Customer_Master!$A$2:$A$31,0)),"Unknown Customer")</f>
        <v>Daniels, Adkins and Brown</v>
      </c>
      <c r="D77" s="17" t="n">
        <f aca="false">Customer_Invoices_AR!C74</f>
        <v>46185</v>
      </c>
      <c r="E77" s="17" t="n">
        <f aca="false">Customer_Invoices_AR!E74</f>
        <v>46200</v>
      </c>
      <c r="F77" s="18" t="n">
        <f aca="false">Customer_Invoices_AR!D74</f>
        <v>2340.97</v>
      </c>
      <c r="G77" s="18" t="n">
        <f aca="false">SUMIFS(Cash_Receipts_AR!$E$2:$E$503,Cash_Receipts_AR!$B$2:$B$503,A77)</f>
        <v>0</v>
      </c>
      <c r="H77" s="18" t="n">
        <f aca="false">F77-G77</f>
        <v>2340.97</v>
      </c>
      <c r="I77" s="16" t="n">
        <f aca="false">IF(H77&lt;=0.01,0,MAX(Assumptions!$B$5-E77,0))</f>
        <v>34</v>
      </c>
      <c r="J77" s="16" t="str">
        <f aca="false">IF(H77&lt;=0.01,"Paid",IF(I77&lt;=30,"0-30",IF(I77&lt;=60,"31-60",IF(I77&lt;=90,"61-90","90+"))))</f>
        <v>31-60</v>
      </c>
      <c r="K77" s="16" t="str">
        <f aca="false">IF(H77&lt;=0.01,"Paid",IF(G77&gt;0,"Partially Paid","Unpaid"))</f>
        <v>Unpaid</v>
      </c>
    </row>
    <row r="78" customFormat="false" ht="15" hidden="false" customHeight="false" outlineLevel="0" collapsed="false">
      <c r="A78" s="16" t="str">
        <f aca="false">Customer_Invoices_AR!A75</f>
        <v>ARI60074</v>
      </c>
      <c r="B78" s="16" t="str">
        <f aca="false">Customer_Invoices_AR!B75</f>
        <v>C2030</v>
      </c>
      <c r="C78" s="16" t="str">
        <f aca="false">IFERROR(INDEX(Customer_Master!$B$2:$B$31,MATCH(B78,Customer_Master!$A$2:$A$31,0)),"Unknown Customer")</f>
        <v>Sanchez, Wheeler and Harvey</v>
      </c>
      <c r="D78" s="17" t="n">
        <f aca="false">Customer_Invoices_AR!C75</f>
        <v>46038</v>
      </c>
      <c r="E78" s="17" t="n">
        <f aca="false">Customer_Invoices_AR!E75</f>
        <v>46053</v>
      </c>
      <c r="F78" s="18" t="n">
        <f aca="false">Customer_Invoices_AR!D75</f>
        <v>422.1</v>
      </c>
      <c r="G78" s="18" t="n">
        <f aca="false">SUMIFS(Cash_Receipts_AR!$E$2:$E$503,Cash_Receipts_AR!$B$2:$B$503,A78)</f>
        <v>422.1</v>
      </c>
      <c r="H78" s="18" t="n">
        <f aca="false">F78-G78</f>
        <v>0</v>
      </c>
      <c r="I78" s="16" t="n">
        <f aca="false">IF(H78&lt;=0.01,0,MAX(Assumptions!$B$5-E78,0))</f>
        <v>0</v>
      </c>
      <c r="J78" s="16" t="str">
        <f aca="false">IF(H78&lt;=0.01,"Paid",IF(I78&lt;=30,"0-30",IF(I78&lt;=60,"31-60",IF(I78&lt;=90,"61-90","90+"))))</f>
        <v>Paid</v>
      </c>
      <c r="K78" s="16" t="str">
        <f aca="false">IF(H78&lt;=0.01,"Paid",IF(G78&gt;0,"Partially Paid","Unpaid"))</f>
        <v>Paid</v>
      </c>
    </row>
    <row r="79" customFormat="false" ht="15" hidden="false" customHeight="false" outlineLevel="0" collapsed="false">
      <c r="A79" s="16" t="str">
        <f aca="false">Customer_Invoices_AR!A76</f>
        <v>ARI60075</v>
      </c>
      <c r="B79" s="16" t="str">
        <f aca="false">Customer_Invoices_AR!B76</f>
        <v>C2015</v>
      </c>
      <c r="C79" s="16" t="str">
        <f aca="false">IFERROR(INDEX(Customer_Master!$B$2:$B$31,MATCH(B79,Customer_Master!$A$2:$A$31,0)),"Unknown Customer")</f>
        <v>Morton-Chase</v>
      </c>
      <c r="D79" s="17" t="n">
        <f aca="false">Customer_Invoices_AR!C76</f>
        <v>45871</v>
      </c>
      <c r="E79" s="17" t="n">
        <f aca="false">Customer_Invoices_AR!E76</f>
        <v>45886</v>
      </c>
      <c r="F79" s="18" t="n">
        <f aca="false">Customer_Invoices_AR!D76</f>
        <v>3092.13</v>
      </c>
      <c r="G79" s="18" t="n">
        <f aca="false">SUMIFS(Cash_Receipts_AR!$E$2:$E$503,Cash_Receipts_AR!$B$2:$B$503,A79)</f>
        <v>3092.13</v>
      </c>
      <c r="H79" s="18" t="n">
        <f aca="false">F79-G79</f>
        <v>0</v>
      </c>
      <c r="I79" s="16" t="n">
        <f aca="false">IF(H79&lt;=0.01,0,MAX(Assumptions!$B$5-E79,0))</f>
        <v>0</v>
      </c>
      <c r="J79" s="16" t="str">
        <f aca="false">IF(H79&lt;=0.01,"Paid",IF(I79&lt;=30,"0-30",IF(I79&lt;=60,"31-60",IF(I79&lt;=90,"61-90","90+"))))</f>
        <v>Paid</v>
      </c>
      <c r="K79" s="16" t="str">
        <f aca="false">IF(H79&lt;=0.01,"Paid",IF(G79&gt;0,"Partially Paid","Unpaid"))</f>
        <v>Paid</v>
      </c>
    </row>
    <row r="80" customFormat="false" ht="15" hidden="false" customHeight="false" outlineLevel="0" collapsed="false">
      <c r="A80" s="16" t="str">
        <f aca="false">Customer_Invoices_AR!A77</f>
        <v>ARI60076</v>
      </c>
      <c r="B80" s="16" t="str">
        <f aca="false">Customer_Invoices_AR!B77</f>
        <v>C2022</v>
      </c>
      <c r="C80" s="16" t="str">
        <f aca="false">IFERROR(INDEX(Customer_Master!$B$2:$B$31,MATCH(B80,Customer_Master!$A$2:$A$31,0)),"Unknown Customer")</f>
        <v>Henderson-Bernard</v>
      </c>
      <c r="D80" s="17" t="n">
        <f aca="false">Customer_Invoices_AR!C77</f>
        <v>45982</v>
      </c>
      <c r="E80" s="17" t="n">
        <f aca="false">Customer_Invoices_AR!E77</f>
        <v>46012</v>
      </c>
      <c r="F80" s="18" t="n">
        <f aca="false">Customer_Invoices_AR!D77</f>
        <v>4650.25</v>
      </c>
      <c r="G80" s="18" t="n">
        <f aca="false">SUMIFS(Cash_Receipts_AR!$E$2:$E$503,Cash_Receipts_AR!$B$2:$B$503,A80)</f>
        <v>4650.25</v>
      </c>
      <c r="H80" s="18" t="n">
        <f aca="false">F80-G80</f>
        <v>0</v>
      </c>
      <c r="I80" s="16" t="n">
        <f aca="false">IF(H80&lt;=0.01,0,MAX(Assumptions!$B$5-E80,0))</f>
        <v>0</v>
      </c>
      <c r="J80" s="16" t="str">
        <f aca="false">IF(H80&lt;=0.01,"Paid",IF(I80&lt;=30,"0-30",IF(I80&lt;=60,"31-60",IF(I80&lt;=90,"61-90","90+"))))</f>
        <v>Paid</v>
      </c>
      <c r="K80" s="16" t="str">
        <f aca="false">IF(H80&lt;=0.01,"Paid",IF(G80&gt;0,"Partially Paid","Unpaid"))</f>
        <v>Paid</v>
      </c>
    </row>
    <row r="81" customFormat="false" ht="15" hidden="false" customHeight="false" outlineLevel="0" collapsed="false">
      <c r="A81" s="16" t="str">
        <f aca="false">Customer_Invoices_AR!A78</f>
        <v>ARI60077</v>
      </c>
      <c r="B81" s="16" t="str">
        <f aca="false">Customer_Invoices_AR!B78</f>
        <v>C2005</v>
      </c>
      <c r="C81" s="16" t="str">
        <f aca="false">IFERROR(INDEX(Customer_Master!$B$2:$B$31,MATCH(B81,Customer_Master!$A$2:$A$31,0)),"Unknown Customer")</f>
        <v>Jones-Young</v>
      </c>
      <c r="D81" s="17" t="n">
        <f aca="false">Customer_Invoices_AR!C78</f>
        <v>46169</v>
      </c>
      <c r="E81" s="17" t="n">
        <f aca="false">Customer_Invoices_AR!E78</f>
        <v>46184</v>
      </c>
      <c r="F81" s="18" t="n">
        <f aca="false">Customer_Invoices_AR!D78</f>
        <v>949.22</v>
      </c>
      <c r="G81" s="18" t="n">
        <f aca="false">SUMIFS(Cash_Receipts_AR!$E$2:$E$503,Cash_Receipts_AR!$B$2:$B$503,A81)</f>
        <v>0</v>
      </c>
      <c r="H81" s="18" t="n">
        <f aca="false">F81-G81</f>
        <v>949.22</v>
      </c>
      <c r="I81" s="16" t="n">
        <f aca="false">IF(H81&lt;=0.01,0,MAX(Assumptions!$B$5-E81,0))</f>
        <v>50</v>
      </c>
      <c r="J81" s="16" t="str">
        <f aca="false">IF(H81&lt;=0.01,"Paid",IF(I81&lt;=30,"0-30",IF(I81&lt;=60,"31-60",IF(I81&lt;=90,"61-90","90+"))))</f>
        <v>31-60</v>
      </c>
      <c r="K81" s="16" t="str">
        <f aca="false">IF(H81&lt;=0.01,"Paid",IF(G81&gt;0,"Partially Paid","Unpaid"))</f>
        <v>Unpaid</v>
      </c>
    </row>
    <row r="82" customFormat="false" ht="15" hidden="false" customHeight="false" outlineLevel="0" collapsed="false">
      <c r="A82" s="16" t="str">
        <f aca="false">Customer_Invoices_AR!A79</f>
        <v>ARI60078</v>
      </c>
      <c r="B82" s="16" t="str">
        <f aca="false">Customer_Invoices_AR!B79</f>
        <v>C2002</v>
      </c>
      <c r="C82" s="16" t="str">
        <f aca="false">IFERROR(INDEX(Customer_Master!$B$2:$B$31,MATCH(B82,Customer_Master!$A$2:$A$31,0)),"Unknown Customer")</f>
        <v>Smith-Spencer</v>
      </c>
      <c r="D82" s="17" t="n">
        <f aca="false">Customer_Invoices_AR!C79</f>
        <v>45826</v>
      </c>
      <c r="E82" s="17" t="n">
        <f aca="false">Customer_Invoices_AR!E79</f>
        <v>45841</v>
      </c>
      <c r="F82" s="18" t="n">
        <f aca="false">Customer_Invoices_AR!D79</f>
        <v>2761.96</v>
      </c>
      <c r="G82" s="18" t="n">
        <f aca="false">SUMIFS(Cash_Receipts_AR!$E$2:$E$503,Cash_Receipts_AR!$B$2:$B$503,A82)</f>
        <v>2761.96</v>
      </c>
      <c r="H82" s="18" t="n">
        <f aca="false">F82-G82</f>
        <v>0</v>
      </c>
      <c r="I82" s="16" t="n">
        <f aca="false">IF(H82&lt;=0.01,0,MAX(Assumptions!$B$5-E82,0))</f>
        <v>0</v>
      </c>
      <c r="J82" s="16" t="str">
        <f aca="false">IF(H82&lt;=0.01,"Paid",IF(I82&lt;=30,"0-30",IF(I82&lt;=60,"31-60",IF(I82&lt;=90,"61-90","90+"))))</f>
        <v>Paid</v>
      </c>
      <c r="K82" s="16" t="str">
        <f aca="false">IF(H82&lt;=0.01,"Paid",IF(G82&gt;0,"Partially Paid","Unpaid"))</f>
        <v>Paid</v>
      </c>
    </row>
    <row r="83" customFormat="false" ht="15" hidden="false" customHeight="false" outlineLevel="0" collapsed="false">
      <c r="A83" s="16" t="str">
        <f aca="false">Customer_Invoices_AR!A80</f>
        <v>ARI60079</v>
      </c>
      <c r="B83" s="16" t="str">
        <f aca="false">Customer_Invoices_AR!B80</f>
        <v>C2013</v>
      </c>
      <c r="C83" s="16" t="str">
        <f aca="false">IFERROR(INDEX(Customer_Master!$B$2:$B$31,MATCH(B83,Customer_Master!$A$2:$A$31,0)),"Unknown Customer")</f>
        <v>West, Henderson and Ramirez</v>
      </c>
      <c r="D83" s="17" t="n">
        <f aca="false">Customer_Invoices_AR!C80</f>
        <v>45863</v>
      </c>
      <c r="E83" s="17" t="n">
        <f aca="false">Customer_Invoices_AR!E80</f>
        <v>45923</v>
      </c>
      <c r="F83" s="18" t="n">
        <f aca="false">Customer_Invoices_AR!D80</f>
        <v>2517.6</v>
      </c>
      <c r="G83" s="18" t="n">
        <f aca="false">SUMIFS(Cash_Receipts_AR!$E$2:$E$503,Cash_Receipts_AR!$B$2:$B$503,A83)</f>
        <v>2517.6</v>
      </c>
      <c r="H83" s="18" t="n">
        <f aca="false">F83-G83</f>
        <v>0</v>
      </c>
      <c r="I83" s="16" t="n">
        <f aca="false">IF(H83&lt;=0.01,0,MAX(Assumptions!$B$5-E83,0))</f>
        <v>0</v>
      </c>
      <c r="J83" s="16" t="str">
        <f aca="false">IF(H83&lt;=0.01,"Paid",IF(I83&lt;=30,"0-30",IF(I83&lt;=60,"31-60",IF(I83&lt;=90,"61-90","90+"))))</f>
        <v>Paid</v>
      </c>
      <c r="K83" s="16" t="str">
        <f aca="false">IF(H83&lt;=0.01,"Paid",IF(G83&gt;0,"Partially Paid","Unpaid"))</f>
        <v>Paid</v>
      </c>
    </row>
    <row r="84" customFormat="false" ht="15" hidden="false" customHeight="false" outlineLevel="0" collapsed="false">
      <c r="A84" s="16" t="str">
        <f aca="false">Customer_Invoices_AR!A81</f>
        <v>ARI60080</v>
      </c>
      <c r="B84" s="16" t="str">
        <f aca="false">Customer_Invoices_AR!B81</f>
        <v>C2008</v>
      </c>
      <c r="C84" s="16" t="str">
        <f aca="false">IFERROR(INDEX(Customer_Master!$B$2:$B$31,MATCH(B84,Customer_Master!$A$2:$A$31,0)),"Unknown Customer")</f>
        <v>Lee-Davis</v>
      </c>
      <c r="D84" s="17" t="n">
        <f aca="false">Customer_Invoices_AR!C81</f>
        <v>46089</v>
      </c>
      <c r="E84" s="17" t="n">
        <f aca="false">Customer_Invoices_AR!E81</f>
        <v>46149</v>
      </c>
      <c r="F84" s="18" t="n">
        <f aca="false">Customer_Invoices_AR!D81</f>
        <v>2398.54</v>
      </c>
      <c r="G84" s="18" t="n">
        <f aca="false">SUMIFS(Cash_Receipts_AR!$E$2:$E$503,Cash_Receipts_AR!$B$2:$B$503,A84)</f>
        <v>2398.54</v>
      </c>
      <c r="H84" s="18" t="n">
        <f aca="false">F84-G84</f>
        <v>0</v>
      </c>
      <c r="I84" s="16" t="n">
        <f aca="false">IF(H84&lt;=0.01,0,MAX(Assumptions!$B$5-E84,0))</f>
        <v>0</v>
      </c>
      <c r="J84" s="16" t="str">
        <f aca="false">IF(H84&lt;=0.01,"Paid",IF(I84&lt;=30,"0-30",IF(I84&lt;=60,"31-60",IF(I84&lt;=90,"61-90","90+"))))</f>
        <v>Paid</v>
      </c>
      <c r="K84" s="16" t="str">
        <f aca="false">IF(H84&lt;=0.01,"Paid",IF(G84&gt;0,"Partially Paid","Unpaid"))</f>
        <v>Paid</v>
      </c>
    </row>
    <row r="85" customFormat="false" ht="15" hidden="false" customHeight="false" outlineLevel="0" collapsed="false">
      <c r="A85" s="16" t="str">
        <f aca="false">Customer_Invoices_AR!A82</f>
        <v>ARI60081</v>
      </c>
      <c r="B85" s="16" t="str">
        <f aca="false">Customer_Invoices_AR!B82</f>
        <v>C2024</v>
      </c>
      <c r="C85" s="16" t="str">
        <f aca="false">IFERROR(INDEX(Customer_Master!$B$2:$B$31,MATCH(B85,Customer_Master!$A$2:$A$31,0)),"Unknown Customer")</f>
        <v>Novak PLC</v>
      </c>
      <c r="D85" s="17" t="n">
        <f aca="false">Customer_Invoices_AR!C82</f>
        <v>46101</v>
      </c>
      <c r="E85" s="17" t="n">
        <f aca="false">Customer_Invoices_AR!E82</f>
        <v>46161</v>
      </c>
      <c r="F85" s="18" t="n">
        <f aca="false">Customer_Invoices_AR!D82</f>
        <v>1418.91</v>
      </c>
      <c r="G85" s="18" t="n">
        <f aca="false">SUMIFS(Cash_Receipts_AR!$E$2:$E$503,Cash_Receipts_AR!$B$2:$B$503,A85)</f>
        <v>648.33</v>
      </c>
      <c r="H85" s="18" t="n">
        <f aca="false">F85-G85</f>
        <v>770.58</v>
      </c>
      <c r="I85" s="16" t="n">
        <f aca="false">IF(H85&lt;=0.01,0,MAX(Assumptions!$B$5-E85,0))</f>
        <v>73</v>
      </c>
      <c r="J85" s="16" t="str">
        <f aca="false">IF(H85&lt;=0.01,"Paid",IF(I85&lt;=30,"0-30",IF(I85&lt;=60,"31-60",IF(I85&lt;=90,"61-90","90+"))))</f>
        <v>61-90</v>
      </c>
      <c r="K85" s="16" t="str">
        <f aca="false">IF(H85&lt;=0.01,"Paid",IF(G85&gt;0,"Partially Paid","Unpaid"))</f>
        <v>Partially Paid</v>
      </c>
    </row>
    <row r="86" customFormat="false" ht="15" hidden="false" customHeight="false" outlineLevel="0" collapsed="false">
      <c r="A86" s="16" t="str">
        <f aca="false">Customer_Invoices_AR!A83</f>
        <v>ARI60082</v>
      </c>
      <c r="B86" s="16" t="str">
        <f aca="false">Customer_Invoices_AR!B83</f>
        <v>C2007</v>
      </c>
      <c r="C86" s="16" t="str">
        <f aca="false">IFERROR(INDEX(Customer_Master!$B$2:$B$31,MATCH(B86,Customer_Master!$A$2:$A$31,0)),"Unknown Customer")</f>
        <v>Johnston, Sanchez and Kennedy</v>
      </c>
      <c r="D86" s="17" t="n">
        <f aca="false">Customer_Invoices_AR!C83</f>
        <v>46023</v>
      </c>
      <c r="E86" s="17" t="n">
        <f aca="false">Customer_Invoices_AR!E83</f>
        <v>46053</v>
      </c>
      <c r="F86" s="18" t="n">
        <f aca="false">Customer_Invoices_AR!D83</f>
        <v>2710.4</v>
      </c>
      <c r="G86" s="18" t="n">
        <f aca="false">SUMIFS(Cash_Receipts_AR!$E$2:$E$503,Cash_Receipts_AR!$B$2:$B$503,A86)</f>
        <v>2710.4</v>
      </c>
      <c r="H86" s="18" t="n">
        <f aca="false">F86-G86</f>
        <v>0</v>
      </c>
      <c r="I86" s="16" t="n">
        <f aca="false">IF(H86&lt;=0.01,0,MAX(Assumptions!$B$5-E86,0))</f>
        <v>0</v>
      </c>
      <c r="J86" s="16" t="str">
        <f aca="false">IF(H86&lt;=0.01,"Paid",IF(I86&lt;=30,"0-30",IF(I86&lt;=60,"31-60",IF(I86&lt;=90,"61-90","90+"))))</f>
        <v>Paid</v>
      </c>
      <c r="K86" s="16" t="str">
        <f aca="false">IF(H86&lt;=0.01,"Paid",IF(G86&gt;0,"Partially Paid","Unpaid"))</f>
        <v>Paid</v>
      </c>
    </row>
    <row r="87" customFormat="false" ht="15" hidden="false" customHeight="false" outlineLevel="0" collapsed="false">
      <c r="A87" s="16" t="str">
        <f aca="false">Customer_Invoices_AR!A84</f>
        <v>ARI60083</v>
      </c>
      <c r="B87" s="16" t="str">
        <f aca="false">Customer_Invoices_AR!B84</f>
        <v>C2005</v>
      </c>
      <c r="C87" s="16" t="str">
        <f aca="false">IFERROR(INDEX(Customer_Master!$B$2:$B$31,MATCH(B87,Customer_Master!$A$2:$A$31,0)),"Unknown Customer")</f>
        <v>Jones-Young</v>
      </c>
      <c r="D87" s="17" t="n">
        <f aca="false">Customer_Invoices_AR!C84</f>
        <v>46109</v>
      </c>
      <c r="E87" s="17" t="n">
        <f aca="false">Customer_Invoices_AR!E84</f>
        <v>46124</v>
      </c>
      <c r="F87" s="18" t="n">
        <f aca="false">Customer_Invoices_AR!D84</f>
        <v>3607.75</v>
      </c>
      <c r="G87" s="18" t="n">
        <f aca="false">SUMIFS(Cash_Receipts_AR!$E$2:$E$503,Cash_Receipts_AR!$B$2:$B$503,A87)</f>
        <v>3607.75</v>
      </c>
      <c r="H87" s="18" t="n">
        <f aca="false">F87-G87</f>
        <v>0</v>
      </c>
      <c r="I87" s="16" t="n">
        <f aca="false">IF(H87&lt;=0.01,0,MAX(Assumptions!$B$5-E87,0))</f>
        <v>0</v>
      </c>
      <c r="J87" s="16" t="str">
        <f aca="false">IF(H87&lt;=0.01,"Paid",IF(I87&lt;=30,"0-30",IF(I87&lt;=60,"31-60",IF(I87&lt;=90,"61-90","90+"))))</f>
        <v>Paid</v>
      </c>
      <c r="K87" s="16" t="str">
        <f aca="false">IF(H87&lt;=0.01,"Paid",IF(G87&gt;0,"Partially Paid","Unpaid"))</f>
        <v>Paid</v>
      </c>
    </row>
    <row r="88" customFormat="false" ht="15" hidden="false" customHeight="false" outlineLevel="0" collapsed="false">
      <c r="A88" s="16" t="str">
        <f aca="false">Customer_Invoices_AR!A85</f>
        <v>ARI60084</v>
      </c>
      <c r="B88" s="16" t="str">
        <f aca="false">Customer_Invoices_AR!B85</f>
        <v>C2017</v>
      </c>
      <c r="C88" s="16" t="str">
        <f aca="false">IFERROR(INDEX(Customer_Master!$B$2:$B$31,MATCH(B88,Customer_Master!$A$2:$A$31,0)),"Unknown Customer")</f>
        <v>Novak and Sons</v>
      </c>
      <c r="D88" s="17" t="n">
        <f aca="false">Customer_Invoices_AR!C85</f>
        <v>46060</v>
      </c>
      <c r="E88" s="17" t="n">
        <f aca="false">Customer_Invoices_AR!E85</f>
        <v>46075</v>
      </c>
      <c r="F88" s="18" t="n">
        <f aca="false">Customer_Invoices_AR!D85</f>
        <v>855.89</v>
      </c>
      <c r="G88" s="18" t="n">
        <f aca="false">SUMIFS(Cash_Receipts_AR!$E$2:$E$503,Cash_Receipts_AR!$B$2:$B$503,A88)</f>
        <v>855.89</v>
      </c>
      <c r="H88" s="18" t="n">
        <f aca="false">F88-G88</f>
        <v>0</v>
      </c>
      <c r="I88" s="16" t="n">
        <f aca="false">IF(H88&lt;=0.01,0,MAX(Assumptions!$B$5-E88,0))</f>
        <v>0</v>
      </c>
      <c r="J88" s="16" t="str">
        <f aca="false">IF(H88&lt;=0.01,"Paid",IF(I88&lt;=30,"0-30",IF(I88&lt;=60,"31-60",IF(I88&lt;=90,"61-90","90+"))))</f>
        <v>Paid</v>
      </c>
      <c r="K88" s="16" t="str">
        <f aca="false">IF(H88&lt;=0.01,"Paid",IF(G88&gt;0,"Partially Paid","Unpaid"))</f>
        <v>Paid</v>
      </c>
    </row>
    <row r="89" customFormat="false" ht="15" hidden="false" customHeight="false" outlineLevel="0" collapsed="false">
      <c r="A89" s="16" t="str">
        <f aca="false">Customer_Invoices_AR!A86</f>
        <v>ARI60085</v>
      </c>
      <c r="B89" s="16" t="str">
        <f aca="false">Customer_Invoices_AR!B86</f>
        <v>C2003</v>
      </c>
      <c r="C89" s="16" t="str">
        <f aca="false">IFERROR(INDEX(Customer_Master!$B$2:$B$31,MATCH(B89,Customer_Master!$A$2:$A$31,0)),"Unknown Customer")</f>
        <v>Robinson, Jones and Welch</v>
      </c>
      <c r="D89" s="17" t="n">
        <f aca="false">Customer_Invoices_AR!C86</f>
        <v>46031</v>
      </c>
      <c r="E89" s="17" t="n">
        <f aca="false">Customer_Invoices_AR!E86</f>
        <v>46076</v>
      </c>
      <c r="F89" s="18" t="n">
        <f aca="false">Customer_Invoices_AR!D86</f>
        <v>2589.72</v>
      </c>
      <c r="G89" s="18" t="n">
        <f aca="false">SUMIFS(Cash_Receipts_AR!$E$2:$E$503,Cash_Receipts_AR!$B$2:$B$503,A89)</f>
        <v>0</v>
      </c>
      <c r="H89" s="18" t="n">
        <f aca="false">F89-G89</f>
        <v>2589.72</v>
      </c>
      <c r="I89" s="16" t="n">
        <f aca="false">IF(H89&lt;=0.01,0,MAX(Assumptions!$B$5-E89,0))</f>
        <v>158</v>
      </c>
      <c r="J89" s="16" t="str">
        <f aca="false">IF(H89&lt;=0.01,"Paid",IF(I89&lt;=30,"0-30",IF(I89&lt;=60,"31-60",IF(I89&lt;=90,"61-90","90+"))))</f>
        <v>90+</v>
      </c>
      <c r="K89" s="16" t="str">
        <f aca="false">IF(H89&lt;=0.01,"Paid",IF(G89&gt;0,"Partially Paid","Unpaid"))</f>
        <v>Unpaid</v>
      </c>
    </row>
    <row r="90" customFormat="false" ht="15" hidden="false" customHeight="false" outlineLevel="0" collapsed="false">
      <c r="A90" s="16" t="str">
        <f aca="false">Customer_Invoices_AR!A87</f>
        <v>ARI60086</v>
      </c>
      <c r="B90" s="16" t="str">
        <f aca="false">Customer_Invoices_AR!B87</f>
        <v>C2021</v>
      </c>
      <c r="C90" s="16" t="str">
        <f aca="false">IFERROR(INDEX(Customer_Master!$B$2:$B$31,MATCH(B90,Customer_Master!$A$2:$A$31,0)),"Unknown Customer")</f>
        <v>House-Glover</v>
      </c>
      <c r="D90" s="17" t="n">
        <f aca="false">Customer_Invoices_AR!C87</f>
        <v>45944</v>
      </c>
      <c r="E90" s="17" t="n">
        <f aca="false">Customer_Invoices_AR!E87</f>
        <v>46004</v>
      </c>
      <c r="F90" s="18" t="n">
        <f aca="false">Customer_Invoices_AR!D87</f>
        <v>1236.06</v>
      </c>
      <c r="G90" s="18" t="n">
        <f aca="false">SUMIFS(Cash_Receipts_AR!$E$2:$E$503,Cash_Receipts_AR!$B$2:$B$503,A90)</f>
        <v>1236.06</v>
      </c>
      <c r="H90" s="18" t="n">
        <f aca="false">F90-G90</f>
        <v>0</v>
      </c>
      <c r="I90" s="16" t="n">
        <f aca="false">IF(H90&lt;=0.01,0,MAX(Assumptions!$B$5-E90,0))</f>
        <v>0</v>
      </c>
      <c r="J90" s="16" t="str">
        <f aca="false">IF(H90&lt;=0.01,"Paid",IF(I90&lt;=30,"0-30",IF(I90&lt;=60,"31-60",IF(I90&lt;=90,"61-90","90+"))))</f>
        <v>Paid</v>
      </c>
      <c r="K90" s="16" t="str">
        <f aca="false">IF(H90&lt;=0.01,"Paid",IF(G90&gt;0,"Partially Paid","Unpaid"))</f>
        <v>Paid</v>
      </c>
    </row>
    <row r="91" customFormat="false" ht="15" hidden="false" customHeight="false" outlineLevel="0" collapsed="false">
      <c r="A91" s="16" t="str">
        <f aca="false">Customer_Invoices_AR!A88</f>
        <v>ARI60087</v>
      </c>
      <c r="B91" s="16" t="str">
        <f aca="false">Customer_Invoices_AR!B88</f>
        <v>C2023</v>
      </c>
      <c r="C91" s="16" t="str">
        <f aca="false">IFERROR(INDEX(Customer_Master!$B$2:$B$31,MATCH(B91,Customer_Master!$A$2:$A$31,0)),"Unknown Customer")</f>
        <v>Stanley, Tucker and Lee</v>
      </c>
      <c r="D91" s="17" t="n">
        <f aca="false">Customer_Invoices_AR!C88</f>
        <v>46010</v>
      </c>
      <c r="E91" s="17" t="n">
        <f aca="false">Customer_Invoices_AR!E88</f>
        <v>46070</v>
      </c>
      <c r="F91" s="18" t="n">
        <f aca="false">Customer_Invoices_AR!D88</f>
        <v>3022.29</v>
      </c>
      <c r="G91" s="18" t="n">
        <f aca="false">SUMIFS(Cash_Receipts_AR!$E$2:$E$503,Cash_Receipts_AR!$B$2:$B$503,A91)</f>
        <v>0</v>
      </c>
      <c r="H91" s="18" t="n">
        <f aca="false">F91-G91</f>
        <v>3022.29</v>
      </c>
      <c r="I91" s="16" t="n">
        <f aca="false">IF(H91&lt;=0.01,0,MAX(Assumptions!$B$5-E91,0))</f>
        <v>164</v>
      </c>
      <c r="J91" s="16" t="str">
        <f aca="false">IF(H91&lt;=0.01,"Paid",IF(I91&lt;=30,"0-30",IF(I91&lt;=60,"31-60",IF(I91&lt;=90,"61-90","90+"))))</f>
        <v>90+</v>
      </c>
      <c r="K91" s="16" t="str">
        <f aca="false">IF(H91&lt;=0.01,"Paid",IF(G91&gt;0,"Partially Paid","Unpaid"))</f>
        <v>Unpaid</v>
      </c>
    </row>
    <row r="92" customFormat="false" ht="15" hidden="false" customHeight="false" outlineLevel="0" collapsed="false">
      <c r="A92" s="16" t="str">
        <f aca="false">Customer_Invoices_AR!A89</f>
        <v>ARI60088</v>
      </c>
      <c r="B92" s="16" t="str">
        <f aca="false">Customer_Invoices_AR!B89</f>
        <v>C2006</v>
      </c>
      <c r="C92" s="16" t="str">
        <f aca="false">IFERROR(INDEX(Customer_Master!$B$2:$B$31,MATCH(B92,Customer_Master!$A$2:$A$31,0)),"Unknown Customer")</f>
        <v>Washington, Ryan and Cummings</v>
      </c>
      <c r="D92" s="17" t="n">
        <f aca="false">Customer_Invoices_AR!C89</f>
        <v>45888</v>
      </c>
      <c r="E92" s="17" t="n">
        <f aca="false">Customer_Invoices_AR!E89</f>
        <v>45903</v>
      </c>
      <c r="F92" s="18" t="n">
        <f aca="false">Customer_Invoices_AR!D89</f>
        <v>7933.14</v>
      </c>
      <c r="G92" s="18" t="n">
        <f aca="false">SUMIFS(Cash_Receipts_AR!$E$2:$E$503,Cash_Receipts_AR!$B$2:$B$503,A92)</f>
        <v>7933.14</v>
      </c>
      <c r="H92" s="18" t="n">
        <f aca="false">F92-G92</f>
        <v>0</v>
      </c>
      <c r="I92" s="16" t="n">
        <f aca="false">IF(H92&lt;=0.01,0,MAX(Assumptions!$B$5-E92,0))</f>
        <v>0</v>
      </c>
      <c r="J92" s="16" t="str">
        <f aca="false">IF(H92&lt;=0.01,"Paid",IF(I92&lt;=30,"0-30",IF(I92&lt;=60,"31-60",IF(I92&lt;=90,"61-90","90+"))))</f>
        <v>Paid</v>
      </c>
      <c r="K92" s="16" t="str">
        <f aca="false">IF(H92&lt;=0.01,"Paid",IF(G92&gt;0,"Partially Paid","Unpaid"))</f>
        <v>Paid</v>
      </c>
    </row>
    <row r="93" customFormat="false" ht="15" hidden="false" customHeight="false" outlineLevel="0" collapsed="false">
      <c r="A93" s="16" t="str">
        <f aca="false">Customer_Invoices_AR!A90</f>
        <v>ARI60089</v>
      </c>
      <c r="B93" s="16" t="str">
        <f aca="false">Customer_Invoices_AR!B90</f>
        <v>C2021</v>
      </c>
      <c r="C93" s="16" t="str">
        <f aca="false">IFERROR(INDEX(Customer_Master!$B$2:$B$31,MATCH(B93,Customer_Master!$A$2:$A$31,0)),"Unknown Customer")</f>
        <v>House-Glover</v>
      </c>
      <c r="D93" s="17" t="n">
        <f aca="false">Customer_Invoices_AR!C90</f>
        <v>45855</v>
      </c>
      <c r="E93" s="17" t="n">
        <f aca="false">Customer_Invoices_AR!E90</f>
        <v>45915</v>
      </c>
      <c r="F93" s="18" t="n">
        <f aca="false">Customer_Invoices_AR!D90</f>
        <v>8308.55</v>
      </c>
      <c r="G93" s="18" t="n">
        <f aca="false">SUMIFS(Cash_Receipts_AR!$E$2:$E$503,Cash_Receipts_AR!$B$2:$B$503,A93)</f>
        <v>8308.55</v>
      </c>
      <c r="H93" s="18" t="n">
        <f aca="false">F93-G93</f>
        <v>0</v>
      </c>
      <c r="I93" s="16" t="n">
        <f aca="false">IF(H93&lt;=0.01,0,MAX(Assumptions!$B$5-E93,0))</f>
        <v>0</v>
      </c>
      <c r="J93" s="16" t="str">
        <f aca="false">IF(H93&lt;=0.01,"Paid",IF(I93&lt;=30,"0-30",IF(I93&lt;=60,"31-60",IF(I93&lt;=90,"61-90","90+"))))</f>
        <v>Paid</v>
      </c>
      <c r="K93" s="16" t="str">
        <f aca="false">IF(H93&lt;=0.01,"Paid",IF(G93&gt;0,"Partially Paid","Unpaid"))</f>
        <v>Paid</v>
      </c>
    </row>
    <row r="94" customFormat="false" ht="15" hidden="false" customHeight="false" outlineLevel="0" collapsed="false">
      <c r="A94" s="16" t="str">
        <f aca="false">Customer_Invoices_AR!A91</f>
        <v>ARI60090</v>
      </c>
      <c r="B94" s="16" t="str">
        <f aca="false">Customer_Invoices_AR!B91</f>
        <v>C2009</v>
      </c>
      <c r="C94" s="16" t="str">
        <f aca="false">IFERROR(INDEX(Customer_Master!$B$2:$B$31,MATCH(B94,Customer_Master!$A$2:$A$31,0)),"Unknown Customer")</f>
        <v>Gomez-Jenkins</v>
      </c>
      <c r="D94" s="17" t="n">
        <f aca="false">Customer_Invoices_AR!C91</f>
        <v>45855</v>
      </c>
      <c r="E94" s="17" t="n">
        <f aca="false">Customer_Invoices_AR!E91</f>
        <v>45900</v>
      </c>
      <c r="F94" s="18" t="n">
        <f aca="false">Customer_Invoices_AR!D91</f>
        <v>11319.08</v>
      </c>
      <c r="G94" s="18" t="n">
        <f aca="false">SUMIFS(Cash_Receipts_AR!$E$2:$E$503,Cash_Receipts_AR!$B$2:$B$503,A94)</f>
        <v>7599.94</v>
      </c>
      <c r="H94" s="18" t="n">
        <f aca="false">F94-G94</f>
        <v>3719.14</v>
      </c>
      <c r="I94" s="16" t="n">
        <f aca="false">IF(H94&lt;=0.01,0,MAX(Assumptions!$B$5-E94,0))</f>
        <v>334</v>
      </c>
      <c r="J94" s="16" t="str">
        <f aca="false">IF(H94&lt;=0.01,"Paid",IF(I94&lt;=30,"0-30",IF(I94&lt;=60,"31-60",IF(I94&lt;=90,"61-90","90+"))))</f>
        <v>90+</v>
      </c>
      <c r="K94" s="16" t="str">
        <f aca="false">IF(H94&lt;=0.01,"Paid",IF(G94&gt;0,"Partially Paid","Unpaid"))</f>
        <v>Partially Paid</v>
      </c>
    </row>
    <row r="95" customFormat="false" ht="15" hidden="false" customHeight="false" outlineLevel="0" collapsed="false">
      <c r="A95" s="16" t="str">
        <f aca="false">Customer_Invoices_AR!A92</f>
        <v>ARI60091</v>
      </c>
      <c r="B95" s="16" t="str">
        <f aca="false">Customer_Invoices_AR!B92</f>
        <v>C2026</v>
      </c>
      <c r="C95" s="16" t="str">
        <f aca="false">IFERROR(INDEX(Customer_Master!$B$2:$B$31,MATCH(B95,Customer_Master!$A$2:$A$31,0)),"Unknown Customer")</f>
        <v>Woods, Calhoun and Schmidt</v>
      </c>
      <c r="D95" s="17" t="n">
        <f aca="false">Customer_Invoices_AR!C92</f>
        <v>45756</v>
      </c>
      <c r="E95" s="17" t="n">
        <f aca="false">Customer_Invoices_AR!E92</f>
        <v>45816</v>
      </c>
      <c r="F95" s="18" t="n">
        <f aca="false">Customer_Invoices_AR!D92</f>
        <v>3436.09</v>
      </c>
      <c r="G95" s="18" t="n">
        <f aca="false">SUMIFS(Cash_Receipts_AR!$E$2:$E$503,Cash_Receipts_AR!$B$2:$B$503,A95)</f>
        <v>3436.09</v>
      </c>
      <c r="H95" s="18" t="n">
        <f aca="false">F95-G95</f>
        <v>0</v>
      </c>
      <c r="I95" s="16" t="n">
        <f aca="false">IF(H95&lt;=0.01,0,MAX(Assumptions!$B$5-E95,0))</f>
        <v>0</v>
      </c>
      <c r="J95" s="16" t="str">
        <f aca="false">IF(H95&lt;=0.01,"Paid",IF(I95&lt;=30,"0-30",IF(I95&lt;=60,"31-60",IF(I95&lt;=90,"61-90","90+"))))</f>
        <v>Paid</v>
      </c>
      <c r="K95" s="16" t="str">
        <f aca="false">IF(H95&lt;=0.01,"Paid",IF(G95&gt;0,"Partially Paid","Unpaid"))</f>
        <v>Paid</v>
      </c>
    </row>
    <row r="96" customFormat="false" ht="15" hidden="false" customHeight="false" outlineLevel="0" collapsed="false">
      <c r="A96" s="16" t="str">
        <f aca="false">Customer_Invoices_AR!A93</f>
        <v>ARI60092</v>
      </c>
      <c r="B96" s="16" t="str">
        <f aca="false">Customer_Invoices_AR!B93</f>
        <v>C2008</v>
      </c>
      <c r="C96" s="16" t="str">
        <f aca="false">IFERROR(INDEX(Customer_Master!$B$2:$B$31,MATCH(B96,Customer_Master!$A$2:$A$31,0)),"Unknown Customer")</f>
        <v>Lee-Davis</v>
      </c>
      <c r="D96" s="17" t="n">
        <f aca="false">Customer_Invoices_AR!C93</f>
        <v>45774</v>
      </c>
      <c r="E96" s="17" t="n">
        <f aca="false">Customer_Invoices_AR!E93</f>
        <v>45834</v>
      </c>
      <c r="F96" s="18" t="n">
        <f aca="false">Customer_Invoices_AR!D93</f>
        <v>6787.28</v>
      </c>
      <c r="G96" s="18" t="n">
        <f aca="false">SUMIFS(Cash_Receipts_AR!$E$2:$E$503,Cash_Receipts_AR!$B$2:$B$503,A96)</f>
        <v>4377.95</v>
      </c>
      <c r="H96" s="18" t="n">
        <f aca="false">F96-G96</f>
        <v>2409.33</v>
      </c>
      <c r="I96" s="16" t="n">
        <f aca="false">IF(H96&lt;=0.01,0,MAX(Assumptions!$B$5-E96,0))</f>
        <v>400</v>
      </c>
      <c r="J96" s="16" t="str">
        <f aca="false">IF(H96&lt;=0.01,"Paid",IF(I96&lt;=30,"0-30",IF(I96&lt;=60,"31-60",IF(I96&lt;=90,"61-90","90+"))))</f>
        <v>90+</v>
      </c>
      <c r="K96" s="16" t="str">
        <f aca="false">IF(H96&lt;=0.01,"Paid",IF(G96&gt;0,"Partially Paid","Unpaid"))</f>
        <v>Partially Paid</v>
      </c>
    </row>
    <row r="97" customFormat="false" ht="15" hidden="false" customHeight="false" outlineLevel="0" collapsed="false">
      <c r="A97" s="16" t="str">
        <f aca="false">Customer_Invoices_AR!A94</f>
        <v>ARI60093</v>
      </c>
      <c r="B97" s="16" t="str">
        <f aca="false">Customer_Invoices_AR!B94</f>
        <v>C2018</v>
      </c>
      <c r="C97" s="16" t="str">
        <f aca="false">IFERROR(INDEX(Customer_Master!$B$2:$B$31,MATCH(B97,Customer_Master!$A$2:$A$31,0)),"Unknown Customer")</f>
        <v>Russell Group</v>
      </c>
      <c r="D97" s="17" t="n">
        <f aca="false">Customer_Invoices_AR!C94</f>
        <v>46174</v>
      </c>
      <c r="E97" s="17" t="n">
        <f aca="false">Customer_Invoices_AR!E94</f>
        <v>46189</v>
      </c>
      <c r="F97" s="18" t="n">
        <f aca="false">Customer_Invoices_AR!D94</f>
        <v>1540.61</v>
      </c>
      <c r="G97" s="18" t="n">
        <f aca="false">SUMIFS(Cash_Receipts_AR!$E$2:$E$503,Cash_Receipts_AR!$B$2:$B$503,A97)</f>
        <v>0</v>
      </c>
      <c r="H97" s="18" t="n">
        <f aca="false">F97-G97</f>
        <v>1540.61</v>
      </c>
      <c r="I97" s="16" t="n">
        <f aca="false">IF(H97&lt;=0.01,0,MAX(Assumptions!$B$5-E97,0))</f>
        <v>45</v>
      </c>
      <c r="J97" s="16" t="str">
        <f aca="false">IF(H97&lt;=0.01,"Paid",IF(I97&lt;=30,"0-30",IF(I97&lt;=60,"31-60",IF(I97&lt;=90,"61-90","90+"))))</f>
        <v>31-60</v>
      </c>
      <c r="K97" s="16" t="str">
        <f aca="false">IF(H97&lt;=0.01,"Paid",IF(G97&gt;0,"Partially Paid","Unpaid"))</f>
        <v>Unpaid</v>
      </c>
    </row>
    <row r="98" customFormat="false" ht="15" hidden="false" customHeight="false" outlineLevel="0" collapsed="false">
      <c r="A98" s="16" t="str">
        <f aca="false">Customer_Invoices_AR!A95</f>
        <v>ARI60094</v>
      </c>
      <c r="B98" s="16" t="str">
        <f aca="false">Customer_Invoices_AR!B95</f>
        <v>C2006</v>
      </c>
      <c r="C98" s="16" t="str">
        <f aca="false">IFERROR(INDEX(Customer_Master!$B$2:$B$31,MATCH(B98,Customer_Master!$A$2:$A$31,0)),"Unknown Customer")</f>
        <v>Washington, Ryan and Cummings</v>
      </c>
      <c r="D98" s="17" t="n">
        <f aca="false">Customer_Invoices_AR!C95</f>
        <v>45923</v>
      </c>
      <c r="E98" s="17" t="n">
        <f aca="false">Customer_Invoices_AR!E95</f>
        <v>45938</v>
      </c>
      <c r="F98" s="18" t="n">
        <f aca="false">Customer_Invoices_AR!D95</f>
        <v>5089.83</v>
      </c>
      <c r="G98" s="18" t="n">
        <f aca="false">SUMIFS(Cash_Receipts_AR!$E$2:$E$503,Cash_Receipts_AR!$B$2:$B$503,A98)</f>
        <v>5089.83</v>
      </c>
      <c r="H98" s="18" t="n">
        <f aca="false">F98-G98</f>
        <v>0</v>
      </c>
      <c r="I98" s="16" t="n">
        <f aca="false">IF(H98&lt;=0.01,0,MAX(Assumptions!$B$5-E98,0))</f>
        <v>0</v>
      </c>
      <c r="J98" s="16" t="str">
        <f aca="false">IF(H98&lt;=0.01,"Paid",IF(I98&lt;=30,"0-30",IF(I98&lt;=60,"31-60",IF(I98&lt;=90,"61-90","90+"))))</f>
        <v>Paid</v>
      </c>
      <c r="K98" s="16" t="str">
        <f aca="false">IF(H98&lt;=0.01,"Paid",IF(G98&gt;0,"Partially Paid","Unpaid"))</f>
        <v>Paid</v>
      </c>
    </row>
    <row r="99" customFormat="false" ht="15" hidden="false" customHeight="false" outlineLevel="0" collapsed="false">
      <c r="A99" s="16" t="str">
        <f aca="false">Customer_Invoices_AR!A96</f>
        <v>ARI60095</v>
      </c>
      <c r="B99" s="16" t="str">
        <f aca="false">Customer_Invoices_AR!B96</f>
        <v>C2009</v>
      </c>
      <c r="C99" s="16" t="str">
        <f aca="false">IFERROR(INDEX(Customer_Master!$B$2:$B$31,MATCH(B99,Customer_Master!$A$2:$A$31,0)),"Unknown Customer")</f>
        <v>Gomez-Jenkins</v>
      </c>
      <c r="D99" s="17" t="n">
        <f aca="false">Customer_Invoices_AR!C96</f>
        <v>45781</v>
      </c>
      <c r="E99" s="17" t="n">
        <f aca="false">Customer_Invoices_AR!E96</f>
        <v>45826</v>
      </c>
      <c r="F99" s="18" t="n">
        <f aca="false">Customer_Invoices_AR!D96</f>
        <v>4255.63</v>
      </c>
      <c r="G99" s="18" t="n">
        <f aca="false">SUMIFS(Cash_Receipts_AR!$E$2:$E$503,Cash_Receipts_AR!$B$2:$B$503,A99)</f>
        <v>0</v>
      </c>
      <c r="H99" s="18" t="n">
        <f aca="false">F99-G99</f>
        <v>4255.63</v>
      </c>
      <c r="I99" s="16" t="n">
        <f aca="false">IF(H99&lt;=0.01,0,MAX(Assumptions!$B$5-E99,0))</f>
        <v>408</v>
      </c>
      <c r="J99" s="16" t="str">
        <f aca="false">IF(H99&lt;=0.01,"Paid",IF(I99&lt;=30,"0-30",IF(I99&lt;=60,"31-60",IF(I99&lt;=90,"61-90","90+"))))</f>
        <v>90+</v>
      </c>
      <c r="K99" s="16" t="str">
        <f aca="false">IF(H99&lt;=0.01,"Paid",IF(G99&gt;0,"Partially Paid","Unpaid"))</f>
        <v>Unpaid</v>
      </c>
    </row>
    <row r="100" customFormat="false" ht="15" hidden="false" customHeight="false" outlineLevel="0" collapsed="false">
      <c r="A100" s="16" t="str">
        <f aca="false">Customer_Invoices_AR!A97</f>
        <v>ARI60096</v>
      </c>
      <c r="B100" s="16" t="str">
        <f aca="false">Customer_Invoices_AR!B97</f>
        <v>C2010</v>
      </c>
      <c r="C100" s="16" t="str">
        <f aca="false">IFERROR(INDEX(Customer_Master!$B$2:$B$31,MATCH(B100,Customer_Master!$A$2:$A$31,0)),"Unknown Customer")</f>
        <v>Brown, Valdez and Lucas</v>
      </c>
      <c r="D100" s="17" t="n">
        <f aca="false">Customer_Invoices_AR!C97</f>
        <v>45732</v>
      </c>
      <c r="E100" s="17" t="n">
        <f aca="false">Customer_Invoices_AR!E97</f>
        <v>45792</v>
      </c>
      <c r="F100" s="18" t="n">
        <f aca="false">Customer_Invoices_AR!D97</f>
        <v>1792.09</v>
      </c>
      <c r="G100" s="18" t="n">
        <f aca="false">SUMIFS(Cash_Receipts_AR!$E$2:$E$503,Cash_Receipts_AR!$B$2:$B$503,A100)</f>
        <v>0</v>
      </c>
      <c r="H100" s="18" t="n">
        <f aca="false">F100-G100</f>
        <v>1792.09</v>
      </c>
      <c r="I100" s="16" t="n">
        <f aca="false">IF(H100&lt;=0.01,0,MAX(Assumptions!$B$5-E100,0))</f>
        <v>442</v>
      </c>
      <c r="J100" s="16" t="str">
        <f aca="false">IF(H100&lt;=0.01,"Paid",IF(I100&lt;=30,"0-30",IF(I100&lt;=60,"31-60",IF(I100&lt;=90,"61-90","90+"))))</f>
        <v>90+</v>
      </c>
      <c r="K100" s="16" t="str">
        <f aca="false">IF(H100&lt;=0.01,"Paid",IF(G100&gt;0,"Partially Paid","Unpaid"))</f>
        <v>Unpaid</v>
      </c>
    </row>
    <row r="101" customFormat="false" ht="15" hidden="false" customHeight="false" outlineLevel="0" collapsed="false">
      <c r="A101" s="16" t="str">
        <f aca="false">Customer_Invoices_AR!A98</f>
        <v>ARI60097</v>
      </c>
      <c r="B101" s="16" t="str">
        <f aca="false">Customer_Invoices_AR!B98</f>
        <v>C2016</v>
      </c>
      <c r="C101" s="16" t="str">
        <f aca="false">IFERROR(INDEX(Customer_Master!$B$2:$B$31,MATCH(B101,Customer_Master!$A$2:$A$31,0)),"Unknown Customer")</f>
        <v>Williams PLC</v>
      </c>
      <c r="D101" s="17" t="n">
        <f aca="false">Customer_Invoices_AR!C98</f>
        <v>45700</v>
      </c>
      <c r="E101" s="17" t="n">
        <f aca="false">Customer_Invoices_AR!E98</f>
        <v>45730</v>
      </c>
      <c r="F101" s="18" t="n">
        <f aca="false">Customer_Invoices_AR!D98</f>
        <v>1932.03</v>
      </c>
      <c r="G101" s="18" t="n">
        <f aca="false">SUMIFS(Cash_Receipts_AR!$E$2:$E$503,Cash_Receipts_AR!$B$2:$B$503,A101)</f>
        <v>1932.03</v>
      </c>
      <c r="H101" s="18" t="n">
        <f aca="false">F101-G101</f>
        <v>0</v>
      </c>
      <c r="I101" s="16" t="n">
        <f aca="false">IF(H101&lt;=0.01,0,MAX(Assumptions!$B$5-E101,0))</f>
        <v>0</v>
      </c>
      <c r="J101" s="16" t="str">
        <f aca="false">IF(H101&lt;=0.01,"Paid",IF(I101&lt;=30,"0-30",IF(I101&lt;=60,"31-60",IF(I101&lt;=90,"61-90","90+"))))</f>
        <v>Paid</v>
      </c>
      <c r="K101" s="16" t="str">
        <f aca="false">IF(H101&lt;=0.01,"Paid",IF(G101&gt;0,"Partially Paid","Unpaid"))</f>
        <v>Paid</v>
      </c>
    </row>
    <row r="102" customFormat="false" ht="15" hidden="false" customHeight="false" outlineLevel="0" collapsed="false">
      <c r="A102" s="16" t="str">
        <f aca="false">Customer_Invoices_AR!A99</f>
        <v>ARI60098</v>
      </c>
      <c r="B102" s="16" t="str">
        <f aca="false">Customer_Invoices_AR!B99</f>
        <v>C2022</v>
      </c>
      <c r="C102" s="16" t="str">
        <f aca="false">IFERROR(INDEX(Customer_Master!$B$2:$B$31,MATCH(B102,Customer_Master!$A$2:$A$31,0)),"Unknown Customer")</f>
        <v>Henderson-Bernard</v>
      </c>
      <c r="D102" s="17" t="n">
        <f aca="false">Customer_Invoices_AR!C99</f>
        <v>46118</v>
      </c>
      <c r="E102" s="17" t="n">
        <f aca="false">Customer_Invoices_AR!E99</f>
        <v>46148</v>
      </c>
      <c r="F102" s="18" t="n">
        <f aca="false">Customer_Invoices_AR!D99</f>
        <v>7159.38</v>
      </c>
      <c r="G102" s="18" t="n">
        <f aca="false">SUMIFS(Cash_Receipts_AR!$E$2:$E$503,Cash_Receipts_AR!$B$2:$B$503,A102)</f>
        <v>7159.38</v>
      </c>
      <c r="H102" s="18" t="n">
        <f aca="false">F102-G102</f>
        <v>0</v>
      </c>
      <c r="I102" s="16" t="n">
        <f aca="false">IF(H102&lt;=0.01,0,MAX(Assumptions!$B$5-E102,0))</f>
        <v>0</v>
      </c>
      <c r="J102" s="16" t="str">
        <f aca="false">IF(H102&lt;=0.01,"Paid",IF(I102&lt;=30,"0-30",IF(I102&lt;=60,"31-60",IF(I102&lt;=90,"61-90","90+"))))</f>
        <v>Paid</v>
      </c>
      <c r="K102" s="16" t="str">
        <f aca="false">IF(H102&lt;=0.01,"Paid",IF(G102&gt;0,"Partially Paid","Unpaid"))</f>
        <v>Paid</v>
      </c>
    </row>
    <row r="103" customFormat="false" ht="15" hidden="false" customHeight="false" outlineLevel="0" collapsed="false">
      <c r="A103" s="16" t="str">
        <f aca="false">Customer_Invoices_AR!A100</f>
        <v>ARI60099</v>
      </c>
      <c r="B103" s="16" t="str">
        <f aca="false">Customer_Invoices_AR!B100</f>
        <v>C2024</v>
      </c>
      <c r="C103" s="16" t="str">
        <f aca="false">IFERROR(INDEX(Customer_Master!$B$2:$B$31,MATCH(B103,Customer_Master!$A$2:$A$31,0)),"Unknown Customer")</f>
        <v>Novak PLC</v>
      </c>
      <c r="D103" s="17" t="n">
        <f aca="false">Customer_Invoices_AR!C100</f>
        <v>45713</v>
      </c>
      <c r="E103" s="17" t="n">
        <f aca="false">Customer_Invoices_AR!E100</f>
        <v>45773</v>
      </c>
      <c r="F103" s="18" t="n">
        <f aca="false">Customer_Invoices_AR!D100</f>
        <v>1930.69</v>
      </c>
      <c r="G103" s="18" t="n">
        <f aca="false">SUMIFS(Cash_Receipts_AR!$E$2:$E$503,Cash_Receipts_AR!$B$2:$B$503,A103)</f>
        <v>904.34</v>
      </c>
      <c r="H103" s="18" t="n">
        <f aca="false">F103-G103</f>
        <v>1026.35</v>
      </c>
      <c r="I103" s="16" t="n">
        <f aca="false">IF(H103&lt;=0.01,0,MAX(Assumptions!$B$5-E103,0))</f>
        <v>461</v>
      </c>
      <c r="J103" s="16" t="str">
        <f aca="false">IF(H103&lt;=0.01,"Paid",IF(I103&lt;=30,"0-30",IF(I103&lt;=60,"31-60",IF(I103&lt;=90,"61-90","90+"))))</f>
        <v>90+</v>
      </c>
      <c r="K103" s="16" t="str">
        <f aca="false">IF(H103&lt;=0.01,"Paid",IF(G103&gt;0,"Partially Paid","Unpaid"))</f>
        <v>Partially Paid</v>
      </c>
    </row>
    <row r="104" customFormat="false" ht="15" hidden="false" customHeight="false" outlineLevel="0" collapsed="false">
      <c r="A104" s="16" t="str">
        <f aca="false">Customer_Invoices_AR!A101</f>
        <v>ARI60100</v>
      </c>
      <c r="B104" s="16" t="str">
        <f aca="false">Customer_Invoices_AR!B101</f>
        <v>C2006</v>
      </c>
      <c r="C104" s="16" t="str">
        <f aca="false">IFERROR(INDEX(Customer_Master!$B$2:$B$31,MATCH(B104,Customer_Master!$A$2:$A$31,0)),"Unknown Customer")</f>
        <v>Washington, Ryan and Cummings</v>
      </c>
      <c r="D104" s="17" t="n">
        <f aca="false">Customer_Invoices_AR!C101</f>
        <v>46078</v>
      </c>
      <c r="E104" s="17" t="n">
        <f aca="false">Customer_Invoices_AR!E101</f>
        <v>46093</v>
      </c>
      <c r="F104" s="18" t="n">
        <f aca="false">Customer_Invoices_AR!D101</f>
        <v>1385.74</v>
      </c>
      <c r="G104" s="18" t="n">
        <f aca="false">SUMIFS(Cash_Receipts_AR!$E$2:$E$503,Cash_Receipts_AR!$B$2:$B$503,A104)</f>
        <v>825.54</v>
      </c>
      <c r="H104" s="18" t="n">
        <f aca="false">F104-G104</f>
        <v>560.2</v>
      </c>
      <c r="I104" s="16" t="n">
        <f aca="false">IF(H104&lt;=0.01,0,MAX(Assumptions!$B$5-E104,0))</f>
        <v>141</v>
      </c>
      <c r="J104" s="16" t="str">
        <f aca="false">IF(H104&lt;=0.01,"Paid",IF(I104&lt;=30,"0-30",IF(I104&lt;=60,"31-60",IF(I104&lt;=90,"61-90","90+"))))</f>
        <v>90+</v>
      </c>
      <c r="K104" s="16" t="str">
        <f aca="false">IF(H104&lt;=0.01,"Paid",IF(G104&gt;0,"Partially Paid","Unpaid"))</f>
        <v>Partially Paid</v>
      </c>
    </row>
    <row r="105" customFormat="false" ht="15" hidden="false" customHeight="false" outlineLevel="0" collapsed="false">
      <c r="A105" s="16" t="str">
        <f aca="false">Customer_Invoices_AR!A102</f>
        <v>ARI60101</v>
      </c>
      <c r="B105" s="16" t="str">
        <f aca="false">Customer_Invoices_AR!B102</f>
        <v>C2004</v>
      </c>
      <c r="C105" s="16" t="str">
        <f aca="false">IFERROR(INDEX(Customer_Master!$B$2:$B$31,MATCH(B105,Customer_Master!$A$2:$A$31,0)),"Unknown Customer")</f>
        <v>Jones Inc</v>
      </c>
      <c r="D105" s="17" t="n">
        <f aca="false">Customer_Invoices_AR!C102</f>
        <v>46113</v>
      </c>
      <c r="E105" s="17" t="n">
        <f aca="false">Customer_Invoices_AR!E102</f>
        <v>46143</v>
      </c>
      <c r="F105" s="18" t="n">
        <f aca="false">Customer_Invoices_AR!D102</f>
        <v>1466.44</v>
      </c>
      <c r="G105" s="18" t="n">
        <f aca="false">SUMIFS(Cash_Receipts_AR!$E$2:$E$503,Cash_Receipts_AR!$B$2:$B$503,A105)</f>
        <v>1466.44</v>
      </c>
      <c r="H105" s="18" t="n">
        <f aca="false">F105-G105</f>
        <v>0</v>
      </c>
      <c r="I105" s="16" t="n">
        <f aca="false">IF(H105&lt;=0.01,0,MAX(Assumptions!$B$5-E105,0))</f>
        <v>0</v>
      </c>
      <c r="J105" s="16" t="str">
        <f aca="false">IF(H105&lt;=0.01,"Paid",IF(I105&lt;=30,"0-30",IF(I105&lt;=60,"31-60",IF(I105&lt;=90,"61-90","90+"))))</f>
        <v>Paid</v>
      </c>
      <c r="K105" s="16" t="str">
        <f aca="false">IF(H105&lt;=0.01,"Paid",IF(G105&gt;0,"Partially Paid","Unpaid"))</f>
        <v>Paid</v>
      </c>
    </row>
    <row r="106" customFormat="false" ht="15" hidden="false" customHeight="false" outlineLevel="0" collapsed="false">
      <c r="A106" s="16" t="str">
        <f aca="false">Customer_Invoices_AR!A103</f>
        <v>ARI60102</v>
      </c>
      <c r="B106" s="16" t="str">
        <f aca="false">Customer_Invoices_AR!B103</f>
        <v>C2028</v>
      </c>
      <c r="C106" s="16" t="str">
        <f aca="false">IFERROR(INDEX(Customer_Master!$B$2:$B$31,MATCH(B106,Customer_Master!$A$2:$A$31,0)),"Unknown Customer")</f>
        <v>Jones Inc</v>
      </c>
      <c r="D106" s="17" t="n">
        <f aca="false">Customer_Invoices_AR!C103</f>
        <v>46139</v>
      </c>
      <c r="E106" s="17" t="n">
        <f aca="false">Customer_Invoices_AR!E103</f>
        <v>46154</v>
      </c>
      <c r="F106" s="18" t="n">
        <f aca="false">Customer_Invoices_AR!D103</f>
        <v>2761.43</v>
      </c>
      <c r="G106" s="18" t="n">
        <f aca="false">SUMIFS(Cash_Receipts_AR!$E$2:$E$503,Cash_Receipts_AR!$B$2:$B$503,A106)</f>
        <v>2761.43</v>
      </c>
      <c r="H106" s="18" t="n">
        <f aca="false">F106-G106</f>
        <v>0</v>
      </c>
      <c r="I106" s="16" t="n">
        <f aca="false">IF(H106&lt;=0.01,0,MAX(Assumptions!$B$5-E106,0))</f>
        <v>0</v>
      </c>
      <c r="J106" s="16" t="str">
        <f aca="false">IF(H106&lt;=0.01,"Paid",IF(I106&lt;=30,"0-30",IF(I106&lt;=60,"31-60",IF(I106&lt;=90,"61-90","90+"))))</f>
        <v>Paid</v>
      </c>
      <c r="K106" s="16" t="str">
        <f aca="false">IF(H106&lt;=0.01,"Paid",IF(G106&gt;0,"Partially Paid","Unpaid"))</f>
        <v>Paid</v>
      </c>
    </row>
    <row r="107" customFormat="false" ht="15" hidden="false" customHeight="false" outlineLevel="0" collapsed="false">
      <c r="A107" s="16" t="str">
        <f aca="false">Customer_Invoices_AR!A104</f>
        <v>ARI60103</v>
      </c>
      <c r="B107" s="16" t="str">
        <f aca="false">Customer_Invoices_AR!B104</f>
        <v>C2006</v>
      </c>
      <c r="C107" s="16" t="str">
        <f aca="false">IFERROR(INDEX(Customer_Master!$B$2:$B$31,MATCH(B107,Customer_Master!$A$2:$A$31,0)),"Unknown Customer")</f>
        <v>Washington, Ryan and Cummings</v>
      </c>
      <c r="D107" s="17" t="n">
        <f aca="false">Customer_Invoices_AR!C104</f>
        <v>45678</v>
      </c>
      <c r="E107" s="17" t="n">
        <f aca="false">Customer_Invoices_AR!E104</f>
        <v>45693</v>
      </c>
      <c r="F107" s="18" t="n">
        <f aca="false">Customer_Invoices_AR!D104</f>
        <v>773.4</v>
      </c>
      <c r="G107" s="18" t="n">
        <f aca="false">SUMIFS(Cash_Receipts_AR!$E$2:$E$503,Cash_Receipts_AR!$B$2:$B$503,A107)</f>
        <v>0</v>
      </c>
      <c r="H107" s="18" t="n">
        <f aca="false">F107-G107</f>
        <v>773.4</v>
      </c>
      <c r="I107" s="16" t="n">
        <f aca="false">IF(H107&lt;=0.01,0,MAX(Assumptions!$B$5-E107,0))</f>
        <v>541</v>
      </c>
      <c r="J107" s="16" t="str">
        <f aca="false">IF(H107&lt;=0.01,"Paid",IF(I107&lt;=30,"0-30",IF(I107&lt;=60,"31-60",IF(I107&lt;=90,"61-90","90+"))))</f>
        <v>90+</v>
      </c>
      <c r="K107" s="16" t="str">
        <f aca="false">IF(H107&lt;=0.01,"Paid",IF(G107&gt;0,"Partially Paid","Unpaid"))</f>
        <v>Unpaid</v>
      </c>
    </row>
    <row r="108" customFormat="false" ht="15" hidden="false" customHeight="false" outlineLevel="0" collapsed="false">
      <c r="A108" s="16" t="str">
        <f aca="false">Customer_Invoices_AR!A105</f>
        <v>ARI60104</v>
      </c>
      <c r="B108" s="16" t="str">
        <f aca="false">Customer_Invoices_AR!B105</f>
        <v>C2018</v>
      </c>
      <c r="C108" s="16" t="str">
        <f aca="false">IFERROR(INDEX(Customer_Master!$B$2:$B$31,MATCH(B108,Customer_Master!$A$2:$A$31,0)),"Unknown Customer")</f>
        <v>Russell Group</v>
      </c>
      <c r="D108" s="17" t="n">
        <f aca="false">Customer_Invoices_AR!C105</f>
        <v>45841</v>
      </c>
      <c r="E108" s="17" t="n">
        <f aca="false">Customer_Invoices_AR!E105</f>
        <v>45856</v>
      </c>
      <c r="F108" s="18" t="n">
        <f aca="false">Customer_Invoices_AR!D105</f>
        <v>4096.85</v>
      </c>
      <c r="G108" s="18" t="n">
        <f aca="false">SUMIFS(Cash_Receipts_AR!$E$2:$E$503,Cash_Receipts_AR!$B$2:$B$503,A108)</f>
        <v>0</v>
      </c>
      <c r="H108" s="18" t="n">
        <f aca="false">F108-G108</f>
        <v>4096.85</v>
      </c>
      <c r="I108" s="16" t="n">
        <f aca="false">IF(H108&lt;=0.01,0,MAX(Assumptions!$B$5-E108,0))</f>
        <v>378</v>
      </c>
      <c r="J108" s="16" t="str">
        <f aca="false">IF(H108&lt;=0.01,"Paid",IF(I108&lt;=30,"0-30",IF(I108&lt;=60,"31-60",IF(I108&lt;=90,"61-90","90+"))))</f>
        <v>90+</v>
      </c>
      <c r="K108" s="16" t="str">
        <f aca="false">IF(H108&lt;=0.01,"Paid",IF(G108&gt;0,"Partially Paid","Unpaid"))</f>
        <v>Unpaid</v>
      </c>
    </row>
    <row r="109" customFormat="false" ht="15" hidden="false" customHeight="false" outlineLevel="0" collapsed="false">
      <c r="A109" s="16" t="str">
        <f aca="false">Customer_Invoices_AR!A106</f>
        <v>ARI60105</v>
      </c>
      <c r="B109" s="16" t="str">
        <f aca="false">Customer_Invoices_AR!B106</f>
        <v>C2022</v>
      </c>
      <c r="C109" s="16" t="str">
        <f aca="false">IFERROR(INDEX(Customer_Master!$B$2:$B$31,MATCH(B109,Customer_Master!$A$2:$A$31,0)),"Unknown Customer")</f>
        <v>Henderson-Bernard</v>
      </c>
      <c r="D109" s="17" t="n">
        <f aca="false">Customer_Invoices_AR!C106</f>
        <v>46075</v>
      </c>
      <c r="E109" s="17" t="n">
        <f aca="false">Customer_Invoices_AR!E106</f>
        <v>46105</v>
      </c>
      <c r="F109" s="18" t="n">
        <f aca="false">Customer_Invoices_AR!D106</f>
        <v>1991.17</v>
      </c>
      <c r="G109" s="18" t="n">
        <f aca="false">SUMIFS(Cash_Receipts_AR!$E$2:$E$503,Cash_Receipts_AR!$B$2:$B$503,A109)</f>
        <v>1991.17</v>
      </c>
      <c r="H109" s="18" t="n">
        <f aca="false">F109-G109</f>
        <v>0</v>
      </c>
      <c r="I109" s="16" t="n">
        <f aca="false">IF(H109&lt;=0.01,0,MAX(Assumptions!$B$5-E109,0))</f>
        <v>0</v>
      </c>
      <c r="J109" s="16" t="str">
        <f aca="false">IF(H109&lt;=0.01,"Paid",IF(I109&lt;=30,"0-30",IF(I109&lt;=60,"31-60",IF(I109&lt;=90,"61-90","90+"))))</f>
        <v>Paid</v>
      </c>
      <c r="K109" s="16" t="str">
        <f aca="false">IF(H109&lt;=0.01,"Paid",IF(G109&gt;0,"Partially Paid","Unpaid"))</f>
        <v>Paid</v>
      </c>
    </row>
    <row r="110" customFormat="false" ht="15" hidden="false" customHeight="false" outlineLevel="0" collapsed="false">
      <c r="A110" s="16" t="str">
        <f aca="false">Customer_Invoices_AR!A107</f>
        <v>ARI60106</v>
      </c>
      <c r="B110" s="16" t="str">
        <f aca="false">Customer_Invoices_AR!B107</f>
        <v>C2024</v>
      </c>
      <c r="C110" s="16" t="str">
        <f aca="false">IFERROR(INDEX(Customer_Master!$B$2:$B$31,MATCH(B110,Customer_Master!$A$2:$A$31,0)),"Unknown Customer")</f>
        <v>Novak PLC</v>
      </c>
      <c r="D110" s="17" t="n">
        <f aca="false">Customer_Invoices_AR!C107</f>
        <v>45729</v>
      </c>
      <c r="E110" s="17" t="n">
        <f aca="false">Customer_Invoices_AR!E107</f>
        <v>45789</v>
      </c>
      <c r="F110" s="18" t="n">
        <f aca="false">Customer_Invoices_AR!D107</f>
        <v>7900.96</v>
      </c>
      <c r="G110" s="18" t="n">
        <f aca="false">SUMIFS(Cash_Receipts_AR!$E$2:$E$503,Cash_Receipts_AR!$B$2:$B$503,A110)</f>
        <v>7900.96</v>
      </c>
      <c r="H110" s="18" t="n">
        <f aca="false">F110-G110</f>
        <v>0</v>
      </c>
      <c r="I110" s="16" t="n">
        <f aca="false">IF(H110&lt;=0.01,0,MAX(Assumptions!$B$5-E110,0))</f>
        <v>0</v>
      </c>
      <c r="J110" s="16" t="str">
        <f aca="false">IF(H110&lt;=0.01,"Paid",IF(I110&lt;=30,"0-30",IF(I110&lt;=60,"31-60",IF(I110&lt;=90,"61-90","90+"))))</f>
        <v>Paid</v>
      </c>
      <c r="K110" s="16" t="str">
        <f aca="false">IF(H110&lt;=0.01,"Paid",IF(G110&gt;0,"Partially Paid","Unpaid"))</f>
        <v>Paid</v>
      </c>
    </row>
    <row r="111" customFormat="false" ht="15" hidden="false" customHeight="false" outlineLevel="0" collapsed="false">
      <c r="A111" s="16" t="str">
        <f aca="false">Customer_Invoices_AR!A108</f>
        <v>ARI60107</v>
      </c>
      <c r="B111" s="16" t="str">
        <f aca="false">Customer_Invoices_AR!B108</f>
        <v>C2008</v>
      </c>
      <c r="C111" s="16" t="str">
        <f aca="false">IFERROR(INDEX(Customer_Master!$B$2:$B$31,MATCH(B111,Customer_Master!$A$2:$A$31,0)),"Unknown Customer")</f>
        <v>Lee-Davis</v>
      </c>
      <c r="D111" s="17" t="n">
        <f aca="false">Customer_Invoices_AR!C108</f>
        <v>45863</v>
      </c>
      <c r="E111" s="17" t="n">
        <f aca="false">Customer_Invoices_AR!E108</f>
        <v>45923</v>
      </c>
      <c r="F111" s="18" t="n">
        <f aca="false">Customer_Invoices_AR!D108</f>
        <v>3604.05</v>
      </c>
      <c r="G111" s="18" t="n">
        <f aca="false">SUMIFS(Cash_Receipts_AR!$E$2:$E$503,Cash_Receipts_AR!$B$2:$B$503,A111)</f>
        <v>2385.35</v>
      </c>
      <c r="H111" s="18" t="n">
        <f aca="false">F111-G111</f>
        <v>1218.7</v>
      </c>
      <c r="I111" s="16" t="n">
        <f aca="false">IF(H111&lt;=0.01,0,MAX(Assumptions!$B$5-E111,0))</f>
        <v>311</v>
      </c>
      <c r="J111" s="16" t="str">
        <f aca="false">IF(H111&lt;=0.01,"Paid",IF(I111&lt;=30,"0-30",IF(I111&lt;=60,"31-60",IF(I111&lt;=90,"61-90","90+"))))</f>
        <v>90+</v>
      </c>
      <c r="K111" s="16" t="str">
        <f aca="false">IF(H111&lt;=0.01,"Paid",IF(G111&gt;0,"Partially Paid","Unpaid"))</f>
        <v>Partially Paid</v>
      </c>
    </row>
    <row r="112" customFormat="false" ht="15" hidden="false" customHeight="false" outlineLevel="0" collapsed="false">
      <c r="A112" s="16" t="str">
        <f aca="false">Customer_Invoices_AR!A109</f>
        <v>ARI60108</v>
      </c>
      <c r="B112" s="16" t="str">
        <f aca="false">Customer_Invoices_AR!B109</f>
        <v>C2017</v>
      </c>
      <c r="C112" s="16" t="str">
        <f aca="false">IFERROR(INDEX(Customer_Master!$B$2:$B$31,MATCH(B112,Customer_Master!$A$2:$A$31,0)),"Unknown Customer")</f>
        <v>Novak and Sons</v>
      </c>
      <c r="D112" s="17" t="n">
        <f aca="false">Customer_Invoices_AR!C109</f>
        <v>45746</v>
      </c>
      <c r="E112" s="17" t="n">
        <f aca="false">Customer_Invoices_AR!E109</f>
        <v>45761</v>
      </c>
      <c r="F112" s="18" t="n">
        <f aca="false">Customer_Invoices_AR!D109</f>
        <v>14838.59</v>
      </c>
      <c r="G112" s="18" t="n">
        <f aca="false">SUMIFS(Cash_Receipts_AR!$E$2:$E$503,Cash_Receipts_AR!$B$2:$B$503,A112)</f>
        <v>14838.59</v>
      </c>
      <c r="H112" s="18" t="n">
        <f aca="false">F112-G112</f>
        <v>0</v>
      </c>
      <c r="I112" s="16" t="n">
        <f aca="false">IF(H112&lt;=0.01,0,MAX(Assumptions!$B$5-E112,0))</f>
        <v>0</v>
      </c>
      <c r="J112" s="16" t="str">
        <f aca="false">IF(H112&lt;=0.01,"Paid",IF(I112&lt;=30,"0-30",IF(I112&lt;=60,"31-60",IF(I112&lt;=90,"61-90","90+"))))</f>
        <v>Paid</v>
      </c>
      <c r="K112" s="16" t="str">
        <f aca="false">IF(H112&lt;=0.01,"Paid",IF(G112&gt;0,"Partially Paid","Unpaid"))</f>
        <v>Paid</v>
      </c>
    </row>
    <row r="113" customFormat="false" ht="15" hidden="false" customHeight="false" outlineLevel="0" collapsed="false">
      <c r="A113" s="16" t="str">
        <f aca="false">Customer_Invoices_AR!A110</f>
        <v>ARI60109</v>
      </c>
      <c r="B113" s="16" t="str">
        <f aca="false">Customer_Invoices_AR!B110</f>
        <v>C2023</v>
      </c>
      <c r="C113" s="16" t="str">
        <f aca="false">IFERROR(INDEX(Customer_Master!$B$2:$B$31,MATCH(B113,Customer_Master!$A$2:$A$31,0)),"Unknown Customer")</f>
        <v>Stanley, Tucker and Lee</v>
      </c>
      <c r="D113" s="17" t="n">
        <f aca="false">Customer_Invoices_AR!C110</f>
        <v>46111</v>
      </c>
      <c r="E113" s="17" t="n">
        <f aca="false">Customer_Invoices_AR!E110</f>
        <v>46171</v>
      </c>
      <c r="F113" s="18" t="n">
        <f aca="false">Customer_Invoices_AR!D110</f>
        <v>615.89</v>
      </c>
      <c r="G113" s="18" t="n">
        <f aca="false">SUMIFS(Cash_Receipts_AR!$E$2:$E$503,Cash_Receipts_AR!$B$2:$B$503,A113)</f>
        <v>615.89</v>
      </c>
      <c r="H113" s="18" t="n">
        <f aca="false">F113-G113</f>
        <v>0</v>
      </c>
      <c r="I113" s="16" t="n">
        <f aca="false">IF(H113&lt;=0.01,0,MAX(Assumptions!$B$5-E113,0))</f>
        <v>0</v>
      </c>
      <c r="J113" s="16" t="str">
        <f aca="false">IF(H113&lt;=0.01,"Paid",IF(I113&lt;=30,"0-30",IF(I113&lt;=60,"31-60",IF(I113&lt;=90,"61-90","90+"))))</f>
        <v>Paid</v>
      </c>
      <c r="K113" s="16" t="str">
        <f aca="false">IF(H113&lt;=0.01,"Paid",IF(G113&gt;0,"Partially Paid","Unpaid"))</f>
        <v>Paid</v>
      </c>
    </row>
    <row r="114" customFormat="false" ht="15" hidden="false" customHeight="false" outlineLevel="0" collapsed="false">
      <c r="A114" s="16" t="str">
        <f aca="false">Customer_Invoices_AR!A111</f>
        <v>ARI60110</v>
      </c>
      <c r="B114" s="16" t="str">
        <f aca="false">Customer_Invoices_AR!B111</f>
        <v>C2001</v>
      </c>
      <c r="C114" s="16" t="str">
        <f aca="false">IFERROR(INDEX(Customer_Master!$B$2:$B$31,MATCH(B114,Customer_Master!$A$2:$A$31,0)),"Unknown Customer")</f>
        <v>Wright Inc</v>
      </c>
      <c r="D114" s="17" t="n">
        <f aca="false">Customer_Invoices_AR!C111</f>
        <v>46078</v>
      </c>
      <c r="E114" s="17" t="n">
        <f aca="false">Customer_Invoices_AR!E111</f>
        <v>46123</v>
      </c>
      <c r="F114" s="18" t="n">
        <f aca="false">Customer_Invoices_AR!D111</f>
        <v>614.16</v>
      </c>
      <c r="G114" s="18" t="n">
        <f aca="false">SUMIFS(Cash_Receipts_AR!$E$2:$E$503,Cash_Receipts_AR!$B$2:$B$503,A114)</f>
        <v>614.16</v>
      </c>
      <c r="H114" s="18" t="n">
        <f aca="false">F114-G114</f>
        <v>0</v>
      </c>
      <c r="I114" s="16" t="n">
        <f aca="false">IF(H114&lt;=0.01,0,MAX(Assumptions!$B$5-E114,0))</f>
        <v>0</v>
      </c>
      <c r="J114" s="16" t="str">
        <f aca="false">IF(H114&lt;=0.01,"Paid",IF(I114&lt;=30,"0-30",IF(I114&lt;=60,"31-60",IF(I114&lt;=90,"61-90","90+"))))</f>
        <v>Paid</v>
      </c>
      <c r="K114" s="16" t="str">
        <f aca="false">IF(H114&lt;=0.01,"Paid",IF(G114&gt;0,"Partially Paid","Unpaid"))</f>
        <v>Paid</v>
      </c>
    </row>
    <row r="115" customFormat="false" ht="15" hidden="false" customHeight="false" outlineLevel="0" collapsed="false">
      <c r="A115" s="16" t="str">
        <f aca="false">Customer_Invoices_AR!A112</f>
        <v>ARI60111</v>
      </c>
      <c r="B115" s="16" t="str">
        <f aca="false">Customer_Invoices_AR!B112</f>
        <v>C2013</v>
      </c>
      <c r="C115" s="16" t="str">
        <f aca="false">IFERROR(INDEX(Customer_Master!$B$2:$B$31,MATCH(B115,Customer_Master!$A$2:$A$31,0)),"Unknown Customer")</f>
        <v>West, Henderson and Ramirez</v>
      </c>
      <c r="D115" s="17" t="n">
        <f aca="false">Customer_Invoices_AR!C112</f>
        <v>46098</v>
      </c>
      <c r="E115" s="17" t="n">
        <f aca="false">Customer_Invoices_AR!E112</f>
        <v>46158</v>
      </c>
      <c r="F115" s="18" t="n">
        <f aca="false">Customer_Invoices_AR!D112</f>
        <v>3085.97</v>
      </c>
      <c r="G115" s="18" t="n">
        <f aca="false">SUMIFS(Cash_Receipts_AR!$E$2:$E$503,Cash_Receipts_AR!$B$2:$B$503,A115)</f>
        <v>3085.97</v>
      </c>
      <c r="H115" s="18" t="n">
        <f aca="false">F115-G115</f>
        <v>0</v>
      </c>
      <c r="I115" s="16" t="n">
        <f aca="false">IF(H115&lt;=0.01,0,MAX(Assumptions!$B$5-E115,0))</f>
        <v>0</v>
      </c>
      <c r="J115" s="16" t="str">
        <f aca="false">IF(H115&lt;=0.01,"Paid",IF(I115&lt;=30,"0-30",IF(I115&lt;=60,"31-60",IF(I115&lt;=90,"61-90","90+"))))</f>
        <v>Paid</v>
      </c>
      <c r="K115" s="16" t="str">
        <f aca="false">IF(H115&lt;=0.01,"Paid",IF(G115&gt;0,"Partially Paid","Unpaid"))</f>
        <v>Paid</v>
      </c>
    </row>
    <row r="116" customFormat="false" ht="15" hidden="false" customHeight="false" outlineLevel="0" collapsed="false">
      <c r="A116" s="16" t="str">
        <f aca="false">Customer_Invoices_AR!A113</f>
        <v>ARI60112</v>
      </c>
      <c r="B116" s="16" t="str">
        <f aca="false">Customer_Invoices_AR!B113</f>
        <v>C2012</v>
      </c>
      <c r="C116" s="16" t="str">
        <f aca="false">IFERROR(INDEX(Customer_Master!$B$2:$B$31,MATCH(B116,Customer_Master!$A$2:$A$31,0)),"Unknown Customer")</f>
        <v>Wright and Sons</v>
      </c>
      <c r="D116" s="17" t="n">
        <f aca="false">Customer_Invoices_AR!C113</f>
        <v>45748</v>
      </c>
      <c r="E116" s="17" t="n">
        <f aca="false">Customer_Invoices_AR!E113</f>
        <v>45793</v>
      </c>
      <c r="F116" s="18" t="n">
        <f aca="false">Customer_Invoices_AR!D113</f>
        <v>1494.36</v>
      </c>
      <c r="G116" s="18" t="n">
        <f aca="false">SUMIFS(Cash_Receipts_AR!$E$2:$E$503,Cash_Receipts_AR!$B$2:$B$503,A116)</f>
        <v>1494.36</v>
      </c>
      <c r="H116" s="18" t="n">
        <f aca="false">F116-G116</f>
        <v>0</v>
      </c>
      <c r="I116" s="16" t="n">
        <f aca="false">IF(H116&lt;=0.01,0,MAX(Assumptions!$B$5-E116,0))</f>
        <v>0</v>
      </c>
      <c r="J116" s="16" t="str">
        <f aca="false">IF(H116&lt;=0.01,"Paid",IF(I116&lt;=30,"0-30",IF(I116&lt;=60,"31-60",IF(I116&lt;=90,"61-90","90+"))))</f>
        <v>Paid</v>
      </c>
      <c r="K116" s="16" t="str">
        <f aca="false">IF(H116&lt;=0.01,"Paid",IF(G116&gt;0,"Partially Paid","Unpaid"))</f>
        <v>Paid</v>
      </c>
    </row>
    <row r="117" customFormat="false" ht="15" hidden="false" customHeight="false" outlineLevel="0" collapsed="false">
      <c r="A117" s="16" t="str">
        <f aca="false">Customer_Invoices_AR!A114</f>
        <v>ARI60113</v>
      </c>
      <c r="B117" s="16" t="str">
        <f aca="false">Customer_Invoices_AR!B114</f>
        <v>C2023</v>
      </c>
      <c r="C117" s="16" t="str">
        <f aca="false">IFERROR(INDEX(Customer_Master!$B$2:$B$31,MATCH(B117,Customer_Master!$A$2:$A$31,0)),"Unknown Customer")</f>
        <v>Stanley, Tucker and Lee</v>
      </c>
      <c r="D117" s="17" t="n">
        <f aca="false">Customer_Invoices_AR!C114</f>
        <v>45896</v>
      </c>
      <c r="E117" s="17" t="n">
        <f aca="false">Customer_Invoices_AR!E114</f>
        <v>45956</v>
      </c>
      <c r="F117" s="18" t="n">
        <f aca="false">Customer_Invoices_AR!D114</f>
        <v>3555.91</v>
      </c>
      <c r="G117" s="18" t="n">
        <f aca="false">SUMIFS(Cash_Receipts_AR!$E$2:$E$503,Cash_Receipts_AR!$B$2:$B$503,A117)</f>
        <v>3555.91</v>
      </c>
      <c r="H117" s="18" t="n">
        <f aca="false">F117-G117</f>
        <v>0</v>
      </c>
      <c r="I117" s="16" t="n">
        <f aca="false">IF(H117&lt;=0.01,0,MAX(Assumptions!$B$5-E117,0))</f>
        <v>0</v>
      </c>
      <c r="J117" s="16" t="str">
        <f aca="false">IF(H117&lt;=0.01,"Paid",IF(I117&lt;=30,"0-30",IF(I117&lt;=60,"31-60",IF(I117&lt;=90,"61-90","90+"))))</f>
        <v>Paid</v>
      </c>
      <c r="K117" s="16" t="str">
        <f aca="false">IF(H117&lt;=0.01,"Paid",IF(G117&gt;0,"Partially Paid","Unpaid"))</f>
        <v>Paid</v>
      </c>
    </row>
    <row r="118" customFormat="false" ht="15" hidden="false" customHeight="false" outlineLevel="0" collapsed="false">
      <c r="A118" s="16" t="str">
        <f aca="false">Customer_Invoices_AR!A115</f>
        <v>ARI60114</v>
      </c>
      <c r="B118" s="16" t="str">
        <f aca="false">Customer_Invoices_AR!B115</f>
        <v>C2002</v>
      </c>
      <c r="C118" s="16" t="str">
        <f aca="false">IFERROR(INDEX(Customer_Master!$B$2:$B$31,MATCH(B118,Customer_Master!$A$2:$A$31,0)),"Unknown Customer")</f>
        <v>Smith-Spencer</v>
      </c>
      <c r="D118" s="17" t="n">
        <f aca="false">Customer_Invoices_AR!C115</f>
        <v>45881</v>
      </c>
      <c r="E118" s="17" t="n">
        <f aca="false">Customer_Invoices_AR!E115</f>
        <v>45896</v>
      </c>
      <c r="F118" s="18" t="n">
        <f aca="false">Customer_Invoices_AR!D115</f>
        <v>3592.42</v>
      </c>
      <c r="G118" s="18" t="n">
        <f aca="false">SUMIFS(Cash_Receipts_AR!$E$2:$E$503,Cash_Receipts_AR!$B$2:$B$503,A118)</f>
        <v>3592.42</v>
      </c>
      <c r="H118" s="18" t="n">
        <f aca="false">F118-G118</f>
        <v>0</v>
      </c>
      <c r="I118" s="16" t="n">
        <f aca="false">IF(H118&lt;=0.01,0,MAX(Assumptions!$B$5-E118,0))</f>
        <v>0</v>
      </c>
      <c r="J118" s="16" t="str">
        <f aca="false">IF(H118&lt;=0.01,"Paid",IF(I118&lt;=30,"0-30",IF(I118&lt;=60,"31-60",IF(I118&lt;=90,"61-90","90+"))))</f>
        <v>Paid</v>
      </c>
      <c r="K118" s="16" t="str">
        <f aca="false">IF(H118&lt;=0.01,"Paid",IF(G118&gt;0,"Partially Paid","Unpaid"))</f>
        <v>Paid</v>
      </c>
    </row>
    <row r="119" customFormat="false" ht="15" hidden="false" customHeight="false" outlineLevel="0" collapsed="false">
      <c r="A119" s="16" t="str">
        <f aca="false">Customer_Invoices_AR!A116</f>
        <v>ARI60115</v>
      </c>
      <c r="B119" s="16" t="str">
        <f aca="false">Customer_Invoices_AR!B116</f>
        <v>C2011</v>
      </c>
      <c r="C119" s="16" t="str">
        <f aca="false">IFERROR(INDEX(Customer_Master!$B$2:$B$31,MATCH(B119,Customer_Master!$A$2:$A$31,0)),"Unknown Customer")</f>
        <v>Powell LLC</v>
      </c>
      <c r="D119" s="17" t="n">
        <f aca="false">Customer_Invoices_AR!C116</f>
        <v>46026</v>
      </c>
      <c r="E119" s="17" t="n">
        <f aca="false">Customer_Invoices_AR!E116</f>
        <v>46056</v>
      </c>
      <c r="F119" s="18" t="n">
        <f aca="false">Customer_Invoices_AR!D116</f>
        <v>389.2</v>
      </c>
      <c r="G119" s="18" t="n">
        <f aca="false">SUMIFS(Cash_Receipts_AR!$E$2:$E$503,Cash_Receipts_AR!$B$2:$B$503,A119)</f>
        <v>389.2</v>
      </c>
      <c r="H119" s="18" t="n">
        <f aca="false">F119-G119</f>
        <v>0</v>
      </c>
      <c r="I119" s="16" t="n">
        <f aca="false">IF(H119&lt;=0.01,0,MAX(Assumptions!$B$5-E119,0))</f>
        <v>0</v>
      </c>
      <c r="J119" s="16" t="str">
        <f aca="false">IF(H119&lt;=0.01,"Paid",IF(I119&lt;=30,"0-30",IF(I119&lt;=60,"31-60",IF(I119&lt;=90,"61-90","90+"))))</f>
        <v>Paid</v>
      </c>
      <c r="K119" s="16" t="str">
        <f aca="false">IF(H119&lt;=0.01,"Paid",IF(G119&gt;0,"Partially Paid","Unpaid"))</f>
        <v>Paid</v>
      </c>
    </row>
    <row r="120" customFormat="false" ht="15" hidden="false" customHeight="false" outlineLevel="0" collapsed="false">
      <c r="A120" s="16" t="str">
        <f aca="false">Customer_Invoices_AR!A117</f>
        <v>ARI60116</v>
      </c>
      <c r="B120" s="16" t="str">
        <f aca="false">Customer_Invoices_AR!B117</f>
        <v>C2011</v>
      </c>
      <c r="C120" s="16" t="str">
        <f aca="false">IFERROR(INDEX(Customer_Master!$B$2:$B$31,MATCH(B120,Customer_Master!$A$2:$A$31,0)),"Unknown Customer")</f>
        <v>Powell LLC</v>
      </c>
      <c r="D120" s="17" t="n">
        <f aca="false">Customer_Invoices_AR!C117</f>
        <v>45787</v>
      </c>
      <c r="E120" s="17" t="n">
        <f aca="false">Customer_Invoices_AR!E117</f>
        <v>45817</v>
      </c>
      <c r="F120" s="18" t="n">
        <f aca="false">Customer_Invoices_AR!D117</f>
        <v>394.94</v>
      </c>
      <c r="G120" s="18" t="n">
        <f aca="false">SUMIFS(Cash_Receipts_AR!$E$2:$E$503,Cash_Receipts_AR!$B$2:$B$503,A120)</f>
        <v>394.94</v>
      </c>
      <c r="H120" s="18" t="n">
        <f aca="false">F120-G120</f>
        <v>0</v>
      </c>
      <c r="I120" s="16" t="n">
        <f aca="false">IF(H120&lt;=0.01,0,MAX(Assumptions!$B$5-E120,0))</f>
        <v>0</v>
      </c>
      <c r="J120" s="16" t="str">
        <f aca="false">IF(H120&lt;=0.01,"Paid",IF(I120&lt;=30,"0-30",IF(I120&lt;=60,"31-60",IF(I120&lt;=90,"61-90","90+"))))</f>
        <v>Paid</v>
      </c>
      <c r="K120" s="16" t="str">
        <f aca="false">IF(H120&lt;=0.01,"Paid",IF(G120&gt;0,"Partially Paid","Unpaid"))</f>
        <v>Paid</v>
      </c>
    </row>
    <row r="121" customFormat="false" ht="15" hidden="false" customHeight="false" outlineLevel="0" collapsed="false">
      <c r="A121" s="16" t="str">
        <f aca="false">Customer_Invoices_AR!A118</f>
        <v>ARI60117</v>
      </c>
      <c r="B121" s="16" t="str">
        <f aca="false">Customer_Invoices_AR!B118</f>
        <v>C2005</v>
      </c>
      <c r="C121" s="16" t="str">
        <f aca="false">IFERROR(INDEX(Customer_Master!$B$2:$B$31,MATCH(B121,Customer_Master!$A$2:$A$31,0)),"Unknown Customer")</f>
        <v>Jones-Young</v>
      </c>
      <c r="D121" s="17" t="n">
        <f aca="false">Customer_Invoices_AR!C118</f>
        <v>45900</v>
      </c>
      <c r="E121" s="17" t="n">
        <f aca="false">Customer_Invoices_AR!E118</f>
        <v>45915</v>
      </c>
      <c r="F121" s="18" t="n">
        <f aca="false">Customer_Invoices_AR!D118</f>
        <v>3529.53</v>
      </c>
      <c r="G121" s="18" t="n">
        <f aca="false">SUMIFS(Cash_Receipts_AR!$E$2:$E$503,Cash_Receipts_AR!$B$2:$B$503,A121)</f>
        <v>3529.53</v>
      </c>
      <c r="H121" s="18" t="n">
        <f aca="false">F121-G121</f>
        <v>0</v>
      </c>
      <c r="I121" s="16" t="n">
        <f aca="false">IF(H121&lt;=0.01,0,MAX(Assumptions!$B$5-E121,0))</f>
        <v>0</v>
      </c>
      <c r="J121" s="16" t="str">
        <f aca="false">IF(H121&lt;=0.01,"Paid",IF(I121&lt;=30,"0-30",IF(I121&lt;=60,"31-60",IF(I121&lt;=90,"61-90","90+"))))</f>
        <v>Paid</v>
      </c>
      <c r="K121" s="16" t="str">
        <f aca="false">IF(H121&lt;=0.01,"Paid",IF(G121&gt;0,"Partially Paid","Unpaid"))</f>
        <v>Paid</v>
      </c>
    </row>
    <row r="122" customFormat="false" ht="15" hidden="false" customHeight="false" outlineLevel="0" collapsed="false">
      <c r="A122" s="16" t="str">
        <f aca="false">Customer_Invoices_AR!A119</f>
        <v>ARI60118</v>
      </c>
      <c r="B122" s="16" t="str">
        <f aca="false">Customer_Invoices_AR!B119</f>
        <v>C2023</v>
      </c>
      <c r="C122" s="16" t="str">
        <f aca="false">IFERROR(INDEX(Customer_Master!$B$2:$B$31,MATCH(B122,Customer_Master!$A$2:$A$31,0)),"Unknown Customer")</f>
        <v>Stanley, Tucker and Lee</v>
      </c>
      <c r="D122" s="17" t="n">
        <f aca="false">Customer_Invoices_AR!C119</f>
        <v>45813</v>
      </c>
      <c r="E122" s="17" t="n">
        <f aca="false">Customer_Invoices_AR!E119</f>
        <v>45873</v>
      </c>
      <c r="F122" s="18" t="n">
        <f aca="false">Customer_Invoices_AR!D119</f>
        <v>1344.49</v>
      </c>
      <c r="G122" s="18" t="n">
        <f aca="false">SUMIFS(Cash_Receipts_AR!$E$2:$E$503,Cash_Receipts_AR!$B$2:$B$503,A122)</f>
        <v>1344.49</v>
      </c>
      <c r="H122" s="18" t="n">
        <f aca="false">F122-G122</f>
        <v>0</v>
      </c>
      <c r="I122" s="16" t="n">
        <f aca="false">IF(H122&lt;=0.01,0,MAX(Assumptions!$B$5-E122,0))</f>
        <v>0</v>
      </c>
      <c r="J122" s="16" t="str">
        <f aca="false">IF(H122&lt;=0.01,"Paid",IF(I122&lt;=30,"0-30",IF(I122&lt;=60,"31-60",IF(I122&lt;=90,"61-90","90+"))))</f>
        <v>Paid</v>
      </c>
      <c r="K122" s="16" t="str">
        <f aca="false">IF(H122&lt;=0.01,"Paid",IF(G122&gt;0,"Partially Paid","Unpaid"))</f>
        <v>Paid</v>
      </c>
    </row>
    <row r="123" customFormat="false" ht="15" hidden="false" customHeight="false" outlineLevel="0" collapsed="false">
      <c r="A123" s="16" t="str">
        <f aca="false">Customer_Invoices_AR!A120</f>
        <v>ARI60119</v>
      </c>
      <c r="B123" s="16" t="str">
        <f aca="false">Customer_Invoices_AR!B120</f>
        <v>C2012</v>
      </c>
      <c r="C123" s="16" t="str">
        <f aca="false">IFERROR(INDEX(Customer_Master!$B$2:$B$31,MATCH(B123,Customer_Master!$A$2:$A$31,0)),"Unknown Customer")</f>
        <v>Wright and Sons</v>
      </c>
      <c r="D123" s="17" t="n">
        <f aca="false">Customer_Invoices_AR!C120</f>
        <v>46065</v>
      </c>
      <c r="E123" s="17" t="n">
        <f aca="false">Customer_Invoices_AR!E120</f>
        <v>46110</v>
      </c>
      <c r="F123" s="18" t="n">
        <f aca="false">Customer_Invoices_AR!D120</f>
        <v>7154.52</v>
      </c>
      <c r="G123" s="18" t="n">
        <f aca="false">SUMIFS(Cash_Receipts_AR!$E$2:$E$503,Cash_Receipts_AR!$B$2:$B$503,A123)</f>
        <v>7154.52</v>
      </c>
      <c r="H123" s="18" t="n">
        <f aca="false">F123-G123</f>
        <v>0</v>
      </c>
      <c r="I123" s="16" t="n">
        <f aca="false">IF(H123&lt;=0.01,0,MAX(Assumptions!$B$5-E123,0))</f>
        <v>0</v>
      </c>
      <c r="J123" s="16" t="str">
        <f aca="false">IF(H123&lt;=0.01,"Paid",IF(I123&lt;=30,"0-30",IF(I123&lt;=60,"31-60",IF(I123&lt;=90,"61-90","90+"))))</f>
        <v>Paid</v>
      </c>
      <c r="K123" s="16" t="str">
        <f aca="false">IF(H123&lt;=0.01,"Paid",IF(G123&gt;0,"Partially Paid","Unpaid"))</f>
        <v>Paid</v>
      </c>
    </row>
    <row r="124" customFormat="false" ht="15" hidden="false" customHeight="false" outlineLevel="0" collapsed="false">
      <c r="A124" s="16" t="str">
        <f aca="false">Customer_Invoices_AR!A121</f>
        <v>ARI60120</v>
      </c>
      <c r="B124" s="16" t="str">
        <f aca="false">Customer_Invoices_AR!B121</f>
        <v>C2025</v>
      </c>
      <c r="C124" s="16" t="str">
        <f aca="false">IFERROR(INDEX(Customer_Master!$B$2:$B$31,MATCH(B124,Customer_Master!$A$2:$A$31,0)),"Unknown Customer")</f>
        <v>Daniels, Adkins and Brown</v>
      </c>
      <c r="D124" s="17" t="n">
        <f aca="false">Customer_Invoices_AR!C121</f>
        <v>45902</v>
      </c>
      <c r="E124" s="17" t="n">
        <f aca="false">Customer_Invoices_AR!E121</f>
        <v>45917</v>
      </c>
      <c r="F124" s="18" t="n">
        <f aca="false">Customer_Invoices_AR!D121</f>
        <v>2756.04</v>
      </c>
      <c r="G124" s="18" t="n">
        <f aca="false">SUMIFS(Cash_Receipts_AR!$E$2:$E$503,Cash_Receipts_AR!$B$2:$B$503,A124)</f>
        <v>2756.04</v>
      </c>
      <c r="H124" s="18" t="n">
        <f aca="false">F124-G124</f>
        <v>0</v>
      </c>
      <c r="I124" s="16" t="n">
        <f aca="false">IF(H124&lt;=0.01,0,MAX(Assumptions!$B$5-E124,0))</f>
        <v>0</v>
      </c>
      <c r="J124" s="16" t="str">
        <f aca="false">IF(H124&lt;=0.01,"Paid",IF(I124&lt;=30,"0-30",IF(I124&lt;=60,"31-60",IF(I124&lt;=90,"61-90","90+"))))</f>
        <v>Paid</v>
      </c>
      <c r="K124" s="16" t="str">
        <f aca="false">IF(H124&lt;=0.01,"Paid",IF(G124&gt;0,"Partially Paid","Unpaid"))</f>
        <v>Paid</v>
      </c>
    </row>
    <row r="125" customFormat="false" ht="15" hidden="false" customHeight="false" outlineLevel="0" collapsed="false">
      <c r="A125" s="16" t="str">
        <f aca="false">Customer_Invoices_AR!A122</f>
        <v>ARI60121</v>
      </c>
      <c r="B125" s="16" t="str">
        <f aca="false">Customer_Invoices_AR!B122</f>
        <v>C2015</v>
      </c>
      <c r="C125" s="16" t="str">
        <f aca="false">IFERROR(INDEX(Customer_Master!$B$2:$B$31,MATCH(B125,Customer_Master!$A$2:$A$31,0)),"Unknown Customer")</f>
        <v>Morton-Chase</v>
      </c>
      <c r="D125" s="17" t="n">
        <f aca="false">Customer_Invoices_AR!C122</f>
        <v>45949</v>
      </c>
      <c r="E125" s="17" t="n">
        <f aca="false">Customer_Invoices_AR!E122</f>
        <v>45964</v>
      </c>
      <c r="F125" s="18" t="n">
        <f aca="false">Customer_Invoices_AR!D122</f>
        <v>1425.44</v>
      </c>
      <c r="G125" s="18" t="n">
        <f aca="false">SUMIFS(Cash_Receipts_AR!$E$2:$E$503,Cash_Receipts_AR!$B$2:$B$503,A125)</f>
        <v>0</v>
      </c>
      <c r="H125" s="18" t="n">
        <f aca="false">F125-G125</f>
        <v>1425.44</v>
      </c>
      <c r="I125" s="16" t="n">
        <f aca="false">IF(H125&lt;=0.01,0,MAX(Assumptions!$B$5-E125,0))</f>
        <v>270</v>
      </c>
      <c r="J125" s="16" t="str">
        <f aca="false">IF(H125&lt;=0.01,"Paid",IF(I125&lt;=30,"0-30",IF(I125&lt;=60,"31-60",IF(I125&lt;=90,"61-90","90+"))))</f>
        <v>90+</v>
      </c>
      <c r="K125" s="16" t="str">
        <f aca="false">IF(H125&lt;=0.01,"Paid",IF(G125&gt;0,"Partially Paid","Unpaid"))</f>
        <v>Unpaid</v>
      </c>
    </row>
    <row r="126" customFormat="false" ht="15" hidden="false" customHeight="false" outlineLevel="0" collapsed="false">
      <c r="A126" s="16" t="str">
        <f aca="false">Customer_Invoices_AR!A123</f>
        <v>ARI60122</v>
      </c>
      <c r="B126" s="16" t="str">
        <f aca="false">Customer_Invoices_AR!B123</f>
        <v>C2014</v>
      </c>
      <c r="C126" s="16" t="str">
        <f aca="false">IFERROR(INDEX(Customer_Master!$B$2:$B$31,MATCH(B126,Customer_Master!$A$2:$A$31,0)),"Unknown Customer")</f>
        <v>Baxter Inc</v>
      </c>
      <c r="D126" s="17" t="n">
        <f aca="false">Customer_Invoices_AR!C123</f>
        <v>45826</v>
      </c>
      <c r="E126" s="17" t="n">
        <f aca="false">Customer_Invoices_AR!E123</f>
        <v>45856</v>
      </c>
      <c r="F126" s="18" t="n">
        <f aca="false">Customer_Invoices_AR!D123</f>
        <v>14970.09</v>
      </c>
      <c r="G126" s="18" t="n">
        <f aca="false">SUMIFS(Cash_Receipts_AR!$E$2:$E$503,Cash_Receipts_AR!$B$2:$B$503,A126)</f>
        <v>14970.09</v>
      </c>
      <c r="H126" s="18" t="n">
        <f aca="false">F126-G126</f>
        <v>0</v>
      </c>
      <c r="I126" s="16" t="n">
        <f aca="false">IF(H126&lt;=0.01,0,MAX(Assumptions!$B$5-E126,0))</f>
        <v>0</v>
      </c>
      <c r="J126" s="16" t="str">
        <f aca="false">IF(H126&lt;=0.01,"Paid",IF(I126&lt;=30,"0-30",IF(I126&lt;=60,"31-60",IF(I126&lt;=90,"61-90","90+"))))</f>
        <v>Paid</v>
      </c>
      <c r="K126" s="16" t="str">
        <f aca="false">IF(H126&lt;=0.01,"Paid",IF(G126&gt;0,"Partially Paid","Unpaid"))</f>
        <v>Paid</v>
      </c>
    </row>
    <row r="127" customFormat="false" ht="15" hidden="false" customHeight="false" outlineLevel="0" collapsed="false">
      <c r="A127" s="16" t="str">
        <f aca="false">Customer_Invoices_AR!A124</f>
        <v>ARI60123</v>
      </c>
      <c r="B127" s="16" t="str">
        <f aca="false">Customer_Invoices_AR!B124</f>
        <v>C2005</v>
      </c>
      <c r="C127" s="16" t="str">
        <f aca="false">IFERROR(INDEX(Customer_Master!$B$2:$B$31,MATCH(B127,Customer_Master!$A$2:$A$31,0)),"Unknown Customer")</f>
        <v>Jones-Young</v>
      </c>
      <c r="D127" s="17" t="n">
        <f aca="false">Customer_Invoices_AR!C124</f>
        <v>46098</v>
      </c>
      <c r="E127" s="17" t="n">
        <f aca="false">Customer_Invoices_AR!E124</f>
        <v>46113</v>
      </c>
      <c r="F127" s="18" t="n">
        <f aca="false">Customer_Invoices_AR!D124</f>
        <v>384.06</v>
      </c>
      <c r="G127" s="18" t="n">
        <f aca="false">SUMIFS(Cash_Receipts_AR!$E$2:$E$503,Cash_Receipts_AR!$B$2:$B$503,A127)</f>
        <v>384.06</v>
      </c>
      <c r="H127" s="18" t="n">
        <f aca="false">F127-G127</f>
        <v>0</v>
      </c>
      <c r="I127" s="16" t="n">
        <f aca="false">IF(H127&lt;=0.01,0,MAX(Assumptions!$B$5-E127,0))</f>
        <v>0</v>
      </c>
      <c r="J127" s="16" t="str">
        <f aca="false">IF(H127&lt;=0.01,"Paid",IF(I127&lt;=30,"0-30",IF(I127&lt;=60,"31-60",IF(I127&lt;=90,"61-90","90+"))))</f>
        <v>Paid</v>
      </c>
      <c r="K127" s="16" t="str">
        <f aca="false">IF(H127&lt;=0.01,"Paid",IF(G127&gt;0,"Partially Paid","Unpaid"))</f>
        <v>Paid</v>
      </c>
    </row>
    <row r="128" customFormat="false" ht="15" hidden="false" customHeight="false" outlineLevel="0" collapsed="false">
      <c r="A128" s="16" t="str">
        <f aca="false">Customer_Invoices_AR!A125</f>
        <v>ARI60124</v>
      </c>
      <c r="B128" s="16" t="str">
        <f aca="false">Customer_Invoices_AR!B125</f>
        <v>C2024</v>
      </c>
      <c r="C128" s="16" t="str">
        <f aca="false">IFERROR(INDEX(Customer_Master!$B$2:$B$31,MATCH(B128,Customer_Master!$A$2:$A$31,0)),"Unknown Customer")</f>
        <v>Novak PLC</v>
      </c>
      <c r="D128" s="17" t="n">
        <f aca="false">Customer_Invoices_AR!C125</f>
        <v>45913</v>
      </c>
      <c r="E128" s="17" t="n">
        <f aca="false">Customer_Invoices_AR!E125</f>
        <v>45973</v>
      </c>
      <c r="F128" s="18" t="n">
        <f aca="false">Customer_Invoices_AR!D125</f>
        <v>1780.11</v>
      </c>
      <c r="G128" s="18" t="n">
        <f aca="false">SUMIFS(Cash_Receipts_AR!$E$2:$E$503,Cash_Receipts_AR!$B$2:$B$503,A128)</f>
        <v>1780.11</v>
      </c>
      <c r="H128" s="18" t="n">
        <f aca="false">F128-G128</f>
        <v>0</v>
      </c>
      <c r="I128" s="16" t="n">
        <f aca="false">IF(H128&lt;=0.01,0,MAX(Assumptions!$B$5-E128,0))</f>
        <v>0</v>
      </c>
      <c r="J128" s="16" t="str">
        <f aca="false">IF(H128&lt;=0.01,"Paid",IF(I128&lt;=30,"0-30",IF(I128&lt;=60,"31-60",IF(I128&lt;=90,"61-90","90+"))))</f>
        <v>Paid</v>
      </c>
      <c r="K128" s="16" t="str">
        <f aca="false">IF(H128&lt;=0.01,"Paid",IF(G128&gt;0,"Partially Paid","Unpaid"))</f>
        <v>Paid</v>
      </c>
    </row>
    <row r="129" customFormat="false" ht="15" hidden="false" customHeight="false" outlineLevel="0" collapsed="false">
      <c r="A129" s="16" t="str">
        <f aca="false">Customer_Invoices_AR!A126</f>
        <v>ARI60125</v>
      </c>
      <c r="B129" s="16" t="str">
        <f aca="false">Customer_Invoices_AR!B126</f>
        <v>C2011</v>
      </c>
      <c r="C129" s="16" t="str">
        <f aca="false">IFERROR(INDEX(Customer_Master!$B$2:$B$31,MATCH(B129,Customer_Master!$A$2:$A$31,0)),"Unknown Customer")</f>
        <v>Powell LLC</v>
      </c>
      <c r="D129" s="17" t="n">
        <f aca="false">Customer_Invoices_AR!C126</f>
        <v>46113</v>
      </c>
      <c r="E129" s="17" t="n">
        <f aca="false">Customer_Invoices_AR!E126</f>
        <v>46143</v>
      </c>
      <c r="F129" s="18" t="n">
        <f aca="false">Customer_Invoices_AR!D126</f>
        <v>1695.79</v>
      </c>
      <c r="G129" s="18" t="n">
        <f aca="false">SUMIFS(Cash_Receipts_AR!$E$2:$E$503,Cash_Receipts_AR!$B$2:$B$503,A129)</f>
        <v>1695.79</v>
      </c>
      <c r="H129" s="18" t="n">
        <f aca="false">F129-G129</f>
        <v>0</v>
      </c>
      <c r="I129" s="16" t="n">
        <f aca="false">IF(H129&lt;=0.01,0,MAX(Assumptions!$B$5-E129,0))</f>
        <v>0</v>
      </c>
      <c r="J129" s="16" t="str">
        <f aca="false">IF(H129&lt;=0.01,"Paid",IF(I129&lt;=30,"0-30",IF(I129&lt;=60,"31-60",IF(I129&lt;=90,"61-90","90+"))))</f>
        <v>Paid</v>
      </c>
      <c r="K129" s="16" t="str">
        <f aca="false">IF(H129&lt;=0.01,"Paid",IF(G129&gt;0,"Partially Paid","Unpaid"))</f>
        <v>Paid</v>
      </c>
    </row>
    <row r="130" customFormat="false" ht="15" hidden="false" customHeight="false" outlineLevel="0" collapsed="false">
      <c r="A130" s="16" t="str">
        <f aca="false">Customer_Invoices_AR!A127</f>
        <v>ARI60126</v>
      </c>
      <c r="B130" s="16" t="str">
        <f aca="false">Customer_Invoices_AR!B127</f>
        <v>C2029</v>
      </c>
      <c r="C130" s="16" t="str">
        <f aca="false">IFERROR(INDEX(Customer_Master!$B$2:$B$31,MATCH(B130,Customer_Master!$A$2:$A$31,0)),"Unknown Customer")</f>
        <v>Hensley, Powell and David</v>
      </c>
      <c r="D130" s="17" t="n">
        <f aca="false">Customer_Invoices_AR!C127</f>
        <v>45858</v>
      </c>
      <c r="E130" s="17" t="n">
        <f aca="false">Customer_Invoices_AR!E127</f>
        <v>45918</v>
      </c>
      <c r="F130" s="18" t="n">
        <f aca="false">Customer_Invoices_AR!D127</f>
        <v>2702</v>
      </c>
      <c r="G130" s="18" t="n">
        <f aca="false">SUMIFS(Cash_Receipts_AR!$E$2:$E$503,Cash_Receipts_AR!$B$2:$B$503,A130)</f>
        <v>2702</v>
      </c>
      <c r="H130" s="18" t="n">
        <f aca="false">F130-G130</f>
        <v>0</v>
      </c>
      <c r="I130" s="16" t="n">
        <f aca="false">IF(H130&lt;=0.01,0,MAX(Assumptions!$B$5-E130,0))</f>
        <v>0</v>
      </c>
      <c r="J130" s="16" t="str">
        <f aca="false">IF(H130&lt;=0.01,"Paid",IF(I130&lt;=30,"0-30",IF(I130&lt;=60,"31-60",IF(I130&lt;=90,"61-90","90+"))))</f>
        <v>Paid</v>
      </c>
      <c r="K130" s="16" t="str">
        <f aca="false">IF(H130&lt;=0.01,"Paid",IF(G130&gt;0,"Partially Paid","Unpaid"))</f>
        <v>Paid</v>
      </c>
    </row>
    <row r="131" customFormat="false" ht="15" hidden="false" customHeight="false" outlineLevel="0" collapsed="false">
      <c r="A131" s="16" t="str">
        <f aca="false">Customer_Invoices_AR!A128</f>
        <v>ARI60127</v>
      </c>
      <c r="B131" s="16" t="str">
        <f aca="false">Customer_Invoices_AR!B128</f>
        <v>C2006</v>
      </c>
      <c r="C131" s="16" t="str">
        <f aca="false">IFERROR(INDEX(Customer_Master!$B$2:$B$31,MATCH(B131,Customer_Master!$A$2:$A$31,0)),"Unknown Customer")</f>
        <v>Washington, Ryan and Cummings</v>
      </c>
      <c r="D131" s="17" t="n">
        <f aca="false">Customer_Invoices_AR!C128</f>
        <v>46174</v>
      </c>
      <c r="E131" s="17" t="n">
        <f aca="false">Customer_Invoices_AR!E128</f>
        <v>46189</v>
      </c>
      <c r="F131" s="18" t="n">
        <f aca="false">Customer_Invoices_AR!D128</f>
        <v>6868.48</v>
      </c>
      <c r="G131" s="18" t="n">
        <f aca="false">SUMIFS(Cash_Receipts_AR!$E$2:$E$503,Cash_Receipts_AR!$B$2:$B$503,A131)</f>
        <v>6868.48</v>
      </c>
      <c r="H131" s="18" t="n">
        <f aca="false">F131-G131</f>
        <v>0</v>
      </c>
      <c r="I131" s="16" t="n">
        <f aca="false">IF(H131&lt;=0.01,0,MAX(Assumptions!$B$5-E131,0))</f>
        <v>0</v>
      </c>
      <c r="J131" s="16" t="str">
        <f aca="false">IF(H131&lt;=0.01,"Paid",IF(I131&lt;=30,"0-30",IF(I131&lt;=60,"31-60",IF(I131&lt;=90,"61-90","90+"))))</f>
        <v>Paid</v>
      </c>
      <c r="K131" s="16" t="str">
        <f aca="false">IF(H131&lt;=0.01,"Paid",IF(G131&gt;0,"Partially Paid","Unpaid"))</f>
        <v>Paid</v>
      </c>
    </row>
    <row r="132" customFormat="false" ht="15" hidden="false" customHeight="false" outlineLevel="0" collapsed="false">
      <c r="A132" s="16" t="str">
        <f aca="false">Customer_Invoices_AR!A129</f>
        <v>ARI60128</v>
      </c>
      <c r="B132" s="16" t="str">
        <f aca="false">Customer_Invoices_AR!B129</f>
        <v>C2011</v>
      </c>
      <c r="C132" s="16" t="str">
        <f aca="false">IFERROR(INDEX(Customer_Master!$B$2:$B$31,MATCH(B132,Customer_Master!$A$2:$A$31,0)),"Unknown Customer")</f>
        <v>Powell LLC</v>
      </c>
      <c r="D132" s="17" t="n">
        <f aca="false">Customer_Invoices_AR!C129</f>
        <v>46194</v>
      </c>
      <c r="E132" s="17" t="n">
        <f aca="false">Customer_Invoices_AR!E129</f>
        <v>46224</v>
      </c>
      <c r="F132" s="18" t="n">
        <f aca="false">Customer_Invoices_AR!D129</f>
        <v>6006.81</v>
      </c>
      <c r="G132" s="18" t="n">
        <f aca="false">SUMIFS(Cash_Receipts_AR!$E$2:$E$503,Cash_Receipts_AR!$B$2:$B$503,A132)</f>
        <v>6006.81</v>
      </c>
      <c r="H132" s="18" t="n">
        <f aca="false">F132-G132</f>
        <v>0</v>
      </c>
      <c r="I132" s="16" t="n">
        <f aca="false">IF(H132&lt;=0.01,0,MAX(Assumptions!$B$5-E132,0))</f>
        <v>0</v>
      </c>
      <c r="J132" s="16" t="str">
        <f aca="false">IF(H132&lt;=0.01,"Paid",IF(I132&lt;=30,"0-30",IF(I132&lt;=60,"31-60",IF(I132&lt;=90,"61-90","90+"))))</f>
        <v>Paid</v>
      </c>
      <c r="K132" s="16" t="str">
        <f aca="false">IF(H132&lt;=0.01,"Paid",IF(G132&gt;0,"Partially Paid","Unpaid"))</f>
        <v>Paid</v>
      </c>
    </row>
    <row r="133" customFormat="false" ht="15" hidden="false" customHeight="false" outlineLevel="0" collapsed="false">
      <c r="A133" s="16" t="str">
        <f aca="false">Customer_Invoices_AR!A130</f>
        <v>ARI60129</v>
      </c>
      <c r="B133" s="16" t="str">
        <f aca="false">Customer_Invoices_AR!B130</f>
        <v>C2012</v>
      </c>
      <c r="C133" s="16" t="str">
        <f aca="false">IFERROR(INDEX(Customer_Master!$B$2:$B$31,MATCH(B133,Customer_Master!$A$2:$A$31,0)),"Unknown Customer")</f>
        <v>Wright and Sons</v>
      </c>
      <c r="D133" s="17" t="n">
        <f aca="false">Customer_Invoices_AR!C130</f>
        <v>45909</v>
      </c>
      <c r="E133" s="17" t="n">
        <f aca="false">Customer_Invoices_AR!E130</f>
        <v>45954</v>
      </c>
      <c r="F133" s="18" t="n">
        <f aca="false">Customer_Invoices_AR!D130</f>
        <v>1048.47</v>
      </c>
      <c r="G133" s="18" t="n">
        <f aca="false">SUMIFS(Cash_Receipts_AR!$E$2:$E$503,Cash_Receipts_AR!$B$2:$B$503,A133)</f>
        <v>1048.47</v>
      </c>
      <c r="H133" s="18" t="n">
        <f aca="false">F133-G133</f>
        <v>0</v>
      </c>
      <c r="I133" s="16" t="n">
        <f aca="false">IF(H133&lt;=0.01,0,MAX(Assumptions!$B$5-E133,0))</f>
        <v>0</v>
      </c>
      <c r="J133" s="16" t="str">
        <f aca="false">IF(H133&lt;=0.01,"Paid",IF(I133&lt;=30,"0-30",IF(I133&lt;=60,"31-60",IF(I133&lt;=90,"61-90","90+"))))</f>
        <v>Paid</v>
      </c>
      <c r="K133" s="16" t="str">
        <f aca="false">IF(H133&lt;=0.01,"Paid",IF(G133&gt;0,"Partially Paid","Unpaid"))</f>
        <v>Paid</v>
      </c>
    </row>
    <row r="134" customFormat="false" ht="15" hidden="false" customHeight="false" outlineLevel="0" collapsed="false">
      <c r="A134" s="16" t="str">
        <f aca="false">Customer_Invoices_AR!A131</f>
        <v>ARI60130</v>
      </c>
      <c r="B134" s="16" t="str">
        <f aca="false">Customer_Invoices_AR!B131</f>
        <v>C2017</v>
      </c>
      <c r="C134" s="16" t="str">
        <f aca="false">IFERROR(INDEX(Customer_Master!$B$2:$B$31,MATCH(B134,Customer_Master!$A$2:$A$31,0)),"Unknown Customer")</f>
        <v>Novak and Sons</v>
      </c>
      <c r="D134" s="17" t="n">
        <f aca="false">Customer_Invoices_AR!C131</f>
        <v>45811</v>
      </c>
      <c r="E134" s="17" t="n">
        <f aca="false">Customer_Invoices_AR!E131</f>
        <v>45826</v>
      </c>
      <c r="F134" s="18" t="n">
        <f aca="false">Customer_Invoices_AR!D131</f>
        <v>4969.45</v>
      </c>
      <c r="G134" s="18" t="n">
        <f aca="false">SUMIFS(Cash_Receipts_AR!$E$2:$E$503,Cash_Receipts_AR!$B$2:$B$503,A134)</f>
        <v>0</v>
      </c>
      <c r="H134" s="18" t="n">
        <f aca="false">F134-G134</f>
        <v>4969.45</v>
      </c>
      <c r="I134" s="16" t="n">
        <f aca="false">IF(H134&lt;=0.01,0,MAX(Assumptions!$B$5-E134,0))</f>
        <v>408</v>
      </c>
      <c r="J134" s="16" t="str">
        <f aca="false">IF(H134&lt;=0.01,"Paid",IF(I134&lt;=30,"0-30",IF(I134&lt;=60,"31-60",IF(I134&lt;=90,"61-90","90+"))))</f>
        <v>90+</v>
      </c>
      <c r="K134" s="16" t="str">
        <f aca="false">IF(H134&lt;=0.01,"Paid",IF(G134&gt;0,"Partially Paid","Unpaid"))</f>
        <v>Unpaid</v>
      </c>
    </row>
    <row r="135" customFormat="false" ht="15" hidden="false" customHeight="false" outlineLevel="0" collapsed="false">
      <c r="A135" s="16" t="str">
        <f aca="false">Customer_Invoices_AR!A132</f>
        <v>ARI60131</v>
      </c>
      <c r="B135" s="16" t="str">
        <f aca="false">Customer_Invoices_AR!B132</f>
        <v>C2017</v>
      </c>
      <c r="C135" s="16" t="str">
        <f aca="false">IFERROR(INDEX(Customer_Master!$B$2:$B$31,MATCH(B135,Customer_Master!$A$2:$A$31,0)),"Unknown Customer")</f>
        <v>Novak and Sons</v>
      </c>
      <c r="D135" s="17" t="n">
        <f aca="false">Customer_Invoices_AR!C132</f>
        <v>45866</v>
      </c>
      <c r="E135" s="17" t="n">
        <f aca="false">Customer_Invoices_AR!E132</f>
        <v>45881</v>
      </c>
      <c r="F135" s="18" t="n">
        <f aca="false">Customer_Invoices_AR!D132</f>
        <v>11087.34</v>
      </c>
      <c r="G135" s="18" t="n">
        <f aca="false">SUMIFS(Cash_Receipts_AR!$E$2:$E$503,Cash_Receipts_AR!$B$2:$B$503,A135)</f>
        <v>7020.69</v>
      </c>
      <c r="H135" s="18" t="n">
        <f aca="false">F135-G135</f>
        <v>4066.65</v>
      </c>
      <c r="I135" s="16" t="n">
        <f aca="false">IF(H135&lt;=0.01,0,MAX(Assumptions!$B$5-E135,0))</f>
        <v>353</v>
      </c>
      <c r="J135" s="16" t="str">
        <f aca="false">IF(H135&lt;=0.01,"Paid",IF(I135&lt;=30,"0-30",IF(I135&lt;=60,"31-60",IF(I135&lt;=90,"61-90","90+"))))</f>
        <v>90+</v>
      </c>
      <c r="K135" s="16" t="str">
        <f aca="false">IF(H135&lt;=0.01,"Paid",IF(G135&gt;0,"Partially Paid","Unpaid"))</f>
        <v>Partially Paid</v>
      </c>
    </row>
    <row r="136" customFormat="false" ht="15" hidden="false" customHeight="false" outlineLevel="0" collapsed="false">
      <c r="A136" s="16" t="str">
        <f aca="false">Customer_Invoices_AR!A133</f>
        <v>ARI60132</v>
      </c>
      <c r="B136" s="16" t="str">
        <f aca="false">Customer_Invoices_AR!B133</f>
        <v>C2005</v>
      </c>
      <c r="C136" s="16" t="str">
        <f aca="false">IFERROR(INDEX(Customer_Master!$B$2:$B$31,MATCH(B136,Customer_Master!$A$2:$A$31,0)),"Unknown Customer")</f>
        <v>Jones-Young</v>
      </c>
      <c r="D136" s="17" t="n">
        <f aca="false">Customer_Invoices_AR!C133</f>
        <v>45945</v>
      </c>
      <c r="E136" s="17" t="n">
        <f aca="false">Customer_Invoices_AR!E133</f>
        <v>45960</v>
      </c>
      <c r="F136" s="18" t="n">
        <f aca="false">Customer_Invoices_AR!D133</f>
        <v>1027.67</v>
      </c>
      <c r="G136" s="18" t="n">
        <f aca="false">SUMIFS(Cash_Receipts_AR!$E$2:$E$503,Cash_Receipts_AR!$B$2:$B$503,A136)</f>
        <v>1027.67</v>
      </c>
      <c r="H136" s="18" t="n">
        <f aca="false">F136-G136</f>
        <v>0</v>
      </c>
      <c r="I136" s="16" t="n">
        <f aca="false">IF(H136&lt;=0.01,0,MAX(Assumptions!$B$5-E136,0))</f>
        <v>0</v>
      </c>
      <c r="J136" s="16" t="str">
        <f aca="false">IF(H136&lt;=0.01,"Paid",IF(I136&lt;=30,"0-30",IF(I136&lt;=60,"31-60",IF(I136&lt;=90,"61-90","90+"))))</f>
        <v>Paid</v>
      </c>
      <c r="K136" s="16" t="str">
        <f aca="false">IF(H136&lt;=0.01,"Paid",IF(G136&gt;0,"Partially Paid","Unpaid"))</f>
        <v>Paid</v>
      </c>
    </row>
    <row r="137" customFormat="false" ht="15" hidden="false" customHeight="false" outlineLevel="0" collapsed="false">
      <c r="A137" s="16" t="str">
        <f aca="false">Customer_Invoices_AR!A134</f>
        <v>ARI60133</v>
      </c>
      <c r="B137" s="16" t="str">
        <f aca="false">Customer_Invoices_AR!B134</f>
        <v>C2016</v>
      </c>
      <c r="C137" s="16" t="str">
        <f aca="false">IFERROR(INDEX(Customer_Master!$B$2:$B$31,MATCH(B137,Customer_Master!$A$2:$A$31,0)),"Unknown Customer")</f>
        <v>Williams PLC</v>
      </c>
      <c r="D137" s="17" t="n">
        <f aca="false">Customer_Invoices_AR!C134</f>
        <v>46184</v>
      </c>
      <c r="E137" s="17" t="n">
        <f aca="false">Customer_Invoices_AR!E134</f>
        <v>46214</v>
      </c>
      <c r="F137" s="18" t="n">
        <f aca="false">Customer_Invoices_AR!D134</f>
        <v>1672.41</v>
      </c>
      <c r="G137" s="18" t="n">
        <f aca="false">SUMIFS(Cash_Receipts_AR!$E$2:$E$503,Cash_Receipts_AR!$B$2:$B$503,A137)</f>
        <v>0</v>
      </c>
      <c r="H137" s="18" t="n">
        <f aca="false">F137-G137</f>
        <v>1672.41</v>
      </c>
      <c r="I137" s="16" t="n">
        <f aca="false">IF(H137&lt;=0.01,0,MAX(Assumptions!$B$5-E137,0))</f>
        <v>20</v>
      </c>
      <c r="J137" s="16" t="str">
        <f aca="false">IF(H137&lt;=0.01,"Paid",IF(I137&lt;=30,"0-30",IF(I137&lt;=60,"31-60",IF(I137&lt;=90,"61-90","90+"))))</f>
        <v>0-30</v>
      </c>
      <c r="K137" s="16" t="str">
        <f aca="false">IF(H137&lt;=0.01,"Paid",IF(G137&gt;0,"Partially Paid","Unpaid"))</f>
        <v>Unpaid</v>
      </c>
    </row>
    <row r="138" customFormat="false" ht="15" hidden="false" customHeight="false" outlineLevel="0" collapsed="false">
      <c r="A138" s="16" t="str">
        <f aca="false">Customer_Invoices_AR!A135</f>
        <v>ARI60134</v>
      </c>
      <c r="B138" s="16" t="str">
        <f aca="false">Customer_Invoices_AR!B135</f>
        <v>C2026</v>
      </c>
      <c r="C138" s="16" t="str">
        <f aca="false">IFERROR(INDEX(Customer_Master!$B$2:$B$31,MATCH(B138,Customer_Master!$A$2:$A$31,0)),"Unknown Customer")</f>
        <v>Woods, Calhoun and Schmidt</v>
      </c>
      <c r="D138" s="17" t="n">
        <f aca="false">Customer_Invoices_AR!C135</f>
        <v>46103</v>
      </c>
      <c r="E138" s="17" t="n">
        <f aca="false">Customer_Invoices_AR!E135</f>
        <v>46163</v>
      </c>
      <c r="F138" s="18" t="n">
        <f aca="false">Customer_Invoices_AR!D135</f>
        <v>2028.73</v>
      </c>
      <c r="G138" s="18" t="n">
        <f aca="false">SUMIFS(Cash_Receipts_AR!$E$2:$E$503,Cash_Receipts_AR!$B$2:$B$503,A138)</f>
        <v>1215.61</v>
      </c>
      <c r="H138" s="18" t="n">
        <f aca="false">F138-G138</f>
        <v>813.12</v>
      </c>
      <c r="I138" s="16" t="n">
        <f aca="false">IF(H138&lt;=0.01,0,MAX(Assumptions!$B$5-E138,0))</f>
        <v>71</v>
      </c>
      <c r="J138" s="16" t="str">
        <f aca="false">IF(H138&lt;=0.01,"Paid",IF(I138&lt;=30,"0-30",IF(I138&lt;=60,"31-60",IF(I138&lt;=90,"61-90","90+"))))</f>
        <v>61-90</v>
      </c>
      <c r="K138" s="16" t="str">
        <f aca="false">IF(H138&lt;=0.01,"Paid",IF(G138&gt;0,"Partially Paid","Unpaid"))</f>
        <v>Partially Paid</v>
      </c>
    </row>
    <row r="139" customFormat="false" ht="15" hidden="false" customHeight="false" outlineLevel="0" collapsed="false">
      <c r="A139" s="16" t="str">
        <f aca="false">Customer_Invoices_AR!A136</f>
        <v>ARI60135</v>
      </c>
      <c r="B139" s="16" t="str">
        <f aca="false">Customer_Invoices_AR!B136</f>
        <v>C2012</v>
      </c>
      <c r="C139" s="16" t="str">
        <f aca="false">IFERROR(INDEX(Customer_Master!$B$2:$B$31,MATCH(B139,Customer_Master!$A$2:$A$31,0)),"Unknown Customer")</f>
        <v>Wright and Sons</v>
      </c>
      <c r="D139" s="17" t="n">
        <f aca="false">Customer_Invoices_AR!C136</f>
        <v>46094</v>
      </c>
      <c r="E139" s="17" t="n">
        <f aca="false">Customer_Invoices_AR!E136</f>
        <v>46139</v>
      </c>
      <c r="F139" s="18" t="n">
        <f aca="false">Customer_Invoices_AR!D136</f>
        <v>6379.66</v>
      </c>
      <c r="G139" s="18" t="n">
        <f aca="false">SUMIFS(Cash_Receipts_AR!$E$2:$E$503,Cash_Receipts_AR!$B$2:$B$503,A139)</f>
        <v>6379.66</v>
      </c>
      <c r="H139" s="18" t="n">
        <f aca="false">F139-G139</f>
        <v>0</v>
      </c>
      <c r="I139" s="16" t="n">
        <f aca="false">IF(H139&lt;=0.01,0,MAX(Assumptions!$B$5-E139,0))</f>
        <v>0</v>
      </c>
      <c r="J139" s="16" t="str">
        <f aca="false">IF(H139&lt;=0.01,"Paid",IF(I139&lt;=30,"0-30",IF(I139&lt;=60,"31-60",IF(I139&lt;=90,"61-90","90+"))))</f>
        <v>Paid</v>
      </c>
      <c r="K139" s="16" t="str">
        <f aca="false">IF(H139&lt;=0.01,"Paid",IF(G139&gt;0,"Partially Paid","Unpaid"))</f>
        <v>Paid</v>
      </c>
    </row>
    <row r="140" customFormat="false" ht="15" hidden="false" customHeight="false" outlineLevel="0" collapsed="false">
      <c r="A140" s="16" t="str">
        <f aca="false">Customer_Invoices_AR!A137</f>
        <v>ARI60136</v>
      </c>
      <c r="B140" s="16" t="str">
        <f aca="false">Customer_Invoices_AR!B137</f>
        <v>C2023</v>
      </c>
      <c r="C140" s="16" t="str">
        <f aca="false">IFERROR(INDEX(Customer_Master!$B$2:$B$31,MATCH(B140,Customer_Master!$A$2:$A$31,0)),"Unknown Customer")</f>
        <v>Stanley, Tucker and Lee</v>
      </c>
      <c r="D140" s="17" t="n">
        <f aca="false">Customer_Invoices_AR!C137</f>
        <v>45733</v>
      </c>
      <c r="E140" s="17" t="n">
        <f aca="false">Customer_Invoices_AR!E137</f>
        <v>45793</v>
      </c>
      <c r="F140" s="18" t="n">
        <f aca="false">Customer_Invoices_AR!D137</f>
        <v>2883.05</v>
      </c>
      <c r="G140" s="18" t="n">
        <f aca="false">SUMIFS(Cash_Receipts_AR!$E$2:$E$503,Cash_Receipts_AR!$B$2:$B$503,A140)</f>
        <v>2883.05</v>
      </c>
      <c r="H140" s="18" t="n">
        <f aca="false">F140-G140</f>
        <v>0</v>
      </c>
      <c r="I140" s="16" t="n">
        <f aca="false">IF(H140&lt;=0.01,0,MAX(Assumptions!$B$5-E140,0))</f>
        <v>0</v>
      </c>
      <c r="J140" s="16" t="str">
        <f aca="false">IF(H140&lt;=0.01,"Paid",IF(I140&lt;=30,"0-30",IF(I140&lt;=60,"31-60",IF(I140&lt;=90,"61-90","90+"))))</f>
        <v>Paid</v>
      </c>
      <c r="K140" s="16" t="str">
        <f aca="false">IF(H140&lt;=0.01,"Paid",IF(G140&gt;0,"Partially Paid","Unpaid"))</f>
        <v>Paid</v>
      </c>
    </row>
    <row r="141" customFormat="false" ht="15" hidden="false" customHeight="false" outlineLevel="0" collapsed="false">
      <c r="A141" s="16" t="str">
        <f aca="false">Customer_Invoices_AR!A138</f>
        <v>ARI60137</v>
      </c>
      <c r="B141" s="16" t="str">
        <f aca="false">Customer_Invoices_AR!B138</f>
        <v>C2008</v>
      </c>
      <c r="C141" s="16" t="str">
        <f aca="false">IFERROR(INDEX(Customer_Master!$B$2:$B$31,MATCH(B141,Customer_Master!$A$2:$A$31,0)),"Unknown Customer")</f>
        <v>Lee-Davis</v>
      </c>
      <c r="D141" s="17" t="n">
        <f aca="false">Customer_Invoices_AR!C138</f>
        <v>45794</v>
      </c>
      <c r="E141" s="17" t="n">
        <f aca="false">Customer_Invoices_AR!E138</f>
        <v>45854</v>
      </c>
      <c r="F141" s="18" t="n">
        <f aca="false">Customer_Invoices_AR!D138</f>
        <v>880.8</v>
      </c>
      <c r="G141" s="18" t="n">
        <f aca="false">SUMIFS(Cash_Receipts_AR!$E$2:$E$503,Cash_Receipts_AR!$B$2:$B$503,A141)</f>
        <v>880.8</v>
      </c>
      <c r="H141" s="18" t="n">
        <f aca="false">F141-G141</f>
        <v>0</v>
      </c>
      <c r="I141" s="16" t="n">
        <f aca="false">IF(H141&lt;=0.01,0,MAX(Assumptions!$B$5-E141,0))</f>
        <v>0</v>
      </c>
      <c r="J141" s="16" t="str">
        <f aca="false">IF(H141&lt;=0.01,"Paid",IF(I141&lt;=30,"0-30",IF(I141&lt;=60,"31-60",IF(I141&lt;=90,"61-90","90+"))))</f>
        <v>Paid</v>
      </c>
      <c r="K141" s="16" t="str">
        <f aca="false">IF(H141&lt;=0.01,"Paid",IF(G141&gt;0,"Partially Paid","Unpaid"))</f>
        <v>Paid</v>
      </c>
    </row>
    <row r="142" customFormat="false" ht="15" hidden="false" customHeight="false" outlineLevel="0" collapsed="false">
      <c r="A142" s="16" t="str">
        <f aca="false">Customer_Invoices_AR!A139</f>
        <v>ARI60138</v>
      </c>
      <c r="B142" s="16" t="str">
        <f aca="false">Customer_Invoices_AR!B139</f>
        <v>C2002</v>
      </c>
      <c r="C142" s="16" t="str">
        <f aca="false">IFERROR(INDEX(Customer_Master!$B$2:$B$31,MATCH(B142,Customer_Master!$A$2:$A$31,0)),"Unknown Customer")</f>
        <v>Smith-Spencer</v>
      </c>
      <c r="D142" s="17" t="n">
        <f aca="false">Customer_Invoices_AR!C139</f>
        <v>46007</v>
      </c>
      <c r="E142" s="17" t="n">
        <f aca="false">Customer_Invoices_AR!E139</f>
        <v>46022</v>
      </c>
      <c r="F142" s="18" t="n">
        <f aca="false">Customer_Invoices_AR!D139</f>
        <v>2834.41</v>
      </c>
      <c r="G142" s="18" t="n">
        <f aca="false">SUMIFS(Cash_Receipts_AR!$E$2:$E$503,Cash_Receipts_AR!$B$2:$B$503,A142)</f>
        <v>2834.41</v>
      </c>
      <c r="H142" s="18" t="n">
        <f aca="false">F142-G142</f>
        <v>0</v>
      </c>
      <c r="I142" s="16" t="n">
        <f aca="false">IF(H142&lt;=0.01,0,MAX(Assumptions!$B$5-E142,0))</f>
        <v>0</v>
      </c>
      <c r="J142" s="16" t="str">
        <f aca="false">IF(H142&lt;=0.01,"Paid",IF(I142&lt;=30,"0-30",IF(I142&lt;=60,"31-60",IF(I142&lt;=90,"61-90","90+"))))</f>
        <v>Paid</v>
      </c>
      <c r="K142" s="16" t="str">
        <f aca="false">IF(H142&lt;=0.01,"Paid",IF(G142&gt;0,"Partially Paid","Unpaid"))</f>
        <v>Paid</v>
      </c>
    </row>
    <row r="143" customFormat="false" ht="15" hidden="false" customHeight="false" outlineLevel="0" collapsed="false">
      <c r="A143" s="16" t="str">
        <f aca="false">Customer_Invoices_AR!A140</f>
        <v>ARI60139</v>
      </c>
      <c r="B143" s="16" t="str">
        <f aca="false">Customer_Invoices_AR!B140</f>
        <v>C2024</v>
      </c>
      <c r="C143" s="16" t="str">
        <f aca="false">IFERROR(INDEX(Customer_Master!$B$2:$B$31,MATCH(B143,Customer_Master!$A$2:$A$31,0)),"Unknown Customer")</f>
        <v>Novak PLC</v>
      </c>
      <c r="D143" s="17" t="n">
        <f aca="false">Customer_Invoices_AR!C140</f>
        <v>46134</v>
      </c>
      <c r="E143" s="17" t="n">
        <f aca="false">Customer_Invoices_AR!E140</f>
        <v>46194</v>
      </c>
      <c r="F143" s="18" t="n">
        <f aca="false">Customer_Invoices_AR!D140</f>
        <v>3358.61</v>
      </c>
      <c r="G143" s="18" t="n">
        <f aca="false">SUMIFS(Cash_Receipts_AR!$E$2:$E$503,Cash_Receipts_AR!$B$2:$B$503,A143)</f>
        <v>0</v>
      </c>
      <c r="H143" s="18" t="n">
        <f aca="false">F143-G143</f>
        <v>3358.61</v>
      </c>
      <c r="I143" s="16" t="n">
        <f aca="false">IF(H143&lt;=0.01,0,MAX(Assumptions!$B$5-E143,0))</f>
        <v>40</v>
      </c>
      <c r="J143" s="16" t="str">
        <f aca="false">IF(H143&lt;=0.01,"Paid",IF(I143&lt;=30,"0-30",IF(I143&lt;=60,"31-60",IF(I143&lt;=90,"61-90","90+"))))</f>
        <v>31-60</v>
      </c>
      <c r="K143" s="16" t="str">
        <f aca="false">IF(H143&lt;=0.01,"Paid",IF(G143&gt;0,"Partially Paid","Unpaid"))</f>
        <v>Unpaid</v>
      </c>
    </row>
    <row r="144" customFormat="false" ht="15" hidden="false" customHeight="false" outlineLevel="0" collapsed="false">
      <c r="A144" s="16" t="str">
        <f aca="false">Customer_Invoices_AR!A141</f>
        <v>ARI60140</v>
      </c>
      <c r="B144" s="16" t="str">
        <f aca="false">Customer_Invoices_AR!B141</f>
        <v>C2021</v>
      </c>
      <c r="C144" s="16" t="str">
        <f aca="false">IFERROR(INDEX(Customer_Master!$B$2:$B$31,MATCH(B144,Customer_Master!$A$2:$A$31,0)),"Unknown Customer")</f>
        <v>House-Glover</v>
      </c>
      <c r="D144" s="17" t="n">
        <f aca="false">Customer_Invoices_AR!C141</f>
        <v>45960</v>
      </c>
      <c r="E144" s="17" t="n">
        <f aca="false">Customer_Invoices_AR!E141</f>
        <v>46020</v>
      </c>
      <c r="F144" s="18" t="n">
        <f aca="false">Customer_Invoices_AR!D141</f>
        <v>2962.83</v>
      </c>
      <c r="G144" s="18" t="n">
        <f aca="false">SUMIFS(Cash_Receipts_AR!$E$2:$E$503,Cash_Receipts_AR!$B$2:$B$503,A144)</f>
        <v>2962.83</v>
      </c>
      <c r="H144" s="18" t="n">
        <f aca="false">F144-G144</f>
        <v>0</v>
      </c>
      <c r="I144" s="16" t="n">
        <f aca="false">IF(H144&lt;=0.01,0,MAX(Assumptions!$B$5-E144,0))</f>
        <v>0</v>
      </c>
      <c r="J144" s="16" t="str">
        <f aca="false">IF(H144&lt;=0.01,"Paid",IF(I144&lt;=30,"0-30",IF(I144&lt;=60,"31-60",IF(I144&lt;=90,"61-90","90+"))))</f>
        <v>Paid</v>
      </c>
      <c r="K144" s="16" t="str">
        <f aca="false">IF(H144&lt;=0.01,"Paid",IF(G144&gt;0,"Partially Paid","Unpaid"))</f>
        <v>Paid</v>
      </c>
    </row>
    <row r="145" customFormat="false" ht="15" hidden="false" customHeight="false" outlineLevel="0" collapsed="false">
      <c r="A145" s="16" t="str">
        <f aca="false">Customer_Invoices_AR!A142</f>
        <v>ARI60141</v>
      </c>
      <c r="B145" s="16" t="str">
        <f aca="false">Customer_Invoices_AR!B142</f>
        <v>C2015</v>
      </c>
      <c r="C145" s="16" t="str">
        <f aca="false">IFERROR(INDEX(Customer_Master!$B$2:$B$31,MATCH(B145,Customer_Master!$A$2:$A$31,0)),"Unknown Customer")</f>
        <v>Morton-Chase</v>
      </c>
      <c r="D145" s="17" t="n">
        <f aca="false">Customer_Invoices_AR!C142</f>
        <v>45713</v>
      </c>
      <c r="E145" s="17" t="n">
        <f aca="false">Customer_Invoices_AR!E142</f>
        <v>45728</v>
      </c>
      <c r="F145" s="18" t="n">
        <f aca="false">Customer_Invoices_AR!D142</f>
        <v>1642.39</v>
      </c>
      <c r="G145" s="18" t="n">
        <f aca="false">SUMIFS(Cash_Receipts_AR!$E$2:$E$503,Cash_Receipts_AR!$B$2:$B$503,A145)</f>
        <v>1642.39</v>
      </c>
      <c r="H145" s="18" t="n">
        <f aca="false">F145-G145</f>
        <v>0</v>
      </c>
      <c r="I145" s="16" t="n">
        <f aca="false">IF(H145&lt;=0.01,0,MAX(Assumptions!$B$5-E145,0))</f>
        <v>0</v>
      </c>
      <c r="J145" s="16" t="str">
        <f aca="false">IF(H145&lt;=0.01,"Paid",IF(I145&lt;=30,"0-30",IF(I145&lt;=60,"31-60",IF(I145&lt;=90,"61-90","90+"))))</f>
        <v>Paid</v>
      </c>
      <c r="K145" s="16" t="str">
        <f aca="false">IF(H145&lt;=0.01,"Paid",IF(G145&gt;0,"Partially Paid","Unpaid"))</f>
        <v>Paid</v>
      </c>
    </row>
    <row r="146" customFormat="false" ht="15" hidden="false" customHeight="false" outlineLevel="0" collapsed="false">
      <c r="A146" s="16" t="str">
        <f aca="false">Customer_Invoices_AR!A143</f>
        <v>ARI60142</v>
      </c>
      <c r="B146" s="16" t="str">
        <f aca="false">Customer_Invoices_AR!B143</f>
        <v>C2022</v>
      </c>
      <c r="C146" s="16" t="str">
        <f aca="false">IFERROR(INDEX(Customer_Master!$B$2:$B$31,MATCH(B146,Customer_Master!$A$2:$A$31,0)),"Unknown Customer")</f>
        <v>Henderson-Bernard</v>
      </c>
      <c r="D146" s="17" t="n">
        <f aca="false">Customer_Invoices_AR!C143</f>
        <v>46119</v>
      </c>
      <c r="E146" s="17" t="n">
        <f aca="false">Customer_Invoices_AR!E143</f>
        <v>46149</v>
      </c>
      <c r="F146" s="18" t="n">
        <f aca="false">Customer_Invoices_AR!D143</f>
        <v>1076.31</v>
      </c>
      <c r="G146" s="18" t="n">
        <f aca="false">SUMIFS(Cash_Receipts_AR!$E$2:$E$503,Cash_Receipts_AR!$B$2:$B$503,A146)</f>
        <v>1076.31</v>
      </c>
      <c r="H146" s="18" t="n">
        <f aca="false">F146-G146</f>
        <v>0</v>
      </c>
      <c r="I146" s="16" t="n">
        <f aca="false">IF(H146&lt;=0.01,0,MAX(Assumptions!$B$5-E146,0))</f>
        <v>0</v>
      </c>
      <c r="J146" s="16" t="str">
        <f aca="false">IF(H146&lt;=0.01,"Paid",IF(I146&lt;=30,"0-30",IF(I146&lt;=60,"31-60",IF(I146&lt;=90,"61-90","90+"))))</f>
        <v>Paid</v>
      </c>
      <c r="K146" s="16" t="str">
        <f aca="false">IF(H146&lt;=0.01,"Paid",IF(G146&gt;0,"Partially Paid","Unpaid"))</f>
        <v>Paid</v>
      </c>
    </row>
    <row r="147" customFormat="false" ht="15" hidden="false" customHeight="false" outlineLevel="0" collapsed="false">
      <c r="A147" s="16" t="str">
        <f aca="false">Customer_Invoices_AR!A144</f>
        <v>ARI60143</v>
      </c>
      <c r="B147" s="16" t="str">
        <f aca="false">Customer_Invoices_AR!B144</f>
        <v>C2008</v>
      </c>
      <c r="C147" s="16" t="str">
        <f aca="false">IFERROR(INDEX(Customer_Master!$B$2:$B$31,MATCH(B147,Customer_Master!$A$2:$A$31,0)),"Unknown Customer")</f>
        <v>Lee-Davis</v>
      </c>
      <c r="D147" s="17" t="n">
        <f aca="false">Customer_Invoices_AR!C144</f>
        <v>46121</v>
      </c>
      <c r="E147" s="17" t="n">
        <f aca="false">Customer_Invoices_AR!E144</f>
        <v>46181</v>
      </c>
      <c r="F147" s="18" t="n">
        <f aca="false">Customer_Invoices_AR!D144</f>
        <v>1464.84</v>
      </c>
      <c r="G147" s="18" t="n">
        <f aca="false">SUMIFS(Cash_Receipts_AR!$E$2:$E$503,Cash_Receipts_AR!$B$2:$B$503,A147)</f>
        <v>764.94</v>
      </c>
      <c r="H147" s="18" t="n">
        <f aca="false">F147-G147</f>
        <v>699.9</v>
      </c>
      <c r="I147" s="16" t="n">
        <f aca="false">IF(H147&lt;=0.01,0,MAX(Assumptions!$B$5-E147,0))</f>
        <v>53</v>
      </c>
      <c r="J147" s="16" t="str">
        <f aca="false">IF(H147&lt;=0.01,"Paid",IF(I147&lt;=30,"0-30",IF(I147&lt;=60,"31-60",IF(I147&lt;=90,"61-90","90+"))))</f>
        <v>31-60</v>
      </c>
      <c r="K147" s="16" t="str">
        <f aca="false">IF(H147&lt;=0.01,"Paid",IF(G147&gt;0,"Partially Paid","Unpaid"))</f>
        <v>Partially Paid</v>
      </c>
    </row>
    <row r="148" customFormat="false" ht="15" hidden="false" customHeight="false" outlineLevel="0" collapsed="false">
      <c r="A148" s="16" t="str">
        <f aca="false">Customer_Invoices_AR!A145</f>
        <v>ARI60144</v>
      </c>
      <c r="B148" s="16" t="str">
        <f aca="false">Customer_Invoices_AR!B145</f>
        <v>C2019</v>
      </c>
      <c r="C148" s="16" t="str">
        <f aca="false">IFERROR(INDEX(Customer_Master!$B$2:$B$31,MATCH(B148,Customer_Master!$A$2:$A$31,0)),"Unknown Customer")</f>
        <v>Hancock Inc</v>
      </c>
      <c r="D148" s="17" t="n">
        <f aca="false">Customer_Invoices_AR!C145</f>
        <v>45813</v>
      </c>
      <c r="E148" s="17" t="n">
        <f aca="false">Customer_Invoices_AR!E145</f>
        <v>45828</v>
      </c>
      <c r="F148" s="18" t="n">
        <f aca="false">Customer_Invoices_AR!D145</f>
        <v>9454.9</v>
      </c>
      <c r="G148" s="18" t="n">
        <f aca="false">SUMIFS(Cash_Receipts_AR!$E$2:$E$503,Cash_Receipts_AR!$B$2:$B$503,A148)</f>
        <v>9454.9</v>
      </c>
      <c r="H148" s="18" t="n">
        <f aca="false">F148-G148</f>
        <v>0</v>
      </c>
      <c r="I148" s="16" t="n">
        <f aca="false">IF(H148&lt;=0.01,0,MAX(Assumptions!$B$5-E148,0))</f>
        <v>0</v>
      </c>
      <c r="J148" s="16" t="str">
        <f aca="false">IF(H148&lt;=0.01,"Paid",IF(I148&lt;=30,"0-30",IF(I148&lt;=60,"31-60",IF(I148&lt;=90,"61-90","90+"))))</f>
        <v>Paid</v>
      </c>
      <c r="K148" s="16" t="str">
        <f aca="false">IF(H148&lt;=0.01,"Paid",IF(G148&gt;0,"Partially Paid","Unpaid"))</f>
        <v>Paid</v>
      </c>
    </row>
    <row r="149" customFormat="false" ht="15" hidden="false" customHeight="false" outlineLevel="0" collapsed="false">
      <c r="A149" s="16" t="str">
        <f aca="false">Customer_Invoices_AR!A146</f>
        <v>ARI60145</v>
      </c>
      <c r="B149" s="16" t="str">
        <f aca="false">Customer_Invoices_AR!B146</f>
        <v>C2007</v>
      </c>
      <c r="C149" s="16" t="str">
        <f aca="false">IFERROR(INDEX(Customer_Master!$B$2:$B$31,MATCH(B149,Customer_Master!$A$2:$A$31,0)),"Unknown Customer")</f>
        <v>Johnston, Sanchez and Kennedy</v>
      </c>
      <c r="D149" s="17" t="n">
        <f aca="false">Customer_Invoices_AR!C146</f>
        <v>46073</v>
      </c>
      <c r="E149" s="17" t="n">
        <f aca="false">Customer_Invoices_AR!E146</f>
        <v>46103</v>
      </c>
      <c r="F149" s="18" t="n">
        <f aca="false">Customer_Invoices_AR!D146</f>
        <v>2303.51</v>
      </c>
      <c r="G149" s="18" t="n">
        <f aca="false">SUMIFS(Cash_Receipts_AR!$E$2:$E$503,Cash_Receipts_AR!$B$2:$B$503,A149)</f>
        <v>2303.51</v>
      </c>
      <c r="H149" s="18" t="n">
        <f aca="false">F149-G149</f>
        <v>0</v>
      </c>
      <c r="I149" s="16" t="n">
        <f aca="false">IF(H149&lt;=0.01,0,MAX(Assumptions!$B$5-E149,0))</f>
        <v>0</v>
      </c>
      <c r="J149" s="16" t="str">
        <f aca="false">IF(H149&lt;=0.01,"Paid",IF(I149&lt;=30,"0-30",IF(I149&lt;=60,"31-60",IF(I149&lt;=90,"61-90","90+"))))</f>
        <v>Paid</v>
      </c>
      <c r="K149" s="16" t="str">
        <f aca="false">IF(H149&lt;=0.01,"Paid",IF(G149&gt;0,"Partially Paid","Unpaid"))</f>
        <v>Paid</v>
      </c>
    </row>
    <row r="150" customFormat="false" ht="15" hidden="false" customHeight="false" outlineLevel="0" collapsed="false">
      <c r="A150" s="16" t="str">
        <f aca="false">Customer_Invoices_AR!A147</f>
        <v>ARI60146</v>
      </c>
      <c r="B150" s="16" t="str">
        <f aca="false">Customer_Invoices_AR!B147</f>
        <v>C2016</v>
      </c>
      <c r="C150" s="16" t="str">
        <f aca="false">IFERROR(INDEX(Customer_Master!$B$2:$B$31,MATCH(B150,Customer_Master!$A$2:$A$31,0)),"Unknown Customer")</f>
        <v>Williams PLC</v>
      </c>
      <c r="D150" s="17" t="n">
        <f aca="false">Customer_Invoices_AR!C147</f>
        <v>45806</v>
      </c>
      <c r="E150" s="17" t="n">
        <f aca="false">Customer_Invoices_AR!E147</f>
        <v>45836</v>
      </c>
      <c r="F150" s="18" t="n">
        <f aca="false">Customer_Invoices_AR!D147</f>
        <v>10490.23</v>
      </c>
      <c r="G150" s="18" t="n">
        <f aca="false">SUMIFS(Cash_Receipts_AR!$E$2:$E$503,Cash_Receipts_AR!$B$2:$B$503,A150)</f>
        <v>0</v>
      </c>
      <c r="H150" s="18" t="n">
        <f aca="false">F150-G150</f>
        <v>10490.23</v>
      </c>
      <c r="I150" s="16" t="n">
        <f aca="false">IF(H150&lt;=0.01,0,MAX(Assumptions!$B$5-E150,0))</f>
        <v>398</v>
      </c>
      <c r="J150" s="16" t="str">
        <f aca="false">IF(H150&lt;=0.01,"Paid",IF(I150&lt;=30,"0-30",IF(I150&lt;=60,"31-60",IF(I150&lt;=90,"61-90","90+"))))</f>
        <v>90+</v>
      </c>
      <c r="K150" s="16" t="str">
        <f aca="false">IF(H150&lt;=0.01,"Paid",IF(G150&gt;0,"Partially Paid","Unpaid"))</f>
        <v>Unpaid</v>
      </c>
    </row>
    <row r="151" customFormat="false" ht="15" hidden="false" customHeight="false" outlineLevel="0" collapsed="false">
      <c r="A151" s="16" t="str">
        <f aca="false">Customer_Invoices_AR!A148</f>
        <v>ARI60147</v>
      </c>
      <c r="B151" s="16" t="str">
        <f aca="false">Customer_Invoices_AR!B148</f>
        <v>C2023</v>
      </c>
      <c r="C151" s="16" t="str">
        <f aca="false">IFERROR(INDEX(Customer_Master!$B$2:$B$31,MATCH(B151,Customer_Master!$A$2:$A$31,0)),"Unknown Customer")</f>
        <v>Stanley, Tucker and Lee</v>
      </c>
      <c r="D151" s="17" t="n">
        <f aca="false">Customer_Invoices_AR!C148</f>
        <v>46151</v>
      </c>
      <c r="E151" s="17" t="n">
        <f aca="false">Customer_Invoices_AR!E148</f>
        <v>46211</v>
      </c>
      <c r="F151" s="18" t="n">
        <f aca="false">Customer_Invoices_AR!D148</f>
        <v>6140.98</v>
      </c>
      <c r="G151" s="18" t="n">
        <f aca="false">SUMIFS(Cash_Receipts_AR!$E$2:$E$503,Cash_Receipts_AR!$B$2:$B$503,A151)</f>
        <v>4815.88</v>
      </c>
      <c r="H151" s="18" t="n">
        <f aca="false">F151-G151</f>
        <v>1325.1</v>
      </c>
      <c r="I151" s="16" t="n">
        <f aca="false">IF(H151&lt;=0.01,0,MAX(Assumptions!$B$5-E151,0))</f>
        <v>23</v>
      </c>
      <c r="J151" s="16" t="str">
        <f aca="false">IF(H151&lt;=0.01,"Paid",IF(I151&lt;=30,"0-30",IF(I151&lt;=60,"31-60",IF(I151&lt;=90,"61-90","90+"))))</f>
        <v>0-30</v>
      </c>
      <c r="K151" s="16" t="str">
        <f aca="false">IF(H151&lt;=0.01,"Paid",IF(G151&gt;0,"Partially Paid","Unpaid"))</f>
        <v>Partially Paid</v>
      </c>
    </row>
    <row r="152" customFormat="false" ht="15" hidden="false" customHeight="false" outlineLevel="0" collapsed="false">
      <c r="A152" s="16" t="str">
        <f aca="false">Customer_Invoices_AR!A149</f>
        <v>ARI60148</v>
      </c>
      <c r="B152" s="16" t="str">
        <f aca="false">Customer_Invoices_AR!B149</f>
        <v>C2013</v>
      </c>
      <c r="C152" s="16" t="str">
        <f aca="false">IFERROR(INDEX(Customer_Master!$B$2:$B$31,MATCH(B152,Customer_Master!$A$2:$A$31,0)),"Unknown Customer")</f>
        <v>West, Henderson and Ramirez</v>
      </c>
      <c r="D152" s="17" t="n">
        <f aca="false">Customer_Invoices_AR!C149</f>
        <v>45738</v>
      </c>
      <c r="E152" s="17" t="n">
        <f aca="false">Customer_Invoices_AR!E149</f>
        <v>45798</v>
      </c>
      <c r="F152" s="18" t="n">
        <f aca="false">Customer_Invoices_AR!D149</f>
        <v>3313.51</v>
      </c>
      <c r="G152" s="18" t="n">
        <f aca="false">SUMIFS(Cash_Receipts_AR!$E$2:$E$503,Cash_Receipts_AR!$B$2:$B$503,A152)</f>
        <v>2199.11</v>
      </c>
      <c r="H152" s="18" t="n">
        <f aca="false">F152-G152</f>
        <v>1114.4</v>
      </c>
      <c r="I152" s="16" t="n">
        <f aca="false">IF(H152&lt;=0.01,0,MAX(Assumptions!$B$5-E152,0))</f>
        <v>436</v>
      </c>
      <c r="J152" s="16" t="str">
        <f aca="false">IF(H152&lt;=0.01,"Paid",IF(I152&lt;=30,"0-30",IF(I152&lt;=60,"31-60",IF(I152&lt;=90,"61-90","90+"))))</f>
        <v>90+</v>
      </c>
      <c r="K152" s="16" t="str">
        <f aca="false">IF(H152&lt;=0.01,"Paid",IF(G152&gt;0,"Partially Paid","Unpaid"))</f>
        <v>Partially Paid</v>
      </c>
    </row>
    <row r="153" customFormat="false" ht="15" hidden="false" customHeight="false" outlineLevel="0" collapsed="false">
      <c r="A153" s="16" t="str">
        <f aca="false">Customer_Invoices_AR!A150</f>
        <v>ARI60149</v>
      </c>
      <c r="B153" s="16" t="str">
        <f aca="false">Customer_Invoices_AR!B150</f>
        <v>C2014</v>
      </c>
      <c r="C153" s="16" t="str">
        <f aca="false">IFERROR(INDEX(Customer_Master!$B$2:$B$31,MATCH(B153,Customer_Master!$A$2:$A$31,0)),"Unknown Customer")</f>
        <v>Baxter Inc</v>
      </c>
      <c r="D153" s="17" t="n">
        <f aca="false">Customer_Invoices_AR!C150</f>
        <v>45896</v>
      </c>
      <c r="E153" s="17" t="n">
        <f aca="false">Customer_Invoices_AR!E150</f>
        <v>45926</v>
      </c>
      <c r="F153" s="18" t="n">
        <f aca="false">Customer_Invoices_AR!D150</f>
        <v>691.61</v>
      </c>
      <c r="G153" s="18" t="n">
        <f aca="false">SUMIFS(Cash_Receipts_AR!$E$2:$E$503,Cash_Receipts_AR!$B$2:$B$503,A153)</f>
        <v>691.61</v>
      </c>
      <c r="H153" s="18" t="n">
        <f aca="false">F153-G153</f>
        <v>0</v>
      </c>
      <c r="I153" s="16" t="n">
        <f aca="false">IF(H153&lt;=0.01,0,MAX(Assumptions!$B$5-E153,0))</f>
        <v>0</v>
      </c>
      <c r="J153" s="16" t="str">
        <f aca="false">IF(H153&lt;=0.01,"Paid",IF(I153&lt;=30,"0-30",IF(I153&lt;=60,"31-60",IF(I153&lt;=90,"61-90","90+"))))</f>
        <v>Paid</v>
      </c>
      <c r="K153" s="16" t="str">
        <f aca="false">IF(H153&lt;=0.01,"Paid",IF(G153&gt;0,"Partially Paid","Unpaid"))</f>
        <v>Paid</v>
      </c>
    </row>
    <row r="154" customFormat="false" ht="15" hidden="false" customHeight="false" outlineLevel="0" collapsed="false">
      <c r="A154" s="16" t="str">
        <f aca="false">Customer_Invoices_AR!A151</f>
        <v>ARI60150</v>
      </c>
      <c r="B154" s="16" t="str">
        <f aca="false">Customer_Invoices_AR!B151</f>
        <v>C2029</v>
      </c>
      <c r="C154" s="16" t="str">
        <f aca="false">IFERROR(INDEX(Customer_Master!$B$2:$B$31,MATCH(B154,Customer_Master!$A$2:$A$31,0)),"Unknown Customer")</f>
        <v>Hensley, Powell and David</v>
      </c>
      <c r="D154" s="17" t="n">
        <f aca="false">Customer_Invoices_AR!C151</f>
        <v>46173</v>
      </c>
      <c r="E154" s="17" t="n">
        <f aca="false">Customer_Invoices_AR!E151</f>
        <v>46233</v>
      </c>
      <c r="F154" s="18" t="n">
        <f aca="false">Customer_Invoices_AR!D151</f>
        <v>3158.11</v>
      </c>
      <c r="G154" s="18" t="n">
        <f aca="false">SUMIFS(Cash_Receipts_AR!$E$2:$E$503,Cash_Receipts_AR!$B$2:$B$503,A154)</f>
        <v>3158.11</v>
      </c>
      <c r="H154" s="18" t="n">
        <f aca="false">F154-G154</f>
        <v>0</v>
      </c>
      <c r="I154" s="16" t="n">
        <f aca="false">IF(H154&lt;=0.01,0,MAX(Assumptions!$B$5-E154,0))</f>
        <v>0</v>
      </c>
      <c r="J154" s="16" t="str">
        <f aca="false">IF(H154&lt;=0.01,"Paid",IF(I154&lt;=30,"0-30",IF(I154&lt;=60,"31-60",IF(I154&lt;=90,"61-90","90+"))))</f>
        <v>Paid</v>
      </c>
      <c r="K154" s="16" t="str">
        <f aca="false">IF(H154&lt;=0.01,"Paid",IF(G154&gt;0,"Partially Paid","Unpaid"))</f>
        <v>Paid</v>
      </c>
    </row>
    <row r="155" customFormat="false" ht="15" hidden="false" customHeight="false" outlineLevel="0" collapsed="false">
      <c r="A155" s="16" t="str">
        <f aca="false">Customer_Invoices_AR!A152</f>
        <v>ARI60151</v>
      </c>
      <c r="B155" s="16" t="str">
        <f aca="false">Customer_Invoices_AR!B152</f>
        <v>C2030</v>
      </c>
      <c r="C155" s="16" t="str">
        <f aca="false">IFERROR(INDEX(Customer_Master!$B$2:$B$31,MATCH(B155,Customer_Master!$A$2:$A$31,0)),"Unknown Customer")</f>
        <v>Sanchez, Wheeler and Harvey</v>
      </c>
      <c r="D155" s="17" t="n">
        <f aca="false">Customer_Invoices_AR!C152</f>
        <v>45779</v>
      </c>
      <c r="E155" s="17" t="n">
        <f aca="false">Customer_Invoices_AR!E152</f>
        <v>45794</v>
      </c>
      <c r="F155" s="18" t="n">
        <f aca="false">Customer_Invoices_AR!D152</f>
        <v>5637.18</v>
      </c>
      <c r="G155" s="18" t="n">
        <f aca="false">SUMIFS(Cash_Receipts_AR!$E$2:$E$503,Cash_Receipts_AR!$B$2:$B$503,A155)</f>
        <v>5637.18</v>
      </c>
      <c r="H155" s="18" t="n">
        <f aca="false">F155-G155</f>
        <v>0</v>
      </c>
      <c r="I155" s="16" t="n">
        <f aca="false">IF(H155&lt;=0.01,0,MAX(Assumptions!$B$5-E155,0))</f>
        <v>0</v>
      </c>
      <c r="J155" s="16" t="str">
        <f aca="false">IF(H155&lt;=0.01,"Paid",IF(I155&lt;=30,"0-30",IF(I155&lt;=60,"31-60",IF(I155&lt;=90,"61-90","90+"))))</f>
        <v>Paid</v>
      </c>
      <c r="K155" s="16" t="str">
        <f aca="false">IF(H155&lt;=0.01,"Paid",IF(G155&gt;0,"Partially Paid","Unpaid"))</f>
        <v>Paid</v>
      </c>
    </row>
    <row r="156" customFormat="false" ht="15" hidden="false" customHeight="false" outlineLevel="0" collapsed="false">
      <c r="A156" s="16" t="str">
        <f aca="false">Customer_Invoices_AR!A153</f>
        <v>ARI60152</v>
      </c>
      <c r="B156" s="16" t="str">
        <f aca="false">Customer_Invoices_AR!B153</f>
        <v>C2014</v>
      </c>
      <c r="C156" s="16" t="str">
        <f aca="false">IFERROR(INDEX(Customer_Master!$B$2:$B$31,MATCH(B156,Customer_Master!$A$2:$A$31,0)),"Unknown Customer")</f>
        <v>Baxter Inc</v>
      </c>
      <c r="D156" s="17" t="n">
        <f aca="false">Customer_Invoices_AR!C153</f>
        <v>45903</v>
      </c>
      <c r="E156" s="17" t="n">
        <f aca="false">Customer_Invoices_AR!E153</f>
        <v>45933</v>
      </c>
      <c r="F156" s="18" t="n">
        <f aca="false">Customer_Invoices_AR!D153</f>
        <v>12200.28</v>
      </c>
      <c r="G156" s="18" t="n">
        <f aca="false">SUMIFS(Cash_Receipts_AR!$E$2:$E$503,Cash_Receipts_AR!$B$2:$B$503,A156)</f>
        <v>12200.28</v>
      </c>
      <c r="H156" s="18" t="n">
        <f aca="false">F156-G156</f>
        <v>0</v>
      </c>
      <c r="I156" s="16" t="n">
        <f aca="false">IF(H156&lt;=0.01,0,MAX(Assumptions!$B$5-E156,0))</f>
        <v>0</v>
      </c>
      <c r="J156" s="16" t="str">
        <f aca="false">IF(H156&lt;=0.01,"Paid",IF(I156&lt;=30,"0-30",IF(I156&lt;=60,"31-60",IF(I156&lt;=90,"61-90","90+"))))</f>
        <v>Paid</v>
      </c>
      <c r="K156" s="16" t="str">
        <f aca="false">IF(H156&lt;=0.01,"Paid",IF(G156&gt;0,"Partially Paid","Unpaid"))</f>
        <v>Paid</v>
      </c>
    </row>
    <row r="157" customFormat="false" ht="15" hidden="false" customHeight="false" outlineLevel="0" collapsed="false">
      <c r="A157" s="16" t="str">
        <f aca="false">Customer_Invoices_AR!A154</f>
        <v>ARI60153</v>
      </c>
      <c r="B157" s="16" t="str">
        <f aca="false">Customer_Invoices_AR!B154</f>
        <v>C2014</v>
      </c>
      <c r="C157" s="16" t="str">
        <f aca="false">IFERROR(INDEX(Customer_Master!$B$2:$B$31,MATCH(B157,Customer_Master!$A$2:$A$31,0)),"Unknown Customer")</f>
        <v>Baxter Inc</v>
      </c>
      <c r="D157" s="17" t="n">
        <f aca="false">Customer_Invoices_AR!C154</f>
        <v>45848</v>
      </c>
      <c r="E157" s="17" t="n">
        <f aca="false">Customer_Invoices_AR!E154</f>
        <v>45878</v>
      </c>
      <c r="F157" s="18" t="n">
        <f aca="false">Customer_Invoices_AR!D154</f>
        <v>7567.96</v>
      </c>
      <c r="G157" s="18" t="n">
        <f aca="false">SUMIFS(Cash_Receipts_AR!$E$2:$E$503,Cash_Receipts_AR!$B$2:$B$503,A157)</f>
        <v>5646.73</v>
      </c>
      <c r="H157" s="18" t="n">
        <f aca="false">F157-G157</f>
        <v>1921.23</v>
      </c>
      <c r="I157" s="16" t="n">
        <f aca="false">IF(H157&lt;=0.01,0,MAX(Assumptions!$B$5-E157,0))</f>
        <v>356</v>
      </c>
      <c r="J157" s="16" t="str">
        <f aca="false">IF(H157&lt;=0.01,"Paid",IF(I157&lt;=30,"0-30",IF(I157&lt;=60,"31-60",IF(I157&lt;=90,"61-90","90+"))))</f>
        <v>90+</v>
      </c>
      <c r="K157" s="16" t="str">
        <f aca="false">IF(H157&lt;=0.01,"Paid",IF(G157&gt;0,"Partially Paid","Unpaid"))</f>
        <v>Partially Paid</v>
      </c>
    </row>
    <row r="158" customFormat="false" ht="15" hidden="false" customHeight="false" outlineLevel="0" collapsed="false">
      <c r="A158" s="16" t="str">
        <f aca="false">Customer_Invoices_AR!A155</f>
        <v>ARI60154</v>
      </c>
      <c r="B158" s="16" t="str">
        <f aca="false">Customer_Invoices_AR!B155</f>
        <v>C2020</v>
      </c>
      <c r="C158" s="16" t="str">
        <f aca="false">IFERROR(INDEX(Customer_Master!$B$2:$B$31,MATCH(B158,Customer_Master!$A$2:$A$31,0)),"Unknown Customer")</f>
        <v>Gray Group</v>
      </c>
      <c r="D158" s="17" t="n">
        <f aca="false">Customer_Invoices_AR!C155</f>
        <v>45672</v>
      </c>
      <c r="E158" s="17" t="n">
        <f aca="false">Customer_Invoices_AR!E155</f>
        <v>45702</v>
      </c>
      <c r="F158" s="18" t="n">
        <f aca="false">Customer_Invoices_AR!D155</f>
        <v>549.85</v>
      </c>
      <c r="G158" s="18" t="n">
        <f aca="false">SUMIFS(Cash_Receipts_AR!$E$2:$E$503,Cash_Receipts_AR!$B$2:$B$503,A158)</f>
        <v>549.85</v>
      </c>
      <c r="H158" s="18" t="n">
        <f aca="false">F158-G158</f>
        <v>0</v>
      </c>
      <c r="I158" s="16" t="n">
        <f aca="false">IF(H158&lt;=0.01,0,MAX(Assumptions!$B$5-E158,0))</f>
        <v>0</v>
      </c>
      <c r="J158" s="16" t="str">
        <f aca="false">IF(H158&lt;=0.01,"Paid",IF(I158&lt;=30,"0-30",IF(I158&lt;=60,"31-60",IF(I158&lt;=90,"61-90","90+"))))</f>
        <v>Paid</v>
      </c>
      <c r="K158" s="16" t="str">
        <f aca="false">IF(H158&lt;=0.01,"Paid",IF(G158&gt;0,"Partially Paid","Unpaid"))</f>
        <v>Paid</v>
      </c>
    </row>
    <row r="159" customFormat="false" ht="15" hidden="false" customHeight="false" outlineLevel="0" collapsed="false">
      <c r="A159" s="16" t="str">
        <f aca="false">Customer_Invoices_AR!A156</f>
        <v>ARI60155</v>
      </c>
      <c r="B159" s="16" t="str">
        <f aca="false">Customer_Invoices_AR!B156</f>
        <v>C2006</v>
      </c>
      <c r="C159" s="16" t="str">
        <f aca="false">IFERROR(INDEX(Customer_Master!$B$2:$B$31,MATCH(B159,Customer_Master!$A$2:$A$31,0)),"Unknown Customer")</f>
        <v>Washington, Ryan and Cummings</v>
      </c>
      <c r="D159" s="17" t="n">
        <f aca="false">Customer_Invoices_AR!C156</f>
        <v>45687</v>
      </c>
      <c r="E159" s="17" t="n">
        <f aca="false">Customer_Invoices_AR!E156</f>
        <v>45702</v>
      </c>
      <c r="F159" s="18" t="n">
        <f aca="false">Customer_Invoices_AR!D156</f>
        <v>4482.25</v>
      </c>
      <c r="G159" s="18" t="n">
        <f aca="false">SUMIFS(Cash_Receipts_AR!$E$2:$E$503,Cash_Receipts_AR!$B$2:$B$503,A159)</f>
        <v>0</v>
      </c>
      <c r="H159" s="18" t="n">
        <f aca="false">F159-G159</f>
        <v>4482.25</v>
      </c>
      <c r="I159" s="16" t="n">
        <f aca="false">IF(H159&lt;=0.01,0,MAX(Assumptions!$B$5-E159,0))</f>
        <v>532</v>
      </c>
      <c r="J159" s="16" t="str">
        <f aca="false">IF(H159&lt;=0.01,"Paid",IF(I159&lt;=30,"0-30",IF(I159&lt;=60,"31-60",IF(I159&lt;=90,"61-90","90+"))))</f>
        <v>90+</v>
      </c>
      <c r="K159" s="16" t="str">
        <f aca="false">IF(H159&lt;=0.01,"Paid",IF(G159&gt;0,"Partially Paid","Unpaid"))</f>
        <v>Unpaid</v>
      </c>
    </row>
    <row r="160" customFormat="false" ht="15" hidden="false" customHeight="false" outlineLevel="0" collapsed="false">
      <c r="A160" s="16" t="str">
        <f aca="false">Customer_Invoices_AR!A157</f>
        <v>ARI60156</v>
      </c>
      <c r="B160" s="16" t="str">
        <f aca="false">Customer_Invoices_AR!B157</f>
        <v>C2025</v>
      </c>
      <c r="C160" s="16" t="str">
        <f aca="false">IFERROR(INDEX(Customer_Master!$B$2:$B$31,MATCH(B160,Customer_Master!$A$2:$A$31,0)),"Unknown Customer")</f>
        <v>Daniels, Adkins and Brown</v>
      </c>
      <c r="D160" s="17" t="n">
        <f aca="false">Customer_Invoices_AR!C157</f>
        <v>45931</v>
      </c>
      <c r="E160" s="17" t="n">
        <f aca="false">Customer_Invoices_AR!E157</f>
        <v>45946</v>
      </c>
      <c r="F160" s="18" t="n">
        <f aca="false">Customer_Invoices_AR!D157</f>
        <v>739.82</v>
      </c>
      <c r="G160" s="18" t="n">
        <f aca="false">SUMIFS(Cash_Receipts_AR!$E$2:$E$503,Cash_Receipts_AR!$B$2:$B$503,A160)</f>
        <v>292.38</v>
      </c>
      <c r="H160" s="18" t="n">
        <f aca="false">F160-G160</f>
        <v>447.44</v>
      </c>
      <c r="I160" s="16" t="n">
        <f aca="false">IF(H160&lt;=0.01,0,MAX(Assumptions!$B$5-E160,0))</f>
        <v>288</v>
      </c>
      <c r="J160" s="16" t="str">
        <f aca="false">IF(H160&lt;=0.01,"Paid",IF(I160&lt;=30,"0-30",IF(I160&lt;=60,"31-60",IF(I160&lt;=90,"61-90","90+"))))</f>
        <v>90+</v>
      </c>
      <c r="K160" s="16" t="str">
        <f aca="false">IF(H160&lt;=0.01,"Paid",IF(G160&gt;0,"Partially Paid","Unpaid"))</f>
        <v>Partially Paid</v>
      </c>
    </row>
    <row r="161" customFormat="false" ht="15" hidden="false" customHeight="false" outlineLevel="0" collapsed="false">
      <c r="A161" s="16" t="str">
        <f aca="false">Customer_Invoices_AR!A158</f>
        <v>ARI60157</v>
      </c>
      <c r="B161" s="16" t="str">
        <f aca="false">Customer_Invoices_AR!B158</f>
        <v>C2030</v>
      </c>
      <c r="C161" s="16" t="str">
        <f aca="false">IFERROR(INDEX(Customer_Master!$B$2:$B$31,MATCH(B161,Customer_Master!$A$2:$A$31,0)),"Unknown Customer")</f>
        <v>Sanchez, Wheeler and Harvey</v>
      </c>
      <c r="D161" s="17" t="n">
        <f aca="false">Customer_Invoices_AR!C158</f>
        <v>45786</v>
      </c>
      <c r="E161" s="17" t="n">
        <f aca="false">Customer_Invoices_AR!E158</f>
        <v>45801</v>
      </c>
      <c r="F161" s="18" t="n">
        <f aca="false">Customer_Invoices_AR!D158</f>
        <v>2784.82</v>
      </c>
      <c r="G161" s="18" t="n">
        <f aca="false">SUMIFS(Cash_Receipts_AR!$E$2:$E$503,Cash_Receipts_AR!$B$2:$B$503,A161)</f>
        <v>2784.82</v>
      </c>
      <c r="H161" s="18" t="n">
        <f aca="false">F161-G161</f>
        <v>0</v>
      </c>
      <c r="I161" s="16" t="n">
        <f aca="false">IF(H161&lt;=0.01,0,MAX(Assumptions!$B$5-E161,0))</f>
        <v>0</v>
      </c>
      <c r="J161" s="16" t="str">
        <f aca="false">IF(H161&lt;=0.01,"Paid",IF(I161&lt;=30,"0-30",IF(I161&lt;=60,"31-60",IF(I161&lt;=90,"61-90","90+"))))</f>
        <v>Paid</v>
      </c>
      <c r="K161" s="16" t="str">
        <f aca="false">IF(H161&lt;=0.01,"Paid",IF(G161&gt;0,"Partially Paid","Unpaid"))</f>
        <v>Paid</v>
      </c>
    </row>
    <row r="162" customFormat="false" ht="15" hidden="false" customHeight="false" outlineLevel="0" collapsed="false">
      <c r="A162" s="16" t="str">
        <f aca="false">Customer_Invoices_AR!A159</f>
        <v>ARI60158</v>
      </c>
      <c r="B162" s="16" t="str">
        <f aca="false">Customer_Invoices_AR!B159</f>
        <v>C2023</v>
      </c>
      <c r="C162" s="16" t="str">
        <f aca="false">IFERROR(INDEX(Customer_Master!$B$2:$B$31,MATCH(B162,Customer_Master!$A$2:$A$31,0)),"Unknown Customer")</f>
        <v>Stanley, Tucker and Lee</v>
      </c>
      <c r="D162" s="17" t="n">
        <f aca="false">Customer_Invoices_AR!C159</f>
        <v>46200</v>
      </c>
      <c r="E162" s="17" t="n">
        <f aca="false">Customer_Invoices_AR!E159</f>
        <v>46260</v>
      </c>
      <c r="F162" s="18" t="n">
        <f aca="false">Customer_Invoices_AR!D159</f>
        <v>446.4</v>
      </c>
      <c r="G162" s="18" t="n">
        <f aca="false">SUMIFS(Cash_Receipts_AR!$E$2:$E$503,Cash_Receipts_AR!$B$2:$B$503,A162)</f>
        <v>0</v>
      </c>
      <c r="H162" s="18" t="n">
        <f aca="false">F162-G162</f>
        <v>446.4</v>
      </c>
      <c r="I162" s="16" t="n">
        <f aca="false">IF(H162&lt;=0.01,0,MAX(Assumptions!$B$5-E162,0))</f>
        <v>0</v>
      </c>
      <c r="J162" s="16" t="str">
        <f aca="false">IF(H162&lt;=0.01,"Paid",IF(I162&lt;=30,"0-30",IF(I162&lt;=60,"31-60",IF(I162&lt;=90,"61-90","90+"))))</f>
        <v>0-30</v>
      </c>
      <c r="K162" s="16" t="str">
        <f aca="false">IF(H162&lt;=0.01,"Paid",IF(G162&gt;0,"Partially Paid","Unpaid"))</f>
        <v>Unpaid</v>
      </c>
    </row>
    <row r="163" customFormat="false" ht="15" hidden="false" customHeight="false" outlineLevel="0" collapsed="false">
      <c r="A163" s="16" t="str">
        <f aca="false">Customer_Invoices_AR!A160</f>
        <v>ARI60159</v>
      </c>
      <c r="B163" s="16" t="str">
        <f aca="false">Customer_Invoices_AR!B160</f>
        <v>C2017</v>
      </c>
      <c r="C163" s="16" t="str">
        <f aca="false">IFERROR(INDEX(Customer_Master!$B$2:$B$31,MATCH(B163,Customer_Master!$A$2:$A$31,0)),"Unknown Customer")</f>
        <v>Novak and Sons</v>
      </c>
      <c r="D163" s="17" t="n">
        <f aca="false">Customer_Invoices_AR!C160</f>
        <v>45862</v>
      </c>
      <c r="E163" s="17" t="n">
        <f aca="false">Customer_Invoices_AR!E160</f>
        <v>45877</v>
      </c>
      <c r="F163" s="18" t="n">
        <f aca="false">Customer_Invoices_AR!D160</f>
        <v>2740.17</v>
      </c>
      <c r="G163" s="18" t="n">
        <f aca="false">SUMIFS(Cash_Receipts_AR!$E$2:$E$503,Cash_Receipts_AR!$B$2:$B$503,A163)</f>
        <v>2740.17</v>
      </c>
      <c r="H163" s="18" t="n">
        <f aca="false">F163-G163</f>
        <v>0</v>
      </c>
      <c r="I163" s="16" t="n">
        <f aca="false">IF(H163&lt;=0.01,0,MAX(Assumptions!$B$5-E163,0))</f>
        <v>0</v>
      </c>
      <c r="J163" s="16" t="str">
        <f aca="false">IF(H163&lt;=0.01,"Paid",IF(I163&lt;=30,"0-30",IF(I163&lt;=60,"31-60",IF(I163&lt;=90,"61-90","90+"))))</f>
        <v>Paid</v>
      </c>
      <c r="K163" s="16" t="str">
        <f aca="false">IF(H163&lt;=0.01,"Paid",IF(G163&gt;0,"Partially Paid","Unpaid"))</f>
        <v>Paid</v>
      </c>
    </row>
    <row r="164" customFormat="false" ht="15" hidden="false" customHeight="false" outlineLevel="0" collapsed="false">
      <c r="A164" s="16" t="str">
        <f aca="false">Customer_Invoices_AR!A161</f>
        <v>ARI60160</v>
      </c>
      <c r="B164" s="16" t="str">
        <f aca="false">Customer_Invoices_AR!B161</f>
        <v>C2030</v>
      </c>
      <c r="C164" s="16" t="str">
        <f aca="false">IFERROR(INDEX(Customer_Master!$B$2:$B$31,MATCH(B164,Customer_Master!$A$2:$A$31,0)),"Unknown Customer")</f>
        <v>Sanchez, Wheeler and Harvey</v>
      </c>
      <c r="D164" s="17" t="n">
        <f aca="false">Customer_Invoices_AR!C161</f>
        <v>45673</v>
      </c>
      <c r="E164" s="17" t="n">
        <f aca="false">Customer_Invoices_AR!E161</f>
        <v>45688</v>
      </c>
      <c r="F164" s="18" t="n">
        <f aca="false">Customer_Invoices_AR!D161</f>
        <v>1008.67</v>
      </c>
      <c r="G164" s="18" t="n">
        <f aca="false">SUMIFS(Cash_Receipts_AR!$E$2:$E$503,Cash_Receipts_AR!$B$2:$B$503,A164)</f>
        <v>1008.67</v>
      </c>
      <c r="H164" s="18" t="n">
        <f aca="false">F164-G164</f>
        <v>0</v>
      </c>
      <c r="I164" s="16" t="n">
        <f aca="false">IF(H164&lt;=0.01,0,MAX(Assumptions!$B$5-E164,0))</f>
        <v>0</v>
      </c>
      <c r="J164" s="16" t="str">
        <f aca="false">IF(H164&lt;=0.01,"Paid",IF(I164&lt;=30,"0-30",IF(I164&lt;=60,"31-60",IF(I164&lt;=90,"61-90","90+"))))</f>
        <v>Paid</v>
      </c>
      <c r="K164" s="16" t="str">
        <f aca="false">IF(H164&lt;=0.01,"Paid",IF(G164&gt;0,"Partially Paid","Unpaid"))</f>
        <v>Paid</v>
      </c>
    </row>
    <row r="165" customFormat="false" ht="15" hidden="false" customHeight="false" outlineLevel="0" collapsed="false">
      <c r="A165" s="16" t="str">
        <f aca="false">Customer_Invoices_AR!A162</f>
        <v>ARI60161</v>
      </c>
      <c r="B165" s="16" t="str">
        <f aca="false">Customer_Invoices_AR!B162</f>
        <v>C2019</v>
      </c>
      <c r="C165" s="16" t="str">
        <f aca="false">IFERROR(INDEX(Customer_Master!$B$2:$B$31,MATCH(B165,Customer_Master!$A$2:$A$31,0)),"Unknown Customer")</f>
        <v>Hancock Inc</v>
      </c>
      <c r="D165" s="17" t="n">
        <f aca="false">Customer_Invoices_AR!C162</f>
        <v>46165</v>
      </c>
      <c r="E165" s="17" t="n">
        <f aca="false">Customer_Invoices_AR!E162</f>
        <v>46180</v>
      </c>
      <c r="F165" s="18" t="n">
        <f aca="false">Customer_Invoices_AR!D162</f>
        <v>1252.91</v>
      </c>
      <c r="G165" s="18" t="n">
        <f aca="false">SUMIFS(Cash_Receipts_AR!$E$2:$E$503,Cash_Receipts_AR!$B$2:$B$503,A165)</f>
        <v>0</v>
      </c>
      <c r="H165" s="18" t="n">
        <f aca="false">F165-G165</f>
        <v>1252.91</v>
      </c>
      <c r="I165" s="16" t="n">
        <f aca="false">IF(H165&lt;=0.01,0,MAX(Assumptions!$B$5-E165,0))</f>
        <v>54</v>
      </c>
      <c r="J165" s="16" t="str">
        <f aca="false">IF(H165&lt;=0.01,"Paid",IF(I165&lt;=30,"0-30",IF(I165&lt;=60,"31-60",IF(I165&lt;=90,"61-90","90+"))))</f>
        <v>31-60</v>
      </c>
      <c r="K165" s="16" t="str">
        <f aca="false">IF(H165&lt;=0.01,"Paid",IF(G165&gt;0,"Partially Paid","Unpaid"))</f>
        <v>Unpaid</v>
      </c>
    </row>
    <row r="166" customFormat="false" ht="15" hidden="false" customHeight="false" outlineLevel="0" collapsed="false">
      <c r="A166" s="16" t="str">
        <f aca="false">Customer_Invoices_AR!A163</f>
        <v>ARI60162</v>
      </c>
      <c r="B166" s="16" t="str">
        <f aca="false">Customer_Invoices_AR!B163</f>
        <v>C2013</v>
      </c>
      <c r="C166" s="16" t="str">
        <f aca="false">IFERROR(INDEX(Customer_Master!$B$2:$B$31,MATCH(B166,Customer_Master!$A$2:$A$31,0)),"Unknown Customer")</f>
        <v>West, Henderson and Ramirez</v>
      </c>
      <c r="D166" s="17" t="n">
        <f aca="false">Customer_Invoices_AR!C163</f>
        <v>46115</v>
      </c>
      <c r="E166" s="17" t="n">
        <f aca="false">Customer_Invoices_AR!E163</f>
        <v>46175</v>
      </c>
      <c r="F166" s="18" t="n">
        <f aca="false">Customer_Invoices_AR!D163</f>
        <v>581.09</v>
      </c>
      <c r="G166" s="18" t="n">
        <f aca="false">SUMIFS(Cash_Receipts_AR!$E$2:$E$503,Cash_Receipts_AR!$B$2:$B$503,A166)</f>
        <v>581.09</v>
      </c>
      <c r="H166" s="18" t="n">
        <f aca="false">F166-G166</f>
        <v>0</v>
      </c>
      <c r="I166" s="16" t="n">
        <f aca="false">IF(H166&lt;=0.01,0,MAX(Assumptions!$B$5-E166,0))</f>
        <v>0</v>
      </c>
      <c r="J166" s="16" t="str">
        <f aca="false">IF(H166&lt;=0.01,"Paid",IF(I166&lt;=30,"0-30",IF(I166&lt;=60,"31-60",IF(I166&lt;=90,"61-90","90+"))))</f>
        <v>Paid</v>
      </c>
      <c r="K166" s="16" t="str">
        <f aca="false">IF(H166&lt;=0.01,"Paid",IF(G166&gt;0,"Partially Paid","Unpaid"))</f>
        <v>Paid</v>
      </c>
    </row>
    <row r="167" customFormat="false" ht="15" hidden="false" customHeight="false" outlineLevel="0" collapsed="false">
      <c r="A167" s="16" t="str">
        <f aca="false">Customer_Invoices_AR!A164</f>
        <v>ARI60163</v>
      </c>
      <c r="B167" s="16" t="str">
        <f aca="false">Customer_Invoices_AR!B164</f>
        <v>C2017</v>
      </c>
      <c r="C167" s="16" t="str">
        <f aca="false">IFERROR(INDEX(Customer_Master!$B$2:$B$31,MATCH(B167,Customer_Master!$A$2:$A$31,0)),"Unknown Customer")</f>
        <v>Novak and Sons</v>
      </c>
      <c r="D167" s="17" t="n">
        <f aca="false">Customer_Invoices_AR!C164</f>
        <v>46012</v>
      </c>
      <c r="E167" s="17" t="n">
        <f aca="false">Customer_Invoices_AR!E164</f>
        <v>46027</v>
      </c>
      <c r="F167" s="18" t="n">
        <f aca="false">Customer_Invoices_AR!D164</f>
        <v>5364.47</v>
      </c>
      <c r="G167" s="18" t="n">
        <f aca="false">SUMIFS(Cash_Receipts_AR!$E$2:$E$503,Cash_Receipts_AR!$B$2:$B$503,A167)</f>
        <v>5364.47</v>
      </c>
      <c r="H167" s="18" t="n">
        <f aca="false">F167-G167</f>
        <v>0</v>
      </c>
      <c r="I167" s="16" t="n">
        <f aca="false">IF(H167&lt;=0.01,0,MAX(Assumptions!$B$5-E167,0))</f>
        <v>0</v>
      </c>
      <c r="J167" s="16" t="str">
        <f aca="false">IF(H167&lt;=0.01,"Paid",IF(I167&lt;=30,"0-30",IF(I167&lt;=60,"31-60",IF(I167&lt;=90,"61-90","90+"))))</f>
        <v>Paid</v>
      </c>
      <c r="K167" s="16" t="str">
        <f aca="false">IF(H167&lt;=0.01,"Paid",IF(G167&gt;0,"Partially Paid","Unpaid"))</f>
        <v>Paid</v>
      </c>
    </row>
    <row r="168" customFormat="false" ht="15" hidden="false" customHeight="false" outlineLevel="0" collapsed="false">
      <c r="A168" s="16" t="str">
        <f aca="false">Customer_Invoices_AR!A165</f>
        <v>ARI60164</v>
      </c>
      <c r="B168" s="16" t="str">
        <f aca="false">Customer_Invoices_AR!B165</f>
        <v>C2003</v>
      </c>
      <c r="C168" s="16" t="str">
        <f aca="false">IFERROR(INDEX(Customer_Master!$B$2:$B$31,MATCH(B168,Customer_Master!$A$2:$A$31,0)),"Unknown Customer")</f>
        <v>Robinson, Jones and Welch</v>
      </c>
      <c r="D168" s="17" t="n">
        <f aca="false">Customer_Invoices_AR!C165</f>
        <v>46089</v>
      </c>
      <c r="E168" s="17" t="n">
        <f aca="false">Customer_Invoices_AR!E165</f>
        <v>46134</v>
      </c>
      <c r="F168" s="18" t="n">
        <f aca="false">Customer_Invoices_AR!D165</f>
        <v>2482.23</v>
      </c>
      <c r="G168" s="18" t="n">
        <f aca="false">SUMIFS(Cash_Receipts_AR!$E$2:$E$503,Cash_Receipts_AR!$B$2:$B$503,A168)</f>
        <v>2482.23</v>
      </c>
      <c r="H168" s="18" t="n">
        <f aca="false">F168-G168</f>
        <v>0</v>
      </c>
      <c r="I168" s="16" t="n">
        <f aca="false">IF(H168&lt;=0.01,0,MAX(Assumptions!$B$5-E168,0))</f>
        <v>0</v>
      </c>
      <c r="J168" s="16" t="str">
        <f aca="false">IF(H168&lt;=0.01,"Paid",IF(I168&lt;=30,"0-30",IF(I168&lt;=60,"31-60",IF(I168&lt;=90,"61-90","90+"))))</f>
        <v>Paid</v>
      </c>
      <c r="K168" s="16" t="str">
        <f aca="false">IF(H168&lt;=0.01,"Paid",IF(G168&gt;0,"Partially Paid","Unpaid"))</f>
        <v>Paid</v>
      </c>
    </row>
    <row r="169" customFormat="false" ht="15" hidden="false" customHeight="false" outlineLevel="0" collapsed="false">
      <c r="A169" s="16" t="str">
        <f aca="false">Customer_Invoices_AR!A166</f>
        <v>ARI60165</v>
      </c>
      <c r="B169" s="16" t="str">
        <f aca="false">Customer_Invoices_AR!B166</f>
        <v>C2001</v>
      </c>
      <c r="C169" s="16" t="str">
        <f aca="false">IFERROR(INDEX(Customer_Master!$B$2:$B$31,MATCH(B169,Customer_Master!$A$2:$A$31,0)),"Unknown Customer")</f>
        <v>Wright Inc</v>
      </c>
      <c r="D169" s="17" t="n">
        <f aca="false">Customer_Invoices_AR!C166</f>
        <v>45732</v>
      </c>
      <c r="E169" s="17" t="n">
        <f aca="false">Customer_Invoices_AR!E166</f>
        <v>45777</v>
      </c>
      <c r="F169" s="18" t="n">
        <f aca="false">Customer_Invoices_AR!D166</f>
        <v>10479.09</v>
      </c>
      <c r="G169" s="18" t="n">
        <f aca="false">SUMIFS(Cash_Receipts_AR!$E$2:$E$503,Cash_Receipts_AR!$B$2:$B$503,A169)</f>
        <v>3834.26</v>
      </c>
      <c r="H169" s="18" t="n">
        <f aca="false">F169-G169</f>
        <v>6644.83</v>
      </c>
      <c r="I169" s="16" t="n">
        <f aca="false">IF(H169&lt;=0.01,0,MAX(Assumptions!$B$5-E169,0))</f>
        <v>457</v>
      </c>
      <c r="J169" s="16" t="str">
        <f aca="false">IF(H169&lt;=0.01,"Paid",IF(I169&lt;=30,"0-30",IF(I169&lt;=60,"31-60",IF(I169&lt;=90,"61-90","90+"))))</f>
        <v>90+</v>
      </c>
      <c r="K169" s="16" t="str">
        <f aca="false">IF(H169&lt;=0.01,"Paid",IF(G169&gt;0,"Partially Paid","Unpaid"))</f>
        <v>Partially Paid</v>
      </c>
    </row>
    <row r="170" customFormat="false" ht="15" hidden="false" customHeight="false" outlineLevel="0" collapsed="false">
      <c r="A170" s="16" t="str">
        <f aca="false">Customer_Invoices_AR!A167</f>
        <v>ARI60166</v>
      </c>
      <c r="B170" s="16" t="str">
        <f aca="false">Customer_Invoices_AR!B167</f>
        <v>C2007</v>
      </c>
      <c r="C170" s="16" t="str">
        <f aca="false">IFERROR(INDEX(Customer_Master!$B$2:$B$31,MATCH(B170,Customer_Master!$A$2:$A$31,0)),"Unknown Customer")</f>
        <v>Johnston, Sanchez and Kennedy</v>
      </c>
      <c r="D170" s="17" t="n">
        <f aca="false">Customer_Invoices_AR!C167</f>
        <v>45814</v>
      </c>
      <c r="E170" s="17" t="n">
        <f aca="false">Customer_Invoices_AR!E167</f>
        <v>45844</v>
      </c>
      <c r="F170" s="18" t="n">
        <f aca="false">Customer_Invoices_AR!D167</f>
        <v>1447.89</v>
      </c>
      <c r="G170" s="18" t="n">
        <f aca="false">SUMIFS(Cash_Receipts_AR!$E$2:$E$503,Cash_Receipts_AR!$B$2:$B$503,A170)</f>
        <v>1447.89</v>
      </c>
      <c r="H170" s="18" t="n">
        <f aca="false">F170-G170</f>
        <v>0</v>
      </c>
      <c r="I170" s="16" t="n">
        <f aca="false">IF(H170&lt;=0.01,0,MAX(Assumptions!$B$5-E170,0))</f>
        <v>0</v>
      </c>
      <c r="J170" s="16" t="str">
        <f aca="false">IF(H170&lt;=0.01,"Paid",IF(I170&lt;=30,"0-30",IF(I170&lt;=60,"31-60",IF(I170&lt;=90,"61-90","90+"))))</f>
        <v>Paid</v>
      </c>
      <c r="K170" s="16" t="str">
        <f aca="false">IF(H170&lt;=0.01,"Paid",IF(G170&gt;0,"Partially Paid","Unpaid"))</f>
        <v>Paid</v>
      </c>
    </row>
    <row r="171" customFormat="false" ht="15" hidden="false" customHeight="false" outlineLevel="0" collapsed="false">
      <c r="A171" s="16" t="str">
        <f aca="false">Customer_Invoices_AR!A168</f>
        <v>ARI60167</v>
      </c>
      <c r="B171" s="16" t="str">
        <f aca="false">Customer_Invoices_AR!B168</f>
        <v>C2010</v>
      </c>
      <c r="C171" s="16" t="str">
        <f aca="false">IFERROR(INDEX(Customer_Master!$B$2:$B$31,MATCH(B171,Customer_Master!$A$2:$A$31,0)),"Unknown Customer")</f>
        <v>Brown, Valdez and Lucas</v>
      </c>
      <c r="D171" s="17" t="n">
        <f aca="false">Customer_Invoices_AR!C168</f>
        <v>46110</v>
      </c>
      <c r="E171" s="17" t="n">
        <f aca="false">Customer_Invoices_AR!E168</f>
        <v>46170</v>
      </c>
      <c r="F171" s="18" t="n">
        <f aca="false">Customer_Invoices_AR!D168</f>
        <v>697.19</v>
      </c>
      <c r="G171" s="18" t="n">
        <f aca="false">SUMIFS(Cash_Receipts_AR!$E$2:$E$503,Cash_Receipts_AR!$B$2:$B$503,A171)</f>
        <v>0</v>
      </c>
      <c r="H171" s="18" t="n">
        <f aca="false">F171-G171</f>
        <v>697.19</v>
      </c>
      <c r="I171" s="16" t="n">
        <f aca="false">IF(H171&lt;=0.01,0,MAX(Assumptions!$B$5-E171,0))</f>
        <v>64</v>
      </c>
      <c r="J171" s="16" t="str">
        <f aca="false">IF(H171&lt;=0.01,"Paid",IF(I171&lt;=30,"0-30",IF(I171&lt;=60,"31-60",IF(I171&lt;=90,"61-90","90+"))))</f>
        <v>61-90</v>
      </c>
      <c r="K171" s="16" t="str">
        <f aca="false">IF(H171&lt;=0.01,"Paid",IF(G171&gt;0,"Partially Paid","Unpaid"))</f>
        <v>Unpaid</v>
      </c>
    </row>
    <row r="172" customFormat="false" ht="15" hidden="false" customHeight="false" outlineLevel="0" collapsed="false">
      <c r="A172" s="16" t="str">
        <f aca="false">Customer_Invoices_AR!A169</f>
        <v>ARI60168</v>
      </c>
      <c r="B172" s="16" t="str">
        <f aca="false">Customer_Invoices_AR!B169</f>
        <v>C2010</v>
      </c>
      <c r="C172" s="16" t="str">
        <f aca="false">IFERROR(INDEX(Customer_Master!$B$2:$B$31,MATCH(B172,Customer_Master!$A$2:$A$31,0)),"Unknown Customer")</f>
        <v>Brown, Valdez and Lucas</v>
      </c>
      <c r="D172" s="17" t="n">
        <f aca="false">Customer_Invoices_AR!C169</f>
        <v>46037</v>
      </c>
      <c r="E172" s="17" t="n">
        <f aca="false">Customer_Invoices_AR!E169</f>
        <v>46097</v>
      </c>
      <c r="F172" s="18" t="n">
        <f aca="false">Customer_Invoices_AR!D169</f>
        <v>1767.03</v>
      </c>
      <c r="G172" s="18" t="n">
        <f aca="false">SUMIFS(Cash_Receipts_AR!$E$2:$E$503,Cash_Receipts_AR!$B$2:$B$503,A172)</f>
        <v>0</v>
      </c>
      <c r="H172" s="18" t="n">
        <f aca="false">F172-G172</f>
        <v>1767.03</v>
      </c>
      <c r="I172" s="16" t="n">
        <f aca="false">IF(H172&lt;=0.01,0,MAX(Assumptions!$B$5-E172,0))</f>
        <v>137</v>
      </c>
      <c r="J172" s="16" t="str">
        <f aca="false">IF(H172&lt;=0.01,"Paid",IF(I172&lt;=30,"0-30",IF(I172&lt;=60,"31-60",IF(I172&lt;=90,"61-90","90+"))))</f>
        <v>90+</v>
      </c>
      <c r="K172" s="16" t="str">
        <f aca="false">IF(H172&lt;=0.01,"Paid",IF(G172&gt;0,"Partially Paid","Unpaid"))</f>
        <v>Unpaid</v>
      </c>
    </row>
    <row r="173" customFormat="false" ht="15" hidden="false" customHeight="false" outlineLevel="0" collapsed="false">
      <c r="A173" s="16" t="str">
        <f aca="false">Customer_Invoices_AR!A170</f>
        <v>ARI60169</v>
      </c>
      <c r="B173" s="16" t="str">
        <f aca="false">Customer_Invoices_AR!B170</f>
        <v>C2025</v>
      </c>
      <c r="C173" s="16" t="str">
        <f aca="false">IFERROR(INDEX(Customer_Master!$B$2:$B$31,MATCH(B173,Customer_Master!$A$2:$A$31,0)),"Unknown Customer")</f>
        <v>Daniels, Adkins and Brown</v>
      </c>
      <c r="D173" s="17" t="n">
        <f aca="false">Customer_Invoices_AR!C170</f>
        <v>45733</v>
      </c>
      <c r="E173" s="17" t="n">
        <f aca="false">Customer_Invoices_AR!E170</f>
        <v>45748</v>
      </c>
      <c r="F173" s="18" t="n">
        <f aca="false">Customer_Invoices_AR!D170</f>
        <v>2989.29</v>
      </c>
      <c r="G173" s="18" t="n">
        <f aca="false">SUMIFS(Cash_Receipts_AR!$E$2:$E$503,Cash_Receipts_AR!$B$2:$B$503,A173)</f>
        <v>1545.94</v>
      </c>
      <c r="H173" s="18" t="n">
        <f aca="false">F173-G173</f>
        <v>1443.35</v>
      </c>
      <c r="I173" s="16" t="n">
        <f aca="false">IF(H173&lt;=0.01,0,MAX(Assumptions!$B$5-E173,0))</f>
        <v>486</v>
      </c>
      <c r="J173" s="16" t="str">
        <f aca="false">IF(H173&lt;=0.01,"Paid",IF(I173&lt;=30,"0-30",IF(I173&lt;=60,"31-60",IF(I173&lt;=90,"61-90","90+"))))</f>
        <v>90+</v>
      </c>
      <c r="K173" s="16" t="str">
        <f aca="false">IF(H173&lt;=0.01,"Paid",IF(G173&gt;0,"Partially Paid","Unpaid"))</f>
        <v>Partially Paid</v>
      </c>
    </row>
    <row r="174" customFormat="false" ht="15" hidden="false" customHeight="false" outlineLevel="0" collapsed="false">
      <c r="A174" s="16" t="str">
        <f aca="false">Customer_Invoices_AR!A171</f>
        <v>ARI60170</v>
      </c>
      <c r="B174" s="16" t="str">
        <f aca="false">Customer_Invoices_AR!B171</f>
        <v>C2020</v>
      </c>
      <c r="C174" s="16" t="str">
        <f aca="false">IFERROR(INDEX(Customer_Master!$B$2:$B$31,MATCH(B174,Customer_Master!$A$2:$A$31,0)),"Unknown Customer")</f>
        <v>Gray Group</v>
      </c>
      <c r="D174" s="17" t="n">
        <f aca="false">Customer_Invoices_AR!C171</f>
        <v>46042</v>
      </c>
      <c r="E174" s="17" t="n">
        <f aca="false">Customer_Invoices_AR!E171</f>
        <v>46072</v>
      </c>
      <c r="F174" s="18" t="n">
        <f aca="false">Customer_Invoices_AR!D171</f>
        <v>216.72</v>
      </c>
      <c r="G174" s="18" t="n">
        <f aca="false">SUMIFS(Cash_Receipts_AR!$E$2:$E$503,Cash_Receipts_AR!$B$2:$B$503,A174)</f>
        <v>216.72</v>
      </c>
      <c r="H174" s="18" t="n">
        <f aca="false">F174-G174</f>
        <v>0</v>
      </c>
      <c r="I174" s="16" t="n">
        <f aca="false">IF(H174&lt;=0.01,0,MAX(Assumptions!$B$5-E174,0))</f>
        <v>0</v>
      </c>
      <c r="J174" s="16" t="str">
        <f aca="false">IF(H174&lt;=0.01,"Paid",IF(I174&lt;=30,"0-30",IF(I174&lt;=60,"31-60",IF(I174&lt;=90,"61-90","90+"))))</f>
        <v>Paid</v>
      </c>
      <c r="K174" s="16" t="str">
        <f aca="false">IF(H174&lt;=0.01,"Paid",IF(G174&gt;0,"Partially Paid","Unpaid"))</f>
        <v>Paid</v>
      </c>
    </row>
    <row r="175" customFormat="false" ht="15" hidden="false" customHeight="false" outlineLevel="0" collapsed="false">
      <c r="A175" s="16" t="str">
        <f aca="false">Customer_Invoices_AR!A172</f>
        <v>ARI60171</v>
      </c>
      <c r="B175" s="16" t="str">
        <f aca="false">Customer_Invoices_AR!B172</f>
        <v>C2029</v>
      </c>
      <c r="C175" s="16" t="str">
        <f aca="false">IFERROR(INDEX(Customer_Master!$B$2:$B$31,MATCH(B175,Customer_Master!$A$2:$A$31,0)),"Unknown Customer")</f>
        <v>Hensley, Powell and David</v>
      </c>
      <c r="D175" s="17" t="n">
        <f aca="false">Customer_Invoices_AR!C172</f>
        <v>45902</v>
      </c>
      <c r="E175" s="17" t="n">
        <f aca="false">Customer_Invoices_AR!E172</f>
        <v>45962</v>
      </c>
      <c r="F175" s="18" t="n">
        <f aca="false">Customer_Invoices_AR!D172</f>
        <v>9409.48</v>
      </c>
      <c r="G175" s="18" t="n">
        <f aca="false">SUMIFS(Cash_Receipts_AR!$E$2:$E$503,Cash_Receipts_AR!$B$2:$B$503,A175)</f>
        <v>9409.48</v>
      </c>
      <c r="H175" s="18" t="n">
        <f aca="false">F175-G175</f>
        <v>0</v>
      </c>
      <c r="I175" s="16" t="n">
        <f aca="false">IF(H175&lt;=0.01,0,MAX(Assumptions!$B$5-E175,0))</f>
        <v>0</v>
      </c>
      <c r="J175" s="16" t="str">
        <f aca="false">IF(H175&lt;=0.01,"Paid",IF(I175&lt;=30,"0-30",IF(I175&lt;=60,"31-60",IF(I175&lt;=90,"61-90","90+"))))</f>
        <v>Paid</v>
      </c>
      <c r="K175" s="16" t="str">
        <f aca="false">IF(H175&lt;=0.01,"Paid",IF(G175&gt;0,"Partially Paid","Unpaid"))</f>
        <v>Paid</v>
      </c>
    </row>
    <row r="176" customFormat="false" ht="15" hidden="false" customHeight="false" outlineLevel="0" collapsed="false">
      <c r="A176" s="16" t="str">
        <f aca="false">Customer_Invoices_AR!A173</f>
        <v>ARI60172</v>
      </c>
      <c r="B176" s="16" t="str">
        <f aca="false">Customer_Invoices_AR!B173</f>
        <v>C2003</v>
      </c>
      <c r="C176" s="16" t="str">
        <f aca="false">IFERROR(INDEX(Customer_Master!$B$2:$B$31,MATCH(B176,Customer_Master!$A$2:$A$31,0)),"Unknown Customer")</f>
        <v>Robinson, Jones and Welch</v>
      </c>
      <c r="D176" s="17" t="n">
        <f aca="false">Customer_Invoices_AR!C173</f>
        <v>45660</v>
      </c>
      <c r="E176" s="17" t="n">
        <f aca="false">Customer_Invoices_AR!E173</f>
        <v>45705</v>
      </c>
      <c r="F176" s="18" t="n">
        <f aca="false">Customer_Invoices_AR!D173</f>
        <v>937.8</v>
      </c>
      <c r="G176" s="18" t="n">
        <f aca="false">SUMIFS(Cash_Receipts_AR!$E$2:$E$503,Cash_Receipts_AR!$B$2:$B$503,A176)</f>
        <v>937.8</v>
      </c>
      <c r="H176" s="18" t="n">
        <f aca="false">F176-G176</f>
        <v>0</v>
      </c>
      <c r="I176" s="16" t="n">
        <f aca="false">IF(H176&lt;=0.01,0,MAX(Assumptions!$B$5-E176,0))</f>
        <v>0</v>
      </c>
      <c r="J176" s="16" t="str">
        <f aca="false">IF(H176&lt;=0.01,"Paid",IF(I176&lt;=30,"0-30",IF(I176&lt;=60,"31-60",IF(I176&lt;=90,"61-90","90+"))))</f>
        <v>Paid</v>
      </c>
      <c r="K176" s="16" t="str">
        <f aca="false">IF(H176&lt;=0.01,"Paid",IF(G176&gt;0,"Partially Paid","Unpaid"))</f>
        <v>Paid</v>
      </c>
    </row>
    <row r="177" customFormat="false" ht="15" hidden="false" customHeight="false" outlineLevel="0" collapsed="false">
      <c r="A177" s="16" t="str">
        <f aca="false">Customer_Invoices_AR!A174</f>
        <v>ARI60173</v>
      </c>
      <c r="B177" s="16" t="str">
        <f aca="false">Customer_Invoices_AR!B174</f>
        <v>C2018</v>
      </c>
      <c r="C177" s="16" t="str">
        <f aca="false">IFERROR(INDEX(Customer_Master!$B$2:$B$31,MATCH(B177,Customer_Master!$A$2:$A$31,0)),"Unknown Customer")</f>
        <v>Russell Group</v>
      </c>
      <c r="D177" s="17" t="n">
        <f aca="false">Customer_Invoices_AR!C174</f>
        <v>45701</v>
      </c>
      <c r="E177" s="17" t="n">
        <f aca="false">Customer_Invoices_AR!E174</f>
        <v>45716</v>
      </c>
      <c r="F177" s="18" t="n">
        <f aca="false">Customer_Invoices_AR!D174</f>
        <v>1637.03</v>
      </c>
      <c r="G177" s="18" t="n">
        <f aca="false">SUMIFS(Cash_Receipts_AR!$E$2:$E$503,Cash_Receipts_AR!$B$2:$B$503,A177)</f>
        <v>1637.03</v>
      </c>
      <c r="H177" s="18" t="n">
        <f aca="false">F177-G177</f>
        <v>0</v>
      </c>
      <c r="I177" s="16" t="n">
        <f aca="false">IF(H177&lt;=0.01,0,MAX(Assumptions!$B$5-E177,0))</f>
        <v>0</v>
      </c>
      <c r="J177" s="16" t="str">
        <f aca="false">IF(H177&lt;=0.01,"Paid",IF(I177&lt;=30,"0-30",IF(I177&lt;=60,"31-60",IF(I177&lt;=90,"61-90","90+"))))</f>
        <v>Paid</v>
      </c>
      <c r="K177" s="16" t="str">
        <f aca="false">IF(H177&lt;=0.01,"Paid",IF(G177&gt;0,"Partially Paid","Unpaid"))</f>
        <v>Paid</v>
      </c>
    </row>
    <row r="178" customFormat="false" ht="15" hidden="false" customHeight="false" outlineLevel="0" collapsed="false">
      <c r="A178" s="16" t="str">
        <f aca="false">Customer_Invoices_AR!A175</f>
        <v>ARI60174</v>
      </c>
      <c r="B178" s="16" t="str">
        <f aca="false">Customer_Invoices_AR!B175</f>
        <v>C2015</v>
      </c>
      <c r="C178" s="16" t="str">
        <f aca="false">IFERROR(INDEX(Customer_Master!$B$2:$B$31,MATCH(B178,Customer_Master!$A$2:$A$31,0)),"Unknown Customer")</f>
        <v>Morton-Chase</v>
      </c>
      <c r="D178" s="17" t="n">
        <f aca="false">Customer_Invoices_AR!C175</f>
        <v>45797</v>
      </c>
      <c r="E178" s="17" t="n">
        <f aca="false">Customer_Invoices_AR!E175</f>
        <v>45812</v>
      </c>
      <c r="F178" s="18" t="n">
        <f aca="false">Customer_Invoices_AR!D175</f>
        <v>2021.6</v>
      </c>
      <c r="G178" s="18" t="n">
        <f aca="false">SUMIFS(Cash_Receipts_AR!$E$2:$E$503,Cash_Receipts_AR!$B$2:$B$503,A178)</f>
        <v>2021.6</v>
      </c>
      <c r="H178" s="18" t="n">
        <f aca="false">F178-G178</f>
        <v>0</v>
      </c>
      <c r="I178" s="16" t="n">
        <f aca="false">IF(H178&lt;=0.01,0,MAX(Assumptions!$B$5-E178,0))</f>
        <v>0</v>
      </c>
      <c r="J178" s="16" t="str">
        <f aca="false">IF(H178&lt;=0.01,"Paid",IF(I178&lt;=30,"0-30",IF(I178&lt;=60,"31-60",IF(I178&lt;=90,"61-90","90+"))))</f>
        <v>Paid</v>
      </c>
      <c r="K178" s="16" t="str">
        <f aca="false">IF(H178&lt;=0.01,"Paid",IF(G178&gt;0,"Partially Paid","Unpaid"))</f>
        <v>Paid</v>
      </c>
    </row>
    <row r="179" customFormat="false" ht="15" hidden="false" customHeight="false" outlineLevel="0" collapsed="false">
      <c r="A179" s="16" t="str">
        <f aca="false">Customer_Invoices_AR!A176</f>
        <v>ARI60175</v>
      </c>
      <c r="B179" s="16" t="str">
        <f aca="false">Customer_Invoices_AR!B176</f>
        <v>C2023</v>
      </c>
      <c r="C179" s="16" t="str">
        <f aca="false">IFERROR(INDEX(Customer_Master!$B$2:$B$31,MATCH(B179,Customer_Master!$A$2:$A$31,0)),"Unknown Customer")</f>
        <v>Stanley, Tucker and Lee</v>
      </c>
      <c r="D179" s="17" t="n">
        <f aca="false">Customer_Invoices_AR!C176</f>
        <v>46113</v>
      </c>
      <c r="E179" s="17" t="n">
        <f aca="false">Customer_Invoices_AR!E176</f>
        <v>46173</v>
      </c>
      <c r="F179" s="18" t="n">
        <f aca="false">Customer_Invoices_AR!D176</f>
        <v>475.54</v>
      </c>
      <c r="G179" s="18" t="n">
        <f aca="false">SUMIFS(Cash_Receipts_AR!$E$2:$E$503,Cash_Receipts_AR!$B$2:$B$503,A179)</f>
        <v>475.54</v>
      </c>
      <c r="H179" s="18" t="n">
        <f aca="false">F179-G179</f>
        <v>0</v>
      </c>
      <c r="I179" s="16" t="n">
        <f aca="false">IF(H179&lt;=0.01,0,MAX(Assumptions!$B$5-E179,0))</f>
        <v>0</v>
      </c>
      <c r="J179" s="16" t="str">
        <f aca="false">IF(H179&lt;=0.01,"Paid",IF(I179&lt;=30,"0-30",IF(I179&lt;=60,"31-60",IF(I179&lt;=90,"61-90","90+"))))</f>
        <v>Paid</v>
      </c>
      <c r="K179" s="16" t="str">
        <f aca="false">IF(H179&lt;=0.01,"Paid",IF(G179&gt;0,"Partially Paid","Unpaid"))</f>
        <v>Paid</v>
      </c>
    </row>
    <row r="180" customFormat="false" ht="15" hidden="false" customHeight="false" outlineLevel="0" collapsed="false">
      <c r="A180" s="16" t="str">
        <f aca="false">Customer_Invoices_AR!A177</f>
        <v>ARI60176</v>
      </c>
      <c r="B180" s="16" t="str">
        <f aca="false">Customer_Invoices_AR!B177</f>
        <v>C2021</v>
      </c>
      <c r="C180" s="16" t="str">
        <f aca="false">IFERROR(INDEX(Customer_Master!$B$2:$B$31,MATCH(B180,Customer_Master!$A$2:$A$31,0)),"Unknown Customer")</f>
        <v>House-Glover</v>
      </c>
      <c r="D180" s="17" t="n">
        <f aca="false">Customer_Invoices_AR!C177</f>
        <v>45957</v>
      </c>
      <c r="E180" s="17" t="n">
        <f aca="false">Customer_Invoices_AR!E177</f>
        <v>46017</v>
      </c>
      <c r="F180" s="18" t="n">
        <f aca="false">Customer_Invoices_AR!D177</f>
        <v>3003.96</v>
      </c>
      <c r="G180" s="18" t="n">
        <f aca="false">SUMIFS(Cash_Receipts_AR!$E$2:$E$503,Cash_Receipts_AR!$B$2:$B$503,A180)</f>
        <v>3003.96</v>
      </c>
      <c r="H180" s="18" t="n">
        <f aca="false">F180-G180</f>
        <v>0</v>
      </c>
      <c r="I180" s="16" t="n">
        <f aca="false">IF(H180&lt;=0.01,0,MAX(Assumptions!$B$5-E180,0))</f>
        <v>0</v>
      </c>
      <c r="J180" s="16" t="str">
        <f aca="false">IF(H180&lt;=0.01,"Paid",IF(I180&lt;=30,"0-30",IF(I180&lt;=60,"31-60",IF(I180&lt;=90,"61-90","90+"))))</f>
        <v>Paid</v>
      </c>
      <c r="K180" s="16" t="str">
        <f aca="false">IF(H180&lt;=0.01,"Paid",IF(G180&gt;0,"Partially Paid","Unpaid"))</f>
        <v>Paid</v>
      </c>
    </row>
    <row r="181" customFormat="false" ht="15" hidden="false" customHeight="false" outlineLevel="0" collapsed="false">
      <c r="A181" s="16" t="str">
        <f aca="false">Customer_Invoices_AR!A178</f>
        <v>ARI60177</v>
      </c>
      <c r="B181" s="16" t="str">
        <f aca="false">Customer_Invoices_AR!B178</f>
        <v>C2013</v>
      </c>
      <c r="C181" s="16" t="str">
        <f aca="false">IFERROR(INDEX(Customer_Master!$B$2:$B$31,MATCH(B181,Customer_Master!$A$2:$A$31,0)),"Unknown Customer")</f>
        <v>West, Henderson and Ramirez</v>
      </c>
      <c r="D181" s="17" t="n">
        <f aca="false">Customer_Invoices_AR!C178</f>
        <v>46054</v>
      </c>
      <c r="E181" s="17" t="n">
        <f aca="false">Customer_Invoices_AR!E178</f>
        <v>46114</v>
      </c>
      <c r="F181" s="18" t="n">
        <f aca="false">Customer_Invoices_AR!D178</f>
        <v>2861.28</v>
      </c>
      <c r="G181" s="18" t="n">
        <f aca="false">SUMIFS(Cash_Receipts_AR!$E$2:$E$503,Cash_Receipts_AR!$B$2:$B$503,A181)</f>
        <v>0</v>
      </c>
      <c r="H181" s="18" t="n">
        <f aca="false">F181-G181</f>
        <v>2861.28</v>
      </c>
      <c r="I181" s="16" t="n">
        <f aca="false">IF(H181&lt;=0.01,0,MAX(Assumptions!$B$5-E181,0))</f>
        <v>120</v>
      </c>
      <c r="J181" s="16" t="str">
        <f aca="false">IF(H181&lt;=0.01,"Paid",IF(I181&lt;=30,"0-30",IF(I181&lt;=60,"31-60",IF(I181&lt;=90,"61-90","90+"))))</f>
        <v>90+</v>
      </c>
      <c r="K181" s="16" t="str">
        <f aca="false">IF(H181&lt;=0.01,"Paid",IF(G181&gt;0,"Partially Paid","Unpaid"))</f>
        <v>Unpaid</v>
      </c>
    </row>
    <row r="182" customFormat="false" ht="15" hidden="false" customHeight="false" outlineLevel="0" collapsed="false">
      <c r="A182" s="16" t="str">
        <f aca="false">Customer_Invoices_AR!A179</f>
        <v>ARI60178</v>
      </c>
      <c r="B182" s="16" t="str">
        <f aca="false">Customer_Invoices_AR!B179</f>
        <v>C2028</v>
      </c>
      <c r="C182" s="16" t="str">
        <f aca="false">IFERROR(INDEX(Customer_Master!$B$2:$B$31,MATCH(B182,Customer_Master!$A$2:$A$31,0)),"Unknown Customer")</f>
        <v>Jones Inc</v>
      </c>
      <c r="D182" s="17" t="n">
        <f aca="false">Customer_Invoices_AR!C179</f>
        <v>45945</v>
      </c>
      <c r="E182" s="17" t="n">
        <f aca="false">Customer_Invoices_AR!E179</f>
        <v>45960</v>
      </c>
      <c r="F182" s="18" t="n">
        <f aca="false">Customer_Invoices_AR!D179</f>
        <v>3929.53</v>
      </c>
      <c r="G182" s="18" t="n">
        <f aca="false">SUMIFS(Cash_Receipts_AR!$E$2:$E$503,Cash_Receipts_AR!$B$2:$B$503,A182)</f>
        <v>2491.27</v>
      </c>
      <c r="H182" s="18" t="n">
        <f aca="false">F182-G182</f>
        <v>1438.26</v>
      </c>
      <c r="I182" s="16" t="n">
        <f aca="false">IF(H182&lt;=0.01,0,MAX(Assumptions!$B$5-E182,0))</f>
        <v>274</v>
      </c>
      <c r="J182" s="16" t="str">
        <f aca="false">IF(H182&lt;=0.01,"Paid",IF(I182&lt;=30,"0-30",IF(I182&lt;=60,"31-60",IF(I182&lt;=90,"61-90","90+"))))</f>
        <v>90+</v>
      </c>
      <c r="K182" s="16" t="str">
        <f aca="false">IF(H182&lt;=0.01,"Paid",IF(G182&gt;0,"Partially Paid","Unpaid"))</f>
        <v>Partially Paid</v>
      </c>
    </row>
    <row r="183" customFormat="false" ht="15" hidden="false" customHeight="false" outlineLevel="0" collapsed="false">
      <c r="A183" s="16" t="str">
        <f aca="false">Customer_Invoices_AR!A180</f>
        <v>ARI60179</v>
      </c>
      <c r="B183" s="16" t="str">
        <f aca="false">Customer_Invoices_AR!B180</f>
        <v>C2016</v>
      </c>
      <c r="C183" s="16" t="str">
        <f aca="false">IFERROR(INDEX(Customer_Master!$B$2:$B$31,MATCH(B183,Customer_Master!$A$2:$A$31,0)),"Unknown Customer")</f>
        <v>Williams PLC</v>
      </c>
      <c r="D183" s="17" t="n">
        <f aca="false">Customer_Invoices_AR!C180</f>
        <v>45718</v>
      </c>
      <c r="E183" s="17" t="n">
        <f aca="false">Customer_Invoices_AR!E180</f>
        <v>45748</v>
      </c>
      <c r="F183" s="18" t="n">
        <f aca="false">Customer_Invoices_AR!D180</f>
        <v>1121.02</v>
      </c>
      <c r="G183" s="18" t="n">
        <f aca="false">SUMIFS(Cash_Receipts_AR!$E$2:$E$503,Cash_Receipts_AR!$B$2:$B$503,A183)</f>
        <v>1121.02</v>
      </c>
      <c r="H183" s="18" t="n">
        <f aca="false">F183-G183</f>
        <v>0</v>
      </c>
      <c r="I183" s="16" t="n">
        <f aca="false">IF(H183&lt;=0.01,0,MAX(Assumptions!$B$5-E183,0))</f>
        <v>0</v>
      </c>
      <c r="J183" s="16" t="str">
        <f aca="false">IF(H183&lt;=0.01,"Paid",IF(I183&lt;=30,"0-30",IF(I183&lt;=60,"31-60",IF(I183&lt;=90,"61-90","90+"))))</f>
        <v>Paid</v>
      </c>
      <c r="K183" s="16" t="str">
        <f aca="false">IF(H183&lt;=0.01,"Paid",IF(G183&gt;0,"Partially Paid","Unpaid"))</f>
        <v>Paid</v>
      </c>
    </row>
    <row r="184" customFormat="false" ht="15" hidden="false" customHeight="false" outlineLevel="0" collapsed="false">
      <c r="A184" s="16" t="str">
        <f aca="false">Customer_Invoices_AR!A181</f>
        <v>ARI60180</v>
      </c>
      <c r="B184" s="16" t="str">
        <f aca="false">Customer_Invoices_AR!B181</f>
        <v>C2018</v>
      </c>
      <c r="C184" s="16" t="str">
        <f aca="false">IFERROR(INDEX(Customer_Master!$B$2:$B$31,MATCH(B184,Customer_Master!$A$2:$A$31,0)),"Unknown Customer")</f>
        <v>Russell Group</v>
      </c>
      <c r="D184" s="17" t="n">
        <f aca="false">Customer_Invoices_AR!C181</f>
        <v>45815</v>
      </c>
      <c r="E184" s="17" t="n">
        <f aca="false">Customer_Invoices_AR!E181</f>
        <v>45830</v>
      </c>
      <c r="F184" s="18" t="n">
        <f aca="false">Customer_Invoices_AR!D181</f>
        <v>781.09</v>
      </c>
      <c r="G184" s="18" t="n">
        <f aca="false">SUMIFS(Cash_Receipts_AR!$E$2:$E$503,Cash_Receipts_AR!$B$2:$B$503,A184)</f>
        <v>781.09</v>
      </c>
      <c r="H184" s="18" t="n">
        <f aca="false">F184-G184</f>
        <v>0</v>
      </c>
      <c r="I184" s="16" t="n">
        <f aca="false">IF(H184&lt;=0.01,0,MAX(Assumptions!$B$5-E184,0))</f>
        <v>0</v>
      </c>
      <c r="J184" s="16" t="str">
        <f aca="false">IF(H184&lt;=0.01,"Paid",IF(I184&lt;=30,"0-30",IF(I184&lt;=60,"31-60",IF(I184&lt;=90,"61-90","90+"))))</f>
        <v>Paid</v>
      </c>
      <c r="K184" s="16" t="str">
        <f aca="false">IF(H184&lt;=0.01,"Paid",IF(G184&gt;0,"Partially Paid","Unpaid"))</f>
        <v>Paid</v>
      </c>
    </row>
    <row r="185" customFormat="false" ht="15" hidden="false" customHeight="false" outlineLevel="0" collapsed="false">
      <c r="A185" s="16" t="str">
        <f aca="false">Customer_Invoices_AR!A182</f>
        <v>ARI60181</v>
      </c>
      <c r="B185" s="16" t="str">
        <f aca="false">Customer_Invoices_AR!B182</f>
        <v>C2013</v>
      </c>
      <c r="C185" s="16" t="str">
        <f aca="false">IFERROR(INDEX(Customer_Master!$B$2:$B$31,MATCH(B185,Customer_Master!$A$2:$A$31,0)),"Unknown Customer")</f>
        <v>West, Henderson and Ramirez</v>
      </c>
      <c r="D185" s="17" t="n">
        <f aca="false">Customer_Invoices_AR!C182</f>
        <v>45822</v>
      </c>
      <c r="E185" s="17" t="n">
        <f aca="false">Customer_Invoices_AR!E182</f>
        <v>45882</v>
      </c>
      <c r="F185" s="18" t="n">
        <f aca="false">Customer_Invoices_AR!D182</f>
        <v>30870.59</v>
      </c>
      <c r="G185" s="18" t="n">
        <f aca="false">SUMIFS(Cash_Receipts_AR!$E$2:$E$503,Cash_Receipts_AR!$B$2:$B$503,A185)</f>
        <v>30870.59</v>
      </c>
      <c r="H185" s="18" t="n">
        <f aca="false">F185-G185</f>
        <v>0</v>
      </c>
      <c r="I185" s="16" t="n">
        <f aca="false">IF(H185&lt;=0.01,0,MAX(Assumptions!$B$5-E185,0))</f>
        <v>0</v>
      </c>
      <c r="J185" s="16" t="str">
        <f aca="false">IF(H185&lt;=0.01,"Paid",IF(I185&lt;=30,"0-30",IF(I185&lt;=60,"31-60",IF(I185&lt;=90,"61-90","90+"))))</f>
        <v>Paid</v>
      </c>
      <c r="K185" s="16" t="str">
        <f aca="false">IF(H185&lt;=0.01,"Paid",IF(G185&gt;0,"Partially Paid","Unpaid"))</f>
        <v>Paid</v>
      </c>
    </row>
    <row r="186" customFormat="false" ht="15" hidden="false" customHeight="false" outlineLevel="0" collapsed="false">
      <c r="A186" s="16" t="str">
        <f aca="false">Customer_Invoices_AR!A183</f>
        <v>ARI60182</v>
      </c>
      <c r="B186" s="16" t="str">
        <f aca="false">Customer_Invoices_AR!B183</f>
        <v>C2016</v>
      </c>
      <c r="C186" s="16" t="str">
        <f aca="false">IFERROR(INDEX(Customer_Master!$B$2:$B$31,MATCH(B186,Customer_Master!$A$2:$A$31,0)),"Unknown Customer")</f>
        <v>Williams PLC</v>
      </c>
      <c r="D186" s="17" t="n">
        <f aca="false">Customer_Invoices_AR!C183</f>
        <v>45684</v>
      </c>
      <c r="E186" s="17" t="n">
        <f aca="false">Customer_Invoices_AR!E183</f>
        <v>45714</v>
      </c>
      <c r="F186" s="18" t="n">
        <f aca="false">Customer_Invoices_AR!D183</f>
        <v>4442.76</v>
      </c>
      <c r="G186" s="18" t="n">
        <f aca="false">SUMIFS(Cash_Receipts_AR!$E$2:$E$503,Cash_Receipts_AR!$B$2:$B$503,A186)</f>
        <v>4442.76</v>
      </c>
      <c r="H186" s="18" t="n">
        <f aca="false">F186-G186</f>
        <v>0</v>
      </c>
      <c r="I186" s="16" t="n">
        <f aca="false">IF(H186&lt;=0.01,0,MAX(Assumptions!$B$5-E186,0))</f>
        <v>0</v>
      </c>
      <c r="J186" s="16" t="str">
        <f aca="false">IF(H186&lt;=0.01,"Paid",IF(I186&lt;=30,"0-30",IF(I186&lt;=60,"31-60",IF(I186&lt;=90,"61-90","90+"))))</f>
        <v>Paid</v>
      </c>
      <c r="K186" s="16" t="str">
        <f aca="false">IF(H186&lt;=0.01,"Paid",IF(G186&gt;0,"Partially Paid","Unpaid"))</f>
        <v>Paid</v>
      </c>
    </row>
    <row r="187" customFormat="false" ht="15" hidden="false" customHeight="false" outlineLevel="0" collapsed="false">
      <c r="A187" s="16" t="str">
        <f aca="false">Customer_Invoices_AR!A184</f>
        <v>ARI60183</v>
      </c>
      <c r="B187" s="16" t="str">
        <f aca="false">Customer_Invoices_AR!B184</f>
        <v>C2025</v>
      </c>
      <c r="C187" s="16" t="str">
        <f aca="false">IFERROR(INDEX(Customer_Master!$B$2:$B$31,MATCH(B187,Customer_Master!$A$2:$A$31,0)),"Unknown Customer")</f>
        <v>Daniels, Adkins and Brown</v>
      </c>
      <c r="D187" s="17" t="n">
        <f aca="false">Customer_Invoices_AR!C184</f>
        <v>45886</v>
      </c>
      <c r="E187" s="17" t="n">
        <f aca="false">Customer_Invoices_AR!E184</f>
        <v>45901</v>
      </c>
      <c r="F187" s="18" t="n">
        <f aca="false">Customer_Invoices_AR!D184</f>
        <v>843.64</v>
      </c>
      <c r="G187" s="18" t="n">
        <f aca="false">SUMIFS(Cash_Receipts_AR!$E$2:$E$503,Cash_Receipts_AR!$B$2:$B$503,A187)</f>
        <v>0</v>
      </c>
      <c r="H187" s="18" t="n">
        <f aca="false">F187-G187</f>
        <v>843.64</v>
      </c>
      <c r="I187" s="16" t="n">
        <f aca="false">IF(H187&lt;=0.01,0,MAX(Assumptions!$B$5-E187,0))</f>
        <v>333</v>
      </c>
      <c r="J187" s="16" t="str">
        <f aca="false">IF(H187&lt;=0.01,"Paid",IF(I187&lt;=30,"0-30",IF(I187&lt;=60,"31-60",IF(I187&lt;=90,"61-90","90+"))))</f>
        <v>90+</v>
      </c>
      <c r="K187" s="16" t="str">
        <f aca="false">IF(H187&lt;=0.01,"Paid",IF(G187&gt;0,"Partially Paid","Unpaid"))</f>
        <v>Unpaid</v>
      </c>
    </row>
    <row r="188" customFormat="false" ht="15" hidden="false" customHeight="false" outlineLevel="0" collapsed="false">
      <c r="A188" s="16" t="str">
        <f aca="false">Customer_Invoices_AR!A185</f>
        <v>ARI60184</v>
      </c>
      <c r="B188" s="16" t="str">
        <f aca="false">Customer_Invoices_AR!B185</f>
        <v>C2013</v>
      </c>
      <c r="C188" s="16" t="str">
        <f aca="false">IFERROR(INDEX(Customer_Master!$B$2:$B$31,MATCH(B188,Customer_Master!$A$2:$A$31,0)),"Unknown Customer")</f>
        <v>West, Henderson and Ramirez</v>
      </c>
      <c r="D188" s="17" t="n">
        <f aca="false">Customer_Invoices_AR!C185</f>
        <v>46090</v>
      </c>
      <c r="E188" s="17" t="n">
        <f aca="false">Customer_Invoices_AR!E185</f>
        <v>46150</v>
      </c>
      <c r="F188" s="18" t="n">
        <f aca="false">Customer_Invoices_AR!D185</f>
        <v>18351.9</v>
      </c>
      <c r="G188" s="18" t="n">
        <f aca="false">SUMIFS(Cash_Receipts_AR!$E$2:$E$503,Cash_Receipts_AR!$B$2:$B$503,A188)</f>
        <v>0</v>
      </c>
      <c r="H188" s="18" t="n">
        <f aca="false">F188-G188</f>
        <v>18351.9</v>
      </c>
      <c r="I188" s="16" t="n">
        <f aca="false">IF(H188&lt;=0.01,0,MAX(Assumptions!$B$5-E188,0))</f>
        <v>84</v>
      </c>
      <c r="J188" s="16" t="str">
        <f aca="false">IF(H188&lt;=0.01,"Paid",IF(I188&lt;=30,"0-30",IF(I188&lt;=60,"31-60",IF(I188&lt;=90,"61-90","90+"))))</f>
        <v>61-90</v>
      </c>
      <c r="K188" s="16" t="str">
        <f aca="false">IF(H188&lt;=0.01,"Paid",IF(G188&gt;0,"Partially Paid","Unpaid"))</f>
        <v>Unpaid</v>
      </c>
    </row>
    <row r="189" customFormat="false" ht="15" hidden="false" customHeight="false" outlineLevel="0" collapsed="false">
      <c r="A189" s="16" t="str">
        <f aca="false">Customer_Invoices_AR!A186</f>
        <v>ARI60185</v>
      </c>
      <c r="B189" s="16" t="str">
        <f aca="false">Customer_Invoices_AR!B186</f>
        <v>C2025</v>
      </c>
      <c r="C189" s="16" t="str">
        <f aca="false">IFERROR(INDEX(Customer_Master!$B$2:$B$31,MATCH(B189,Customer_Master!$A$2:$A$31,0)),"Unknown Customer")</f>
        <v>Daniels, Adkins and Brown</v>
      </c>
      <c r="D189" s="17" t="n">
        <f aca="false">Customer_Invoices_AR!C186</f>
        <v>45907</v>
      </c>
      <c r="E189" s="17" t="n">
        <f aca="false">Customer_Invoices_AR!E186</f>
        <v>45922</v>
      </c>
      <c r="F189" s="18" t="n">
        <f aca="false">Customer_Invoices_AR!D186</f>
        <v>2310.93</v>
      </c>
      <c r="G189" s="18" t="n">
        <f aca="false">SUMIFS(Cash_Receipts_AR!$E$2:$E$503,Cash_Receipts_AR!$B$2:$B$503,A189)</f>
        <v>1813.34</v>
      </c>
      <c r="H189" s="18" t="n">
        <f aca="false">F189-G189</f>
        <v>497.59</v>
      </c>
      <c r="I189" s="16" t="n">
        <f aca="false">IF(H189&lt;=0.01,0,MAX(Assumptions!$B$5-E189,0))</f>
        <v>312</v>
      </c>
      <c r="J189" s="16" t="str">
        <f aca="false">IF(H189&lt;=0.01,"Paid",IF(I189&lt;=30,"0-30",IF(I189&lt;=60,"31-60",IF(I189&lt;=90,"61-90","90+"))))</f>
        <v>90+</v>
      </c>
      <c r="K189" s="16" t="str">
        <f aca="false">IF(H189&lt;=0.01,"Paid",IF(G189&gt;0,"Partially Paid","Unpaid"))</f>
        <v>Partially Paid</v>
      </c>
    </row>
    <row r="190" customFormat="false" ht="15" hidden="false" customHeight="false" outlineLevel="0" collapsed="false">
      <c r="A190" s="16" t="str">
        <f aca="false">Customer_Invoices_AR!A187</f>
        <v>ARI60186</v>
      </c>
      <c r="B190" s="16" t="str">
        <f aca="false">Customer_Invoices_AR!B187</f>
        <v>C2017</v>
      </c>
      <c r="C190" s="16" t="str">
        <f aca="false">IFERROR(INDEX(Customer_Master!$B$2:$B$31,MATCH(B190,Customer_Master!$A$2:$A$31,0)),"Unknown Customer")</f>
        <v>Novak and Sons</v>
      </c>
      <c r="D190" s="17" t="n">
        <f aca="false">Customer_Invoices_AR!C187</f>
        <v>45718</v>
      </c>
      <c r="E190" s="17" t="n">
        <f aca="false">Customer_Invoices_AR!E187</f>
        <v>45733</v>
      </c>
      <c r="F190" s="18" t="n">
        <f aca="false">Customer_Invoices_AR!D187</f>
        <v>1671.7</v>
      </c>
      <c r="G190" s="18" t="n">
        <f aca="false">SUMIFS(Cash_Receipts_AR!$E$2:$E$503,Cash_Receipts_AR!$B$2:$B$503,A190)</f>
        <v>1671.7</v>
      </c>
      <c r="H190" s="18" t="n">
        <f aca="false">F190-G190</f>
        <v>0</v>
      </c>
      <c r="I190" s="16" t="n">
        <f aca="false">IF(H190&lt;=0.01,0,MAX(Assumptions!$B$5-E190,0))</f>
        <v>0</v>
      </c>
      <c r="J190" s="16" t="str">
        <f aca="false">IF(H190&lt;=0.01,"Paid",IF(I190&lt;=30,"0-30",IF(I190&lt;=60,"31-60",IF(I190&lt;=90,"61-90","90+"))))</f>
        <v>Paid</v>
      </c>
      <c r="K190" s="16" t="str">
        <f aca="false">IF(H190&lt;=0.01,"Paid",IF(G190&gt;0,"Partially Paid","Unpaid"))</f>
        <v>Paid</v>
      </c>
    </row>
    <row r="191" customFormat="false" ht="15" hidden="false" customHeight="false" outlineLevel="0" collapsed="false">
      <c r="A191" s="16" t="str">
        <f aca="false">Customer_Invoices_AR!A188</f>
        <v>ARI60187</v>
      </c>
      <c r="B191" s="16" t="str">
        <f aca="false">Customer_Invoices_AR!B188</f>
        <v>C2006</v>
      </c>
      <c r="C191" s="16" t="str">
        <f aca="false">IFERROR(INDEX(Customer_Master!$B$2:$B$31,MATCH(B191,Customer_Master!$A$2:$A$31,0)),"Unknown Customer")</f>
        <v>Washington, Ryan and Cummings</v>
      </c>
      <c r="D191" s="17" t="n">
        <f aca="false">Customer_Invoices_AR!C188</f>
        <v>46151</v>
      </c>
      <c r="E191" s="17" t="n">
        <f aca="false">Customer_Invoices_AR!E188</f>
        <v>46166</v>
      </c>
      <c r="F191" s="18" t="n">
        <f aca="false">Customer_Invoices_AR!D188</f>
        <v>1617.75</v>
      </c>
      <c r="G191" s="18" t="n">
        <f aca="false">SUMIFS(Cash_Receipts_AR!$E$2:$E$503,Cash_Receipts_AR!$B$2:$B$503,A191)</f>
        <v>1617.75</v>
      </c>
      <c r="H191" s="18" t="n">
        <f aca="false">F191-G191</f>
        <v>0</v>
      </c>
      <c r="I191" s="16" t="n">
        <f aca="false">IF(H191&lt;=0.01,0,MAX(Assumptions!$B$5-E191,0))</f>
        <v>0</v>
      </c>
      <c r="J191" s="16" t="str">
        <f aca="false">IF(H191&lt;=0.01,"Paid",IF(I191&lt;=30,"0-30",IF(I191&lt;=60,"31-60",IF(I191&lt;=90,"61-90","90+"))))</f>
        <v>Paid</v>
      </c>
      <c r="K191" s="16" t="str">
        <f aca="false">IF(H191&lt;=0.01,"Paid",IF(G191&gt;0,"Partially Paid","Unpaid"))</f>
        <v>Paid</v>
      </c>
    </row>
    <row r="192" customFormat="false" ht="15" hidden="false" customHeight="false" outlineLevel="0" collapsed="false">
      <c r="A192" s="16" t="str">
        <f aca="false">Customer_Invoices_AR!A189</f>
        <v>ARI60188</v>
      </c>
      <c r="B192" s="16" t="str">
        <f aca="false">Customer_Invoices_AR!B189</f>
        <v>C2030</v>
      </c>
      <c r="C192" s="16" t="str">
        <f aca="false">IFERROR(INDEX(Customer_Master!$B$2:$B$31,MATCH(B192,Customer_Master!$A$2:$A$31,0)),"Unknown Customer")</f>
        <v>Sanchez, Wheeler and Harvey</v>
      </c>
      <c r="D192" s="17" t="n">
        <f aca="false">Customer_Invoices_AR!C189</f>
        <v>45983</v>
      </c>
      <c r="E192" s="17" t="n">
        <f aca="false">Customer_Invoices_AR!E189</f>
        <v>45998</v>
      </c>
      <c r="F192" s="18" t="n">
        <f aca="false">Customer_Invoices_AR!D189</f>
        <v>650.59</v>
      </c>
      <c r="G192" s="18" t="n">
        <f aca="false">SUMIFS(Cash_Receipts_AR!$E$2:$E$503,Cash_Receipts_AR!$B$2:$B$503,A192)</f>
        <v>650.59</v>
      </c>
      <c r="H192" s="18" t="n">
        <f aca="false">F192-G192</f>
        <v>0</v>
      </c>
      <c r="I192" s="16" t="n">
        <f aca="false">IF(H192&lt;=0.01,0,MAX(Assumptions!$B$5-E192,0))</f>
        <v>0</v>
      </c>
      <c r="J192" s="16" t="str">
        <f aca="false">IF(H192&lt;=0.01,"Paid",IF(I192&lt;=30,"0-30",IF(I192&lt;=60,"31-60",IF(I192&lt;=90,"61-90","90+"))))</f>
        <v>Paid</v>
      </c>
      <c r="K192" s="16" t="str">
        <f aca="false">IF(H192&lt;=0.01,"Paid",IF(G192&gt;0,"Partially Paid","Unpaid"))</f>
        <v>Paid</v>
      </c>
    </row>
    <row r="193" customFormat="false" ht="15" hidden="false" customHeight="false" outlineLevel="0" collapsed="false">
      <c r="A193" s="16" t="str">
        <f aca="false">Customer_Invoices_AR!A190</f>
        <v>ARI60189</v>
      </c>
      <c r="B193" s="16" t="str">
        <f aca="false">Customer_Invoices_AR!B190</f>
        <v>C2030</v>
      </c>
      <c r="C193" s="16" t="str">
        <f aca="false">IFERROR(INDEX(Customer_Master!$B$2:$B$31,MATCH(B193,Customer_Master!$A$2:$A$31,0)),"Unknown Customer")</f>
        <v>Sanchez, Wheeler and Harvey</v>
      </c>
      <c r="D193" s="17" t="n">
        <f aca="false">Customer_Invoices_AR!C190</f>
        <v>45666</v>
      </c>
      <c r="E193" s="17" t="n">
        <f aca="false">Customer_Invoices_AR!E190</f>
        <v>45681</v>
      </c>
      <c r="F193" s="18" t="n">
        <f aca="false">Customer_Invoices_AR!D190</f>
        <v>14441.58</v>
      </c>
      <c r="G193" s="18" t="n">
        <f aca="false">SUMIFS(Cash_Receipts_AR!$E$2:$E$503,Cash_Receipts_AR!$B$2:$B$503,A193)</f>
        <v>14441.58</v>
      </c>
      <c r="H193" s="18" t="n">
        <f aca="false">F193-G193</f>
        <v>0</v>
      </c>
      <c r="I193" s="16" t="n">
        <f aca="false">IF(H193&lt;=0.01,0,MAX(Assumptions!$B$5-E193,0))</f>
        <v>0</v>
      </c>
      <c r="J193" s="16" t="str">
        <f aca="false">IF(H193&lt;=0.01,"Paid",IF(I193&lt;=30,"0-30",IF(I193&lt;=60,"31-60",IF(I193&lt;=90,"61-90","90+"))))</f>
        <v>Paid</v>
      </c>
      <c r="K193" s="16" t="str">
        <f aca="false">IF(H193&lt;=0.01,"Paid",IF(G193&gt;0,"Partially Paid","Unpaid"))</f>
        <v>Paid</v>
      </c>
    </row>
    <row r="194" customFormat="false" ht="15" hidden="false" customHeight="false" outlineLevel="0" collapsed="false">
      <c r="A194" s="16" t="str">
        <f aca="false">Customer_Invoices_AR!A191</f>
        <v>ARI60190</v>
      </c>
      <c r="B194" s="16" t="str">
        <f aca="false">Customer_Invoices_AR!B191</f>
        <v>C2005</v>
      </c>
      <c r="C194" s="16" t="str">
        <f aca="false">IFERROR(INDEX(Customer_Master!$B$2:$B$31,MATCH(B194,Customer_Master!$A$2:$A$31,0)),"Unknown Customer")</f>
        <v>Jones-Young</v>
      </c>
      <c r="D194" s="17" t="n">
        <f aca="false">Customer_Invoices_AR!C191</f>
        <v>45938</v>
      </c>
      <c r="E194" s="17" t="n">
        <f aca="false">Customer_Invoices_AR!E191</f>
        <v>45953</v>
      </c>
      <c r="F194" s="18" t="n">
        <f aca="false">Customer_Invoices_AR!D191</f>
        <v>8138.88</v>
      </c>
      <c r="G194" s="18" t="n">
        <f aca="false">SUMIFS(Cash_Receipts_AR!$E$2:$E$503,Cash_Receipts_AR!$B$2:$B$503,A194)</f>
        <v>8138.88</v>
      </c>
      <c r="H194" s="18" t="n">
        <f aca="false">F194-G194</f>
        <v>0</v>
      </c>
      <c r="I194" s="16" t="n">
        <f aca="false">IF(H194&lt;=0.01,0,MAX(Assumptions!$B$5-E194,0))</f>
        <v>0</v>
      </c>
      <c r="J194" s="16" t="str">
        <f aca="false">IF(H194&lt;=0.01,"Paid",IF(I194&lt;=30,"0-30",IF(I194&lt;=60,"31-60",IF(I194&lt;=90,"61-90","90+"))))</f>
        <v>Paid</v>
      </c>
      <c r="K194" s="16" t="str">
        <f aca="false">IF(H194&lt;=0.01,"Paid",IF(G194&gt;0,"Partially Paid","Unpaid"))</f>
        <v>Paid</v>
      </c>
    </row>
    <row r="195" customFormat="false" ht="15" hidden="false" customHeight="false" outlineLevel="0" collapsed="false">
      <c r="A195" s="16" t="str">
        <f aca="false">Customer_Invoices_AR!A192</f>
        <v>ARI60191</v>
      </c>
      <c r="B195" s="16" t="str">
        <f aca="false">Customer_Invoices_AR!B192</f>
        <v>C2028</v>
      </c>
      <c r="C195" s="16" t="str">
        <f aca="false">IFERROR(INDEX(Customer_Master!$B$2:$B$31,MATCH(B195,Customer_Master!$A$2:$A$31,0)),"Unknown Customer")</f>
        <v>Jones Inc</v>
      </c>
      <c r="D195" s="17" t="n">
        <f aca="false">Customer_Invoices_AR!C192</f>
        <v>45789</v>
      </c>
      <c r="E195" s="17" t="n">
        <f aca="false">Customer_Invoices_AR!E192</f>
        <v>45804</v>
      </c>
      <c r="F195" s="18" t="n">
        <f aca="false">Customer_Invoices_AR!D192</f>
        <v>5632.06</v>
      </c>
      <c r="G195" s="18" t="n">
        <f aca="false">SUMIFS(Cash_Receipts_AR!$E$2:$E$503,Cash_Receipts_AR!$B$2:$B$503,A195)</f>
        <v>5632.06</v>
      </c>
      <c r="H195" s="18" t="n">
        <f aca="false">F195-G195</f>
        <v>0</v>
      </c>
      <c r="I195" s="16" t="n">
        <f aca="false">IF(H195&lt;=0.01,0,MAX(Assumptions!$B$5-E195,0))</f>
        <v>0</v>
      </c>
      <c r="J195" s="16" t="str">
        <f aca="false">IF(H195&lt;=0.01,"Paid",IF(I195&lt;=30,"0-30",IF(I195&lt;=60,"31-60",IF(I195&lt;=90,"61-90","90+"))))</f>
        <v>Paid</v>
      </c>
      <c r="K195" s="16" t="str">
        <f aca="false">IF(H195&lt;=0.01,"Paid",IF(G195&gt;0,"Partially Paid","Unpaid"))</f>
        <v>Paid</v>
      </c>
    </row>
    <row r="196" customFormat="false" ht="15" hidden="false" customHeight="false" outlineLevel="0" collapsed="false">
      <c r="A196" s="16" t="str">
        <f aca="false">Customer_Invoices_AR!A193</f>
        <v>ARI60192</v>
      </c>
      <c r="B196" s="16" t="str">
        <f aca="false">Customer_Invoices_AR!B193</f>
        <v>C2012</v>
      </c>
      <c r="C196" s="16" t="str">
        <f aca="false">IFERROR(INDEX(Customer_Master!$B$2:$B$31,MATCH(B196,Customer_Master!$A$2:$A$31,0)),"Unknown Customer")</f>
        <v>Wright and Sons</v>
      </c>
      <c r="D196" s="17" t="n">
        <f aca="false">Customer_Invoices_AR!C193</f>
        <v>45736</v>
      </c>
      <c r="E196" s="17" t="n">
        <f aca="false">Customer_Invoices_AR!E193</f>
        <v>45781</v>
      </c>
      <c r="F196" s="18" t="n">
        <f aca="false">Customer_Invoices_AR!D193</f>
        <v>3931.49</v>
      </c>
      <c r="G196" s="18" t="n">
        <f aca="false">SUMIFS(Cash_Receipts_AR!$E$2:$E$503,Cash_Receipts_AR!$B$2:$B$503,A196)</f>
        <v>2360.98</v>
      </c>
      <c r="H196" s="18" t="n">
        <f aca="false">F196-G196</f>
        <v>1570.51</v>
      </c>
      <c r="I196" s="16" t="n">
        <f aca="false">IF(H196&lt;=0.01,0,MAX(Assumptions!$B$5-E196,0))</f>
        <v>453</v>
      </c>
      <c r="J196" s="16" t="str">
        <f aca="false">IF(H196&lt;=0.01,"Paid",IF(I196&lt;=30,"0-30",IF(I196&lt;=60,"31-60",IF(I196&lt;=90,"61-90","90+"))))</f>
        <v>90+</v>
      </c>
      <c r="K196" s="16" t="str">
        <f aca="false">IF(H196&lt;=0.01,"Paid",IF(G196&gt;0,"Partially Paid","Unpaid"))</f>
        <v>Partially Paid</v>
      </c>
    </row>
    <row r="197" customFormat="false" ht="15" hidden="false" customHeight="false" outlineLevel="0" collapsed="false">
      <c r="A197" s="16" t="str">
        <f aca="false">Customer_Invoices_AR!A194</f>
        <v>ARI60193</v>
      </c>
      <c r="B197" s="16" t="str">
        <f aca="false">Customer_Invoices_AR!B194</f>
        <v>C2004</v>
      </c>
      <c r="C197" s="16" t="str">
        <f aca="false">IFERROR(INDEX(Customer_Master!$B$2:$B$31,MATCH(B197,Customer_Master!$A$2:$A$31,0)),"Unknown Customer")</f>
        <v>Jones Inc</v>
      </c>
      <c r="D197" s="17" t="n">
        <f aca="false">Customer_Invoices_AR!C194</f>
        <v>45891</v>
      </c>
      <c r="E197" s="17" t="n">
        <f aca="false">Customer_Invoices_AR!E194</f>
        <v>45921</v>
      </c>
      <c r="F197" s="18" t="n">
        <f aca="false">Customer_Invoices_AR!D194</f>
        <v>1675.46</v>
      </c>
      <c r="G197" s="18" t="n">
        <f aca="false">SUMIFS(Cash_Receipts_AR!$E$2:$E$503,Cash_Receipts_AR!$B$2:$B$503,A197)</f>
        <v>1675.46</v>
      </c>
      <c r="H197" s="18" t="n">
        <f aca="false">F197-G197</f>
        <v>0</v>
      </c>
      <c r="I197" s="16" t="n">
        <f aca="false">IF(H197&lt;=0.01,0,MAX(Assumptions!$B$5-E197,0))</f>
        <v>0</v>
      </c>
      <c r="J197" s="16" t="str">
        <f aca="false">IF(H197&lt;=0.01,"Paid",IF(I197&lt;=30,"0-30",IF(I197&lt;=60,"31-60",IF(I197&lt;=90,"61-90","90+"))))</f>
        <v>Paid</v>
      </c>
      <c r="K197" s="16" t="str">
        <f aca="false">IF(H197&lt;=0.01,"Paid",IF(G197&gt;0,"Partially Paid","Unpaid"))</f>
        <v>Paid</v>
      </c>
    </row>
    <row r="198" customFormat="false" ht="15" hidden="false" customHeight="false" outlineLevel="0" collapsed="false">
      <c r="A198" s="16" t="str">
        <f aca="false">Customer_Invoices_AR!A195</f>
        <v>ARI60194</v>
      </c>
      <c r="B198" s="16" t="str">
        <f aca="false">Customer_Invoices_AR!B195</f>
        <v>C2021</v>
      </c>
      <c r="C198" s="16" t="str">
        <f aca="false">IFERROR(INDEX(Customer_Master!$B$2:$B$31,MATCH(B198,Customer_Master!$A$2:$A$31,0)),"Unknown Customer")</f>
        <v>House-Glover</v>
      </c>
      <c r="D198" s="17" t="n">
        <f aca="false">Customer_Invoices_AR!C195</f>
        <v>45993</v>
      </c>
      <c r="E198" s="17" t="n">
        <f aca="false">Customer_Invoices_AR!E195</f>
        <v>46053</v>
      </c>
      <c r="F198" s="18" t="n">
        <f aca="false">Customer_Invoices_AR!D195</f>
        <v>4788.54</v>
      </c>
      <c r="G198" s="18" t="n">
        <f aca="false">SUMIFS(Cash_Receipts_AR!$E$2:$E$503,Cash_Receipts_AR!$B$2:$B$503,A198)</f>
        <v>4788.54</v>
      </c>
      <c r="H198" s="18" t="n">
        <f aca="false">F198-G198</f>
        <v>0</v>
      </c>
      <c r="I198" s="16" t="n">
        <f aca="false">IF(H198&lt;=0.01,0,MAX(Assumptions!$B$5-E198,0))</f>
        <v>0</v>
      </c>
      <c r="J198" s="16" t="str">
        <f aca="false">IF(H198&lt;=0.01,"Paid",IF(I198&lt;=30,"0-30",IF(I198&lt;=60,"31-60",IF(I198&lt;=90,"61-90","90+"))))</f>
        <v>Paid</v>
      </c>
      <c r="K198" s="16" t="str">
        <f aca="false">IF(H198&lt;=0.01,"Paid",IF(G198&gt;0,"Partially Paid","Unpaid"))</f>
        <v>Paid</v>
      </c>
    </row>
    <row r="199" customFormat="false" ht="15" hidden="false" customHeight="false" outlineLevel="0" collapsed="false">
      <c r="A199" s="16" t="str">
        <f aca="false">Customer_Invoices_AR!A196</f>
        <v>ARI60195</v>
      </c>
      <c r="B199" s="16" t="str">
        <f aca="false">Customer_Invoices_AR!B196</f>
        <v>C2027</v>
      </c>
      <c r="C199" s="16" t="str">
        <f aca="false">IFERROR(INDEX(Customer_Master!$B$2:$B$31,MATCH(B199,Customer_Master!$A$2:$A$31,0)),"Unknown Customer")</f>
        <v>Yu Inc</v>
      </c>
      <c r="D199" s="17" t="n">
        <f aca="false">Customer_Invoices_AR!C196</f>
        <v>45789</v>
      </c>
      <c r="E199" s="17" t="n">
        <f aca="false">Customer_Invoices_AR!E196</f>
        <v>45849</v>
      </c>
      <c r="F199" s="18" t="n">
        <f aca="false">Customer_Invoices_AR!D196</f>
        <v>1283.11</v>
      </c>
      <c r="G199" s="18" t="n">
        <f aca="false">SUMIFS(Cash_Receipts_AR!$E$2:$E$503,Cash_Receipts_AR!$B$2:$B$503,A199)</f>
        <v>1283.11</v>
      </c>
      <c r="H199" s="18" t="n">
        <f aca="false">F199-G199</f>
        <v>0</v>
      </c>
      <c r="I199" s="16" t="n">
        <f aca="false">IF(H199&lt;=0.01,0,MAX(Assumptions!$B$5-E199,0))</f>
        <v>0</v>
      </c>
      <c r="J199" s="16" t="str">
        <f aca="false">IF(H199&lt;=0.01,"Paid",IF(I199&lt;=30,"0-30",IF(I199&lt;=60,"31-60",IF(I199&lt;=90,"61-90","90+"))))</f>
        <v>Paid</v>
      </c>
      <c r="K199" s="16" t="str">
        <f aca="false">IF(H199&lt;=0.01,"Paid",IF(G199&gt;0,"Partially Paid","Unpaid"))</f>
        <v>Paid</v>
      </c>
    </row>
    <row r="200" customFormat="false" ht="15" hidden="false" customHeight="false" outlineLevel="0" collapsed="false">
      <c r="A200" s="16" t="str">
        <f aca="false">Customer_Invoices_AR!A197</f>
        <v>ARI60196</v>
      </c>
      <c r="B200" s="16" t="str">
        <f aca="false">Customer_Invoices_AR!B197</f>
        <v>C2008</v>
      </c>
      <c r="C200" s="16" t="str">
        <f aca="false">IFERROR(INDEX(Customer_Master!$B$2:$B$31,MATCH(B200,Customer_Master!$A$2:$A$31,0)),"Unknown Customer")</f>
        <v>Lee-Davis</v>
      </c>
      <c r="D200" s="17" t="n">
        <f aca="false">Customer_Invoices_AR!C197</f>
        <v>45885</v>
      </c>
      <c r="E200" s="17" t="n">
        <f aca="false">Customer_Invoices_AR!E197</f>
        <v>45945</v>
      </c>
      <c r="F200" s="18" t="n">
        <f aca="false">Customer_Invoices_AR!D197</f>
        <v>5545.72</v>
      </c>
      <c r="G200" s="18" t="n">
        <f aca="false">SUMIFS(Cash_Receipts_AR!$E$2:$E$503,Cash_Receipts_AR!$B$2:$B$503,A200)</f>
        <v>5545.72</v>
      </c>
      <c r="H200" s="18" t="n">
        <f aca="false">F200-G200</f>
        <v>0</v>
      </c>
      <c r="I200" s="16" t="n">
        <f aca="false">IF(H200&lt;=0.01,0,MAX(Assumptions!$B$5-E200,0))</f>
        <v>0</v>
      </c>
      <c r="J200" s="16" t="str">
        <f aca="false">IF(H200&lt;=0.01,"Paid",IF(I200&lt;=30,"0-30",IF(I200&lt;=60,"31-60",IF(I200&lt;=90,"61-90","90+"))))</f>
        <v>Paid</v>
      </c>
      <c r="K200" s="16" t="str">
        <f aca="false">IF(H200&lt;=0.01,"Paid",IF(G200&gt;0,"Partially Paid","Unpaid"))</f>
        <v>Paid</v>
      </c>
    </row>
    <row r="201" customFormat="false" ht="15" hidden="false" customHeight="false" outlineLevel="0" collapsed="false">
      <c r="A201" s="16" t="str">
        <f aca="false">Customer_Invoices_AR!A198</f>
        <v>ARI60197</v>
      </c>
      <c r="B201" s="16" t="str">
        <f aca="false">Customer_Invoices_AR!B198</f>
        <v>C2024</v>
      </c>
      <c r="C201" s="16" t="str">
        <f aca="false">IFERROR(INDEX(Customer_Master!$B$2:$B$31,MATCH(B201,Customer_Master!$A$2:$A$31,0)),"Unknown Customer")</f>
        <v>Novak PLC</v>
      </c>
      <c r="D201" s="17" t="n">
        <f aca="false">Customer_Invoices_AR!C198</f>
        <v>46020</v>
      </c>
      <c r="E201" s="17" t="n">
        <f aca="false">Customer_Invoices_AR!E198</f>
        <v>46080</v>
      </c>
      <c r="F201" s="18" t="n">
        <f aca="false">Customer_Invoices_AR!D198</f>
        <v>2989.16</v>
      </c>
      <c r="G201" s="18" t="n">
        <f aca="false">SUMIFS(Cash_Receipts_AR!$E$2:$E$503,Cash_Receipts_AR!$B$2:$B$503,A201)</f>
        <v>2989.16</v>
      </c>
      <c r="H201" s="18" t="n">
        <f aca="false">F201-G201</f>
        <v>0</v>
      </c>
      <c r="I201" s="16" t="n">
        <f aca="false">IF(H201&lt;=0.01,0,MAX(Assumptions!$B$5-E201,0))</f>
        <v>0</v>
      </c>
      <c r="J201" s="16" t="str">
        <f aca="false">IF(H201&lt;=0.01,"Paid",IF(I201&lt;=30,"0-30",IF(I201&lt;=60,"31-60",IF(I201&lt;=90,"61-90","90+"))))</f>
        <v>Paid</v>
      </c>
      <c r="K201" s="16" t="str">
        <f aca="false">IF(H201&lt;=0.01,"Paid",IF(G201&gt;0,"Partially Paid","Unpaid"))</f>
        <v>Paid</v>
      </c>
    </row>
    <row r="202" customFormat="false" ht="15" hidden="false" customHeight="false" outlineLevel="0" collapsed="false">
      <c r="A202" s="16" t="str">
        <f aca="false">Customer_Invoices_AR!A199</f>
        <v>ARI60198</v>
      </c>
      <c r="B202" s="16" t="str">
        <f aca="false">Customer_Invoices_AR!B199</f>
        <v>C2024</v>
      </c>
      <c r="C202" s="16" t="str">
        <f aca="false">IFERROR(INDEX(Customer_Master!$B$2:$B$31,MATCH(B202,Customer_Master!$A$2:$A$31,0)),"Unknown Customer")</f>
        <v>Novak PLC</v>
      </c>
      <c r="D202" s="17" t="n">
        <f aca="false">Customer_Invoices_AR!C199</f>
        <v>45704</v>
      </c>
      <c r="E202" s="17" t="n">
        <f aca="false">Customer_Invoices_AR!E199</f>
        <v>45764</v>
      </c>
      <c r="F202" s="18" t="n">
        <f aca="false">Customer_Invoices_AR!D199</f>
        <v>3613.89</v>
      </c>
      <c r="G202" s="18" t="n">
        <f aca="false">SUMIFS(Cash_Receipts_AR!$E$2:$E$503,Cash_Receipts_AR!$B$2:$B$503,A202)</f>
        <v>3613.89</v>
      </c>
      <c r="H202" s="18" t="n">
        <f aca="false">F202-G202</f>
        <v>0</v>
      </c>
      <c r="I202" s="16" t="n">
        <f aca="false">IF(H202&lt;=0.01,0,MAX(Assumptions!$B$5-E202,0))</f>
        <v>0</v>
      </c>
      <c r="J202" s="16" t="str">
        <f aca="false">IF(H202&lt;=0.01,"Paid",IF(I202&lt;=30,"0-30",IF(I202&lt;=60,"31-60",IF(I202&lt;=90,"61-90","90+"))))</f>
        <v>Paid</v>
      </c>
      <c r="K202" s="16" t="str">
        <f aca="false">IF(H202&lt;=0.01,"Paid",IF(G202&gt;0,"Partially Paid","Unpaid"))</f>
        <v>Paid</v>
      </c>
    </row>
    <row r="203" customFormat="false" ht="15" hidden="false" customHeight="false" outlineLevel="0" collapsed="false">
      <c r="A203" s="16" t="str">
        <f aca="false">Customer_Invoices_AR!A200</f>
        <v>ARI60199</v>
      </c>
      <c r="B203" s="16" t="str">
        <f aca="false">Customer_Invoices_AR!B200</f>
        <v>C2006</v>
      </c>
      <c r="C203" s="16" t="str">
        <f aca="false">IFERROR(INDEX(Customer_Master!$B$2:$B$31,MATCH(B203,Customer_Master!$A$2:$A$31,0)),"Unknown Customer")</f>
        <v>Washington, Ryan and Cummings</v>
      </c>
      <c r="D203" s="17" t="n">
        <f aca="false">Customer_Invoices_AR!C200</f>
        <v>46189</v>
      </c>
      <c r="E203" s="17" t="n">
        <f aca="false">Customer_Invoices_AR!E200</f>
        <v>46204</v>
      </c>
      <c r="F203" s="18" t="n">
        <f aca="false">Customer_Invoices_AR!D200</f>
        <v>8770.73</v>
      </c>
      <c r="G203" s="18" t="n">
        <f aca="false">SUMIFS(Cash_Receipts_AR!$E$2:$E$503,Cash_Receipts_AR!$B$2:$B$503,A203)</f>
        <v>8770.73</v>
      </c>
      <c r="H203" s="18" t="n">
        <f aca="false">F203-G203</f>
        <v>0</v>
      </c>
      <c r="I203" s="16" t="n">
        <f aca="false">IF(H203&lt;=0.01,0,MAX(Assumptions!$B$5-E203,0))</f>
        <v>0</v>
      </c>
      <c r="J203" s="16" t="str">
        <f aca="false">IF(H203&lt;=0.01,"Paid",IF(I203&lt;=30,"0-30",IF(I203&lt;=60,"31-60",IF(I203&lt;=90,"61-90","90+"))))</f>
        <v>Paid</v>
      </c>
      <c r="K203" s="16" t="str">
        <f aca="false">IF(H203&lt;=0.01,"Paid",IF(G203&gt;0,"Partially Paid","Unpaid"))</f>
        <v>Paid</v>
      </c>
    </row>
    <row r="204" customFormat="false" ht="15" hidden="false" customHeight="false" outlineLevel="0" collapsed="false">
      <c r="A204" s="16" t="str">
        <f aca="false">Customer_Invoices_AR!A201</f>
        <v>ARI60200</v>
      </c>
      <c r="B204" s="16" t="str">
        <f aca="false">Customer_Invoices_AR!B201</f>
        <v>C2017</v>
      </c>
      <c r="C204" s="16" t="str">
        <f aca="false">IFERROR(INDEX(Customer_Master!$B$2:$B$31,MATCH(B204,Customer_Master!$A$2:$A$31,0)),"Unknown Customer")</f>
        <v>Novak and Sons</v>
      </c>
      <c r="D204" s="17" t="n">
        <f aca="false">Customer_Invoices_AR!C201</f>
        <v>45694</v>
      </c>
      <c r="E204" s="17" t="n">
        <f aca="false">Customer_Invoices_AR!E201</f>
        <v>45709</v>
      </c>
      <c r="F204" s="18" t="n">
        <f aca="false">Customer_Invoices_AR!D201</f>
        <v>5089.31</v>
      </c>
      <c r="G204" s="18" t="n">
        <f aca="false">SUMIFS(Cash_Receipts_AR!$E$2:$E$503,Cash_Receipts_AR!$B$2:$B$503,A204)</f>
        <v>0</v>
      </c>
      <c r="H204" s="18" t="n">
        <f aca="false">F204-G204</f>
        <v>5089.31</v>
      </c>
      <c r="I204" s="16" t="n">
        <f aca="false">IF(H204&lt;=0.01,0,MAX(Assumptions!$B$5-E204,0))</f>
        <v>525</v>
      </c>
      <c r="J204" s="16" t="str">
        <f aca="false">IF(H204&lt;=0.01,"Paid",IF(I204&lt;=30,"0-30",IF(I204&lt;=60,"31-60",IF(I204&lt;=90,"61-90","90+"))))</f>
        <v>90+</v>
      </c>
      <c r="K204" s="16" t="str">
        <f aca="false">IF(H204&lt;=0.01,"Paid",IF(G204&gt;0,"Partially Paid","Unpaid"))</f>
        <v>Unpaid</v>
      </c>
    </row>
    <row r="205" customFormat="false" ht="15" hidden="false" customHeight="false" outlineLevel="0" collapsed="false">
      <c r="A205" s="16" t="str">
        <f aca="false">Customer_Invoices_AR!A202</f>
        <v>ARI60201</v>
      </c>
      <c r="B205" s="16" t="str">
        <f aca="false">Customer_Invoices_AR!B202</f>
        <v>C2024</v>
      </c>
      <c r="C205" s="16" t="str">
        <f aca="false">IFERROR(INDEX(Customer_Master!$B$2:$B$31,MATCH(B205,Customer_Master!$A$2:$A$31,0)),"Unknown Customer")</f>
        <v>Novak PLC</v>
      </c>
      <c r="D205" s="17" t="n">
        <f aca="false">Customer_Invoices_AR!C202</f>
        <v>45944</v>
      </c>
      <c r="E205" s="17" t="n">
        <f aca="false">Customer_Invoices_AR!E202</f>
        <v>46004</v>
      </c>
      <c r="F205" s="18" t="n">
        <f aca="false">Customer_Invoices_AR!D202</f>
        <v>1860.95</v>
      </c>
      <c r="G205" s="18" t="n">
        <f aca="false">SUMIFS(Cash_Receipts_AR!$E$2:$E$503,Cash_Receipts_AR!$B$2:$B$503,A205)</f>
        <v>1860.95</v>
      </c>
      <c r="H205" s="18" t="n">
        <f aca="false">F205-G205</f>
        <v>0</v>
      </c>
      <c r="I205" s="16" t="n">
        <f aca="false">IF(H205&lt;=0.01,0,MAX(Assumptions!$B$5-E205,0))</f>
        <v>0</v>
      </c>
      <c r="J205" s="16" t="str">
        <f aca="false">IF(H205&lt;=0.01,"Paid",IF(I205&lt;=30,"0-30",IF(I205&lt;=60,"31-60",IF(I205&lt;=90,"61-90","90+"))))</f>
        <v>Paid</v>
      </c>
      <c r="K205" s="16" t="str">
        <f aca="false">IF(H205&lt;=0.01,"Paid",IF(G205&gt;0,"Partially Paid","Unpaid"))</f>
        <v>Paid</v>
      </c>
    </row>
    <row r="206" customFormat="false" ht="15" hidden="false" customHeight="false" outlineLevel="0" collapsed="false">
      <c r="A206" s="16" t="str">
        <f aca="false">Customer_Invoices_AR!A203</f>
        <v>ARI60202</v>
      </c>
      <c r="B206" s="16" t="str">
        <f aca="false">Customer_Invoices_AR!B203</f>
        <v>C2012</v>
      </c>
      <c r="C206" s="16" t="str">
        <f aca="false">IFERROR(INDEX(Customer_Master!$B$2:$B$31,MATCH(B206,Customer_Master!$A$2:$A$31,0)),"Unknown Customer")</f>
        <v>Wright and Sons</v>
      </c>
      <c r="D206" s="17" t="n">
        <f aca="false">Customer_Invoices_AR!C203</f>
        <v>45934</v>
      </c>
      <c r="E206" s="17" t="n">
        <f aca="false">Customer_Invoices_AR!E203</f>
        <v>45979</v>
      </c>
      <c r="F206" s="18" t="n">
        <f aca="false">Customer_Invoices_AR!D203</f>
        <v>9808.37</v>
      </c>
      <c r="G206" s="18" t="n">
        <f aca="false">SUMIFS(Cash_Receipts_AR!$E$2:$E$503,Cash_Receipts_AR!$B$2:$B$503,A206)</f>
        <v>9808.37</v>
      </c>
      <c r="H206" s="18" t="n">
        <f aca="false">F206-G206</f>
        <v>0</v>
      </c>
      <c r="I206" s="16" t="n">
        <f aca="false">IF(H206&lt;=0.01,0,MAX(Assumptions!$B$5-E206,0))</f>
        <v>0</v>
      </c>
      <c r="J206" s="16" t="str">
        <f aca="false">IF(H206&lt;=0.01,"Paid",IF(I206&lt;=30,"0-30",IF(I206&lt;=60,"31-60",IF(I206&lt;=90,"61-90","90+"))))</f>
        <v>Paid</v>
      </c>
      <c r="K206" s="16" t="str">
        <f aca="false">IF(H206&lt;=0.01,"Paid",IF(G206&gt;0,"Partially Paid","Unpaid"))</f>
        <v>Paid</v>
      </c>
    </row>
    <row r="207" customFormat="false" ht="15" hidden="false" customHeight="false" outlineLevel="0" collapsed="false">
      <c r="A207" s="16" t="str">
        <f aca="false">Customer_Invoices_AR!A204</f>
        <v>ARI60203</v>
      </c>
      <c r="B207" s="16" t="str">
        <f aca="false">Customer_Invoices_AR!B204</f>
        <v>C2030</v>
      </c>
      <c r="C207" s="16" t="str">
        <f aca="false">IFERROR(INDEX(Customer_Master!$B$2:$B$31,MATCH(B207,Customer_Master!$A$2:$A$31,0)),"Unknown Customer")</f>
        <v>Sanchez, Wheeler and Harvey</v>
      </c>
      <c r="D207" s="17" t="n">
        <f aca="false">Customer_Invoices_AR!C204</f>
        <v>46196</v>
      </c>
      <c r="E207" s="17" t="n">
        <f aca="false">Customer_Invoices_AR!E204</f>
        <v>46211</v>
      </c>
      <c r="F207" s="18" t="n">
        <f aca="false">Customer_Invoices_AR!D204</f>
        <v>834.04</v>
      </c>
      <c r="G207" s="18" t="n">
        <f aca="false">SUMIFS(Cash_Receipts_AR!$E$2:$E$503,Cash_Receipts_AR!$B$2:$B$503,A207)</f>
        <v>0</v>
      </c>
      <c r="H207" s="18" t="n">
        <f aca="false">F207-G207</f>
        <v>834.04</v>
      </c>
      <c r="I207" s="16" t="n">
        <f aca="false">IF(H207&lt;=0.01,0,MAX(Assumptions!$B$5-E207,0))</f>
        <v>23</v>
      </c>
      <c r="J207" s="16" t="str">
        <f aca="false">IF(H207&lt;=0.01,"Paid",IF(I207&lt;=30,"0-30",IF(I207&lt;=60,"31-60",IF(I207&lt;=90,"61-90","90+"))))</f>
        <v>0-30</v>
      </c>
      <c r="K207" s="16" t="str">
        <f aca="false">IF(H207&lt;=0.01,"Paid",IF(G207&gt;0,"Partially Paid","Unpaid"))</f>
        <v>Unpaid</v>
      </c>
    </row>
    <row r="208" customFormat="false" ht="15" hidden="false" customHeight="false" outlineLevel="0" collapsed="false">
      <c r="A208" s="16" t="str">
        <f aca="false">Customer_Invoices_AR!A205</f>
        <v>ARI60204</v>
      </c>
      <c r="B208" s="16" t="str">
        <f aca="false">Customer_Invoices_AR!B205</f>
        <v>C2011</v>
      </c>
      <c r="C208" s="16" t="str">
        <f aca="false">IFERROR(INDEX(Customer_Master!$B$2:$B$31,MATCH(B208,Customer_Master!$A$2:$A$31,0)),"Unknown Customer")</f>
        <v>Powell LLC</v>
      </c>
      <c r="D208" s="17" t="n">
        <f aca="false">Customer_Invoices_AR!C205</f>
        <v>45960</v>
      </c>
      <c r="E208" s="17" t="n">
        <f aca="false">Customer_Invoices_AR!E205</f>
        <v>45990</v>
      </c>
      <c r="F208" s="18" t="n">
        <f aca="false">Customer_Invoices_AR!D205</f>
        <v>1305.87</v>
      </c>
      <c r="G208" s="18" t="n">
        <f aca="false">SUMIFS(Cash_Receipts_AR!$E$2:$E$503,Cash_Receipts_AR!$B$2:$B$503,A208)</f>
        <v>1305.87</v>
      </c>
      <c r="H208" s="18" t="n">
        <f aca="false">F208-G208</f>
        <v>0</v>
      </c>
      <c r="I208" s="16" t="n">
        <f aca="false">IF(H208&lt;=0.01,0,MAX(Assumptions!$B$5-E208,0))</f>
        <v>0</v>
      </c>
      <c r="J208" s="16" t="str">
        <f aca="false">IF(H208&lt;=0.01,"Paid",IF(I208&lt;=30,"0-30",IF(I208&lt;=60,"31-60",IF(I208&lt;=90,"61-90","90+"))))</f>
        <v>Paid</v>
      </c>
      <c r="K208" s="16" t="str">
        <f aca="false">IF(H208&lt;=0.01,"Paid",IF(G208&gt;0,"Partially Paid","Unpaid"))</f>
        <v>Paid</v>
      </c>
    </row>
    <row r="209" customFormat="false" ht="15" hidden="false" customHeight="false" outlineLevel="0" collapsed="false">
      <c r="A209" s="16" t="str">
        <f aca="false">Customer_Invoices_AR!A206</f>
        <v>ARI60205</v>
      </c>
      <c r="B209" s="16" t="str">
        <f aca="false">Customer_Invoices_AR!B206</f>
        <v>C2001</v>
      </c>
      <c r="C209" s="16" t="str">
        <f aca="false">IFERROR(INDEX(Customer_Master!$B$2:$B$31,MATCH(B209,Customer_Master!$A$2:$A$31,0)),"Unknown Customer")</f>
        <v>Wright Inc</v>
      </c>
      <c r="D209" s="17" t="n">
        <f aca="false">Customer_Invoices_AR!C206</f>
        <v>45870</v>
      </c>
      <c r="E209" s="17" t="n">
        <f aca="false">Customer_Invoices_AR!E206</f>
        <v>45915</v>
      </c>
      <c r="F209" s="18" t="n">
        <f aca="false">Customer_Invoices_AR!D206</f>
        <v>5919.46</v>
      </c>
      <c r="G209" s="18" t="n">
        <f aca="false">SUMIFS(Cash_Receipts_AR!$E$2:$E$503,Cash_Receipts_AR!$B$2:$B$503,A209)</f>
        <v>5919.46</v>
      </c>
      <c r="H209" s="18" t="n">
        <f aca="false">F209-G209</f>
        <v>0</v>
      </c>
      <c r="I209" s="16" t="n">
        <f aca="false">IF(H209&lt;=0.01,0,MAX(Assumptions!$B$5-E209,0))</f>
        <v>0</v>
      </c>
      <c r="J209" s="16" t="str">
        <f aca="false">IF(H209&lt;=0.01,"Paid",IF(I209&lt;=30,"0-30",IF(I209&lt;=60,"31-60",IF(I209&lt;=90,"61-90","90+"))))</f>
        <v>Paid</v>
      </c>
      <c r="K209" s="16" t="str">
        <f aca="false">IF(H209&lt;=0.01,"Paid",IF(G209&gt;0,"Partially Paid","Unpaid"))</f>
        <v>Paid</v>
      </c>
    </row>
    <row r="210" customFormat="false" ht="15" hidden="false" customHeight="false" outlineLevel="0" collapsed="false">
      <c r="A210" s="16" t="str">
        <f aca="false">Customer_Invoices_AR!A207</f>
        <v>ARI60206</v>
      </c>
      <c r="B210" s="16" t="str">
        <f aca="false">Customer_Invoices_AR!B207</f>
        <v>C2011</v>
      </c>
      <c r="C210" s="16" t="str">
        <f aca="false">IFERROR(INDEX(Customer_Master!$B$2:$B$31,MATCH(B210,Customer_Master!$A$2:$A$31,0)),"Unknown Customer")</f>
        <v>Powell LLC</v>
      </c>
      <c r="D210" s="17" t="n">
        <f aca="false">Customer_Invoices_AR!C207</f>
        <v>45914</v>
      </c>
      <c r="E210" s="17" t="n">
        <f aca="false">Customer_Invoices_AR!E207</f>
        <v>45944</v>
      </c>
      <c r="F210" s="18" t="n">
        <f aca="false">Customer_Invoices_AR!D207</f>
        <v>318.17</v>
      </c>
      <c r="G210" s="18" t="n">
        <f aca="false">SUMIFS(Cash_Receipts_AR!$E$2:$E$503,Cash_Receipts_AR!$B$2:$B$503,A210)</f>
        <v>318.17</v>
      </c>
      <c r="H210" s="18" t="n">
        <f aca="false">F210-G210</f>
        <v>0</v>
      </c>
      <c r="I210" s="16" t="n">
        <f aca="false">IF(H210&lt;=0.01,0,MAX(Assumptions!$B$5-E210,0))</f>
        <v>0</v>
      </c>
      <c r="J210" s="16" t="str">
        <f aca="false">IF(H210&lt;=0.01,"Paid",IF(I210&lt;=30,"0-30",IF(I210&lt;=60,"31-60",IF(I210&lt;=90,"61-90","90+"))))</f>
        <v>Paid</v>
      </c>
      <c r="K210" s="16" t="str">
        <f aca="false">IF(H210&lt;=0.01,"Paid",IF(G210&gt;0,"Partially Paid","Unpaid"))</f>
        <v>Paid</v>
      </c>
    </row>
    <row r="211" customFormat="false" ht="15" hidden="false" customHeight="false" outlineLevel="0" collapsed="false">
      <c r="A211" s="16" t="str">
        <f aca="false">Customer_Invoices_AR!A208</f>
        <v>ARI60207</v>
      </c>
      <c r="B211" s="16" t="str">
        <f aca="false">Customer_Invoices_AR!B208</f>
        <v>C2017</v>
      </c>
      <c r="C211" s="16" t="str">
        <f aca="false">IFERROR(INDEX(Customer_Master!$B$2:$B$31,MATCH(B211,Customer_Master!$A$2:$A$31,0)),"Unknown Customer")</f>
        <v>Novak and Sons</v>
      </c>
      <c r="D211" s="17" t="n">
        <f aca="false">Customer_Invoices_AR!C208</f>
        <v>46004</v>
      </c>
      <c r="E211" s="17" t="n">
        <f aca="false">Customer_Invoices_AR!E208</f>
        <v>46019</v>
      </c>
      <c r="F211" s="18" t="n">
        <f aca="false">Customer_Invoices_AR!D208</f>
        <v>4186.99</v>
      </c>
      <c r="G211" s="18" t="n">
        <f aca="false">SUMIFS(Cash_Receipts_AR!$E$2:$E$503,Cash_Receipts_AR!$B$2:$B$503,A211)</f>
        <v>4186.99</v>
      </c>
      <c r="H211" s="18" t="n">
        <f aca="false">F211-G211</f>
        <v>0</v>
      </c>
      <c r="I211" s="16" t="n">
        <f aca="false">IF(H211&lt;=0.01,0,MAX(Assumptions!$B$5-E211,0))</f>
        <v>0</v>
      </c>
      <c r="J211" s="16" t="str">
        <f aca="false">IF(H211&lt;=0.01,"Paid",IF(I211&lt;=30,"0-30",IF(I211&lt;=60,"31-60",IF(I211&lt;=90,"61-90","90+"))))</f>
        <v>Paid</v>
      </c>
      <c r="K211" s="16" t="str">
        <f aca="false">IF(H211&lt;=0.01,"Paid",IF(G211&gt;0,"Partially Paid","Unpaid"))</f>
        <v>Paid</v>
      </c>
    </row>
    <row r="212" customFormat="false" ht="15" hidden="false" customHeight="false" outlineLevel="0" collapsed="false">
      <c r="A212" s="16" t="str">
        <f aca="false">Customer_Invoices_AR!A209</f>
        <v>ARI60208</v>
      </c>
      <c r="B212" s="16" t="str">
        <f aca="false">Customer_Invoices_AR!B209</f>
        <v>C2024</v>
      </c>
      <c r="C212" s="16" t="str">
        <f aca="false">IFERROR(INDEX(Customer_Master!$B$2:$B$31,MATCH(B212,Customer_Master!$A$2:$A$31,0)),"Unknown Customer")</f>
        <v>Novak PLC</v>
      </c>
      <c r="D212" s="17" t="n">
        <f aca="false">Customer_Invoices_AR!C209</f>
        <v>46192</v>
      </c>
      <c r="E212" s="17" t="n">
        <f aca="false">Customer_Invoices_AR!E209</f>
        <v>46252</v>
      </c>
      <c r="F212" s="18" t="n">
        <f aca="false">Customer_Invoices_AR!D209</f>
        <v>753.14</v>
      </c>
      <c r="G212" s="18" t="n">
        <f aca="false">SUMIFS(Cash_Receipts_AR!$E$2:$E$503,Cash_Receipts_AR!$B$2:$B$503,A212)</f>
        <v>753.14</v>
      </c>
      <c r="H212" s="18" t="n">
        <f aca="false">F212-G212</f>
        <v>0</v>
      </c>
      <c r="I212" s="16" t="n">
        <f aca="false">IF(H212&lt;=0.01,0,MAX(Assumptions!$B$5-E212,0))</f>
        <v>0</v>
      </c>
      <c r="J212" s="16" t="str">
        <f aca="false">IF(H212&lt;=0.01,"Paid",IF(I212&lt;=30,"0-30",IF(I212&lt;=60,"31-60",IF(I212&lt;=90,"61-90","90+"))))</f>
        <v>Paid</v>
      </c>
      <c r="K212" s="16" t="str">
        <f aca="false">IF(H212&lt;=0.01,"Paid",IF(G212&gt;0,"Partially Paid","Unpaid"))</f>
        <v>Paid</v>
      </c>
    </row>
    <row r="213" customFormat="false" ht="15" hidden="false" customHeight="false" outlineLevel="0" collapsed="false">
      <c r="A213" s="16" t="str">
        <f aca="false">Customer_Invoices_AR!A210</f>
        <v>ARI60209</v>
      </c>
      <c r="B213" s="16" t="str">
        <f aca="false">Customer_Invoices_AR!B210</f>
        <v>C2003</v>
      </c>
      <c r="C213" s="16" t="str">
        <f aca="false">IFERROR(INDEX(Customer_Master!$B$2:$B$31,MATCH(B213,Customer_Master!$A$2:$A$31,0)),"Unknown Customer")</f>
        <v>Robinson, Jones and Welch</v>
      </c>
      <c r="D213" s="17" t="n">
        <f aca="false">Customer_Invoices_AR!C210</f>
        <v>45796</v>
      </c>
      <c r="E213" s="17" t="n">
        <f aca="false">Customer_Invoices_AR!E210</f>
        <v>45841</v>
      </c>
      <c r="F213" s="18" t="n">
        <f aca="false">Customer_Invoices_AR!D210</f>
        <v>672.7</v>
      </c>
      <c r="G213" s="18" t="n">
        <f aca="false">SUMIFS(Cash_Receipts_AR!$E$2:$E$503,Cash_Receipts_AR!$B$2:$B$503,A213)</f>
        <v>0</v>
      </c>
      <c r="H213" s="18" t="n">
        <f aca="false">F213-G213</f>
        <v>672.7</v>
      </c>
      <c r="I213" s="16" t="n">
        <f aca="false">IF(H213&lt;=0.01,0,MAX(Assumptions!$B$5-E213,0))</f>
        <v>393</v>
      </c>
      <c r="J213" s="16" t="str">
        <f aca="false">IF(H213&lt;=0.01,"Paid",IF(I213&lt;=30,"0-30",IF(I213&lt;=60,"31-60",IF(I213&lt;=90,"61-90","90+"))))</f>
        <v>90+</v>
      </c>
      <c r="K213" s="16" t="str">
        <f aca="false">IF(H213&lt;=0.01,"Paid",IF(G213&gt;0,"Partially Paid","Unpaid"))</f>
        <v>Unpaid</v>
      </c>
    </row>
    <row r="214" customFormat="false" ht="15" hidden="false" customHeight="false" outlineLevel="0" collapsed="false">
      <c r="A214" s="16" t="str">
        <f aca="false">Customer_Invoices_AR!A211</f>
        <v>ARI60210</v>
      </c>
      <c r="B214" s="16" t="str">
        <f aca="false">Customer_Invoices_AR!B211</f>
        <v>C2019</v>
      </c>
      <c r="C214" s="16" t="str">
        <f aca="false">IFERROR(INDEX(Customer_Master!$B$2:$B$31,MATCH(B214,Customer_Master!$A$2:$A$31,0)),"Unknown Customer")</f>
        <v>Hancock Inc</v>
      </c>
      <c r="D214" s="17" t="n">
        <f aca="false">Customer_Invoices_AR!C211</f>
        <v>45666</v>
      </c>
      <c r="E214" s="17" t="n">
        <f aca="false">Customer_Invoices_AR!E211</f>
        <v>45681</v>
      </c>
      <c r="F214" s="18" t="n">
        <f aca="false">Customer_Invoices_AR!D211</f>
        <v>6725.63</v>
      </c>
      <c r="G214" s="18" t="n">
        <f aca="false">SUMIFS(Cash_Receipts_AR!$E$2:$E$503,Cash_Receipts_AR!$B$2:$B$503,A214)</f>
        <v>6725.63</v>
      </c>
      <c r="H214" s="18" t="n">
        <f aca="false">F214-G214</f>
        <v>0</v>
      </c>
      <c r="I214" s="16" t="n">
        <f aca="false">IF(H214&lt;=0.01,0,MAX(Assumptions!$B$5-E214,0))</f>
        <v>0</v>
      </c>
      <c r="J214" s="16" t="str">
        <f aca="false">IF(H214&lt;=0.01,"Paid",IF(I214&lt;=30,"0-30",IF(I214&lt;=60,"31-60",IF(I214&lt;=90,"61-90","90+"))))</f>
        <v>Paid</v>
      </c>
      <c r="K214" s="16" t="str">
        <f aca="false">IF(H214&lt;=0.01,"Paid",IF(G214&gt;0,"Partially Paid","Unpaid"))</f>
        <v>Paid</v>
      </c>
    </row>
    <row r="215" customFormat="false" ht="15" hidden="false" customHeight="false" outlineLevel="0" collapsed="false">
      <c r="A215" s="16" t="str">
        <f aca="false">Customer_Invoices_AR!A212</f>
        <v>ARI60211</v>
      </c>
      <c r="B215" s="16" t="str">
        <f aca="false">Customer_Invoices_AR!B212</f>
        <v>C2029</v>
      </c>
      <c r="C215" s="16" t="str">
        <f aca="false">IFERROR(INDEX(Customer_Master!$B$2:$B$31,MATCH(B215,Customer_Master!$A$2:$A$31,0)),"Unknown Customer")</f>
        <v>Hensley, Powell and David</v>
      </c>
      <c r="D215" s="17" t="n">
        <f aca="false">Customer_Invoices_AR!C212</f>
        <v>46087</v>
      </c>
      <c r="E215" s="17" t="n">
        <f aca="false">Customer_Invoices_AR!E212</f>
        <v>46147</v>
      </c>
      <c r="F215" s="18" t="n">
        <f aca="false">Customer_Invoices_AR!D212</f>
        <v>576.63</v>
      </c>
      <c r="G215" s="18" t="n">
        <f aca="false">SUMIFS(Cash_Receipts_AR!$E$2:$E$503,Cash_Receipts_AR!$B$2:$B$503,A215)</f>
        <v>576.63</v>
      </c>
      <c r="H215" s="18" t="n">
        <f aca="false">F215-G215</f>
        <v>0</v>
      </c>
      <c r="I215" s="16" t="n">
        <f aca="false">IF(H215&lt;=0.01,0,MAX(Assumptions!$B$5-E215,0))</f>
        <v>0</v>
      </c>
      <c r="J215" s="16" t="str">
        <f aca="false">IF(H215&lt;=0.01,"Paid",IF(I215&lt;=30,"0-30",IF(I215&lt;=60,"31-60",IF(I215&lt;=90,"61-90","90+"))))</f>
        <v>Paid</v>
      </c>
      <c r="K215" s="16" t="str">
        <f aca="false">IF(H215&lt;=0.01,"Paid",IF(G215&gt;0,"Partially Paid","Unpaid"))</f>
        <v>Paid</v>
      </c>
    </row>
    <row r="216" customFormat="false" ht="15" hidden="false" customHeight="false" outlineLevel="0" collapsed="false">
      <c r="A216" s="16" t="str">
        <f aca="false">Customer_Invoices_AR!A213</f>
        <v>ARI60212</v>
      </c>
      <c r="B216" s="16" t="str">
        <f aca="false">Customer_Invoices_AR!B213</f>
        <v>C2005</v>
      </c>
      <c r="C216" s="16" t="str">
        <f aca="false">IFERROR(INDEX(Customer_Master!$B$2:$B$31,MATCH(B216,Customer_Master!$A$2:$A$31,0)),"Unknown Customer")</f>
        <v>Jones-Young</v>
      </c>
      <c r="D216" s="17" t="n">
        <f aca="false">Customer_Invoices_AR!C213</f>
        <v>45845</v>
      </c>
      <c r="E216" s="17" t="n">
        <f aca="false">Customer_Invoices_AR!E213</f>
        <v>45860</v>
      </c>
      <c r="F216" s="18" t="n">
        <f aca="false">Customer_Invoices_AR!D213</f>
        <v>410.31</v>
      </c>
      <c r="G216" s="18" t="n">
        <f aca="false">SUMIFS(Cash_Receipts_AR!$E$2:$E$503,Cash_Receipts_AR!$B$2:$B$503,A216)</f>
        <v>410.31</v>
      </c>
      <c r="H216" s="18" t="n">
        <f aca="false">F216-G216</f>
        <v>0</v>
      </c>
      <c r="I216" s="16" t="n">
        <f aca="false">IF(H216&lt;=0.01,0,MAX(Assumptions!$B$5-E216,0))</f>
        <v>0</v>
      </c>
      <c r="J216" s="16" t="str">
        <f aca="false">IF(H216&lt;=0.01,"Paid",IF(I216&lt;=30,"0-30",IF(I216&lt;=60,"31-60",IF(I216&lt;=90,"61-90","90+"))))</f>
        <v>Paid</v>
      </c>
      <c r="K216" s="16" t="str">
        <f aca="false">IF(H216&lt;=0.01,"Paid",IF(G216&gt;0,"Partially Paid","Unpaid"))</f>
        <v>Paid</v>
      </c>
    </row>
    <row r="217" customFormat="false" ht="15" hidden="false" customHeight="false" outlineLevel="0" collapsed="false">
      <c r="A217" s="16" t="str">
        <f aca="false">Customer_Invoices_AR!A214</f>
        <v>ARI60213</v>
      </c>
      <c r="B217" s="16" t="str">
        <f aca="false">Customer_Invoices_AR!B214</f>
        <v>C2020</v>
      </c>
      <c r="C217" s="16" t="str">
        <f aca="false">IFERROR(INDEX(Customer_Master!$B$2:$B$31,MATCH(B217,Customer_Master!$A$2:$A$31,0)),"Unknown Customer")</f>
        <v>Gray Group</v>
      </c>
      <c r="D217" s="17" t="n">
        <f aca="false">Customer_Invoices_AR!C214</f>
        <v>46057</v>
      </c>
      <c r="E217" s="17" t="n">
        <f aca="false">Customer_Invoices_AR!E214</f>
        <v>46087</v>
      </c>
      <c r="F217" s="18" t="n">
        <f aca="false">Customer_Invoices_AR!D214</f>
        <v>2023.11</v>
      </c>
      <c r="G217" s="18" t="n">
        <f aca="false">SUMIFS(Cash_Receipts_AR!$E$2:$E$503,Cash_Receipts_AR!$B$2:$B$503,A217)</f>
        <v>671.13</v>
      </c>
      <c r="H217" s="18" t="n">
        <f aca="false">F217-G217</f>
        <v>1351.98</v>
      </c>
      <c r="I217" s="16" t="n">
        <f aca="false">IF(H217&lt;=0.01,0,MAX(Assumptions!$B$5-E217,0))</f>
        <v>147</v>
      </c>
      <c r="J217" s="16" t="str">
        <f aca="false">IF(H217&lt;=0.01,"Paid",IF(I217&lt;=30,"0-30",IF(I217&lt;=60,"31-60",IF(I217&lt;=90,"61-90","90+"))))</f>
        <v>90+</v>
      </c>
      <c r="K217" s="16" t="str">
        <f aca="false">IF(H217&lt;=0.01,"Paid",IF(G217&gt;0,"Partially Paid","Unpaid"))</f>
        <v>Partially Paid</v>
      </c>
    </row>
    <row r="218" customFormat="false" ht="15" hidden="false" customHeight="false" outlineLevel="0" collapsed="false">
      <c r="A218" s="16" t="str">
        <f aca="false">Customer_Invoices_AR!A215</f>
        <v>ARI60214</v>
      </c>
      <c r="B218" s="16" t="str">
        <f aca="false">Customer_Invoices_AR!B215</f>
        <v>C2022</v>
      </c>
      <c r="C218" s="16" t="str">
        <f aca="false">IFERROR(INDEX(Customer_Master!$B$2:$B$31,MATCH(B218,Customer_Master!$A$2:$A$31,0)),"Unknown Customer")</f>
        <v>Henderson-Bernard</v>
      </c>
      <c r="D218" s="17" t="n">
        <f aca="false">Customer_Invoices_AR!C215</f>
        <v>46000</v>
      </c>
      <c r="E218" s="17" t="n">
        <f aca="false">Customer_Invoices_AR!E215</f>
        <v>46030</v>
      </c>
      <c r="F218" s="18" t="n">
        <f aca="false">Customer_Invoices_AR!D215</f>
        <v>882.81</v>
      </c>
      <c r="G218" s="18" t="n">
        <f aca="false">SUMIFS(Cash_Receipts_AR!$E$2:$E$503,Cash_Receipts_AR!$B$2:$B$503,A218)</f>
        <v>882.81</v>
      </c>
      <c r="H218" s="18" t="n">
        <f aca="false">F218-G218</f>
        <v>0</v>
      </c>
      <c r="I218" s="16" t="n">
        <f aca="false">IF(H218&lt;=0.01,0,MAX(Assumptions!$B$5-E218,0))</f>
        <v>0</v>
      </c>
      <c r="J218" s="16" t="str">
        <f aca="false">IF(H218&lt;=0.01,"Paid",IF(I218&lt;=30,"0-30",IF(I218&lt;=60,"31-60",IF(I218&lt;=90,"61-90","90+"))))</f>
        <v>Paid</v>
      </c>
      <c r="K218" s="16" t="str">
        <f aca="false">IF(H218&lt;=0.01,"Paid",IF(G218&gt;0,"Partially Paid","Unpaid"))</f>
        <v>Paid</v>
      </c>
    </row>
    <row r="219" customFormat="false" ht="15" hidden="false" customHeight="false" outlineLevel="0" collapsed="false">
      <c r="A219" s="16" t="str">
        <f aca="false">Customer_Invoices_AR!A216</f>
        <v>ARI60215</v>
      </c>
      <c r="B219" s="16" t="str">
        <f aca="false">Customer_Invoices_AR!B216</f>
        <v>C2012</v>
      </c>
      <c r="C219" s="16" t="str">
        <f aca="false">IFERROR(INDEX(Customer_Master!$B$2:$B$31,MATCH(B219,Customer_Master!$A$2:$A$31,0)),"Unknown Customer")</f>
        <v>Wright and Sons</v>
      </c>
      <c r="D219" s="17" t="n">
        <f aca="false">Customer_Invoices_AR!C216</f>
        <v>46078</v>
      </c>
      <c r="E219" s="17" t="n">
        <f aca="false">Customer_Invoices_AR!E216</f>
        <v>46123</v>
      </c>
      <c r="F219" s="18" t="n">
        <f aca="false">Customer_Invoices_AR!D216</f>
        <v>6647.76</v>
      </c>
      <c r="G219" s="18" t="n">
        <f aca="false">SUMIFS(Cash_Receipts_AR!$E$2:$E$503,Cash_Receipts_AR!$B$2:$B$503,A219)</f>
        <v>6647.76</v>
      </c>
      <c r="H219" s="18" t="n">
        <f aca="false">F219-G219</f>
        <v>0</v>
      </c>
      <c r="I219" s="16" t="n">
        <f aca="false">IF(H219&lt;=0.01,0,MAX(Assumptions!$B$5-E219,0))</f>
        <v>0</v>
      </c>
      <c r="J219" s="16" t="str">
        <f aca="false">IF(H219&lt;=0.01,"Paid",IF(I219&lt;=30,"0-30",IF(I219&lt;=60,"31-60",IF(I219&lt;=90,"61-90","90+"))))</f>
        <v>Paid</v>
      </c>
      <c r="K219" s="16" t="str">
        <f aca="false">IF(H219&lt;=0.01,"Paid",IF(G219&gt;0,"Partially Paid","Unpaid"))</f>
        <v>Paid</v>
      </c>
    </row>
    <row r="220" customFormat="false" ht="15" hidden="false" customHeight="false" outlineLevel="0" collapsed="false">
      <c r="A220" s="16" t="str">
        <f aca="false">Customer_Invoices_AR!A217</f>
        <v>ARI60216</v>
      </c>
      <c r="B220" s="16" t="str">
        <f aca="false">Customer_Invoices_AR!B217</f>
        <v>C2013</v>
      </c>
      <c r="C220" s="16" t="str">
        <f aca="false">IFERROR(INDEX(Customer_Master!$B$2:$B$31,MATCH(B220,Customer_Master!$A$2:$A$31,0)),"Unknown Customer")</f>
        <v>West, Henderson and Ramirez</v>
      </c>
      <c r="D220" s="17" t="n">
        <f aca="false">Customer_Invoices_AR!C217</f>
        <v>46058</v>
      </c>
      <c r="E220" s="17" t="n">
        <f aca="false">Customer_Invoices_AR!E217</f>
        <v>46118</v>
      </c>
      <c r="F220" s="18" t="n">
        <f aca="false">Customer_Invoices_AR!D217</f>
        <v>1948.03</v>
      </c>
      <c r="G220" s="18" t="n">
        <f aca="false">SUMIFS(Cash_Receipts_AR!$E$2:$E$503,Cash_Receipts_AR!$B$2:$B$503,A220)</f>
        <v>0</v>
      </c>
      <c r="H220" s="18" t="n">
        <f aca="false">F220-G220</f>
        <v>1948.03</v>
      </c>
      <c r="I220" s="16" t="n">
        <f aca="false">IF(H220&lt;=0.01,0,MAX(Assumptions!$B$5-E220,0))</f>
        <v>116</v>
      </c>
      <c r="J220" s="16" t="str">
        <f aca="false">IF(H220&lt;=0.01,"Paid",IF(I220&lt;=30,"0-30",IF(I220&lt;=60,"31-60",IF(I220&lt;=90,"61-90","90+"))))</f>
        <v>90+</v>
      </c>
      <c r="K220" s="16" t="str">
        <f aca="false">IF(H220&lt;=0.01,"Paid",IF(G220&gt;0,"Partially Paid","Unpaid"))</f>
        <v>Unpaid</v>
      </c>
    </row>
    <row r="221" customFormat="false" ht="15" hidden="false" customHeight="false" outlineLevel="0" collapsed="false">
      <c r="A221" s="16" t="str">
        <f aca="false">Customer_Invoices_AR!A218</f>
        <v>ARI60217</v>
      </c>
      <c r="B221" s="16" t="str">
        <f aca="false">Customer_Invoices_AR!B218</f>
        <v>C2002</v>
      </c>
      <c r="C221" s="16" t="str">
        <f aca="false">IFERROR(INDEX(Customer_Master!$B$2:$B$31,MATCH(B221,Customer_Master!$A$2:$A$31,0)),"Unknown Customer")</f>
        <v>Smith-Spencer</v>
      </c>
      <c r="D221" s="17" t="n">
        <f aca="false">Customer_Invoices_AR!C218</f>
        <v>45839</v>
      </c>
      <c r="E221" s="17" t="n">
        <f aca="false">Customer_Invoices_AR!E218</f>
        <v>45854</v>
      </c>
      <c r="F221" s="18" t="n">
        <f aca="false">Customer_Invoices_AR!D218</f>
        <v>13454.72</v>
      </c>
      <c r="G221" s="18" t="n">
        <f aca="false">SUMIFS(Cash_Receipts_AR!$E$2:$E$503,Cash_Receipts_AR!$B$2:$B$503,A221)</f>
        <v>9820.08</v>
      </c>
      <c r="H221" s="18" t="n">
        <f aca="false">F221-G221</f>
        <v>3634.64</v>
      </c>
      <c r="I221" s="16" t="n">
        <f aca="false">IF(H221&lt;=0.01,0,MAX(Assumptions!$B$5-E221,0))</f>
        <v>380</v>
      </c>
      <c r="J221" s="16" t="str">
        <f aca="false">IF(H221&lt;=0.01,"Paid",IF(I221&lt;=30,"0-30",IF(I221&lt;=60,"31-60",IF(I221&lt;=90,"61-90","90+"))))</f>
        <v>90+</v>
      </c>
      <c r="K221" s="16" t="str">
        <f aca="false">IF(H221&lt;=0.01,"Paid",IF(G221&gt;0,"Partially Paid","Unpaid"))</f>
        <v>Partially Paid</v>
      </c>
    </row>
    <row r="222" customFormat="false" ht="15" hidden="false" customHeight="false" outlineLevel="0" collapsed="false">
      <c r="A222" s="16" t="str">
        <f aca="false">Customer_Invoices_AR!A219</f>
        <v>ARI60218</v>
      </c>
      <c r="B222" s="16" t="str">
        <f aca="false">Customer_Invoices_AR!B219</f>
        <v>C2016</v>
      </c>
      <c r="C222" s="16" t="str">
        <f aca="false">IFERROR(INDEX(Customer_Master!$B$2:$B$31,MATCH(B222,Customer_Master!$A$2:$A$31,0)),"Unknown Customer")</f>
        <v>Williams PLC</v>
      </c>
      <c r="D222" s="17" t="n">
        <f aca="false">Customer_Invoices_AR!C219</f>
        <v>45682</v>
      </c>
      <c r="E222" s="17" t="n">
        <f aca="false">Customer_Invoices_AR!E219</f>
        <v>45712</v>
      </c>
      <c r="F222" s="18" t="n">
        <f aca="false">Customer_Invoices_AR!D219</f>
        <v>397.84</v>
      </c>
      <c r="G222" s="18" t="n">
        <f aca="false">SUMIFS(Cash_Receipts_AR!$E$2:$E$503,Cash_Receipts_AR!$B$2:$B$503,A222)</f>
        <v>397.84</v>
      </c>
      <c r="H222" s="18" t="n">
        <f aca="false">F222-G222</f>
        <v>0</v>
      </c>
      <c r="I222" s="16" t="n">
        <f aca="false">IF(H222&lt;=0.01,0,MAX(Assumptions!$B$5-E222,0))</f>
        <v>0</v>
      </c>
      <c r="J222" s="16" t="str">
        <f aca="false">IF(H222&lt;=0.01,"Paid",IF(I222&lt;=30,"0-30",IF(I222&lt;=60,"31-60",IF(I222&lt;=90,"61-90","90+"))))</f>
        <v>Paid</v>
      </c>
      <c r="K222" s="16" t="str">
        <f aca="false">IF(H222&lt;=0.01,"Paid",IF(G222&gt;0,"Partially Paid","Unpaid"))</f>
        <v>Paid</v>
      </c>
    </row>
    <row r="223" customFormat="false" ht="15" hidden="false" customHeight="false" outlineLevel="0" collapsed="false">
      <c r="A223" s="16" t="str">
        <f aca="false">Customer_Invoices_AR!A220</f>
        <v>ARI60219</v>
      </c>
      <c r="B223" s="16" t="str">
        <f aca="false">Customer_Invoices_AR!B220</f>
        <v>C2025</v>
      </c>
      <c r="C223" s="16" t="str">
        <f aca="false">IFERROR(INDEX(Customer_Master!$B$2:$B$31,MATCH(B223,Customer_Master!$A$2:$A$31,0)),"Unknown Customer")</f>
        <v>Daniels, Adkins and Brown</v>
      </c>
      <c r="D223" s="17" t="n">
        <f aca="false">Customer_Invoices_AR!C220</f>
        <v>45955</v>
      </c>
      <c r="E223" s="17" t="n">
        <f aca="false">Customer_Invoices_AR!E220</f>
        <v>45970</v>
      </c>
      <c r="F223" s="18" t="n">
        <f aca="false">Customer_Invoices_AR!D220</f>
        <v>2005.26</v>
      </c>
      <c r="G223" s="18" t="n">
        <f aca="false">SUMIFS(Cash_Receipts_AR!$E$2:$E$503,Cash_Receipts_AR!$B$2:$B$503,A223)</f>
        <v>0</v>
      </c>
      <c r="H223" s="18" t="n">
        <f aca="false">F223-G223</f>
        <v>2005.26</v>
      </c>
      <c r="I223" s="16" t="n">
        <f aca="false">IF(H223&lt;=0.01,0,MAX(Assumptions!$B$5-E223,0))</f>
        <v>264</v>
      </c>
      <c r="J223" s="16" t="str">
        <f aca="false">IF(H223&lt;=0.01,"Paid",IF(I223&lt;=30,"0-30",IF(I223&lt;=60,"31-60",IF(I223&lt;=90,"61-90","90+"))))</f>
        <v>90+</v>
      </c>
      <c r="K223" s="16" t="str">
        <f aca="false">IF(H223&lt;=0.01,"Paid",IF(G223&gt;0,"Partially Paid","Unpaid"))</f>
        <v>Unpaid</v>
      </c>
    </row>
    <row r="224" customFormat="false" ht="15" hidden="false" customHeight="false" outlineLevel="0" collapsed="false">
      <c r="A224" s="16" t="str">
        <f aca="false">Customer_Invoices_AR!A221</f>
        <v>ARI60220</v>
      </c>
      <c r="B224" s="16" t="str">
        <f aca="false">Customer_Invoices_AR!B221</f>
        <v>C2022</v>
      </c>
      <c r="C224" s="16" t="str">
        <f aca="false">IFERROR(INDEX(Customer_Master!$B$2:$B$31,MATCH(B224,Customer_Master!$A$2:$A$31,0)),"Unknown Customer")</f>
        <v>Henderson-Bernard</v>
      </c>
      <c r="D224" s="17" t="n">
        <f aca="false">Customer_Invoices_AR!C221</f>
        <v>46101</v>
      </c>
      <c r="E224" s="17" t="n">
        <f aca="false">Customer_Invoices_AR!E221</f>
        <v>46131</v>
      </c>
      <c r="F224" s="18" t="n">
        <f aca="false">Customer_Invoices_AR!D221</f>
        <v>5191.06</v>
      </c>
      <c r="G224" s="18" t="n">
        <f aca="false">SUMIFS(Cash_Receipts_AR!$E$2:$E$503,Cash_Receipts_AR!$B$2:$B$503,A224)</f>
        <v>5191.06</v>
      </c>
      <c r="H224" s="18" t="n">
        <f aca="false">F224-G224</f>
        <v>0</v>
      </c>
      <c r="I224" s="16" t="n">
        <f aca="false">IF(H224&lt;=0.01,0,MAX(Assumptions!$B$5-E224,0))</f>
        <v>0</v>
      </c>
      <c r="J224" s="16" t="str">
        <f aca="false">IF(H224&lt;=0.01,"Paid",IF(I224&lt;=30,"0-30",IF(I224&lt;=60,"31-60",IF(I224&lt;=90,"61-90","90+"))))</f>
        <v>Paid</v>
      </c>
      <c r="K224" s="16" t="str">
        <f aca="false">IF(H224&lt;=0.01,"Paid",IF(G224&gt;0,"Partially Paid","Unpaid"))</f>
        <v>Paid</v>
      </c>
    </row>
    <row r="225" customFormat="false" ht="15" hidden="false" customHeight="false" outlineLevel="0" collapsed="false">
      <c r="A225" s="16" t="str">
        <f aca="false">Customer_Invoices_AR!A222</f>
        <v>ARI60221</v>
      </c>
      <c r="B225" s="16" t="str">
        <f aca="false">Customer_Invoices_AR!B222</f>
        <v>C2029</v>
      </c>
      <c r="C225" s="16" t="str">
        <f aca="false">IFERROR(INDEX(Customer_Master!$B$2:$B$31,MATCH(B225,Customer_Master!$A$2:$A$31,0)),"Unknown Customer")</f>
        <v>Hensley, Powell and David</v>
      </c>
      <c r="D225" s="17" t="n">
        <f aca="false">Customer_Invoices_AR!C222</f>
        <v>45753</v>
      </c>
      <c r="E225" s="17" t="n">
        <f aca="false">Customer_Invoices_AR!E222</f>
        <v>45813</v>
      </c>
      <c r="F225" s="18" t="n">
        <f aca="false">Customer_Invoices_AR!D222</f>
        <v>2721.67</v>
      </c>
      <c r="G225" s="18" t="n">
        <f aca="false">SUMIFS(Cash_Receipts_AR!$E$2:$E$503,Cash_Receipts_AR!$B$2:$B$503,A225)</f>
        <v>2721.67</v>
      </c>
      <c r="H225" s="18" t="n">
        <f aca="false">F225-G225</f>
        <v>0</v>
      </c>
      <c r="I225" s="16" t="n">
        <f aca="false">IF(H225&lt;=0.01,0,MAX(Assumptions!$B$5-E225,0))</f>
        <v>0</v>
      </c>
      <c r="J225" s="16" t="str">
        <f aca="false">IF(H225&lt;=0.01,"Paid",IF(I225&lt;=30,"0-30",IF(I225&lt;=60,"31-60",IF(I225&lt;=90,"61-90","90+"))))</f>
        <v>Paid</v>
      </c>
      <c r="K225" s="16" t="str">
        <f aca="false">IF(H225&lt;=0.01,"Paid",IF(G225&gt;0,"Partially Paid","Unpaid"))</f>
        <v>Paid</v>
      </c>
    </row>
    <row r="226" customFormat="false" ht="15" hidden="false" customHeight="false" outlineLevel="0" collapsed="false">
      <c r="A226" s="16" t="str">
        <f aca="false">Customer_Invoices_AR!A223</f>
        <v>ARI60222</v>
      </c>
      <c r="B226" s="16" t="str">
        <f aca="false">Customer_Invoices_AR!B223</f>
        <v>C2014</v>
      </c>
      <c r="C226" s="16" t="str">
        <f aca="false">IFERROR(INDEX(Customer_Master!$B$2:$B$31,MATCH(B226,Customer_Master!$A$2:$A$31,0)),"Unknown Customer")</f>
        <v>Baxter Inc</v>
      </c>
      <c r="D226" s="17" t="n">
        <f aca="false">Customer_Invoices_AR!C223</f>
        <v>46082</v>
      </c>
      <c r="E226" s="17" t="n">
        <f aca="false">Customer_Invoices_AR!E223</f>
        <v>46112</v>
      </c>
      <c r="F226" s="18" t="n">
        <f aca="false">Customer_Invoices_AR!D223</f>
        <v>6806.9</v>
      </c>
      <c r="G226" s="18" t="n">
        <f aca="false">SUMIFS(Cash_Receipts_AR!$E$2:$E$503,Cash_Receipts_AR!$B$2:$B$503,A226)</f>
        <v>0</v>
      </c>
      <c r="H226" s="18" t="n">
        <f aca="false">F226-G226</f>
        <v>6806.9</v>
      </c>
      <c r="I226" s="16" t="n">
        <f aca="false">IF(H226&lt;=0.01,0,MAX(Assumptions!$B$5-E226,0))</f>
        <v>122</v>
      </c>
      <c r="J226" s="16" t="str">
        <f aca="false">IF(H226&lt;=0.01,"Paid",IF(I226&lt;=30,"0-30",IF(I226&lt;=60,"31-60",IF(I226&lt;=90,"61-90","90+"))))</f>
        <v>90+</v>
      </c>
      <c r="K226" s="16" t="str">
        <f aca="false">IF(H226&lt;=0.01,"Paid",IF(G226&gt;0,"Partially Paid","Unpaid"))</f>
        <v>Unpaid</v>
      </c>
    </row>
    <row r="227" customFormat="false" ht="15" hidden="false" customHeight="false" outlineLevel="0" collapsed="false">
      <c r="A227" s="16" t="str">
        <f aca="false">Customer_Invoices_AR!A224</f>
        <v>ARI60223</v>
      </c>
      <c r="B227" s="16" t="str">
        <f aca="false">Customer_Invoices_AR!B224</f>
        <v>C2026</v>
      </c>
      <c r="C227" s="16" t="str">
        <f aca="false">IFERROR(INDEX(Customer_Master!$B$2:$B$31,MATCH(B227,Customer_Master!$A$2:$A$31,0)),"Unknown Customer")</f>
        <v>Woods, Calhoun and Schmidt</v>
      </c>
      <c r="D227" s="17" t="n">
        <f aca="false">Customer_Invoices_AR!C224</f>
        <v>45911</v>
      </c>
      <c r="E227" s="17" t="n">
        <f aca="false">Customer_Invoices_AR!E224</f>
        <v>45971</v>
      </c>
      <c r="F227" s="18" t="n">
        <f aca="false">Customer_Invoices_AR!D224</f>
        <v>1083.03</v>
      </c>
      <c r="G227" s="18" t="n">
        <f aca="false">SUMIFS(Cash_Receipts_AR!$E$2:$E$503,Cash_Receipts_AR!$B$2:$B$503,A227)</f>
        <v>1083.03</v>
      </c>
      <c r="H227" s="18" t="n">
        <f aca="false">F227-G227</f>
        <v>0</v>
      </c>
      <c r="I227" s="16" t="n">
        <f aca="false">IF(H227&lt;=0.01,0,MAX(Assumptions!$B$5-E227,0))</f>
        <v>0</v>
      </c>
      <c r="J227" s="16" t="str">
        <f aca="false">IF(H227&lt;=0.01,"Paid",IF(I227&lt;=30,"0-30",IF(I227&lt;=60,"31-60",IF(I227&lt;=90,"61-90","90+"))))</f>
        <v>Paid</v>
      </c>
      <c r="K227" s="16" t="str">
        <f aca="false">IF(H227&lt;=0.01,"Paid",IF(G227&gt;0,"Partially Paid","Unpaid"))</f>
        <v>Paid</v>
      </c>
    </row>
    <row r="228" customFormat="false" ht="15" hidden="false" customHeight="false" outlineLevel="0" collapsed="false">
      <c r="A228" s="16" t="str">
        <f aca="false">Customer_Invoices_AR!A225</f>
        <v>ARI60224</v>
      </c>
      <c r="B228" s="16" t="str">
        <f aca="false">Customer_Invoices_AR!B225</f>
        <v>C2002</v>
      </c>
      <c r="C228" s="16" t="str">
        <f aca="false">IFERROR(INDEX(Customer_Master!$B$2:$B$31,MATCH(B228,Customer_Master!$A$2:$A$31,0)),"Unknown Customer")</f>
        <v>Smith-Spencer</v>
      </c>
      <c r="D228" s="17" t="n">
        <f aca="false">Customer_Invoices_AR!C225</f>
        <v>46036</v>
      </c>
      <c r="E228" s="17" t="n">
        <f aca="false">Customer_Invoices_AR!E225</f>
        <v>46051</v>
      </c>
      <c r="F228" s="18" t="n">
        <f aca="false">Customer_Invoices_AR!D225</f>
        <v>4378.8</v>
      </c>
      <c r="G228" s="18" t="n">
        <f aca="false">SUMIFS(Cash_Receipts_AR!$E$2:$E$503,Cash_Receipts_AR!$B$2:$B$503,A228)</f>
        <v>1538.1</v>
      </c>
      <c r="H228" s="18" t="n">
        <f aca="false">F228-G228</f>
        <v>2840.7</v>
      </c>
      <c r="I228" s="16" t="n">
        <f aca="false">IF(H228&lt;=0.01,0,MAX(Assumptions!$B$5-E228,0))</f>
        <v>183</v>
      </c>
      <c r="J228" s="16" t="str">
        <f aca="false">IF(H228&lt;=0.01,"Paid",IF(I228&lt;=30,"0-30",IF(I228&lt;=60,"31-60",IF(I228&lt;=90,"61-90","90+"))))</f>
        <v>90+</v>
      </c>
      <c r="K228" s="16" t="str">
        <f aca="false">IF(H228&lt;=0.01,"Paid",IF(G228&gt;0,"Partially Paid","Unpaid"))</f>
        <v>Partially Paid</v>
      </c>
    </row>
    <row r="229" customFormat="false" ht="15" hidden="false" customHeight="false" outlineLevel="0" collapsed="false">
      <c r="A229" s="16" t="str">
        <f aca="false">Customer_Invoices_AR!A226</f>
        <v>ARI60225</v>
      </c>
      <c r="B229" s="16" t="str">
        <f aca="false">Customer_Invoices_AR!B226</f>
        <v>C2023</v>
      </c>
      <c r="C229" s="16" t="str">
        <f aca="false">IFERROR(INDEX(Customer_Master!$B$2:$B$31,MATCH(B229,Customer_Master!$A$2:$A$31,0)),"Unknown Customer")</f>
        <v>Stanley, Tucker and Lee</v>
      </c>
      <c r="D229" s="17" t="n">
        <f aca="false">Customer_Invoices_AR!C226</f>
        <v>46002</v>
      </c>
      <c r="E229" s="17" t="n">
        <f aca="false">Customer_Invoices_AR!E226</f>
        <v>46062</v>
      </c>
      <c r="F229" s="18" t="n">
        <f aca="false">Customer_Invoices_AR!D226</f>
        <v>8987.97</v>
      </c>
      <c r="G229" s="18" t="n">
        <f aca="false">SUMIFS(Cash_Receipts_AR!$E$2:$E$503,Cash_Receipts_AR!$B$2:$B$503,A229)</f>
        <v>8987.97</v>
      </c>
      <c r="H229" s="18" t="n">
        <f aca="false">F229-G229</f>
        <v>0</v>
      </c>
      <c r="I229" s="16" t="n">
        <f aca="false">IF(H229&lt;=0.01,0,MAX(Assumptions!$B$5-E229,0))</f>
        <v>0</v>
      </c>
      <c r="J229" s="16" t="str">
        <f aca="false">IF(H229&lt;=0.01,"Paid",IF(I229&lt;=30,"0-30",IF(I229&lt;=60,"31-60",IF(I229&lt;=90,"61-90","90+"))))</f>
        <v>Paid</v>
      </c>
      <c r="K229" s="16" t="str">
        <f aca="false">IF(H229&lt;=0.01,"Paid",IF(G229&gt;0,"Partially Paid","Unpaid"))</f>
        <v>Paid</v>
      </c>
    </row>
    <row r="230" customFormat="false" ht="15" hidden="false" customHeight="false" outlineLevel="0" collapsed="false">
      <c r="A230" s="16" t="str">
        <f aca="false">Customer_Invoices_AR!A227</f>
        <v>ARI60226</v>
      </c>
      <c r="B230" s="16" t="str">
        <f aca="false">Customer_Invoices_AR!B227</f>
        <v>C2028</v>
      </c>
      <c r="C230" s="16" t="str">
        <f aca="false">IFERROR(INDEX(Customer_Master!$B$2:$B$31,MATCH(B230,Customer_Master!$A$2:$A$31,0)),"Unknown Customer")</f>
        <v>Jones Inc</v>
      </c>
      <c r="D230" s="17" t="n">
        <f aca="false">Customer_Invoices_AR!C227</f>
        <v>46100</v>
      </c>
      <c r="E230" s="17" t="n">
        <f aca="false">Customer_Invoices_AR!E227</f>
        <v>46115</v>
      </c>
      <c r="F230" s="18" t="n">
        <f aca="false">Customer_Invoices_AR!D227</f>
        <v>14949.45</v>
      </c>
      <c r="G230" s="18" t="n">
        <f aca="false">SUMIFS(Cash_Receipts_AR!$E$2:$E$503,Cash_Receipts_AR!$B$2:$B$503,A230)</f>
        <v>14949.45</v>
      </c>
      <c r="H230" s="18" t="n">
        <f aca="false">F230-G230</f>
        <v>0</v>
      </c>
      <c r="I230" s="16" t="n">
        <f aca="false">IF(H230&lt;=0.01,0,MAX(Assumptions!$B$5-E230,0))</f>
        <v>0</v>
      </c>
      <c r="J230" s="16" t="str">
        <f aca="false">IF(H230&lt;=0.01,"Paid",IF(I230&lt;=30,"0-30",IF(I230&lt;=60,"31-60",IF(I230&lt;=90,"61-90","90+"))))</f>
        <v>Paid</v>
      </c>
      <c r="K230" s="16" t="str">
        <f aca="false">IF(H230&lt;=0.01,"Paid",IF(G230&gt;0,"Partially Paid","Unpaid"))</f>
        <v>Paid</v>
      </c>
    </row>
    <row r="231" customFormat="false" ht="15" hidden="false" customHeight="false" outlineLevel="0" collapsed="false">
      <c r="A231" s="16" t="str">
        <f aca="false">Customer_Invoices_AR!A228</f>
        <v>ARI60227</v>
      </c>
      <c r="B231" s="16" t="str">
        <f aca="false">Customer_Invoices_AR!B228</f>
        <v>C2025</v>
      </c>
      <c r="C231" s="16" t="str">
        <f aca="false">IFERROR(INDEX(Customer_Master!$B$2:$B$31,MATCH(B231,Customer_Master!$A$2:$A$31,0)),"Unknown Customer")</f>
        <v>Daniels, Adkins and Brown</v>
      </c>
      <c r="D231" s="17" t="n">
        <f aca="false">Customer_Invoices_AR!C228</f>
        <v>45692</v>
      </c>
      <c r="E231" s="17" t="n">
        <f aca="false">Customer_Invoices_AR!E228</f>
        <v>45707</v>
      </c>
      <c r="F231" s="18" t="n">
        <f aca="false">Customer_Invoices_AR!D228</f>
        <v>2225.7</v>
      </c>
      <c r="G231" s="18" t="n">
        <f aca="false">SUMIFS(Cash_Receipts_AR!$E$2:$E$503,Cash_Receipts_AR!$B$2:$B$503,A231)</f>
        <v>2225.7</v>
      </c>
      <c r="H231" s="18" t="n">
        <f aca="false">F231-G231</f>
        <v>0</v>
      </c>
      <c r="I231" s="16" t="n">
        <f aca="false">IF(H231&lt;=0.01,0,MAX(Assumptions!$B$5-E231,0))</f>
        <v>0</v>
      </c>
      <c r="J231" s="16" t="str">
        <f aca="false">IF(H231&lt;=0.01,"Paid",IF(I231&lt;=30,"0-30",IF(I231&lt;=60,"31-60",IF(I231&lt;=90,"61-90","90+"))))</f>
        <v>Paid</v>
      </c>
      <c r="K231" s="16" t="str">
        <f aca="false">IF(H231&lt;=0.01,"Paid",IF(G231&gt;0,"Partially Paid","Unpaid"))</f>
        <v>Paid</v>
      </c>
    </row>
    <row r="232" customFormat="false" ht="15" hidden="false" customHeight="false" outlineLevel="0" collapsed="false">
      <c r="A232" s="16" t="str">
        <f aca="false">Customer_Invoices_AR!A229</f>
        <v>ARI60228</v>
      </c>
      <c r="B232" s="16" t="str">
        <f aca="false">Customer_Invoices_AR!B229</f>
        <v>C2011</v>
      </c>
      <c r="C232" s="16" t="str">
        <f aca="false">IFERROR(INDEX(Customer_Master!$B$2:$B$31,MATCH(B232,Customer_Master!$A$2:$A$31,0)),"Unknown Customer")</f>
        <v>Powell LLC</v>
      </c>
      <c r="D232" s="17" t="n">
        <f aca="false">Customer_Invoices_AR!C229</f>
        <v>46081</v>
      </c>
      <c r="E232" s="17" t="n">
        <f aca="false">Customer_Invoices_AR!E229</f>
        <v>46111</v>
      </c>
      <c r="F232" s="18" t="n">
        <f aca="false">Customer_Invoices_AR!D229</f>
        <v>1125.91</v>
      </c>
      <c r="G232" s="18" t="n">
        <f aca="false">SUMIFS(Cash_Receipts_AR!$E$2:$E$503,Cash_Receipts_AR!$B$2:$B$503,A232)</f>
        <v>1125.91</v>
      </c>
      <c r="H232" s="18" t="n">
        <f aca="false">F232-G232</f>
        <v>0</v>
      </c>
      <c r="I232" s="16" t="n">
        <f aca="false">IF(H232&lt;=0.01,0,MAX(Assumptions!$B$5-E232,0))</f>
        <v>0</v>
      </c>
      <c r="J232" s="16" t="str">
        <f aca="false">IF(H232&lt;=0.01,"Paid",IF(I232&lt;=30,"0-30",IF(I232&lt;=60,"31-60",IF(I232&lt;=90,"61-90","90+"))))</f>
        <v>Paid</v>
      </c>
      <c r="K232" s="16" t="str">
        <f aca="false">IF(H232&lt;=0.01,"Paid",IF(G232&gt;0,"Partially Paid","Unpaid"))</f>
        <v>Paid</v>
      </c>
    </row>
    <row r="233" customFormat="false" ht="15" hidden="false" customHeight="false" outlineLevel="0" collapsed="false">
      <c r="A233" s="16" t="str">
        <f aca="false">Customer_Invoices_AR!A230</f>
        <v>ARI60229</v>
      </c>
      <c r="B233" s="16" t="str">
        <f aca="false">Customer_Invoices_AR!B230</f>
        <v>C2030</v>
      </c>
      <c r="C233" s="16" t="str">
        <f aca="false">IFERROR(INDEX(Customer_Master!$B$2:$B$31,MATCH(B233,Customer_Master!$A$2:$A$31,0)),"Unknown Customer")</f>
        <v>Sanchez, Wheeler and Harvey</v>
      </c>
      <c r="D233" s="17" t="n">
        <f aca="false">Customer_Invoices_AR!C230</f>
        <v>45907</v>
      </c>
      <c r="E233" s="17" t="n">
        <f aca="false">Customer_Invoices_AR!E230</f>
        <v>45922</v>
      </c>
      <c r="F233" s="18" t="n">
        <f aca="false">Customer_Invoices_AR!D230</f>
        <v>3138.47</v>
      </c>
      <c r="G233" s="18" t="n">
        <f aca="false">SUMIFS(Cash_Receipts_AR!$E$2:$E$503,Cash_Receipts_AR!$B$2:$B$503,A233)</f>
        <v>3138.47</v>
      </c>
      <c r="H233" s="18" t="n">
        <f aca="false">F233-G233</f>
        <v>0</v>
      </c>
      <c r="I233" s="16" t="n">
        <f aca="false">IF(H233&lt;=0.01,0,MAX(Assumptions!$B$5-E233,0))</f>
        <v>0</v>
      </c>
      <c r="J233" s="16" t="str">
        <f aca="false">IF(H233&lt;=0.01,"Paid",IF(I233&lt;=30,"0-30",IF(I233&lt;=60,"31-60",IF(I233&lt;=90,"61-90","90+"))))</f>
        <v>Paid</v>
      </c>
      <c r="K233" s="16" t="str">
        <f aca="false">IF(H233&lt;=0.01,"Paid",IF(G233&gt;0,"Partially Paid","Unpaid"))</f>
        <v>Paid</v>
      </c>
    </row>
    <row r="234" customFormat="false" ht="15" hidden="false" customHeight="false" outlineLevel="0" collapsed="false">
      <c r="A234" s="16" t="str">
        <f aca="false">Customer_Invoices_AR!A231</f>
        <v>ARI60230</v>
      </c>
      <c r="B234" s="16" t="str">
        <f aca="false">Customer_Invoices_AR!B231</f>
        <v>C2029</v>
      </c>
      <c r="C234" s="16" t="str">
        <f aca="false">IFERROR(INDEX(Customer_Master!$B$2:$B$31,MATCH(B234,Customer_Master!$A$2:$A$31,0)),"Unknown Customer")</f>
        <v>Hensley, Powell and David</v>
      </c>
      <c r="D234" s="17" t="n">
        <f aca="false">Customer_Invoices_AR!C231</f>
        <v>45817</v>
      </c>
      <c r="E234" s="17" t="n">
        <f aca="false">Customer_Invoices_AR!E231</f>
        <v>45877</v>
      </c>
      <c r="F234" s="18" t="n">
        <f aca="false">Customer_Invoices_AR!D231</f>
        <v>3349.88</v>
      </c>
      <c r="G234" s="18" t="n">
        <f aca="false">SUMIFS(Cash_Receipts_AR!$E$2:$E$503,Cash_Receipts_AR!$B$2:$B$503,A234)</f>
        <v>2102.51</v>
      </c>
      <c r="H234" s="18" t="n">
        <f aca="false">F234-G234</f>
        <v>1247.37</v>
      </c>
      <c r="I234" s="16" t="n">
        <f aca="false">IF(H234&lt;=0.01,0,MAX(Assumptions!$B$5-E234,0))</f>
        <v>357</v>
      </c>
      <c r="J234" s="16" t="str">
        <f aca="false">IF(H234&lt;=0.01,"Paid",IF(I234&lt;=30,"0-30",IF(I234&lt;=60,"31-60",IF(I234&lt;=90,"61-90","90+"))))</f>
        <v>90+</v>
      </c>
      <c r="K234" s="16" t="str">
        <f aca="false">IF(H234&lt;=0.01,"Paid",IF(G234&gt;0,"Partially Paid","Unpaid"))</f>
        <v>Partially Paid</v>
      </c>
    </row>
    <row r="235" customFormat="false" ht="15" hidden="false" customHeight="false" outlineLevel="0" collapsed="false">
      <c r="A235" s="16" t="str">
        <f aca="false">Customer_Invoices_AR!A232</f>
        <v>ARI60231</v>
      </c>
      <c r="B235" s="16" t="str">
        <f aca="false">Customer_Invoices_AR!B232</f>
        <v>C2018</v>
      </c>
      <c r="C235" s="16" t="str">
        <f aca="false">IFERROR(INDEX(Customer_Master!$B$2:$B$31,MATCH(B235,Customer_Master!$A$2:$A$31,0)),"Unknown Customer")</f>
        <v>Russell Group</v>
      </c>
      <c r="D235" s="17" t="n">
        <f aca="false">Customer_Invoices_AR!C232</f>
        <v>45681</v>
      </c>
      <c r="E235" s="17" t="n">
        <f aca="false">Customer_Invoices_AR!E232</f>
        <v>45696</v>
      </c>
      <c r="F235" s="18" t="n">
        <f aca="false">Customer_Invoices_AR!D232</f>
        <v>3302.54</v>
      </c>
      <c r="G235" s="18" t="n">
        <f aca="false">SUMIFS(Cash_Receipts_AR!$E$2:$E$503,Cash_Receipts_AR!$B$2:$B$503,A235)</f>
        <v>3302.54</v>
      </c>
      <c r="H235" s="18" t="n">
        <f aca="false">F235-G235</f>
        <v>0</v>
      </c>
      <c r="I235" s="16" t="n">
        <f aca="false">IF(H235&lt;=0.01,0,MAX(Assumptions!$B$5-E235,0))</f>
        <v>0</v>
      </c>
      <c r="J235" s="16" t="str">
        <f aca="false">IF(H235&lt;=0.01,"Paid",IF(I235&lt;=30,"0-30",IF(I235&lt;=60,"31-60",IF(I235&lt;=90,"61-90","90+"))))</f>
        <v>Paid</v>
      </c>
      <c r="K235" s="16" t="str">
        <f aca="false">IF(H235&lt;=0.01,"Paid",IF(G235&gt;0,"Partially Paid","Unpaid"))</f>
        <v>Paid</v>
      </c>
    </row>
    <row r="236" customFormat="false" ht="15" hidden="false" customHeight="false" outlineLevel="0" collapsed="false">
      <c r="A236" s="16" t="str">
        <f aca="false">Customer_Invoices_AR!A233</f>
        <v>ARI60232</v>
      </c>
      <c r="B236" s="16" t="str">
        <f aca="false">Customer_Invoices_AR!B233</f>
        <v>C2020</v>
      </c>
      <c r="C236" s="16" t="str">
        <f aca="false">IFERROR(INDEX(Customer_Master!$B$2:$B$31,MATCH(B236,Customer_Master!$A$2:$A$31,0)),"Unknown Customer")</f>
        <v>Gray Group</v>
      </c>
      <c r="D236" s="17" t="n">
        <f aca="false">Customer_Invoices_AR!C233</f>
        <v>45766</v>
      </c>
      <c r="E236" s="17" t="n">
        <f aca="false">Customer_Invoices_AR!E233</f>
        <v>45796</v>
      </c>
      <c r="F236" s="18" t="n">
        <f aca="false">Customer_Invoices_AR!D233</f>
        <v>346.91</v>
      </c>
      <c r="G236" s="18" t="n">
        <f aca="false">SUMIFS(Cash_Receipts_AR!$E$2:$E$503,Cash_Receipts_AR!$B$2:$B$503,A236)</f>
        <v>0</v>
      </c>
      <c r="H236" s="18" t="n">
        <f aca="false">F236-G236</f>
        <v>346.91</v>
      </c>
      <c r="I236" s="16" t="n">
        <f aca="false">IF(H236&lt;=0.01,0,MAX(Assumptions!$B$5-E236,0))</f>
        <v>438</v>
      </c>
      <c r="J236" s="16" t="str">
        <f aca="false">IF(H236&lt;=0.01,"Paid",IF(I236&lt;=30,"0-30",IF(I236&lt;=60,"31-60",IF(I236&lt;=90,"61-90","90+"))))</f>
        <v>90+</v>
      </c>
      <c r="K236" s="16" t="str">
        <f aca="false">IF(H236&lt;=0.01,"Paid",IF(G236&gt;0,"Partially Paid","Unpaid"))</f>
        <v>Unpaid</v>
      </c>
    </row>
    <row r="237" customFormat="false" ht="15" hidden="false" customHeight="false" outlineLevel="0" collapsed="false">
      <c r="A237" s="16" t="str">
        <f aca="false">Customer_Invoices_AR!A234</f>
        <v>ARI60233</v>
      </c>
      <c r="B237" s="16" t="str">
        <f aca="false">Customer_Invoices_AR!B234</f>
        <v>C2008</v>
      </c>
      <c r="C237" s="16" t="str">
        <f aca="false">IFERROR(INDEX(Customer_Master!$B$2:$B$31,MATCH(B237,Customer_Master!$A$2:$A$31,0)),"Unknown Customer")</f>
        <v>Lee-Davis</v>
      </c>
      <c r="D237" s="17" t="n">
        <f aca="false">Customer_Invoices_AR!C234</f>
        <v>45680</v>
      </c>
      <c r="E237" s="17" t="n">
        <f aca="false">Customer_Invoices_AR!E234</f>
        <v>45740</v>
      </c>
      <c r="F237" s="18" t="n">
        <f aca="false">Customer_Invoices_AR!D234</f>
        <v>6811</v>
      </c>
      <c r="G237" s="18" t="n">
        <f aca="false">SUMIFS(Cash_Receipts_AR!$E$2:$E$503,Cash_Receipts_AR!$B$2:$B$503,A237)</f>
        <v>6811</v>
      </c>
      <c r="H237" s="18" t="n">
        <f aca="false">F237-G237</f>
        <v>0</v>
      </c>
      <c r="I237" s="16" t="n">
        <f aca="false">IF(H237&lt;=0.01,0,MAX(Assumptions!$B$5-E237,0))</f>
        <v>0</v>
      </c>
      <c r="J237" s="16" t="str">
        <f aca="false">IF(H237&lt;=0.01,"Paid",IF(I237&lt;=30,"0-30",IF(I237&lt;=60,"31-60",IF(I237&lt;=90,"61-90","90+"))))</f>
        <v>Paid</v>
      </c>
      <c r="K237" s="16" t="str">
        <f aca="false">IF(H237&lt;=0.01,"Paid",IF(G237&gt;0,"Partially Paid","Unpaid"))</f>
        <v>Paid</v>
      </c>
    </row>
    <row r="238" customFormat="false" ht="15" hidden="false" customHeight="false" outlineLevel="0" collapsed="false">
      <c r="A238" s="16" t="str">
        <f aca="false">Customer_Invoices_AR!A235</f>
        <v>ARI60234</v>
      </c>
      <c r="B238" s="16" t="str">
        <f aca="false">Customer_Invoices_AR!B235</f>
        <v>C2013</v>
      </c>
      <c r="C238" s="16" t="str">
        <f aca="false">IFERROR(INDEX(Customer_Master!$B$2:$B$31,MATCH(B238,Customer_Master!$A$2:$A$31,0)),"Unknown Customer")</f>
        <v>West, Henderson and Ramirez</v>
      </c>
      <c r="D238" s="17" t="n">
        <f aca="false">Customer_Invoices_AR!C235</f>
        <v>46166</v>
      </c>
      <c r="E238" s="17" t="n">
        <f aca="false">Customer_Invoices_AR!E235</f>
        <v>46226</v>
      </c>
      <c r="F238" s="18" t="n">
        <f aca="false">Customer_Invoices_AR!D235</f>
        <v>1186.01</v>
      </c>
      <c r="G238" s="18" t="n">
        <f aca="false">SUMIFS(Cash_Receipts_AR!$E$2:$E$503,Cash_Receipts_AR!$B$2:$B$503,A238)</f>
        <v>367.75</v>
      </c>
      <c r="H238" s="18" t="n">
        <f aca="false">F238-G238</f>
        <v>818.26</v>
      </c>
      <c r="I238" s="16" t="n">
        <f aca="false">IF(H238&lt;=0.01,0,MAX(Assumptions!$B$5-E238,0))</f>
        <v>8</v>
      </c>
      <c r="J238" s="16" t="str">
        <f aca="false">IF(H238&lt;=0.01,"Paid",IF(I238&lt;=30,"0-30",IF(I238&lt;=60,"31-60",IF(I238&lt;=90,"61-90","90+"))))</f>
        <v>0-30</v>
      </c>
      <c r="K238" s="16" t="str">
        <f aca="false">IF(H238&lt;=0.01,"Paid",IF(G238&gt;0,"Partially Paid","Unpaid"))</f>
        <v>Partially Paid</v>
      </c>
    </row>
    <row r="239" customFormat="false" ht="15" hidden="false" customHeight="false" outlineLevel="0" collapsed="false">
      <c r="A239" s="16" t="str">
        <f aca="false">Customer_Invoices_AR!A236</f>
        <v>ARI60235</v>
      </c>
      <c r="B239" s="16" t="str">
        <f aca="false">Customer_Invoices_AR!B236</f>
        <v>C2030</v>
      </c>
      <c r="C239" s="16" t="str">
        <f aca="false">IFERROR(INDEX(Customer_Master!$B$2:$B$31,MATCH(B239,Customer_Master!$A$2:$A$31,0)),"Unknown Customer")</f>
        <v>Sanchez, Wheeler and Harvey</v>
      </c>
      <c r="D239" s="17" t="n">
        <f aca="false">Customer_Invoices_AR!C236</f>
        <v>45938</v>
      </c>
      <c r="E239" s="17" t="n">
        <f aca="false">Customer_Invoices_AR!E236</f>
        <v>45953</v>
      </c>
      <c r="F239" s="18" t="n">
        <f aca="false">Customer_Invoices_AR!D236</f>
        <v>713.03</v>
      </c>
      <c r="G239" s="18" t="n">
        <f aca="false">SUMIFS(Cash_Receipts_AR!$E$2:$E$503,Cash_Receipts_AR!$B$2:$B$503,A239)</f>
        <v>429.55</v>
      </c>
      <c r="H239" s="18" t="n">
        <f aca="false">F239-G239</f>
        <v>283.48</v>
      </c>
      <c r="I239" s="16" t="n">
        <f aca="false">IF(H239&lt;=0.01,0,MAX(Assumptions!$B$5-E239,0))</f>
        <v>281</v>
      </c>
      <c r="J239" s="16" t="str">
        <f aca="false">IF(H239&lt;=0.01,"Paid",IF(I239&lt;=30,"0-30",IF(I239&lt;=60,"31-60",IF(I239&lt;=90,"61-90","90+"))))</f>
        <v>90+</v>
      </c>
      <c r="K239" s="16" t="str">
        <f aca="false">IF(H239&lt;=0.01,"Paid",IF(G239&gt;0,"Partially Paid","Unpaid"))</f>
        <v>Partially Paid</v>
      </c>
    </row>
    <row r="240" customFormat="false" ht="15" hidden="false" customHeight="false" outlineLevel="0" collapsed="false">
      <c r="A240" s="16" t="str">
        <f aca="false">Customer_Invoices_AR!A237</f>
        <v>ARI60236</v>
      </c>
      <c r="B240" s="16" t="str">
        <f aca="false">Customer_Invoices_AR!B237</f>
        <v>C2023</v>
      </c>
      <c r="C240" s="16" t="str">
        <f aca="false">IFERROR(INDEX(Customer_Master!$B$2:$B$31,MATCH(B240,Customer_Master!$A$2:$A$31,0)),"Unknown Customer")</f>
        <v>Stanley, Tucker and Lee</v>
      </c>
      <c r="D240" s="17" t="n">
        <f aca="false">Customer_Invoices_AR!C237</f>
        <v>46197</v>
      </c>
      <c r="E240" s="17" t="n">
        <f aca="false">Customer_Invoices_AR!E237</f>
        <v>46257</v>
      </c>
      <c r="F240" s="18" t="n">
        <f aca="false">Customer_Invoices_AR!D237</f>
        <v>3693.27</v>
      </c>
      <c r="G240" s="18" t="n">
        <f aca="false">SUMIFS(Cash_Receipts_AR!$E$2:$E$503,Cash_Receipts_AR!$B$2:$B$503,A240)</f>
        <v>0</v>
      </c>
      <c r="H240" s="18" t="n">
        <f aca="false">F240-G240</f>
        <v>3693.27</v>
      </c>
      <c r="I240" s="16" t="n">
        <f aca="false">IF(H240&lt;=0.01,0,MAX(Assumptions!$B$5-E240,0))</f>
        <v>0</v>
      </c>
      <c r="J240" s="16" t="str">
        <f aca="false">IF(H240&lt;=0.01,"Paid",IF(I240&lt;=30,"0-30",IF(I240&lt;=60,"31-60",IF(I240&lt;=90,"61-90","90+"))))</f>
        <v>0-30</v>
      </c>
      <c r="K240" s="16" t="str">
        <f aca="false">IF(H240&lt;=0.01,"Paid",IF(G240&gt;0,"Partially Paid","Unpaid"))</f>
        <v>Unpaid</v>
      </c>
    </row>
    <row r="241" customFormat="false" ht="15" hidden="false" customHeight="false" outlineLevel="0" collapsed="false">
      <c r="A241" s="16" t="str">
        <f aca="false">Customer_Invoices_AR!A238</f>
        <v>ARI60237</v>
      </c>
      <c r="B241" s="16" t="str">
        <f aca="false">Customer_Invoices_AR!B238</f>
        <v>C2006</v>
      </c>
      <c r="C241" s="16" t="str">
        <f aca="false">IFERROR(INDEX(Customer_Master!$B$2:$B$31,MATCH(B241,Customer_Master!$A$2:$A$31,0)),"Unknown Customer")</f>
        <v>Washington, Ryan and Cummings</v>
      </c>
      <c r="D241" s="17" t="n">
        <f aca="false">Customer_Invoices_AR!C238</f>
        <v>45953</v>
      </c>
      <c r="E241" s="17" t="n">
        <f aca="false">Customer_Invoices_AR!E238</f>
        <v>45968</v>
      </c>
      <c r="F241" s="18" t="n">
        <f aca="false">Customer_Invoices_AR!D238</f>
        <v>1811.75</v>
      </c>
      <c r="G241" s="18" t="n">
        <f aca="false">SUMIFS(Cash_Receipts_AR!$E$2:$E$503,Cash_Receipts_AR!$B$2:$B$503,A241)</f>
        <v>1296.73</v>
      </c>
      <c r="H241" s="18" t="n">
        <f aca="false">F241-G241</f>
        <v>515.02</v>
      </c>
      <c r="I241" s="16" t="n">
        <f aca="false">IF(H241&lt;=0.01,0,MAX(Assumptions!$B$5-E241,0))</f>
        <v>266</v>
      </c>
      <c r="J241" s="16" t="str">
        <f aca="false">IF(H241&lt;=0.01,"Paid",IF(I241&lt;=30,"0-30",IF(I241&lt;=60,"31-60",IF(I241&lt;=90,"61-90","90+"))))</f>
        <v>90+</v>
      </c>
      <c r="K241" s="16" t="str">
        <f aca="false">IF(H241&lt;=0.01,"Paid",IF(G241&gt;0,"Partially Paid","Unpaid"))</f>
        <v>Partially Paid</v>
      </c>
    </row>
    <row r="242" customFormat="false" ht="15" hidden="false" customHeight="false" outlineLevel="0" collapsed="false">
      <c r="A242" s="16" t="str">
        <f aca="false">Customer_Invoices_AR!A239</f>
        <v>ARI60238</v>
      </c>
      <c r="B242" s="16" t="str">
        <f aca="false">Customer_Invoices_AR!B239</f>
        <v>C2022</v>
      </c>
      <c r="C242" s="16" t="str">
        <f aca="false">IFERROR(INDEX(Customer_Master!$B$2:$B$31,MATCH(B242,Customer_Master!$A$2:$A$31,0)),"Unknown Customer")</f>
        <v>Henderson-Bernard</v>
      </c>
      <c r="D242" s="17" t="n">
        <f aca="false">Customer_Invoices_AR!C239</f>
        <v>45796</v>
      </c>
      <c r="E242" s="17" t="n">
        <f aca="false">Customer_Invoices_AR!E239</f>
        <v>45826</v>
      </c>
      <c r="F242" s="18" t="n">
        <f aca="false">Customer_Invoices_AR!D239</f>
        <v>2133.93</v>
      </c>
      <c r="G242" s="18" t="n">
        <f aca="false">SUMIFS(Cash_Receipts_AR!$E$2:$E$503,Cash_Receipts_AR!$B$2:$B$503,A242)</f>
        <v>0</v>
      </c>
      <c r="H242" s="18" t="n">
        <f aca="false">F242-G242</f>
        <v>2133.93</v>
      </c>
      <c r="I242" s="16" t="n">
        <f aca="false">IF(H242&lt;=0.01,0,MAX(Assumptions!$B$5-E242,0))</f>
        <v>408</v>
      </c>
      <c r="J242" s="16" t="str">
        <f aca="false">IF(H242&lt;=0.01,"Paid",IF(I242&lt;=30,"0-30",IF(I242&lt;=60,"31-60",IF(I242&lt;=90,"61-90","90+"))))</f>
        <v>90+</v>
      </c>
      <c r="K242" s="16" t="str">
        <f aca="false">IF(H242&lt;=0.01,"Paid",IF(G242&gt;0,"Partially Paid","Unpaid"))</f>
        <v>Unpaid</v>
      </c>
    </row>
    <row r="243" customFormat="false" ht="15" hidden="false" customHeight="false" outlineLevel="0" collapsed="false">
      <c r="A243" s="16" t="str">
        <f aca="false">Customer_Invoices_AR!A240</f>
        <v>ARI60239</v>
      </c>
      <c r="B243" s="16" t="str">
        <f aca="false">Customer_Invoices_AR!B240</f>
        <v>C2024</v>
      </c>
      <c r="C243" s="16" t="str">
        <f aca="false">IFERROR(INDEX(Customer_Master!$B$2:$B$31,MATCH(B243,Customer_Master!$A$2:$A$31,0)),"Unknown Customer")</f>
        <v>Novak PLC</v>
      </c>
      <c r="D243" s="17" t="n">
        <f aca="false">Customer_Invoices_AR!C240</f>
        <v>46068</v>
      </c>
      <c r="E243" s="17" t="n">
        <f aca="false">Customer_Invoices_AR!E240</f>
        <v>46128</v>
      </c>
      <c r="F243" s="18" t="n">
        <f aca="false">Customer_Invoices_AR!D240</f>
        <v>2390.69</v>
      </c>
      <c r="G243" s="18" t="n">
        <f aca="false">SUMIFS(Cash_Receipts_AR!$E$2:$E$503,Cash_Receipts_AR!$B$2:$B$503,A243)</f>
        <v>1329.65</v>
      </c>
      <c r="H243" s="18" t="n">
        <f aca="false">F243-G243</f>
        <v>1061.04</v>
      </c>
      <c r="I243" s="16" t="n">
        <f aca="false">IF(H243&lt;=0.01,0,MAX(Assumptions!$B$5-E243,0))</f>
        <v>106</v>
      </c>
      <c r="J243" s="16" t="str">
        <f aca="false">IF(H243&lt;=0.01,"Paid",IF(I243&lt;=30,"0-30",IF(I243&lt;=60,"31-60",IF(I243&lt;=90,"61-90","90+"))))</f>
        <v>90+</v>
      </c>
      <c r="K243" s="16" t="str">
        <f aca="false">IF(H243&lt;=0.01,"Paid",IF(G243&gt;0,"Partially Paid","Unpaid"))</f>
        <v>Partially Paid</v>
      </c>
    </row>
    <row r="244" customFormat="false" ht="15" hidden="false" customHeight="false" outlineLevel="0" collapsed="false">
      <c r="A244" s="16" t="str">
        <f aca="false">Customer_Invoices_AR!A241</f>
        <v>ARI60240</v>
      </c>
      <c r="B244" s="16" t="str">
        <f aca="false">Customer_Invoices_AR!B241</f>
        <v>C2029</v>
      </c>
      <c r="C244" s="16" t="str">
        <f aca="false">IFERROR(INDEX(Customer_Master!$B$2:$B$31,MATCH(B244,Customer_Master!$A$2:$A$31,0)),"Unknown Customer")</f>
        <v>Hensley, Powell and David</v>
      </c>
      <c r="D244" s="17" t="n">
        <f aca="false">Customer_Invoices_AR!C241</f>
        <v>45762</v>
      </c>
      <c r="E244" s="17" t="n">
        <f aca="false">Customer_Invoices_AR!E241</f>
        <v>45822</v>
      </c>
      <c r="F244" s="18" t="n">
        <f aca="false">Customer_Invoices_AR!D241</f>
        <v>1478.27</v>
      </c>
      <c r="G244" s="18" t="n">
        <f aca="false">SUMIFS(Cash_Receipts_AR!$E$2:$E$503,Cash_Receipts_AR!$B$2:$B$503,A244)</f>
        <v>1478.27</v>
      </c>
      <c r="H244" s="18" t="n">
        <f aca="false">F244-G244</f>
        <v>0</v>
      </c>
      <c r="I244" s="16" t="n">
        <f aca="false">IF(H244&lt;=0.01,0,MAX(Assumptions!$B$5-E244,0))</f>
        <v>0</v>
      </c>
      <c r="J244" s="16" t="str">
        <f aca="false">IF(H244&lt;=0.01,"Paid",IF(I244&lt;=30,"0-30",IF(I244&lt;=60,"31-60",IF(I244&lt;=90,"61-90","90+"))))</f>
        <v>Paid</v>
      </c>
      <c r="K244" s="16" t="str">
        <f aca="false">IF(H244&lt;=0.01,"Paid",IF(G244&gt;0,"Partially Paid","Unpaid"))</f>
        <v>Paid</v>
      </c>
    </row>
    <row r="245" customFormat="false" ht="15" hidden="false" customHeight="false" outlineLevel="0" collapsed="false">
      <c r="A245" s="16" t="str">
        <f aca="false">Customer_Invoices_AR!A242</f>
        <v>ARI60241</v>
      </c>
      <c r="B245" s="16" t="str">
        <f aca="false">Customer_Invoices_AR!B242</f>
        <v>C2002</v>
      </c>
      <c r="C245" s="16" t="str">
        <f aca="false">IFERROR(INDEX(Customer_Master!$B$2:$B$31,MATCH(B245,Customer_Master!$A$2:$A$31,0)),"Unknown Customer")</f>
        <v>Smith-Spencer</v>
      </c>
      <c r="D245" s="17" t="n">
        <f aca="false">Customer_Invoices_AR!C242</f>
        <v>45852</v>
      </c>
      <c r="E245" s="17" t="n">
        <f aca="false">Customer_Invoices_AR!E242</f>
        <v>45867</v>
      </c>
      <c r="F245" s="18" t="n">
        <f aca="false">Customer_Invoices_AR!D242</f>
        <v>951.67</v>
      </c>
      <c r="G245" s="18" t="n">
        <f aca="false">SUMIFS(Cash_Receipts_AR!$E$2:$E$503,Cash_Receipts_AR!$B$2:$B$503,A245)</f>
        <v>951.67</v>
      </c>
      <c r="H245" s="18" t="n">
        <f aca="false">F245-G245</f>
        <v>0</v>
      </c>
      <c r="I245" s="16" t="n">
        <f aca="false">IF(H245&lt;=0.01,0,MAX(Assumptions!$B$5-E245,0))</f>
        <v>0</v>
      </c>
      <c r="J245" s="16" t="str">
        <f aca="false">IF(H245&lt;=0.01,"Paid",IF(I245&lt;=30,"0-30",IF(I245&lt;=60,"31-60",IF(I245&lt;=90,"61-90","90+"))))</f>
        <v>Paid</v>
      </c>
      <c r="K245" s="16" t="str">
        <f aca="false">IF(H245&lt;=0.01,"Paid",IF(G245&gt;0,"Partially Paid","Unpaid"))</f>
        <v>Paid</v>
      </c>
    </row>
    <row r="246" customFormat="false" ht="15" hidden="false" customHeight="false" outlineLevel="0" collapsed="false">
      <c r="A246" s="16" t="str">
        <f aca="false">Customer_Invoices_AR!A243</f>
        <v>ARI60242</v>
      </c>
      <c r="B246" s="16" t="str">
        <f aca="false">Customer_Invoices_AR!B243</f>
        <v>C2009</v>
      </c>
      <c r="C246" s="16" t="str">
        <f aca="false">IFERROR(INDEX(Customer_Master!$B$2:$B$31,MATCH(B246,Customer_Master!$A$2:$A$31,0)),"Unknown Customer")</f>
        <v>Gomez-Jenkins</v>
      </c>
      <c r="D246" s="17" t="n">
        <f aca="false">Customer_Invoices_AR!C243</f>
        <v>46083</v>
      </c>
      <c r="E246" s="17" t="n">
        <f aca="false">Customer_Invoices_AR!E243</f>
        <v>46128</v>
      </c>
      <c r="F246" s="18" t="n">
        <f aca="false">Customer_Invoices_AR!D243</f>
        <v>4785.44</v>
      </c>
      <c r="G246" s="18" t="n">
        <f aca="false">SUMIFS(Cash_Receipts_AR!$E$2:$E$503,Cash_Receipts_AR!$B$2:$B$503,A246)</f>
        <v>4785.44</v>
      </c>
      <c r="H246" s="18" t="n">
        <f aca="false">F246-G246</f>
        <v>0</v>
      </c>
      <c r="I246" s="16" t="n">
        <f aca="false">IF(H246&lt;=0.01,0,MAX(Assumptions!$B$5-E246,0))</f>
        <v>0</v>
      </c>
      <c r="J246" s="16" t="str">
        <f aca="false">IF(H246&lt;=0.01,"Paid",IF(I246&lt;=30,"0-30",IF(I246&lt;=60,"31-60",IF(I246&lt;=90,"61-90","90+"))))</f>
        <v>Paid</v>
      </c>
      <c r="K246" s="16" t="str">
        <f aca="false">IF(H246&lt;=0.01,"Paid",IF(G246&gt;0,"Partially Paid","Unpaid"))</f>
        <v>Paid</v>
      </c>
    </row>
    <row r="247" customFormat="false" ht="15" hidden="false" customHeight="false" outlineLevel="0" collapsed="false">
      <c r="A247" s="16" t="str">
        <f aca="false">Customer_Invoices_AR!A244</f>
        <v>ARI60243</v>
      </c>
      <c r="B247" s="16" t="str">
        <f aca="false">Customer_Invoices_AR!B244</f>
        <v>C2030</v>
      </c>
      <c r="C247" s="16" t="str">
        <f aca="false">IFERROR(INDEX(Customer_Master!$B$2:$B$31,MATCH(B247,Customer_Master!$A$2:$A$31,0)),"Unknown Customer")</f>
        <v>Sanchez, Wheeler and Harvey</v>
      </c>
      <c r="D247" s="17" t="n">
        <f aca="false">Customer_Invoices_AR!C244</f>
        <v>46129</v>
      </c>
      <c r="E247" s="17" t="n">
        <f aca="false">Customer_Invoices_AR!E244</f>
        <v>46144</v>
      </c>
      <c r="F247" s="18" t="n">
        <f aca="false">Customer_Invoices_AR!D244</f>
        <v>4420.51</v>
      </c>
      <c r="G247" s="18" t="n">
        <f aca="false">SUMIFS(Cash_Receipts_AR!$E$2:$E$503,Cash_Receipts_AR!$B$2:$B$503,A247)</f>
        <v>4420.51</v>
      </c>
      <c r="H247" s="18" t="n">
        <f aca="false">F247-G247</f>
        <v>0</v>
      </c>
      <c r="I247" s="16" t="n">
        <f aca="false">IF(H247&lt;=0.01,0,MAX(Assumptions!$B$5-E247,0))</f>
        <v>0</v>
      </c>
      <c r="J247" s="16" t="str">
        <f aca="false">IF(H247&lt;=0.01,"Paid",IF(I247&lt;=30,"0-30",IF(I247&lt;=60,"31-60",IF(I247&lt;=90,"61-90","90+"))))</f>
        <v>Paid</v>
      </c>
      <c r="K247" s="16" t="str">
        <f aca="false">IF(H247&lt;=0.01,"Paid",IF(G247&gt;0,"Partially Paid","Unpaid"))</f>
        <v>Paid</v>
      </c>
    </row>
    <row r="248" customFormat="false" ht="15" hidden="false" customHeight="false" outlineLevel="0" collapsed="false">
      <c r="A248" s="16" t="str">
        <f aca="false">Customer_Invoices_AR!A245</f>
        <v>ARI60244</v>
      </c>
      <c r="B248" s="16" t="str">
        <f aca="false">Customer_Invoices_AR!B245</f>
        <v>C2007</v>
      </c>
      <c r="C248" s="16" t="str">
        <f aca="false">IFERROR(INDEX(Customer_Master!$B$2:$B$31,MATCH(B248,Customer_Master!$A$2:$A$31,0)),"Unknown Customer")</f>
        <v>Johnston, Sanchez and Kennedy</v>
      </c>
      <c r="D248" s="17" t="n">
        <f aca="false">Customer_Invoices_AR!C245</f>
        <v>45838</v>
      </c>
      <c r="E248" s="17" t="n">
        <f aca="false">Customer_Invoices_AR!E245</f>
        <v>45868</v>
      </c>
      <c r="F248" s="18" t="n">
        <f aca="false">Customer_Invoices_AR!D245</f>
        <v>2086.28</v>
      </c>
      <c r="G248" s="18" t="n">
        <f aca="false">SUMIFS(Cash_Receipts_AR!$E$2:$E$503,Cash_Receipts_AR!$B$2:$B$503,A248)</f>
        <v>2086.28</v>
      </c>
      <c r="H248" s="18" t="n">
        <f aca="false">F248-G248</f>
        <v>0</v>
      </c>
      <c r="I248" s="16" t="n">
        <f aca="false">IF(H248&lt;=0.01,0,MAX(Assumptions!$B$5-E248,0))</f>
        <v>0</v>
      </c>
      <c r="J248" s="16" t="str">
        <f aca="false">IF(H248&lt;=0.01,"Paid",IF(I248&lt;=30,"0-30",IF(I248&lt;=60,"31-60",IF(I248&lt;=90,"61-90","90+"))))</f>
        <v>Paid</v>
      </c>
      <c r="K248" s="16" t="str">
        <f aca="false">IF(H248&lt;=0.01,"Paid",IF(G248&gt;0,"Partially Paid","Unpaid"))</f>
        <v>Paid</v>
      </c>
    </row>
    <row r="249" customFormat="false" ht="15" hidden="false" customHeight="false" outlineLevel="0" collapsed="false">
      <c r="A249" s="16" t="str">
        <f aca="false">Customer_Invoices_AR!A246</f>
        <v>ARI60245</v>
      </c>
      <c r="B249" s="16" t="str">
        <f aca="false">Customer_Invoices_AR!B246</f>
        <v>C2025</v>
      </c>
      <c r="C249" s="16" t="str">
        <f aca="false">IFERROR(INDEX(Customer_Master!$B$2:$B$31,MATCH(B249,Customer_Master!$A$2:$A$31,0)),"Unknown Customer")</f>
        <v>Daniels, Adkins and Brown</v>
      </c>
      <c r="D249" s="17" t="n">
        <f aca="false">Customer_Invoices_AR!C246</f>
        <v>45725</v>
      </c>
      <c r="E249" s="17" t="n">
        <f aca="false">Customer_Invoices_AR!E246</f>
        <v>45740</v>
      </c>
      <c r="F249" s="18" t="n">
        <f aca="false">Customer_Invoices_AR!D246</f>
        <v>21829.68</v>
      </c>
      <c r="G249" s="18" t="n">
        <f aca="false">SUMIFS(Cash_Receipts_AR!$E$2:$E$503,Cash_Receipts_AR!$B$2:$B$503,A249)</f>
        <v>21829.68</v>
      </c>
      <c r="H249" s="18" t="n">
        <f aca="false">F249-G249</f>
        <v>0</v>
      </c>
      <c r="I249" s="16" t="n">
        <f aca="false">IF(H249&lt;=0.01,0,MAX(Assumptions!$B$5-E249,0))</f>
        <v>0</v>
      </c>
      <c r="J249" s="16" t="str">
        <f aca="false">IF(H249&lt;=0.01,"Paid",IF(I249&lt;=30,"0-30",IF(I249&lt;=60,"31-60",IF(I249&lt;=90,"61-90","90+"))))</f>
        <v>Paid</v>
      </c>
      <c r="K249" s="16" t="str">
        <f aca="false">IF(H249&lt;=0.01,"Paid",IF(G249&gt;0,"Partially Paid","Unpaid"))</f>
        <v>Paid</v>
      </c>
    </row>
    <row r="250" customFormat="false" ht="15" hidden="false" customHeight="false" outlineLevel="0" collapsed="false">
      <c r="A250" s="16" t="str">
        <f aca="false">Customer_Invoices_AR!A247</f>
        <v>ARI60246</v>
      </c>
      <c r="B250" s="16" t="str">
        <f aca="false">Customer_Invoices_AR!B247</f>
        <v>C2009</v>
      </c>
      <c r="C250" s="16" t="str">
        <f aca="false">IFERROR(INDEX(Customer_Master!$B$2:$B$31,MATCH(B250,Customer_Master!$A$2:$A$31,0)),"Unknown Customer")</f>
        <v>Gomez-Jenkins</v>
      </c>
      <c r="D250" s="17" t="n">
        <f aca="false">Customer_Invoices_AR!C247</f>
        <v>45858</v>
      </c>
      <c r="E250" s="17" t="n">
        <f aca="false">Customer_Invoices_AR!E247</f>
        <v>45903</v>
      </c>
      <c r="F250" s="18" t="n">
        <f aca="false">Customer_Invoices_AR!D247</f>
        <v>10564.24</v>
      </c>
      <c r="G250" s="18" t="n">
        <f aca="false">SUMIFS(Cash_Receipts_AR!$E$2:$E$503,Cash_Receipts_AR!$B$2:$B$503,A250)</f>
        <v>10564.24</v>
      </c>
      <c r="H250" s="18" t="n">
        <f aca="false">F250-G250</f>
        <v>0</v>
      </c>
      <c r="I250" s="16" t="n">
        <f aca="false">IF(H250&lt;=0.01,0,MAX(Assumptions!$B$5-E250,0))</f>
        <v>0</v>
      </c>
      <c r="J250" s="16" t="str">
        <f aca="false">IF(H250&lt;=0.01,"Paid",IF(I250&lt;=30,"0-30",IF(I250&lt;=60,"31-60",IF(I250&lt;=90,"61-90","90+"))))</f>
        <v>Paid</v>
      </c>
      <c r="K250" s="16" t="str">
        <f aca="false">IF(H250&lt;=0.01,"Paid",IF(G250&gt;0,"Partially Paid","Unpaid"))</f>
        <v>Paid</v>
      </c>
    </row>
    <row r="251" customFormat="false" ht="15" hidden="false" customHeight="false" outlineLevel="0" collapsed="false">
      <c r="A251" s="16" t="str">
        <f aca="false">Customer_Invoices_AR!A248</f>
        <v>ARI60247</v>
      </c>
      <c r="B251" s="16" t="str">
        <f aca="false">Customer_Invoices_AR!B248</f>
        <v>C2009</v>
      </c>
      <c r="C251" s="16" t="str">
        <f aca="false">IFERROR(INDEX(Customer_Master!$B$2:$B$31,MATCH(B251,Customer_Master!$A$2:$A$31,0)),"Unknown Customer")</f>
        <v>Gomez-Jenkins</v>
      </c>
      <c r="D251" s="17" t="n">
        <f aca="false">Customer_Invoices_AR!C248</f>
        <v>46142</v>
      </c>
      <c r="E251" s="17" t="n">
        <f aca="false">Customer_Invoices_AR!E248</f>
        <v>46187</v>
      </c>
      <c r="F251" s="18" t="n">
        <f aca="false">Customer_Invoices_AR!D248</f>
        <v>1103.66</v>
      </c>
      <c r="G251" s="18" t="n">
        <f aca="false">SUMIFS(Cash_Receipts_AR!$E$2:$E$503,Cash_Receipts_AR!$B$2:$B$503,A251)</f>
        <v>1103.66</v>
      </c>
      <c r="H251" s="18" t="n">
        <f aca="false">F251-G251</f>
        <v>0</v>
      </c>
      <c r="I251" s="16" t="n">
        <f aca="false">IF(H251&lt;=0.01,0,MAX(Assumptions!$B$5-E251,0))</f>
        <v>0</v>
      </c>
      <c r="J251" s="16" t="str">
        <f aca="false">IF(H251&lt;=0.01,"Paid",IF(I251&lt;=30,"0-30",IF(I251&lt;=60,"31-60",IF(I251&lt;=90,"61-90","90+"))))</f>
        <v>Paid</v>
      </c>
      <c r="K251" s="16" t="str">
        <f aca="false">IF(H251&lt;=0.01,"Paid",IF(G251&gt;0,"Partially Paid","Unpaid"))</f>
        <v>Paid</v>
      </c>
    </row>
    <row r="252" customFormat="false" ht="15" hidden="false" customHeight="false" outlineLevel="0" collapsed="false">
      <c r="A252" s="16" t="str">
        <f aca="false">Customer_Invoices_AR!A249</f>
        <v>ARI60248</v>
      </c>
      <c r="B252" s="16" t="str">
        <f aca="false">Customer_Invoices_AR!B249</f>
        <v>C2019</v>
      </c>
      <c r="C252" s="16" t="str">
        <f aca="false">IFERROR(INDEX(Customer_Master!$B$2:$B$31,MATCH(B252,Customer_Master!$A$2:$A$31,0)),"Unknown Customer")</f>
        <v>Hancock Inc</v>
      </c>
      <c r="D252" s="17" t="n">
        <f aca="false">Customer_Invoices_AR!C249</f>
        <v>46063</v>
      </c>
      <c r="E252" s="17" t="n">
        <f aca="false">Customer_Invoices_AR!E249</f>
        <v>46078</v>
      </c>
      <c r="F252" s="18" t="n">
        <f aca="false">Customer_Invoices_AR!D249</f>
        <v>3351.82</v>
      </c>
      <c r="G252" s="18" t="n">
        <f aca="false">SUMIFS(Cash_Receipts_AR!$E$2:$E$503,Cash_Receipts_AR!$B$2:$B$503,A252)</f>
        <v>3351.82</v>
      </c>
      <c r="H252" s="18" t="n">
        <f aca="false">F252-G252</f>
        <v>0</v>
      </c>
      <c r="I252" s="16" t="n">
        <f aca="false">IF(H252&lt;=0.01,0,MAX(Assumptions!$B$5-E252,0))</f>
        <v>0</v>
      </c>
      <c r="J252" s="16" t="str">
        <f aca="false">IF(H252&lt;=0.01,"Paid",IF(I252&lt;=30,"0-30",IF(I252&lt;=60,"31-60",IF(I252&lt;=90,"61-90","90+"))))</f>
        <v>Paid</v>
      </c>
      <c r="K252" s="16" t="str">
        <f aca="false">IF(H252&lt;=0.01,"Paid",IF(G252&gt;0,"Partially Paid","Unpaid"))</f>
        <v>Paid</v>
      </c>
    </row>
    <row r="253" customFormat="false" ht="15" hidden="false" customHeight="false" outlineLevel="0" collapsed="false">
      <c r="A253" s="16" t="str">
        <f aca="false">Customer_Invoices_AR!A250</f>
        <v>ARI60249</v>
      </c>
      <c r="B253" s="16" t="str">
        <f aca="false">Customer_Invoices_AR!B250</f>
        <v>C2024</v>
      </c>
      <c r="C253" s="16" t="str">
        <f aca="false">IFERROR(INDEX(Customer_Master!$B$2:$B$31,MATCH(B253,Customer_Master!$A$2:$A$31,0)),"Unknown Customer")</f>
        <v>Novak PLC</v>
      </c>
      <c r="D253" s="17" t="n">
        <f aca="false">Customer_Invoices_AR!C250</f>
        <v>46145</v>
      </c>
      <c r="E253" s="17" t="n">
        <f aca="false">Customer_Invoices_AR!E250</f>
        <v>46205</v>
      </c>
      <c r="F253" s="18" t="n">
        <f aca="false">Customer_Invoices_AR!D250</f>
        <v>693.6</v>
      </c>
      <c r="G253" s="18" t="n">
        <f aca="false">SUMIFS(Cash_Receipts_AR!$E$2:$E$503,Cash_Receipts_AR!$B$2:$B$503,A253)</f>
        <v>693.6</v>
      </c>
      <c r="H253" s="18" t="n">
        <f aca="false">F253-G253</f>
        <v>0</v>
      </c>
      <c r="I253" s="16" t="n">
        <f aca="false">IF(H253&lt;=0.01,0,MAX(Assumptions!$B$5-E253,0))</f>
        <v>0</v>
      </c>
      <c r="J253" s="16" t="str">
        <f aca="false">IF(H253&lt;=0.01,"Paid",IF(I253&lt;=30,"0-30",IF(I253&lt;=60,"31-60",IF(I253&lt;=90,"61-90","90+"))))</f>
        <v>Paid</v>
      </c>
      <c r="K253" s="16" t="str">
        <f aca="false">IF(H253&lt;=0.01,"Paid",IF(G253&gt;0,"Partially Paid","Unpaid"))</f>
        <v>Paid</v>
      </c>
    </row>
    <row r="254" customFormat="false" ht="15" hidden="false" customHeight="false" outlineLevel="0" collapsed="false">
      <c r="A254" s="16" t="str">
        <f aca="false">Customer_Invoices_AR!A251</f>
        <v>ARI60250</v>
      </c>
      <c r="B254" s="16" t="str">
        <f aca="false">Customer_Invoices_AR!B251</f>
        <v>C2018</v>
      </c>
      <c r="C254" s="16" t="str">
        <f aca="false">IFERROR(INDEX(Customer_Master!$B$2:$B$31,MATCH(B254,Customer_Master!$A$2:$A$31,0)),"Unknown Customer")</f>
        <v>Russell Group</v>
      </c>
      <c r="D254" s="17" t="n">
        <f aca="false">Customer_Invoices_AR!C251</f>
        <v>45868</v>
      </c>
      <c r="E254" s="17" t="n">
        <f aca="false">Customer_Invoices_AR!E251</f>
        <v>45883</v>
      </c>
      <c r="F254" s="18" t="n">
        <f aca="false">Customer_Invoices_AR!D251</f>
        <v>5622.05</v>
      </c>
      <c r="G254" s="18" t="n">
        <f aca="false">SUMIFS(Cash_Receipts_AR!$E$2:$E$503,Cash_Receipts_AR!$B$2:$B$503,A254)</f>
        <v>3830.58</v>
      </c>
      <c r="H254" s="18" t="n">
        <f aca="false">F254-G254</f>
        <v>1791.47</v>
      </c>
      <c r="I254" s="16" t="n">
        <f aca="false">IF(H254&lt;=0.01,0,MAX(Assumptions!$B$5-E254,0))</f>
        <v>351</v>
      </c>
      <c r="J254" s="16" t="str">
        <f aca="false">IF(H254&lt;=0.01,"Paid",IF(I254&lt;=30,"0-30",IF(I254&lt;=60,"31-60",IF(I254&lt;=90,"61-90","90+"))))</f>
        <v>90+</v>
      </c>
      <c r="K254" s="16" t="str">
        <f aca="false">IF(H254&lt;=0.01,"Paid",IF(G254&gt;0,"Partially Paid","Unpaid"))</f>
        <v>Partially Paid</v>
      </c>
    </row>
    <row r="255" customFormat="false" ht="15" hidden="false" customHeight="false" outlineLevel="0" collapsed="false">
      <c r="A255" s="16" t="str">
        <f aca="false">Customer_Invoices_AR!A252</f>
        <v>ARI60251</v>
      </c>
      <c r="B255" s="16" t="str">
        <f aca="false">Customer_Invoices_AR!B252</f>
        <v>C2002</v>
      </c>
      <c r="C255" s="16" t="str">
        <f aca="false">IFERROR(INDEX(Customer_Master!$B$2:$B$31,MATCH(B255,Customer_Master!$A$2:$A$31,0)),"Unknown Customer")</f>
        <v>Smith-Spencer</v>
      </c>
      <c r="D255" s="17" t="n">
        <f aca="false">Customer_Invoices_AR!C252</f>
        <v>46188</v>
      </c>
      <c r="E255" s="17" t="n">
        <f aca="false">Customer_Invoices_AR!E252</f>
        <v>46203</v>
      </c>
      <c r="F255" s="18" t="n">
        <f aca="false">Customer_Invoices_AR!D252</f>
        <v>95.7</v>
      </c>
      <c r="G255" s="18" t="n">
        <f aca="false">SUMIFS(Cash_Receipts_AR!$E$2:$E$503,Cash_Receipts_AR!$B$2:$B$503,A255)</f>
        <v>0</v>
      </c>
      <c r="H255" s="18" t="n">
        <f aca="false">F255-G255</f>
        <v>95.7</v>
      </c>
      <c r="I255" s="16" t="n">
        <f aca="false">IF(H255&lt;=0.01,0,MAX(Assumptions!$B$5-E255,0))</f>
        <v>31</v>
      </c>
      <c r="J255" s="16" t="str">
        <f aca="false">IF(H255&lt;=0.01,"Paid",IF(I255&lt;=30,"0-30",IF(I255&lt;=60,"31-60",IF(I255&lt;=90,"61-90","90+"))))</f>
        <v>31-60</v>
      </c>
      <c r="K255" s="16" t="str">
        <f aca="false">IF(H255&lt;=0.01,"Paid",IF(G255&gt;0,"Partially Paid","Unpaid"))</f>
        <v>Unpaid</v>
      </c>
    </row>
    <row r="256" customFormat="false" ht="15" hidden="false" customHeight="false" outlineLevel="0" collapsed="false">
      <c r="A256" s="16" t="str">
        <f aca="false">Customer_Invoices_AR!A253</f>
        <v>ARI60252</v>
      </c>
      <c r="B256" s="16" t="str">
        <f aca="false">Customer_Invoices_AR!B253</f>
        <v>C2008</v>
      </c>
      <c r="C256" s="16" t="str">
        <f aca="false">IFERROR(INDEX(Customer_Master!$B$2:$B$31,MATCH(B256,Customer_Master!$A$2:$A$31,0)),"Unknown Customer")</f>
        <v>Lee-Davis</v>
      </c>
      <c r="D256" s="17" t="n">
        <f aca="false">Customer_Invoices_AR!C253</f>
        <v>45928</v>
      </c>
      <c r="E256" s="17" t="n">
        <f aca="false">Customer_Invoices_AR!E253</f>
        <v>45988</v>
      </c>
      <c r="F256" s="18" t="n">
        <f aca="false">Customer_Invoices_AR!D253</f>
        <v>1015.03</v>
      </c>
      <c r="G256" s="18" t="n">
        <f aca="false">SUMIFS(Cash_Receipts_AR!$E$2:$E$503,Cash_Receipts_AR!$B$2:$B$503,A256)</f>
        <v>1015.03</v>
      </c>
      <c r="H256" s="18" t="n">
        <f aca="false">F256-G256</f>
        <v>0</v>
      </c>
      <c r="I256" s="16" t="n">
        <f aca="false">IF(H256&lt;=0.01,0,MAX(Assumptions!$B$5-E256,0))</f>
        <v>0</v>
      </c>
      <c r="J256" s="16" t="str">
        <f aca="false">IF(H256&lt;=0.01,"Paid",IF(I256&lt;=30,"0-30",IF(I256&lt;=60,"31-60",IF(I256&lt;=90,"61-90","90+"))))</f>
        <v>Paid</v>
      </c>
      <c r="K256" s="16" t="str">
        <f aca="false">IF(H256&lt;=0.01,"Paid",IF(G256&gt;0,"Partially Paid","Unpaid"))</f>
        <v>Paid</v>
      </c>
    </row>
    <row r="257" customFormat="false" ht="15" hidden="false" customHeight="false" outlineLevel="0" collapsed="false">
      <c r="A257" s="16" t="str">
        <f aca="false">Customer_Invoices_AR!A254</f>
        <v>ARI60253</v>
      </c>
      <c r="B257" s="16" t="str">
        <f aca="false">Customer_Invoices_AR!B254</f>
        <v>C2006</v>
      </c>
      <c r="C257" s="16" t="str">
        <f aca="false">IFERROR(INDEX(Customer_Master!$B$2:$B$31,MATCH(B257,Customer_Master!$A$2:$A$31,0)),"Unknown Customer")</f>
        <v>Washington, Ryan and Cummings</v>
      </c>
      <c r="D257" s="17" t="n">
        <f aca="false">Customer_Invoices_AR!C254</f>
        <v>45929</v>
      </c>
      <c r="E257" s="17" t="n">
        <f aca="false">Customer_Invoices_AR!E254</f>
        <v>45944</v>
      </c>
      <c r="F257" s="18" t="n">
        <f aca="false">Customer_Invoices_AR!D254</f>
        <v>1106.15</v>
      </c>
      <c r="G257" s="18" t="n">
        <f aca="false">SUMIFS(Cash_Receipts_AR!$E$2:$E$503,Cash_Receipts_AR!$B$2:$B$503,A257)</f>
        <v>1106.15</v>
      </c>
      <c r="H257" s="18" t="n">
        <f aca="false">F257-G257</f>
        <v>0</v>
      </c>
      <c r="I257" s="16" t="n">
        <f aca="false">IF(H257&lt;=0.01,0,MAX(Assumptions!$B$5-E257,0))</f>
        <v>0</v>
      </c>
      <c r="J257" s="16" t="str">
        <f aca="false">IF(H257&lt;=0.01,"Paid",IF(I257&lt;=30,"0-30",IF(I257&lt;=60,"31-60",IF(I257&lt;=90,"61-90","90+"))))</f>
        <v>Paid</v>
      </c>
      <c r="K257" s="16" t="str">
        <f aca="false">IF(H257&lt;=0.01,"Paid",IF(G257&gt;0,"Partially Paid","Unpaid"))</f>
        <v>Paid</v>
      </c>
    </row>
    <row r="258" customFormat="false" ht="15" hidden="false" customHeight="false" outlineLevel="0" collapsed="false">
      <c r="A258" s="16" t="str">
        <f aca="false">Customer_Invoices_AR!A255</f>
        <v>ARI60254</v>
      </c>
      <c r="B258" s="16" t="str">
        <f aca="false">Customer_Invoices_AR!B255</f>
        <v>C2027</v>
      </c>
      <c r="C258" s="16" t="str">
        <f aca="false">IFERROR(INDEX(Customer_Master!$B$2:$B$31,MATCH(B258,Customer_Master!$A$2:$A$31,0)),"Unknown Customer")</f>
        <v>Yu Inc</v>
      </c>
      <c r="D258" s="17" t="n">
        <f aca="false">Customer_Invoices_AR!C255</f>
        <v>46161</v>
      </c>
      <c r="E258" s="17" t="n">
        <f aca="false">Customer_Invoices_AR!E255</f>
        <v>46221</v>
      </c>
      <c r="F258" s="18" t="n">
        <f aca="false">Customer_Invoices_AR!D255</f>
        <v>868.28</v>
      </c>
      <c r="G258" s="18" t="n">
        <f aca="false">SUMIFS(Cash_Receipts_AR!$E$2:$E$503,Cash_Receipts_AR!$B$2:$B$503,A258)</f>
        <v>868.28</v>
      </c>
      <c r="H258" s="18" t="n">
        <f aca="false">F258-G258</f>
        <v>0</v>
      </c>
      <c r="I258" s="16" t="n">
        <f aca="false">IF(H258&lt;=0.01,0,MAX(Assumptions!$B$5-E258,0))</f>
        <v>0</v>
      </c>
      <c r="J258" s="16" t="str">
        <f aca="false">IF(H258&lt;=0.01,"Paid",IF(I258&lt;=30,"0-30",IF(I258&lt;=60,"31-60",IF(I258&lt;=90,"61-90","90+"))))</f>
        <v>Paid</v>
      </c>
      <c r="K258" s="16" t="str">
        <f aca="false">IF(H258&lt;=0.01,"Paid",IF(G258&gt;0,"Partially Paid","Unpaid"))</f>
        <v>Paid</v>
      </c>
    </row>
    <row r="259" customFormat="false" ht="15" hidden="false" customHeight="false" outlineLevel="0" collapsed="false">
      <c r="A259" s="16" t="str">
        <f aca="false">Customer_Invoices_AR!A256</f>
        <v>ARI60255</v>
      </c>
      <c r="B259" s="16" t="str">
        <f aca="false">Customer_Invoices_AR!B256</f>
        <v>C2012</v>
      </c>
      <c r="C259" s="16" t="str">
        <f aca="false">IFERROR(INDEX(Customer_Master!$B$2:$B$31,MATCH(B259,Customer_Master!$A$2:$A$31,0)),"Unknown Customer")</f>
        <v>Wright and Sons</v>
      </c>
      <c r="D259" s="17" t="n">
        <f aca="false">Customer_Invoices_AR!C256</f>
        <v>45941</v>
      </c>
      <c r="E259" s="17" t="n">
        <f aca="false">Customer_Invoices_AR!E256</f>
        <v>45986</v>
      </c>
      <c r="F259" s="18" t="n">
        <f aca="false">Customer_Invoices_AR!D256</f>
        <v>1314.94</v>
      </c>
      <c r="G259" s="18" t="n">
        <f aca="false">SUMIFS(Cash_Receipts_AR!$E$2:$E$503,Cash_Receipts_AR!$B$2:$B$503,A259)</f>
        <v>1314.94</v>
      </c>
      <c r="H259" s="18" t="n">
        <f aca="false">F259-G259</f>
        <v>0</v>
      </c>
      <c r="I259" s="16" t="n">
        <f aca="false">IF(H259&lt;=0.01,0,MAX(Assumptions!$B$5-E259,0))</f>
        <v>0</v>
      </c>
      <c r="J259" s="16" t="str">
        <f aca="false">IF(H259&lt;=0.01,"Paid",IF(I259&lt;=30,"0-30",IF(I259&lt;=60,"31-60",IF(I259&lt;=90,"61-90","90+"))))</f>
        <v>Paid</v>
      </c>
      <c r="K259" s="16" t="str">
        <f aca="false">IF(H259&lt;=0.01,"Paid",IF(G259&gt;0,"Partially Paid","Unpaid"))</f>
        <v>Paid</v>
      </c>
    </row>
    <row r="260" customFormat="false" ht="15" hidden="false" customHeight="false" outlineLevel="0" collapsed="false">
      <c r="A260" s="16" t="str">
        <f aca="false">Customer_Invoices_AR!A257</f>
        <v>ARI60256</v>
      </c>
      <c r="B260" s="16" t="str">
        <f aca="false">Customer_Invoices_AR!B257</f>
        <v>C2020</v>
      </c>
      <c r="C260" s="16" t="str">
        <f aca="false">IFERROR(INDEX(Customer_Master!$B$2:$B$31,MATCH(B260,Customer_Master!$A$2:$A$31,0)),"Unknown Customer")</f>
        <v>Gray Group</v>
      </c>
      <c r="D260" s="17" t="n">
        <f aca="false">Customer_Invoices_AR!C257</f>
        <v>46094</v>
      </c>
      <c r="E260" s="17" t="n">
        <f aca="false">Customer_Invoices_AR!E257</f>
        <v>46124</v>
      </c>
      <c r="F260" s="18" t="n">
        <f aca="false">Customer_Invoices_AR!D257</f>
        <v>1978.9</v>
      </c>
      <c r="G260" s="18" t="n">
        <f aca="false">SUMIFS(Cash_Receipts_AR!$E$2:$E$503,Cash_Receipts_AR!$B$2:$B$503,A260)</f>
        <v>1978.9</v>
      </c>
      <c r="H260" s="18" t="n">
        <f aca="false">F260-G260</f>
        <v>0</v>
      </c>
      <c r="I260" s="16" t="n">
        <f aca="false">IF(H260&lt;=0.01,0,MAX(Assumptions!$B$5-E260,0))</f>
        <v>0</v>
      </c>
      <c r="J260" s="16" t="str">
        <f aca="false">IF(H260&lt;=0.01,"Paid",IF(I260&lt;=30,"0-30",IF(I260&lt;=60,"31-60",IF(I260&lt;=90,"61-90","90+"))))</f>
        <v>Paid</v>
      </c>
      <c r="K260" s="16" t="str">
        <f aca="false">IF(H260&lt;=0.01,"Paid",IF(G260&gt;0,"Partially Paid","Unpaid"))</f>
        <v>Paid</v>
      </c>
    </row>
    <row r="261" customFormat="false" ht="15" hidden="false" customHeight="false" outlineLevel="0" collapsed="false">
      <c r="A261" s="16" t="str">
        <f aca="false">Customer_Invoices_AR!A258</f>
        <v>ARI60257</v>
      </c>
      <c r="B261" s="16" t="str">
        <f aca="false">Customer_Invoices_AR!B258</f>
        <v>C2003</v>
      </c>
      <c r="C261" s="16" t="str">
        <f aca="false">IFERROR(INDEX(Customer_Master!$B$2:$B$31,MATCH(B261,Customer_Master!$A$2:$A$31,0)),"Unknown Customer")</f>
        <v>Robinson, Jones and Welch</v>
      </c>
      <c r="D261" s="17" t="n">
        <f aca="false">Customer_Invoices_AR!C258</f>
        <v>46054</v>
      </c>
      <c r="E261" s="17" t="n">
        <f aca="false">Customer_Invoices_AR!E258</f>
        <v>46099</v>
      </c>
      <c r="F261" s="18" t="n">
        <f aca="false">Customer_Invoices_AR!D258</f>
        <v>11178.22</v>
      </c>
      <c r="G261" s="18" t="n">
        <f aca="false">SUMIFS(Cash_Receipts_AR!$E$2:$E$503,Cash_Receipts_AR!$B$2:$B$503,A261)</f>
        <v>3886.61</v>
      </c>
      <c r="H261" s="18" t="n">
        <f aca="false">F261-G261</f>
        <v>7291.61</v>
      </c>
      <c r="I261" s="16" t="n">
        <f aca="false">IF(H261&lt;=0.01,0,MAX(Assumptions!$B$5-E261,0))</f>
        <v>135</v>
      </c>
      <c r="J261" s="16" t="str">
        <f aca="false">IF(H261&lt;=0.01,"Paid",IF(I261&lt;=30,"0-30",IF(I261&lt;=60,"31-60",IF(I261&lt;=90,"61-90","90+"))))</f>
        <v>90+</v>
      </c>
      <c r="K261" s="16" t="str">
        <f aca="false">IF(H261&lt;=0.01,"Paid",IF(G261&gt;0,"Partially Paid","Unpaid"))</f>
        <v>Partially Paid</v>
      </c>
    </row>
    <row r="262" customFormat="false" ht="15" hidden="false" customHeight="false" outlineLevel="0" collapsed="false">
      <c r="A262" s="16" t="str">
        <f aca="false">Customer_Invoices_AR!A259</f>
        <v>ARI60258</v>
      </c>
      <c r="B262" s="16" t="str">
        <f aca="false">Customer_Invoices_AR!B259</f>
        <v>C2005</v>
      </c>
      <c r="C262" s="16" t="str">
        <f aca="false">IFERROR(INDEX(Customer_Master!$B$2:$B$31,MATCH(B262,Customer_Master!$A$2:$A$31,0)),"Unknown Customer")</f>
        <v>Jones-Young</v>
      </c>
      <c r="D262" s="17" t="n">
        <f aca="false">Customer_Invoices_AR!C259</f>
        <v>45701</v>
      </c>
      <c r="E262" s="17" t="n">
        <f aca="false">Customer_Invoices_AR!E259</f>
        <v>45716</v>
      </c>
      <c r="F262" s="18" t="n">
        <f aca="false">Customer_Invoices_AR!D259</f>
        <v>1371.8</v>
      </c>
      <c r="G262" s="18" t="n">
        <f aca="false">SUMIFS(Cash_Receipts_AR!$E$2:$E$503,Cash_Receipts_AR!$B$2:$B$503,A262)</f>
        <v>1371.8</v>
      </c>
      <c r="H262" s="18" t="n">
        <f aca="false">F262-G262</f>
        <v>0</v>
      </c>
      <c r="I262" s="16" t="n">
        <f aca="false">IF(H262&lt;=0.01,0,MAX(Assumptions!$B$5-E262,0))</f>
        <v>0</v>
      </c>
      <c r="J262" s="16" t="str">
        <f aca="false">IF(H262&lt;=0.01,"Paid",IF(I262&lt;=30,"0-30",IF(I262&lt;=60,"31-60",IF(I262&lt;=90,"61-90","90+"))))</f>
        <v>Paid</v>
      </c>
      <c r="K262" s="16" t="str">
        <f aca="false">IF(H262&lt;=0.01,"Paid",IF(G262&gt;0,"Partially Paid","Unpaid"))</f>
        <v>Paid</v>
      </c>
    </row>
    <row r="263" customFormat="false" ht="15" hidden="false" customHeight="false" outlineLevel="0" collapsed="false">
      <c r="A263" s="16" t="str">
        <f aca="false">Customer_Invoices_AR!A260</f>
        <v>ARI60259</v>
      </c>
      <c r="B263" s="16" t="str">
        <f aca="false">Customer_Invoices_AR!B260</f>
        <v>C2023</v>
      </c>
      <c r="C263" s="16" t="str">
        <f aca="false">IFERROR(INDEX(Customer_Master!$B$2:$B$31,MATCH(B263,Customer_Master!$A$2:$A$31,0)),"Unknown Customer")</f>
        <v>Stanley, Tucker and Lee</v>
      </c>
      <c r="D263" s="17" t="n">
        <f aca="false">Customer_Invoices_AR!C260</f>
        <v>45986</v>
      </c>
      <c r="E263" s="17" t="n">
        <f aca="false">Customer_Invoices_AR!E260</f>
        <v>46046</v>
      </c>
      <c r="F263" s="18" t="n">
        <f aca="false">Customer_Invoices_AR!D260</f>
        <v>7064.1</v>
      </c>
      <c r="G263" s="18" t="n">
        <f aca="false">SUMIFS(Cash_Receipts_AR!$E$2:$E$503,Cash_Receipts_AR!$B$2:$B$503,A263)</f>
        <v>7064.1</v>
      </c>
      <c r="H263" s="18" t="n">
        <f aca="false">F263-G263</f>
        <v>0</v>
      </c>
      <c r="I263" s="16" t="n">
        <f aca="false">IF(H263&lt;=0.01,0,MAX(Assumptions!$B$5-E263,0))</f>
        <v>0</v>
      </c>
      <c r="J263" s="16" t="str">
        <f aca="false">IF(H263&lt;=0.01,"Paid",IF(I263&lt;=30,"0-30",IF(I263&lt;=60,"31-60",IF(I263&lt;=90,"61-90","90+"))))</f>
        <v>Paid</v>
      </c>
      <c r="K263" s="16" t="str">
        <f aca="false">IF(H263&lt;=0.01,"Paid",IF(G263&gt;0,"Partially Paid","Unpaid"))</f>
        <v>Paid</v>
      </c>
    </row>
    <row r="264" customFormat="false" ht="15" hidden="false" customHeight="false" outlineLevel="0" collapsed="false">
      <c r="A264" s="16" t="str">
        <f aca="false">Customer_Invoices_AR!A261</f>
        <v>ARI60260</v>
      </c>
      <c r="B264" s="16" t="str">
        <f aca="false">Customer_Invoices_AR!B261</f>
        <v>C2004</v>
      </c>
      <c r="C264" s="16" t="str">
        <f aca="false">IFERROR(INDEX(Customer_Master!$B$2:$B$31,MATCH(B264,Customer_Master!$A$2:$A$31,0)),"Unknown Customer")</f>
        <v>Jones Inc</v>
      </c>
      <c r="D264" s="17" t="n">
        <f aca="false">Customer_Invoices_AR!C261</f>
        <v>46106</v>
      </c>
      <c r="E264" s="17" t="n">
        <f aca="false">Customer_Invoices_AR!E261</f>
        <v>46136</v>
      </c>
      <c r="F264" s="18" t="n">
        <f aca="false">Customer_Invoices_AR!D261</f>
        <v>631.11</v>
      </c>
      <c r="G264" s="18" t="n">
        <f aca="false">SUMIFS(Cash_Receipts_AR!$E$2:$E$503,Cash_Receipts_AR!$B$2:$B$503,A264)</f>
        <v>631.11</v>
      </c>
      <c r="H264" s="18" t="n">
        <f aca="false">F264-G264</f>
        <v>0</v>
      </c>
      <c r="I264" s="16" t="n">
        <f aca="false">IF(H264&lt;=0.01,0,MAX(Assumptions!$B$5-E264,0))</f>
        <v>0</v>
      </c>
      <c r="J264" s="16" t="str">
        <f aca="false">IF(H264&lt;=0.01,"Paid",IF(I264&lt;=30,"0-30",IF(I264&lt;=60,"31-60",IF(I264&lt;=90,"61-90","90+"))))</f>
        <v>Paid</v>
      </c>
      <c r="K264" s="16" t="str">
        <f aca="false">IF(H264&lt;=0.01,"Paid",IF(G264&gt;0,"Partially Paid","Unpaid"))</f>
        <v>Paid</v>
      </c>
    </row>
    <row r="265" customFormat="false" ht="15" hidden="false" customHeight="false" outlineLevel="0" collapsed="false">
      <c r="A265" s="16" t="str">
        <f aca="false">Customer_Invoices_AR!A262</f>
        <v>ARI60261</v>
      </c>
      <c r="B265" s="16" t="str">
        <f aca="false">Customer_Invoices_AR!B262</f>
        <v>C2006</v>
      </c>
      <c r="C265" s="16" t="str">
        <f aca="false">IFERROR(INDEX(Customer_Master!$B$2:$B$31,MATCH(B265,Customer_Master!$A$2:$A$31,0)),"Unknown Customer")</f>
        <v>Washington, Ryan and Cummings</v>
      </c>
      <c r="D265" s="17" t="n">
        <f aca="false">Customer_Invoices_AR!C262</f>
        <v>45955</v>
      </c>
      <c r="E265" s="17" t="n">
        <f aca="false">Customer_Invoices_AR!E262</f>
        <v>45970</v>
      </c>
      <c r="F265" s="18" t="n">
        <f aca="false">Customer_Invoices_AR!D262</f>
        <v>3621.74</v>
      </c>
      <c r="G265" s="18" t="n">
        <f aca="false">SUMIFS(Cash_Receipts_AR!$E$2:$E$503,Cash_Receipts_AR!$B$2:$B$503,A265)</f>
        <v>2395.84</v>
      </c>
      <c r="H265" s="18" t="n">
        <f aca="false">F265-G265</f>
        <v>1225.9</v>
      </c>
      <c r="I265" s="16" t="n">
        <f aca="false">IF(H265&lt;=0.01,0,MAX(Assumptions!$B$5-E265,0))</f>
        <v>264</v>
      </c>
      <c r="J265" s="16" t="str">
        <f aca="false">IF(H265&lt;=0.01,"Paid",IF(I265&lt;=30,"0-30",IF(I265&lt;=60,"31-60",IF(I265&lt;=90,"61-90","90+"))))</f>
        <v>90+</v>
      </c>
      <c r="K265" s="16" t="str">
        <f aca="false">IF(H265&lt;=0.01,"Paid",IF(G265&gt;0,"Partially Paid","Unpaid"))</f>
        <v>Partially Paid</v>
      </c>
    </row>
    <row r="266" customFormat="false" ht="15" hidden="false" customHeight="false" outlineLevel="0" collapsed="false">
      <c r="A266" s="16" t="str">
        <f aca="false">Customer_Invoices_AR!A263</f>
        <v>ARI60262</v>
      </c>
      <c r="B266" s="16" t="str">
        <f aca="false">Customer_Invoices_AR!B263</f>
        <v>C2030</v>
      </c>
      <c r="C266" s="16" t="str">
        <f aca="false">IFERROR(INDEX(Customer_Master!$B$2:$B$31,MATCH(B266,Customer_Master!$A$2:$A$31,0)),"Unknown Customer")</f>
        <v>Sanchez, Wheeler and Harvey</v>
      </c>
      <c r="D266" s="17" t="n">
        <f aca="false">Customer_Invoices_AR!C263</f>
        <v>45833</v>
      </c>
      <c r="E266" s="17" t="n">
        <f aca="false">Customer_Invoices_AR!E263</f>
        <v>45848</v>
      </c>
      <c r="F266" s="18" t="n">
        <f aca="false">Customer_Invoices_AR!D263</f>
        <v>1066.33</v>
      </c>
      <c r="G266" s="18" t="n">
        <f aca="false">SUMIFS(Cash_Receipts_AR!$E$2:$E$503,Cash_Receipts_AR!$B$2:$B$503,A266)</f>
        <v>1066.33</v>
      </c>
      <c r="H266" s="18" t="n">
        <f aca="false">F266-G266</f>
        <v>0</v>
      </c>
      <c r="I266" s="16" t="n">
        <f aca="false">IF(H266&lt;=0.01,0,MAX(Assumptions!$B$5-E266,0))</f>
        <v>0</v>
      </c>
      <c r="J266" s="16" t="str">
        <f aca="false">IF(H266&lt;=0.01,"Paid",IF(I266&lt;=30,"0-30",IF(I266&lt;=60,"31-60",IF(I266&lt;=90,"61-90","90+"))))</f>
        <v>Paid</v>
      </c>
      <c r="K266" s="16" t="str">
        <f aca="false">IF(H266&lt;=0.01,"Paid",IF(G266&gt;0,"Partially Paid","Unpaid"))</f>
        <v>Paid</v>
      </c>
    </row>
    <row r="267" customFormat="false" ht="15" hidden="false" customHeight="false" outlineLevel="0" collapsed="false">
      <c r="A267" s="16" t="str">
        <f aca="false">Customer_Invoices_AR!A264</f>
        <v>ARI60263</v>
      </c>
      <c r="B267" s="16" t="str">
        <f aca="false">Customer_Invoices_AR!B264</f>
        <v>C2016</v>
      </c>
      <c r="C267" s="16" t="str">
        <f aca="false">IFERROR(INDEX(Customer_Master!$B$2:$B$31,MATCH(B267,Customer_Master!$A$2:$A$31,0)),"Unknown Customer")</f>
        <v>Williams PLC</v>
      </c>
      <c r="D267" s="17" t="n">
        <f aca="false">Customer_Invoices_AR!C264</f>
        <v>45701</v>
      </c>
      <c r="E267" s="17" t="n">
        <f aca="false">Customer_Invoices_AR!E264</f>
        <v>45731</v>
      </c>
      <c r="F267" s="18" t="n">
        <f aca="false">Customer_Invoices_AR!D264</f>
        <v>4466.52</v>
      </c>
      <c r="G267" s="18" t="n">
        <f aca="false">SUMIFS(Cash_Receipts_AR!$E$2:$E$503,Cash_Receipts_AR!$B$2:$B$503,A267)</f>
        <v>4466.52</v>
      </c>
      <c r="H267" s="18" t="n">
        <f aca="false">F267-G267</f>
        <v>0</v>
      </c>
      <c r="I267" s="16" t="n">
        <f aca="false">IF(H267&lt;=0.01,0,MAX(Assumptions!$B$5-E267,0))</f>
        <v>0</v>
      </c>
      <c r="J267" s="16" t="str">
        <f aca="false">IF(H267&lt;=0.01,"Paid",IF(I267&lt;=30,"0-30",IF(I267&lt;=60,"31-60",IF(I267&lt;=90,"61-90","90+"))))</f>
        <v>Paid</v>
      </c>
      <c r="K267" s="16" t="str">
        <f aca="false">IF(H267&lt;=0.01,"Paid",IF(G267&gt;0,"Partially Paid","Unpaid"))</f>
        <v>Paid</v>
      </c>
    </row>
    <row r="268" customFormat="false" ht="15" hidden="false" customHeight="false" outlineLevel="0" collapsed="false">
      <c r="A268" s="16" t="str">
        <f aca="false">Customer_Invoices_AR!A265</f>
        <v>ARI60264</v>
      </c>
      <c r="B268" s="16" t="str">
        <f aca="false">Customer_Invoices_AR!B265</f>
        <v>C2011</v>
      </c>
      <c r="C268" s="16" t="str">
        <f aca="false">IFERROR(INDEX(Customer_Master!$B$2:$B$31,MATCH(B268,Customer_Master!$A$2:$A$31,0)),"Unknown Customer")</f>
        <v>Powell LLC</v>
      </c>
      <c r="D268" s="17" t="n">
        <f aca="false">Customer_Invoices_AR!C265</f>
        <v>46018</v>
      </c>
      <c r="E268" s="17" t="n">
        <f aca="false">Customer_Invoices_AR!E265</f>
        <v>46048</v>
      </c>
      <c r="F268" s="18" t="n">
        <f aca="false">Customer_Invoices_AR!D265</f>
        <v>11407.94</v>
      </c>
      <c r="G268" s="18" t="n">
        <f aca="false">SUMIFS(Cash_Receipts_AR!$E$2:$E$503,Cash_Receipts_AR!$B$2:$B$503,A268)</f>
        <v>11407.94</v>
      </c>
      <c r="H268" s="18" t="n">
        <f aca="false">F268-G268</f>
        <v>0</v>
      </c>
      <c r="I268" s="16" t="n">
        <f aca="false">IF(H268&lt;=0.01,0,MAX(Assumptions!$B$5-E268,0))</f>
        <v>0</v>
      </c>
      <c r="J268" s="16" t="str">
        <f aca="false">IF(H268&lt;=0.01,"Paid",IF(I268&lt;=30,"0-30",IF(I268&lt;=60,"31-60",IF(I268&lt;=90,"61-90","90+"))))</f>
        <v>Paid</v>
      </c>
      <c r="K268" s="16" t="str">
        <f aca="false">IF(H268&lt;=0.01,"Paid",IF(G268&gt;0,"Partially Paid","Unpaid"))</f>
        <v>Paid</v>
      </c>
    </row>
    <row r="269" customFormat="false" ht="15" hidden="false" customHeight="false" outlineLevel="0" collapsed="false">
      <c r="A269" s="16" t="str">
        <f aca="false">Customer_Invoices_AR!A266</f>
        <v>ARI60265</v>
      </c>
      <c r="B269" s="16" t="str">
        <f aca="false">Customer_Invoices_AR!B266</f>
        <v>C2016</v>
      </c>
      <c r="C269" s="16" t="str">
        <f aca="false">IFERROR(INDEX(Customer_Master!$B$2:$B$31,MATCH(B269,Customer_Master!$A$2:$A$31,0)),"Unknown Customer")</f>
        <v>Williams PLC</v>
      </c>
      <c r="D269" s="17" t="n">
        <f aca="false">Customer_Invoices_AR!C266</f>
        <v>45825</v>
      </c>
      <c r="E269" s="17" t="n">
        <f aca="false">Customer_Invoices_AR!E266</f>
        <v>45855</v>
      </c>
      <c r="F269" s="18" t="n">
        <f aca="false">Customer_Invoices_AR!D266</f>
        <v>1511.06</v>
      </c>
      <c r="G269" s="18" t="n">
        <f aca="false">SUMIFS(Cash_Receipts_AR!$E$2:$E$503,Cash_Receipts_AR!$B$2:$B$503,A269)</f>
        <v>480.9</v>
      </c>
      <c r="H269" s="18" t="n">
        <f aca="false">F269-G269</f>
        <v>1030.16</v>
      </c>
      <c r="I269" s="16" t="n">
        <f aca="false">IF(H269&lt;=0.01,0,MAX(Assumptions!$B$5-E269,0))</f>
        <v>379</v>
      </c>
      <c r="J269" s="16" t="str">
        <f aca="false">IF(H269&lt;=0.01,"Paid",IF(I269&lt;=30,"0-30",IF(I269&lt;=60,"31-60",IF(I269&lt;=90,"61-90","90+"))))</f>
        <v>90+</v>
      </c>
      <c r="K269" s="16" t="str">
        <f aca="false">IF(H269&lt;=0.01,"Paid",IF(G269&gt;0,"Partially Paid","Unpaid"))</f>
        <v>Partially Paid</v>
      </c>
    </row>
    <row r="270" customFormat="false" ht="15" hidden="false" customHeight="false" outlineLevel="0" collapsed="false">
      <c r="A270" s="16" t="str">
        <f aca="false">Customer_Invoices_AR!A267</f>
        <v>ARI60266</v>
      </c>
      <c r="B270" s="16" t="str">
        <f aca="false">Customer_Invoices_AR!B267</f>
        <v>C2013</v>
      </c>
      <c r="C270" s="16" t="str">
        <f aca="false">IFERROR(INDEX(Customer_Master!$B$2:$B$31,MATCH(B270,Customer_Master!$A$2:$A$31,0)),"Unknown Customer")</f>
        <v>West, Henderson and Ramirez</v>
      </c>
      <c r="D270" s="17" t="n">
        <f aca="false">Customer_Invoices_AR!C267</f>
        <v>45986</v>
      </c>
      <c r="E270" s="17" t="n">
        <f aca="false">Customer_Invoices_AR!E267</f>
        <v>46046</v>
      </c>
      <c r="F270" s="18" t="n">
        <f aca="false">Customer_Invoices_AR!D267</f>
        <v>1105.87</v>
      </c>
      <c r="G270" s="18" t="n">
        <f aca="false">SUMIFS(Cash_Receipts_AR!$E$2:$E$503,Cash_Receipts_AR!$B$2:$B$503,A270)</f>
        <v>1105.87</v>
      </c>
      <c r="H270" s="18" t="n">
        <f aca="false">F270-G270</f>
        <v>0</v>
      </c>
      <c r="I270" s="16" t="n">
        <f aca="false">IF(H270&lt;=0.01,0,MAX(Assumptions!$B$5-E270,0))</f>
        <v>0</v>
      </c>
      <c r="J270" s="16" t="str">
        <f aca="false">IF(H270&lt;=0.01,"Paid",IF(I270&lt;=30,"0-30",IF(I270&lt;=60,"31-60",IF(I270&lt;=90,"61-90","90+"))))</f>
        <v>Paid</v>
      </c>
      <c r="K270" s="16" t="str">
        <f aca="false">IF(H270&lt;=0.01,"Paid",IF(G270&gt;0,"Partially Paid","Unpaid"))</f>
        <v>Paid</v>
      </c>
    </row>
    <row r="271" customFormat="false" ht="15" hidden="false" customHeight="false" outlineLevel="0" collapsed="false">
      <c r="A271" s="16" t="str">
        <f aca="false">Customer_Invoices_AR!A268</f>
        <v>ARI60267</v>
      </c>
      <c r="B271" s="16" t="str">
        <f aca="false">Customer_Invoices_AR!B268</f>
        <v>C2024</v>
      </c>
      <c r="C271" s="16" t="str">
        <f aca="false">IFERROR(INDEX(Customer_Master!$B$2:$B$31,MATCH(B271,Customer_Master!$A$2:$A$31,0)),"Unknown Customer")</f>
        <v>Novak PLC</v>
      </c>
      <c r="D271" s="17" t="n">
        <f aca="false">Customer_Invoices_AR!C268</f>
        <v>45890</v>
      </c>
      <c r="E271" s="17" t="n">
        <f aca="false">Customer_Invoices_AR!E268</f>
        <v>45950</v>
      </c>
      <c r="F271" s="18" t="n">
        <f aca="false">Customer_Invoices_AR!D268</f>
        <v>5771.14</v>
      </c>
      <c r="G271" s="18" t="n">
        <f aca="false">SUMIFS(Cash_Receipts_AR!$E$2:$E$503,Cash_Receipts_AR!$B$2:$B$503,A271)</f>
        <v>5771.14</v>
      </c>
      <c r="H271" s="18" t="n">
        <f aca="false">F271-G271</f>
        <v>0</v>
      </c>
      <c r="I271" s="16" t="n">
        <f aca="false">IF(H271&lt;=0.01,0,MAX(Assumptions!$B$5-E271,0))</f>
        <v>0</v>
      </c>
      <c r="J271" s="16" t="str">
        <f aca="false">IF(H271&lt;=0.01,"Paid",IF(I271&lt;=30,"0-30",IF(I271&lt;=60,"31-60",IF(I271&lt;=90,"61-90","90+"))))</f>
        <v>Paid</v>
      </c>
      <c r="K271" s="16" t="str">
        <f aca="false">IF(H271&lt;=0.01,"Paid",IF(G271&gt;0,"Partially Paid","Unpaid"))</f>
        <v>Paid</v>
      </c>
    </row>
    <row r="272" customFormat="false" ht="15" hidden="false" customHeight="false" outlineLevel="0" collapsed="false">
      <c r="A272" s="16" t="str">
        <f aca="false">Customer_Invoices_AR!A269</f>
        <v>ARI60268</v>
      </c>
      <c r="B272" s="16" t="str">
        <f aca="false">Customer_Invoices_AR!B269</f>
        <v>C2008</v>
      </c>
      <c r="C272" s="16" t="str">
        <f aca="false">IFERROR(INDEX(Customer_Master!$B$2:$B$31,MATCH(B272,Customer_Master!$A$2:$A$31,0)),"Unknown Customer")</f>
        <v>Lee-Davis</v>
      </c>
      <c r="D272" s="17" t="n">
        <f aca="false">Customer_Invoices_AR!C269</f>
        <v>46033</v>
      </c>
      <c r="E272" s="17" t="n">
        <f aca="false">Customer_Invoices_AR!E269</f>
        <v>46093</v>
      </c>
      <c r="F272" s="18" t="n">
        <f aca="false">Customer_Invoices_AR!D269</f>
        <v>5158.41</v>
      </c>
      <c r="G272" s="18" t="n">
        <f aca="false">SUMIFS(Cash_Receipts_AR!$E$2:$E$503,Cash_Receipts_AR!$B$2:$B$503,A272)</f>
        <v>5158.41</v>
      </c>
      <c r="H272" s="18" t="n">
        <f aca="false">F272-G272</f>
        <v>0</v>
      </c>
      <c r="I272" s="16" t="n">
        <f aca="false">IF(H272&lt;=0.01,0,MAX(Assumptions!$B$5-E272,0))</f>
        <v>0</v>
      </c>
      <c r="J272" s="16" t="str">
        <f aca="false">IF(H272&lt;=0.01,"Paid",IF(I272&lt;=30,"0-30",IF(I272&lt;=60,"31-60",IF(I272&lt;=90,"61-90","90+"))))</f>
        <v>Paid</v>
      </c>
      <c r="K272" s="16" t="str">
        <f aca="false">IF(H272&lt;=0.01,"Paid",IF(G272&gt;0,"Partially Paid","Unpaid"))</f>
        <v>Paid</v>
      </c>
    </row>
    <row r="273" customFormat="false" ht="15" hidden="false" customHeight="false" outlineLevel="0" collapsed="false">
      <c r="A273" s="16" t="str">
        <f aca="false">Customer_Invoices_AR!A270</f>
        <v>ARI60269</v>
      </c>
      <c r="B273" s="16" t="str">
        <f aca="false">Customer_Invoices_AR!B270</f>
        <v>C2003</v>
      </c>
      <c r="C273" s="16" t="str">
        <f aca="false">IFERROR(INDEX(Customer_Master!$B$2:$B$31,MATCH(B273,Customer_Master!$A$2:$A$31,0)),"Unknown Customer")</f>
        <v>Robinson, Jones and Welch</v>
      </c>
      <c r="D273" s="17" t="n">
        <f aca="false">Customer_Invoices_AR!C270</f>
        <v>45849</v>
      </c>
      <c r="E273" s="17" t="n">
        <f aca="false">Customer_Invoices_AR!E270</f>
        <v>45894</v>
      </c>
      <c r="F273" s="18" t="n">
        <f aca="false">Customer_Invoices_AR!D270</f>
        <v>7321.9</v>
      </c>
      <c r="G273" s="18" t="n">
        <f aca="false">SUMIFS(Cash_Receipts_AR!$E$2:$E$503,Cash_Receipts_AR!$B$2:$B$503,A273)</f>
        <v>4193.94</v>
      </c>
      <c r="H273" s="18" t="n">
        <f aca="false">F273-G273</f>
        <v>3127.96</v>
      </c>
      <c r="I273" s="16" t="n">
        <f aca="false">IF(H273&lt;=0.01,0,MAX(Assumptions!$B$5-E273,0))</f>
        <v>340</v>
      </c>
      <c r="J273" s="16" t="str">
        <f aca="false">IF(H273&lt;=0.01,"Paid",IF(I273&lt;=30,"0-30",IF(I273&lt;=60,"31-60",IF(I273&lt;=90,"61-90","90+"))))</f>
        <v>90+</v>
      </c>
      <c r="K273" s="16" t="str">
        <f aca="false">IF(H273&lt;=0.01,"Paid",IF(G273&gt;0,"Partially Paid","Unpaid"))</f>
        <v>Partially Paid</v>
      </c>
    </row>
    <row r="274" customFormat="false" ht="15" hidden="false" customHeight="false" outlineLevel="0" collapsed="false">
      <c r="A274" s="16" t="str">
        <f aca="false">Customer_Invoices_AR!A271</f>
        <v>ARI60270</v>
      </c>
      <c r="B274" s="16" t="str">
        <f aca="false">Customer_Invoices_AR!B271</f>
        <v>C2002</v>
      </c>
      <c r="C274" s="16" t="str">
        <f aca="false">IFERROR(INDEX(Customer_Master!$B$2:$B$31,MATCH(B274,Customer_Master!$A$2:$A$31,0)),"Unknown Customer")</f>
        <v>Smith-Spencer</v>
      </c>
      <c r="D274" s="17" t="n">
        <f aca="false">Customer_Invoices_AR!C271</f>
        <v>45681</v>
      </c>
      <c r="E274" s="17" t="n">
        <f aca="false">Customer_Invoices_AR!E271</f>
        <v>45696</v>
      </c>
      <c r="F274" s="18" t="n">
        <f aca="false">Customer_Invoices_AR!D271</f>
        <v>6400.75</v>
      </c>
      <c r="G274" s="18" t="n">
        <f aca="false">SUMIFS(Cash_Receipts_AR!$E$2:$E$503,Cash_Receipts_AR!$B$2:$B$503,A274)</f>
        <v>6400.75</v>
      </c>
      <c r="H274" s="18" t="n">
        <f aca="false">F274-G274</f>
        <v>0</v>
      </c>
      <c r="I274" s="16" t="n">
        <f aca="false">IF(H274&lt;=0.01,0,MAX(Assumptions!$B$5-E274,0))</f>
        <v>0</v>
      </c>
      <c r="J274" s="16" t="str">
        <f aca="false">IF(H274&lt;=0.01,"Paid",IF(I274&lt;=30,"0-30",IF(I274&lt;=60,"31-60",IF(I274&lt;=90,"61-90","90+"))))</f>
        <v>Paid</v>
      </c>
      <c r="K274" s="16" t="str">
        <f aca="false">IF(H274&lt;=0.01,"Paid",IF(G274&gt;0,"Partially Paid","Unpaid"))</f>
        <v>Paid</v>
      </c>
    </row>
    <row r="275" customFormat="false" ht="15" hidden="false" customHeight="false" outlineLevel="0" collapsed="false">
      <c r="A275" s="16" t="str">
        <f aca="false">Customer_Invoices_AR!A272</f>
        <v>ARI60271</v>
      </c>
      <c r="B275" s="16" t="str">
        <f aca="false">Customer_Invoices_AR!B272</f>
        <v>C2004</v>
      </c>
      <c r="C275" s="16" t="str">
        <f aca="false">IFERROR(INDEX(Customer_Master!$B$2:$B$31,MATCH(B275,Customer_Master!$A$2:$A$31,0)),"Unknown Customer")</f>
        <v>Jones Inc</v>
      </c>
      <c r="D275" s="17" t="n">
        <f aca="false">Customer_Invoices_AR!C272</f>
        <v>46132</v>
      </c>
      <c r="E275" s="17" t="n">
        <f aca="false">Customer_Invoices_AR!E272</f>
        <v>46162</v>
      </c>
      <c r="F275" s="18" t="n">
        <f aca="false">Customer_Invoices_AR!D272</f>
        <v>261.15</v>
      </c>
      <c r="G275" s="18" t="n">
        <f aca="false">SUMIFS(Cash_Receipts_AR!$E$2:$E$503,Cash_Receipts_AR!$B$2:$B$503,A275)</f>
        <v>261.15</v>
      </c>
      <c r="H275" s="18" t="n">
        <f aca="false">F275-G275</f>
        <v>0</v>
      </c>
      <c r="I275" s="16" t="n">
        <f aca="false">IF(H275&lt;=0.01,0,MAX(Assumptions!$B$5-E275,0))</f>
        <v>0</v>
      </c>
      <c r="J275" s="16" t="str">
        <f aca="false">IF(H275&lt;=0.01,"Paid",IF(I275&lt;=30,"0-30",IF(I275&lt;=60,"31-60",IF(I275&lt;=90,"61-90","90+"))))</f>
        <v>Paid</v>
      </c>
      <c r="K275" s="16" t="str">
        <f aca="false">IF(H275&lt;=0.01,"Paid",IF(G275&gt;0,"Partially Paid","Unpaid"))</f>
        <v>Paid</v>
      </c>
    </row>
    <row r="276" customFormat="false" ht="15" hidden="false" customHeight="false" outlineLevel="0" collapsed="false">
      <c r="A276" s="16" t="str">
        <f aca="false">Customer_Invoices_AR!A273</f>
        <v>ARI60272</v>
      </c>
      <c r="B276" s="16" t="str">
        <f aca="false">Customer_Invoices_AR!B273</f>
        <v>C2030</v>
      </c>
      <c r="C276" s="16" t="str">
        <f aca="false">IFERROR(INDEX(Customer_Master!$B$2:$B$31,MATCH(B276,Customer_Master!$A$2:$A$31,0)),"Unknown Customer")</f>
        <v>Sanchez, Wheeler and Harvey</v>
      </c>
      <c r="D276" s="17" t="n">
        <f aca="false">Customer_Invoices_AR!C273</f>
        <v>45850</v>
      </c>
      <c r="E276" s="17" t="n">
        <f aca="false">Customer_Invoices_AR!E273</f>
        <v>45865</v>
      </c>
      <c r="F276" s="18" t="n">
        <f aca="false">Customer_Invoices_AR!D273</f>
        <v>1021.35</v>
      </c>
      <c r="G276" s="18" t="n">
        <f aca="false">SUMIFS(Cash_Receipts_AR!$E$2:$E$503,Cash_Receipts_AR!$B$2:$B$503,A276)</f>
        <v>589.73</v>
      </c>
      <c r="H276" s="18" t="n">
        <f aca="false">F276-G276</f>
        <v>431.62</v>
      </c>
      <c r="I276" s="16" t="n">
        <f aca="false">IF(H276&lt;=0.01,0,MAX(Assumptions!$B$5-E276,0))</f>
        <v>369</v>
      </c>
      <c r="J276" s="16" t="str">
        <f aca="false">IF(H276&lt;=0.01,"Paid",IF(I276&lt;=30,"0-30",IF(I276&lt;=60,"31-60",IF(I276&lt;=90,"61-90","90+"))))</f>
        <v>90+</v>
      </c>
      <c r="K276" s="16" t="str">
        <f aca="false">IF(H276&lt;=0.01,"Paid",IF(G276&gt;0,"Partially Paid","Unpaid"))</f>
        <v>Partially Paid</v>
      </c>
    </row>
    <row r="277" customFormat="false" ht="15" hidden="false" customHeight="false" outlineLevel="0" collapsed="false">
      <c r="A277" s="16" t="str">
        <f aca="false">Customer_Invoices_AR!A274</f>
        <v>ARI60273</v>
      </c>
      <c r="B277" s="16" t="str">
        <f aca="false">Customer_Invoices_AR!B274</f>
        <v>C2025</v>
      </c>
      <c r="C277" s="16" t="str">
        <f aca="false">IFERROR(INDEX(Customer_Master!$B$2:$B$31,MATCH(B277,Customer_Master!$A$2:$A$31,0)),"Unknown Customer")</f>
        <v>Daniels, Adkins and Brown</v>
      </c>
      <c r="D277" s="17" t="n">
        <f aca="false">Customer_Invoices_AR!C274</f>
        <v>46201</v>
      </c>
      <c r="E277" s="17" t="n">
        <f aca="false">Customer_Invoices_AR!E274</f>
        <v>46216</v>
      </c>
      <c r="F277" s="18" t="n">
        <f aca="false">Customer_Invoices_AR!D274</f>
        <v>710.23</v>
      </c>
      <c r="G277" s="18" t="n">
        <f aca="false">SUMIFS(Cash_Receipts_AR!$E$2:$E$503,Cash_Receipts_AR!$B$2:$B$503,A277)</f>
        <v>0</v>
      </c>
      <c r="H277" s="18" t="n">
        <f aca="false">F277-G277</f>
        <v>710.23</v>
      </c>
      <c r="I277" s="16" t="n">
        <f aca="false">IF(H277&lt;=0.01,0,MAX(Assumptions!$B$5-E277,0))</f>
        <v>18</v>
      </c>
      <c r="J277" s="16" t="str">
        <f aca="false">IF(H277&lt;=0.01,"Paid",IF(I277&lt;=30,"0-30",IF(I277&lt;=60,"31-60",IF(I277&lt;=90,"61-90","90+"))))</f>
        <v>0-30</v>
      </c>
      <c r="K277" s="16" t="str">
        <f aca="false">IF(H277&lt;=0.01,"Paid",IF(G277&gt;0,"Partially Paid","Unpaid"))</f>
        <v>Unpaid</v>
      </c>
    </row>
    <row r="278" customFormat="false" ht="15" hidden="false" customHeight="false" outlineLevel="0" collapsed="false">
      <c r="A278" s="16" t="str">
        <f aca="false">Customer_Invoices_AR!A275</f>
        <v>ARI60274</v>
      </c>
      <c r="B278" s="16" t="str">
        <f aca="false">Customer_Invoices_AR!B275</f>
        <v>C2019</v>
      </c>
      <c r="C278" s="16" t="str">
        <f aca="false">IFERROR(INDEX(Customer_Master!$B$2:$B$31,MATCH(B278,Customer_Master!$A$2:$A$31,0)),"Unknown Customer")</f>
        <v>Hancock Inc</v>
      </c>
      <c r="D278" s="17" t="n">
        <f aca="false">Customer_Invoices_AR!C275</f>
        <v>45807</v>
      </c>
      <c r="E278" s="17" t="n">
        <f aca="false">Customer_Invoices_AR!E275</f>
        <v>45822</v>
      </c>
      <c r="F278" s="18" t="n">
        <f aca="false">Customer_Invoices_AR!D275</f>
        <v>506.01</v>
      </c>
      <c r="G278" s="18" t="n">
        <f aca="false">SUMIFS(Cash_Receipts_AR!$E$2:$E$503,Cash_Receipts_AR!$B$2:$B$503,A278)</f>
        <v>0</v>
      </c>
      <c r="H278" s="18" t="n">
        <f aca="false">F278-G278</f>
        <v>506.01</v>
      </c>
      <c r="I278" s="16" t="n">
        <f aca="false">IF(H278&lt;=0.01,0,MAX(Assumptions!$B$5-E278,0))</f>
        <v>412</v>
      </c>
      <c r="J278" s="16" t="str">
        <f aca="false">IF(H278&lt;=0.01,"Paid",IF(I278&lt;=30,"0-30",IF(I278&lt;=60,"31-60",IF(I278&lt;=90,"61-90","90+"))))</f>
        <v>90+</v>
      </c>
      <c r="K278" s="16" t="str">
        <f aca="false">IF(H278&lt;=0.01,"Paid",IF(G278&gt;0,"Partially Paid","Unpaid"))</f>
        <v>Unpaid</v>
      </c>
    </row>
    <row r="279" customFormat="false" ht="15" hidden="false" customHeight="false" outlineLevel="0" collapsed="false">
      <c r="A279" s="16" t="str">
        <f aca="false">Customer_Invoices_AR!A276</f>
        <v>ARI60275</v>
      </c>
      <c r="B279" s="16" t="str">
        <f aca="false">Customer_Invoices_AR!B276</f>
        <v>C2026</v>
      </c>
      <c r="C279" s="16" t="str">
        <f aca="false">IFERROR(INDEX(Customer_Master!$B$2:$B$31,MATCH(B279,Customer_Master!$A$2:$A$31,0)),"Unknown Customer")</f>
        <v>Woods, Calhoun and Schmidt</v>
      </c>
      <c r="D279" s="17" t="n">
        <f aca="false">Customer_Invoices_AR!C276</f>
        <v>46192</v>
      </c>
      <c r="E279" s="17" t="n">
        <f aca="false">Customer_Invoices_AR!E276</f>
        <v>46252</v>
      </c>
      <c r="F279" s="18" t="n">
        <f aca="false">Customer_Invoices_AR!D276</f>
        <v>1071.06</v>
      </c>
      <c r="G279" s="18" t="n">
        <f aca="false">SUMIFS(Cash_Receipts_AR!$E$2:$E$503,Cash_Receipts_AR!$B$2:$B$503,A279)</f>
        <v>1071.06</v>
      </c>
      <c r="H279" s="18" t="n">
        <f aca="false">F279-G279</f>
        <v>0</v>
      </c>
      <c r="I279" s="16" t="n">
        <f aca="false">IF(H279&lt;=0.01,0,MAX(Assumptions!$B$5-E279,0))</f>
        <v>0</v>
      </c>
      <c r="J279" s="16" t="str">
        <f aca="false">IF(H279&lt;=0.01,"Paid",IF(I279&lt;=30,"0-30",IF(I279&lt;=60,"31-60",IF(I279&lt;=90,"61-90","90+"))))</f>
        <v>Paid</v>
      </c>
      <c r="K279" s="16" t="str">
        <f aca="false">IF(H279&lt;=0.01,"Paid",IF(G279&gt;0,"Partially Paid","Unpaid"))</f>
        <v>Paid</v>
      </c>
    </row>
    <row r="280" customFormat="false" ht="15" hidden="false" customHeight="false" outlineLevel="0" collapsed="false">
      <c r="A280" s="16" t="str">
        <f aca="false">Customer_Invoices_AR!A277</f>
        <v>ARI60276</v>
      </c>
      <c r="B280" s="16" t="str">
        <f aca="false">Customer_Invoices_AR!B277</f>
        <v>C2014</v>
      </c>
      <c r="C280" s="16" t="str">
        <f aca="false">IFERROR(INDEX(Customer_Master!$B$2:$B$31,MATCH(B280,Customer_Master!$A$2:$A$31,0)),"Unknown Customer")</f>
        <v>Baxter Inc</v>
      </c>
      <c r="D280" s="17" t="n">
        <f aca="false">Customer_Invoices_AR!C277</f>
        <v>46174</v>
      </c>
      <c r="E280" s="17" t="n">
        <f aca="false">Customer_Invoices_AR!E277</f>
        <v>46204</v>
      </c>
      <c r="F280" s="18" t="n">
        <f aca="false">Customer_Invoices_AR!D277</f>
        <v>10242.53</v>
      </c>
      <c r="G280" s="18" t="n">
        <f aca="false">SUMIFS(Cash_Receipts_AR!$E$2:$E$503,Cash_Receipts_AR!$B$2:$B$503,A280)</f>
        <v>10242.53</v>
      </c>
      <c r="H280" s="18" t="n">
        <f aca="false">F280-G280</f>
        <v>0</v>
      </c>
      <c r="I280" s="16" t="n">
        <f aca="false">IF(H280&lt;=0.01,0,MAX(Assumptions!$B$5-E280,0))</f>
        <v>0</v>
      </c>
      <c r="J280" s="16" t="str">
        <f aca="false">IF(H280&lt;=0.01,"Paid",IF(I280&lt;=30,"0-30",IF(I280&lt;=60,"31-60",IF(I280&lt;=90,"61-90","90+"))))</f>
        <v>Paid</v>
      </c>
      <c r="K280" s="16" t="str">
        <f aca="false">IF(H280&lt;=0.01,"Paid",IF(G280&gt;0,"Partially Paid","Unpaid"))</f>
        <v>Paid</v>
      </c>
    </row>
    <row r="281" customFormat="false" ht="15" hidden="false" customHeight="false" outlineLevel="0" collapsed="false">
      <c r="A281" s="16" t="str">
        <f aca="false">Customer_Invoices_AR!A278</f>
        <v>ARI60277</v>
      </c>
      <c r="B281" s="16" t="str">
        <f aca="false">Customer_Invoices_AR!B278</f>
        <v>C2007</v>
      </c>
      <c r="C281" s="16" t="str">
        <f aca="false">IFERROR(INDEX(Customer_Master!$B$2:$B$31,MATCH(B281,Customer_Master!$A$2:$A$31,0)),"Unknown Customer")</f>
        <v>Johnston, Sanchez and Kennedy</v>
      </c>
      <c r="D281" s="17" t="n">
        <f aca="false">Customer_Invoices_AR!C278</f>
        <v>45698</v>
      </c>
      <c r="E281" s="17" t="n">
        <f aca="false">Customer_Invoices_AR!E278</f>
        <v>45728</v>
      </c>
      <c r="F281" s="18" t="n">
        <f aca="false">Customer_Invoices_AR!D278</f>
        <v>3658.12</v>
      </c>
      <c r="G281" s="18" t="n">
        <f aca="false">SUMIFS(Cash_Receipts_AR!$E$2:$E$503,Cash_Receipts_AR!$B$2:$B$503,A281)</f>
        <v>3658.12</v>
      </c>
      <c r="H281" s="18" t="n">
        <f aca="false">F281-G281</f>
        <v>0</v>
      </c>
      <c r="I281" s="16" t="n">
        <f aca="false">IF(H281&lt;=0.01,0,MAX(Assumptions!$B$5-E281,0))</f>
        <v>0</v>
      </c>
      <c r="J281" s="16" t="str">
        <f aca="false">IF(H281&lt;=0.01,"Paid",IF(I281&lt;=30,"0-30",IF(I281&lt;=60,"31-60",IF(I281&lt;=90,"61-90","90+"))))</f>
        <v>Paid</v>
      </c>
      <c r="K281" s="16" t="str">
        <f aca="false">IF(H281&lt;=0.01,"Paid",IF(G281&gt;0,"Partially Paid","Unpaid"))</f>
        <v>Paid</v>
      </c>
    </row>
    <row r="282" customFormat="false" ht="15" hidden="false" customHeight="false" outlineLevel="0" collapsed="false">
      <c r="A282" s="16" t="str">
        <f aca="false">Customer_Invoices_AR!A279</f>
        <v>ARI60278</v>
      </c>
      <c r="B282" s="16" t="str">
        <f aca="false">Customer_Invoices_AR!B279</f>
        <v>C2009</v>
      </c>
      <c r="C282" s="16" t="str">
        <f aca="false">IFERROR(INDEX(Customer_Master!$B$2:$B$31,MATCH(B282,Customer_Master!$A$2:$A$31,0)),"Unknown Customer")</f>
        <v>Gomez-Jenkins</v>
      </c>
      <c r="D282" s="17" t="n">
        <f aca="false">Customer_Invoices_AR!C279</f>
        <v>46005</v>
      </c>
      <c r="E282" s="17" t="n">
        <f aca="false">Customer_Invoices_AR!E279</f>
        <v>46050</v>
      </c>
      <c r="F282" s="18" t="n">
        <f aca="false">Customer_Invoices_AR!D279</f>
        <v>2604.05</v>
      </c>
      <c r="G282" s="18" t="n">
        <f aca="false">SUMIFS(Cash_Receipts_AR!$E$2:$E$503,Cash_Receipts_AR!$B$2:$B$503,A282)</f>
        <v>2604.05</v>
      </c>
      <c r="H282" s="18" t="n">
        <f aca="false">F282-G282</f>
        <v>0</v>
      </c>
      <c r="I282" s="16" t="n">
        <f aca="false">IF(H282&lt;=0.01,0,MAX(Assumptions!$B$5-E282,0))</f>
        <v>0</v>
      </c>
      <c r="J282" s="16" t="str">
        <f aca="false">IF(H282&lt;=0.01,"Paid",IF(I282&lt;=30,"0-30",IF(I282&lt;=60,"31-60",IF(I282&lt;=90,"61-90","90+"))))</f>
        <v>Paid</v>
      </c>
      <c r="K282" s="16" t="str">
        <f aca="false">IF(H282&lt;=0.01,"Paid",IF(G282&gt;0,"Partially Paid","Unpaid"))</f>
        <v>Paid</v>
      </c>
    </row>
    <row r="283" customFormat="false" ht="15" hidden="false" customHeight="false" outlineLevel="0" collapsed="false">
      <c r="A283" s="16" t="str">
        <f aca="false">Customer_Invoices_AR!A280</f>
        <v>ARI60279</v>
      </c>
      <c r="B283" s="16" t="str">
        <f aca="false">Customer_Invoices_AR!B280</f>
        <v>C2011</v>
      </c>
      <c r="C283" s="16" t="str">
        <f aca="false">IFERROR(INDEX(Customer_Master!$B$2:$B$31,MATCH(B283,Customer_Master!$A$2:$A$31,0)),"Unknown Customer")</f>
        <v>Powell LLC</v>
      </c>
      <c r="D283" s="17" t="n">
        <f aca="false">Customer_Invoices_AR!C280</f>
        <v>45856</v>
      </c>
      <c r="E283" s="17" t="n">
        <f aca="false">Customer_Invoices_AR!E280</f>
        <v>45886</v>
      </c>
      <c r="F283" s="18" t="n">
        <f aca="false">Customer_Invoices_AR!D280</f>
        <v>2819.13</v>
      </c>
      <c r="G283" s="18" t="n">
        <f aca="false">SUMIFS(Cash_Receipts_AR!$E$2:$E$503,Cash_Receipts_AR!$B$2:$B$503,A283)</f>
        <v>0</v>
      </c>
      <c r="H283" s="18" t="n">
        <f aca="false">F283-G283</f>
        <v>2819.13</v>
      </c>
      <c r="I283" s="16" t="n">
        <f aca="false">IF(H283&lt;=0.01,0,MAX(Assumptions!$B$5-E283,0))</f>
        <v>348</v>
      </c>
      <c r="J283" s="16" t="str">
        <f aca="false">IF(H283&lt;=0.01,"Paid",IF(I283&lt;=30,"0-30",IF(I283&lt;=60,"31-60",IF(I283&lt;=90,"61-90","90+"))))</f>
        <v>90+</v>
      </c>
      <c r="K283" s="16" t="str">
        <f aca="false">IF(H283&lt;=0.01,"Paid",IF(G283&gt;0,"Partially Paid","Unpaid"))</f>
        <v>Unpaid</v>
      </c>
    </row>
    <row r="284" customFormat="false" ht="15" hidden="false" customHeight="false" outlineLevel="0" collapsed="false">
      <c r="A284" s="16" t="str">
        <f aca="false">Customer_Invoices_AR!A281</f>
        <v>ARI60280</v>
      </c>
      <c r="B284" s="16" t="str">
        <f aca="false">Customer_Invoices_AR!B281</f>
        <v>C2028</v>
      </c>
      <c r="C284" s="16" t="str">
        <f aca="false">IFERROR(INDEX(Customer_Master!$B$2:$B$31,MATCH(B284,Customer_Master!$A$2:$A$31,0)),"Unknown Customer")</f>
        <v>Jones Inc</v>
      </c>
      <c r="D284" s="17" t="n">
        <f aca="false">Customer_Invoices_AR!C281</f>
        <v>46094</v>
      </c>
      <c r="E284" s="17" t="n">
        <f aca="false">Customer_Invoices_AR!E281</f>
        <v>46109</v>
      </c>
      <c r="F284" s="18" t="n">
        <f aca="false">Customer_Invoices_AR!D281</f>
        <v>7427.02</v>
      </c>
      <c r="G284" s="18" t="n">
        <f aca="false">SUMIFS(Cash_Receipts_AR!$E$2:$E$503,Cash_Receipts_AR!$B$2:$B$503,A284)</f>
        <v>7427.02</v>
      </c>
      <c r="H284" s="18" t="n">
        <f aca="false">F284-G284</f>
        <v>0</v>
      </c>
      <c r="I284" s="16" t="n">
        <f aca="false">IF(H284&lt;=0.01,0,MAX(Assumptions!$B$5-E284,0))</f>
        <v>0</v>
      </c>
      <c r="J284" s="16" t="str">
        <f aca="false">IF(H284&lt;=0.01,"Paid",IF(I284&lt;=30,"0-30",IF(I284&lt;=60,"31-60",IF(I284&lt;=90,"61-90","90+"))))</f>
        <v>Paid</v>
      </c>
      <c r="K284" s="16" t="str">
        <f aca="false">IF(H284&lt;=0.01,"Paid",IF(G284&gt;0,"Partially Paid","Unpaid"))</f>
        <v>Paid</v>
      </c>
    </row>
    <row r="285" customFormat="false" ht="15" hidden="false" customHeight="false" outlineLevel="0" collapsed="false">
      <c r="A285" s="16" t="str">
        <f aca="false">Customer_Invoices_AR!A282</f>
        <v>ARI60281</v>
      </c>
      <c r="B285" s="16" t="str">
        <f aca="false">Customer_Invoices_AR!B282</f>
        <v>C2010</v>
      </c>
      <c r="C285" s="16" t="str">
        <f aca="false">IFERROR(INDEX(Customer_Master!$B$2:$B$31,MATCH(B285,Customer_Master!$A$2:$A$31,0)),"Unknown Customer")</f>
        <v>Brown, Valdez and Lucas</v>
      </c>
      <c r="D285" s="17" t="n">
        <f aca="false">Customer_Invoices_AR!C282</f>
        <v>46028</v>
      </c>
      <c r="E285" s="17" t="n">
        <f aca="false">Customer_Invoices_AR!E282</f>
        <v>46088</v>
      </c>
      <c r="F285" s="18" t="n">
        <f aca="false">Customer_Invoices_AR!D282</f>
        <v>1206.18</v>
      </c>
      <c r="G285" s="18" t="n">
        <f aca="false">SUMIFS(Cash_Receipts_AR!$E$2:$E$503,Cash_Receipts_AR!$B$2:$B$503,A285)</f>
        <v>1206.18</v>
      </c>
      <c r="H285" s="18" t="n">
        <f aca="false">F285-G285</f>
        <v>0</v>
      </c>
      <c r="I285" s="16" t="n">
        <f aca="false">IF(H285&lt;=0.01,0,MAX(Assumptions!$B$5-E285,0))</f>
        <v>0</v>
      </c>
      <c r="J285" s="16" t="str">
        <f aca="false">IF(H285&lt;=0.01,"Paid",IF(I285&lt;=30,"0-30",IF(I285&lt;=60,"31-60",IF(I285&lt;=90,"61-90","90+"))))</f>
        <v>Paid</v>
      </c>
      <c r="K285" s="16" t="str">
        <f aca="false">IF(H285&lt;=0.01,"Paid",IF(G285&gt;0,"Partially Paid","Unpaid"))</f>
        <v>Paid</v>
      </c>
    </row>
    <row r="286" customFormat="false" ht="15" hidden="false" customHeight="false" outlineLevel="0" collapsed="false">
      <c r="A286" s="16" t="str">
        <f aca="false">Customer_Invoices_AR!A283</f>
        <v>ARI60282</v>
      </c>
      <c r="B286" s="16" t="str">
        <f aca="false">Customer_Invoices_AR!B283</f>
        <v>C2018</v>
      </c>
      <c r="C286" s="16" t="str">
        <f aca="false">IFERROR(INDEX(Customer_Master!$B$2:$B$31,MATCH(B286,Customer_Master!$A$2:$A$31,0)),"Unknown Customer")</f>
        <v>Russell Group</v>
      </c>
      <c r="D286" s="17" t="n">
        <f aca="false">Customer_Invoices_AR!C283</f>
        <v>46177</v>
      </c>
      <c r="E286" s="17" t="n">
        <f aca="false">Customer_Invoices_AR!E283</f>
        <v>46192</v>
      </c>
      <c r="F286" s="18" t="n">
        <f aca="false">Customer_Invoices_AR!D283</f>
        <v>4124.86</v>
      </c>
      <c r="G286" s="18" t="n">
        <f aca="false">SUMIFS(Cash_Receipts_AR!$E$2:$E$503,Cash_Receipts_AR!$B$2:$B$503,A286)</f>
        <v>0</v>
      </c>
      <c r="H286" s="18" t="n">
        <f aca="false">F286-G286</f>
        <v>4124.86</v>
      </c>
      <c r="I286" s="16" t="n">
        <f aca="false">IF(H286&lt;=0.01,0,MAX(Assumptions!$B$5-E286,0))</f>
        <v>42</v>
      </c>
      <c r="J286" s="16" t="str">
        <f aca="false">IF(H286&lt;=0.01,"Paid",IF(I286&lt;=30,"0-30",IF(I286&lt;=60,"31-60",IF(I286&lt;=90,"61-90","90+"))))</f>
        <v>31-60</v>
      </c>
      <c r="K286" s="16" t="str">
        <f aca="false">IF(H286&lt;=0.01,"Paid",IF(G286&gt;0,"Partially Paid","Unpaid"))</f>
        <v>Unpaid</v>
      </c>
    </row>
    <row r="287" customFormat="false" ht="15" hidden="false" customHeight="false" outlineLevel="0" collapsed="false">
      <c r="A287" s="16" t="str">
        <f aca="false">Customer_Invoices_AR!A284</f>
        <v>ARI60283</v>
      </c>
      <c r="B287" s="16" t="str">
        <f aca="false">Customer_Invoices_AR!B284</f>
        <v>C2001</v>
      </c>
      <c r="C287" s="16" t="str">
        <f aca="false">IFERROR(INDEX(Customer_Master!$B$2:$B$31,MATCH(B287,Customer_Master!$A$2:$A$31,0)),"Unknown Customer")</f>
        <v>Wright Inc</v>
      </c>
      <c r="D287" s="17" t="n">
        <f aca="false">Customer_Invoices_AR!C284</f>
        <v>45735</v>
      </c>
      <c r="E287" s="17" t="n">
        <f aca="false">Customer_Invoices_AR!E284</f>
        <v>45780</v>
      </c>
      <c r="F287" s="18" t="n">
        <f aca="false">Customer_Invoices_AR!D284</f>
        <v>7132.42</v>
      </c>
      <c r="G287" s="18" t="n">
        <f aca="false">SUMIFS(Cash_Receipts_AR!$E$2:$E$503,Cash_Receipts_AR!$B$2:$B$503,A287)</f>
        <v>7132.42</v>
      </c>
      <c r="H287" s="18" t="n">
        <f aca="false">F287-G287</f>
        <v>0</v>
      </c>
      <c r="I287" s="16" t="n">
        <f aca="false">IF(H287&lt;=0.01,0,MAX(Assumptions!$B$5-E287,0))</f>
        <v>0</v>
      </c>
      <c r="J287" s="16" t="str">
        <f aca="false">IF(H287&lt;=0.01,"Paid",IF(I287&lt;=30,"0-30",IF(I287&lt;=60,"31-60",IF(I287&lt;=90,"61-90","90+"))))</f>
        <v>Paid</v>
      </c>
      <c r="K287" s="16" t="str">
        <f aca="false">IF(H287&lt;=0.01,"Paid",IF(G287&gt;0,"Partially Paid","Unpaid"))</f>
        <v>Paid</v>
      </c>
    </row>
    <row r="288" customFormat="false" ht="15" hidden="false" customHeight="false" outlineLevel="0" collapsed="false">
      <c r="A288" s="16" t="str">
        <f aca="false">Customer_Invoices_AR!A285</f>
        <v>ARI60284</v>
      </c>
      <c r="B288" s="16" t="str">
        <f aca="false">Customer_Invoices_AR!B285</f>
        <v>C2010</v>
      </c>
      <c r="C288" s="16" t="str">
        <f aca="false">IFERROR(INDEX(Customer_Master!$B$2:$B$31,MATCH(B288,Customer_Master!$A$2:$A$31,0)),"Unknown Customer")</f>
        <v>Brown, Valdez and Lucas</v>
      </c>
      <c r="D288" s="17" t="n">
        <f aca="false">Customer_Invoices_AR!C285</f>
        <v>45989</v>
      </c>
      <c r="E288" s="17" t="n">
        <f aca="false">Customer_Invoices_AR!E285</f>
        <v>46049</v>
      </c>
      <c r="F288" s="18" t="n">
        <f aca="false">Customer_Invoices_AR!D285</f>
        <v>18569.06</v>
      </c>
      <c r="G288" s="18" t="n">
        <f aca="false">SUMIFS(Cash_Receipts_AR!$E$2:$E$503,Cash_Receipts_AR!$B$2:$B$503,A288)</f>
        <v>18569.06</v>
      </c>
      <c r="H288" s="18" t="n">
        <f aca="false">F288-G288</f>
        <v>0</v>
      </c>
      <c r="I288" s="16" t="n">
        <f aca="false">IF(H288&lt;=0.01,0,MAX(Assumptions!$B$5-E288,0))</f>
        <v>0</v>
      </c>
      <c r="J288" s="16" t="str">
        <f aca="false">IF(H288&lt;=0.01,"Paid",IF(I288&lt;=30,"0-30",IF(I288&lt;=60,"31-60",IF(I288&lt;=90,"61-90","90+"))))</f>
        <v>Paid</v>
      </c>
      <c r="K288" s="16" t="str">
        <f aca="false">IF(H288&lt;=0.01,"Paid",IF(G288&gt;0,"Partially Paid","Unpaid"))</f>
        <v>Paid</v>
      </c>
    </row>
    <row r="289" customFormat="false" ht="15" hidden="false" customHeight="false" outlineLevel="0" collapsed="false">
      <c r="A289" s="16" t="str">
        <f aca="false">Customer_Invoices_AR!A286</f>
        <v>ARI60285</v>
      </c>
      <c r="B289" s="16" t="str">
        <f aca="false">Customer_Invoices_AR!B286</f>
        <v>C2012</v>
      </c>
      <c r="C289" s="16" t="str">
        <f aca="false">IFERROR(INDEX(Customer_Master!$B$2:$B$31,MATCH(B289,Customer_Master!$A$2:$A$31,0)),"Unknown Customer")</f>
        <v>Wright and Sons</v>
      </c>
      <c r="D289" s="17" t="n">
        <f aca="false">Customer_Invoices_AR!C286</f>
        <v>46083</v>
      </c>
      <c r="E289" s="17" t="n">
        <f aca="false">Customer_Invoices_AR!E286</f>
        <v>46128</v>
      </c>
      <c r="F289" s="18" t="n">
        <f aca="false">Customer_Invoices_AR!D286</f>
        <v>2350.26</v>
      </c>
      <c r="G289" s="18" t="n">
        <f aca="false">SUMIFS(Cash_Receipts_AR!$E$2:$E$503,Cash_Receipts_AR!$B$2:$B$503,A289)</f>
        <v>2350.26</v>
      </c>
      <c r="H289" s="18" t="n">
        <f aca="false">F289-G289</f>
        <v>0</v>
      </c>
      <c r="I289" s="16" t="n">
        <f aca="false">IF(H289&lt;=0.01,0,MAX(Assumptions!$B$5-E289,0))</f>
        <v>0</v>
      </c>
      <c r="J289" s="16" t="str">
        <f aca="false">IF(H289&lt;=0.01,"Paid",IF(I289&lt;=30,"0-30",IF(I289&lt;=60,"31-60",IF(I289&lt;=90,"61-90","90+"))))</f>
        <v>Paid</v>
      </c>
      <c r="K289" s="16" t="str">
        <f aca="false">IF(H289&lt;=0.01,"Paid",IF(G289&gt;0,"Partially Paid","Unpaid"))</f>
        <v>Paid</v>
      </c>
    </row>
    <row r="290" customFormat="false" ht="15" hidden="false" customHeight="false" outlineLevel="0" collapsed="false">
      <c r="A290" s="16" t="str">
        <f aca="false">Customer_Invoices_AR!A287</f>
        <v>ARI60286</v>
      </c>
      <c r="B290" s="16" t="str">
        <f aca="false">Customer_Invoices_AR!B287</f>
        <v>C2030</v>
      </c>
      <c r="C290" s="16" t="str">
        <f aca="false">IFERROR(INDEX(Customer_Master!$B$2:$B$31,MATCH(B290,Customer_Master!$A$2:$A$31,0)),"Unknown Customer")</f>
        <v>Sanchez, Wheeler and Harvey</v>
      </c>
      <c r="D290" s="17" t="n">
        <f aca="false">Customer_Invoices_AR!C287</f>
        <v>45676</v>
      </c>
      <c r="E290" s="17" t="n">
        <f aca="false">Customer_Invoices_AR!E287</f>
        <v>45691</v>
      </c>
      <c r="F290" s="18" t="n">
        <f aca="false">Customer_Invoices_AR!D287</f>
        <v>2018.8</v>
      </c>
      <c r="G290" s="18" t="n">
        <f aca="false">SUMIFS(Cash_Receipts_AR!$E$2:$E$503,Cash_Receipts_AR!$B$2:$B$503,A290)</f>
        <v>0</v>
      </c>
      <c r="H290" s="18" t="n">
        <f aca="false">F290-G290</f>
        <v>2018.8</v>
      </c>
      <c r="I290" s="16" t="n">
        <f aca="false">IF(H290&lt;=0.01,0,MAX(Assumptions!$B$5-E290,0))</f>
        <v>543</v>
      </c>
      <c r="J290" s="16" t="str">
        <f aca="false">IF(H290&lt;=0.01,"Paid",IF(I290&lt;=30,"0-30",IF(I290&lt;=60,"31-60",IF(I290&lt;=90,"61-90","90+"))))</f>
        <v>90+</v>
      </c>
      <c r="K290" s="16" t="str">
        <f aca="false">IF(H290&lt;=0.01,"Paid",IF(G290&gt;0,"Partially Paid","Unpaid"))</f>
        <v>Unpaid</v>
      </c>
    </row>
    <row r="291" customFormat="false" ht="15" hidden="false" customHeight="false" outlineLevel="0" collapsed="false">
      <c r="A291" s="16" t="str">
        <f aca="false">Customer_Invoices_AR!A288</f>
        <v>ARI60287</v>
      </c>
      <c r="B291" s="16" t="str">
        <f aca="false">Customer_Invoices_AR!B288</f>
        <v>C2027</v>
      </c>
      <c r="C291" s="16" t="str">
        <f aca="false">IFERROR(INDEX(Customer_Master!$B$2:$B$31,MATCH(B291,Customer_Master!$A$2:$A$31,0)),"Unknown Customer")</f>
        <v>Yu Inc</v>
      </c>
      <c r="D291" s="17" t="n">
        <f aca="false">Customer_Invoices_AR!C288</f>
        <v>45694</v>
      </c>
      <c r="E291" s="17" t="n">
        <f aca="false">Customer_Invoices_AR!E288</f>
        <v>45754</v>
      </c>
      <c r="F291" s="18" t="n">
        <f aca="false">Customer_Invoices_AR!D288</f>
        <v>15670.91</v>
      </c>
      <c r="G291" s="18" t="n">
        <f aca="false">SUMIFS(Cash_Receipts_AR!$E$2:$E$503,Cash_Receipts_AR!$B$2:$B$503,A291)</f>
        <v>8795.14</v>
      </c>
      <c r="H291" s="18" t="n">
        <f aca="false">F291-G291</f>
        <v>6875.77</v>
      </c>
      <c r="I291" s="16" t="n">
        <f aca="false">IF(H291&lt;=0.01,0,MAX(Assumptions!$B$5-E291,0))</f>
        <v>480</v>
      </c>
      <c r="J291" s="16" t="str">
        <f aca="false">IF(H291&lt;=0.01,"Paid",IF(I291&lt;=30,"0-30",IF(I291&lt;=60,"31-60",IF(I291&lt;=90,"61-90","90+"))))</f>
        <v>90+</v>
      </c>
      <c r="K291" s="16" t="str">
        <f aca="false">IF(H291&lt;=0.01,"Paid",IF(G291&gt;0,"Partially Paid","Unpaid"))</f>
        <v>Partially Paid</v>
      </c>
    </row>
    <row r="292" customFormat="false" ht="15" hidden="false" customHeight="false" outlineLevel="0" collapsed="false">
      <c r="A292" s="16" t="str">
        <f aca="false">Customer_Invoices_AR!A289</f>
        <v>ARI60288</v>
      </c>
      <c r="B292" s="16" t="str">
        <f aca="false">Customer_Invoices_AR!B289</f>
        <v>C2003</v>
      </c>
      <c r="C292" s="16" t="str">
        <f aca="false">IFERROR(INDEX(Customer_Master!$B$2:$B$31,MATCH(B292,Customer_Master!$A$2:$A$31,0)),"Unknown Customer")</f>
        <v>Robinson, Jones and Welch</v>
      </c>
      <c r="D292" s="17" t="n">
        <f aca="false">Customer_Invoices_AR!C289</f>
        <v>46082</v>
      </c>
      <c r="E292" s="17" t="n">
        <f aca="false">Customer_Invoices_AR!E289</f>
        <v>46127</v>
      </c>
      <c r="F292" s="18" t="n">
        <f aca="false">Customer_Invoices_AR!D289</f>
        <v>1067.02</v>
      </c>
      <c r="G292" s="18" t="n">
        <f aca="false">SUMIFS(Cash_Receipts_AR!$E$2:$E$503,Cash_Receipts_AR!$B$2:$B$503,A292)</f>
        <v>1067.02</v>
      </c>
      <c r="H292" s="18" t="n">
        <f aca="false">F292-G292</f>
        <v>0</v>
      </c>
      <c r="I292" s="16" t="n">
        <f aca="false">IF(H292&lt;=0.01,0,MAX(Assumptions!$B$5-E292,0))</f>
        <v>0</v>
      </c>
      <c r="J292" s="16" t="str">
        <f aca="false">IF(H292&lt;=0.01,"Paid",IF(I292&lt;=30,"0-30",IF(I292&lt;=60,"31-60",IF(I292&lt;=90,"61-90","90+"))))</f>
        <v>Paid</v>
      </c>
      <c r="K292" s="16" t="str">
        <f aca="false">IF(H292&lt;=0.01,"Paid",IF(G292&gt;0,"Partially Paid","Unpaid"))</f>
        <v>Paid</v>
      </c>
    </row>
    <row r="293" customFormat="false" ht="15" hidden="false" customHeight="false" outlineLevel="0" collapsed="false">
      <c r="A293" s="16" t="str">
        <f aca="false">Customer_Invoices_AR!A290</f>
        <v>ARI60289</v>
      </c>
      <c r="B293" s="16" t="str">
        <f aca="false">Customer_Invoices_AR!B290</f>
        <v>C2029</v>
      </c>
      <c r="C293" s="16" t="str">
        <f aca="false">IFERROR(INDEX(Customer_Master!$B$2:$B$31,MATCH(B293,Customer_Master!$A$2:$A$31,0)),"Unknown Customer")</f>
        <v>Hensley, Powell and David</v>
      </c>
      <c r="D293" s="17" t="n">
        <f aca="false">Customer_Invoices_AR!C290</f>
        <v>45857</v>
      </c>
      <c r="E293" s="17" t="n">
        <f aca="false">Customer_Invoices_AR!E290</f>
        <v>45917</v>
      </c>
      <c r="F293" s="18" t="n">
        <f aca="false">Customer_Invoices_AR!D290</f>
        <v>606.08</v>
      </c>
      <c r="G293" s="18" t="n">
        <f aca="false">SUMIFS(Cash_Receipts_AR!$E$2:$E$503,Cash_Receipts_AR!$B$2:$B$503,A293)</f>
        <v>606.08</v>
      </c>
      <c r="H293" s="18" t="n">
        <f aca="false">F293-G293</f>
        <v>0</v>
      </c>
      <c r="I293" s="16" t="n">
        <f aca="false">IF(H293&lt;=0.01,0,MAX(Assumptions!$B$5-E293,0))</f>
        <v>0</v>
      </c>
      <c r="J293" s="16" t="str">
        <f aca="false">IF(H293&lt;=0.01,"Paid",IF(I293&lt;=30,"0-30",IF(I293&lt;=60,"31-60",IF(I293&lt;=90,"61-90","90+"))))</f>
        <v>Paid</v>
      </c>
      <c r="K293" s="16" t="str">
        <f aca="false">IF(H293&lt;=0.01,"Paid",IF(G293&gt;0,"Partially Paid","Unpaid"))</f>
        <v>Paid</v>
      </c>
    </row>
    <row r="294" customFormat="false" ht="15" hidden="false" customHeight="false" outlineLevel="0" collapsed="false">
      <c r="A294" s="16" t="str">
        <f aca="false">Customer_Invoices_AR!A291</f>
        <v>ARI60290</v>
      </c>
      <c r="B294" s="16" t="str">
        <f aca="false">Customer_Invoices_AR!B291</f>
        <v>C2011</v>
      </c>
      <c r="C294" s="16" t="str">
        <f aca="false">IFERROR(INDEX(Customer_Master!$B$2:$B$31,MATCH(B294,Customer_Master!$A$2:$A$31,0)),"Unknown Customer")</f>
        <v>Powell LLC</v>
      </c>
      <c r="D294" s="17" t="n">
        <f aca="false">Customer_Invoices_AR!C291</f>
        <v>45866</v>
      </c>
      <c r="E294" s="17" t="n">
        <f aca="false">Customer_Invoices_AR!E291</f>
        <v>45896</v>
      </c>
      <c r="F294" s="18" t="n">
        <f aca="false">Customer_Invoices_AR!D291</f>
        <v>1284.72</v>
      </c>
      <c r="G294" s="18" t="n">
        <f aca="false">SUMIFS(Cash_Receipts_AR!$E$2:$E$503,Cash_Receipts_AR!$B$2:$B$503,A294)</f>
        <v>1284.72</v>
      </c>
      <c r="H294" s="18" t="n">
        <f aca="false">F294-G294</f>
        <v>0</v>
      </c>
      <c r="I294" s="16" t="n">
        <f aca="false">IF(H294&lt;=0.01,0,MAX(Assumptions!$B$5-E294,0))</f>
        <v>0</v>
      </c>
      <c r="J294" s="16" t="str">
        <f aca="false">IF(H294&lt;=0.01,"Paid",IF(I294&lt;=30,"0-30",IF(I294&lt;=60,"31-60",IF(I294&lt;=90,"61-90","90+"))))</f>
        <v>Paid</v>
      </c>
      <c r="K294" s="16" t="str">
        <f aca="false">IF(H294&lt;=0.01,"Paid",IF(G294&gt;0,"Partially Paid","Unpaid"))</f>
        <v>Paid</v>
      </c>
    </row>
    <row r="295" customFormat="false" ht="15" hidden="false" customHeight="false" outlineLevel="0" collapsed="false">
      <c r="A295" s="16" t="str">
        <f aca="false">Customer_Invoices_AR!A292</f>
        <v>ARI60291</v>
      </c>
      <c r="B295" s="16" t="str">
        <f aca="false">Customer_Invoices_AR!B292</f>
        <v>C2027</v>
      </c>
      <c r="C295" s="16" t="str">
        <f aca="false">IFERROR(INDEX(Customer_Master!$B$2:$B$31,MATCH(B295,Customer_Master!$A$2:$A$31,0)),"Unknown Customer")</f>
        <v>Yu Inc</v>
      </c>
      <c r="D295" s="17" t="n">
        <f aca="false">Customer_Invoices_AR!C292</f>
        <v>45967</v>
      </c>
      <c r="E295" s="17" t="n">
        <f aca="false">Customer_Invoices_AR!E292</f>
        <v>46027</v>
      </c>
      <c r="F295" s="18" t="n">
        <f aca="false">Customer_Invoices_AR!D292</f>
        <v>568.24</v>
      </c>
      <c r="G295" s="18" t="n">
        <f aca="false">SUMIFS(Cash_Receipts_AR!$E$2:$E$503,Cash_Receipts_AR!$B$2:$B$503,A295)</f>
        <v>568.24</v>
      </c>
      <c r="H295" s="18" t="n">
        <f aca="false">F295-G295</f>
        <v>0</v>
      </c>
      <c r="I295" s="16" t="n">
        <f aca="false">IF(H295&lt;=0.01,0,MAX(Assumptions!$B$5-E295,0))</f>
        <v>0</v>
      </c>
      <c r="J295" s="16" t="str">
        <f aca="false">IF(H295&lt;=0.01,"Paid",IF(I295&lt;=30,"0-30",IF(I295&lt;=60,"31-60",IF(I295&lt;=90,"61-90","90+"))))</f>
        <v>Paid</v>
      </c>
      <c r="K295" s="16" t="str">
        <f aca="false">IF(H295&lt;=0.01,"Paid",IF(G295&gt;0,"Partially Paid","Unpaid"))</f>
        <v>Paid</v>
      </c>
    </row>
    <row r="296" customFormat="false" ht="15" hidden="false" customHeight="false" outlineLevel="0" collapsed="false">
      <c r="A296" s="16" t="str">
        <f aca="false">Customer_Invoices_AR!A293</f>
        <v>ARI60292</v>
      </c>
      <c r="B296" s="16" t="str">
        <f aca="false">Customer_Invoices_AR!B293</f>
        <v>C2028</v>
      </c>
      <c r="C296" s="16" t="str">
        <f aca="false">IFERROR(INDEX(Customer_Master!$B$2:$B$31,MATCH(B296,Customer_Master!$A$2:$A$31,0)),"Unknown Customer")</f>
        <v>Jones Inc</v>
      </c>
      <c r="D296" s="17" t="n">
        <f aca="false">Customer_Invoices_AR!C293</f>
        <v>45987</v>
      </c>
      <c r="E296" s="17" t="n">
        <f aca="false">Customer_Invoices_AR!E293</f>
        <v>46002</v>
      </c>
      <c r="F296" s="18" t="n">
        <f aca="false">Customer_Invoices_AR!D293</f>
        <v>2529.28</v>
      </c>
      <c r="G296" s="18" t="n">
        <f aca="false">SUMIFS(Cash_Receipts_AR!$E$2:$E$503,Cash_Receipts_AR!$B$2:$B$503,A296)</f>
        <v>0</v>
      </c>
      <c r="H296" s="18" t="n">
        <f aca="false">F296-G296</f>
        <v>2529.28</v>
      </c>
      <c r="I296" s="16" t="n">
        <f aca="false">IF(H296&lt;=0.01,0,MAX(Assumptions!$B$5-E296,0))</f>
        <v>232</v>
      </c>
      <c r="J296" s="16" t="str">
        <f aca="false">IF(H296&lt;=0.01,"Paid",IF(I296&lt;=30,"0-30",IF(I296&lt;=60,"31-60",IF(I296&lt;=90,"61-90","90+"))))</f>
        <v>90+</v>
      </c>
      <c r="K296" s="16" t="str">
        <f aca="false">IF(H296&lt;=0.01,"Paid",IF(G296&gt;0,"Partially Paid","Unpaid"))</f>
        <v>Unpaid</v>
      </c>
    </row>
    <row r="297" customFormat="false" ht="15" hidden="false" customHeight="false" outlineLevel="0" collapsed="false">
      <c r="A297" s="16" t="str">
        <f aca="false">Customer_Invoices_AR!A294</f>
        <v>ARI60293</v>
      </c>
      <c r="B297" s="16" t="str">
        <f aca="false">Customer_Invoices_AR!B294</f>
        <v>C2026</v>
      </c>
      <c r="C297" s="16" t="str">
        <f aca="false">IFERROR(INDEX(Customer_Master!$B$2:$B$31,MATCH(B297,Customer_Master!$A$2:$A$31,0)),"Unknown Customer")</f>
        <v>Woods, Calhoun and Schmidt</v>
      </c>
      <c r="D297" s="17" t="n">
        <f aca="false">Customer_Invoices_AR!C294</f>
        <v>46028</v>
      </c>
      <c r="E297" s="17" t="n">
        <f aca="false">Customer_Invoices_AR!E294</f>
        <v>46088</v>
      </c>
      <c r="F297" s="18" t="n">
        <f aca="false">Customer_Invoices_AR!D294</f>
        <v>4574.28</v>
      </c>
      <c r="G297" s="18" t="n">
        <f aca="false">SUMIFS(Cash_Receipts_AR!$E$2:$E$503,Cash_Receipts_AR!$B$2:$B$503,A297)</f>
        <v>4574.28</v>
      </c>
      <c r="H297" s="18" t="n">
        <f aca="false">F297-G297</f>
        <v>0</v>
      </c>
      <c r="I297" s="16" t="n">
        <f aca="false">IF(H297&lt;=0.01,0,MAX(Assumptions!$B$5-E297,0))</f>
        <v>0</v>
      </c>
      <c r="J297" s="16" t="str">
        <f aca="false">IF(H297&lt;=0.01,"Paid",IF(I297&lt;=30,"0-30",IF(I297&lt;=60,"31-60",IF(I297&lt;=90,"61-90","90+"))))</f>
        <v>Paid</v>
      </c>
      <c r="K297" s="16" t="str">
        <f aca="false">IF(H297&lt;=0.01,"Paid",IF(G297&gt;0,"Partially Paid","Unpaid"))</f>
        <v>Paid</v>
      </c>
    </row>
    <row r="298" customFormat="false" ht="15" hidden="false" customHeight="false" outlineLevel="0" collapsed="false">
      <c r="A298" s="16" t="str">
        <f aca="false">Customer_Invoices_AR!A295</f>
        <v>ARI60294</v>
      </c>
      <c r="B298" s="16" t="str">
        <f aca="false">Customer_Invoices_AR!B295</f>
        <v>C2016</v>
      </c>
      <c r="C298" s="16" t="str">
        <f aca="false">IFERROR(INDEX(Customer_Master!$B$2:$B$31,MATCH(B298,Customer_Master!$A$2:$A$31,0)),"Unknown Customer")</f>
        <v>Williams PLC</v>
      </c>
      <c r="D298" s="17" t="n">
        <f aca="false">Customer_Invoices_AR!C295</f>
        <v>46175</v>
      </c>
      <c r="E298" s="17" t="n">
        <f aca="false">Customer_Invoices_AR!E295</f>
        <v>46205</v>
      </c>
      <c r="F298" s="18" t="n">
        <f aca="false">Customer_Invoices_AR!D295</f>
        <v>3028.37</v>
      </c>
      <c r="G298" s="18" t="n">
        <f aca="false">SUMIFS(Cash_Receipts_AR!$E$2:$E$503,Cash_Receipts_AR!$B$2:$B$503,A298)</f>
        <v>3028.37</v>
      </c>
      <c r="H298" s="18" t="n">
        <f aca="false">F298-G298</f>
        <v>0</v>
      </c>
      <c r="I298" s="16" t="n">
        <f aca="false">IF(H298&lt;=0.01,0,MAX(Assumptions!$B$5-E298,0))</f>
        <v>0</v>
      </c>
      <c r="J298" s="16" t="str">
        <f aca="false">IF(H298&lt;=0.01,"Paid",IF(I298&lt;=30,"0-30",IF(I298&lt;=60,"31-60",IF(I298&lt;=90,"61-90","90+"))))</f>
        <v>Paid</v>
      </c>
      <c r="K298" s="16" t="str">
        <f aca="false">IF(H298&lt;=0.01,"Paid",IF(G298&gt;0,"Partially Paid","Unpaid"))</f>
        <v>Paid</v>
      </c>
    </row>
    <row r="299" customFormat="false" ht="15" hidden="false" customHeight="false" outlineLevel="0" collapsed="false">
      <c r="A299" s="16" t="str">
        <f aca="false">Customer_Invoices_AR!A296</f>
        <v>ARI60295</v>
      </c>
      <c r="B299" s="16" t="str">
        <f aca="false">Customer_Invoices_AR!B296</f>
        <v>C2004</v>
      </c>
      <c r="C299" s="16" t="str">
        <f aca="false">IFERROR(INDEX(Customer_Master!$B$2:$B$31,MATCH(B299,Customer_Master!$A$2:$A$31,0)),"Unknown Customer")</f>
        <v>Jones Inc</v>
      </c>
      <c r="D299" s="17" t="n">
        <f aca="false">Customer_Invoices_AR!C296</f>
        <v>45860</v>
      </c>
      <c r="E299" s="17" t="n">
        <f aca="false">Customer_Invoices_AR!E296</f>
        <v>45890</v>
      </c>
      <c r="F299" s="18" t="n">
        <f aca="false">Customer_Invoices_AR!D296</f>
        <v>1302.49</v>
      </c>
      <c r="G299" s="18" t="n">
        <f aca="false">SUMIFS(Cash_Receipts_AR!$E$2:$E$503,Cash_Receipts_AR!$B$2:$B$503,A299)</f>
        <v>1302.49</v>
      </c>
      <c r="H299" s="18" t="n">
        <f aca="false">F299-G299</f>
        <v>0</v>
      </c>
      <c r="I299" s="16" t="n">
        <f aca="false">IF(H299&lt;=0.01,0,MAX(Assumptions!$B$5-E299,0))</f>
        <v>0</v>
      </c>
      <c r="J299" s="16" t="str">
        <f aca="false">IF(H299&lt;=0.01,"Paid",IF(I299&lt;=30,"0-30",IF(I299&lt;=60,"31-60",IF(I299&lt;=90,"61-90","90+"))))</f>
        <v>Paid</v>
      </c>
      <c r="K299" s="16" t="str">
        <f aca="false">IF(H299&lt;=0.01,"Paid",IF(G299&gt;0,"Partially Paid","Unpaid"))</f>
        <v>Paid</v>
      </c>
    </row>
    <row r="300" customFormat="false" ht="15" hidden="false" customHeight="false" outlineLevel="0" collapsed="false">
      <c r="A300" s="16" t="str">
        <f aca="false">Customer_Invoices_AR!A297</f>
        <v>ARI60296</v>
      </c>
      <c r="B300" s="16" t="str">
        <f aca="false">Customer_Invoices_AR!B297</f>
        <v>C2013</v>
      </c>
      <c r="C300" s="16" t="str">
        <f aca="false">IFERROR(INDEX(Customer_Master!$B$2:$B$31,MATCH(B300,Customer_Master!$A$2:$A$31,0)),"Unknown Customer")</f>
        <v>West, Henderson and Ramirez</v>
      </c>
      <c r="D300" s="17" t="n">
        <f aca="false">Customer_Invoices_AR!C297</f>
        <v>46073</v>
      </c>
      <c r="E300" s="17" t="n">
        <f aca="false">Customer_Invoices_AR!E297</f>
        <v>46133</v>
      </c>
      <c r="F300" s="18" t="n">
        <f aca="false">Customer_Invoices_AR!D297</f>
        <v>4414.93</v>
      </c>
      <c r="G300" s="18" t="n">
        <f aca="false">SUMIFS(Cash_Receipts_AR!$E$2:$E$503,Cash_Receipts_AR!$B$2:$B$503,A300)</f>
        <v>0</v>
      </c>
      <c r="H300" s="18" t="n">
        <f aca="false">F300-G300</f>
        <v>4414.93</v>
      </c>
      <c r="I300" s="16" t="n">
        <f aca="false">IF(H300&lt;=0.01,0,MAX(Assumptions!$B$5-E300,0))</f>
        <v>101</v>
      </c>
      <c r="J300" s="16" t="str">
        <f aca="false">IF(H300&lt;=0.01,"Paid",IF(I300&lt;=30,"0-30",IF(I300&lt;=60,"31-60",IF(I300&lt;=90,"61-90","90+"))))</f>
        <v>90+</v>
      </c>
      <c r="K300" s="16" t="str">
        <f aca="false">IF(H300&lt;=0.01,"Paid",IF(G300&gt;0,"Partially Paid","Unpaid"))</f>
        <v>Unpaid</v>
      </c>
    </row>
    <row r="301" customFormat="false" ht="15" hidden="false" customHeight="false" outlineLevel="0" collapsed="false">
      <c r="A301" s="16" t="str">
        <f aca="false">Customer_Invoices_AR!A298</f>
        <v>ARI60297</v>
      </c>
      <c r="B301" s="16" t="str">
        <f aca="false">Customer_Invoices_AR!B298</f>
        <v>C2021</v>
      </c>
      <c r="C301" s="16" t="str">
        <f aca="false">IFERROR(INDEX(Customer_Master!$B$2:$B$31,MATCH(B301,Customer_Master!$A$2:$A$31,0)),"Unknown Customer")</f>
        <v>House-Glover</v>
      </c>
      <c r="D301" s="17" t="n">
        <f aca="false">Customer_Invoices_AR!C298</f>
        <v>45970</v>
      </c>
      <c r="E301" s="17" t="n">
        <f aca="false">Customer_Invoices_AR!E298</f>
        <v>46030</v>
      </c>
      <c r="F301" s="18" t="n">
        <f aca="false">Customer_Invoices_AR!D298</f>
        <v>353.93</v>
      </c>
      <c r="G301" s="18" t="n">
        <f aca="false">SUMIFS(Cash_Receipts_AR!$E$2:$E$503,Cash_Receipts_AR!$B$2:$B$503,A301)</f>
        <v>135.24</v>
      </c>
      <c r="H301" s="18" t="n">
        <f aca="false">F301-G301</f>
        <v>218.69</v>
      </c>
      <c r="I301" s="16" t="n">
        <f aca="false">IF(H301&lt;=0.01,0,MAX(Assumptions!$B$5-E301,0))</f>
        <v>204</v>
      </c>
      <c r="J301" s="16" t="str">
        <f aca="false">IF(H301&lt;=0.01,"Paid",IF(I301&lt;=30,"0-30",IF(I301&lt;=60,"31-60",IF(I301&lt;=90,"61-90","90+"))))</f>
        <v>90+</v>
      </c>
      <c r="K301" s="16" t="str">
        <f aca="false">IF(H301&lt;=0.01,"Paid",IF(G301&gt;0,"Partially Paid","Unpaid"))</f>
        <v>Partially Paid</v>
      </c>
    </row>
    <row r="302" customFormat="false" ht="15" hidden="false" customHeight="false" outlineLevel="0" collapsed="false">
      <c r="A302" s="16" t="str">
        <f aca="false">Customer_Invoices_AR!A299</f>
        <v>ARI60298</v>
      </c>
      <c r="B302" s="16" t="str">
        <f aca="false">Customer_Invoices_AR!B299</f>
        <v>C2001</v>
      </c>
      <c r="C302" s="16" t="str">
        <f aca="false">IFERROR(INDEX(Customer_Master!$B$2:$B$31,MATCH(B302,Customer_Master!$A$2:$A$31,0)),"Unknown Customer")</f>
        <v>Wright Inc</v>
      </c>
      <c r="D302" s="17" t="n">
        <f aca="false">Customer_Invoices_AR!C299</f>
        <v>45946</v>
      </c>
      <c r="E302" s="17" t="n">
        <f aca="false">Customer_Invoices_AR!E299</f>
        <v>45991</v>
      </c>
      <c r="F302" s="18" t="n">
        <f aca="false">Customer_Invoices_AR!D299</f>
        <v>3971.65</v>
      </c>
      <c r="G302" s="18" t="n">
        <f aca="false">SUMIFS(Cash_Receipts_AR!$E$2:$E$503,Cash_Receipts_AR!$B$2:$B$503,A302)</f>
        <v>1211</v>
      </c>
      <c r="H302" s="18" t="n">
        <f aca="false">F302-G302</f>
        <v>2760.65</v>
      </c>
      <c r="I302" s="16" t="n">
        <f aca="false">IF(H302&lt;=0.01,0,MAX(Assumptions!$B$5-E302,0))</f>
        <v>243</v>
      </c>
      <c r="J302" s="16" t="str">
        <f aca="false">IF(H302&lt;=0.01,"Paid",IF(I302&lt;=30,"0-30",IF(I302&lt;=60,"31-60",IF(I302&lt;=90,"61-90","90+"))))</f>
        <v>90+</v>
      </c>
      <c r="K302" s="16" t="str">
        <f aca="false">IF(H302&lt;=0.01,"Paid",IF(G302&gt;0,"Partially Paid","Unpaid"))</f>
        <v>Partially Paid</v>
      </c>
    </row>
    <row r="303" customFormat="false" ht="15" hidden="false" customHeight="false" outlineLevel="0" collapsed="false">
      <c r="A303" s="16" t="str">
        <f aca="false">Customer_Invoices_AR!A300</f>
        <v>ARI60299</v>
      </c>
      <c r="B303" s="16" t="str">
        <f aca="false">Customer_Invoices_AR!B300</f>
        <v>C2001</v>
      </c>
      <c r="C303" s="16" t="str">
        <f aca="false">IFERROR(INDEX(Customer_Master!$B$2:$B$31,MATCH(B303,Customer_Master!$A$2:$A$31,0)),"Unknown Customer")</f>
        <v>Wright Inc</v>
      </c>
      <c r="D303" s="17" t="n">
        <f aca="false">Customer_Invoices_AR!C300</f>
        <v>45874</v>
      </c>
      <c r="E303" s="17" t="n">
        <f aca="false">Customer_Invoices_AR!E300</f>
        <v>45919</v>
      </c>
      <c r="F303" s="18" t="n">
        <f aca="false">Customer_Invoices_AR!D300</f>
        <v>977.25</v>
      </c>
      <c r="G303" s="18" t="n">
        <f aca="false">SUMIFS(Cash_Receipts_AR!$E$2:$E$503,Cash_Receipts_AR!$B$2:$B$503,A303)</f>
        <v>977.25</v>
      </c>
      <c r="H303" s="18" t="n">
        <f aca="false">F303-G303</f>
        <v>0</v>
      </c>
      <c r="I303" s="16" t="n">
        <f aca="false">IF(H303&lt;=0.01,0,MAX(Assumptions!$B$5-E303,0))</f>
        <v>0</v>
      </c>
      <c r="J303" s="16" t="str">
        <f aca="false">IF(H303&lt;=0.01,"Paid",IF(I303&lt;=30,"0-30",IF(I303&lt;=60,"31-60",IF(I303&lt;=90,"61-90","90+"))))</f>
        <v>Paid</v>
      </c>
      <c r="K303" s="16" t="str">
        <f aca="false">IF(H303&lt;=0.01,"Paid",IF(G303&gt;0,"Partially Paid","Unpaid"))</f>
        <v>Paid</v>
      </c>
    </row>
    <row r="304" customFormat="false" ht="15" hidden="false" customHeight="false" outlineLevel="0" collapsed="false">
      <c r="A304" s="16" t="str">
        <f aca="false">Customer_Invoices_AR!A301</f>
        <v>ARI60300</v>
      </c>
      <c r="B304" s="16" t="str">
        <f aca="false">Customer_Invoices_AR!B301</f>
        <v>C2020</v>
      </c>
      <c r="C304" s="16" t="str">
        <f aca="false">IFERROR(INDEX(Customer_Master!$B$2:$B$31,MATCH(B304,Customer_Master!$A$2:$A$31,0)),"Unknown Customer")</f>
        <v>Gray Group</v>
      </c>
      <c r="D304" s="17" t="n">
        <f aca="false">Customer_Invoices_AR!C301</f>
        <v>46012</v>
      </c>
      <c r="E304" s="17" t="n">
        <f aca="false">Customer_Invoices_AR!E301</f>
        <v>46042</v>
      </c>
      <c r="F304" s="18" t="n">
        <f aca="false">Customer_Invoices_AR!D301</f>
        <v>1244.94</v>
      </c>
      <c r="G304" s="18" t="n">
        <f aca="false">SUMIFS(Cash_Receipts_AR!$E$2:$E$503,Cash_Receipts_AR!$B$2:$B$503,A304)</f>
        <v>1244.94</v>
      </c>
      <c r="H304" s="18" t="n">
        <f aca="false">F304-G304</f>
        <v>0</v>
      </c>
      <c r="I304" s="16" t="n">
        <f aca="false">IF(H304&lt;=0.01,0,MAX(Assumptions!$B$5-E304,0))</f>
        <v>0</v>
      </c>
      <c r="J304" s="16" t="str">
        <f aca="false">IF(H304&lt;=0.01,"Paid",IF(I304&lt;=30,"0-30",IF(I304&lt;=60,"31-60",IF(I304&lt;=90,"61-90","90+"))))</f>
        <v>Paid</v>
      </c>
      <c r="K304" s="16" t="str">
        <f aca="false">IF(H304&lt;=0.01,"Paid",IF(G304&gt;0,"Partially Paid","Unpaid"))</f>
        <v>Paid</v>
      </c>
    </row>
    <row r="305" customFormat="false" ht="15" hidden="false" customHeight="false" outlineLevel="0" collapsed="false">
      <c r="A305" s="16" t="str">
        <f aca="false">Customer_Invoices_AR!A302</f>
        <v>ARI60301</v>
      </c>
      <c r="B305" s="16" t="str">
        <f aca="false">Customer_Invoices_AR!B302</f>
        <v>C2027</v>
      </c>
      <c r="C305" s="16" t="str">
        <f aca="false">IFERROR(INDEX(Customer_Master!$B$2:$B$31,MATCH(B305,Customer_Master!$A$2:$A$31,0)),"Unknown Customer")</f>
        <v>Yu Inc</v>
      </c>
      <c r="D305" s="17" t="n">
        <f aca="false">Customer_Invoices_AR!C302</f>
        <v>45794</v>
      </c>
      <c r="E305" s="17" t="n">
        <f aca="false">Customer_Invoices_AR!E302</f>
        <v>45854</v>
      </c>
      <c r="F305" s="18" t="n">
        <f aca="false">Customer_Invoices_AR!D302</f>
        <v>216.93</v>
      </c>
      <c r="G305" s="18" t="n">
        <f aca="false">SUMIFS(Cash_Receipts_AR!$E$2:$E$503,Cash_Receipts_AR!$B$2:$B$503,A305)</f>
        <v>216.93</v>
      </c>
      <c r="H305" s="18" t="n">
        <f aca="false">F305-G305</f>
        <v>0</v>
      </c>
      <c r="I305" s="16" t="n">
        <f aca="false">IF(H305&lt;=0.01,0,MAX(Assumptions!$B$5-E305,0))</f>
        <v>0</v>
      </c>
      <c r="J305" s="16" t="str">
        <f aca="false">IF(H305&lt;=0.01,"Paid",IF(I305&lt;=30,"0-30",IF(I305&lt;=60,"31-60",IF(I305&lt;=90,"61-90","90+"))))</f>
        <v>Paid</v>
      </c>
      <c r="K305" s="16" t="str">
        <f aca="false">IF(H305&lt;=0.01,"Paid",IF(G305&gt;0,"Partially Paid","Unpaid"))</f>
        <v>Paid</v>
      </c>
    </row>
    <row r="306" customFormat="false" ht="15" hidden="false" customHeight="false" outlineLevel="0" collapsed="false">
      <c r="A306" s="16" t="str">
        <f aca="false">Customer_Invoices_AR!A303</f>
        <v>ARI60302</v>
      </c>
      <c r="B306" s="16" t="str">
        <f aca="false">Customer_Invoices_AR!B303</f>
        <v>C2007</v>
      </c>
      <c r="C306" s="16" t="str">
        <f aca="false">IFERROR(INDEX(Customer_Master!$B$2:$B$31,MATCH(B306,Customer_Master!$A$2:$A$31,0)),"Unknown Customer")</f>
        <v>Johnston, Sanchez and Kennedy</v>
      </c>
      <c r="D306" s="17" t="n">
        <f aca="false">Customer_Invoices_AR!C303</f>
        <v>45719</v>
      </c>
      <c r="E306" s="17" t="n">
        <f aca="false">Customer_Invoices_AR!E303</f>
        <v>45749</v>
      </c>
      <c r="F306" s="18" t="n">
        <f aca="false">Customer_Invoices_AR!D303</f>
        <v>547.29</v>
      </c>
      <c r="G306" s="18" t="n">
        <f aca="false">SUMIFS(Cash_Receipts_AR!$E$2:$E$503,Cash_Receipts_AR!$B$2:$B$503,A306)</f>
        <v>547.29</v>
      </c>
      <c r="H306" s="18" t="n">
        <f aca="false">F306-G306</f>
        <v>0</v>
      </c>
      <c r="I306" s="16" t="n">
        <f aca="false">IF(H306&lt;=0.01,0,MAX(Assumptions!$B$5-E306,0))</f>
        <v>0</v>
      </c>
      <c r="J306" s="16" t="str">
        <f aca="false">IF(H306&lt;=0.01,"Paid",IF(I306&lt;=30,"0-30",IF(I306&lt;=60,"31-60",IF(I306&lt;=90,"61-90","90+"))))</f>
        <v>Paid</v>
      </c>
      <c r="K306" s="16" t="str">
        <f aca="false">IF(H306&lt;=0.01,"Paid",IF(G306&gt;0,"Partially Paid","Unpaid"))</f>
        <v>Paid</v>
      </c>
    </row>
    <row r="307" customFormat="false" ht="15" hidden="false" customHeight="false" outlineLevel="0" collapsed="false">
      <c r="A307" s="16" t="str">
        <f aca="false">Customer_Invoices_AR!A304</f>
        <v>ARI60303</v>
      </c>
      <c r="B307" s="16" t="str">
        <f aca="false">Customer_Invoices_AR!B304</f>
        <v>C2010</v>
      </c>
      <c r="C307" s="16" t="str">
        <f aca="false">IFERROR(INDEX(Customer_Master!$B$2:$B$31,MATCH(B307,Customer_Master!$A$2:$A$31,0)),"Unknown Customer")</f>
        <v>Brown, Valdez and Lucas</v>
      </c>
      <c r="D307" s="17" t="n">
        <f aca="false">Customer_Invoices_AR!C304</f>
        <v>46058</v>
      </c>
      <c r="E307" s="17" t="n">
        <f aca="false">Customer_Invoices_AR!E304</f>
        <v>46118</v>
      </c>
      <c r="F307" s="18" t="n">
        <f aca="false">Customer_Invoices_AR!D304</f>
        <v>3658.52</v>
      </c>
      <c r="G307" s="18" t="n">
        <f aca="false">SUMIFS(Cash_Receipts_AR!$E$2:$E$503,Cash_Receipts_AR!$B$2:$B$503,A307)</f>
        <v>3658.52</v>
      </c>
      <c r="H307" s="18" t="n">
        <f aca="false">F307-G307</f>
        <v>0</v>
      </c>
      <c r="I307" s="16" t="n">
        <f aca="false">IF(H307&lt;=0.01,0,MAX(Assumptions!$B$5-E307,0))</f>
        <v>0</v>
      </c>
      <c r="J307" s="16" t="str">
        <f aca="false">IF(H307&lt;=0.01,"Paid",IF(I307&lt;=30,"0-30",IF(I307&lt;=60,"31-60",IF(I307&lt;=90,"61-90","90+"))))</f>
        <v>Paid</v>
      </c>
      <c r="K307" s="16" t="str">
        <f aca="false">IF(H307&lt;=0.01,"Paid",IF(G307&gt;0,"Partially Paid","Unpaid"))</f>
        <v>Paid</v>
      </c>
    </row>
    <row r="308" customFormat="false" ht="15" hidden="false" customHeight="false" outlineLevel="0" collapsed="false">
      <c r="A308" s="16" t="str">
        <f aca="false">Customer_Invoices_AR!A305</f>
        <v>ARI60304</v>
      </c>
      <c r="B308" s="16" t="str">
        <f aca="false">Customer_Invoices_AR!B305</f>
        <v>C2010</v>
      </c>
      <c r="C308" s="16" t="str">
        <f aca="false">IFERROR(INDEX(Customer_Master!$B$2:$B$31,MATCH(B308,Customer_Master!$A$2:$A$31,0)),"Unknown Customer")</f>
        <v>Brown, Valdez and Lucas</v>
      </c>
      <c r="D308" s="17" t="n">
        <f aca="false">Customer_Invoices_AR!C305</f>
        <v>45929</v>
      </c>
      <c r="E308" s="17" t="n">
        <f aca="false">Customer_Invoices_AR!E305</f>
        <v>45989</v>
      </c>
      <c r="F308" s="18" t="n">
        <f aca="false">Customer_Invoices_AR!D305</f>
        <v>721.08</v>
      </c>
      <c r="G308" s="18" t="n">
        <f aca="false">SUMIFS(Cash_Receipts_AR!$E$2:$E$503,Cash_Receipts_AR!$B$2:$B$503,A308)</f>
        <v>721.08</v>
      </c>
      <c r="H308" s="18" t="n">
        <f aca="false">F308-G308</f>
        <v>0</v>
      </c>
      <c r="I308" s="16" t="n">
        <f aca="false">IF(H308&lt;=0.01,0,MAX(Assumptions!$B$5-E308,0))</f>
        <v>0</v>
      </c>
      <c r="J308" s="16" t="str">
        <f aca="false">IF(H308&lt;=0.01,"Paid",IF(I308&lt;=30,"0-30",IF(I308&lt;=60,"31-60",IF(I308&lt;=90,"61-90","90+"))))</f>
        <v>Paid</v>
      </c>
      <c r="K308" s="16" t="str">
        <f aca="false">IF(H308&lt;=0.01,"Paid",IF(G308&gt;0,"Partially Paid","Unpaid"))</f>
        <v>Paid</v>
      </c>
    </row>
    <row r="309" customFormat="false" ht="15" hidden="false" customHeight="false" outlineLevel="0" collapsed="false">
      <c r="A309" s="16" t="str">
        <f aca="false">Customer_Invoices_AR!A306</f>
        <v>ARI60305</v>
      </c>
      <c r="B309" s="16" t="str">
        <f aca="false">Customer_Invoices_AR!B306</f>
        <v>C2013</v>
      </c>
      <c r="C309" s="16" t="str">
        <f aca="false">IFERROR(INDEX(Customer_Master!$B$2:$B$31,MATCH(B309,Customer_Master!$A$2:$A$31,0)),"Unknown Customer")</f>
        <v>West, Henderson and Ramirez</v>
      </c>
      <c r="D309" s="17" t="n">
        <f aca="false">Customer_Invoices_AR!C306</f>
        <v>45868</v>
      </c>
      <c r="E309" s="17" t="n">
        <f aca="false">Customer_Invoices_AR!E306</f>
        <v>45928</v>
      </c>
      <c r="F309" s="18" t="n">
        <f aca="false">Customer_Invoices_AR!D306</f>
        <v>12262.46</v>
      </c>
      <c r="G309" s="18" t="n">
        <f aca="false">SUMIFS(Cash_Receipts_AR!$E$2:$E$503,Cash_Receipts_AR!$B$2:$B$503,A309)</f>
        <v>12262.46</v>
      </c>
      <c r="H309" s="18" t="n">
        <f aca="false">F309-G309</f>
        <v>0</v>
      </c>
      <c r="I309" s="16" t="n">
        <f aca="false">IF(H309&lt;=0.01,0,MAX(Assumptions!$B$5-E309,0))</f>
        <v>0</v>
      </c>
      <c r="J309" s="16" t="str">
        <f aca="false">IF(H309&lt;=0.01,"Paid",IF(I309&lt;=30,"0-30",IF(I309&lt;=60,"31-60",IF(I309&lt;=90,"61-90","90+"))))</f>
        <v>Paid</v>
      </c>
      <c r="K309" s="16" t="str">
        <f aca="false">IF(H309&lt;=0.01,"Paid",IF(G309&gt;0,"Partially Paid","Unpaid"))</f>
        <v>Paid</v>
      </c>
    </row>
    <row r="310" customFormat="false" ht="15" hidden="false" customHeight="false" outlineLevel="0" collapsed="false">
      <c r="A310" s="16" t="str">
        <f aca="false">Customer_Invoices_AR!A307</f>
        <v>ARI60306</v>
      </c>
      <c r="B310" s="16" t="str">
        <f aca="false">Customer_Invoices_AR!B307</f>
        <v>C2013</v>
      </c>
      <c r="C310" s="16" t="str">
        <f aca="false">IFERROR(INDEX(Customer_Master!$B$2:$B$31,MATCH(B310,Customer_Master!$A$2:$A$31,0)),"Unknown Customer")</f>
        <v>West, Henderson and Ramirez</v>
      </c>
      <c r="D310" s="17" t="n">
        <f aca="false">Customer_Invoices_AR!C307</f>
        <v>45964</v>
      </c>
      <c r="E310" s="17" t="n">
        <f aca="false">Customer_Invoices_AR!E307</f>
        <v>46024</v>
      </c>
      <c r="F310" s="18" t="n">
        <f aca="false">Customer_Invoices_AR!D307</f>
        <v>8063.35</v>
      </c>
      <c r="G310" s="18" t="n">
        <f aca="false">SUMIFS(Cash_Receipts_AR!$E$2:$E$503,Cash_Receipts_AR!$B$2:$B$503,A310)</f>
        <v>8063.35</v>
      </c>
      <c r="H310" s="18" t="n">
        <f aca="false">F310-G310</f>
        <v>0</v>
      </c>
      <c r="I310" s="16" t="n">
        <f aca="false">IF(H310&lt;=0.01,0,MAX(Assumptions!$B$5-E310,0))</f>
        <v>0</v>
      </c>
      <c r="J310" s="16" t="str">
        <f aca="false">IF(H310&lt;=0.01,"Paid",IF(I310&lt;=30,"0-30",IF(I310&lt;=60,"31-60",IF(I310&lt;=90,"61-90","90+"))))</f>
        <v>Paid</v>
      </c>
      <c r="K310" s="16" t="str">
        <f aca="false">IF(H310&lt;=0.01,"Paid",IF(G310&gt;0,"Partially Paid","Unpaid"))</f>
        <v>Paid</v>
      </c>
    </row>
    <row r="311" customFormat="false" ht="15" hidden="false" customHeight="false" outlineLevel="0" collapsed="false">
      <c r="A311" s="16" t="str">
        <f aca="false">Customer_Invoices_AR!A308</f>
        <v>ARI60307</v>
      </c>
      <c r="B311" s="16" t="str">
        <f aca="false">Customer_Invoices_AR!B308</f>
        <v>C2013</v>
      </c>
      <c r="C311" s="16" t="str">
        <f aca="false">IFERROR(INDEX(Customer_Master!$B$2:$B$31,MATCH(B311,Customer_Master!$A$2:$A$31,0)),"Unknown Customer")</f>
        <v>West, Henderson and Ramirez</v>
      </c>
      <c r="D311" s="17" t="n">
        <f aca="false">Customer_Invoices_AR!C308</f>
        <v>45800</v>
      </c>
      <c r="E311" s="17" t="n">
        <f aca="false">Customer_Invoices_AR!E308</f>
        <v>45860</v>
      </c>
      <c r="F311" s="18" t="n">
        <f aca="false">Customer_Invoices_AR!D308</f>
        <v>1103.36</v>
      </c>
      <c r="G311" s="18" t="n">
        <f aca="false">SUMIFS(Cash_Receipts_AR!$E$2:$E$503,Cash_Receipts_AR!$B$2:$B$503,A311)</f>
        <v>1103.36</v>
      </c>
      <c r="H311" s="18" t="n">
        <f aca="false">F311-G311</f>
        <v>0</v>
      </c>
      <c r="I311" s="16" t="n">
        <f aca="false">IF(H311&lt;=0.01,0,MAX(Assumptions!$B$5-E311,0))</f>
        <v>0</v>
      </c>
      <c r="J311" s="16" t="str">
        <f aca="false">IF(H311&lt;=0.01,"Paid",IF(I311&lt;=30,"0-30",IF(I311&lt;=60,"31-60",IF(I311&lt;=90,"61-90","90+"))))</f>
        <v>Paid</v>
      </c>
      <c r="K311" s="16" t="str">
        <f aca="false">IF(H311&lt;=0.01,"Paid",IF(G311&gt;0,"Partially Paid","Unpaid"))</f>
        <v>Paid</v>
      </c>
    </row>
    <row r="312" customFormat="false" ht="15" hidden="false" customHeight="false" outlineLevel="0" collapsed="false">
      <c r="A312" s="16" t="str">
        <f aca="false">Customer_Invoices_AR!A309</f>
        <v>ARI60308</v>
      </c>
      <c r="B312" s="16" t="str">
        <f aca="false">Customer_Invoices_AR!B309</f>
        <v>C2014</v>
      </c>
      <c r="C312" s="16" t="str">
        <f aca="false">IFERROR(INDEX(Customer_Master!$B$2:$B$31,MATCH(B312,Customer_Master!$A$2:$A$31,0)),"Unknown Customer")</f>
        <v>Baxter Inc</v>
      </c>
      <c r="D312" s="17" t="n">
        <f aca="false">Customer_Invoices_AR!C309</f>
        <v>45799</v>
      </c>
      <c r="E312" s="17" t="n">
        <f aca="false">Customer_Invoices_AR!E309</f>
        <v>45829</v>
      </c>
      <c r="F312" s="18" t="n">
        <f aca="false">Customer_Invoices_AR!D309</f>
        <v>8101.91</v>
      </c>
      <c r="G312" s="18" t="n">
        <f aca="false">SUMIFS(Cash_Receipts_AR!$E$2:$E$503,Cash_Receipts_AR!$B$2:$B$503,A312)</f>
        <v>8101.91</v>
      </c>
      <c r="H312" s="18" t="n">
        <f aca="false">F312-G312</f>
        <v>0</v>
      </c>
      <c r="I312" s="16" t="n">
        <f aca="false">IF(H312&lt;=0.01,0,MAX(Assumptions!$B$5-E312,0))</f>
        <v>0</v>
      </c>
      <c r="J312" s="16" t="str">
        <f aca="false">IF(H312&lt;=0.01,"Paid",IF(I312&lt;=30,"0-30",IF(I312&lt;=60,"31-60",IF(I312&lt;=90,"61-90","90+"))))</f>
        <v>Paid</v>
      </c>
      <c r="K312" s="16" t="str">
        <f aca="false">IF(H312&lt;=0.01,"Paid",IF(G312&gt;0,"Partially Paid","Unpaid"))</f>
        <v>Paid</v>
      </c>
    </row>
    <row r="313" customFormat="false" ht="15" hidden="false" customHeight="false" outlineLevel="0" collapsed="false">
      <c r="A313" s="16" t="str">
        <f aca="false">Customer_Invoices_AR!A310</f>
        <v>ARI60309</v>
      </c>
      <c r="B313" s="16" t="str">
        <f aca="false">Customer_Invoices_AR!B310</f>
        <v>C2014</v>
      </c>
      <c r="C313" s="16" t="str">
        <f aca="false">IFERROR(INDEX(Customer_Master!$B$2:$B$31,MATCH(B313,Customer_Master!$A$2:$A$31,0)),"Unknown Customer")</f>
        <v>Baxter Inc</v>
      </c>
      <c r="D313" s="17" t="n">
        <f aca="false">Customer_Invoices_AR!C310</f>
        <v>45901</v>
      </c>
      <c r="E313" s="17" t="n">
        <f aca="false">Customer_Invoices_AR!E310</f>
        <v>45931</v>
      </c>
      <c r="F313" s="18" t="n">
        <f aca="false">Customer_Invoices_AR!D310</f>
        <v>544.44</v>
      </c>
      <c r="G313" s="18" t="n">
        <f aca="false">SUMIFS(Cash_Receipts_AR!$E$2:$E$503,Cash_Receipts_AR!$B$2:$B$503,A313)</f>
        <v>0</v>
      </c>
      <c r="H313" s="18" t="n">
        <f aca="false">F313-G313</f>
        <v>544.44</v>
      </c>
      <c r="I313" s="16" t="n">
        <f aca="false">IF(H313&lt;=0.01,0,MAX(Assumptions!$B$5-E313,0))</f>
        <v>303</v>
      </c>
      <c r="J313" s="16" t="str">
        <f aca="false">IF(H313&lt;=0.01,"Paid",IF(I313&lt;=30,"0-30",IF(I313&lt;=60,"31-60",IF(I313&lt;=90,"61-90","90+"))))</f>
        <v>90+</v>
      </c>
      <c r="K313" s="16" t="str">
        <f aca="false">IF(H313&lt;=0.01,"Paid",IF(G313&gt;0,"Partially Paid","Unpaid"))</f>
        <v>Unpaid</v>
      </c>
    </row>
    <row r="314" customFormat="false" ht="15" hidden="false" customHeight="false" outlineLevel="0" collapsed="false">
      <c r="A314" s="16" t="str">
        <f aca="false">Customer_Invoices_AR!A311</f>
        <v>ARI60310</v>
      </c>
      <c r="B314" s="16" t="str">
        <f aca="false">Customer_Invoices_AR!B311</f>
        <v>C2024</v>
      </c>
      <c r="C314" s="16" t="str">
        <f aca="false">IFERROR(INDEX(Customer_Master!$B$2:$B$31,MATCH(B314,Customer_Master!$A$2:$A$31,0)),"Unknown Customer")</f>
        <v>Novak PLC</v>
      </c>
      <c r="D314" s="17" t="n">
        <f aca="false">Customer_Invoices_AR!C311</f>
        <v>46201</v>
      </c>
      <c r="E314" s="17" t="n">
        <f aca="false">Customer_Invoices_AR!E311</f>
        <v>46261</v>
      </c>
      <c r="F314" s="18" t="n">
        <f aca="false">Customer_Invoices_AR!D311</f>
        <v>3180.96</v>
      </c>
      <c r="G314" s="18" t="n">
        <f aca="false">SUMIFS(Cash_Receipts_AR!$E$2:$E$503,Cash_Receipts_AR!$B$2:$B$503,A314)</f>
        <v>0</v>
      </c>
      <c r="H314" s="18" t="n">
        <f aca="false">F314-G314</f>
        <v>3180.96</v>
      </c>
      <c r="I314" s="16" t="n">
        <f aca="false">IF(H314&lt;=0.01,0,MAX(Assumptions!$B$5-E314,0))</f>
        <v>0</v>
      </c>
      <c r="J314" s="16" t="str">
        <f aca="false">IF(H314&lt;=0.01,"Paid",IF(I314&lt;=30,"0-30",IF(I314&lt;=60,"31-60",IF(I314&lt;=90,"61-90","90+"))))</f>
        <v>0-30</v>
      </c>
      <c r="K314" s="16" t="str">
        <f aca="false">IF(H314&lt;=0.01,"Paid",IF(G314&gt;0,"Partially Paid","Unpaid"))</f>
        <v>Unpaid</v>
      </c>
    </row>
    <row r="315" customFormat="false" ht="15" hidden="false" customHeight="false" outlineLevel="0" collapsed="false">
      <c r="A315" s="16" t="str">
        <f aca="false">Customer_Invoices_AR!A312</f>
        <v>ARI60311</v>
      </c>
      <c r="B315" s="16" t="str">
        <f aca="false">Customer_Invoices_AR!B312</f>
        <v>C2027</v>
      </c>
      <c r="C315" s="16" t="str">
        <f aca="false">IFERROR(INDEX(Customer_Master!$B$2:$B$31,MATCH(B315,Customer_Master!$A$2:$A$31,0)),"Unknown Customer")</f>
        <v>Yu Inc</v>
      </c>
      <c r="D315" s="17" t="n">
        <f aca="false">Customer_Invoices_AR!C312</f>
        <v>45813</v>
      </c>
      <c r="E315" s="17" t="n">
        <f aca="false">Customer_Invoices_AR!E312</f>
        <v>45873</v>
      </c>
      <c r="F315" s="18" t="n">
        <f aca="false">Customer_Invoices_AR!D312</f>
        <v>1127.3</v>
      </c>
      <c r="G315" s="18" t="n">
        <f aca="false">SUMIFS(Cash_Receipts_AR!$E$2:$E$503,Cash_Receipts_AR!$B$2:$B$503,A315)</f>
        <v>1127.3</v>
      </c>
      <c r="H315" s="18" t="n">
        <f aca="false">F315-G315</f>
        <v>0</v>
      </c>
      <c r="I315" s="16" t="n">
        <f aca="false">IF(H315&lt;=0.01,0,MAX(Assumptions!$B$5-E315,0))</f>
        <v>0</v>
      </c>
      <c r="J315" s="16" t="str">
        <f aca="false">IF(H315&lt;=0.01,"Paid",IF(I315&lt;=30,"0-30",IF(I315&lt;=60,"31-60",IF(I315&lt;=90,"61-90","90+"))))</f>
        <v>Paid</v>
      </c>
      <c r="K315" s="16" t="str">
        <f aca="false">IF(H315&lt;=0.01,"Paid",IF(G315&gt;0,"Partially Paid","Unpaid"))</f>
        <v>Paid</v>
      </c>
    </row>
    <row r="316" customFormat="false" ht="15" hidden="false" customHeight="false" outlineLevel="0" collapsed="false">
      <c r="A316" s="16" t="str">
        <f aca="false">Customer_Invoices_AR!A313</f>
        <v>ARI60312</v>
      </c>
      <c r="B316" s="16" t="str">
        <f aca="false">Customer_Invoices_AR!B313</f>
        <v>C2017</v>
      </c>
      <c r="C316" s="16" t="str">
        <f aca="false">IFERROR(INDEX(Customer_Master!$B$2:$B$31,MATCH(B316,Customer_Master!$A$2:$A$31,0)),"Unknown Customer")</f>
        <v>Novak and Sons</v>
      </c>
      <c r="D316" s="17" t="n">
        <f aca="false">Customer_Invoices_AR!C313</f>
        <v>46157</v>
      </c>
      <c r="E316" s="17" t="n">
        <f aca="false">Customer_Invoices_AR!E313</f>
        <v>46172</v>
      </c>
      <c r="F316" s="18" t="n">
        <f aca="false">Customer_Invoices_AR!D313</f>
        <v>1175</v>
      </c>
      <c r="G316" s="18" t="n">
        <f aca="false">SUMIFS(Cash_Receipts_AR!$E$2:$E$503,Cash_Receipts_AR!$B$2:$B$503,A316)</f>
        <v>1175</v>
      </c>
      <c r="H316" s="18" t="n">
        <f aca="false">F316-G316</f>
        <v>0</v>
      </c>
      <c r="I316" s="16" t="n">
        <f aca="false">IF(H316&lt;=0.01,0,MAX(Assumptions!$B$5-E316,0))</f>
        <v>0</v>
      </c>
      <c r="J316" s="16" t="str">
        <f aca="false">IF(H316&lt;=0.01,"Paid",IF(I316&lt;=30,"0-30",IF(I316&lt;=60,"31-60",IF(I316&lt;=90,"61-90","90+"))))</f>
        <v>Paid</v>
      </c>
      <c r="K316" s="16" t="str">
        <f aca="false">IF(H316&lt;=0.01,"Paid",IF(G316&gt;0,"Partially Paid","Unpaid"))</f>
        <v>Paid</v>
      </c>
    </row>
    <row r="317" customFormat="false" ht="15" hidden="false" customHeight="false" outlineLevel="0" collapsed="false">
      <c r="A317" s="16" t="str">
        <f aca="false">Customer_Invoices_AR!A314</f>
        <v>ARI60313</v>
      </c>
      <c r="B317" s="16" t="str">
        <f aca="false">Customer_Invoices_AR!B314</f>
        <v>C2007</v>
      </c>
      <c r="C317" s="16" t="str">
        <f aca="false">IFERROR(INDEX(Customer_Master!$B$2:$B$31,MATCH(B317,Customer_Master!$A$2:$A$31,0)),"Unknown Customer")</f>
        <v>Johnston, Sanchez and Kennedy</v>
      </c>
      <c r="D317" s="17" t="n">
        <f aca="false">Customer_Invoices_AR!C314</f>
        <v>45925</v>
      </c>
      <c r="E317" s="17" t="n">
        <f aca="false">Customer_Invoices_AR!E314</f>
        <v>45955</v>
      </c>
      <c r="F317" s="18" t="n">
        <f aca="false">Customer_Invoices_AR!D314</f>
        <v>3629</v>
      </c>
      <c r="G317" s="18" t="n">
        <f aca="false">SUMIFS(Cash_Receipts_AR!$E$2:$E$503,Cash_Receipts_AR!$B$2:$B$503,A317)</f>
        <v>0</v>
      </c>
      <c r="H317" s="18" t="n">
        <f aca="false">F317-G317</f>
        <v>3629</v>
      </c>
      <c r="I317" s="16" t="n">
        <f aca="false">IF(H317&lt;=0.01,0,MAX(Assumptions!$B$5-E317,0))</f>
        <v>279</v>
      </c>
      <c r="J317" s="16" t="str">
        <f aca="false">IF(H317&lt;=0.01,"Paid",IF(I317&lt;=30,"0-30",IF(I317&lt;=60,"31-60",IF(I317&lt;=90,"61-90","90+"))))</f>
        <v>90+</v>
      </c>
      <c r="K317" s="16" t="str">
        <f aca="false">IF(H317&lt;=0.01,"Paid",IF(G317&gt;0,"Partially Paid","Unpaid"))</f>
        <v>Unpaid</v>
      </c>
    </row>
    <row r="318" customFormat="false" ht="15" hidden="false" customHeight="false" outlineLevel="0" collapsed="false">
      <c r="A318" s="16" t="str">
        <f aca="false">Customer_Invoices_AR!A315</f>
        <v>ARI60314</v>
      </c>
      <c r="B318" s="16" t="str">
        <f aca="false">Customer_Invoices_AR!B315</f>
        <v>C2023</v>
      </c>
      <c r="C318" s="16" t="str">
        <f aca="false">IFERROR(INDEX(Customer_Master!$B$2:$B$31,MATCH(B318,Customer_Master!$A$2:$A$31,0)),"Unknown Customer")</f>
        <v>Stanley, Tucker and Lee</v>
      </c>
      <c r="D318" s="17" t="n">
        <f aca="false">Customer_Invoices_AR!C315</f>
        <v>45724</v>
      </c>
      <c r="E318" s="17" t="n">
        <f aca="false">Customer_Invoices_AR!E315</f>
        <v>45784</v>
      </c>
      <c r="F318" s="18" t="n">
        <f aca="false">Customer_Invoices_AR!D315</f>
        <v>4613.92</v>
      </c>
      <c r="G318" s="18" t="n">
        <f aca="false">SUMIFS(Cash_Receipts_AR!$E$2:$E$503,Cash_Receipts_AR!$B$2:$B$503,A318)</f>
        <v>4613.92</v>
      </c>
      <c r="H318" s="18" t="n">
        <f aca="false">F318-G318</f>
        <v>0</v>
      </c>
      <c r="I318" s="16" t="n">
        <f aca="false">IF(H318&lt;=0.01,0,MAX(Assumptions!$B$5-E318,0))</f>
        <v>0</v>
      </c>
      <c r="J318" s="16" t="str">
        <f aca="false">IF(H318&lt;=0.01,"Paid",IF(I318&lt;=30,"0-30",IF(I318&lt;=60,"31-60",IF(I318&lt;=90,"61-90","90+"))))</f>
        <v>Paid</v>
      </c>
      <c r="K318" s="16" t="str">
        <f aca="false">IF(H318&lt;=0.01,"Paid",IF(G318&gt;0,"Partially Paid","Unpaid"))</f>
        <v>Paid</v>
      </c>
    </row>
    <row r="319" customFormat="false" ht="15" hidden="false" customHeight="false" outlineLevel="0" collapsed="false">
      <c r="A319" s="16" t="str">
        <f aca="false">Customer_Invoices_AR!A316</f>
        <v>ARI60315</v>
      </c>
      <c r="B319" s="16" t="str">
        <f aca="false">Customer_Invoices_AR!B316</f>
        <v>C2025</v>
      </c>
      <c r="C319" s="16" t="str">
        <f aca="false">IFERROR(INDEX(Customer_Master!$B$2:$B$31,MATCH(B319,Customer_Master!$A$2:$A$31,0)),"Unknown Customer")</f>
        <v>Daniels, Adkins and Brown</v>
      </c>
      <c r="D319" s="17" t="n">
        <f aca="false">Customer_Invoices_AR!C316</f>
        <v>46122</v>
      </c>
      <c r="E319" s="17" t="n">
        <f aca="false">Customer_Invoices_AR!E316</f>
        <v>46137</v>
      </c>
      <c r="F319" s="18" t="n">
        <f aca="false">Customer_Invoices_AR!D316</f>
        <v>4776.56</v>
      </c>
      <c r="G319" s="18" t="n">
        <f aca="false">SUMIFS(Cash_Receipts_AR!$E$2:$E$503,Cash_Receipts_AR!$B$2:$B$503,A319)</f>
        <v>4776.56</v>
      </c>
      <c r="H319" s="18" t="n">
        <f aca="false">F319-G319</f>
        <v>0</v>
      </c>
      <c r="I319" s="16" t="n">
        <f aca="false">IF(H319&lt;=0.01,0,MAX(Assumptions!$B$5-E319,0))</f>
        <v>0</v>
      </c>
      <c r="J319" s="16" t="str">
        <f aca="false">IF(H319&lt;=0.01,"Paid",IF(I319&lt;=30,"0-30",IF(I319&lt;=60,"31-60",IF(I319&lt;=90,"61-90","90+"))))</f>
        <v>Paid</v>
      </c>
      <c r="K319" s="16" t="str">
        <f aca="false">IF(H319&lt;=0.01,"Paid",IF(G319&gt;0,"Partially Paid","Unpaid"))</f>
        <v>Paid</v>
      </c>
    </row>
    <row r="320" customFormat="false" ht="15" hidden="false" customHeight="false" outlineLevel="0" collapsed="false">
      <c r="A320" s="16" t="str">
        <f aca="false">Customer_Invoices_AR!A317</f>
        <v>ARI60316</v>
      </c>
      <c r="B320" s="16" t="str">
        <f aca="false">Customer_Invoices_AR!B317</f>
        <v>C2005</v>
      </c>
      <c r="C320" s="16" t="str">
        <f aca="false">IFERROR(INDEX(Customer_Master!$B$2:$B$31,MATCH(B320,Customer_Master!$A$2:$A$31,0)),"Unknown Customer")</f>
        <v>Jones-Young</v>
      </c>
      <c r="D320" s="17" t="n">
        <f aca="false">Customer_Invoices_AR!C317</f>
        <v>45904</v>
      </c>
      <c r="E320" s="17" t="n">
        <f aca="false">Customer_Invoices_AR!E317</f>
        <v>45919</v>
      </c>
      <c r="F320" s="18" t="n">
        <f aca="false">Customer_Invoices_AR!D317</f>
        <v>2886.24</v>
      </c>
      <c r="G320" s="18" t="n">
        <f aca="false">SUMIFS(Cash_Receipts_AR!$E$2:$E$503,Cash_Receipts_AR!$B$2:$B$503,A320)</f>
        <v>2886.24</v>
      </c>
      <c r="H320" s="18" t="n">
        <f aca="false">F320-G320</f>
        <v>0</v>
      </c>
      <c r="I320" s="16" t="n">
        <f aca="false">IF(H320&lt;=0.01,0,MAX(Assumptions!$B$5-E320,0))</f>
        <v>0</v>
      </c>
      <c r="J320" s="16" t="str">
        <f aca="false">IF(H320&lt;=0.01,"Paid",IF(I320&lt;=30,"0-30",IF(I320&lt;=60,"31-60",IF(I320&lt;=90,"61-90","90+"))))</f>
        <v>Paid</v>
      </c>
      <c r="K320" s="16" t="str">
        <f aca="false">IF(H320&lt;=0.01,"Paid",IF(G320&gt;0,"Partially Paid","Unpaid"))</f>
        <v>Paid</v>
      </c>
    </row>
    <row r="321" customFormat="false" ht="15" hidden="false" customHeight="false" outlineLevel="0" collapsed="false">
      <c r="A321" s="16" t="str">
        <f aca="false">Customer_Invoices_AR!A318</f>
        <v>ARI60317</v>
      </c>
      <c r="B321" s="16" t="str">
        <f aca="false">Customer_Invoices_AR!B318</f>
        <v>C2011</v>
      </c>
      <c r="C321" s="16" t="str">
        <f aca="false">IFERROR(INDEX(Customer_Master!$B$2:$B$31,MATCH(B321,Customer_Master!$A$2:$A$31,0)),"Unknown Customer")</f>
        <v>Powell LLC</v>
      </c>
      <c r="D321" s="17" t="n">
        <f aca="false">Customer_Invoices_AR!C318</f>
        <v>46147</v>
      </c>
      <c r="E321" s="17" t="n">
        <f aca="false">Customer_Invoices_AR!E318</f>
        <v>46177</v>
      </c>
      <c r="F321" s="18" t="n">
        <f aca="false">Customer_Invoices_AR!D318</f>
        <v>12458.98</v>
      </c>
      <c r="G321" s="18" t="n">
        <f aca="false">SUMIFS(Cash_Receipts_AR!$E$2:$E$503,Cash_Receipts_AR!$B$2:$B$503,A321)</f>
        <v>4848.57</v>
      </c>
      <c r="H321" s="18" t="n">
        <f aca="false">F321-G321</f>
        <v>7610.41</v>
      </c>
      <c r="I321" s="16" t="n">
        <f aca="false">IF(H321&lt;=0.01,0,MAX(Assumptions!$B$5-E321,0))</f>
        <v>57</v>
      </c>
      <c r="J321" s="16" t="str">
        <f aca="false">IF(H321&lt;=0.01,"Paid",IF(I321&lt;=30,"0-30",IF(I321&lt;=60,"31-60",IF(I321&lt;=90,"61-90","90+"))))</f>
        <v>31-60</v>
      </c>
      <c r="K321" s="16" t="str">
        <f aca="false">IF(H321&lt;=0.01,"Paid",IF(G321&gt;0,"Partially Paid","Unpaid"))</f>
        <v>Partially Paid</v>
      </c>
    </row>
    <row r="322" customFormat="false" ht="15" hidden="false" customHeight="false" outlineLevel="0" collapsed="false">
      <c r="A322" s="16" t="str">
        <f aca="false">Customer_Invoices_AR!A319</f>
        <v>ARI60318</v>
      </c>
      <c r="B322" s="16" t="str">
        <f aca="false">Customer_Invoices_AR!B319</f>
        <v>C2019</v>
      </c>
      <c r="C322" s="16" t="str">
        <f aca="false">IFERROR(INDEX(Customer_Master!$B$2:$B$31,MATCH(B322,Customer_Master!$A$2:$A$31,0)),"Unknown Customer")</f>
        <v>Hancock Inc</v>
      </c>
      <c r="D322" s="17" t="n">
        <f aca="false">Customer_Invoices_AR!C319</f>
        <v>45900</v>
      </c>
      <c r="E322" s="17" t="n">
        <f aca="false">Customer_Invoices_AR!E319</f>
        <v>45915</v>
      </c>
      <c r="F322" s="18" t="n">
        <f aca="false">Customer_Invoices_AR!D319</f>
        <v>768.29</v>
      </c>
      <c r="G322" s="18" t="n">
        <f aca="false">SUMIFS(Cash_Receipts_AR!$E$2:$E$503,Cash_Receipts_AR!$B$2:$B$503,A322)</f>
        <v>768.29</v>
      </c>
      <c r="H322" s="18" t="n">
        <f aca="false">F322-G322</f>
        <v>0</v>
      </c>
      <c r="I322" s="16" t="n">
        <f aca="false">IF(H322&lt;=0.01,0,MAX(Assumptions!$B$5-E322,0))</f>
        <v>0</v>
      </c>
      <c r="J322" s="16" t="str">
        <f aca="false">IF(H322&lt;=0.01,"Paid",IF(I322&lt;=30,"0-30",IF(I322&lt;=60,"31-60",IF(I322&lt;=90,"61-90","90+"))))</f>
        <v>Paid</v>
      </c>
      <c r="K322" s="16" t="str">
        <f aca="false">IF(H322&lt;=0.01,"Paid",IF(G322&gt;0,"Partially Paid","Unpaid"))</f>
        <v>Paid</v>
      </c>
    </row>
    <row r="323" customFormat="false" ht="15" hidden="false" customHeight="false" outlineLevel="0" collapsed="false">
      <c r="A323" s="16" t="str">
        <f aca="false">Customer_Invoices_AR!A320</f>
        <v>ARI60319</v>
      </c>
      <c r="B323" s="16" t="str">
        <f aca="false">Customer_Invoices_AR!B320</f>
        <v>C2014</v>
      </c>
      <c r="C323" s="16" t="str">
        <f aca="false">IFERROR(INDEX(Customer_Master!$B$2:$B$31,MATCH(B323,Customer_Master!$A$2:$A$31,0)),"Unknown Customer")</f>
        <v>Baxter Inc</v>
      </c>
      <c r="D323" s="17" t="n">
        <f aca="false">Customer_Invoices_AR!C320</f>
        <v>45705</v>
      </c>
      <c r="E323" s="17" t="n">
        <f aca="false">Customer_Invoices_AR!E320</f>
        <v>45735</v>
      </c>
      <c r="F323" s="18" t="n">
        <f aca="false">Customer_Invoices_AR!D320</f>
        <v>26144.93</v>
      </c>
      <c r="G323" s="18" t="n">
        <f aca="false">SUMIFS(Cash_Receipts_AR!$E$2:$E$503,Cash_Receipts_AR!$B$2:$B$503,A323)</f>
        <v>16273</v>
      </c>
      <c r="H323" s="18" t="n">
        <f aca="false">F323-G323</f>
        <v>9871.93</v>
      </c>
      <c r="I323" s="16" t="n">
        <f aca="false">IF(H323&lt;=0.01,0,MAX(Assumptions!$B$5-E323,0))</f>
        <v>499</v>
      </c>
      <c r="J323" s="16" t="str">
        <f aca="false">IF(H323&lt;=0.01,"Paid",IF(I323&lt;=30,"0-30",IF(I323&lt;=60,"31-60",IF(I323&lt;=90,"61-90","90+"))))</f>
        <v>90+</v>
      </c>
      <c r="K323" s="16" t="str">
        <f aca="false">IF(H323&lt;=0.01,"Paid",IF(G323&gt;0,"Partially Paid","Unpaid"))</f>
        <v>Partially Paid</v>
      </c>
    </row>
    <row r="324" customFormat="false" ht="15" hidden="false" customHeight="false" outlineLevel="0" collapsed="false">
      <c r="A324" s="16" t="str">
        <f aca="false">Customer_Invoices_AR!A321</f>
        <v>ARI60320</v>
      </c>
      <c r="B324" s="16" t="str">
        <f aca="false">Customer_Invoices_AR!B321</f>
        <v>C2028</v>
      </c>
      <c r="C324" s="16" t="str">
        <f aca="false">IFERROR(INDEX(Customer_Master!$B$2:$B$31,MATCH(B324,Customer_Master!$A$2:$A$31,0)),"Unknown Customer")</f>
        <v>Jones Inc</v>
      </c>
      <c r="D324" s="17" t="n">
        <f aca="false">Customer_Invoices_AR!C321</f>
        <v>46029</v>
      </c>
      <c r="E324" s="17" t="n">
        <f aca="false">Customer_Invoices_AR!E321</f>
        <v>46044</v>
      </c>
      <c r="F324" s="18" t="n">
        <f aca="false">Customer_Invoices_AR!D321</f>
        <v>3638.89</v>
      </c>
      <c r="G324" s="18" t="n">
        <f aca="false">SUMIFS(Cash_Receipts_AR!$E$2:$E$503,Cash_Receipts_AR!$B$2:$B$503,A324)</f>
        <v>3638.89</v>
      </c>
      <c r="H324" s="18" t="n">
        <f aca="false">F324-G324</f>
        <v>0</v>
      </c>
      <c r="I324" s="16" t="n">
        <f aca="false">IF(H324&lt;=0.01,0,MAX(Assumptions!$B$5-E324,0))</f>
        <v>0</v>
      </c>
      <c r="J324" s="16" t="str">
        <f aca="false">IF(H324&lt;=0.01,"Paid",IF(I324&lt;=30,"0-30",IF(I324&lt;=60,"31-60",IF(I324&lt;=90,"61-90","90+"))))</f>
        <v>Paid</v>
      </c>
      <c r="K324" s="16" t="str">
        <f aca="false">IF(H324&lt;=0.01,"Paid",IF(G324&gt;0,"Partially Paid","Unpaid"))</f>
        <v>Paid</v>
      </c>
    </row>
    <row r="325" customFormat="false" ht="15" hidden="false" customHeight="false" outlineLevel="0" collapsed="false">
      <c r="A325" s="16" t="str">
        <f aca="false">Customer_Invoices_AR!A322</f>
        <v>ARI60321</v>
      </c>
      <c r="B325" s="16" t="str">
        <f aca="false">Customer_Invoices_AR!B322</f>
        <v>C2018</v>
      </c>
      <c r="C325" s="16" t="str">
        <f aca="false">IFERROR(INDEX(Customer_Master!$B$2:$B$31,MATCH(B325,Customer_Master!$A$2:$A$31,0)),"Unknown Customer")</f>
        <v>Russell Group</v>
      </c>
      <c r="D325" s="17" t="n">
        <f aca="false">Customer_Invoices_AR!C322</f>
        <v>46118</v>
      </c>
      <c r="E325" s="17" t="n">
        <f aca="false">Customer_Invoices_AR!E322</f>
        <v>46133</v>
      </c>
      <c r="F325" s="18" t="n">
        <f aca="false">Customer_Invoices_AR!D322</f>
        <v>3830.77</v>
      </c>
      <c r="G325" s="18" t="n">
        <f aca="false">SUMIFS(Cash_Receipts_AR!$E$2:$E$503,Cash_Receipts_AR!$B$2:$B$503,A325)</f>
        <v>2307.61</v>
      </c>
      <c r="H325" s="18" t="n">
        <f aca="false">F325-G325</f>
        <v>1523.16</v>
      </c>
      <c r="I325" s="16" t="n">
        <f aca="false">IF(H325&lt;=0.01,0,MAX(Assumptions!$B$5-E325,0))</f>
        <v>101</v>
      </c>
      <c r="J325" s="16" t="str">
        <f aca="false">IF(H325&lt;=0.01,"Paid",IF(I325&lt;=30,"0-30",IF(I325&lt;=60,"31-60",IF(I325&lt;=90,"61-90","90+"))))</f>
        <v>90+</v>
      </c>
      <c r="K325" s="16" t="str">
        <f aca="false">IF(H325&lt;=0.01,"Paid",IF(G325&gt;0,"Partially Paid","Unpaid"))</f>
        <v>Partially Paid</v>
      </c>
    </row>
    <row r="326" customFormat="false" ht="15" hidden="false" customHeight="false" outlineLevel="0" collapsed="false">
      <c r="A326" s="16" t="str">
        <f aca="false">Customer_Invoices_AR!A323</f>
        <v>ARI60322</v>
      </c>
      <c r="B326" s="16" t="str">
        <f aca="false">Customer_Invoices_AR!B323</f>
        <v>C2021</v>
      </c>
      <c r="C326" s="16" t="str">
        <f aca="false">IFERROR(INDEX(Customer_Master!$B$2:$B$31,MATCH(B326,Customer_Master!$A$2:$A$31,0)),"Unknown Customer")</f>
        <v>House-Glover</v>
      </c>
      <c r="D326" s="17" t="n">
        <f aca="false">Customer_Invoices_AR!C323</f>
        <v>45832</v>
      </c>
      <c r="E326" s="17" t="n">
        <f aca="false">Customer_Invoices_AR!E323</f>
        <v>45892</v>
      </c>
      <c r="F326" s="18" t="n">
        <f aca="false">Customer_Invoices_AR!D323</f>
        <v>1009.73</v>
      </c>
      <c r="G326" s="18" t="n">
        <f aca="false">SUMIFS(Cash_Receipts_AR!$E$2:$E$503,Cash_Receipts_AR!$B$2:$B$503,A326)</f>
        <v>0</v>
      </c>
      <c r="H326" s="18" t="n">
        <f aca="false">F326-G326</f>
        <v>1009.73</v>
      </c>
      <c r="I326" s="16" t="n">
        <f aca="false">IF(H326&lt;=0.01,0,MAX(Assumptions!$B$5-E326,0))</f>
        <v>342</v>
      </c>
      <c r="J326" s="16" t="str">
        <f aca="false">IF(H326&lt;=0.01,"Paid",IF(I326&lt;=30,"0-30",IF(I326&lt;=60,"31-60",IF(I326&lt;=90,"61-90","90+"))))</f>
        <v>90+</v>
      </c>
      <c r="K326" s="16" t="str">
        <f aca="false">IF(H326&lt;=0.01,"Paid",IF(G326&gt;0,"Partially Paid","Unpaid"))</f>
        <v>Unpaid</v>
      </c>
    </row>
    <row r="327" customFormat="false" ht="15" hidden="false" customHeight="false" outlineLevel="0" collapsed="false">
      <c r="A327" s="16" t="str">
        <f aca="false">Customer_Invoices_AR!A324</f>
        <v>ARI60323</v>
      </c>
      <c r="B327" s="16" t="str">
        <f aca="false">Customer_Invoices_AR!B324</f>
        <v>C2010</v>
      </c>
      <c r="C327" s="16" t="str">
        <f aca="false">IFERROR(INDEX(Customer_Master!$B$2:$B$31,MATCH(B327,Customer_Master!$A$2:$A$31,0)),"Unknown Customer")</f>
        <v>Brown, Valdez and Lucas</v>
      </c>
      <c r="D327" s="17" t="n">
        <f aca="false">Customer_Invoices_AR!C324</f>
        <v>45847</v>
      </c>
      <c r="E327" s="17" t="n">
        <f aca="false">Customer_Invoices_AR!E324</f>
        <v>45907</v>
      </c>
      <c r="F327" s="18" t="n">
        <f aca="false">Customer_Invoices_AR!D324</f>
        <v>2672.66</v>
      </c>
      <c r="G327" s="18" t="n">
        <f aca="false">SUMIFS(Cash_Receipts_AR!$E$2:$E$503,Cash_Receipts_AR!$B$2:$B$503,A327)</f>
        <v>1695.13</v>
      </c>
      <c r="H327" s="18" t="n">
        <f aca="false">F327-G327</f>
        <v>977.53</v>
      </c>
      <c r="I327" s="16" t="n">
        <f aca="false">IF(H327&lt;=0.01,0,MAX(Assumptions!$B$5-E327,0))</f>
        <v>327</v>
      </c>
      <c r="J327" s="16" t="str">
        <f aca="false">IF(H327&lt;=0.01,"Paid",IF(I327&lt;=30,"0-30",IF(I327&lt;=60,"31-60",IF(I327&lt;=90,"61-90","90+"))))</f>
        <v>90+</v>
      </c>
      <c r="K327" s="16" t="str">
        <f aca="false">IF(H327&lt;=0.01,"Paid",IF(G327&gt;0,"Partially Paid","Unpaid"))</f>
        <v>Partially Paid</v>
      </c>
    </row>
    <row r="328" customFormat="false" ht="15" hidden="false" customHeight="false" outlineLevel="0" collapsed="false">
      <c r="A328" s="16" t="str">
        <f aca="false">Customer_Invoices_AR!A325</f>
        <v>ARI60324</v>
      </c>
      <c r="B328" s="16" t="str">
        <f aca="false">Customer_Invoices_AR!B325</f>
        <v>C2009</v>
      </c>
      <c r="C328" s="16" t="str">
        <f aca="false">IFERROR(INDEX(Customer_Master!$B$2:$B$31,MATCH(B328,Customer_Master!$A$2:$A$31,0)),"Unknown Customer")</f>
        <v>Gomez-Jenkins</v>
      </c>
      <c r="D328" s="17" t="n">
        <f aca="false">Customer_Invoices_AR!C325</f>
        <v>45693</v>
      </c>
      <c r="E328" s="17" t="n">
        <f aca="false">Customer_Invoices_AR!E325</f>
        <v>45738</v>
      </c>
      <c r="F328" s="18" t="n">
        <f aca="false">Customer_Invoices_AR!D325</f>
        <v>1823.04</v>
      </c>
      <c r="G328" s="18" t="n">
        <f aca="false">SUMIFS(Cash_Receipts_AR!$E$2:$E$503,Cash_Receipts_AR!$B$2:$B$503,A328)</f>
        <v>1823.04</v>
      </c>
      <c r="H328" s="18" t="n">
        <f aca="false">F328-G328</f>
        <v>0</v>
      </c>
      <c r="I328" s="16" t="n">
        <f aca="false">IF(H328&lt;=0.01,0,MAX(Assumptions!$B$5-E328,0))</f>
        <v>0</v>
      </c>
      <c r="J328" s="16" t="str">
        <f aca="false">IF(H328&lt;=0.01,"Paid",IF(I328&lt;=30,"0-30",IF(I328&lt;=60,"31-60",IF(I328&lt;=90,"61-90","90+"))))</f>
        <v>Paid</v>
      </c>
      <c r="K328" s="16" t="str">
        <f aca="false">IF(H328&lt;=0.01,"Paid",IF(G328&gt;0,"Partially Paid","Unpaid"))</f>
        <v>Paid</v>
      </c>
    </row>
    <row r="329" customFormat="false" ht="15" hidden="false" customHeight="false" outlineLevel="0" collapsed="false">
      <c r="A329" s="16" t="str">
        <f aca="false">Customer_Invoices_AR!A326</f>
        <v>ARI60325</v>
      </c>
      <c r="B329" s="16" t="str">
        <f aca="false">Customer_Invoices_AR!B326</f>
        <v>C2008</v>
      </c>
      <c r="C329" s="16" t="str">
        <f aca="false">IFERROR(INDEX(Customer_Master!$B$2:$B$31,MATCH(B329,Customer_Master!$A$2:$A$31,0)),"Unknown Customer")</f>
        <v>Lee-Davis</v>
      </c>
      <c r="D329" s="17" t="n">
        <f aca="false">Customer_Invoices_AR!C326</f>
        <v>45953</v>
      </c>
      <c r="E329" s="17" t="n">
        <f aca="false">Customer_Invoices_AR!E326</f>
        <v>46013</v>
      </c>
      <c r="F329" s="18" t="n">
        <f aca="false">Customer_Invoices_AR!D326</f>
        <v>2034.77</v>
      </c>
      <c r="G329" s="18" t="n">
        <f aca="false">SUMIFS(Cash_Receipts_AR!$E$2:$E$503,Cash_Receipts_AR!$B$2:$B$503,A329)</f>
        <v>2034.77</v>
      </c>
      <c r="H329" s="18" t="n">
        <f aca="false">F329-G329</f>
        <v>0</v>
      </c>
      <c r="I329" s="16" t="n">
        <f aca="false">IF(H329&lt;=0.01,0,MAX(Assumptions!$B$5-E329,0))</f>
        <v>0</v>
      </c>
      <c r="J329" s="16" t="str">
        <f aca="false">IF(H329&lt;=0.01,"Paid",IF(I329&lt;=30,"0-30",IF(I329&lt;=60,"31-60",IF(I329&lt;=90,"61-90","90+"))))</f>
        <v>Paid</v>
      </c>
      <c r="K329" s="16" t="str">
        <f aca="false">IF(H329&lt;=0.01,"Paid",IF(G329&gt;0,"Partially Paid","Unpaid"))</f>
        <v>Paid</v>
      </c>
    </row>
    <row r="330" customFormat="false" ht="15" hidden="false" customHeight="false" outlineLevel="0" collapsed="false">
      <c r="A330" s="16" t="str">
        <f aca="false">Customer_Invoices_AR!A327</f>
        <v>ARI60326</v>
      </c>
      <c r="B330" s="16" t="str">
        <f aca="false">Customer_Invoices_AR!B327</f>
        <v>C2010</v>
      </c>
      <c r="C330" s="16" t="str">
        <f aca="false">IFERROR(INDEX(Customer_Master!$B$2:$B$31,MATCH(B330,Customer_Master!$A$2:$A$31,0)),"Unknown Customer")</f>
        <v>Brown, Valdez and Lucas</v>
      </c>
      <c r="D330" s="17" t="n">
        <f aca="false">Customer_Invoices_AR!C327</f>
        <v>46143</v>
      </c>
      <c r="E330" s="17" t="n">
        <f aca="false">Customer_Invoices_AR!E327</f>
        <v>46203</v>
      </c>
      <c r="F330" s="18" t="n">
        <f aca="false">Customer_Invoices_AR!D327</f>
        <v>458.78</v>
      </c>
      <c r="G330" s="18" t="n">
        <f aca="false">SUMIFS(Cash_Receipts_AR!$E$2:$E$503,Cash_Receipts_AR!$B$2:$B$503,A330)</f>
        <v>0</v>
      </c>
      <c r="H330" s="18" t="n">
        <f aca="false">F330-G330</f>
        <v>458.78</v>
      </c>
      <c r="I330" s="16" t="n">
        <f aca="false">IF(H330&lt;=0.01,0,MAX(Assumptions!$B$5-E330,0))</f>
        <v>31</v>
      </c>
      <c r="J330" s="16" t="str">
        <f aca="false">IF(H330&lt;=0.01,"Paid",IF(I330&lt;=30,"0-30",IF(I330&lt;=60,"31-60",IF(I330&lt;=90,"61-90","90+"))))</f>
        <v>31-60</v>
      </c>
      <c r="K330" s="16" t="str">
        <f aca="false">IF(H330&lt;=0.01,"Paid",IF(G330&gt;0,"Partially Paid","Unpaid"))</f>
        <v>Unpaid</v>
      </c>
    </row>
    <row r="331" customFormat="false" ht="15" hidden="false" customHeight="false" outlineLevel="0" collapsed="false">
      <c r="A331" s="16" t="str">
        <f aca="false">Customer_Invoices_AR!A328</f>
        <v>ARI60327</v>
      </c>
      <c r="B331" s="16" t="str">
        <f aca="false">Customer_Invoices_AR!B328</f>
        <v>C2014</v>
      </c>
      <c r="C331" s="16" t="str">
        <f aca="false">IFERROR(INDEX(Customer_Master!$B$2:$B$31,MATCH(B331,Customer_Master!$A$2:$A$31,0)),"Unknown Customer")</f>
        <v>Baxter Inc</v>
      </c>
      <c r="D331" s="17" t="n">
        <f aca="false">Customer_Invoices_AR!C328</f>
        <v>46121</v>
      </c>
      <c r="E331" s="17" t="n">
        <f aca="false">Customer_Invoices_AR!E328</f>
        <v>46151</v>
      </c>
      <c r="F331" s="18" t="n">
        <f aca="false">Customer_Invoices_AR!D328</f>
        <v>10173.75</v>
      </c>
      <c r="G331" s="18" t="n">
        <f aca="false">SUMIFS(Cash_Receipts_AR!$E$2:$E$503,Cash_Receipts_AR!$B$2:$B$503,A331)</f>
        <v>10173.75</v>
      </c>
      <c r="H331" s="18" t="n">
        <f aca="false">F331-G331</f>
        <v>0</v>
      </c>
      <c r="I331" s="16" t="n">
        <f aca="false">IF(H331&lt;=0.01,0,MAX(Assumptions!$B$5-E331,0))</f>
        <v>0</v>
      </c>
      <c r="J331" s="16" t="str">
        <f aca="false">IF(H331&lt;=0.01,"Paid",IF(I331&lt;=30,"0-30",IF(I331&lt;=60,"31-60",IF(I331&lt;=90,"61-90","90+"))))</f>
        <v>Paid</v>
      </c>
      <c r="K331" s="16" t="str">
        <f aca="false">IF(H331&lt;=0.01,"Paid",IF(G331&gt;0,"Partially Paid","Unpaid"))</f>
        <v>Paid</v>
      </c>
    </row>
    <row r="332" customFormat="false" ht="15" hidden="false" customHeight="false" outlineLevel="0" collapsed="false">
      <c r="A332" s="16" t="str">
        <f aca="false">Customer_Invoices_AR!A329</f>
        <v>ARI60328</v>
      </c>
      <c r="B332" s="16" t="str">
        <f aca="false">Customer_Invoices_AR!B329</f>
        <v>C2028</v>
      </c>
      <c r="C332" s="16" t="str">
        <f aca="false">IFERROR(INDEX(Customer_Master!$B$2:$B$31,MATCH(B332,Customer_Master!$A$2:$A$31,0)),"Unknown Customer")</f>
        <v>Jones Inc</v>
      </c>
      <c r="D332" s="17" t="n">
        <f aca="false">Customer_Invoices_AR!C329</f>
        <v>46045</v>
      </c>
      <c r="E332" s="17" t="n">
        <f aca="false">Customer_Invoices_AR!E329</f>
        <v>46060</v>
      </c>
      <c r="F332" s="18" t="n">
        <f aca="false">Customer_Invoices_AR!D329</f>
        <v>538.08</v>
      </c>
      <c r="G332" s="18" t="n">
        <f aca="false">SUMIFS(Cash_Receipts_AR!$E$2:$E$503,Cash_Receipts_AR!$B$2:$B$503,A332)</f>
        <v>538.08</v>
      </c>
      <c r="H332" s="18" t="n">
        <f aca="false">F332-G332</f>
        <v>0</v>
      </c>
      <c r="I332" s="16" t="n">
        <f aca="false">IF(H332&lt;=0.01,0,MAX(Assumptions!$B$5-E332,0))</f>
        <v>0</v>
      </c>
      <c r="J332" s="16" t="str">
        <f aca="false">IF(H332&lt;=0.01,"Paid",IF(I332&lt;=30,"0-30",IF(I332&lt;=60,"31-60",IF(I332&lt;=90,"61-90","90+"))))</f>
        <v>Paid</v>
      </c>
      <c r="K332" s="16" t="str">
        <f aca="false">IF(H332&lt;=0.01,"Paid",IF(G332&gt;0,"Partially Paid","Unpaid"))</f>
        <v>Paid</v>
      </c>
    </row>
    <row r="333" customFormat="false" ht="15" hidden="false" customHeight="false" outlineLevel="0" collapsed="false">
      <c r="A333" s="16" t="str">
        <f aca="false">Customer_Invoices_AR!A330</f>
        <v>ARI60329</v>
      </c>
      <c r="B333" s="16" t="str">
        <f aca="false">Customer_Invoices_AR!B330</f>
        <v>C2010</v>
      </c>
      <c r="C333" s="16" t="str">
        <f aca="false">IFERROR(INDEX(Customer_Master!$B$2:$B$31,MATCH(B333,Customer_Master!$A$2:$A$31,0)),"Unknown Customer")</f>
        <v>Brown, Valdez and Lucas</v>
      </c>
      <c r="D333" s="17" t="n">
        <f aca="false">Customer_Invoices_AR!C330</f>
        <v>46163</v>
      </c>
      <c r="E333" s="17" t="n">
        <f aca="false">Customer_Invoices_AR!E330</f>
        <v>46223</v>
      </c>
      <c r="F333" s="18" t="n">
        <f aca="false">Customer_Invoices_AR!D330</f>
        <v>1623.58</v>
      </c>
      <c r="G333" s="18" t="n">
        <f aca="false">SUMIFS(Cash_Receipts_AR!$E$2:$E$503,Cash_Receipts_AR!$B$2:$B$503,A333)</f>
        <v>1623.58</v>
      </c>
      <c r="H333" s="18" t="n">
        <f aca="false">F333-G333</f>
        <v>0</v>
      </c>
      <c r="I333" s="16" t="n">
        <f aca="false">IF(H333&lt;=0.01,0,MAX(Assumptions!$B$5-E333,0))</f>
        <v>0</v>
      </c>
      <c r="J333" s="16" t="str">
        <f aca="false">IF(H333&lt;=0.01,"Paid",IF(I333&lt;=30,"0-30",IF(I333&lt;=60,"31-60",IF(I333&lt;=90,"61-90","90+"))))</f>
        <v>Paid</v>
      </c>
      <c r="K333" s="16" t="str">
        <f aca="false">IF(H333&lt;=0.01,"Paid",IF(G333&gt;0,"Partially Paid","Unpaid"))</f>
        <v>Paid</v>
      </c>
    </row>
    <row r="334" customFormat="false" ht="15" hidden="false" customHeight="false" outlineLevel="0" collapsed="false">
      <c r="A334" s="16" t="str">
        <f aca="false">Customer_Invoices_AR!A331</f>
        <v>ARI60330</v>
      </c>
      <c r="B334" s="16" t="str">
        <f aca="false">Customer_Invoices_AR!B331</f>
        <v>C2005</v>
      </c>
      <c r="C334" s="16" t="str">
        <f aca="false">IFERROR(INDEX(Customer_Master!$B$2:$B$31,MATCH(B334,Customer_Master!$A$2:$A$31,0)),"Unknown Customer")</f>
        <v>Jones-Young</v>
      </c>
      <c r="D334" s="17" t="n">
        <f aca="false">Customer_Invoices_AR!C331</f>
        <v>46005</v>
      </c>
      <c r="E334" s="17" t="n">
        <f aca="false">Customer_Invoices_AR!E331</f>
        <v>46020</v>
      </c>
      <c r="F334" s="18" t="n">
        <f aca="false">Customer_Invoices_AR!D331</f>
        <v>5404.68</v>
      </c>
      <c r="G334" s="18" t="n">
        <f aca="false">SUMIFS(Cash_Receipts_AR!$E$2:$E$503,Cash_Receipts_AR!$B$2:$B$503,A334)</f>
        <v>5404.68</v>
      </c>
      <c r="H334" s="18" t="n">
        <f aca="false">F334-G334</f>
        <v>0</v>
      </c>
      <c r="I334" s="16" t="n">
        <f aca="false">IF(H334&lt;=0.01,0,MAX(Assumptions!$B$5-E334,0))</f>
        <v>0</v>
      </c>
      <c r="J334" s="16" t="str">
        <f aca="false">IF(H334&lt;=0.01,"Paid",IF(I334&lt;=30,"0-30",IF(I334&lt;=60,"31-60",IF(I334&lt;=90,"61-90","90+"))))</f>
        <v>Paid</v>
      </c>
      <c r="K334" s="16" t="str">
        <f aca="false">IF(H334&lt;=0.01,"Paid",IF(G334&gt;0,"Partially Paid","Unpaid"))</f>
        <v>Paid</v>
      </c>
    </row>
    <row r="335" customFormat="false" ht="15" hidden="false" customHeight="false" outlineLevel="0" collapsed="false">
      <c r="A335" s="16" t="str">
        <f aca="false">Customer_Invoices_AR!A332</f>
        <v>ARI60331</v>
      </c>
      <c r="B335" s="16" t="str">
        <f aca="false">Customer_Invoices_AR!B332</f>
        <v>C2014</v>
      </c>
      <c r="C335" s="16" t="str">
        <f aca="false">IFERROR(INDEX(Customer_Master!$B$2:$B$31,MATCH(B335,Customer_Master!$A$2:$A$31,0)),"Unknown Customer")</f>
        <v>Baxter Inc</v>
      </c>
      <c r="D335" s="17" t="n">
        <f aca="false">Customer_Invoices_AR!C332</f>
        <v>46090</v>
      </c>
      <c r="E335" s="17" t="n">
        <f aca="false">Customer_Invoices_AR!E332</f>
        <v>46120</v>
      </c>
      <c r="F335" s="18" t="n">
        <f aca="false">Customer_Invoices_AR!D332</f>
        <v>1687.83</v>
      </c>
      <c r="G335" s="18" t="n">
        <f aca="false">SUMIFS(Cash_Receipts_AR!$E$2:$E$503,Cash_Receipts_AR!$B$2:$B$503,A335)</f>
        <v>1687.83</v>
      </c>
      <c r="H335" s="18" t="n">
        <f aca="false">F335-G335</f>
        <v>0</v>
      </c>
      <c r="I335" s="16" t="n">
        <f aca="false">IF(H335&lt;=0.01,0,MAX(Assumptions!$B$5-E335,0))</f>
        <v>0</v>
      </c>
      <c r="J335" s="16" t="str">
        <f aca="false">IF(H335&lt;=0.01,"Paid",IF(I335&lt;=30,"0-30",IF(I335&lt;=60,"31-60",IF(I335&lt;=90,"61-90","90+"))))</f>
        <v>Paid</v>
      </c>
      <c r="K335" s="16" t="str">
        <f aca="false">IF(H335&lt;=0.01,"Paid",IF(G335&gt;0,"Partially Paid","Unpaid"))</f>
        <v>Paid</v>
      </c>
    </row>
    <row r="336" customFormat="false" ht="15" hidden="false" customHeight="false" outlineLevel="0" collapsed="false">
      <c r="A336" s="16" t="str">
        <f aca="false">Customer_Invoices_AR!A333</f>
        <v>ARI60332</v>
      </c>
      <c r="B336" s="16" t="str">
        <f aca="false">Customer_Invoices_AR!B333</f>
        <v>C2002</v>
      </c>
      <c r="C336" s="16" t="str">
        <f aca="false">IFERROR(INDEX(Customer_Master!$B$2:$B$31,MATCH(B336,Customer_Master!$A$2:$A$31,0)),"Unknown Customer")</f>
        <v>Smith-Spencer</v>
      </c>
      <c r="D336" s="17" t="n">
        <f aca="false">Customer_Invoices_AR!C333</f>
        <v>45935</v>
      </c>
      <c r="E336" s="17" t="n">
        <f aca="false">Customer_Invoices_AR!E333</f>
        <v>45950</v>
      </c>
      <c r="F336" s="18" t="n">
        <f aca="false">Customer_Invoices_AR!D333</f>
        <v>4149.56</v>
      </c>
      <c r="G336" s="18" t="n">
        <f aca="false">SUMIFS(Cash_Receipts_AR!$E$2:$E$503,Cash_Receipts_AR!$B$2:$B$503,A336)</f>
        <v>4149.56</v>
      </c>
      <c r="H336" s="18" t="n">
        <f aca="false">F336-G336</f>
        <v>0</v>
      </c>
      <c r="I336" s="16" t="n">
        <f aca="false">IF(H336&lt;=0.01,0,MAX(Assumptions!$B$5-E336,0))</f>
        <v>0</v>
      </c>
      <c r="J336" s="16" t="str">
        <f aca="false">IF(H336&lt;=0.01,"Paid",IF(I336&lt;=30,"0-30",IF(I336&lt;=60,"31-60",IF(I336&lt;=90,"61-90","90+"))))</f>
        <v>Paid</v>
      </c>
      <c r="K336" s="16" t="str">
        <f aca="false">IF(H336&lt;=0.01,"Paid",IF(G336&gt;0,"Partially Paid","Unpaid"))</f>
        <v>Paid</v>
      </c>
    </row>
    <row r="337" customFormat="false" ht="15" hidden="false" customHeight="false" outlineLevel="0" collapsed="false">
      <c r="A337" s="16" t="str">
        <f aca="false">Customer_Invoices_AR!A334</f>
        <v>ARI60333</v>
      </c>
      <c r="B337" s="16" t="str">
        <f aca="false">Customer_Invoices_AR!B334</f>
        <v>C2029</v>
      </c>
      <c r="C337" s="16" t="str">
        <f aca="false">IFERROR(INDEX(Customer_Master!$B$2:$B$31,MATCH(B337,Customer_Master!$A$2:$A$31,0)),"Unknown Customer")</f>
        <v>Hensley, Powell and David</v>
      </c>
      <c r="D337" s="17" t="n">
        <f aca="false">Customer_Invoices_AR!C334</f>
        <v>45724</v>
      </c>
      <c r="E337" s="17" t="n">
        <f aca="false">Customer_Invoices_AR!E334</f>
        <v>45784</v>
      </c>
      <c r="F337" s="18" t="n">
        <f aca="false">Customer_Invoices_AR!D334</f>
        <v>2864.37</v>
      </c>
      <c r="G337" s="18" t="n">
        <f aca="false">SUMIFS(Cash_Receipts_AR!$E$2:$E$503,Cash_Receipts_AR!$B$2:$B$503,A337)</f>
        <v>2864.37</v>
      </c>
      <c r="H337" s="18" t="n">
        <f aca="false">F337-G337</f>
        <v>0</v>
      </c>
      <c r="I337" s="16" t="n">
        <f aca="false">IF(H337&lt;=0.01,0,MAX(Assumptions!$B$5-E337,0))</f>
        <v>0</v>
      </c>
      <c r="J337" s="16" t="str">
        <f aca="false">IF(H337&lt;=0.01,"Paid",IF(I337&lt;=30,"0-30",IF(I337&lt;=60,"31-60",IF(I337&lt;=90,"61-90","90+"))))</f>
        <v>Paid</v>
      </c>
      <c r="K337" s="16" t="str">
        <f aca="false">IF(H337&lt;=0.01,"Paid",IF(G337&gt;0,"Partially Paid","Unpaid"))</f>
        <v>Paid</v>
      </c>
    </row>
    <row r="338" customFormat="false" ht="15" hidden="false" customHeight="false" outlineLevel="0" collapsed="false">
      <c r="A338" s="16" t="str">
        <f aca="false">Customer_Invoices_AR!A335</f>
        <v>ARI60334</v>
      </c>
      <c r="B338" s="16" t="str">
        <f aca="false">Customer_Invoices_AR!B335</f>
        <v>C2006</v>
      </c>
      <c r="C338" s="16" t="str">
        <f aca="false">IFERROR(INDEX(Customer_Master!$B$2:$B$31,MATCH(B338,Customer_Master!$A$2:$A$31,0)),"Unknown Customer")</f>
        <v>Washington, Ryan and Cummings</v>
      </c>
      <c r="D338" s="17" t="n">
        <f aca="false">Customer_Invoices_AR!C335</f>
        <v>45767</v>
      </c>
      <c r="E338" s="17" t="n">
        <f aca="false">Customer_Invoices_AR!E335</f>
        <v>45782</v>
      </c>
      <c r="F338" s="18" t="n">
        <f aca="false">Customer_Invoices_AR!D335</f>
        <v>2083.5</v>
      </c>
      <c r="G338" s="18" t="n">
        <f aca="false">SUMIFS(Cash_Receipts_AR!$E$2:$E$503,Cash_Receipts_AR!$B$2:$B$503,A338)</f>
        <v>1208.58</v>
      </c>
      <c r="H338" s="18" t="n">
        <f aca="false">F338-G338</f>
        <v>874.92</v>
      </c>
      <c r="I338" s="16" t="n">
        <f aca="false">IF(H338&lt;=0.01,0,MAX(Assumptions!$B$5-E338,0))</f>
        <v>452</v>
      </c>
      <c r="J338" s="16" t="str">
        <f aca="false">IF(H338&lt;=0.01,"Paid",IF(I338&lt;=30,"0-30",IF(I338&lt;=60,"31-60",IF(I338&lt;=90,"61-90","90+"))))</f>
        <v>90+</v>
      </c>
      <c r="K338" s="16" t="str">
        <f aca="false">IF(H338&lt;=0.01,"Paid",IF(G338&gt;0,"Partially Paid","Unpaid"))</f>
        <v>Partially Paid</v>
      </c>
    </row>
    <row r="339" customFormat="false" ht="15" hidden="false" customHeight="false" outlineLevel="0" collapsed="false">
      <c r="A339" s="16" t="str">
        <f aca="false">Customer_Invoices_AR!A336</f>
        <v>ARI60335</v>
      </c>
      <c r="B339" s="16" t="str">
        <f aca="false">Customer_Invoices_AR!B336</f>
        <v>C2001</v>
      </c>
      <c r="C339" s="16" t="str">
        <f aca="false">IFERROR(INDEX(Customer_Master!$B$2:$B$31,MATCH(B339,Customer_Master!$A$2:$A$31,0)),"Unknown Customer")</f>
        <v>Wright Inc</v>
      </c>
      <c r="D339" s="17" t="n">
        <f aca="false">Customer_Invoices_AR!C336</f>
        <v>45733</v>
      </c>
      <c r="E339" s="17" t="n">
        <f aca="false">Customer_Invoices_AR!E336</f>
        <v>45778</v>
      </c>
      <c r="F339" s="18" t="n">
        <f aca="false">Customer_Invoices_AR!D336</f>
        <v>1137.04</v>
      </c>
      <c r="G339" s="18" t="n">
        <f aca="false">SUMIFS(Cash_Receipts_AR!$E$2:$E$503,Cash_Receipts_AR!$B$2:$B$503,A339)</f>
        <v>1137.04</v>
      </c>
      <c r="H339" s="18" t="n">
        <f aca="false">F339-G339</f>
        <v>0</v>
      </c>
      <c r="I339" s="16" t="n">
        <f aca="false">IF(H339&lt;=0.01,0,MAX(Assumptions!$B$5-E339,0))</f>
        <v>0</v>
      </c>
      <c r="J339" s="16" t="str">
        <f aca="false">IF(H339&lt;=0.01,"Paid",IF(I339&lt;=30,"0-30",IF(I339&lt;=60,"31-60",IF(I339&lt;=90,"61-90","90+"))))</f>
        <v>Paid</v>
      </c>
      <c r="K339" s="16" t="str">
        <f aca="false">IF(H339&lt;=0.01,"Paid",IF(G339&gt;0,"Partially Paid","Unpaid"))</f>
        <v>Paid</v>
      </c>
    </row>
    <row r="340" customFormat="false" ht="15" hidden="false" customHeight="false" outlineLevel="0" collapsed="false">
      <c r="A340" s="16" t="str">
        <f aca="false">Customer_Invoices_AR!A337</f>
        <v>ARI60336</v>
      </c>
      <c r="B340" s="16" t="str">
        <f aca="false">Customer_Invoices_AR!B337</f>
        <v>C2018</v>
      </c>
      <c r="C340" s="16" t="str">
        <f aca="false">IFERROR(INDEX(Customer_Master!$B$2:$B$31,MATCH(B340,Customer_Master!$A$2:$A$31,0)),"Unknown Customer")</f>
        <v>Russell Group</v>
      </c>
      <c r="D340" s="17" t="n">
        <f aca="false">Customer_Invoices_AR!C337</f>
        <v>46088</v>
      </c>
      <c r="E340" s="17" t="n">
        <f aca="false">Customer_Invoices_AR!E337</f>
        <v>46103</v>
      </c>
      <c r="F340" s="18" t="n">
        <f aca="false">Customer_Invoices_AR!D337</f>
        <v>912.05</v>
      </c>
      <c r="G340" s="18" t="n">
        <f aca="false">SUMIFS(Cash_Receipts_AR!$E$2:$E$503,Cash_Receipts_AR!$B$2:$B$503,A340)</f>
        <v>415.79</v>
      </c>
      <c r="H340" s="18" t="n">
        <f aca="false">F340-G340</f>
        <v>496.26</v>
      </c>
      <c r="I340" s="16" t="n">
        <f aca="false">IF(H340&lt;=0.01,0,MAX(Assumptions!$B$5-E340,0))</f>
        <v>131</v>
      </c>
      <c r="J340" s="16" t="str">
        <f aca="false">IF(H340&lt;=0.01,"Paid",IF(I340&lt;=30,"0-30",IF(I340&lt;=60,"31-60",IF(I340&lt;=90,"61-90","90+"))))</f>
        <v>90+</v>
      </c>
      <c r="K340" s="16" t="str">
        <f aca="false">IF(H340&lt;=0.01,"Paid",IF(G340&gt;0,"Partially Paid","Unpaid"))</f>
        <v>Partially Paid</v>
      </c>
    </row>
    <row r="341" customFormat="false" ht="15" hidden="false" customHeight="false" outlineLevel="0" collapsed="false">
      <c r="A341" s="16" t="str">
        <f aca="false">Customer_Invoices_AR!A338</f>
        <v>ARI60337</v>
      </c>
      <c r="B341" s="16" t="str">
        <f aca="false">Customer_Invoices_AR!B338</f>
        <v>C2026</v>
      </c>
      <c r="C341" s="16" t="str">
        <f aca="false">IFERROR(INDEX(Customer_Master!$B$2:$B$31,MATCH(B341,Customer_Master!$A$2:$A$31,0)),"Unknown Customer")</f>
        <v>Woods, Calhoun and Schmidt</v>
      </c>
      <c r="D341" s="17" t="n">
        <f aca="false">Customer_Invoices_AR!C338</f>
        <v>45672</v>
      </c>
      <c r="E341" s="17" t="n">
        <f aca="false">Customer_Invoices_AR!E338</f>
        <v>45732</v>
      </c>
      <c r="F341" s="18" t="n">
        <f aca="false">Customer_Invoices_AR!D338</f>
        <v>8529.42</v>
      </c>
      <c r="G341" s="18" t="n">
        <f aca="false">SUMIFS(Cash_Receipts_AR!$E$2:$E$503,Cash_Receipts_AR!$B$2:$B$503,A341)</f>
        <v>8529.42</v>
      </c>
      <c r="H341" s="18" t="n">
        <f aca="false">F341-G341</f>
        <v>0</v>
      </c>
      <c r="I341" s="16" t="n">
        <f aca="false">IF(H341&lt;=0.01,0,MAX(Assumptions!$B$5-E341,0))</f>
        <v>0</v>
      </c>
      <c r="J341" s="16" t="str">
        <f aca="false">IF(H341&lt;=0.01,"Paid",IF(I341&lt;=30,"0-30",IF(I341&lt;=60,"31-60",IF(I341&lt;=90,"61-90","90+"))))</f>
        <v>Paid</v>
      </c>
      <c r="K341" s="16" t="str">
        <f aca="false">IF(H341&lt;=0.01,"Paid",IF(G341&gt;0,"Partially Paid","Unpaid"))</f>
        <v>Paid</v>
      </c>
    </row>
    <row r="342" customFormat="false" ht="15" hidden="false" customHeight="false" outlineLevel="0" collapsed="false">
      <c r="A342" s="16" t="str">
        <f aca="false">Customer_Invoices_AR!A339</f>
        <v>ARI60338</v>
      </c>
      <c r="B342" s="16" t="str">
        <f aca="false">Customer_Invoices_AR!B339</f>
        <v>C2024</v>
      </c>
      <c r="C342" s="16" t="str">
        <f aca="false">IFERROR(INDEX(Customer_Master!$B$2:$B$31,MATCH(B342,Customer_Master!$A$2:$A$31,0)),"Unknown Customer")</f>
        <v>Novak PLC</v>
      </c>
      <c r="D342" s="17" t="n">
        <f aca="false">Customer_Invoices_AR!C339</f>
        <v>45959</v>
      </c>
      <c r="E342" s="17" t="n">
        <f aca="false">Customer_Invoices_AR!E339</f>
        <v>46019</v>
      </c>
      <c r="F342" s="18" t="n">
        <f aca="false">Customer_Invoices_AR!D339</f>
        <v>2378.01</v>
      </c>
      <c r="G342" s="18" t="n">
        <f aca="false">SUMIFS(Cash_Receipts_AR!$E$2:$E$503,Cash_Receipts_AR!$B$2:$B$503,A342)</f>
        <v>2378.01</v>
      </c>
      <c r="H342" s="18" t="n">
        <f aca="false">F342-G342</f>
        <v>0</v>
      </c>
      <c r="I342" s="16" t="n">
        <f aca="false">IF(H342&lt;=0.01,0,MAX(Assumptions!$B$5-E342,0))</f>
        <v>0</v>
      </c>
      <c r="J342" s="16" t="str">
        <f aca="false">IF(H342&lt;=0.01,"Paid",IF(I342&lt;=30,"0-30",IF(I342&lt;=60,"31-60",IF(I342&lt;=90,"61-90","90+"))))</f>
        <v>Paid</v>
      </c>
      <c r="K342" s="16" t="str">
        <f aca="false">IF(H342&lt;=0.01,"Paid",IF(G342&gt;0,"Partially Paid","Unpaid"))</f>
        <v>Paid</v>
      </c>
    </row>
    <row r="343" customFormat="false" ht="15" hidden="false" customHeight="false" outlineLevel="0" collapsed="false">
      <c r="A343" s="16" t="str">
        <f aca="false">Customer_Invoices_AR!A340</f>
        <v>ARI60339</v>
      </c>
      <c r="B343" s="16" t="str">
        <f aca="false">Customer_Invoices_AR!B340</f>
        <v>C2013</v>
      </c>
      <c r="C343" s="16" t="str">
        <f aca="false">IFERROR(INDEX(Customer_Master!$B$2:$B$31,MATCH(B343,Customer_Master!$A$2:$A$31,0)),"Unknown Customer")</f>
        <v>West, Henderson and Ramirez</v>
      </c>
      <c r="D343" s="17" t="n">
        <f aca="false">Customer_Invoices_AR!C340</f>
        <v>45859</v>
      </c>
      <c r="E343" s="17" t="n">
        <f aca="false">Customer_Invoices_AR!E340</f>
        <v>45919</v>
      </c>
      <c r="F343" s="18" t="n">
        <f aca="false">Customer_Invoices_AR!D340</f>
        <v>6438.73</v>
      </c>
      <c r="G343" s="18" t="n">
        <f aca="false">SUMIFS(Cash_Receipts_AR!$E$2:$E$503,Cash_Receipts_AR!$B$2:$B$503,A343)</f>
        <v>4975.5</v>
      </c>
      <c r="H343" s="18" t="n">
        <f aca="false">F343-G343</f>
        <v>1463.23</v>
      </c>
      <c r="I343" s="16" t="n">
        <f aca="false">IF(H343&lt;=0.01,0,MAX(Assumptions!$B$5-E343,0))</f>
        <v>315</v>
      </c>
      <c r="J343" s="16" t="str">
        <f aca="false">IF(H343&lt;=0.01,"Paid",IF(I343&lt;=30,"0-30",IF(I343&lt;=60,"31-60",IF(I343&lt;=90,"61-90","90+"))))</f>
        <v>90+</v>
      </c>
      <c r="K343" s="16" t="str">
        <f aca="false">IF(H343&lt;=0.01,"Paid",IF(G343&gt;0,"Partially Paid","Unpaid"))</f>
        <v>Partially Paid</v>
      </c>
    </row>
    <row r="344" customFormat="false" ht="15" hidden="false" customHeight="false" outlineLevel="0" collapsed="false">
      <c r="A344" s="16" t="str">
        <f aca="false">Customer_Invoices_AR!A341</f>
        <v>ARI60340</v>
      </c>
      <c r="B344" s="16" t="str">
        <f aca="false">Customer_Invoices_AR!B341</f>
        <v>C2003</v>
      </c>
      <c r="C344" s="16" t="str">
        <f aca="false">IFERROR(INDEX(Customer_Master!$B$2:$B$31,MATCH(B344,Customer_Master!$A$2:$A$31,0)),"Unknown Customer")</f>
        <v>Robinson, Jones and Welch</v>
      </c>
      <c r="D344" s="17" t="n">
        <f aca="false">Customer_Invoices_AR!C341</f>
        <v>46095</v>
      </c>
      <c r="E344" s="17" t="n">
        <f aca="false">Customer_Invoices_AR!E341</f>
        <v>46140</v>
      </c>
      <c r="F344" s="18" t="n">
        <f aca="false">Customer_Invoices_AR!D341</f>
        <v>991.15</v>
      </c>
      <c r="G344" s="18" t="n">
        <f aca="false">SUMIFS(Cash_Receipts_AR!$E$2:$E$503,Cash_Receipts_AR!$B$2:$B$503,A344)</f>
        <v>713.57</v>
      </c>
      <c r="H344" s="18" t="n">
        <f aca="false">F344-G344</f>
        <v>277.58</v>
      </c>
      <c r="I344" s="16" t="n">
        <f aca="false">IF(H344&lt;=0.01,0,MAX(Assumptions!$B$5-E344,0))</f>
        <v>94</v>
      </c>
      <c r="J344" s="16" t="str">
        <f aca="false">IF(H344&lt;=0.01,"Paid",IF(I344&lt;=30,"0-30",IF(I344&lt;=60,"31-60",IF(I344&lt;=90,"61-90","90+"))))</f>
        <v>90+</v>
      </c>
      <c r="K344" s="16" t="str">
        <f aca="false">IF(H344&lt;=0.01,"Paid",IF(G344&gt;0,"Partially Paid","Unpaid"))</f>
        <v>Partially Paid</v>
      </c>
    </row>
    <row r="345" customFormat="false" ht="15" hidden="false" customHeight="false" outlineLevel="0" collapsed="false">
      <c r="A345" s="16" t="str">
        <f aca="false">Customer_Invoices_AR!A342</f>
        <v>ARI60341</v>
      </c>
      <c r="B345" s="16" t="str">
        <f aca="false">Customer_Invoices_AR!B342</f>
        <v>C2017</v>
      </c>
      <c r="C345" s="16" t="str">
        <f aca="false">IFERROR(INDEX(Customer_Master!$B$2:$B$31,MATCH(B345,Customer_Master!$A$2:$A$31,0)),"Unknown Customer")</f>
        <v>Novak and Sons</v>
      </c>
      <c r="D345" s="17" t="n">
        <f aca="false">Customer_Invoices_AR!C342</f>
        <v>45958</v>
      </c>
      <c r="E345" s="17" t="n">
        <f aca="false">Customer_Invoices_AR!E342</f>
        <v>45973</v>
      </c>
      <c r="F345" s="18" t="n">
        <f aca="false">Customer_Invoices_AR!D342</f>
        <v>3180.99</v>
      </c>
      <c r="G345" s="18" t="n">
        <f aca="false">SUMIFS(Cash_Receipts_AR!$E$2:$E$503,Cash_Receipts_AR!$B$2:$B$503,A345)</f>
        <v>3180.99</v>
      </c>
      <c r="H345" s="18" t="n">
        <f aca="false">F345-G345</f>
        <v>0</v>
      </c>
      <c r="I345" s="16" t="n">
        <f aca="false">IF(H345&lt;=0.01,0,MAX(Assumptions!$B$5-E345,0))</f>
        <v>0</v>
      </c>
      <c r="J345" s="16" t="str">
        <f aca="false">IF(H345&lt;=0.01,"Paid",IF(I345&lt;=30,"0-30",IF(I345&lt;=60,"31-60",IF(I345&lt;=90,"61-90","90+"))))</f>
        <v>Paid</v>
      </c>
      <c r="K345" s="16" t="str">
        <f aca="false">IF(H345&lt;=0.01,"Paid",IF(G345&gt;0,"Partially Paid","Unpaid"))</f>
        <v>Paid</v>
      </c>
    </row>
    <row r="346" customFormat="false" ht="15" hidden="false" customHeight="false" outlineLevel="0" collapsed="false">
      <c r="A346" s="16" t="str">
        <f aca="false">Customer_Invoices_AR!A343</f>
        <v>ARI60342</v>
      </c>
      <c r="B346" s="16" t="str">
        <f aca="false">Customer_Invoices_AR!B343</f>
        <v>C2025</v>
      </c>
      <c r="C346" s="16" t="str">
        <f aca="false">IFERROR(INDEX(Customer_Master!$B$2:$B$31,MATCH(B346,Customer_Master!$A$2:$A$31,0)),"Unknown Customer")</f>
        <v>Daniels, Adkins and Brown</v>
      </c>
      <c r="D346" s="17" t="n">
        <f aca="false">Customer_Invoices_AR!C343</f>
        <v>45991</v>
      </c>
      <c r="E346" s="17" t="n">
        <f aca="false">Customer_Invoices_AR!E343</f>
        <v>46006</v>
      </c>
      <c r="F346" s="18" t="n">
        <f aca="false">Customer_Invoices_AR!D343</f>
        <v>2689.98</v>
      </c>
      <c r="G346" s="18" t="n">
        <f aca="false">SUMIFS(Cash_Receipts_AR!$E$2:$E$503,Cash_Receipts_AR!$B$2:$B$503,A346)</f>
        <v>2689.98</v>
      </c>
      <c r="H346" s="18" t="n">
        <f aca="false">F346-G346</f>
        <v>0</v>
      </c>
      <c r="I346" s="16" t="n">
        <f aca="false">IF(H346&lt;=0.01,0,MAX(Assumptions!$B$5-E346,0))</f>
        <v>0</v>
      </c>
      <c r="J346" s="16" t="str">
        <f aca="false">IF(H346&lt;=0.01,"Paid",IF(I346&lt;=30,"0-30",IF(I346&lt;=60,"31-60",IF(I346&lt;=90,"61-90","90+"))))</f>
        <v>Paid</v>
      </c>
      <c r="K346" s="16" t="str">
        <f aca="false">IF(H346&lt;=0.01,"Paid",IF(G346&gt;0,"Partially Paid","Unpaid"))</f>
        <v>Paid</v>
      </c>
    </row>
    <row r="347" customFormat="false" ht="15" hidden="false" customHeight="false" outlineLevel="0" collapsed="false">
      <c r="A347" s="16" t="str">
        <f aca="false">Customer_Invoices_AR!A344</f>
        <v>ARI60343</v>
      </c>
      <c r="B347" s="16" t="str">
        <f aca="false">Customer_Invoices_AR!B344</f>
        <v>C2005</v>
      </c>
      <c r="C347" s="16" t="str">
        <f aca="false">IFERROR(INDEX(Customer_Master!$B$2:$B$31,MATCH(B347,Customer_Master!$A$2:$A$31,0)),"Unknown Customer")</f>
        <v>Jones-Young</v>
      </c>
      <c r="D347" s="17" t="n">
        <f aca="false">Customer_Invoices_AR!C344</f>
        <v>45704</v>
      </c>
      <c r="E347" s="17" t="n">
        <f aca="false">Customer_Invoices_AR!E344</f>
        <v>45719</v>
      </c>
      <c r="F347" s="18" t="n">
        <f aca="false">Customer_Invoices_AR!D344</f>
        <v>216.98</v>
      </c>
      <c r="G347" s="18" t="n">
        <f aca="false">SUMIFS(Cash_Receipts_AR!$E$2:$E$503,Cash_Receipts_AR!$B$2:$B$503,A347)</f>
        <v>216.98</v>
      </c>
      <c r="H347" s="18" t="n">
        <f aca="false">F347-G347</f>
        <v>0</v>
      </c>
      <c r="I347" s="16" t="n">
        <f aca="false">IF(H347&lt;=0.01,0,MAX(Assumptions!$B$5-E347,0))</f>
        <v>0</v>
      </c>
      <c r="J347" s="16" t="str">
        <f aca="false">IF(H347&lt;=0.01,"Paid",IF(I347&lt;=30,"0-30",IF(I347&lt;=60,"31-60",IF(I347&lt;=90,"61-90","90+"))))</f>
        <v>Paid</v>
      </c>
      <c r="K347" s="16" t="str">
        <f aca="false">IF(H347&lt;=0.01,"Paid",IF(G347&gt;0,"Partially Paid","Unpaid"))</f>
        <v>Paid</v>
      </c>
    </row>
    <row r="348" customFormat="false" ht="15" hidden="false" customHeight="false" outlineLevel="0" collapsed="false">
      <c r="A348" s="16" t="str">
        <f aca="false">Customer_Invoices_AR!A345</f>
        <v>ARI60344</v>
      </c>
      <c r="B348" s="16" t="str">
        <f aca="false">Customer_Invoices_AR!B345</f>
        <v>C2012</v>
      </c>
      <c r="C348" s="16" t="str">
        <f aca="false">IFERROR(INDEX(Customer_Master!$B$2:$B$31,MATCH(B348,Customer_Master!$A$2:$A$31,0)),"Unknown Customer")</f>
        <v>Wright and Sons</v>
      </c>
      <c r="D348" s="17" t="n">
        <f aca="false">Customer_Invoices_AR!C345</f>
        <v>45826</v>
      </c>
      <c r="E348" s="17" t="n">
        <f aca="false">Customer_Invoices_AR!E345</f>
        <v>45871</v>
      </c>
      <c r="F348" s="18" t="n">
        <f aca="false">Customer_Invoices_AR!D345</f>
        <v>1453.65</v>
      </c>
      <c r="G348" s="18" t="n">
        <f aca="false">SUMIFS(Cash_Receipts_AR!$E$2:$E$503,Cash_Receipts_AR!$B$2:$B$503,A348)</f>
        <v>0</v>
      </c>
      <c r="H348" s="18" t="n">
        <f aca="false">F348-G348</f>
        <v>1453.65</v>
      </c>
      <c r="I348" s="16" t="n">
        <f aca="false">IF(H348&lt;=0.01,0,MAX(Assumptions!$B$5-E348,0))</f>
        <v>363</v>
      </c>
      <c r="J348" s="16" t="str">
        <f aca="false">IF(H348&lt;=0.01,"Paid",IF(I348&lt;=30,"0-30",IF(I348&lt;=60,"31-60",IF(I348&lt;=90,"61-90","90+"))))</f>
        <v>90+</v>
      </c>
      <c r="K348" s="16" t="str">
        <f aca="false">IF(H348&lt;=0.01,"Paid",IF(G348&gt;0,"Partially Paid","Unpaid"))</f>
        <v>Unpaid</v>
      </c>
    </row>
    <row r="349" customFormat="false" ht="15" hidden="false" customHeight="false" outlineLevel="0" collapsed="false">
      <c r="A349" s="16" t="str">
        <f aca="false">Customer_Invoices_AR!A346</f>
        <v>ARI60345</v>
      </c>
      <c r="B349" s="16" t="str">
        <f aca="false">Customer_Invoices_AR!B346</f>
        <v>C2017</v>
      </c>
      <c r="C349" s="16" t="str">
        <f aca="false">IFERROR(INDEX(Customer_Master!$B$2:$B$31,MATCH(B349,Customer_Master!$A$2:$A$31,0)),"Unknown Customer")</f>
        <v>Novak and Sons</v>
      </c>
      <c r="D349" s="17" t="n">
        <f aca="false">Customer_Invoices_AR!C346</f>
        <v>46202</v>
      </c>
      <c r="E349" s="17" t="n">
        <f aca="false">Customer_Invoices_AR!E346</f>
        <v>46217</v>
      </c>
      <c r="F349" s="18" t="n">
        <f aca="false">Customer_Invoices_AR!D346</f>
        <v>1299.82</v>
      </c>
      <c r="G349" s="18" t="n">
        <f aca="false">SUMIFS(Cash_Receipts_AR!$E$2:$E$503,Cash_Receipts_AR!$B$2:$B$503,A349)</f>
        <v>0</v>
      </c>
      <c r="H349" s="18" t="n">
        <f aca="false">F349-G349</f>
        <v>1299.82</v>
      </c>
      <c r="I349" s="16" t="n">
        <f aca="false">IF(H349&lt;=0.01,0,MAX(Assumptions!$B$5-E349,0))</f>
        <v>17</v>
      </c>
      <c r="J349" s="16" t="str">
        <f aca="false">IF(H349&lt;=0.01,"Paid",IF(I349&lt;=30,"0-30",IF(I349&lt;=60,"31-60",IF(I349&lt;=90,"61-90","90+"))))</f>
        <v>0-30</v>
      </c>
      <c r="K349" s="16" t="str">
        <f aca="false">IF(H349&lt;=0.01,"Paid",IF(G349&gt;0,"Partially Paid","Unpaid"))</f>
        <v>Unpaid</v>
      </c>
    </row>
    <row r="350" customFormat="false" ht="15" hidden="false" customHeight="false" outlineLevel="0" collapsed="false">
      <c r="A350" s="16" t="str">
        <f aca="false">Customer_Invoices_AR!A347</f>
        <v>ARI60346</v>
      </c>
      <c r="B350" s="16" t="str">
        <f aca="false">Customer_Invoices_AR!B347</f>
        <v>C2024</v>
      </c>
      <c r="C350" s="16" t="str">
        <f aca="false">IFERROR(INDEX(Customer_Master!$B$2:$B$31,MATCH(B350,Customer_Master!$A$2:$A$31,0)),"Unknown Customer")</f>
        <v>Novak PLC</v>
      </c>
      <c r="D350" s="17" t="n">
        <f aca="false">Customer_Invoices_AR!C347</f>
        <v>46049</v>
      </c>
      <c r="E350" s="17" t="n">
        <f aca="false">Customer_Invoices_AR!E347</f>
        <v>46109</v>
      </c>
      <c r="F350" s="18" t="n">
        <f aca="false">Customer_Invoices_AR!D347</f>
        <v>9614.09</v>
      </c>
      <c r="G350" s="18" t="n">
        <f aca="false">SUMIFS(Cash_Receipts_AR!$E$2:$E$503,Cash_Receipts_AR!$B$2:$B$503,A350)</f>
        <v>9614.09</v>
      </c>
      <c r="H350" s="18" t="n">
        <f aca="false">F350-G350</f>
        <v>0</v>
      </c>
      <c r="I350" s="16" t="n">
        <f aca="false">IF(H350&lt;=0.01,0,MAX(Assumptions!$B$5-E350,0))</f>
        <v>0</v>
      </c>
      <c r="J350" s="16" t="str">
        <f aca="false">IF(H350&lt;=0.01,"Paid",IF(I350&lt;=30,"0-30",IF(I350&lt;=60,"31-60",IF(I350&lt;=90,"61-90","90+"))))</f>
        <v>Paid</v>
      </c>
      <c r="K350" s="16" t="str">
        <f aca="false">IF(H350&lt;=0.01,"Paid",IF(G350&gt;0,"Partially Paid","Unpaid"))</f>
        <v>Paid</v>
      </c>
    </row>
    <row r="351" customFormat="false" ht="15" hidden="false" customHeight="false" outlineLevel="0" collapsed="false">
      <c r="A351" s="16" t="str">
        <f aca="false">Customer_Invoices_AR!A348</f>
        <v>ARI60347</v>
      </c>
      <c r="B351" s="16" t="str">
        <f aca="false">Customer_Invoices_AR!B348</f>
        <v>C2028</v>
      </c>
      <c r="C351" s="16" t="str">
        <f aca="false">IFERROR(INDEX(Customer_Master!$B$2:$B$31,MATCH(B351,Customer_Master!$A$2:$A$31,0)),"Unknown Customer")</f>
        <v>Jones Inc</v>
      </c>
      <c r="D351" s="17" t="n">
        <f aca="false">Customer_Invoices_AR!C348</f>
        <v>45944</v>
      </c>
      <c r="E351" s="17" t="n">
        <f aca="false">Customer_Invoices_AR!E348</f>
        <v>45959</v>
      </c>
      <c r="F351" s="18" t="n">
        <f aca="false">Customer_Invoices_AR!D348</f>
        <v>1915.6</v>
      </c>
      <c r="G351" s="18" t="n">
        <f aca="false">SUMIFS(Cash_Receipts_AR!$E$2:$E$503,Cash_Receipts_AR!$B$2:$B$503,A351)</f>
        <v>0</v>
      </c>
      <c r="H351" s="18" t="n">
        <f aca="false">F351-G351</f>
        <v>1915.6</v>
      </c>
      <c r="I351" s="16" t="n">
        <f aca="false">IF(H351&lt;=0.01,0,MAX(Assumptions!$B$5-E351,0))</f>
        <v>275</v>
      </c>
      <c r="J351" s="16" t="str">
        <f aca="false">IF(H351&lt;=0.01,"Paid",IF(I351&lt;=30,"0-30",IF(I351&lt;=60,"31-60",IF(I351&lt;=90,"61-90","90+"))))</f>
        <v>90+</v>
      </c>
      <c r="K351" s="16" t="str">
        <f aca="false">IF(H351&lt;=0.01,"Paid",IF(G351&gt;0,"Partially Paid","Unpaid"))</f>
        <v>Unpaid</v>
      </c>
    </row>
    <row r="352" customFormat="false" ht="15" hidden="false" customHeight="false" outlineLevel="0" collapsed="false">
      <c r="A352" s="16" t="str">
        <f aca="false">Customer_Invoices_AR!A349</f>
        <v>ARI60348</v>
      </c>
      <c r="B352" s="16" t="str">
        <f aca="false">Customer_Invoices_AR!B349</f>
        <v>C2001</v>
      </c>
      <c r="C352" s="16" t="str">
        <f aca="false">IFERROR(INDEX(Customer_Master!$B$2:$B$31,MATCH(B352,Customer_Master!$A$2:$A$31,0)),"Unknown Customer")</f>
        <v>Wright Inc</v>
      </c>
      <c r="D352" s="17" t="n">
        <f aca="false">Customer_Invoices_AR!C349</f>
        <v>46077</v>
      </c>
      <c r="E352" s="17" t="n">
        <f aca="false">Customer_Invoices_AR!E349</f>
        <v>46122</v>
      </c>
      <c r="F352" s="18" t="n">
        <f aca="false">Customer_Invoices_AR!D349</f>
        <v>7128.51</v>
      </c>
      <c r="G352" s="18" t="n">
        <f aca="false">SUMIFS(Cash_Receipts_AR!$E$2:$E$503,Cash_Receipts_AR!$B$2:$B$503,A352)</f>
        <v>4735.08</v>
      </c>
      <c r="H352" s="18" t="n">
        <f aca="false">F352-G352</f>
        <v>2393.43</v>
      </c>
      <c r="I352" s="16" t="n">
        <f aca="false">IF(H352&lt;=0.01,0,MAX(Assumptions!$B$5-E352,0))</f>
        <v>112</v>
      </c>
      <c r="J352" s="16" t="str">
        <f aca="false">IF(H352&lt;=0.01,"Paid",IF(I352&lt;=30,"0-30",IF(I352&lt;=60,"31-60",IF(I352&lt;=90,"61-90","90+"))))</f>
        <v>90+</v>
      </c>
      <c r="K352" s="16" t="str">
        <f aca="false">IF(H352&lt;=0.01,"Paid",IF(G352&gt;0,"Partially Paid","Unpaid"))</f>
        <v>Partially Paid</v>
      </c>
    </row>
    <row r="353" customFormat="false" ht="15" hidden="false" customHeight="false" outlineLevel="0" collapsed="false">
      <c r="A353" s="16" t="str">
        <f aca="false">Customer_Invoices_AR!A350</f>
        <v>ARI60349</v>
      </c>
      <c r="B353" s="16" t="str">
        <f aca="false">Customer_Invoices_AR!B350</f>
        <v>C2001</v>
      </c>
      <c r="C353" s="16" t="str">
        <f aca="false">IFERROR(INDEX(Customer_Master!$B$2:$B$31,MATCH(B353,Customer_Master!$A$2:$A$31,0)),"Unknown Customer")</f>
        <v>Wright Inc</v>
      </c>
      <c r="D353" s="17" t="n">
        <f aca="false">Customer_Invoices_AR!C350</f>
        <v>46106</v>
      </c>
      <c r="E353" s="17" t="n">
        <f aca="false">Customer_Invoices_AR!E350</f>
        <v>46151</v>
      </c>
      <c r="F353" s="18" t="n">
        <f aca="false">Customer_Invoices_AR!D350</f>
        <v>1845.14</v>
      </c>
      <c r="G353" s="18" t="n">
        <f aca="false">SUMIFS(Cash_Receipts_AR!$E$2:$E$503,Cash_Receipts_AR!$B$2:$B$503,A353)</f>
        <v>1845.14</v>
      </c>
      <c r="H353" s="18" t="n">
        <f aca="false">F353-G353</f>
        <v>0</v>
      </c>
      <c r="I353" s="16" t="n">
        <f aca="false">IF(H353&lt;=0.01,0,MAX(Assumptions!$B$5-E353,0))</f>
        <v>0</v>
      </c>
      <c r="J353" s="16" t="str">
        <f aca="false">IF(H353&lt;=0.01,"Paid",IF(I353&lt;=30,"0-30",IF(I353&lt;=60,"31-60",IF(I353&lt;=90,"61-90","90+"))))</f>
        <v>Paid</v>
      </c>
      <c r="K353" s="16" t="str">
        <f aca="false">IF(H353&lt;=0.01,"Paid",IF(G353&gt;0,"Partially Paid","Unpaid"))</f>
        <v>Paid</v>
      </c>
    </row>
    <row r="354" customFormat="false" ht="15" hidden="false" customHeight="false" outlineLevel="0" collapsed="false">
      <c r="A354" s="16" t="str">
        <f aca="false">Customer_Invoices_AR!A351</f>
        <v>ARI60350</v>
      </c>
      <c r="B354" s="16" t="str">
        <f aca="false">Customer_Invoices_AR!B351</f>
        <v>C2004</v>
      </c>
      <c r="C354" s="16" t="str">
        <f aca="false">IFERROR(INDEX(Customer_Master!$B$2:$B$31,MATCH(B354,Customer_Master!$A$2:$A$31,0)),"Unknown Customer")</f>
        <v>Jones Inc</v>
      </c>
      <c r="D354" s="17" t="n">
        <f aca="false">Customer_Invoices_AR!C351</f>
        <v>45698</v>
      </c>
      <c r="E354" s="17" t="n">
        <f aca="false">Customer_Invoices_AR!E351</f>
        <v>45728</v>
      </c>
      <c r="F354" s="18" t="n">
        <f aca="false">Customer_Invoices_AR!D351</f>
        <v>2037.36</v>
      </c>
      <c r="G354" s="18" t="n">
        <f aca="false">SUMIFS(Cash_Receipts_AR!$E$2:$E$503,Cash_Receipts_AR!$B$2:$B$503,A354)</f>
        <v>0</v>
      </c>
      <c r="H354" s="18" t="n">
        <f aca="false">F354-G354</f>
        <v>2037.36</v>
      </c>
      <c r="I354" s="16" t="n">
        <f aca="false">IF(H354&lt;=0.01,0,MAX(Assumptions!$B$5-E354,0))</f>
        <v>506</v>
      </c>
      <c r="J354" s="16" t="str">
        <f aca="false">IF(H354&lt;=0.01,"Paid",IF(I354&lt;=30,"0-30",IF(I354&lt;=60,"31-60",IF(I354&lt;=90,"61-90","90+"))))</f>
        <v>90+</v>
      </c>
      <c r="K354" s="16" t="str">
        <f aca="false">IF(H354&lt;=0.01,"Paid",IF(G354&gt;0,"Partially Paid","Unpaid"))</f>
        <v>Unpaid</v>
      </c>
    </row>
    <row r="355" customFormat="false" ht="15" hidden="false" customHeight="false" outlineLevel="0" collapsed="false">
      <c r="A355" s="16" t="str">
        <f aca="false">Customer_Invoices_AR!A352</f>
        <v>ARI60351</v>
      </c>
      <c r="B355" s="16" t="str">
        <f aca="false">Customer_Invoices_AR!B352</f>
        <v>C2029</v>
      </c>
      <c r="C355" s="16" t="str">
        <f aca="false">IFERROR(INDEX(Customer_Master!$B$2:$B$31,MATCH(B355,Customer_Master!$A$2:$A$31,0)),"Unknown Customer")</f>
        <v>Hensley, Powell and David</v>
      </c>
      <c r="D355" s="17" t="n">
        <f aca="false">Customer_Invoices_AR!C352</f>
        <v>46187</v>
      </c>
      <c r="E355" s="17" t="n">
        <f aca="false">Customer_Invoices_AR!E352</f>
        <v>46247</v>
      </c>
      <c r="F355" s="18" t="n">
        <f aca="false">Customer_Invoices_AR!D352</f>
        <v>2330.46</v>
      </c>
      <c r="G355" s="18" t="n">
        <f aca="false">SUMIFS(Cash_Receipts_AR!$E$2:$E$503,Cash_Receipts_AR!$B$2:$B$503,A355)</f>
        <v>0</v>
      </c>
      <c r="H355" s="18" t="n">
        <f aca="false">F355-G355</f>
        <v>2330.46</v>
      </c>
      <c r="I355" s="16" t="n">
        <f aca="false">IF(H355&lt;=0.01,0,MAX(Assumptions!$B$5-E355,0))</f>
        <v>0</v>
      </c>
      <c r="J355" s="16" t="str">
        <f aca="false">IF(H355&lt;=0.01,"Paid",IF(I355&lt;=30,"0-30",IF(I355&lt;=60,"31-60",IF(I355&lt;=90,"61-90","90+"))))</f>
        <v>0-30</v>
      </c>
      <c r="K355" s="16" t="str">
        <f aca="false">IF(H355&lt;=0.01,"Paid",IF(G355&gt;0,"Partially Paid","Unpaid"))</f>
        <v>Unpaid</v>
      </c>
    </row>
    <row r="356" customFormat="false" ht="15" hidden="false" customHeight="false" outlineLevel="0" collapsed="false">
      <c r="A356" s="16" t="str">
        <f aca="false">Customer_Invoices_AR!A353</f>
        <v>ARI60352</v>
      </c>
      <c r="B356" s="16" t="str">
        <f aca="false">Customer_Invoices_AR!B353</f>
        <v>C2019</v>
      </c>
      <c r="C356" s="16" t="str">
        <f aca="false">IFERROR(INDEX(Customer_Master!$B$2:$B$31,MATCH(B356,Customer_Master!$A$2:$A$31,0)),"Unknown Customer")</f>
        <v>Hancock Inc</v>
      </c>
      <c r="D356" s="17" t="n">
        <f aca="false">Customer_Invoices_AR!C353</f>
        <v>46008</v>
      </c>
      <c r="E356" s="17" t="n">
        <f aca="false">Customer_Invoices_AR!E353</f>
        <v>46023</v>
      </c>
      <c r="F356" s="18" t="n">
        <f aca="false">Customer_Invoices_AR!D353</f>
        <v>1697.2</v>
      </c>
      <c r="G356" s="18" t="n">
        <f aca="false">SUMIFS(Cash_Receipts_AR!$E$2:$E$503,Cash_Receipts_AR!$B$2:$B$503,A356)</f>
        <v>1697.2</v>
      </c>
      <c r="H356" s="18" t="n">
        <f aca="false">F356-G356</f>
        <v>0</v>
      </c>
      <c r="I356" s="16" t="n">
        <f aca="false">IF(H356&lt;=0.01,0,MAX(Assumptions!$B$5-E356,0))</f>
        <v>0</v>
      </c>
      <c r="J356" s="16" t="str">
        <f aca="false">IF(H356&lt;=0.01,"Paid",IF(I356&lt;=30,"0-30",IF(I356&lt;=60,"31-60",IF(I356&lt;=90,"61-90","90+"))))</f>
        <v>Paid</v>
      </c>
      <c r="K356" s="16" t="str">
        <f aca="false">IF(H356&lt;=0.01,"Paid",IF(G356&gt;0,"Partially Paid","Unpaid"))</f>
        <v>Paid</v>
      </c>
    </row>
    <row r="357" customFormat="false" ht="15" hidden="false" customHeight="false" outlineLevel="0" collapsed="false">
      <c r="A357" s="16" t="str">
        <f aca="false">Customer_Invoices_AR!A354</f>
        <v>ARI60353</v>
      </c>
      <c r="B357" s="16" t="str">
        <f aca="false">Customer_Invoices_AR!B354</f>
        <v>C2003</v>
      </c>
      <c r="C357" s="16" t="str">
        <f aca="false">IFERROR(INDEX(Customer_Master!$B$2:$B$31,MATCH(B357,Customer_Master!$A$2:$A$31,0)),"Unknown Customer")</f>
        <v>Robinson, Jones and Welch</v>
      </c>
      <c r="D357" s="17" t="n">
        <f aca="false">Customer_Invoices_AR!C354</f>
        <v>45903</v>
      </c>
      <c r="E357" s="17" t="n">
        <f aca="false">Customer_Invoices_AR!E354</f>
        <v>45948</v>
      </c>
      <c r="F357" s="18" t="n">
        <f aca="false">Customer_Invoices_AR!D354</f>
        <v>2489.37</v>
      </c>
      <c r="G357" s="18" t="n">
        <f aca="false">SUMIFS(Cash_Receipts_AR!$E$2:$E$503,Cash_Receipts_AR!$B$2:$B$503,A357)</f>
        <v>2489.37</v>
      </c>
      <c r="H357" s="18" t="n">
        <f aca="false">F357-G357</f>
        <v>0</v>
      </c>
      <c r="I357" s="16" t="n">
        <f aca="false">IF(H357&lt;=0.01,0,MAX(Assumptions!$B$5-E357,0))</f>
        <v>0</v>
      </c>
      <c r="J357" s="16" t="str">
        <f aca="false">IF(H357&lt;=0.01,"Paid",IF(I357&lt;=30,"0-30",IF(I357&lt;=60,"31-60",IF(I357&lt;=90,"61-90","90+"))))</f>
        <v>Paid</v>
      </c>
      <c r="K357" s="16" t="str">
        <f aca="false">IF(H357&lt;=0.01,"Paid",IF(G357&gt;0,"Partially Paid","Unpaid"))</f>
        <v>Paid</v>
      </c>
    </row>
    <row r="358" customFormat="false" ht="15" hidden="false" customHeight="false" outlineLevel="0" collapsed="false">
      <c r="A358" s="16" t="str">
        <f aca="false">Customer_Invoices_AR!A355</f>
        <v>ARI60354</v>
      </c>
      <c r="B358" s="16" t="str">
        <f aca="false">Customer_Invoices_AR!B355</f>
        <v>C2009</v>
      </c>
      <c r="C358" s="16" t="str">
        <f aca="false">IFERROR(INDEX(Customer_Master!$B$2:$B$31,MATCH(B358,Customer_Master!$A$2:$A$31,0)),"Unknown Customer")</f>
        <v>Gomez-Jenkins</v>
      </c>
      <c r="D358" s="17" t="n">
        <f aca="false">Customer_Invoices_AR!C355</f>
        <v>46028</v>
      </c>
      <c r="E358" s="17" t="n">
        <f aca="false">Customer_Invoices_AR!E355</f>
        <v>46073</v>
      </c>
      <c r="F358" s="18" t="n">
        <f aca="false">Customer_Invoices_AR!D355</f>
        <v>4439.5</v>
      </c>
      <c r="G358" s="18" t="n">
        <f aca="false">SUMIFS(Cash_Receipts_AR!$E$2:$E$503,Cash_Receipts_AR!$B$2:$B$503,A358)</f>
        <v>4439.5</v>
      </c>
      <c r="H358" s="18" t="n">
        <f aca="false">F358-G358</f>
        <v>0</v>
      </c>
      <c r="I358" s="16" t="n">
        <f aca="false">IF(H358&lt;=0.01,0,MAX(Assumptions!$B$5-E358,0))</f>
        <v>0</v>
      </c>
      <c r="J358" s="16" t="str">
        <f aca="false">IF(H358&lt;=0.01,"Paid",IF(I358&lt;=30,"0-30",IF(I358&lt;=60,"31-60",IF(I358&lt;=90,"61-90","90+"))))</f>
        <v>Paid</v>
      </c>
      <c r="K358" s="16" t="str">
        <f aca="false">IF(H358&lt;=0.01,"Paid",IF(G358&gt;0,"Partially Paid","Unpaid"))</f>
        <v>Paid</v>
      </c>
    </row>
    <row r="359" customFormat="false" ht="15" hidden="false" customHeight="false" outlineLevel="0" collapsed="false">
      <c r="A359" s="16" t="str">
        <f aca="false">Customer_Invoices_AR!A356</f>
        <v>ARI60355</v>
      </c>
      <c r="B359" s="16" t="str">
        <f aca="false">Customer_Invoices_AR!B356</f>
        <v>C2019</v>
      </c>
      <c r="C359" s="16" t="str">
        <f aca="false">IFERROR(INDEX(Customer_Master!$B$2:$B$31,MATCH(B359,Customer_Master!$A$2:$A$31,0)),"Unknown Customer")</f>
        <v>Hancock Inc</v>
      </c>
      <c r="D359" s="17" t="n">
        <f aca="false">Customer_Invoices_AR!C356</f>
        <v>45845</v>
      </c>
      <c r="E359" s="17" t="n">
        <f aca="false">Customer_Invoices_AR!E356</f>
        <v>45860</v>
      </c>
      <c r="F359" s="18" t="n">
        <f aca="false">Customer_Invoices_AR!D356</f>
        <v>1233.51</v>
      </c>
      <c r="G359" s="18" t="n">
        <f aca="false">SUMIFS(Cash_Receipts_AR!$E$2:$E$503,Cash_Receipts_AR!$B$2:$B$503,A359)</f>
        <v>1233.51</v>
      </c>
      <c r="H359" s="18" t="n">
        <f aca="false">F359-G359</f>
        <v>0</v>
      </c>
      <c r="I359" s="16" t="n">
        <f aca="false">IF(H359&lt;=0.01,0,MAX(Assumptions!$B$5-E359,0))</f>
        <v>0</v>
      </c>
      <c r="J359" s="16" t="str">
        <f aca="false">IF(H359&lt;=0.01,"Paid",IF(I359&lt;=30,"0-30",IF(I359&lt;=60,"31-60",IF(I359&lt;=90,"61-90","90+"))))</f>
        <v>Paid</v>
      </c>
      <c r="K359" s="16" t="str">
        <f aca="false">IF(H359&lt;=0.01,"Paid",IF(G359&gt;0,"Partially Paid","Unpaid"))</f>
        <v>Paid</v>
      </c>
    </row>
    <row r="360" customFormat="false" ht="15" hidden="false" customHeight="false" outlineLevel="0" collapsed="false">
      <c r="A360" s="16" t="str">
        <f aca="false">Customer_Invoices_AR!A357</f>
        <v>ARI60356</v>
      </c>
      <c r="B360" s="16" t="str">
        <f aca="false">Customer_Invoices_AR!B357</f>
        <v>C2030</v>
      </c>
      <c r="C360" s="16" t="str">
        <f aca="false">IFERROR(INDEX(Customer_Master!$B$2:$B$31,MATCH(B360,Customer_Master!$A$2:$A$31,0)),"Unknown Customer")</f>
        <v>Sanchez, Wheeler and Harvey</v>
      </c>
      <c r="D360" s="17" t="n">
        <f aca="false">Customer_Invoices_AR!C357</f>
        <v>46136</v>
      </c>
      <c r="E360" s="17" t="n">
        <f aca="false">Customer_Invoices_AR!E357</f>
        <v>46151</v>
      </c>
      <c r="F360" s="18" t="n">
        <f aca="false">Customer_Invoices_AR!D357</f>
        <v>552.39</v>
      </c>
      <c r="G360" s="18" t="n">
        <f aca="false">SUMIFS(Cash_Receipts_AR!$E$2:$E$503,Cash_Receipts_AR!$B$2:$B$503,A360)</f>
        <v>552.39</v>
      </c>
      <c r="H360" s="18" t="n">
        <f aca="false">F360-G360</f>
        <v>0</v>
      </c>
      <c r="I360" s="16" t="n">
        <f aca="false">IF(H360&lt;=0.01,0,MAX(Assumptions!$B$5-E360,0))</f>
        <v>0</v>
      </c>
      <c r="J360" s="16" t="str">
        <f aca="false">IF(H360&lt;=0.01,"Paid",IF(I360&lt;=30,"0-30",IF(I360&lt;=60,"31-60",IF(I360&lt;=90,"61-90","90+"))))</f>
        <v>Paid</v>
      </c>
      <c r="K360" s="16" t="str">
        <f aca="false">IF(H360&lt;=0.01,"Paid",IF(G360&gt;0,"Partially Paid","Unpaid"))</f>
        <v>Paid</v>
      </c>
    </row>
    <row r="361" customFormat="false" ht="15" hidden="false" customHeight="false" outlineLevel="0" collapsed="false">
      <c r="A361" s="16" t="str">
        <f aca="false">Customer_Invoices_AR!A358</f>
        <v>ARI60357</v>
      </c>
      <c r="B361" s="16" t="str">
        <f aca="false">Customer_Invoices_AR!B358</f>
        <v>C2006</v>
      </c>
      <c r="C361" s="16" t="str">
        <f aca="false">IFERROR(INDEX(Customer_Master!$B$2:$B$31,MATCH(B361,Customer_Master!$A$2:$A$31,0)),"Unknown Customer")</f>
        <v>Washington, Ryan and Cummings</v>
      </c>
      <c r="D361" s="17" t="n">
        <f aca="false">Customer_Invoices_AR!C358</f>
        <v>46083</v>
      </c>
      <c r="E361" s="17" t="n">
        <f aca="false">Customer_Invoices_AR!E358</f>
        <v>46098</v>
      </c>
      <c r="F361" s="18" t="n">
        <f aca="false">Customer_Invoices_AR!D358</f>
        <v>3307.35</v>
      </c>
      <c r="G361" s="18" t="n">
        <f aca="false">SUMIFS(Cash_Receipts_AR!$E$2:$E$503,Cash_Receipts_AR!$B$2:$B$503,A361)</f>
        <v>3307.35</v>
      </c>
      <c r="H361" s="18" t="n">
        <f aca="false">F361-G361</f>
        <v>0</v>
      </c>
      <c r="I361" s="16" t="n">
        <f aca="false">IF(H361&lt;=0.01,0,MAX(Assumptions!$B$5-E361,0))</f>
        <v>0</v>
      </c>
      <c r="J361" s="16" t="str">
        <f aca="false">IF(H361&lt;=0.01,"Paid",IF(I361&lt;=30,"0-30",IF(I361&lt;=60,"31-60",IF(I361&lt;=90,"61-90","90+"))))</f>
        <v>Paid</v>
      </c>
      <c r="K361" s="16" t="str">
        <f aca="false">IF(H361&lt;=0.01,"Paid",IF(G361&gt;0,"Partially Paid","Unpaid"))</f>
        <v>Paid</v>
      </c>
    </row>
    <row r="362" customFormat="false" ht="15" hidden="false" customHeight="false" outlineLevel="0" collapsed="false">
      <c r="A362" s="16" t="str">
        <f aca="false">Customer_Invoices_AR!A359</f>
        <v>ARI60358</v>
      </c>
      <c r="B362" s="16" t="str">
        <f aca="false">Customer_Invoices_AR!B359</f>
        <v>C2017</v>
      </c>
      <c r="C362" s="16" t="str">
        <f aca="false">IFERROR(INDEX(Customer_Master!$B$2:$B$31,MATCH(B362,Customer_Master!$A$2:$A$31,0)),"Unknown Customer")</f>
        <v>Novak and Sons</v>
      </c>
      <c r="D362" s="17" t="n">
        <f aca="false">Customer_Invoices_AR!C359</f>
        <v>46006</v>
      </c>
      <c r="E362" s="17" t="n">
        <f aca="false">Customer_Invoices_AR!E359</f>
        <v>46021</v>
      </c>
      <c r="F362" s="18" t="n">
        <f aca="false">Customer_Invoices_AR!D359</f>
        <v>3350.46</v>
      </c>
      <c r="G362" s="18" t="n">
        <f aca="false">SUMIFS(Cash_Receipts_AR!$E$2:$E$503,Cash_Receipts_AR!$B$2:$B$503,A362)</f>
        <v>0</v>
      </c>
      <c r="H362" s="18" t="n">
        <f aca="false">F362-G362</f>
        <v>3350.46</v>
      </c>
      <c r="I362" s="16" t="n">
        <f aca="false">IF(H362&lt;=0.01,0,MAX(Assumptions!$B$5-E362,0))</f>
        <v>213</v>
      </c>
      <c r="J362" s="16" t="str">
        <f aca="false">IF(H362&lt;=0.01,"Paid",IF(I362&lt;=30,"0-30",IF(I362&lt;=60,"31-60",IF(I362&lt;=90,"61-90","90+"))))</f>
        <v>90+</v>
      </c>
      <c r="K362" s="16" t="str">
        <f aca="false">IF(H362&lt;=0.01,"Paid",IF(G362&gt;0,"Partially Paid","Unpaid"))</f>
        <v>Unpaid</v>
      </c>
    </row>
    <row r="363" customFormat="false" ht="15" hidden="false" customHeight="false" outlineLevel="0" collapsed="false">
      <c r="A363" s="16" t="str">
        <f aca="false">Customer_Invoices_AR!A360</f>
        <v>ARI60359</v>
      </c>
      <c r="B363" s="16" t="str">
        <f aca="false">Customer_Invoices_AR!B360</f>
        <v>C2019</v>
      </c>
      <c r="C363" s="16" t="str">
        <f aca="false">IFERROR(INDEX(Customer_Master!$B$2:$B$31,MATCH(B363,Customer_Master!$A$2:$A$31,0)),"Unknown Customer")</f>
        <v>Hancock Inc</v>
      </c>
      <c r="D363" s="17" t="n">
        <f aca="false">Customer_Invoices_AR!C360</f>
        <v>45757</v>
      </c>
      <c r="E363" s="17" t="n">
        <f aca="false">Customer_Invoices_AR!E360</f>
        <v>45772</v>
      </c>
      <c r="F363" s="18" t="n">
        <f aca="false">Customer_Invoices_AR!D360</f>
        <v>7273.52</v>
      </c>
      <c r="G363" s="18" t="n">
        <f aca="false">SUMIFS(Cash_Receipts_AR!$E$2:$E$503,Cash_Receipts_AR!$B$2:$B$503,A363)</f>
        <v>7273.52</v>
      </c>
      <c r="H363" s="18" t="n">
        <f aca="false">F363-G363</f>
        <v>0</v>
      </c>
      <c r="I363" s="16" t="n">
        <f aca="false">IF(H363&lt;=0.01,0,MAX(Assumptions!$B$5-E363,0))</f>
        <v>0</v>
      </c>
      <c r="J363" s="16" t="str">
        <f aca="false">IF(H363&lt;=0.01,"Paid",IF(I363&lt;=30,"0-30",IF(I363&lt;=60,"31-60",IF(I363&lt;=90,"61-90","90+"))))</f>
        <v>Paid</v>
      </c>
      <c r="K363" s="16" t="str">
        <f aca="false">IF(H363&lt;=0.01,"Paid",IF(G363&gt;0,"Partially Paid","Unpaid"))</f>
        <v>Paid</v>
      </c>
    </row>
    <row r="364" customFormat="false" ht="15" hidden="false" customHeight="false" outlineLevel="0" collapsed="false">
      <c r="A364" s="16" t="str">
        <f aca="false">Customer_Invoices_AR!A361</f>
        <v>ARI60360</v>
      </c>
      <c r="B364" s="16" t="str">
        <f aca="false">Customer_Invoices_AR!B361</f>
        <v>C2007</v>
      </c>
      <c r="C364" s="16" t="str">
        <f aca="false">IFERROR(INDEX(Customer_Master!$B$2:$B$31,MATCH(B364,Customer_Master!$A$2:$A$31,0)),"Unknown Customer")</f>
        <v>Johnston, Sanchez and Kennedy</v>
      </c>
      <c r="D364" s="17" t="n">
        <f aca="false">Customer_Invoices_AR!C361</f>
        <v>46184</v>
      </c>
      <c r="E364" s="17" t="n">
        <f aca="false">Customer_Invoices_AR!E361</f>
        <v>46214</v>
      </c>
      <c r="F364" s="18" t="n">
        <f aca="false">Customer_Invoices_AR!D361</f>
        <v>263.38</v>
      </c>
      <c r="G364" s="18" t="n">
        <f aca="false">SUMIFS(Cash_Receipts_AR!$E$2:$E$503,Cash_Receipts_AR!$B$2:$B$503,A364)</f>
        <v>263.38</v>
      </c>
      <c r="H364" s="18" t="n">
        <f aca="false">F364-G364</f>
        <v>0</v>
      </c>
      <c r="I364" s="16" t="n">
        <f aca="false">IF(H364&lt;=0.01,0,MAX(Assumptions!$B$5-E364,0))</f>
        <v>0</v>
      </c>
      <c r="J364" s="16" t="str">
        <f aca="false">IF(H364&lt;=0.01,"Paid",IF(I364&lt;=30,"0-30",IF(I364&lt;=60,"31-60",IF(I364&lt;=90,"61-90","90+"))))</f>
        <v>Paid</v>
      </c>
      <c r="K364" s="16" t="str">
        <f aca="false">IF(H364&lt;=0.01,"Paid",IF(G364&gt;0,"Partially Paid","Unpaid"))</f>
        <v>Paid</v>
      </c>
    </row>
    <row r="365" customFormat="false" ht="15" hidden="false" customHeight="false" outlineLevel="0" collapsed="false">
      <c r="A365" s="16" t="str">
        <f aca="false">Customer_Invoices_AR!A362</f>
        <v>ARI60361</v>
      </c>
      <c r="B365" s="16" t="str">
        <f aca="false">Customer_Invoices_AR!B362</f>
        <v>C2003</v>
      </c>
      <c r="C365" s="16" t="str">
        <f aca="false">IFERROR(INDEX(Customer_Master!$B$2:$B$31,MATCH(B365,Customer_Master!$A$2:$A$31,0)),"Unknown Customer")</f>
        <v>Robinson, Jones and Welch</v>
      </c>
      <c r="D365" s="17" t="n">
        <f aca="false">Customer_Invoices_AR!C362</f>
        <v>45893</v>
      </c>
      <c r="E365" s="17" t="n">
        <f aca="false">Customer_Invoices_AR!E362</f>
        <v>45938</v>
      </c>
      <c r="F365" s="18" t="n">
        <f aca="false">Customer_Invoices_AR!D362</f>
        <v>1094.43</v>
      </c>
      <c r="G365" s="18" t="n">
        <f aca="false">SUMIFS(Cash_Receipts_AR!$E$2:$E$503,Cash_Receipts_AR!$B$2:$B$503,A365)</f>
        <v>1094.43</v>
      </c>
      <c r="H365" s="18" t="n">
        <f aca="false">F365-G365</f>
        <v>0</v>
      </c>
      <c r="I365" s="16" t="n">
        <f aca="false">IF(H365&lt;=0.01,0,MAX(Assumptions!$B$5-E365,0))</f>
        <v>0</v>
      </c>
      <c r="J365" s="16" t="str">
        <f aca="false">IF(H365&lt;=0.01,"Paid",IF(I365&lt;=30,"0-30",IF(I365&lt;=60,"31-60",IF(I365&lt;=90,"61-90","90+"))))</f>
        <v>Paid</v>
      </c>
      <c r="K365" s="16" t="str">
        <f aca="false">IF(H365&lt;=0.01,"Paid",IF(G365&gt;0,"Partially Paid","Unpaid"))</f>
        <v>Paid</v>
      </c>
    </row>
    <row r="366" customFormat="false" ht="15" hidden="false" customHeight="false" outlineLevel="0" collapsed="false">
      <c r="A366" s="16" t="str">
        <f aca="false">Customer_Invoices_AR!A363</f>
        <v>ARI60362</v>
      </c>
      <c r="B366" s="16" t="str">
        <f aca="false">Customer_Invoices_AR!B363</f>
        <v>C2025</v>
      </c>
      <c r="C366" s="16" t="str">
        <f aca="false">IFERROR(INDEX(Customer_Master!$B$2:$B$31,MATCH(B366,Customer_Master!$A$2:$A$31,0)),"Unknown Customer")</f>
        <v>Daniels, Adkins and Brown</v>
      </c>
      <c r="D366" s="17" t="n">
        <f aca="false">Customer_Invoices_AR!C363</f>
        <v>46154</v>
      </c>
      <c r="E366" s="17" t="n">
        <f aca="false">Customer_Invoices_AR!E363</f>
        <v>46169</v>
      </c>
      <c r="F366" s="18" t="n">
        <f aca="false">Customer_Invoices_AR!D363</f>
        <v>4195.73</v>
      </c>
      <c r="G366" s="18" t="n">
        <f aca="false">SUMIFS(Cash_Receipts_AR!$E$2:$E$503,Cash_Receipts_AR!$B$2:$B$503,A366)</f>
        <v>4195.73</v>
      </c>
      <c r="H366" s="18" t="n">
        <f aca="false">F366-G366</f>
        <v>0</v>
      </c>
      <c r="I366" s="16" t="n">
        <f aca="false">IF(H366&lt;=0.01,0,MAX(Assumptions!$B$5-E366,0))</f>
        <v>0</v>
      </c>
      <c r="J366" s="16" t="str">
        <f aca="false">IF(H366&lt;=0.01,"Paid",IF(I366&lt;=30,"0-30",IF(I366&lt;=60,"31-60",IF(I366&lt;=90,"61-90","90+"))))</f>
        <v>Paid</v>
      </c>
      <c r="K366" s="16" t="str">
        <f aca="false">IF(H366&lt;=0.01,"Paid",IF(G366&gt;0,"Partially Paid","Unpaid"))</f>
        <v>Paid</v>
      </c>
    </row>
    <row r="367" customFormat="false" ht="15" hidden="false" customHeight="false" outlineLevel="0" collapsed="false">
      <c r="A367" s="16" t="str">
        <f aca="false">Customer_Invoices_AR!A364</f>
        <v>ARI60363</v>
      </c>
      <c r="B367" s="16" t="str">
        <f aca="false">Customer_Invoices_AR!B364</f>
        <v>C2021</v>
      </c>
      <c r="C367" s="16" t="str">
        <f aca="false">IFERROR(INDEX(Customer_Master!$B$2:$B$31,MATCH(B367,Customer_Master!$A$2:$A$31,0)),"Unknown Customer")</f>
        <v>House-Glover</v>
      </c>
      <c r="D367" s="17" t="n">
        <f aca="false">Customer_Invoices_AR!C364</f>
        <v>45688</v>
      </c>
      <c r="E367" s="17" t="n">
        <f aca="false">Customer_Invoices_AR!E364</f>
        <v>45748</v>
      </c>
      <c r="F367" s="18" t="n">
        <f aca="false">Customer_Invoices_AR!D364</f>
        <v>2049.25</v>
      </c>
      <c r="G367" s="18" t="n">
        <f aca="false">SUMIFS(Cash_Receipts_AR!$E$2:$E$503,Cash_Receipts_AR!$B$2:$B$503,A367)</f>
        <v>0</v>
      </c>
      <c r="H367" s="18" t="n">
        <f aca="false">F367-G367</f>
        <v>2049.25</v>
      </c>
      <c r="I367" s="16" t="n">
        <f aca="false">IF(H367&lt;=0.01,0,MAX(Assumptions!$B$5-E367,0))</f>
        <v>486</v>
      </c>
      <c r="J367" s="16" t="str">
        <f aca="false">IF(H367&lt;=0.01,"Paid",IF(I367&lt;=30,"0-30",IF(I367&lt;=60,"31-60",IF(I367&lt;=90,"61-90","90+"))))</f>
        <v>90+</v>
      </c>
      <c r="K367" s="16" t="str">
        <f aca="false">IF(H367&lt;=0.01,"Paid",IF(G367&gt;0,"Partially Paid","Unpaid"))</f>
        <v>Unpaid</v>
      </c>
    </row>
    <row r="368" customFormat="false" ht="15" hidden="false" customHeight="false" outlineLevel="0" collapsed="false">
      <c r="A368" s="16" t="str">
        <f aca="false">Customer_Invoices_AR!A365</f>
        <v>ARI60364</v>
      </c>
      <c r="B368" s="16" t="str">
        <f aca="false">Customer_Invoices_AR!B365</f>
        <v>C2008</v>
      </c>
      <c r="C368" s="16" t="str">
        <f aca="false">IFERROR(INDEX(Customer_Master!$B$2:$B$31,MATCH(B368,Customer_Master!$A$2:$A$31,0)),"Unknown Customer")</f>
        <v>Lee-Davis</v>
      </c>
      <c r="D368" s="17" t="n">
        <f aca="false">Customer_Invoices_AR!C365</f>
        <v>45725</v>
      </c>
      <c r="E368" s="17" t="n">
        <f aca="false">Customer_Invoices_AR!E365</f>
        <v>45785</v>
      </c>
      <c r="F368" s="18" t="n">
        <f aca="false">Customer_Invoices_AR!D365</f>
        <v>1063.51</v>
      </c>
      <c r="G368" s="18" t="n">
        <f aca="false">SUMIFS(Cash_Receipts_AR!$E$2:$E$503,Cash_Receipts_AR!$B$2:$B$503,A368)</f>
        <v>651.54</v>
      </c>
      <c r="H368" s="18" t="n">
        <f aca="false">F368-G368</f>
        <v>411.97</v>
      </c>
      <c r="I368" s="16" t="n">
        <f aca="false">IF(H368&lt;=0.01,0,MAX(Assumptions!$B$5-E368,0))</f>
        <v>449</v>
      </c>
      <c r="J368" s="16" t="str">
        <f aca="false">IF(H368&lt;=0.01,"Paid",IF(I368&lt;=30,"0-30",IF(I368&lt;=60,"31-60",IF(I368&lt;=90,"61-90","90+"))))</f>
        <v>90+</v>
      </c>
      <c r="K368" s="16" t="str">
        <f aca="false">IF(H368&lt;=0.01,"Paid",IF(G368&gt;0,"Partially Paid","Unpaid"))</f>
        <v>Partially Paid</v>
      </c>
    </row>
    <row r="369" customFormat="false" ht="15" hidden="false" customHeight="false" outlineLevel="0" collapsed="false">
      <c r="A369" s="16" t="str">
        <f aca="false">Customer_Invoices_AR!A366</f>
        <v>ARI60365</v>
      </c>
      <c r="B369" s="16" t="str">
        <f aca="false">Customer_Invoices_AR!B366</f>
        <v>C2017</v>
      </c>
      <c r="C369" s="16" t="str">
        <f aca="false">IFERROR(INDEX(Customer_Master!$B$2:$B$31,MATCH(B369,Customer_Master!$A$2:$A$31,0)),"Unknown Customer")</f>
        <v>Novak and Sons</v>
      </c>
      <c r="D369" s="17" t="n">
        <f aca="false">Customer_Invoices_AR!C366</f>
        <v>45741</v>
      </c>
      <c r="E369" s="17" t="n">
        <f aca="false">Customer_Invoices_AR!E366</f>
        <v>45756</v>
      </c>
      <c r="F369" s="18" t="n">
        <f aca="false">Customer_Invoices_AR!D366</f>
        <v>477.15</v>
      </c>
      <c r="G369" s="18" t="n">
        <f aca="false">SUMIFS(Cash_Receipts_AR!$E$2:$E$503,Cash_Receipts_AR!$B$2:$B$503,A369)</f>
        <v>0</v>
      </c>
      <c r="H369" s="18" t="n">
        <f aca="false">F369-G369</f>
        <v>477.15</v>
      </c>
      <c r="I369" s="16" t="n">
        <f aca="false">IF(H369&lt;=0.01,0,MAX(Assumptions!$B$5-E369,0))</f>
        <v>478</v>
      </c>
      <c r="J369" s="16" t="str">
        <f aca="false">IF(H369&lt;=0.01,"Paid",IF(I369&lt;=30,"0-30",IF(I369&lt;=60,"31-60",IF(I369&lt;=90,"61-90","90+"))))</f>
        <v>90+</v>
      </c>
      <c r="K369" s="16" t="str">
        <f aca="false">IF(H369&lt;=0.01,"Paid",IF(G369&gt;0,"Partially Paid","Unpaid"))</f>
        <v>Unpaid</v>
      </c>
    </row>
    <row r="370" customFormat="false" ht="15" hidden="false" customHeight="false" outlineLevel="0" collapsed="false">
      <c r="A370" s="16" t="str">
        <f aca="false">Customer_Invoices_AR!A367</f>
        <v>ARI60366</v>
      </c>
      <c r="B370" s="16" t="str">
        <f aca="false">Customer_Invoices_AR!B367</f>
        <v>C2020</v>
      </c>
      <c r="C370" s="16" t="str">
        <f aca="false">IFERROR(INDEX(Customer_Master!$B$2:$B$31,MATCH(B370,Customer_Master!$A$2:$A$31,0)),"Unknown Customer")</f>
        <v>Gray Group</v>
      </c>
      <c r="D370" s="17" t="n">
        <f aca="false">Customer_Invoices_AR!C367</f>
        <v>45747</v>
      </c>
      <c r="E370" s="17" t="n">
        <f aca="false">Customer_Invoices_AR!E367</f>
        <v>45777</v>
      </c>
      <c r="F370" s="18" t="n">
        <f aca="false">Customer_Invoices_AR!D367</f>
        <v>4928.3</v>
      </c>
      <c r="G370" s="18" t="n">
        <f aca="false">SUMIFS(Cash_Receipts_AR!$E$2:$E$503,Cash_Receipts_AR!$B$2:$B$503,A370)</f>
        <v>3935.82</v>
      </c>
      <c r="H370" s="18" t="n">
        <f aca="false">F370-G370</f>
        <v>992.48</v>
      </c>
      <c r="I370" s="16" t="n">
        <f aca="false">IF(H370&lt;=0.01,0,MAX(Assumptions!$B$5-E370,0))</f>
        <v>457</v>
      </c>
      <c r="J370" s="16" t="str">
        <f aca="false">IF(H370&lt;=0.01,"Paid",IF(I370&lt;=30,"0-30",IF(I370&lt;=60,"31-60",IF(I370&lt;=90,"61-90","90+"))))</f>
        <v>90+</v>
      </c>
      <c r="K370" s="16" t="str">
        <f aca="false">IF(H370&lt;=0.01,"Paid",IF(G370&gt;0,"Partially Paid","Unpaid"))</f>
        <v>Partially Paid</v>
      </c>
    </row>
    <row r="371" customFormat="false" ht="15" hidden="false" customHeight="false" outlineLevel="0" collapsed="false">
      <c r="A371" s="16" t="str">
        <f aca="false">Customer_Invoices_AR!A368</f>
        <v>ARI60367</v>
      </c>
      <c r="B371" s="16" t="str">
        <f aca="false">Customer_Invoices_AR!B368</f>
        <v>C2008</v>
      </c>
      <c r="C371" s="16" t="str">
        <f aca="false">IFERROR(INDEX(Customer_Master!$B$2:$B$31,MATCH(B371,Customer_Master!$A$2:$A$31,0)),"Unknown Customer")</f>
        <v>Lee-Davis</v>
      </c>
      <c r="D371" s="17" t="n">
        <f aca="false">Customer_Invoices_AR!C368</f>
        <v>45833</v>
      </c>
      <c r="E371" s="17" t="n">
        <f aca="false">Customer_Invoices_AR!E368</f>
        <v>45893</v>
      </c>
      <c r="F371" s="18" t="n">
        <f aca="false">Customer_Invoices_AR!D368</f>
        <v>2514.47</v>
      </c>
      <c r="G371" s="18" t="n">
        <f aca="false">SUMIFS(Cash_Receipts_AR!$E$2:$E$503,Cash_Receipts_AR!$B$2:$B$503,A371)</f>
        <v>2514.47</v>
      </c>
      <c r="H371" s="18" t="n">
        <f aca="false">F371-G371</f>
        <v>0</v>
      </c>
      <c r="I371" s="16" t="n">
        <f aca="false">IF(H371&lt;=0.01,0,MAX(Assumptions!$B$5-E371,0))</f>
        <v>0</v>
      </c>
      <c r="J371" s="16" t="str">
        <f aca="false">IF(H371&lt;=0.01,"Paid",IF(I371&lt;=30,"0-30",IF(I371&lt;=60,"31-60",IF(I371&lt;=90,"61-90","90+"))))</f>
        <v>Paid</v>
      </c>
      <c r="K371" s="16" t="str">
        <f aca="false">IF(H371&lt;=0.01,"Paid",IF(G371&gt;0,"Partially Paid","Unpaid"))</f>
        <v>Paid</v>
      </c>
    </row>
    <row r="372" customFormat="false" ht="15" hidden="false" customHeight="false" outlineLevel="0" collapsed="false">
      <c r="A372" s="16" t="str">
        <f aca="false">Customer_Invoices_AR!A369</f>
        <v>ARI60368</v>
      </c>
      <c r="B372" s="16" t="str">
        <f aca="false">Customer_Invoices_AR!B369</f>
        <v>C2009</v>
      </c>
      <c r="C372" s="16" t="str">
        <f aca="false">IFERROR(INDEX(Customer_Master!$B$2:$B$31,MATCH(B372,Customer_Master!$A$2:$A$31,0)),"Unknown Customer")</f>
        <v>Gomez-Jenkins</v>
      </c>
      <c r="D372" s="17" t="n">
        <f aca="false">Customer_Invoices_AR!C369</f>
        <v>46044</v>
      </c>
      <c r="E372" s="17" t="n">
        <f aca="false">Customer_Invoices_AR!E369</f>
        <v>46089</v>
      </c>
      <c r="F372" s="18" t="n">
        <f aca="false">Customer_Invoices_AR!D369</f>
        <v>6810.57</v>
      </c>
      <c r="G372" s="18" t="n">
        <f aca="false">SUMIFS(Cash_Receipts_AR!$E$2:$E$503,Cash_Receipts_AR!$B$2:$B$503,A372)</f>
        <v>6810.57</v>
      </c>
      <c r="H372" s="18" t="n">
        <f aca="false">F372-G372</f>
        <v>0</v>
      </c>
      <c r="I372" s="16" t="n">
        <f aca="false">IF(H372&lt;=0.01,0,MAX(Assumptions!$B$5-E372,0))</f>
        <v>0</v>
      </c>
      <c r="J372" s="16" t="str">
        <f aca="false">IF(H372&lt;=0.01,"Paid",IF(I372&lt;=30,"0-30",IF(I372&lt;=60,"31-60",IF(I372&lt;=90,"61-90","90+"))))</f>
        <v>Paid</v>
      </c>
      <c r="K372" s="16" t="str">
        <f aca="false">IF(H372&lt;=0.01,"Paid",IF(G372&gt;0,"Partially Paid","Unpaid"))</f>
        <v>Paid</v>
      </c>
    </row>
    <row r="373" customFormat="false" ht="15" hidden="false" customHeight="false" outlineLevel="0" collapsed="false">
      <c r="A373" s="16" t="str">
        <f aca="false">Customer_Invoices_AR!A370</f>
        <v>ARI60369</v>
      </c>
      <c r="B373" s="16" t="str">
        <f aca="false">Customer_Invoices_AR!B370</f>
        <v>C2020</v>
      </c>
      <c r="C373" s="16" t="str">
        <f aca="false">IFERROR(INDEX(Customer_Master!$B$2:$B$31,MATCH(B373,Customer_Master!$A$2:$A$31,0)),"Unknown Customer")</f>
        <v>Gray Group</v>
      </c>
      <c r="D373" s="17" t="n">
        <f aca="false">Customer_Invoices_AR!C370</f>
        <v>45846</v>
      </c>
      <c r="E373" s="17" t="n">
        <f aca="false">Customer_Invoices_AR!E370</f>
        <v>45876</v>
      </c>
      <c r="F373" s="18" t="n">
        <f aca="false">Customer_Invoices_AR!D370</f>
        <v>2609.91</v>
      </c>
      <c r="G373" s="18" t="n">
        <f aca="false">SUMIFS(Cash_Receipts_AR!$E$2:$E$503,Cash_Receipts_AR!$B$2:$B$503,A373)</f>
        <v>832.81</v>
      </c>
      <c r="H373" s="18" t="n">
        <f aca="false">F373-G373</f>
        <v>1777.1</v>
      </c>
      <c r="I373" s="16" t="n">
        <f aca="false">IF(H373&lt;=0.01,0,MAX(Assumptions!$B$5-E373,0))</f>
        <v>358</v>
      </c>
      <c r="J373" s="16" t="str">
        <f aca="false">IF(H373&lt;=0.01,"Paid",IF(I373&lt;=30,"0-30",IF(I373&lt;=60,"31-60",IF(I373&lt;=90,"61-90","90+"))))</f>
        <v>90+</v>
      </c>
      <c r="K373" s="16" t="str">
        <f aca="false">IF(H373&lt;=0.01,"Paid",IF(G373&gt;0,"Partially Paid","Unpaid"))</f>
        <v>Partially Paid</v>
      </c>
    </row>
    <row r="374" customFormat="false" ht="15" hidden="false" customHeight="false" outlineLevel="0" collapsed="false">
      <c r="A374" s="16" t="str">
        <f aca="false">Customer_Invoices_AR!A371</f>
        <v>ARI60370</v>
      </c>
      <c r="B374" s="16" t="str">
        <f aca="false">Customer_Invoices_AR!B371</f>
        <v>C2001</v>
      </c>
      <c r="C374" s="16" t="str">
        <f aca="false">IFERROR(INDEX(Customer_Master!$B$2:$B$31,MATCH(B374,Customer_Master!$A$2:$A$31,0)),"Unknown Customer")</f>
        <v>Wright Inc</v>
      </c>
      <c r="D374" s="17" t="n">
        <f aca="false">Customer_Invoices_AR!C371</f>
        <v>46170</v>
      </c>
      <c r="E374" s="17" t="n">
        <f aca="false">Customer_Invoices_AR!E371</f>
        <v>46215</v>
      </c>
      <c r="F374" s="18" t="n">
        <f aca="false">Customer_Invoices_AR!D371</f>
        <v>2581.91</v>
      </c>
      <c r="G374" s="18" t="n">
        <f aca="false">SUMIFS(Cash_Receipts_AR!$E$2:$E$503,Cash_Receipts_AR!$B$2:$B$503,A374)</f>
        <v>0</v>
      </c>
      <c r="H374" s="18" t="n">
        <f aca="false">F374-G374</f>
        <v>2581.91</v>
      </c>
      <c r="I374" s="16" t="n">
        <f aca="false">IF(H374&lt;=0.01,0,MAX(Assumptions!$B$5-E374,0))</f>
        <v>19</v>
      </c>
      <c r="J374" s="16" t="str">
        <f aca="false">IF(H374&lt;=0.01,"Paid",IF(I374&lt;=30,"0-30",IF(I374&lt;=60,"31-60",IF(I374&lt;=90,"61-90","90+"))))</f>
        <v>0-30</v>
      </c>
      <c r="K374" s="16" t="str">
        <f aca="false">IF(H374&lt;=0.01,"Paid",IF(G374&gt;0,"Partially Paid","Unpaid"))</f>
        <v>Unpaid</v>
      </c>
    </row>
    <row r="375" customFormat="false" ht="15" hidden="false" customHeight="false" outlineLevel="0" collapsed="false">
      <c r="A375" s="16" t="str">
        <f aca="false">Customer_Invoices_AR!A372</f>
        <v>ARI60371</v>
      </c>
      <c r="B375" s="16" t="str">
        <f aca="false">Customer_Invoices_AR!B372</f>
        <v>C2010</v>
      </c>
      <c r="C375" s="16" t="str">
        <f aca="false">IFERROR(INDEX(Customer_Master!$B$2:$B$31,MATCH(B375,Customer_Master!$A$2:$A$31,0)),"Unknown Customer")</f>
        <v>Brown, Valdez and Lucas</v>
      </c>
      <c r="D375" s="17" t="n">
        <f aca="false">Customer_Invoices_AR!C372</f>
        <v>46145</v>
      </c>
      <c r="E375" s="17" t="n">
        <f aca="false">Customer_Invoices_AR!E372</f>
        <v>46205</v>
      </c>
      <c r="F375" s="18" t="n">
        <f aca="false">Customer_Invoices_AR!D372</f>
        <v>7158.33</v>
      </c>
      <c r="G375" s="18" t="n">
        <f aca="false">SUMIFS(Cash_Receipts_AR!$E$2:$E$503,Cash_Receipts_AR!$B$2:$B$503,A375)</f>
        <v>7158.33</v>
      </c>
      <c r="H375" s="18" t="n">
        <f aca="false">F375-G375</f>
        <v>0</v>
      </c>
      <c r="I375" s="16" t="n">
        <f aca="false">IF(H375&lt;=0.01,0,MAX(Assumptions!$B$5-E375,0))</f>
        <v>0</v>
      </c>
      <c r="J375" s="16" t="str">
        <f aca="false">IF(H375&lt;=0.01,"Paid",IF(I375&lt;=30,"0-30",IF(I375&lt;=60,"31-60",IF(I375&lt;=90,"61-90","90+"))))</f>
        <v>Paid</v>
      </c>
      <c r="K375" s="16" t="str">
        <f aca="false">IF(H375&lt;=0.01,"Paid",IF(G375&gt;0,"Partially Paid","Unpaid"))</f>
        <v>Paid</v>
      </c>
    </row>
    <row r="376" customFormat="false" ht="15" hidden="false" customHeight="false" outlineLevel="0" collapsed="false">
      <c r="A376" s="16" t="str">
        <f aca="false">Customer_Invoices_AR!A373</f>
        <v>ARI60372</v>
      </c>
      <c r="B376" s="16" t="str">
        <f aca="false">Customer_Invoices_AR!B373</f>
        <v>C2017</v>
      </c>
      <c r="C376" s="16" t="str">
        <f aca="false">IFERROR(INDEX(Customer_Master!$B$2:$B$31,MATCH(B376,Customer_Master!$A$2:$A$31,0)),"Unknown Customer")</f>
        <v>Novak and Sons</v>
      </c>
      <c r="D376" s="17" t="n">
        <f aca="false">Customer_Invoices_AR!C373</f>
        <v>46119</v>
      </c>
      <c r="E376" s="17" t="n">
        <f aca="false">Customer_Invoices_AR!E373</f>
        <v>46134</v>
      </c>
      <c r="F376" s="18" t="n">
        <f aca="false">Customer_Invoices_AR!D373</f>
        <v>3765.89</v>
      </c>
      <c r="G376" s="18" t="n">
        <f aca="false">SUMIFS(Cash_Receipts_AR!$E$2:$E$503,Cash_Receipts_AR!$B$2:$B$503,A376)</f>
        <v>0</v>
      </c>
      <c r="H376" s="18" t="n">
        <f aca="false">F376-G376</f>
        <v>3765.89</v>
      </c>
      <c r="I376" s="16" t="n">
        <f aca="false">IF(H376&lt;=0.01,0,MAX(Assumptions!$B$5-E376,0))</f>
        <v>100</v>
      </c>
      <c r="J376" s="16" t="str">
        <f aca="false">IF(H376&lt;=0.01,"Paid",IF(I376&lt;=30,"0-30",IF(I376&lt;=60,"31-60",IF(I376&lt;=90,"61-90","90+"))))</f>
        <v>90+</v>
      </c>
      <c r="K376" s="16" t="str">
        <f aca="false">IF(H376&lt;=0.01,"Paid",IF(G376&gt;0,"Partially Paid","Unpaid"))</f>
        <v>Unpaid</v>
      </c>
    </row>
    <row r="377" customFormat="false" ht="15" hidden="false" customHeight="false" outlineLevel="0" collapsed="false">
      <c r="A377" s="16" t="str">
        <f aca="false">Customer_Invoices_AR!A374</f>
        <v>ARI60373</v>
      </c>
      <c r="B377" s="16" t="str">
        <f aca="false">Customer_Invoices_AR!B374</f>
        <v>C2012</v>
      </c>
      <c r="C377" s="16" t="str">
        <f aca="false">IFERROR(INDEX(Customer_Master!$B$2:$B$31,MATCH(B377,Customer_Master!$A$2:$A$31,0)),"Unknown Customer")</f>
        <v>Wright and Sons</v>
      </c>
      <c r="D377" s="17" t="n">
        <f aca="false">Customer_Invoices_AR!C374</f>
        <v>45794</v>
      </c>
      <c r="E377" s="17" t="n">
        <f aca="false">Customer_Invoices_AR!E374</f>
        <v>45839</v>
      </c>
      <c r="F377" s="18" t="n">
        <f aca="false">Customer_Invoices_AR!D374</f>
        <v>2035.16</v>
      </c>
      <c r="G377" s="18" t="n">
        <f aca="false">SUMIFS(Cash_Receipts_AR!$E$2:$E$503,Cash_Receipts_AR!$B$2:$B$503,A377)</f>
        <v>2035.16</v>
      </c>
      <c r="H377" s="18" t="n">
        <f aca="false">F377-G377</f>
        <v>0</v>
      </c>
      <c r="I377" s="16" t="n">
        <f aca="false">IF(H377&lt;=0.01,0,MAX(Assumptions!$B$5-E377,0))</f>
        <v>0</v>
      </c>
      <c r="J377" s="16" t="str">
        <f aca="false">IF(H377&lt;=0.01,"Paid",IF(I377&lt;=30,"0-30",IF(I377&lt;=60,"31-60",IF(I377&lt;=90,"61-90","90+"))))</f>
        <v>Paid</v>
      </c>
      <c r="K377" s="16" t="str">
        <f aca="false">IF(H377&lt;=0.01,"Paid",IF(G377&gt;0,"Partially Paid","Unpaid"))</f>
        <v>Paid</v>
      </c>
    </row>
    <row r="378" customFormat="false" ht="15" hidden="false" customHeight="false" outlineLevel="0" collapsed="false">
      <c r="A378" s="16" t="str">
        <f aca="false">Customer_Invoices_AR!A375</f>
        <v>ARI60374</v>
      </c>
      <c r="B378" s="16" t="str">
        <f aca="false">Customer_Invoices_AR!B375</f>
        <v>C2016</v>
      </c>
      <c r="C378" s="16" t="str">
        <f aca="false">IFERROR(INDEX(Customer_Master!$B$2:$B$31,MATCH(B378,Customer_Master!$A$2:$A$31,0)),"Unknown Customer")</f>
        <v>Williams PLC</v>
      </c>
      <c r="D378" s="17" t="n">
        <f aca="false">Customer_Invoices_AR!C375</f>
        <v>46004</v>
      </c>
      <c r="E378" s="17" t="n">
        <f aca="false">Customer_Invoices_AR!E375</f>
        <v>46034</v>
      </c>
      <c r="F378" s="18" t="n">
        <f aca="false">Customer_Invoices_AR!D375</f>
        <v>609.74</v>
      </c>
      <c r="G378" s="18" t="n">
        <f aca="false">SUMIFS(Cash_Receipts_AR!$E$2:$E$503,Cash_Receipts_AR!$B$2:$B$503,A378)</f>
        <v>200.01</v>
      </c>
      <c r="H378" s="18" t="n">
        <f aca="false">F378-G378</f>
        <v>409.73</v>
      </c>
      <c r="I378" s="16" t="n">
        <f aca="false">IF(H378&lt;=0.01,0,MAX(Assumptions!$B$5-E378,0))</f>
        <v>200</v>
      </c>
      <c r="J378" s="16" t="str">
        <f aca="false">IF(H378&lt;=0.01,"Paid",IF(I378&lt;=30,"0-30",IF(I378&lt;=60,"31-60",IF(I378&lt;=90,"61-90","90+"))))</f>
        <v>90+</v>
      </c>
      <c r="K378" s="16" t="str">
        <f aca="false">IF(H378&lt;=0.01,"Paid",IF(G378&gt;0,"Partially Paid","Unpaid"))</f>
        <v>Partially Paid</v>
      </c>
    </row>
    <row r="379" customFormat="false" ht="15" hidden="false" customHeight="false" outlineLevel="0" collapsed="false">
      <c r="A379" s="16" t="str">
        <f aca="false">Customer_Invoices_AR!A376</f>
        <v>ARI60375</v>
      </c>
      <c r="B379" s="16" t="str">
        <f aca="false">Customer_Invoices_AR!B376</f>
        <v>C2030</v>
      </c>
      <c r="C379" s="16" t="str">
        <f aca="false">IFERROR(INDEX(Customer_Master!$B$2:$B$31,MATCH(B379,Customer_Master!$A$2:$A$31,0)),"Unknown Customer")</f>
        <v>Sanchez, Wheeler and Harvey</v>
      </c>
      <c r="D379" s="17" t="n">
        <f aca="false">Customer_Invoices_AR!C376</f>
        <v>45958</v>
      </c>
      <c r="E379" s="17" t="n">
        <f aca="false">Customer_Invoices_AR!E376</f>
        <v>45973</v>
      </c>
      <c r="F379" s="18" t="n">
        <f aca="false">Customer_Invoices_AR!D376</f>
        <v>3178.96</v>
      </c>
      <c r="G379" s="18" t="n">
        <f aca="false">SUMIFS(Cash_Receipts_AR!$E$2:$E$503,Cash_Receipts_AR!$B$2:$B$503,A379)</f>
        <v>3178.96</v>
      </c>
      <c r="H379" s="18" t="n">
        <f aca="false">F379-G379</f>
        <v>0</v>
      </c>
      <c r="I379" s="16" t="n">
        <f aca="false">IF(H379&lt;=0.01,0,MAX(Assumptions!$B$5-E379,0))</f>
        <v>0</v>
      </c>
      <c r="J379" s="16" t="str">
        <f aca="false">IF(H379&lt;=0.01,"Paid",IF(I379&lt;=30,"0-30",IF(I379&lt;=60,"31-60",IF(I379&lt;=90,"61-90","90+"))))</f>
        <v>Paid</v>
      </c>
      <c r="K379" s="16" t="str">
        <f aca="false">IF(H379&lt;=0.01,"Paid",IF(G379&gt;0,"Partially Paid","Unpaid"))</f>
        <v>Paid</v>
      </c>
    </row>
    <row r="380" customFormat="false" ht="15" hidden="false" customHeight="false" outlineLevel="0" collapsed="false">
      <c r="A380" s="16" t="str">
        <f aca="false">Customer_Invoices_AR!A377</f>
        <v>ARI60376</v>
      </c>
      <c r="B380" s="16" t="str">
        <f aca="false">Customer_Invoices_AR!B377</f>
        <v>C2022</v>
      </c>
      <c r="C380" s="16" t="str">
        <f aca="false">IFERROR(INDEX(Customer_Master!$B$2:$B$31,MATCH(B380,Customer_Master!$A$2:$A$31,0)),"Unknown Customer")</f>
        <v>Henderson-Bernard</v>
      </c>
      <c r="D380" s="17" t="n">
        <f aca="false">Customer_Invoices_AR!C377</f>
        <v>45726</v>
      </c>
      <c r="E380" s="17" t="n">
        <f aca="false">Customer_Invoices_AR!E377</f>
        <v>45756</v>
      </c>
      <c r="F380" s="18" t="n">
        <f aca="false">Customer_Invoices_AR!D377</f>
        <v>758.25</v>
      </c>
      <c r="G380" s="18" t="n">
        <f aca="false">SUMIFS(Cash_Receipts_AR!$E$2:$E$503,Cash_Receipts_AR!$B$2:$B$503,A380)</f>
        <v>758.25</v>
      </c>
      <c r="H380" s="18" t="n">
        <f aca="false">F380-G380</f>
        <v>0</v>
      </c>
      <c r="I380" s="16" t="n">
        <f aca="false">IF(H380&lt;=0.01,0,MAX(Assumptions!$B$5-E380,0))</f>
        <v>0</v>
      </c>
      <c r="J380" s="16" t="str">
        <f aca="false">IF(H380&lt;=0.01,"Paid",IF(I380&lt;=30,"0-30",IF(I380&lt;=60,"31-60",IF(I380&lt;=90,"61-90","90+"))))</f>
        <v>Paid</v>
      </c>
      <c r="K380" s="16" t="str">
        <f aca="false">IF(H380&lt;=0.01,"Paid",IF(G380&gt;0,"Partially Paid","Unpaid"))</f>
        <v>Paid</v>
      </c>
    </row>
    <row r="381" customFormat="false" ht="15" hidden="false" customHeight="false" outlineLevel="0" collapsed="false">
      <c r="A381" s="16" t="str">
        <f aca="false">Customer_Invoices_AR!A378</f>
        <v>ARI60377</v>
      </c>
      <c r="B381" s="16" t="str">
        <f aca="false">Customer_Invoices_AR!B378</f>
        <v>C2017</v>
      </c>
      <c r="C381" s="16" t="str">
        <f aca="false">IFERROR(INDEX(Customer_Master!$B$2:$B$31,MATCH(B381,Customer_Master!$A$2:$A$31,0)),"Unknown Customer")</f>
        <v>Novak and Sons</v>
      </c>
      <c r="D381" s="17" t="n">
        <f aca="false">Customer_Invoices_AR!C378</f>
        <v>45823</v>
      </c>
      <c r="E381" s="17" t="n">
        <f aca="false">Customer_Invoices_AR!E378</f>
        <v>45838</v>
      </c>
      <c r="F381" s="18" t="n">
        <f aca="false">Customer_Invoices_AR!D378</f>
        <v>221.8</v>
      </c>
      <c r="G381" s="18" t="n">
        <f aca="false">SUMIFS(Cash_Receipts_AR!$E$2:$E$503,Cash_Receipts_AR!$B$2:$B$503,A381)</f>
        <v>221.8</v>
      </c>
      <c r="H381" s="18" t="n">
        <f aca="false">F381-G381</f>
        <v>0</v>
      </c>
      <c r="I381" s="16" t="n">
        <f aca="false">IF(H381&lt;=0.01,0,MAX(Assumptions!$B$5-E381,0))</f>
        <v>0</v>
      </c>
      <c r="J381" s="16" t="str">
        <f aca="false">IF(H381&lt;=0.01,"Paid",IF(I381&lt;=30,"0-30",IF(I381&lt;=60,"31-60",IF(I381&lt;=90,"61-90","90+"))))</f>
        <v>Paid</v>
      </c>
      <c r="K381" s="16" t="str">
        <f aca="false">IF(H381&lt;=0.01,"Paid",IF(G381&gt;0,"Partially Paid","Unpaid"))</f>
        <v>Paid</v>
      </c>
    </row>
    <row r="382" customFormat="false" ht="15" hidden="false" customHeight="false" outlineLevel="0" collapsed="false">
      <c r="A382" s="16" t="str">
        <f aca="false">Customer_Invoices_AR!A379</f>
        <v>ARI60378</v>
      </c>
      <c r="B382" s="16" t="str">
        <f aca="false">Customer_Invoices_AR!B379</f>
        <v>C2029</v>
      </c>
      <c r="C382" s="16" t="str">
        <f aca="false">IFERROR(INDEX(Customer_Master!$B$2:$B$31,MATCH(B382,Customer_Master!$A$2:$A$31,0)),"Unknown Customer")</f>
        <v>Hensley, Powell and David</v>
      </c>
      <c r="D382" s="17" t="n">
        <f aca="false">Customer_Invoices_AR!C379</f>
        <v>45948</v>
      </c>
      <c r="E382" s="17" t="n">
        <f aca="false">Customer_Invoices_AR!E379</f>
        <v>46008</v>
      </c>
      <c r="F382" s="18" t="n">
        <f aca="false">Customer_Invoices_AR!D379</f>
        <v>5256.82</v>
      </c>
      <c r="G382" s="18" t="n">
        <f aca="false">SUMIFS(Cash_Receipts_AR!$E$2:$E$503,Cash_Receipts_AR!$B$2:$B$503,A382)</f>
        <v>5256.82</v>
      </c>
      <c r="H382" s="18" t="n">
        <f aca="false">F382-G382</f>
        <v>0</v>
      </c>
      <c r="I382" s="16" t="n">
        <f aca="false">IF(H382&lt;=0.01,0,MAX(Assumptions!$B$5-E382,0))</f>
        <v>0</v>
      </c>
      <c r="J382" s="16" t="str">
        <f aca="false">IF(H382&lt;=0.01,"Paid",IF(I382&lt;=30,"0-30",IF(I382&lt;=60,"31-60",IF(I382&lt;=90,"61-90","90+"))))</f>
        <v>Paid</v>
      </c>
      <c r="K382" s="16" t="str">
        <f aca="false">IF(H382&lt;=0.01,"Paid",IF(G382&gt;0,"Partially Paid","Unpaid"))</f>
        <v>Paid</v>
      </c>
    </row>
    <row r="383" customFormat="false" ht="15" hidden="false" customHeight="false" outlineLevel="0" collapsed="false">
      <c r="A383" s="16" t="str">
        <f aca="false">Customer_Invoices_AR!A380</f>
        <v>ARI60379</v>
      </c>
      <c r="B383" s="16" t="str">
        <f aca="false">Customer_Invoices_AR!B380</f>
        <v>C2011</v>
      </c>
      <c r="C383" s="16" t="str">
        <f aca="false">IFERROR(INDEX(Customer_Master!$B$2:$B$31,MATCH(B383,Customer_Master!$A$2:$A$31,0)),"Unknown Customer")</f>
        <v>Powell LLC</v>
      </c>
      <c r="D383" s="17" t="n">
        <f aca="false">Customer_Invoices_AR!C380</f>
        <v>45931</v>
      </c>
      <c r="E383" s="17" t="n">
        <f aca="false">Customer_Invoices_AR!E380</f>
        <v>45961</v>
      </c>
      <c r="F383" s="18" t="n">
        <f aca="false">Customer_Invoices_AR!D380</f>
        <v>1450.9</v>
      </c>
      <c r="G383" s="18" t="n">
        <f aca="false">SUMIFS(Cash_Receipts_AR!$E$2:$E$503,Cash_Receipts_AR!$B$2:$B$503,A383)</f>
        <v>1450.9</v>
      </c>
      <c r="H383" s="18" t="n">
        <f aca="false">F383-G383</f>
        <v>0</v>
      </c>
      <c r="I383" s="16" t="n">
        <f aca="false">IF(H383&lt;=0.01,0,MAX(Assumptions!$B$5-E383,0))</f>
        <v>0</v>
      </c>
      <c r="J383" s="16" t="str">
        <f aca="false">IF(H383&lt;=0.01,"Paid",IF(I383&lt;=30,"0-30",IF(I383&lt;=60,"31-60",IF(I383&lt;=90,"61-90","90+"))))</f>
        <v>Paid</v>
      </c>
      <c r="K383" s="16" t="str">
        <f aca="false">IF(H383&lt;=0.01,"Paid",IF(G383&gt;0,"Partially Paid","Unpaid"))</f>
        <v>Paid</v>
      </c>
    </row>
    <row r="384" customFormat="false" ht="15" hidden="false" customHeight="false" outlineLevel="0" collapsed="false">
      <c r="A384" s="16" t="str">
        <f aca="false">Customer_Invoices_AR!A381</f>
        <v>ARI60380</v>
      </c>
      <c r="B384" s="16" t="str">
        <f aca="false">Customer_Invoices_AR!B381</f>
        <v>C2012</v>
      </c>
      <c r="C384" s="16" t="str">
        <f aca="false">IFERROR(INDEX(Customer_Master!$B$2:$B$31,MATCH(B384,Customer_Master!$A$2:$A$31,0)),"Unknown Customer")</f>
        <v>Wright and Sons</v>
      </c>
      <c r="D384" s="17" t="n">
        <f aca="false">Customer_Invoices_AR!C381</f>
        <v>45749</v>
      </c>
      <c r="E384" s="17" t="n">
        <f aca="false">Customer_Invoices_AR!E381</f>
        <v>45794</v>
      </c>
      <c r="F384" s="18" t="n">
        <f aca="false">Customer_Invoices_AR!D381</f>
        <v>654.91</v>
      </c>
      <c r="G384" s="18" t="n">
        <f aca="false">SUMIFS(Cash_Receipts_AR!$E$2:$E$503,Cash_Receipts_AR!$B$2:$B$503,A384)</f>
        <v>490.44</v>
      </c>
      <c r="H384" s="18" t="n">
        <f aca="false">F384-G384</f>
        <v>164.47</v>
      </c>
      <c r="I384" s="16" t="n">
        <f aca="false">IF(H384&lt;=0.01,0,MAX(Assumptions!$B$5-E384,0))</f>
        <v>440</v>
      </c>
      <c r="J384" s="16" t="str">
        <f aca="false">IF(H384&lt;=0.01,"Paid",IF(I384&lt;=30,"0-30",IF(I384&lt;=60,"31-60",IF(I384&lt;=90,"61-90","90+"))))</f>
        <v>90+</v>
      </c>
      <c r="K384" s="16" t="str">
        <f aca="false">IF(H384&lt;=0.01,"Paid",IF(G384&gt;0,"Partially Paid","Unpaid"))</f>
        <v>Partially Paid</v>
      </c>
    </row>
    <row r="385" customFormat="false" ht="15" hidden="false" customHeight="false" outlineLevel="0" collapsed="false">
      <c r="A385" s="16" t="str">
        <f aca="false">Customer_Invoices_AR!A382</f>
        <v>ARI60381</v>
      </c>
      <c r="B385" s="16" t="str">
        <f aca="false">Customer_Invoices_AR!B382</f>
        <v>C2018</v>
      </c>
      <c r="C385" s="16" t="str">
        <f aca="false">IFERROR(INDEX(Customer_Master!$B$2:$B$31,MATCH(B385,Customer_Master!$A$2:$A$31,0)),"Unknown Customer")</f>
        <v>Russell Group</v>
      </c>
      <c r="D385" s="17" t="n">
        <f aca="false">Customer_Invoices_AR!C382</f>
        <v>46171</v>
      </c>
      <c r="E385" s="17" t="n">
        <f aca="false">Customer_Invoices_AR!E382</f>
        <v>46186</v>
      </c>
      <c r="F385" s="18" t="n">
        <f aca="false">Customer_Invoices_AR!D382</f>
        <v>4069.65</v>
      </c>
      <c r="G385" s="18" t="n">
        <f aca="false">SUMIFS(Cash_Receipts_AR!$E$2:$E$503,Cash_Receipts_AR!$B$2:$B$503,A385)</f>
        <v>4069.65</v>
      </c>
      <c r="H385" s="18" t="n">
        <f aca="false">F385-G385</f>
        <v>0</v>
      </c>
      <c r="I385" s="16" t="n">
        <f aca="false">IF(H385&lt;=0.01,0,MAX(Assumptions!$B$5-E385,0))</f>
        <v>0</v>
      </c>
      <c r="J385" s="16" t="str">
        <f aca="false">IF(H385&lt;=0.01,"Paid",IF(I385&lt;=30,"0-30",IF(I385&lt;=60,"31-60",IF(I385&lt;=90,"61-90","90+"))))</f>
        <v>Paid</v>
      </c>
      <c r="K385" s="16" t="str">
        <f aca="false">IF(H385&lt;=0.01,"Paid",IF(G385&gt;0,"Partially Paid","Unpaid"))</f>
        <v>Paid</v>
      </c>
    </row>
    <row r="386" customFormat="false" ht="15" hidden="false" customHeight="false" outlineLevel="0" collapsed="false">
      <c r="A386" s="16" t="str">
        <f aca="false">Customer_Invoices_AR!A383</f>
        <v>ARI60382</v>
      </c>
      <c r="B386" s="16" t="str">
        <f aca="false">Customer_Invoices_AR!B383</f>
        <v>C2005</v>
      </c>
      <c r="C386" s="16" t="str">
        <f aca="false">IFERROR(INDEX(Customer_Master!$B$2:$B$31,MATCH(B386,Customer_Master!$A$2:$A$31,0)),"Unknown Customer")</f>
        <v>Jones-Young</v>
      </c>
      <c r="D386" s="17" t="n">
        <f aca="false">Customer_Invoices_AR!C383</f>
        <v>45742</v>
      </c>
      <c r="E386" s="17" t="n">
        <f aca="false">Customer_Invoices_AR!E383</f>
        <v>45757</v>
      </c>
      <c r="F386" s="18" t="n">
        <f aca="false">Customer_Invoices_AR!D383</f>
        <v>4599.74</v>
      </c>
      <c r="G386" s="18" t="n">
        <f aca="false">SUMIFS(Cash_Receipts_AR!$E$2:$E$503,Cash_Receipts_AR!$B$2:$B$503,A386)</f>
        <v>2567.44</v>
      </c>
      <c r="H386" s="18" t="n">
        <f aca="false">F386-G386</f>
        <v>2032.3</v>
      </c>
      <c r="I386" s="16" t="n">
        <f aca="false">IF(H386&lt;=0.01,0,MAX(Assumptions!$B$5-E386,0))</f>
        <v>477</v>
      </c>
      <c r="J386" s="16" t="str">
        <f aca="false">IF(H386&lt;=0.01,"Paid",IF(I386&lt;=30,"0-30",IF(I386&lt;=60,"31-60",IF(I386&lt;=90,"61-90","90+"))))</f>
        <v>90+</v>
      </c>
      <c r="K386" s="16" t="str">
        <f aca="false">IF(H386&lt;=0.01,"Paid",IF(G386&gt;0,"Partially Paid","Unpaid"))</f>
        <v>Partially Paid</v>
      </c>
    </row>
    <row r="387" customFormat="false" ht="15" hidden="false" customHeight="false" outlineLevel="0" collapsed="false">
      <c r="A387" s="16" t="str">
        <f aca="false">Customer_Invoices_AR!A384</f>
        <v>ARI60383</v>
      </c>
      <c r="B387" s="16" t="str">
        <f aca="false">Customer_Invoices_AR!B384</f>
        <v>C2008</v>
      </c>
      <c r="C387" s="16" t="str">
        <f aca="false">IFERROR(INDEX(Customer_Master!$B$2:$B$31,MATCH(B387,Customer_Master!$A$2:$A$31,0)),"Unknown Customer")</f>
        <v>Lee-Davis</v>
      </c>
      <c r="D387" s="17" t="n">
        <f aca="false">Customer_Invoices_AR!C384</f>
        <v>46017</v>
      </c>
      <c r="E387" s="17" t="n">
        <f aca="false">Customer_Invoices_AR!E384</f>
        <v>46077</v>
      </c>
      <c r="F387" s="18" t="n">
        <f aca="false">Customer_Invoices_AR!D384</f>
        <v>5029.08</v>
      </c>
      <c r="G387" s="18" t="n">
        <f aca="false">SUMIFS(Cash_Receipts_AR!$E$2:$E$503,Cash_Receipts_AR!$B$2:$B$503,A387)</f>
        <v>0</v>
      </c>
      <c r="H387" s="18" t="n">
        <f aca="false">F387-G387</f>
        <v>5029.08</v>
      </c>
      <c r="I387" s="16" t="n">
        <f aca="false">IF(H387&lt;=0.01,0,MAX(Assumptions!$B$5-E387,0))</f>
        <v>157</v>
      </c>
      <c r="J387" s="16" t="str">
        <f aca="false">IF(H387&lt;=0.01,"Paid",IF(I387&lt;=30,"0-30",IF(I387&lt;=60,"31-60",IF(I387&lt;=90,"61-90","90+"))))</f>
        <v>90+</v>
      </c>
      <c r="K387" s="16" t="str">
        <f aca="false">IF(H387&lt;=0.01,"Paid",IF(G387&gt;0,"Partially Paid","Unpaid"))</f>
        <v>Unpaid</v>
      </c>
    </row>
    <row r="388" customFormat="false" ht="15" hidden="false" customHeight="false" outlineLevel="0" collapsed="false">
      <c r="A388" s="16" t="str">
        <f aca="false">Customer_Invoices_AR!A385</f>
        <v>ARI60384</v>
      </c>
      <c r="B388" s="16" t="str">
        <f aca="false">Customer_Invoices_AR!B385</f>
        <v>C2020</v>
      </c>
      <c r="C388" s="16" t="str">
        <f aca="false">IFERROR(INDEX(Customer_Master!$B$2:$B$31,MATCH(B388,Customer_Master!$A$2:$A$31,0)),"Unknown Customer")</f>
        <v>Gray Group</v>
      </c>
      <c r="D388" s="17" t="n">
        <f aca="false">Customer_Invoices_AR!C385</f>
        <v>46050</v>
      </c>
      <c r="E388" s="17" t="n">
        <f aca="false">Customer_Invoices_AR!E385</f>
        <v>46080</v>
      </c>
      <c r="F388" s="18" t="n">
        <f aca="false">Customer_Invoices_AR!D385</f>
        <v>898.57</v>
      </c>
      <c r="G388" s="18" t="n">
        <f aca="false">SUMIFS(Cash_Receipts_AR!$E$2:$E$503,Cash_Receipts_AR!$B$2:$B$503,A388)</f>
        <v>898.57</v>
      </c>
      <c r="H388" s="18" t="n">
        <f aca="false">F388-G388</f>
        <v>0</v>
      </c>
      <c r="I388" s="16" t="n">
        <f aca="false">IF(H388&lt;=0.01,0,MAX(Assumptions!$B$5-E388,0))</f>
        <v>0</v>
      </c>
      <c r="J388" s="16" t="str">
        <f aca="false">IF(H388&lt;=0.01,"Paid",IF(I388&lt;=30,"0-30",IF(I388&lt;=60,"31-60",IF(I388&lt;=90,"61-90","90+"))))</f>
        <v>Paid</v>
      </c>
      <c r="K388" s="16" t="str">
        <f aca="false">IF(H388&lt;=0.01,"Paid",IF(G388&gt;0,"Partially Paid","Unpaid"))</f>
        <v>Paid</v>
      </c>
    </row>
    <row r="389" customFormat="false" ht="15" hidden="false" customHeight="false" outlineLevel="0" collapsed="false">
      <c r="A389" s="16" t="str">
        <f aca="false">Customer_Invoices_AR!A386</f>
        <v>ARI60385</v>
      </c>
      <c r="B389" s="16" t="str">
        <f aca="false">Customer_Invoices_AR!B386</f>
        <v>C2011</v>
      </c>
      <c r="C389" s="16" t="str">
        <f aca="false">IFERROR(INDEX(Customer_Master!$B$2:$B$31,MATCH(B389,Customer_Master!$A$2:$A$31,0)),"Unknown Customer")</f>
        <v>Powell LLC</v>
      </c>
      <c r="D389" s="17" t="n">
        <f aca="false">Customer_Invoices_AR!C386</f>
        <v>45987</v>
      </c>
      <c r="E389" s="17" t="n">
        <f aca="false">Customer_Invoices_AR!E386</f>
        <v>46017</v>
      </c>
      <c r="F389" s="18" t="n">
        <f aca="false">Customer_Invoices_AR!D386</f>
        <v>4802.36</v>
      </c>
      <c r="G389" s="18" t="n">
        <f aca="false">SUMIFS(Cash_Receipts_AR!$E$2:$E$503,Cash_Receipts_AR!$B$2:$B$503,A389)</f>
        <v>4802.36</v>
      </c>
      <c r="H389" s="18" t="n">
        <f aca="false">F389-G389</f>
        <v>0</v>
      </c>
      <c r="I389" s="16" t="n">
        <f aca="false">IF(H389&lt;=0.01,0,MAX(Assumptions!$B$5-E389,0))</f>
        <v>0</v>
      </c>
      <c r="J389" s="16" t="str">
        <f aca="false">IF(H389&lt;=0.01,"Paid",IF(I389&lt;=30,"0-30",IF(I389&lt;=60,"31-60",IF(I389&lt;=90,"61-90","90+"))))</f>
        <v>Paid</v>
      </c>
      <c r="K389" s="16" t="str">
        <f aca="false">IF(H389&lt;=0.01,"Paid",IF(G389&gt;0,"Partially Paid","Unpaid"))</f>
        <v>Paid</v>
      </c>
    </row>
    <row r="390" customFormat="false" ht="15" hidden="false" customHeight="false" outlineLevel="0" collapsed="false">
      <c r="A390" s="16" t="str">
        <f aca="false">Customer_Invoices_AR!A387</f>
        <v>ARI60386</v>
      </c>
      <c r="B390" s="16" t="str">
        <f aca="false">Customer_Invoices_AR!B387</f>
        <v>C2005</v>
      </c>
      <c r="C390" s="16" t="str">
        <f aca="false">IFERROR(INDEX(Customer_Master!$B$2:$B$31,MATCH(B390,Customer_Master!$A$2:$A$31,0)),"Unknown Customer")</f>
        <v>Jones-Young</v>
      </c>
      <c r="D390" s="17" t="n">
        <f aca="false">Customer_Invoices_AR!C387</f>
        <v>46117</v>
      </c>
      <c r="E390" s="17" t="n">
        <f aca="false">Customer_Invoices_AR!E387</f>
        <v>46132</v>
      </c>
      <c r="F390" s="18" t="n">
        <f aca="false">Customer_Invoices_AR!D387</f>
        <v>14391.87</v>
      </c>
      <c r="G390" s="18" t="n">
        <f aca="false">SUMIFS(Cash_Receipts_AR!$E$2:$E$503,Cash_Receipts_AR!$B$2:$B$503,A390)</f>
        <v>14391.87</v>
      </c>
      <c r="H390" s="18" t="n">
        <f aca="false">F390-G390</f>
        <v>0</v>
      </c>
      <c r="I390" s="16" t="n">
        <f aca="false">IF(H390&lt;=0.01,0,MAX(Assumptions!$B$5-E390,0))</f>
        <v>0</v>
      </c>
      <c r="J390" s="16" t="str">
        <f aca="false">IF(H390&lt;=0.01,"Paid",IF(I390&lt;=30,"0-30",IF(I390&lt;=60,"31-60",IF(I390&lt;=90,"61-90","90+"))))</f>
        <v>Paid</v>
      </c>
      <c r="K390" s="16" t="str">
        <f aca="false">IF(H390&lt;=0.01,"Paid",IF(G390&gt;0,"Partially Paid","Unpaid"))</f>
        <v>Paid</v>
      </c>
    </row>
    <row r="391" customFormat="false" ht="15" hidden="false" customHeight="false" outlineLevel="0" collapsed="false">
      <c r="A391" s="16" t="str">
        <f aca="false">Customer_Invoices_AR!A388</f>
        <v>ARI60387</v>
      </c>
      <c r="B391" s="16" t="str">
        <f aca="false">Customer_Invoices_AR!B388</f>
        <v>C2019</v>
      </c>
      <c r="C391" s="16" t="str">
        <f aca="false">IFERROR(INDEX(Customer_Master!$B$2:$B$31,MATCH(B391,Customer_Master!$A$2:$A$31,0)),"Unknown Customer")</f>
        <v>Hancock Inc</v>
      </c>
      <c r="D391" s="17" t="n">
        <f aca="false">Customer_Invoices_AR!C388</f>
        <v>45965</v>
      </c>
      <c r="E391" s="17" t="n">
        <f aca="false">Customer_Invoices_AR!E388</f>
        <v>45980</v>
      </c>
      <c r="F391" s="18" t="n">
        <f aca="false">Customer_Invoices_AR!D388</f>
        <v>1054.66</v>
      </c>
      <c r="G391" s="18" t="n">
        <f aca="false">SUMIFS(Cash_Receipts_AR!$E$2:$E$503,Cash_Receipts_AR!$B$2:$B$503,A391)</f>
        <v>1054.66</v>
      </c>
      <c r="H391" s="18" t="n">
        <f aca="false">F391-G391</f>
        <v>0</v>
      </c>
      <c r="I391" s="16" t="n">
        <f aca="false">IF(H391&lt;=0.01,0,MAX(Assumptions!$B$5-E391,0))</f>
        <v>0</v>
      </c>
      <c r="J391" s="16" t="str">
        <f aca="false">IF(H391&lt;=0.01,"Paid",IF(I391&lt;=30,"0-30",IF(I391&lt;=60,"31-60",IF(I391&lt;=90,"61-90","90+"))))</f>
        <v>Paid</v>
      </c>
      <c r="K391" s="16" t="str">
        <f aca="false">IF(H391&lt;=0.01,"Paid",IF(G391&gt;0,"Partially Paid","Unpaid"))</f>
        <v>Paid</v>
      </c>
    </row>
    <row r="392" customFormat="false" ht="15" hidden="false" customHeight="false" outlineLevel="0" collapsed="false">
      <c r="A392" s="16" t="str">
        <f aca="false">Customer_Invoices_AR!A389</f>
        <v>ARI60388</v>
      </c>
      <c r="B392" s="16" t="str">
        <f aca="false">Customer_Invoices_AR!B389</f>
        <v>C2030</v>
      </c>
      <c r="C392" s="16" t="str">
        <f aca="false">IFERROR(INDEX(Customer_Master!$B$2:$B$31,MATCH(B392,Customer_Master!$A$2:$A$31,0)),"Unknown Customer")</f>
        <v>Sanchez, Wheeler and Harvey</v>
      </c>
      <c r="D392" s="17" t="n">
        <f aca="false">Customer_Invoices_AR!C389</f>
        <v>46107</v>
      </c>
      <c r="E392" s="17" t="n">
        <f aca="false">Customer_Invoices_AR!E389</f>
        <v>46122</v>
      </c>
      <c r="F392" s="18" t="n">
        <f aca="false">Customer_Invoices_AR!D389</f>
        <v>2334.44</v>
      </c>
      <c r="G392" s="18" t="n">
        <f aca="false">SUMIFS(Cash_Receipts_AR!$E$2:$E$503,Cash_Receipts_AR!$B$2:$B$503,A392)</f>
        <v>2334.44</v>
      </c>
      <c r="H392" s="18" t="n">
        <f aca="false">F392-G392</f>
        <v>0</v>
      </c>
      <c r="I392" s="16" t="n">
        <f aca="false">IF(H392&lt;=0.01,0,MAX(Assumptions!$B$5-E392,0))</f>
        <v>0</v>
      </c>
      <c r="J392" s="16" t="str">
        <f aca="false">IF(H392&lt;=0.01,"Paid",IF(I392&lt;=30,"0-30",IF(I392&lt;=60,"31-60",IF(I392&lt;=90,"61-90","90+"))))</f>
        <v>Paid</v>
      </c>
      <c r="K392" s="16" t="str">
        <f aca="false">IF(H392&lt;=0.01,"Paid",IF(G392&gt;0,"Partially Paid","Unpaid"))</f>
        <v>Paid</v>
      </c>
    </row>
    <row r="393" customFormat="false" ht="15" hidden="false" customHeight="false" outlineLevel="0" collapsed="false">
      <c r="A393" s="16" t="str">
        <f aca="false">Customer_Invoices_AR!A390</f>
        <v>ARI60389</v>
      </c>
      <c r="B393" s="16" t="str">
        <f aca="false">Customer_Invoices_AR!B390</f>
        <v>C2023</v>
      </c>
      <c r="C393" s="16" t="str">
        <f aca="false">IFERROR(INDEX(Customer_Master!$B$2:$B$31,MATCH(B393,Customer_Master!$A$2:$A$31,0)),"Unknown Customer")</f>
        <v>Stanley, Tucker and Lee</v>
      </c>
      <c r="D393" s="17" t="n">
        <f aca="false">Customer_Invoices_AR!C390</f>
        <v>45673</v>
      </c>
      <c r="E393" s="17" t="n">
        <f aca="false">Customer_Invoices_AR!E390</f>
        <v>45733</v>
      </c>
      <c r="F393" s="18" t="n">
        <f aca="false">Customer_Invoices_AR!D390</f>
        <v>1068.52</v>
      </c>
      <c r="G393" s="18" t="n">
        <f aca="false">SUMIFS(Cash_Receipts_AR!$E$2:$E$503,Cash_Receipts_AR!$B$2:$B$503,A393)</f>
        <v>1068.52</v>
      </c>
      <c r="H393" s="18" t="n">
        <f aca="false">F393-G393</f>
        <v>0</v>
      </c>
      <c r="I393" s="16" t="n">
        <f aca="false">IF(H393&lt;=0.01,0,MAX(Assumptions!$B$5-E393,0))</f>
        <v>0</v>
      </c>
      <c r="J393" s="16" t="str">
        <f aca="false">IF(H393&lt;=0.01,"Paid",IF(I393&lt;=30,"0-30",IF(I393&lt;=60,"31-60",IF(I393&lt;=90,"61-90","90+"))))</f>
        <v>Paid</v>
      </c>
      <c r="K393" s="16" t="str">
        <f aca="false">IF(H393&lt;=0.01,"Paid",IF(G393&gt;0,"Partially Paid","Unpaid"))</f>
        <v>Paid</v>
      </c>
    </row>
    <row r="394" customFormat="false" ht="15" hidden="false" customHeight="false" outlineLevel="0" collapsed="false">
      <c r="A394" s="16" t="str">
        <f aca="false">Customer_Invoices_AR!A391</f>
        <v>ARI60390</v>
      </c>
      <c r="B394" s="16" t="str">
        <f aca="false">Customer_Invoices_AR!B391</f>
        <v>C2009</v>
      </c>
      <c r="C394" s="16" t="str">
        <f aca="false">IFERROR(INDEX(Customer_Master!$B$2:$B$31,MATCH(B394,Customer_Master!$A$2:$A$31,0)),"Unknown Customer")</f>
        <v>Gomez-Jenkins</v>
      </c>
      <c r="D394" s="17" t="n">
        <f aca="false">Customer_Invoices_AR!C391</f>
        <v>45682</v>
      </c>
      <c r="E394" s="17" t="n">
        <f aca="false">Customer_Invoices_AR!E391</f>
        <v>45727</v>
      </c>
      <c r="F394" s="18" t="n">
        <f aca="false">Customer_Invoices_AR!D391</f>
        <v>4621.31</v>
      </c>
      <c r="G394" s="18" t="n">
        <f aca="false">SUMIFS(Cash_Receipts_AR!$E$2:$E$503,Cash_Receipts_AR!$B$2:$B$503,A394)</f>
        <v>4621.31</v>
      </c>
      <c r="H394" s="18" t="n">
        <f aca="false">F394-G394</f>
        <v>0</v>
      </c>
      <c r="I394" s="16" t="n">
        <f aca="false">IF(H394&lt;=0.01,0,MAX(Assumptions!$B$5-E394,0))</f>
        <v>0</v>
      </c>
      <c r="J394" s="16" t="str">
        <f aca="false">IF(H394&lt;=0.01,"Paid",IF(I394&lt;=30,"0-30",IF(I394&lt;=60,"31-60",IF(I394&lt;=90,"61-90","90+"))))</f>
        <v>Paid</v>
      </c>
      <c r="K394" s="16" t="str">
        <f aca="false">IF(H394&lt;=0.01,"Paid",IF(G394&gt;0,"Partially Paid","Unpaid"))</f>
        <v>Paid</v>
      </c>
    </row>
    <row r="395" customFormat="false" ht="15" hidden="false" customHeight="false" outlineLevel="0" collapsed="false">
      <c r="A395" s="16" t="str">
        <f aca="false">Customer_Invoices_AR!A392</f>
        <v>ARI60391</v>
      </c>
      <c r="B395" s="16" t="str">
        <f aca="false">Customer_Invoices_AR!B392</f>
        <v>C2023</v>
      </c>
      <c r="C395" s="16" t="str">
        <f aca="false">IFERROR(INDEX(Customer_Master!$B$2:$B$31,MATCH(B395,Customer_Master!$A$2:$A$31,0)),"Unknown Customer")</f>
        <v>Stanley, Tucker and Lee</v>
      </c>
      <c r="D395" s="17" t="n">
        <f aca="false">Customer_Invoices_AR!C392</f>
        <v>46007</v>
      </c>
      <c r="E395" s="17" t="n">
        <f aca="false">Customer_Invoices_AR!E392</f>
        <v>46067</v>
      </c>
      <c r="F395" s="18" t="n">
        <f aca="false">Customer_Invoices_AR!D392</f>
        <v>18174.41</v>
      </c>
      <c r="G395" s="18" t="n">
        <f aca="false">SUMIFS(Cash_Receipts_AR!$E$2:$E$503,Cash_Receipts_AR!$B$2:$B$503,A395)</f>
        <v>18174.41</v>
      </c>
      <c r="H395" s="18" t="n">
        <f aca="false">F395-G395</f>
        <v>0</v>
      </c>
      <c r="I395" s="16" t="n">
        <f aca="false">IF(H395&lt;=0.01,0,MAX(Assumptions!$B$5-E395,0))</f>
        <v>0</v>
      </c>
      <c r="J395" s="16" t="str">
        <f aca="false">IF(H395&lt;=0.01,"Paid",IF(I395&lt;=30,"0-30",IF(I395&lt;=60,"31-60",IF(I395&lt;=90,"61-90","90+"))))</f>
        <v>Paid</v>
      </c>
      <c r="K395" s="16" t="str">
        <f aca="false">IF(H395&lt;=0.01,"Paid",IF(G395&gt;0,"Partially Paid","Unpaid"))</f>
        <v>Paid</v>
      </c>
    </row>
    <row r="396" customFormat="false" ht="15" hidden="false" customHeight="false" outlineLevel="0" collapsed="false">
      <c r="A396" s="16" t="str">
        <f aca="false">Customer_Invoices_AR!A393</f>
        <v>ARI60392</v>
      </c>
      <c r="B396" s="16" t="str">
        <f aca="false">Customer_Invoices_AR!B393</f>
        <v>C2029</v>
      </c>
      <c r="C396" s="16" t="str">
        <f aca="false">IFERROR(INDEX(Customer_Master!$B$2:$B$31,MATCH(B396,Customer_Master!$A$2:$A$31,0)),"Unknown Customer")</f>
        <v>Hensley, Powell and David</v>
      </c>
      <c r="D396" s="17" t="n">
        <f aca="false">Customer_Invoices_AR!C393</f>
        <v>45972</v>
      </c>
      <c r="E396" s="17" t="n">
        <f aca="false">Customer_Invoices_AR!E393</f>
        <v>46032</v>
      </c>
      <c r="F396" s="18" t="n">
        <f aca="false">Customer_Invoices_AR!D393</f>
        <v>2812</v>
      </c>
      <c r="G396" s="18" t="n">
        <f aca="false">SUMIFS(Cash_Receipts_AR!$E$2:$E$503,Cash_Receipts_AR!$B$2:$B$503,A396)</f>
        <v>1281.1</v>
      </c>
      <c r="H396" s="18" t="n">
        <f aca="false">F396-G396</f>
        <v>1530.9</v>
      </c>
      <c r="I396" s="16" t="n">
        <f aca="false">IF(H396&lt;=0.01,0,MAX(Assumptions!$B$5-E396,0))</f>
        <v>202</v>
      </c>
      <c r="J396" s="16" t="str">
        <f aca="false">IF(H396&lt;=0.01,"Paid",IF(I396&lt;=30,"0-30",IF(I396&lt;=60,"31-60",IF(I396&lt;=90,"61-90","90+"))))</f>
        <v>90+</v>
      </c>
      <c r="K396" s="16" t="str">
        <f aca="false">IF(H396&lt;=0.01,"Paid",IF(G396&gt;0,"Partially Paid","Unpaid"))</f>
        <v>Partially Paid</v>
      </c>
    </row>
    <row r="397" customFormat="false" ht="15" hidden="false" customHeight="false" outlineLevel="0" collapsed="false">
      <c r="A397" s="16" t="str">
        <f aca="false">Customer_Invoices_AR!A394</f>
        <v>ARI60393</v>
      </c>
      <c r="B397" s="16" t="str">
        <f aca="false">Customer_Invoices_AR!B394</f>
        <v>C2003</v>
      </c>
      <c r="C397" s="16" t="str">
        <f aca="false">IFERROR(INDEX(Customer_Master!$B$2:$B$31,MATCH(B397,Customer_Master!$A$2:$A$31,0)),"Unknown Customer")</f>
        <v>Robinson, Jones and Welch</v>
      </c>
      <c r="D397" s="17" t="n">
        <f aca="false">Customer_Invoices_AR!C394</f>
        <v>46012</v>
      </c>
      <c r="E397" s="17" t="n">
        <f aca="false">Customer_Invoices_AR!E394</f>
        <v>46057</v>
      </c>
      <c r="F397" s="18" t="n">
        <f aca="false">Customer_Invoices_AR!D394</f>
        <v>905.72</v>
      </c>
      <c r="G397" s="18" t="n">
        <f aca="false">SUMIFS(Cash_Receipts_AR!$E$2:$E$503,Cash_Receipts_AR!$B$2:$B$503,A397)</f>
        <v>905.72</v>
      </c>
      <c r="H397" s="18" t="n">
        <f aca="false">F397-G397</f>
        <v>0</v>
      </c>
      <c r="I397" s="16" t="n">
        <f aca="false">IF(H397&lt;=0.01,0,MAX(Assumptions!$B$5-E397,0))</f>
        <v>0</v>
      </c>
      <c r="J397" s="16" t="str">
        <f aca="false">IF(H397&lt;=0.01,"Paid",IF(I397&lt;=30,"0-30",IF(I397&lt;=60,"31-60",IF(I397&lt;=90,"61-90","90+"))))</f>
        <v>Paid</v>
      </c>
      <c r="K397" s="16" t="str">
        <f aca="false">IF(H397&lt;=0.01,"Paid",IF(G397&gt;0,"Partially Paid","Unpaid"))</f>
        <v>Paid</v>
      </c>
    </row>
    <row r="398" customFormat="false" ht="15" hidden="false" customHeight="false" outlineLevel="0" collapsed="false">
      <c r="A398" s="16" t="str">
        <f aca="false">Customer_Invoices_AR!A395</f>
        <v>ARI60394</v>
      </c>
      <c r="B398" s="16" t="str">
        <f aca="false">Customer_Invoices_AR!B395</f>
        <v>C2028</v>
      </c>
      <c r="C398" s="16" t="str">
        <f aca="false">IFERROR(INDEX(Customer_Master!$B$2:$B$31,MATCH(B398,Customer_Master!$A$2:$A$31,0)),"Unknown Customer")</f>
        <v>Jones Inc</v>
      </c>
      <c r="D398" s="17" t="n">
        <f aca="false">Customer_Invoices_AR!C395</f>
        <v>46075</v>
      </c>
      <c r="E398" s="17" t="n">
        <f aca="false">Customer_Invoices_AR!E395</f>
        <v>46090</v>
      </c>
      <c r="F398" s="18" t="n">
        <f aca="false">Customer_Invoices_AR!D395</f>
        <v>1535.87</v>
      </c>
      <c r="G398" s="18" t="n">
        <f aca="false">SUMIFS(Cash_Receipts_AR!$E$2:$E$503,Cash_Receipts_AR!$B$2:$B$503,A398)</f>
        <v>1535.87</v>
      </c>
      <c r="H398" s="18" t="n">
        <f aca="false">F398-G398</f>
        <v>0</v>
      </c>
      <c r="I398" s="16" t="n">
        <f aca="false">IF(H398&lt;=0.01,0,MAX(Assumptions!$B$5-E398,0))</f>
        <v>0</v>
      </c>
      <c r="J398" s="16" t="str">
        <f aca="false">IF(H398&lt;=0.01,"Paid",IF(I398&lt;=30,"0-30",IF(I398&lt;=60,"31-60",IF(I398&lt;=90,"61-90","90+"))))</f>
        <v>Paid</v>
      </c>
      <c r="K398" s="16" t="str">
        <f aca="false">IF(H398&lt;=0.01,"Paid",IF(G398&gt;0,"Partially Paid","Unpaid"))</f>
        <v>Paid</v>
      </c>
    </row>
    <row r="399" customFormat="false" ht="15" hidden="false" customHeight="false" outlineLevel="0" collapsed="false">
      <c r="A399" s="16" t="str">
        <f aca="false">Customer_Invoices_AR!A396</f>
        <v>ARI60395</v>
      </c>
      <c r="B399" s="16" t="str">
        <f aca="false">Customer_Invoices_AR!B396</f>
        <v>C2021</v>
      </c>
      <c r="C399" s="16" t="str">
        <f aca="false">IFERROR(INDEX(Customer_Master!$B$2:$B$31,MATCH(B399,Customer_Master!$A$2:$A$31,0)),"Unknown Customer")</f>
        <v>House-Glover</v>
      </c>
      <c r="D399" s="17" t="n">
        <f aca="false">Customer_Invoices_AR!C396</f>
        <v>45885</v>
      </c>
      <c r="E399" s="17" t="n">
        <f aca="false">Customer_Invoices_AR!E396</f>
        <v>45945</v>
      </c>
      <c r="F399" s="18" t="n">
        <f aca="false">Customer_Invoices_AR!D396</f>
        <v>1196.89</v>
      </c>
      <c r="G399" s="18" t="n">
        <f aca="false">SUMIFS(Cash_Receipts_AR!$E$2:$E$503,Cash_Receipts_AR!$B$2:$B$503,A399)</f>
        <v>697.9</v>
      </c>
      <c r="H399" s="18" t="n">
        <f aca="false">F399-G399</f>
        <v>498.99</v>
      </c>
      <c r="I399" s="16" t="n">
        <f aca="false">IF(H399&lt;=0.01,0,MAX(Assumptions!$B$5-E399,0))</f>
        <v>289</v>
      </c>
      <c r="J399" s="16" t="str">
        <f aca="false">IF(H399&lt;=0.01,"Paid",IF(I399&lt;=30,"0-30",IF(I399&lt;=60,"31-60",IF(I399&lt;=90,"61-90","90+"))))</f>
        <v>90+</v>
      </c>
      <c r="K399" s="16" t="str">
        <f aca="false">IF(H399&lt;=0.01,"Paid",IF(G399&gt;0,"Partially Paid","Unpaid"))</f>
        <v>Partially Paid</v>
      </c>
    </row>
    <row r="400" customFormat="false" ht="15" hidden="false" customHeight="false" outlineLevel="0" collapsed="false">
      <c r="A400" s="16" t="str">
        <f aca="false">Customer_Invoices_AR!A397</f>
        <v>ARI60396</v>
      </c>
      <c r="B400" s="16" t="str">
        <f aca="false">Customer_Invoices_AR!B397</f>
        <v>C2025</v>
      </c>
      <c r="C400" s="16" t="str">
        <f aca="false">IFERROR(INDEX(Customer_Master!$B$2:$B$31,MATCH(B400,Customer_Master!$A$2:$A$31,0)),"Unknown Customer")</f>
        <v>Daniels, Adkins and Brown</v>
      </c>
      <c r="D400" s="17" t="n">
        <f aca="false">Customer_Invoices_AR!C397</f>
        <v>46006</v>
      </c>
      <c r="E400" s="17" t="n">
        <f aca="false">Customer_Invoices_AR!E397</f>
        <v>46021</v>
      </c>
      <c r="F400" s="18" t="n">
        <f aca="false">Customer_Invoices_AR!D397</f>
        <v>946.3</v>
      </c>
      <c r="G400" s="18" t="n">
        <f aca="false">SUMIFS(Cash_Receipts_AR!$E$2:$E$503,Cash_Receipts_AR!$B$2:$B$503,A400)</f>
        <v>946.3</v>
      </c>
      <c r="H400" s="18" t="n">
        <f aca="false">F400-G400</f>
        <v>0</v>
      </c>
      <c r="I400" s="16" t="n">
        <f aca="false">IF(H400&lt;=0.01,0,MAX(Assumptions!$B$5-E400,0))</f>
        <v>0</v>
      </c>
      <c r="J400" s="16" t="str">
        <f aca="false">IF(H400&lt;=0.01,"Paid",IF(I400&lt;=30,"0-30",IF(I400&lt;=60,"31-60",IF(I400&lt;=90,"61-90","90+"))))</f>
        <v>Paid</v>
      </c>
      <c r="K400" s="16" t="str">
        <f aca="false">IF(H400&lt;=0.01,"Paid",IF(G400&gt;0,"Partially Paid","Unpaid"))</f>
        <v>Paid</v>
      </c>
    </row>
    <row r="401" customFormat="false" ht="15" hidden="false" customHeight="false" outlineLevel="0" collapsed="false">
      <c r="A401" s="16" t="str">
        <f aca="false">Customer_Invoices_AR!A398</f>
        <v>ARI60397</v>
      </c>
      <c r="B401" s="16" t="str">
        <f aca="false">Customer_Invoices_AR!B398</f>
        <v>C2021</v>
      </c>
      <c r="C401" s="16" t="str">
        <f aca="false">IFERROR(INDEX(Customer_Master!$B$2:$B$31,MATCH(B401,Customer_Master!$A$2:$A$31,0)),"Unknown Customer")</f>
        <v>House-Glover</v>
      </c>
      <c r="D401" s="17" t="n">
        <f aca="false">Customer_Invoices_AR!C398</f>
        <v>45929</v>
      </c>
      <c r="E401" s="17" t="n">
        <f aca="false">Customer_Invoices_AR!E398</f>
        <v>45989</v>
      </c>
      <c r="F401" s="18" t="n">
        <f aca="false">Customer_Invoices_AR!D398</f>
        <v>732.62</v>
      </c>
      <c r="G401" s="18" t="n">
        <f aca="false">SUMIFS(Cash_Receipts_AR!$E$2:$E$503,Cash_Receipts_AR!$B$2:$B$503,A401)</f>
        <v>0</v>
      </c>
      <c r="H401" s="18" t="n">
        <f aca="false">F401-G401</f>
        <v>732.62</v>
      </c>
      <c r="I401" s="16" t="n">
        <f aca="false">IF(H401&lt;=0.01,0,MAX(Assumptions!$B$5-E401,0))</f>
        <v>245</v>
      </c>
      <c r="J401" s="16" t="str">
        <f aca="false">IF(H401&lt;=0.01,"Paid",IF(I401&lt;=30,"0-30",IF(I401&lt;=60,"31-60",IF(I401&lt;=90,"61-90","90+"))))</f>
        <v>90+</v>
      </c>
      <c r="K401" s="16" t="str">
        <f aca="false">IF(H401&lt;=0.01,"Paid",IF(G401&gt;0,"Partially Paid","Unpaid"))</f>
        <v>Unpaid</v>
      </c>
    </row>
    <row r="402" customFormat="false" ht="15" hidden="false" customHeight="false" outlineLevel="0" collapsed="false">
      <c r="A402" s="16" t="str">
        <f aca="false">Customer_Invoices_AR!A399</f>
        <v>ARI60398</v>
      </c>
      <c r="B402" s="16" t="str">
        <f aca="false">Customer_Invoices_AR!B399</f>
        <v>C2003</v>
      </c>
      <c r="C402" s="16" t="str">
        <f aca="false">IFERROR(INDEX(Customer_Master!$B$2:$B$31,MATCH(B402,Customer_Master!$A$2:$A$31,0)),"Unknown Customer")</f>
        <v>Robinson, Jones and Welch</v>
      </c>
      <c r="D402" s="17" t="n">
        <f aca="false">Customer_Invoices_AR!C399</f>
        <v>45999</v>
      </c>
      <c r="E402" s="17" t="n">
        <f aca="false">Customer_Invoices_AR!E399</f>
        <v>46044</v>
      </c>
      <c r="F402" s="18" t="n">
        <f aca="false">Customer_Invoices_AR!D399</f>
        <v>4247.8</v>
      </c>
      <c r="G402" s="18" t="n">
        <f aca="false">SUMIFS(Cash_Receipts_AR!$E$2:$E$503,Cash_Receipts_AR!$B$2:$B$503,A402)</f>
        <v>4247.8</v>
      </c>
      <c r="H402" s="18" t="n">
        <f aca="false">F402-G402</f>
        <v>0</v>
      </c>
      <c r="I402" s="16" t="n">
        <f aca="false">IF(H402&lt;=0.01,0,MAX(Assumptions!$B$5-E402,0))</f>
        <v>0</v>
      </c>
      <c r="J402" s="16" t="str">
        <f aca="false">IF(H402&lt;=0.01,"Paid",IF(I402&lt;=30,"0-30",IF(I402&lt;=60,"31-60",IF(I402&lt;=90,"61-90","90+"))))</f>
        <v>Paid</v>
      </c>
      <c r="K402" s="16" t="str">
        <f aca="false">IF(H402&lt;=0.01,"Paid",IF(G402&gt;0,"Partially Paid","Unpaid"))</f>
        <v>Paid</v>
      </c>
    </row>
    <row r="403" customFormat="false" ht="15" hidden="false" customHeight="false" outlineLevel="0" collapsed="false">
      <c r="A403" s="16" t="str">
        <f aca="false">Customer_Invoices_AR!A400</f>
        <v>ARI60399</v>
      </c>
      <c r="B403" s="16" t="str">
        <f aca="false">Customer_Invoices_AR!B400</f>
        <v>C2009</v>
      </c>
      <c r="C403" s="16" t="str">
        <f aca="false">IFERROR(INDEX(Customer_Master!$B$2:$B$31,MATCH(B403,Customer_Master!$A$2:$A$31,0)),"Unknown Customer")</f>
        <v>Gomez-Jenkins</v>
      </c>
      <c r="D403" s="17" t="n">
        <f aca="false">Customer_Invoices_AR!C400</f>
        <v>45815</v>
      </c>
      <c r="E403" s="17" t="n">
        <f aca="false">Customer_Invoices_AR!E400</f>
        <v>45860</v>
      </c>
      <c r="F403" s="18" t="n">
        <f aca="false">Customer_Invoices_AR!D400</f>
        <v>997.52</v>
      </c>
      <c r="G403" s="18" t="n">
        <f aca="false">SUMIFS(Cash_Receipts_AR!$E$2:$E$503,Cash_Receipts_AR!$B$2:$B$503,A403)</f>
        <v>997.52</v>
      </c>
      <c r="H403" s="18" t="n">
        <f aca="false">F403-G403</f>
        <v>0</v>
      </c>
      <c r="I403" s="16" t="n">
        <f aca="false">IF(H403&lt;=0.01,0,MAX(Assumptions!$B$5-E403,0))</f>
        <v>0</v>
      </c>
      <c r="J403" s="16" t="str">
        <f aca="false">IF(H403&lt;=0.01,"Paid",IF(I403&lt;=30,"0-30",IF(I403&lt;=60,"31-60",IF(I403&lt;=90,"61-90","90+"))))</f>
        <v>Paid</v>
      </c>
      <c r="K403" s="16" t="str">
        <f aca="false">IF(H403&lt;=0.01,"Paid",IF(G403&gt;0,"Partially Paid","Unpaid"))</f>
        <v>Paid</v>
      </c>
    </row>
    <row r="404" customFormat="false" ht="15" hidden="false" customHeight="false" outlineLevel="0" collapsed="false">
      <c r="A404" s="16" t="str">
        <f aca="false">Customer_Invoices_AR!A401</f>
        <v>ARI60400</v>
      </c>
      <c r="B404" s="16" t="str">
        <f aca="false">Customer_Invoices_AR!B401</f>
        <v>C2010</v>
      </c>
      <c r="C404" s="16" t="str">
        <f aca="false">IFERROR(INDEX(Customer_Master!$B$2:$B$31,MATCH(B404,Customer_Master!$A$2:$A$31,0)),"Unknown Customer")</f>
        <v>Brown, Valdez and Lucas</v>
      </c>
      <c r="D404" s="17" t="n">
        <f aca="false">Customer_Invoices_AR!C401</f>
        <v>46179</v>
      </c>
      <c r="E404" s="17" t="n">
        <f aca="false">Customer_Invoices_AR!E401</f>
        <v>46239</v>
      </c>
      <c r="F404" s="18" t="n">
        <f aca="false">Customer_Invoices_AR!D401</f>
        <v>10413.39</v>
      </c>
      <c r="G404" s="18" t="n">
        <f aca="false">SUMIFS(Cash_Receipts_AR!$E$2:$E$503,Cash_Receipts_AR!$B$2:$B$503,A404)</f>
        <v>10413.39</v>
      </c>
      <c r="H404" s="18" t="n">
        <f aca="false">F404-G404</f>
        <v>0</v>
      </c>
      <c r="I404" s="16" t="n">
        <f aca="false">IF(H404&lt;=0.01,0,MAX(Assumptions!$B$5-E404,0))</f>
        <v>0</v>
      </c>
      <c r="J404" s="16" t="str">
        <f aca="false">IF(H404&lt;=0.01,"Paid",IF(I404&lt;=30,"0-30",IF(I404&lt;=60,"31-60",IF(I404&lt;=90,"61-90","90+"))))</f>
        <v>Paid</v>
      </c>
      <c r="K404" s="16" t="str">
        <f aca="false">IF(H404&lt;=0.01,"Paid",IF(G404&gt;0,"Partially Paid","Unpaid"))</f>
        <v>Paid</v>
      </c>
    </row>
    <row r="405" customFormat="false" ht="15" hidden="false" customHeight="false" outlineLevel="0" collapsed="false">
      <c r="A405" s="16" t="str">
        <f aca="false">Customer_Invoices_AR!A402</f>
        <v>ARI60401</v>
      </c>
      <c r="B405" s="16" t="str">
        <f aca="false">Customer_Invoices_AR!B402</f>
        <v>C2009</v>
      </c>
      <c r="C405" s="16" t="str">
        <f aca="false">IFERROR(INDEX(Customer_Master!$B$2:$B$31,MATCH(B405,Customer_Master!$A$2:$A$31,0)),"Unknown Customer")</f>
        <v>Gomez-Jenkins</v>
      </c>
      <c r="D405" s="17" t="n">
        <f aca="false">Customer_Invoices_AR!C402</f>
        <v>45921</v>
      </c>
      <c r="E405" s="17" t="n">
        <f aca="false">Customer_Invoices_AR!E402</f>
        <v>45966</v>
      </c>
      <c r="F405" s="18" t="n">
        <f aca="false">Customer_Invoices_AR!D402</f>
        <v>2307.22</v>
      </c>
      <c r="G405" s="18" t="n">
        <f aca="false">SUMIFS(Cash_Receipts_AR!$E$2:$E$503,Cash_Receipts_AR!$B$2:$B$503,A405)</f>
        <v>943.11</v>
      </c>
      <c r="H405" s="18" t="n">
        <f aca="false">F405-G405</f>
        <v>1364.11</v>
      </c>
      <c r="I405" s="16" t="n">
        <f aca="false">IF(H405&lt;=0.01,0,MAX(Assumptions!$B$5-E405,0))</f>
        <v>268</v>
      </c>
      <c r="J405" s="16" t="str">
        <f aca="false">IF(H405&lt;=0.01,"Paid",IF(I405&lt;=30,"0-30",IF(I405&lt;=60,"31-60",IF(I405&lt;=90,"61-90","90+"))))</f>
        <v>90+</v>
      </c>
      <c r="K405" s="16" t="str">
        <f aca="false">IF(H405&lt;=0.01,"Paid",IF(G405&gt;0,"Partially Paid","Unpaid"))</f>
        <v>Partially Paid</v>
      </c>
    </row>
    <row r="406" customFormat="false" ht="15" hidden="false" customHeight="false" outlineLevel="0" collapsed="false">
      <c r="A406" s="16" t="str">
        <f aca="false">Customer_Invoices_AR!A403</f>
        <v>ARI60402</v>
      </c>
      <c r="B406" s="16" t="str">
        <f aca="false">Customer_Invoices_AR!B403</f>
        <v>C2024</v>
      </c>
      <c r="C406" s="16" t="str">
        <f aca="false">IFERROR(INDEX(Customer_Master!$B$2:$B$31,MATCH(B406,Customer_Master!$A$2:$A$31,0)),"Unknown Customer")</f>
        <v>Novak PLC</v>
      </c>
      <c r="D406" s="17" t="n">
        <f aca="false">Customer_Invoices_AR!C403</f>
        <v>46096</v>
      </c>
      <c r="E406" s="17" t="n">
        <f aca="false">Customer_Invoices_AR!E403</f>
        <v>46156</v>
      </c>
      <c r="F406" s="18" t="n">
        <f aca="false">Customer_Invoices_AR!D403</f>
        <v>5069.23</v>
      </c>
      <c r="G406" s="18" t="n">
        <f aca="false">SUMIFS(Cash_Receipts_AR!$E$2:$E$503,Cash_Receipts_AR!$B$2:$B$503,A406)</f>
        <v>5069.23</v>
      </c>
      <c r="H406" s="18" t="n">
        <f aca="false">F406-G406</f>
        <v>0</v>
      </c>
      <c r="I406" s="16" t="n">
        <f aca="false">IF(H406&lt;=0.01,0,MAX(Assumptions!$B$5-E406,0))</f>
        <v>0</v>
      </c>
      <c r="J406" s="16" t="str">
        <f aca="false">IF(H406&lt;=0.01,"Paid",IF(I406&lt;=30,"0-30",IF(I406&lt;=60,"31-60",IF(I406&lt;=90,"61-90","90+"))))</f>
        <v>Paid</v>
      </c>
      <c r="K406" s="16" t="str">
        <f aca="false">IF(H406&lt;=0.01,"Paid",IF(G406&gt;0,"Partially Paid","Unpaid"))</f>
        <v>Paid</v>
      </c>
    </row>
    <row r="407" customFormat="false" ht="15" hidden="false" customHeight="false" outlineLevel="0" collapsed="false">
      <c r="A407" s="16" t="str">
        <f aca="false">Customer_Invoices_AR!A404</f>
        <v>ARI60403</v>
      </c>
      <c r="B407" s="16" t="str">
        <f aca="false">Customer_Invoices_AR!B404</f>
        <v>C2029</v>
      </c>
      <c r="C407" s="16" t="str">
        <f aca="false">IFERROR(INDEX(Customer_Master!$B$2:$B$31,MATCH(B407,Customer_Master!$A$2:$A$31,0)),"Unknown Customer")</f>
        <v>Hensley, Powell and David</v>
      </c>
      <c r="D407" s="17" t="n">
        <f aca="false">Customer_Invoices_AR!C404</f>
        <v>46031</v>
      </c>
      <c r="E407" s="17" t="n">
        <f aca="false">Customer_Invoices_AR!E404</f>
        <v>46091</v>
      </c>
      <c r="F407" s="18" t="n">
        <f aca="false">Customer_Invoices_AR!D404</f>
        <v>1487.62</v>
      </c>
      <c r="G407" s="18" t="n">
        <f aca="false">SUMIFS(Cash_Receipts_AR!$E$2:$E$503,Cash_Receipts_AR!$B$2:$B$503,A407)</f>
        <v>0</v>
      </c>
      <c r="H407" s="18" t="n">
        <f aca="false">F407-G407</f>
        <v>1487.62</v>
      </c>
      <c r="I407" s="16" t="n">
        <f aca="false">IF(H407&lt;=0.01,0,MAX(Assumptions!$B$5-E407,0))</f>
        <v>143</v>
      </c>
      <c r="J407" s="16" t="str">
        <f aca="false">IF(H407&lt;=0.01,"Paid",IF(I407&lt;=30,"0-30",IF(I407&lt;=60,"31-60",IF(I407&lt;=90,"61-90","90+"))))</f>
        <v>90+</v>
      </c>
      <c r="K407" s="16" t="str">
        <f aca="false">IF(H407&lt;=0.01,"Paid",IF(G407&gt;0,"Partially Paid","Unpaid"))</f>
        <v>Unpaid</v>
      </c>
    </row>
    <row r="408" customFormat="false" ht="15" hidden="false" customHeight="false" outlineLevel="0" collapsed="false">
      <c r="A408" s="16" t="str">
        <f aca="false">Customer_Invoices_AR!A405</f>
        <v>ARI60404</v>
      </c>
      <c r="B408" s="16" t="str">
        <f aca="false">Customer_Invoices_AR!B405</f>
        <v>C2028</v>
      </c>
      <c r="C408" s="16" t="str">
        <f aca="false">IFERROR(INDEX(Customer_Master!$B$2:$B$31,MATCH(B408,Customer_Master!$A$2:$A$31,0)),"Unknown Customer")</f>
        <v>Jones Inc</v>
      </c>
      <c r="D408" s="17" t="n">
        <f aca="false">Customer_Invoices_AR!C405</f>
        <v>45820</v>
      </c>
      <c r="E408" s="17" t="n">
        <f aca="false">Customer_Invoices_AR!E405</f>
        <v>45835</v>
      </c>
      <c r="F408" s="18" t="n">
        <f aca="false">Customer_Invoices_AR!D405</f>
        <v>1687.78</v>
      </c>
      <c r="G408" s="18" t="n">
        <f aca="false">SUMIFS(Cash_Receipts_AR!$E$2:$E$503,Cash_Receipts_AR!$B$2:$B$503,A408)</f>
        <v>0</v>
      </c>
      <c r="H408" s="18" t="n">
        <f aca="false">F408-G408</f>
        <v>1687.78</v>
      </c>
      <c r="I408" s="16" t="n">
        <f aca="false">IF(H408&lt;=0.01,0,MAX(Assumptions!$B$5-E408,0))</f>
        <v>399</v>
      </c>
      <c r="J408" s="16" t="str">
        <f aca="false">IF(H408&lt;=0.01,"Paid",IF(I408&lt;=30,"0-30",IF(I408&lt;=60,"31-60",IF(I408&lt;=90,"61-90","90+"))))</f>
        <v>90+</v>
      </c>
      <c r="K408" s="16" t="str">
        <f aca="false">IF(H408&lt;=0.01,"Paid",IF(G408&gt;0,"Partially Paid","Unpaid"))</f>
        <v>Unpaid</v>
      </c>
    </row>
    <row r="409" customFormat="false" ht="15" hidden="false" customHeight="false" outlineLevel="0" collapsed="false">
      <c r="A409" s="16" t="str">
        <f aca="false">Customer_Invoices_AR!A406</f>
        <v>ARI60405</v>
      </c>
      <c r="B409" s="16" t="str">
        <f aca="false">Customer_Invoices_AR!B406</f>
        <v>C2024</v>
      </c>
      <c r="C409" s="16" t="str">
        <f aca="false">IFERROR(INDEX(Customer_Master!$B$2:$B$31,MATCH(B409,Customer_Master!$A$2:$A$31,0)),"Unknown Customer")</f>
        <v>Novak PLC</v>
      </c>
      <c r="D409" s="17" t="n">
        <f aca="false">Customer_Invoices_AR!C406</f>
        <v>45697</v>
      </c>
      <c r="E409" s="17" t="n">
        <f aca="false">Customer_Invoices_AR!E406</f>
        <v>45757</v>
      </c>
      <c r="F409" s="18" t="n">
        <f aca="false">Customer_Invoices_AR!D406</f>
        <v>4698.15</v>
      </c>
      <c r="G409" s="18" t="n">
        <f aca="false">SUMIFS(Cash_Receipts_AR!$E$2:$E$503,Cash_Receipts_AR!$B$2:$B$503,A409)</f>
        <v>4698.15</v>
      </c>
      <c r="H409" s="18" t="n">
        <f aca="false">F409-G409</f>
        <v>0</v>
      </c>
      <c r="I409" s="16" t="n">
        <f aca="false">IF(H409&lt;=0.01,0,MAX(Assumptions!$B$5-E409,0))</f>
        <v>0</v>
      </c>
      <c r="J409" s="16" t="str">
        <f aca="false">IF(H409&lt;=0.01,"Paid",IF(I409&lt;=30,"0-30",IF(I409&lt;=60,"31-60",IF(I409&lt;=90,"61-90","90+"))))</f>
        <v>Paid</v>
      </c>
      <c r="K409" s="16" t="str">
        <f aca="false">IF(H409&lt;=0.01,"Paid",IF(G409&gt;0,"Partially Paid","Unpaid"))</f>
        <v>Paid</v>
      </c>
    </row>
    <row r="410" customFormat="false" ht="15" hidden="false" customHeight="false" outlineLevel="0" collapsed="false">
      <c r="A410" s="16" t="str">
        <f aca="false">Customer_Invoices_AR!A407</f>
        <v>ARI60406</v>
      </c>
      <c r="B410" s="16" t="str">
        <f aca="false">Customer_Invoices_AR!B407</f>
        <v>C2006</v>
      </c>
      <c r="C410" s="16" t="str">
        <f aca="false">IFERROR(INDEX(Customer_Master!$B$2:$B$31,MATCH(B410,Customer_Master!$A$2:$A$31,0)),"Unknown Customer")</f>
        <v>Washington, Ryan and Cummings</v>
      </c>
      <c r="D410" s="17" t="n">
        <f aca="false">Customer_Invoices_AR!C407</f>
        <v>45690</v>
      </c>
      <c r="E410" s="17" t="n">
        <f aca="false">Customer_Invoices_AR!E407</f>
        <v>45705</v>
      </c>
      <c r="F410" s="18" t="n">
        <f aca="false">Customer_Invoices_AR!D407</f>
        <v>3813</v>
      </c>
      <c r="G410" s="18" t="n">
        <f aca="false">SUMIFS(Cash_Receipts_AR!$E$2:$E$503,Cash_Receipts_AR!$B$2:$B$503,A410)</f>
        <v>3813</v>
      </c>
      <c r="H410" s="18" t="n">
        <f aca="false">F410-G410</f>
        <v>0</v>
      </c>
      <c r="I410" s="16" t="n">
        <f aca="false">IF(H410&lt;=0.01,0,MAX(Assumptions!$B$5-E410,0))</f>
        <v>0</v>
      </c>
      <c r="J410" s="16" t="str">
        <f aca="false">IF(H410&lt;=0.01,"Paid",IF(I410&lt;=30,"0-30",IF(I410&lt;=60,"31-60",IF(I410&lt;=90,"61-90","90+"))))</f>
        <v>Paid</v>
      </c>
      <c r="K410" s="16" t="str">
        <f aca="false">IF(H410&lt;=0.01,"Paid",IF(G410&gt;0,"Partially Paid","Unpaid"))</f>
        <v>Paid</v>
      </c>
    </row>
    <row r="411" customFormat="false" ht="15" hidden="false" customHeight="false" outlineLevel="0" collapsed="false">
      <c r="A411" s="16" t="str">
        <f aca="false">Customer_Invoices_AR!A408</f>
        <v>ARI60407</v>
      </c>
      <c r="B411" s="16" t="str">
        <f aca="false">Customer_Invoices_AR!B408</f>
        <v>C2003</v>
      </c>
      <c r="C411" s="16" t="str">
        <f aca="false">IFERROR(INDEX(Customer_Master!$B$2:$B$31,MATCH(B411,Customer_Master!$A$2:$A$31,0)),"Unknown Customer")</f>
        <v>Robinson, Jones and Welch</v>
      </c>
      <c r="D411" s="17" t="n">
        <f aca="false">Customer_Invoices_AR!C408</f>
        <v>45897</v>
      </c>
      <c r="E411" s="17" t="n">
        <f aca="false">Customer_Invoices_AR!E408</f>
        <v>45942</v>
      </c>
      <c r="F411" s="18" t="n">
        <f aca="false">Customer_Invoices_AR!D408</f>
        <v>218.48</v>
      </c>
      <c r="G411" s="18" t="n">
        <f aca="false">SUMIFS(Cash_Receipts_AR!$E$2:$E$503,Cash_Receipts_AR!$B$2:$B$503,A411)</f>
        <v>99.46</v>
      </c>
      <c r="H411" s="18" t="n">
        <f aca="false">F411-G411</f>
        <v>119.02</v>
      </c>
      <c r="I411" s="16" t="n">
        <f aca="false">IF(H411&lt;=0.01,0,MAX(Assumptions!$B$5-E411,0))</f>
        <v>292</v>
      </c>
      <c r="J411" s="16" t="str">
        <f aca="false">IF(H411&lt;=0.01,"Paid",IF(I411&lt;=30,"0-30",IF(I411&lt;=60,"31-60",IF(I411&lt;=90,"61-90","90+"))))</f>
        <v>90+</v>
      </c>
      <c r="K411" s="16" t="str">
        <f aca="false">IF(H411&lt;=0.01,"Paid",IF(G411&gt;0,"Partially Paid","Unpaid"))</f>
        <v>Partially Paid</v>
      </c>
    </row>
    <row r="412" customFormat="false" ht="15" hidden="false" customHeight="false" outlineLevel="0" collapsed="false">
      <c r="A412" s="16" t="str">
        <f aca="false">Customer_Invoices_AR!A409</f>
        <v>ARI60408</v>
      </c>
      <c r="B412" s="16" t="str">
        <f aca="false">Customer_Invoices_AR!B409</f>
        <v>C2030</v>
      </c>
      <c r="C412" s="16" t="str">
        <f aca="false">IFERROR(INDEX(Customer_Master!$B$2:$B$31,MATCH(B412,Customer_Master!$A$2:$A$31,0)),"Unknown Customer")</f>
        <v>Sanchez, Wheeler and Harvey</v>
      </c>
      <c r="D412" s="17" t="n">
        <f aca="false">Customer_Invoices_AR!C409</f>
        <v>45921</v>
      </c>
      <c r="E412" s="17" t="n">
        <f aca="false">Customer_Invoices_AR!E409</f>
        <v>45936</v>
      </c>
      <c r="F412" s="18" t="n">
        <f aca="false">Customer_Invoices_AR!D409</f>
        <v>3810.71</v>
      </c>
      <c r="G412" s="18" t="n">
        <f aca="false">SUMIFS(Cash_Receipts_AR!$E$2:$E$503,Cash_Receipts_AR!$B$2:$B$503,A412)</f>
        <v>3810.71</v>
      </c>
      <c r="H412" s="18" t="n">
        <f aca="false">F412-G412</f>
        <v>0</v>
      </c>
      <c r="I412" s="16" t="n">
        <f aca="false">IF(H412&lt;=0.01,0,MAX(Assumptions!$B$5-E412,0))</f>
        <v>0</v>
      </c>
      <c r="J412" s="16" t="str">
        <f aca="false">IF(H412&lt;=0.01,"Paid",IF(I412&lt;=30,"0-30",IF(I412&lt;=60,"31-60",IF(I412&lt;=90,"61-90","90+"))))</f>
        <v>Paid</v>
      </c>
      <c r="K412" s="16" t="str">
        <f aca="false">IF(H412&lt;=0.01,"Paid",IF(G412&gt;0,"Partially Paid","Unpaid"))</f>
        <v>Paid</v>
      </c>
    </row>
    <row r="413" customFormat="false" ht="15" hidden="false" customHeight="false" outlineLevel="0" collapsed="false">
      <c r="A413" s="16" t="str">
        <f aca="false">Customer_Invoices_AR!A410</f>
        <v>ARI60409</v>
      </c>
      <c r="B413" s="16" t="str">
        <f aca="false">Customer_Invoices_AR!B410</f>
        <v>C2009</v>
      </c>
      <c r="C413" s="16" t="str">
        <f aca="false">IFERROR(INDEX(Customer_Master!$B$2:$B$31,MATCH(B413,Customer_Master!$A$2:$A$31,0)),"Unknown Customer")</f>
        <v>Gomez-Jenkins</v>
      </c>
      <c r="D413" s="17" t="n">
        <f aca="false">Customer_Invoices_AR!C410</f>
        <v>45769</v>
      </c>
      <c r="E413" s="17" t="n">
        <f aca="false">Customer_Invoices_AR!E410</f>
        <v>45814</v>
      </c>
      <c r="F413" s="18" t="n">
        <f aca="false">Customer_Invoices_AR!D410</f>
        <v>565.3</v>
      </c>
      <c r="G413" s="18" t="n">
        <f aca="false">SUMIFS(Cash_Receipts_AR!$E$2:$E$503,Cash_Receipts_AR!$B$2:$B$503,A413)</f>
        <v>565.3</v>
      </c>
      <c r="H413" s="18" t="n">
        <f aca="false">F413-G413</f>
        <v>0</v>
      </c>
      <c r="I413" s="16" t="n">
        <f aca="false">IF(H413&lt;=0.01,0,MAX(Assumptions!$B$5-E413,0))</f>
        <v>0</v>
      </c>
      <c r="J413" s="16" t="str">
        <f aca="false">IF(H413&lt;=0.01,"Paid",IF(I413&lt;=30,"0-30",IF(I413&lt;=60,"31-60",IF(I413&lt;=90,"61-90","90+"))))</f>
        <v>Paid</v>
      </c>
      <c r="K413" s="16" t="str">
        <f aca="false">IF(H413&lt;=0.01,"Paid",IF(G413&gt;0,"Partially Paid","Unpaid"))</f>
        <v>Paid</v>
      </c>
    </row>
    <row r="414" customFormat="false" ht="15" hidden="false" customHeight="false" outlineLevel="0" collapsed="false">
      <c r="A414" s="16" t="str">
        <f aca="false">Customer_Invoices_AR!A411</f>
        <v>ARI60410</v>
      </c>
      <c r="B414" s="16" t="str">
        <f aca="false">Customer_Invoices_AR!B411</f>
        <v>C2011</v>
      </c>
      <c r="C414" s="16" t="str">
        <f aca="false">IFERROR(INDEX(Customer_Master!$B$2:$B$31,MATCH(B414,Customer_Master!$A$2:$A$31,0)),"Unknown Customer")</f>
        <v>Powell LLC</v>
      </c>
      <c r="D414" s="17" t="n">
        <f aca="false">Customer_Invoices_AR!C411</f>
        <v>45988</v>
      </c>
      <c r="E414" s="17" t="n">
        <f aca="false">Customer_Invoices_AR!E411</f>
        <v>46018</v>
      </c>
      <c r="F414" s="18" t="n">
        <f aca="false">Customer_Invoices_AR!D411</f>
        <v>2273.13</v>
      </c>
      <c r="G414" s="18" t="n">
        <f aca="false">SUMIFS(Cash_Receipts_AR!$E$2:$E$503,Cash_Receipts_AR!$B$2:$B$503,A414)</f>
        <v>2273.13</v>
      </c>
      <c r="H414" s="18" t="n">
        <f aca="false">F414-G414</f>
        <v>0</v>
      </c>
      <c r="I414" s="16" t="n">
        <f aca="false">IF(H414&lt;=0.01,0,MAX(Assumptions!$B$5-E414,0))</f>
        <v>0</v>
      </c>
      <c r="J414" s="16" t="str">
        <f aca="false">IF(H414&lt;=0.01,"Paid",IF(I414&lt;=30,"0-30",IF(I414&lt;=60,"31-60",IF(I414&lt;=90,"61-90","90+"))))</f>
        <v>Paid</v>
      </c>
      <c r="K414" s="16" t="str">
        <f aca="false">IF(H414&lt;=0.01,"Paid",IF(G414&gt;0,"Partially Paid","Unpaid"))</f>
        <v>Paid</v>
      </c>
    </row>
    <row r="415" customFormat="false" ht="15" hidden="false" customHeight="false" outlineLevel="0" collapsed="false">
      <c r="A415" s="16" t="str">
        <f aca="false">Customer_Invoices_AR!A412</f>
        <v>ARI60411</v>
      </c>
      <c r="B415" s="16" t="str">
        <f aca="false">Customer_Invoices_AR!B412</f>
        <v>C2030</v>
      </c>
      <c r="C415" s="16" t="str">
        <f aca="false">IFERROR(INDEX(Customer_Master!$B$2:$B$31,MATCH(B415,Customer_Master!$A$2:$A$31,0)),"Unknown Customer")</f>
        <v>Sanchez, Wheeler and Harvey</v>
      </c>
      <c r="D415" s="17" t="n">
        <f aca="false">Customer_Invoices_AR!C412</f>
        <v>45828</v>
      </c>
      <c r="E415" s="17" t="n">
        <f aca="false">Customer_Invoices_AR!E412</f>
        <v>45843</v>
      </c>
      <c r="F415" s="18" t="n">
        <f aca="false">Customer_Invoices_AR!D412</f>
        <v>4159.74</v>
      </c>
      <c r="G415" s="18" t="n">
        <f aca="false">SUMIFS(Cash_Receipts_AR!$E$2:$E$503,Cash_Receipts_AR!$B$2:$B$503,A415)</f>
        <v>4159.74</v>
      </c>
      <c r="H415" s="18" t="n">
        <f aca="false">F415-G415</f>
        <v>0</v>
      </c>
      <c r="I415" s="16" t="n">
        <f aca="false">IF(H415&lt;=0.01,0,MAX(Assumptions!$B$5-E415,0))</f>
        <v>0</v>
      </c>
      <c r="J415" s="16" t="str">
        <f aca="false">IF(H415&lt;=0.01,"Paid",IF(I415&lt;=30,"0-30",IF(I415&lt;=60,"31-60",IF(I415&lt;=90,"61-90","90+"))))</f>
        <v>Paid</v>
      </c>
      <c r="K415" s="16" t="str">
        <f aca="false">IF(H415&lt;=0.01,"Paid",IF(G415&gt;0,"Partially Paid","Unpaid"))</f>
        <v>Paid</v>
      </c>
    </row>
    <row r="416" customFormat="false" ht="15" hidden="false" customHeight="false" outlineLevel="0" collapsed="false">
      <c r="A416" s="16" t="str">
        <f aca="false">Customer_Invoices_AR!A413</f>
        <v>ARI60412</v>
      </c>
      <c r="B416" s="16" t="str">
        <f aca="false">Customer_Invoices_AR!B413</f>
        <v>C2017</v>
      </c>
      <c r="C416" s="16" t="str">
        <f aca="false">IFERROR(INDEX(Customer_Master!$B$2:$B$31,MATCH(B416,Customer_Master!$A$2:$A$31,0)),"Unknown Customer")</f>
        <v>Novak and Sons</v>
      </c>
      <c r="D416" s="17" t="n">
        <f aca="false">Customer_Invoices_AR!C413</f>
        <v>46049</v>
      </c>
      <c r="E416" s="17" t="n">
        <f aca="false">Customer_Invoices_AR!E413</f>
        <v>46064</v>
      </c>
      <c r="F416" s="18" t="n">
        <f aca="false">Customer_Invoices_AR!D413</f>
        <v>2037.81</v>
      </c>
      <c r="G416" s="18" t="n">
        <f aca="false">SUMIFS(Cash_Receipts_AR!$E$2:$E$503,Cash_Receipts_AR!$B$2:$B$503,A416)</f>
        <v>2037.81</v>
      </c>
      <c r="H416" s="18" t="n">
        <f aca="false">F416-G416</f>
        <v>0</v>
      </c>
      <c r="I416" s="16" t="n">
        <f aca="false">IF(H416&lt;=0.01,0,MAX(Assumptions!$B$5-E416,0))</f>
        <v>0</v>
      </c>
      <c r="J416" s="16" t="str">
        <f aca="false">IF(H416&lt;=0.01,"Paid",IF(I416&lt;=30,"0-30",IF(I416&lt;=60,"31-60",IF(I416&lt;=90,"61-90","90+"))))</f>
        <v>Paid</v>
      </c>
      <c r="K416" s="16" t="str">
        <f aca="false">IF(H416&lt;=0.01,"Paid",IF(G416&gt;0,"Partially Paid","Unpaid"))</f>
        <v>Paid</v>
      </c>
    </row>
    <row r="417" customFormat="false" ht="15" hidden="false" customHeight="false" outlineLevel="0" collapsed="false">
      <c r="A417" s="16" t="str">
        <f aca="false">Customer_Invoices_AR!A414</f>
        <v>ARI60413</v>
      </c>
      <c r="B417" s="16" t="str">
        <f aca="false">Customer_Invoices_AR!B414</f>
        <v>C2025</v>
      </c>
      <c r="C417" s="16" t="str">
        <f aca="false">IFERROR(INDEX(Customer_Master!$B$2:$B$31,MATCH(B417,Customer_Master!$A$2:$A$31,0)),"Unknown Customer")</f>
        <v>Daniels, Adkins and Brown</v>
      </c>
      <c r="D417" s="17" t="n">
        <f aca="false">Customer_Invoices_AR!C414</f>
        <v>46058</v>
      </c>
      <c r="E417" s="17" t="n">
        <f aca="false">Customer_Invoices_AR!E414</f>
        <v>46073</v>
      </c>
      <c r="F417" s="18" t="n">
        <f aca="false">Customer_Invoices_AR!D414</f>
        <v>3025</v>
      </c>
      <c r="G417" s="18" t="n">
        <f aca="false">SUMIFS(Cash_Receipts_AR!$E$2:$E$503,Cash_Receipts_AR!$B$2:$B$503,A417)</f>
        <v>3025</v>
      </c>
      <c r="H417" s="18" t="n">
        <f aca="false">F417-G417</f>
        <v>0</v>
      </c>
      <c r="I417" s="16" t="n">
        <f aca="false">IF(H417&lt;=0.01,0,MAX(Assumptions!$B$5-E417,0))</f>
        <v>0</v>
      </c>
      <c r="J417" s="16" t="str">
        <f aca="false">IF(H417&lt;=0.01,"Paid",IF(I417&lt;=30,"0-30",IF(I417&lt;=60,"31-60",IF(I417&lt;=90,"61-90","90+"))))</f>
        <v>Paid</v>
      </c>
      <c r="K417" s="16" t="str">
        <f aca="false">IF(H417&lt;=0.01,"Paid",IF(G417&gt;0,"Partially Paid","Unpaid"))</f>
        <v>Paid</v>
      </c>
    </row>
    <row r="418" customFormat="false" ht="15" hidden="false" customHeight="false" outlineLevel="0" collapsed="false">
      <c r="A418" s="16" t="str">
        <f aca="false">Customer_Invoices_AR!A415</f>
        <v>ARI60414</v>
      </c>
      <c r="B418" s="16" t="str">
        <f aca="false">Customer_Invoices_AR!B415</f>
        <v>C2009</v>
      </c>
      <c r="C418" s="16" t="str">
        <f aca="false">IFERROR(INDEX(Customer_Master!$B$2:$B$31,MATCH(B418,Customer_Master!$A$2:$A$31,0)),"Unknown Customer")</f>
        <v>Gomez-Jenkins</v>
      </c>
      <c r="D418" s="17" t="n">
        <f aca="false">Customer_Invoices_AR!C415</f>
        <v>46127</v>
      </c>
      <c r="E418" s="17" t="n">
        <f aca="false">Customer_Invoices_AR!E415</f>
        <v>46172</v>
      </c>
      <c r="F418" s="18" t="n">
        <f aca="false">Customer_Invoices_AR!D415</f>
        <v>5874.07</v>
      </c>
      <c r="G418" s="18" t="n">
        <f aca="false">SUMIFS(Cash_Receipts_AR!$E$2:$E$503,Cash_Receipts_AR!$B$2:$B$503,A418)</f>
        <v>5874.07</v>
      </c>
      <c r="H418" s="18" t="n">
        <f aca="false">F418-G418</f>
        <v>0</v>
      </c>
      <c r="I418" s="16" t="n">
        <f aca="false">IF(H418&lt;=0.01,0,MAX(Assumptions!$B$5-E418,0))</f>
        <v>0</v>
      </c>
      <c r="J418" s="16" t="str">
        <f aca="false">IF(H418&lt;=0.01,"Paid",IF(I418&lt;=30,"0-30",IF(I418&lt;=60,"31-60",IF(I418&lt;=90,"61-90","90+"))))</f>
        <v>Paid</v>
      </c>
      <c r="K418" s="16" t="str">
        <f aca="false">IF(H418&lt;=0.01,"Paid",IF(G418&gt;0,"Partially Paid","Unpaid"))</f>
        <v>Paid</v>
      </c>
    </row>
    <row r="419" customFormat="false" ht="15" hidden="false" customHeight="false" outlineLevel="0" collapsed="false">
      <c r="A419" s="16" t="str">
        <f aca="false">Customer_Invoices_AR!A416</f>
        <v>ARI60415</v>
      </c>
      <c r="B419" s="16" t="str">
        <f aca="false">Customer_Invoices_AR!B416</f>
        <v>C2024</v>
      </c>
      <c r="C419" s="16" t="str">
        <f aca="false">IFERROR(INDEX(Customer_Master!$B$2:$B$31,MATCH(B419,Customer_Master!$A$2:$A$31,0)),"Unknown Customer")</f>
        <v>Novak PLC</v>
      </c>
      <c r="D419" s="17" t="n">
        <f aca="false">Customer_Invoices_AR!C416</f>
        <v>46189</v>
      </c>
      <c r="E419" s="17" t="n">
        <f aca="false">Customer_Invoices_AR!E416</f>
        <v>46249</v>
      </c>
      <c r="F419" s="18" t="n">
        <f aca="false">Customer_Invoices_AR!D416</f>
        <v>348.56</v>
      </c>
      <c r="G419" s="18" t="n">
        <f aca="false">SUMIFS(Cash_Receipts_AR!$E$2:$E$503,Cash_Receipts_AR!$B$2:$B$503,A419)</f>
        <v>0</v>
      </c>
      <c r="H419" s="18" t="n">
        <f aca="false">F419-G419</f>
        <v>348.56</v>
      </c>
      <c r="I419" s="16" t="n">
        <f aca="false">IF(H419&lt;=0.01,0,MAX(Assumptions!$B$5-E419,0))</f>
        <v>0</v>
      </c>
      <c r="J419" s="16" t="str">
        <f aca="false">IF(H419&lt;=0.01,"Paid",IF(I419&lt;=30,"0-30",IF(I419&lt;=60,"31-60",IF(I419&lt;=90,"61-90","90+"))))</f>
        <v>0-30</v>
      </c>
      <c r="K419" s="16" t="str">
        <f aca="false">IF(H419&lt;=0.01,"Paid",IF(G419&gt;0,"Partially Paid","Unpaid"))</f>
        <v>Unpaid</v>
      </c>
    </row>
    <row r="420" customFormat="false" ht="15" hidden="false" customHeight="false" outlineLevel="0" collapsed="false">
      <c r="A420" s="16" t="str">
        <f aca="false">Customer_Invoices_AR!A417</f>
        <v>ARI60416</v>
      </c>
      <c r="B420" s="16" t="str">
        <f aca="false">Customer_Invoices_AR!B417</f>
        <v>C2012</v>
      </c>
      <c r="C420" s="16" t="str">
        <f aca="false">IFERROR(INDEX(Customer_Master!$B$2:$B$31,MATCH(B420,Customer_Master!$A$2:$A$31,0)),"Unknown Customer")</f>
        <v>Wright and Sons</v>
      </c>
      <c r="D420" s="17" t="n">
        <f aca="false">Customer_Invoices_AR!C417</f>
        <v>45729</v>
      </c>
      <c r="E420" s="17" t="n">
        <f aca="false">Customer_Invoices_AR!E417</f>
        <v>45774</v>
      </c>
      <c r="F420" s="18" t="n">
        <f aca="false">Customer_Invoices_AR!D417</f>
        <v>2423.09</v>
      </c>
      <c r="G420" s="18" t="n">
        <f aca="false">SUMIFS(Cash_Receipts_AR!$E$2:$E$503,Cash_Receipts_AR!$B$2:$B$503,A420)</f>
        <v>2423.09</v>
      </c>
      <c r="H420" s="18" t="n">
        <f aca="false">F420-G420</f>
        <v>0</v>
      </c>
      <c r="I420" s="16" t="n">
        <f aca="false">IF(H420&lt;=0.01,0,MAX(Assumptions!$B$5-E420,0))</f>
        <v>0</v>
      </c>
      <c r="J420" s="16" t="str">
        <f aca="false">IF(H420&lt;=0.01,"Paid",IF(I420&lt;=30,"0-30",IF(I420&lt;=60,"31-60",IF(I420&lt;=90,"61-90","90+"))))</f>
        <v>Paid</v>
      </c>
      <c r="K420" s="16" t="str">
        <f aca="false">IF(H420&lt;=0.01,"Paid",IF(G420&gt;0,"Partially Paid","Unpaid"))</f>
        <v>Paid</v>
      </c>
    </row>
    <row r="421" customFormat="false" ht="15" hidden="false" customHeight="false" outlineLevel="0" collapsed="false">
      <c r="A421" s="16" t="str">
        <f aca="false">Customer_Invoices_AR!A418</f>
        <v>ARI60417</v>
      </c>
      <c r="B421" s="16" t="str">
        <f aca="false">Customer_Invoices_AR!B418</f>
        <v>C2021</v>
      </c>
      <c r="C421" s="16" t="str">
        <f aca="false">IFERROR(INDEX(Customer_Master!$B$2:$B$31,MATCH(B421,Customer_Master!$A$2:$A$31,0)),"Unknown Customer")</f>
        <v>House-Glover</v>
      </c>
      <c r="D421" s="17" t="n">
        <f aca="false">Customer_Invoices_AR!C418</f>
        <v>45859</v>
      </c>
      <c r="E421" s="17" t="n">
        <f aca="false">Customer_Invoices_AR!E418</f>
        <v>45919</v>
      </c>
      <c r="F421" s="18" t="n">
        <f aca="false">Customer_Invoices_AR!D418</f>
        <v>9976.58</v>
      </c>
      <c r="G421" s="18" t="n">
        <f aca="false">SUMIFS(Cash_Receipts_AR!$E$2:$E$503,Cash_Receipts_AR!$B$2:$B$503,A421)</f>
        <v>9976.58</v>
      </c>
      <c r="H421" s="18" t="n">
        <f aca="false">F421-G421</f>
        <v>0</v>
      </c>
      <c r="I421" s="16" t="n">
        <f aca="false">IF(H421&lt;=0.01,0,MAX(Assumptions!$B$5-E421,0))</f>
        <v>0</v>
      </c>
      <c r="J421" s="16" t="str">
        <f aca="false">IF(H421&lt;=0.01,"Paid",IF(I421&lt;=30,"0-30",IF(I421&lt;=60,"31-60",IF(I421&lt;=90,"61-90","90+"))))</f>
        <v>Paid</v>
      </c>
      <c r="K421" s="16" t="str">
        <f aca="false">IF(H421&lt;=0.01,"Paid",IF(G421&gt;0,"Partially Paid","Unpaid"))</f>
        <v>Paid</v>
      </c>
    </row>
    <row r="422" customFormat="false" ht="15" hidden="false" customHeight="false" outlineLevel="0" collapsed="false">
      <c r="A422" s="16" t="str">
        <f aca="false">Customer_Invoices_AR!A419</f>
        <v>ARI60418</v>
      </c>
      <c r="B422" s="16" t="str">
        <f aca="false">Customer_Invoices_AR!B419</f>
        <v>C2017</v>
      </c>
      <c r="C422" s="16" t="str">
        <f aca="false">IFERROR(INDEX(Customer_Master!$B$2:$B$31,MATCH(B422,Customer_Master!$A$2:$A$31,0)),"Unknown Customer")</f>
        <v>Novak and Sons</v>
      </c>
      <c r="D422" s="17" t="n">
        <f aca="false">Customer_Invoices_AR!C419</f>
        <v>45964</v>
      </c>
      <c r="E422" s="17" t="n">
        <f aca="false">Customer_Invoices_AR!E419</f>
        <v>45979</v>
      </c>
      <c r="F422" s="18" t="n">
        <f aca="false">Customer_Invoices_AR!D419</f>
        <v>14623.85</v>
      </c>
      <c r="G422" s="18" t="n">
        <f aca="false">SUMIFS(Cash_Receipts_AR!$E$2:$E$503,Cash_Receipts_AR!$B$2:$B$503,A422)</f>
        <v>14623.85</v>
      </c>
      <c r="H422" s="18" t="n">
        <f aca="false">F422-G422</f>
        <v>0</v>
      </c>
      <c r="I422" s="16" t="n">
        <f aca="false">IF(H422&lt;=0.01,0,MAX(Assumptions!$B$5-E422,0))</f>
        <v>0</v>
      </c>
      <c r="J422" s="16" t="str">
        <f aca="false">IF(H422&lt;=0.01,"Paid",IF(I422&lt;=30,"0-30",IF(I422&lt;=60,"31-60",IF(I422&lt;=90,"61-90","90+"))))</f>
        <v>Paid</v>
      </c>
      <c r="K422" s="16" t="str">
        <f aca="false">IF(H422&lt;=0.01,"Paid",IF(G422&gt;0,"Partially Paid","Unpaid"))</f>
        <v>Paid</v>
      </c>
    </row>
    <row r="423" customFormat="false" ht="15" hidden="false" customHeight="false" outlineLevel="0" collapsed="false">
      <c r="A423" s="16" t="str">
        <f aca="false">Customer_Invoices_AR!A420</f>
        <v>ARI60419</v>
      </c>
      <c r="B423" s="16" t="str">
        <f aca="false">Customer_Invoices_AR!B420</f>
        <v>C2027</v>
      </c>
      <c r="C423" s="16" t="str">
        <f aca="false">IFERROR(INDEX(Customer_Master!$B$2:$B$31,MATCH(B423,Customer_Master!$A$2:$A$31,0)),"Unknown Customer")</f>
        <v>Yu Inc</v>
      </c>
      <c r="D423" s="17" t="n">
        <f aca="false">Customer_Invoices_AR!C420</f>
        <v>45831</v>
      </c>
      <c r="E423" s="17" t="n">
        <f aca="false">Customer_Invoices_AR!E420</f>
        <v>45891</v>
      </c>
      <c r="F423" s="18" t="n">
        <f aca="false">Customer_Invoices_AR!D420</f>
        <v>612.53</v>
      </c>
      <c r="G423" s="18" t="n">
        <f aca="false">SUMIFS(Cash_Receipts_AR!$E$2:$E$503,Cash_Receipts_AR!$B$2:$B$503,A423)</f>
        <v>612.53</v>
      </c>
      <c r="H423" s="18" t="n">
        <f aca="false">F423-G423</f>
        <v>0</v>
      </c>
      <c r="I423" s="16" t="n">
        <f aca="false">IF(H423&lt;=0.01,0,MAX(Assumptions!$B$5-E423,0))</f>
        <v>0</v>
      </c>
      <c r="J423" s="16" t="str">
        <f aca="false">IF(H423&lt;=0.01,"Paid",IF(I423&lt;=30,"0-30",IF(I423&lt;=60,"31-60",IF(I423&lt;=90,"61-90","90+"))))</f>
        <v>Paid</v>
      </c>
      <c r="K423" s="16" t="str">
        <f aca="false">IF(H423&lt;=0.01,"Paid",IF(G423&gt;0,"Partially Paid","Unpaid"))</f>
        <v>Paid</v>
      </c>
    </row>
    <row r="424" customFormat="false" ht="15" hidden="false" customHeight="false" outlineLevel="0" collapsed="false">
      <c r="A424" s="16" t="str">
        <f aca="false">Customer_Invoices_AR!A421</f>
        <v>ARI60420</v>
      </c>
      <c r="B424" s="16" t="str">
        <f aca="false">Customer_Invoices_AR!B421</f>
        <v>C2024</v>
      </c>
      <c r="C424" s="16" t="str">
        <f aca="false">IFERROR(INDEX(Customer_Master!$B$2:$B$31,MATCH(B424,Customer_Master!$A$2:$A$31,0)),"Unknown Customer")</f>
        <v>Novak PLC</v>
      </c>
      <c r="D424" s="17" t="n">
        <f aca="false">Customer_Invoices_AR!C421</f>
        <v>45912</v>
      </c>
      <c r="E424" s="17" t="n">
        <f aca="false">Customer_Invoices_AR!E421</f>
        <v>45972</v>
      </c>
      <c r="F424" s="18" t="n">
        <f aca="false">Customer_Invoices_AR!D421</f>
        <v>3336.09</v>
      </c>
      <c r="G424" s="18" t="n">
        <f aca="false">SUMIFS(Cash_Receipts_AR!$E$2:$E$503,Cash_Receipts_AR!$B$2:$B$503,A424)</f>
        <v>3336.09</v>
      </c>
      <c r="H424" s="18" t="n">
        <f aca="false">F424-G424</f>
        <v>0</v>
      </c>
      <c r="I424" s="16" t="n">
        <f aca="false">IF(H424&lt;=0.01,0,MAX(Assumptions!$B$5-E424,0))</f>
        <v>0</v>
      </c>
      <c r="J424" s="16" t="str">
        <f aca="false">IF(H424&lt;=0.01,"Paid",IF(I424&lt;=30,"0-30",IF(I424&lt;=60,"31-60",IF(I424&lt;=90,"61-90","90+"))))</f>
        <v>Paid</v>
      </c>
      <c r="K424" s="16" t="str">
        <f aca="false">IF(H424&lt;=0.01,"Paid",IF(G424&gt;0,"Partially Paid","Unpaid"))</f>
        <v>Paid</v>
      </c>
    </row>
    <row r="425" customFormat="false" ht="15" hidden="false" customHeight="false" outlineLevel="0" collapsed="false">
      <c r="A425" s="16" t="str">
        <f aca="false">Customer_Invoices_AR!A422</f>
        <v>ARI60421</v>
      </c>
      <c r="B425" s="16" t="str">
        <f aca="false">Customer_Invoices_AR!B422</f>
        <v>C2013</v>
      </c>
      <c r="C425" s="16" t="str">
        <f aca="false">IFERROR(INDEX(Customer_Master!$B$2:$B$31,MATCH(B425,Customer_Master!$A$2:$A$31,0)),"Unknown Customer")</f>
        <v>West, Henderson and Ramirez</v>
      </c>
      <c r="D425" s="17" t="n">
        <f aca="false">Customer_Invoices_AR!C422</f>
        <v>45803</v>
      </c>
      <c r="E425" s="17" t="n">
        <f aca="false">Customer_Invoices_AR!E422</f>
        <v>45863</v>
      </c>
      <c r="F425" s="18" t="n">
        <f aca="false">Customer_Invoices_AR!D422</f>
        <v>5667.34</v>
      </c>
      <c r="G425" s="18" t="n">
        <f aca="false">SUMIFS(Cash_Receipts_AR!$E$2:$E$503,Cash_Receipts_AR!$B$2:$B$503,A425)</f>
        <v>5667.34</v>
      </c>
      <c r="H425" s="18" t="n">
        <f aca="false">F425-G425</f>
        <v>0</v>
      </c>
      <c r="I425" s="16" t="n">
        <f aca="false">IF(H425&lt;=0.01,0,MAX(Assumptions!$B$5-E425,0))</f>
        <v>0</v>
      </c>
      <c r="J425" s="16" t="str">
        <f aca="false">IF(H425&lt;=0.01,"Paid",IF(I425&lt;=30,"0-30",IF(I425&lt;=60,"31-60",IF(I425&lt;=90,"61-90","90+"))))</f>
        <v>Paid</v>
      </c>
      <c r="K425" s="16" t="str">
        <f aca="false">IF(H425&lt;=0.01,"Paid",IF(G425&gt;0,"Partially Paid","Unpaid"))</f>
        <v>Paid</v>
      </c>
    </row>
    <row r="426" customFormat="false" ht="15" hidden="false" customHeight="false" outlineLevel="0" collapsed="false">
      <c r="A426" s="16" t="str">
        <f aca="false">Customer_Invoices_AR!A423</f>
        <v>ARI60422</v>
      </c>
      <c r="B426" s="16" t="str">
        <f aca="false">Customer_Invoices_AR!B423</f>
        <v>C2023</v>
      </c>
      <c r="C426" s="16" t="str">
        <f aca="false">IFERROR(INDEX(Customer_Master!$B$2:$B$31,MATCH(B426,Customer_Master!$A$2:$A$31,0)),"Unknown Customer")</f>
        <v>Stanley, Tucker and Lee</v>
      </c>
      <c r="D426" s="17" t="n">
        <f aca="false">Customer_Invoices_AR!C423</f>
        <v>45793</v>
      </c>
      <c r="E426" s="17" t="n">
        <f aca="false">Customer_Invoices_AR!E423</f>
        <v>45853</v>
      </c>
      <c r="F426" s="18" t="n">
        <f aca="false">Customer_Invoices_AR!D423</f>
        <v>2238.81</v>
      </c>
      <c r="G426" s="18" t="n">
        <f aca="false">SUMIFS(Cash_Receipts_AR!$E$2:$E$503,Cash_Receipts_AR!$B$2:$B$503,A426)</f>
        <v>2238.81</v>
      </c>
      <c r="H426" s="18" t="n">
        <f aca="false">F426-G426</f>
        <v>0</v>
      </c>
      <c r="I426" s="16" t="n">
        <f aca="false">IF(H426&lt;=0.01,0,MAX(Assumptions!$B$5-E426,0))</f>
        <v>0</v>
      </c>
      <c r="J426" s="16" t="str">
        <f aca="false">IF(H426&lt;=0.01,"Paid",IF(I426&lt;=30,"0-30",IF(I426&lt;=60,"31-60",IF(I426&lt;=90,"61-90","90+"))))</f>
        <v>Paid</v>
      </c>
      <c r="K426" s="16" t="str">
        <f aca="false">IF(H426&lt;=0.01,"Paid",IF(G426&gt;0,"Partially Paid","Unpaid"))</f>
        <v>Paid</v>
      </c>
    </row>
    <row r="427" customFormat="false" ht="15" hidden="false" customHeight="false" outlineLevel="0" collapsed="false">
      <c r="A427" s="16" t="str">
        <f aca="false">Customer_Invoices_AR!A424</f>
        <v>ARI60423</v>
      </c>
      <c r="B427" s="16" t="str">
        <f aca="false">Customer_Invoices_AR!B424</f>
        <v>C2016</v>
      </c>
      <c r="C427" s="16" t="str">
        <f aca="false">IFERROR(INDEX(Customer_Master!$B$2:$B$31,MATCH(B427,Customer_Master!$A$2:$A$31,0)),"Unknown Customer")</f>
        <v>Williams PLC</v>
      </c>
      <c r="D427" s="17" t="n">
        <f aca="false">Customer_Invoices_AR!C424</f>
        <v>45710</v>
      </c>
      <c r="E427" s="17" t="n">
        <f aca="false">Customer_Invoices_AR!E424</f>
        <v>45740</v>
      </c>
      <c r="F427" s="18" t="n">
        <f aca="false">Customer_Invoices_AR!D424</f>
        <v>2184.71</v>
      </c>
      <c r="G427" s="18" t="n">
        <f aca="false">SUMIFS(Cash_Receipts_AR!$E$2:$E$503,Cash_Receipts_AR!$B$2:$B$503,A427)</f>
        <v>2184.71</v>
      </c>
      <c r="H427" s="18" t="n">
        <f aca="false">F427-G427</f>
        <v>0</v>
      </c>
      <c r="I427" s="16" t="n">
        <f aca="false">IF(H427&lt;=0.01,0,MAX(Assumptions!$B$5-E427,0))</f>
        <v>0</v>
      </c>
      <c r="J427" s="16" t="str">
        <f aca="false">IF(H427&lt;=0.01,"Paid",IF(I427&lt;=30,"0-30",IF(I427&lt;=60,"31-60",IF(I427&lt;=90,"61-90","90+"))))</f>
        <v>Paid</v>
      </c>
      <c r="K427" s="16" t="str">
        <f aca="false">IF(H427&lt;=0.01,"Paid",IF(G427&gt;0,"Partially Paid","Unpaid"))</f>
        <v>Paid</v>
      </c>
    </row>
    <row r="428" customFormat="false" ht="15" hidden="false" customHeight="false" outlineLevel="0" collapsed="false">
      <c r="A428" s="16" t="str">
        <f aca="false">Customer_Invoices_AR!A425</f>
        <v>ARI60424</v>
      </c>
      <c r="B428" s="16" t="str">
        <f aca="false">Customer_Invoices_AR!B425</f>
        <v>C2019</v>
      </c>
      <c r="C428" s="16" t="str">
        <f aca="false">IFERROR(INDEX(Customer_Master!$B$2:$B$31,MATCH(B428,Customer_Master!$A$2:$A$31,0)),"Unknown Customer")</f>
        <v>Hancock Inc</v>
      </c>
      <c r="D428" s="17" t="n">
        <f aca="false">Customer_Invoices_AR!C425</f>
        <v>45816</v>
      </c>
      <c r="E428" s="17" t="n">
        <f aca="false">Customer_Invoices_AR!E425</f>
        <v>45831</v>
      </c>
      <c r="F428" s="18" t="n">
        <f aca="false">Customer_Invoices_AR!D425</f>
        <v>2617.73</v>
      </c>
      <c r="G428" s="18" t="n">
        <f aca="false">SUMIFS(Cash_Receipts_AR!$E$2:$E$503,Cash_Receipts_AR!$B$2:$B$503,A428)</f>
        <v>1056.84</v>
      </c>
      <c r="H428" s="18" t="n">
        <f aca="false">F428-G428</f>
        <v>1560.89</v>
      </c>
      <c r="I428" s="16" t="n">
        <f aca="false">IF(H428&lt;=0.01,0,MAX(Assumptions!$B$5-E428,0))</f>
        <v>403</v>
      </c>
      <c r="J428" s="16" t="str">
        <f aca="false">IF(H428&lt;=0.01,"Paid",IF(I428&lt;=30,"0-30",IF(I428&lt;=60,"31-60",IF(I428&lt;=90,"61-90","90+"))))</f>
        <v>90+</v>
      </c>
      <c r="K428" s="16" t="str">
        <f aca="false">IF(H428&lt;=0.01,"Paid",IF(G428&gt;0,"Partially Paid","Unpaid"))</f>
        <v>Partially Paid</v>
      </c>
    </row>
    <row r="429" customFormat="false" ht="15" hidden="false" customHeight="false" outlineLevel="0" collapsed="false">
      <c r="A429" s="16" t="str">
        <f aca="false">Customer_Invoices_AR!A426</f>
        <v>ARI60425</v>
      </c>
      <c r="B429" s="16" t="str">
        <f aca="false">Customer_Invoices_AR!B426</f>
        <v>C2019</v>
      </c>
      <c r="C429" s="16" t="str">
        <f aca="false">IFERROR(INDEX(Customer_Master!$B$2:$B$31,MATCH(B429,Customer_Master!$A$2:$A$31,0)),"Unknown Customer")</f>
        <v>Hancock Inc</v>
      </c>
      <c r="D429" s="17" t="n">
        <f aca="false">Customer_Invoices_AR!C426</f>
        <v>45867</v>
      </c>
      <c r="E429" s="17" t="n">
        <f aca="false">Customer_Invoices_AR!E426</f>
        <v>45882</v>
      </c>
      <c r="F429" s="18" t="n">
        <f aca="false">Customer_Invoices_AR!D426</f>
        <v>6660.76</v>
      </c>
      <c r="G429" s="18" t="n">
        <f aca="false">SUMIFS(Cash_Receipts_AR!$E$2:$E$503,Cash_Receipts_AR!$B$2:$B$503,A429)</f>
        <v>6660.76</v>
      </c>
      <c r="H429" s="18" t="n">
        <f aca="false">F429-G429</f>
        <v>0</v>
      </c>
      <c r="I429" s="16" t="n">
        <f aca="false">IF(H429&lt;=0.01,0,MAX(Assumptions!$B$5-E429,0))</f>
        <v>0</v>
      </c>
      <c r="J429" s="16" t="str">
        <f aca="false">IF(H429&lt;=0.01,"Paid",IF(I429&lt;=30,"0-30",IF(I429&lt;=60,"31-60",IF(I429&lt;=90,"61-90","90+"))))</f>
        <v>Paid</v>
      </c>
      <c r="K429" s="16" t="str">
        <f aca="false">IF(H429&lt;=0.01,"Paid",IF(G429&gt;0,"Partially Paid","Unpaid"))</f>
        <v>Paid</v>
      </c>
    </row>
    <row r="430" customFormat="false" ht="15" hidden="false" customHeight="false" outlineLevel="0" collapsed="false">
      <c r="A430" s="16" t="str">
        <f aca="false">Customer_Invoices_AR!A427</f>
        <v>ARI60426</v>
      </c>
      <c r="B430" s="16" t="str">
        <f aca="false">Customer_Invoices_AR!B427</f>
        <v>C2015</v>
      </c>
      <c r="C430" s="16" t="str">
        <f aca="false">IFERROR(INDEX(Customer_Master!$B$2:$B$31,MATCH(B430,Customer_Master!$A$2:$A$31,0)),"Unknown Customer")</f>
        <v>Morton-Chase</v>
      </c>
      <c r="D430" s="17" t="n">
        <f aca="false">Customer_Invoices_AR!C427</f>
        <v>45993</v>
      </c>
      <c r="E430" s="17" t="n">
        <f aca="false">Customer_Invoices_AR!E427</f>
        <v>46008</v>
      </c>
      <c r="F430" s="18" t="n">
        <f aca="false">Customer_Invoices_AR!D427</f>
        <v>782.4</v>
      </c>
      <c r="G430" s="18" t="n">
        <f aca="false">SUMIFS(Cash_Receipts_AR!$E$2:$E$503,Cash_Receipts_AR!$B$2:$B$503,A430)</f>
        <v>782.4</v>
      </c>
      <c r="H430" s="18" t="n">
        <f aca="false">F430-G430</f>
        <v>0</v>
      </c>
      <c r="I430" s="16" t="n">
        <f aca="false">IF(H430&lt;=0.01,0,MAX(Assumptions!$B$5-E430,0))</f>
        <v>0</v>
      </c>
      <c r="J430" s="16" t="str">
        <f aca="false">IF(H430&lt;=0.01,"Paid",IF(I430&lt;=30,"0-30",IF(I430&lt;=60,"31-60",IF(I430&lt;=90,"61-90","90+"))))</f>
        <v>Paid</v>
      </c>
      <c r="K430" s="16" t="str">
        <f aca="false">IF(H430&lt;=0.01,"Paid",IF(G430&gt;0,"Partially Paid","Unpaid"))</f>
        <v>Paid</v>
      </c>
    </row>
    <row r="431" customFormat="false" ht="15" hidden="false" customHeight="false" outlineLevel="0" collapsed="false">
      <c r="A431" s="16" t="str">
        <f aca="false">Customer_Invoices_AR!A428</f>
        <v>ARI60427</v>
      </c>
      <c r="B431" s="16" t="str">
        <f aca="false">Customer_Invoices_AR!B428</f>
        <v>C2018</v>
      </c>
      <c r="C431" s="16" t="str">
        <f aca="false">IFERROR(INDEX(Customer_Master!$B$2:$B$31,MATCH(B431,Customer_Master!$A$2:$A$31,0)),"Unknown Customer")</f>
        <v>Russell Group</v>
      </c>
      <c r="D431" s="17" t="n">
        <f aca="false">Customer_Invoices_AR!C428</f>
        <v>45793</v>
      </c>
      <c r="E431" s="17" t="n">
        <f aca="false">Customer_Invoices_AR!E428</f>
        <v>45808</v>
      </c>
      <c r="F431" s="18" t="n">
        <f aca="false">Customer_Invoices_AR!D428</f>
        <v>881.21</v>
      </c>
      <c r="G431" s="18" t="n">
        <f aca="false">SUMIFS(Cash_Receipts_AR!$E$2:$E$503,Cash_Receipts_AR!$B$2:$B$503,A431)</f>
        <v>881.21</v>
      </c>
      <c r="H431" s="18" t="n">
        <f aca="false">F431-G431</f>
        <v>0</v>
      </c>
      <c r="I431" s="16" t="n">
        <f aca="false">IF(H431&lt;=0.01,0,MAX(Assumptions!$B$5-E431,0))</f>
        <v>0</v>
      </c>
      <c r="J431" s="16" t="str">
        <f aca="false">IF(H431&lt;=0.01,"Paid",IF(I431&lt;=30,"0-30",IF(I431&lt;=60,"31-60",IF(I431&lt;=90,"61-90","90+"))))</f>
        <v>Paid</v>
      </c>
      <c r="K431" s="16" t="str">
        <f aca="false">IF(H431&lt;=0.01,"Paid",IF(G431&gt;0,"Partially Paid","Unpaid"))</f>
        <v>Paid</v>
      </c>
    </row>
    <row r="432" customFormat="false" ht="15" hidden="false" customHeight="false" outlineLevel="0" collapsed="false">
      <c r="A432" s="16" t="str">
        <f aca="false">Customer_Invoices_AR!A429</f>
        <v>ARI60428</v>
      </c>
      <c r="B432" s="16" t="str">
        <f aca="false">Customer_Invoices_AR!B429</f>
        <v>C2016</v>
      </c>
      <c r="C432" s="16" t="str">
        <f aca="false">IFERROR(INDEX(Customer_Master!$B$2:$B$31,MATCH(B432,Customer_Master!$A$2:$A$31,0)),"Unknown Customer")</f>
        <v>Williams PLC</v>
      </c>
      <c r="D432" s="17" t="n">
        <f aca="false">Customer_Invoices_AR!C429</f>
        <v>46129</v>
      </c>
      <c r="E432" s="17" t="n">
        <f aca="false">Customer_Invoices_AR!E429</f>
        <v>46159</v>
      </c>
      <c r="F432" s="18" t="n">
        <f aca="false">Customer_Invoices_AR!D429</f>
        <v>3647.52</v>
      </c>
      <c r="G432" s="18" t="n">
        <f aca="false">SUMIFS(Cash_Receipts_AR!$E$2:$E$503,Cash_Receipts_AR!$B$2:$B$503,A432)</f>
        <v>3647.52</v>
      </c>
      <c r="H432" s="18" t="n">
        <f aca="false">F432-G432</f>
        <v>0</v>
      </c>
      <c r="I432" s="16" t="n">
        <f aca="false">IF(H432&lt;=0.01,0,MAX(Assumptions!$B$5-E432,0))</f>
        <v>0</v>
      </c>
      <c r="J432" s="16" t="str">
        <f aca="false">IF(H432&lt;=0.01,"Paid",IF(I432&lt;=30,"0-30",IF(I432&lt;=60,"31-60",IF(I432&lt;=90,"61-90","90+"))))</f>
        <v>Paid</v>
      </c>
      <c r="K432" s="16" t="str">
        <f aca="false">IF(H432&lt;=0.01,"Paid",IF(G432&gt;0,"Partially Paid","Unpaid"))</f>
        <v>Paid</v>
      </c>
    </row>
    <row r="433" customFormat="false" ht="15" hidden="false" customHeight="false" outlineLevel="0" collapsed="false">
      <c r="A433" s="16" t="str">
        <f aca="false">Customer_Invoices_AR!A430</f>
        <v>ARI60429</v>
      </c>
      <c r="B433" s="16" t="str">
        <f aca="false">Customer_Invoices_AR!B430</f>
        <v>C2025</v>
      </c>
      <c r="C433" s="16" t="str">
        <f aca="false">IFERROR(INDEX(Customer_Master!$B$2:$B$31,MATCH(B433,Customer_Master!$A$2:$A$31,0)),"Unknown Customer")</f>
        <v>Daniels, Adkins and Brown</v>
      </c>
      <c r="D433" s="17" t="n">
        <f aca="false">Customer_Invoices_AR!C430</f>
        <v>45745</v>
      </c>
      <c r="E433" s="17" t="n">
        <f aca="false">Customer_Invoices_AR!E430</f>
        <v>45760</v>
      </c>
      <c r="F433" s="18" t="n">
        <f aca="false">Customer_Invoices_AR!D430</f>
        <v>3313.04</v>
      </c>
      <c r="G433" s="18" t="n">
        <f aca="false">SUMIFS(Cash_Receipts_AR!$E$2:$E$503,Cash_Receipts_AR!$B$2:$B$503,A433)</f>
        <v>3313.04</v>
      </c>
      <c r="H433" s="18" t="n">
        <f aca="false">F433-G433</f>
        <v>0</v>
      </c>
      <c r="I433" s="16" t="n">
        <f aca="false">IF(H433&lt;=0.01,0,MAX(Assumptions!$B$5-E433,0))</f>
        <v>0</v>
      </c>
      <c r="J433" s="16" t="str">
        <f aca="false">IF(H433&lt;=0.01,"Paid",IF(I433&lt;=30,"0-30",IF(I433&lt;=60,"31-60",IF(I433&lt;=90,"61-90","90+"))))</f>
        <v>Paid</v>
      </c>
      <c r="K433" s="16" t="str">
        <f aca="false">IF(H433&lt;=0.01,"Paid",IF(G433&gt;0,"Partially Paid","Unpaid"))</f>
        <v>Paid</v>
      </c>
    </row>
    <row r="434" customFormat="false" ht="15" hidden="false" customHeight="false" outlineLevel="0" collapsed="false">
      <c r="A434" s="16" t="str">
        <f aca="false">Customer_Invoices_AR!A431</f>
        <v>ARI60430</v>
      </c>
      <c r="B434" s="16" t="str">
        <f aca="false">Customer_Invoices_AR!B431</f>
        <v>C2027</v>
      </c>
      <c r="C434" s="16" t="str">
        <f aca="false">IFERROR(INDEX(Customer_Master!$B$2:$B$31,MATCH(B434,Customer_Master!$A$2:$A$31,0)),"Unknown Customer")</f>
        <v>Yu Inc</v>
      </c>
      <c r="D434" s="17" t="n">
        <f aca="false">Customer_Invoices_AR!C431</f>
        <v>45836</v>
      </c>
      <c r="E434" s="17" t="n">
        <f aca="false">Customer_Invoices_AR!E431</f>
        <v>45896</v>
      </c>
      <c r="F434" s="18" t="n">
        <f aca="false">Customer_Invoices_AR!D431</f>
        <v>791.01</v>
      </c>
      <c r="G434" s="18" t="n">
        <f aca="false">SUMIFS(Cash_Receipts_AR!$E$2:$E$503,Cash_Receipts_AR!$B$2:$B$503,A434)</f>
        <v>791.01</v>
      </c>
      <c r="H434" s="18" t="n">
        <f aca="false">F434-G434</f>
        <v>0</v>
      </c>
      <c r="I434" s="16" t="n">
        <f aca="false">IF(H434&lt;=0.01,0,MAX(Assumptions!$B$5-E434,0))</f>
        <v>0</v>
      </c>
      <c r="J434" s="16" t="str">
        <f aca="false">IF(H434&lt;=0.01,"Paid",IF(I434&lt;=30,"0-30",IF(I434&lt;=60,"31-60",IF(I434&lt;=90,"61-90","90+"))))</f>
        <v>Paid</v>
      </c>
      <c r="K434" s="16" t="str">
        <f aca="false">IF(H434&lt;=0.01,"Paid",IF(G434&gt;0,"Partially Paid","Unpaid"))</f>
        <v>Paid</v>
      </c>
    </row>
    <row r="435" customFormat="false" ht="15" hidden="false" customHeight="false" outlineLevel="0" collapsed="false">
      <c r="A435" s="16" t="str">
        <f aca="false">Customer_Invoices_AR!A432</f>
        <v>ARI60431</v>
      </c>
      <c r="B435" s="16" t="str">
        <f aca="false">Customer_Invoices_AR!B432</f>
        <v>C2011</v>
      </c>
      <c r="C435" s="16" t="str">
        <f aca="false">IFERROR(INDEX(Customer_Master!$B$2:$B$31,MATCH(B435,Customer_Master!$A$2:$A$31,0)),"Unknown Customer")</f>
        <v>Powell LLC</v>
      </c>
      <c r="D435" s="17" t="n">
        <f aca="false">Customer_Invoices_AR!C432</f>
        <v>45972</v>
      </c>
      <c r="E435" s="17" t="n">
        <f aca="false">Customer_Invoices_AR!E432</f>
        <v>46002</v>
      </c>
      <c r="F435" s="18" t="n">
        <f aca="false">Customer_Invoices_AR!D432</f>
        <v>5446.66</v>
      </c>
      <c r="G435" s="18" t="n">
        <f aca="false">SUMIFS(Cash_Receipts_AR!$E$2:$E$503,Cash_Receipts_AR!$B$2:$B$503,A435)</f>
        <v>5446.66</v>
      </c>
      <c r="H435" s="18" t="n">
        <f aca="false">F435-G435</f>
        <v>0</v>
      </c>
      <c r="I435" s="16" t="n">
        <f aca="false">IF(H435&lt;=0.01,0,MAX(Assumptions!$B$5-E435,0))</f>
        <v>0</v>
      </c>
      <c r="J435" s="16" t="str">
        <f aca="false">IF(H435&lt;=0.01,"Paid",IF(I435&lt;=30,"0-30",IF(I435&lt;=60,"31-60",IF(I435&lt;=90,"61-90","90+"))))</f>
        <v>Paid</v>
      </c>
      <c r="K435" s="16" t="str">
        <f aca="false">IF(H435&lt;=0.01,"Paid",IF(G435&gt;0,"Partially Paid","Unpaid"))</f>
        <v>Paid</v>
      </c>
    </row>
    <row r="436" customFormat="false" ht="15" hidden="false" customHeight="false" outlineLevel="0" collapsed="false">
      <c r="A436" s="16" t="str">
        <f aca="false">Customer_Invoices_AR!A433</f>
        <v>ARI60432</v>
      </c>
      <c r="B436" s="16" t="str">
        <f aca="false">Customer_Invoices_AR!B433</f>
        <v>C2024</v>
      </c>
      <c r="C436" s="16" t="str">
        <f aca="false">IFERROR(INDEX(Customer_Master!$B$2:$B$31,MATCH(B436,Customer_Master!$A$2:$A$31,0)),"Unknown Customer")</f>
        <v>Novak PLC</v>
      </c>
      <c r="D436" s="17" t="n">
        <f aca="false">Customer_Invoices_AR!C433</f>
        <v>45828</v>
      </c>
      <c r="E436" s="17" t="n">
        <f aca="false">Customer_Invoices_AR!E433</f>
        <v>45888</v>
      </c>
      <c r="F436" s="18" t="n">
        <f aca="false">Customer_Invoices_AR!D433</f>
        <v>2078.1</v>
      </c>
      <c r="G436" s="18" t="n">
        <f aca="false">SUMIFS(Cash_Receipts_AR!$E$2:$E$503,Cash_Receipts_AR!$B$2:$B$503,A436)</f>
        <v>2078.1</v>
      </c>
      <c r="H436" s="18" t="n">
        <f aca="false">F436-G436</f>
        <v>0</v>
      </c>
      <c r="I436" s="16" t="n">
        <f aca="false">IF(H436&lt;=0.01,0,MAX(Assumptions!$B$5-E436,0))</f>
        <v>0</v>
      </c>
      <c r="J436" s="16" t="str">
        <f aca="false">IF(H436&lt;=0.01,"Paid",IF(I436&lt;=30,"0-30",IF(I436&lt;=60,"31-60",IF(I436&lt;=90,"61-90","90+"))))</f>
        <v>Paid</v>
      </c>
      <c r="K436" s="16" t="str">
        <f aca="false">IF(H436&lt;=0.01,"Paid",IF(G436&gt;0,"Partially Paid","Unpaid"))</f>
        <v>Paid</v>
      </c>
    </row>
    <row r="437" customFormat="false" ht="15" hidden="false" customHeight="false" outlineLevel="0" collapsed="false">
      <c r="A437" s="16" t="str">
        <f aca="false">Customer_Invoices_AR!A434</f>
        <v>ARI60433</v>
      </c>
      <c r="B437" s="16" t="str">
        <f aca="false">Customer_Invoices_AR!B434</f>
        <v>C2017</v>
      </c>
      <c r="C437" s="16" t="str">
        <f aca="false">IFERROR(INDEX(Customer_Master!$B$2:$B$31,MATCH(B437,Customer_Master!$A$2:$A$31,0)),"Unknown Customer")</f>
        <v>Novak and Sons</v>
      </c>
      <c r="D437" s="17" t="n">
        <f aca="false">Customer_Invoices_AR!C434</f>
        <v>46073</v>
      </c>
      <c r="E437" s="17" t="n">
        <f aca="false">Customer_Invoices_AR!E434</f>
        <v>46088</v>
      </c>
      <c r="F437" s="18" t="n">
        <f aca="false">Customer_Invoices_AR!D434</f>
        <v>22154.21</v>
      </c>
      <c r="G437" s="18" t="n">
        <f aca="false">SUMIFS(Cash_Receipts_AR!$E$2:$E$503,Cash_Receipts_AR!$B$2:$B$503,A437)</f>
        <v>22154.21</v>
      </c>
      <c r="H437" s="18" t="n">
        <f aca="false">F437-G437</f>
        <v>0</v>
      </c>
      <c r="I437" s="16" t="n">
        <f aca="false">IF(H437&lt;=0.01,0,MAX(Assumptions!$B$5-E437,0))</f>
        <v>0</v>
      </c>
      <c r="J437" s="16" t="str">
        <f aca="false">IF(H437&lt;=0.01,"Paid",IF(I437&lt;=30,"0-30",IF(I437&lt;=60,"31-60",IF(I437&lt;=90,"61-90","90+"))))</f>
        <v>Paid</v>
      </c>
      <c r="K437" s="16" t="str">
        <f aca="false">IF(H437&lt;=0.01,"Paid",IF(G437&gt;0,"Partially Paid","Unpaid"))</f>
        <v>Paid</v>
      </c>
    </row>
    <row r="438" customFormat="false" ht="15" hidden="false" customHeight="false" outlineLevel="0" collapsed="false">
      <c r="A438" s="16" t="str">
        <f aca="false">Customer_Invoices_AR!A435</f>
        <v>ARI60434</v>
      </c>
      <c r="B438" s="16" t="str">
        <f aca="false">Customer_Invoices_AR!B435</f>
        <v>C2025</v>
      </c>
      <c r="C438" s="16" t="str">
        <f aca="false">IFERROR(INDEX(Customer_Master!$B$2:$B$31,MATCH(B438,Customer_Master!$A$2:$A$31,0)),"Unknown Customer")</f>
        <v>Daniels, Adkins and Brown</v>
      </c>
      <c r="D438" s="17" t="n">
        <f aca="false">Customer_Invoices_AR!C435</f>
        <v>45929</v>
      </c>
      <c r="E438" s="17" t="n">
        <f aca="false">Customer_Invoices_AR!E435</f>
        <v>45944</v>
      </c>
      <c r="F438" s="18" t="n">
        <f aca="false">Customer_Invoices_AR!D435</f>
        <v>4300.32</v>
      </c>
      <c r="G438" s="18" t="n">
        <f aca="false">SUMIFS(Cash_Receipts_AR!$E$2:$E$503,Cash_Receipts_AR!$B$2:$B$503,A438)</f>
        <v>4300.32</v>
      </c>
      <c r="H438" s="18" t="n">
        <f aca="false">F438-G438</f>
        <v>0</v>
      </c>
      <c r="I438" s="16" t="n">
        <f aca="false">IF(H438&lt;=0.01,0,MAX(Assumptions!$B$5-E438,0))</f>
        <v>0</v>
      </c>
      <c r="J438" s="16" t="str">
        <f aca="false">IF(H438&lt;=0.01,"Paid",IF(I438&lt;=30,"0-30",IF(I438&lt;=60,"31-60",IF(I438&lt;=90,"61-90","90+"))))</f>
        <v>Paid</v>
      </c>
      <c r="K438" s="16" t="str">
        <f aca="false">IF(H438&lt;=0.01,"Paid",IF(G438&gt;0,"Partially Paid","Unpaid"))</f>
        <v>Paid</v>
      </c>
    </row>
    <row r="439" customFormat="false" ht="15" hidden="false" customHeight="false" outlineLevel="0" collapsed="false">
      <c r="A439" s="16" t="str">
        <f aca="false">Customer_Invoices_AR!A436</f>
        <v>ARI60435</v>
      </c>
      <c r="B439" s="16" t="str">
        <f aca="false">Customer_Invoices_AR!B436</f>
        <v>C2019</v>
      </c>
      <c r="C439" s="16" t="str">
        <f aca="false">IFERROR(INDEX(Customer_Master!$B$2:$B$31,MATCH(B439,Customer_Master!$A$2:$A$31,0)),"Unknown Customer")</f>
        <v>Hancock Inc</v>
      </c>
      <c r="D439" s="17" t="n">
        <f aca="false">Customer_Invoices_AR!C436</f>
        <v>45938</v>
      </c>
      <c r="E439" s="17" t="n">
        <f aca="false">Customer_Invoices_AR!E436</f>
        <v>45953</v>
      </c>
      <c r="F439" s="18" t="n">
        <f aca="false">Customer_Invoices_AR!D436</f>
        <v>1034.15</v>
      </c>
      <c r="G439" s="18" t="n">
        <f aca="false">SUMIFS(Cash_Receipts_AR!$E$2:$E$503,Cash_Receipts_AR!$B$2:$B$503,A439)</f>
        <v>1034.15</v>
      </c>
      <c r="H439" s="18" t="n">
        <f aca="false">F439-G439</f>
        <v>0</v>
      </c>
      <c r="I439" s="16" t="n">
        <f aca="false">IF(H439&lt;=0.01,0,MAX(Assumptions!$B$5-E439,0))</f>
        <v>0</v>
      </c>
      <c r="J439" s="16" t="str">
        <f aca="false">IF(H439&lt;=0.01,"Paid",IF(I439&lt;=30,"0-30",IF(I439&lt;=60,"31-60",IF(I439&lt;=90,"61-90","90+"))))</f>
        <v>Paid</v>
      </c>
      <c r="K439" s="16" t="str">
        <f aca="false">IF(H439&lt;=0.01,"Paid",IF(G439&gt;0,"Partially Paid","Unpaid"))</f>
        <v>Paid</v>
      </c>
    </row>
    <row r="440" customFormat="false" ht="15" hidden="false" customHeight="false" outlineLevel="0" collapsed="false">
      <c r="A440" s="16" t="str">
        <f aca="false">Customer_Invoices_AR!A437</f>
        <v>ARI60436</v>
      </c>
      <c r="B440" s="16" t="str">
        <f aca="false">Customer_Invoices_AR!B437</f>
        <v>C2001</v>
      </c>
      <c r="C440" s="16" t="str">
        <f aca="false">IFERROR(INDEX(Customer_Master!$B$2:$B$31,MATCH(B440,Customer_Master!$A$2:$A$31,0)),"Unknown Customer")</f>
        <v>Wright Inc</v>
      </c>
      <c r="D440" s="17" t="n">
        <f aca="false">Customer_Invoices_AR!C437</f>
        <v>45929</v>
      </c>
      <c r="E440" s="17" t="n">
        <f aca="false">Customer_Invoices_AR!E437</f>
        <v>45974</v>
      </c>
      <c r="F440" s="18" t="n">
        <f aca="false">Customer_Invoices_AR!D437</f>
        <v>13099.77</v>
      </c>
      <c r="G440" s="18" t="n">
        <f aca="false">SUMIFS(Cash_Receipts_AR!$E$2:$E$503,Cash_Receipts_AR!$B$2:$B$503,A440)</f>
        <v>13099.77</v>
      </c>
      <c r="H440" s="18" t="n">
        <f aca="false">F440-G440</f>
        <v>0</v>
      </c>
      <c r="I440" s="16" t="n">
        <f aca="false">IF(H440&lt;=0.01,0,MAX(Assumptions!$B$5-E440,0))</f>
        <v>0</v>
      </c>
      <c r="J440" s="16" t="str">
        <f aca="false">IF(H440&lt;=0.01,"Paid",IF(I440&lt;=30,"0-30",IF(I440&lt;=60,"31-60",IF(I440&lt;=90,"61-90","90+"))))</f>
        <v>Paid</v>
      </c>
      <c r="K440" s="16" t="str">
        <f aca="false">IF(H440&lt;=0.01,"Paid",IF(G440&gt;0,"Partially Paid","Unpaid"))</f>
        <v>Paid</v>
      </c>
    </row>
    <row r="441" customFormat="false" ht="15" hidden="false" customHeight="false" outlineLevel="0" collapsed="false">
      <c r="A441" s="16" t="str">
        <f aca="false">Customer_Invoices_AR!A438</f>
        <v>ARI60437</v>
      </c>
      <c r="B441" s="16" t="str">
        <f aca="false">Customer_Invoices_AR!B438</f>
        <v>C2030</v>
      </c>
      <c r="C441" s="16" t="str">
        <f aca="false">IFERROR(INDEX(Customer_Master!$B$2:$B$31,MATCH(B441,Customer_Master!$A$2:$A$31,0)),"Unknown Customer")</f>
        <v>Sanchez, Wheeler and Harvey</v>
      </c>
      <c r="D441" s="17" t="n">
        <f aca="false">Customer_Invoices_AR!C438</f>
        <v>45826</v>
      </c>
      <c r="E441" s="17" t="n">
        <f aca="false">Customer_Invoices_AR!E438</f>
        <v>45841</v>
      </c>
      <c r="F441" s="18" t="n">
        <f aca="false">Customer_Invoices_AR!D438</f>
        <v>1458.86</v>
      </c>
      <c r="G441" s="18" t="n">
        <f aca="false">SUMIFS(Cash_Receipts_AR!$E$2:$E$503,Cash_Receipts_AR!$B$2:$B$503,A441)</f>
        <v>1458.86</v>
      </c>
      <c r="H441" s="18" t="n">
        <f aca="false">F441-G441</f>
        <v>0</v>
      </c>
      <c r="I441" s="16" t="n">
        <f aca="false">IF(H441&lt;=0.01,0,MAX(Assumptions!$B$5-E441,0))</f>
        <v>0</v>
      </c>
      <c r="J441" s="16" t="str">
        <f aca="false">IF(H441&lt;=0.01,"Paid",IF(I441&lt;=30,"0-30",IF(I441&lt;=60,"31-60",IF(I441&lt;=90,"61-90","90+"))))</f>
        <v>Paid</v>
      </c>
      <c r="K441" s="16" t="str">
        <f aca="false">IF(H441&lt;=0.01,"Paid",IF(G441&gt;0,"Partially Paid","Unpaid"))</f>
        <v>Paid</v>
      </c>
    </row>
    <row r="442" customFormat="false" ht="15" hidden="false" customHeight="false" outlineLevel="0" collapsed="false">
      <c r="A442" s="16" t="str">
        <f aca="false">Customer_Invoices_AR!A439</f>
        <v>ARI60438</v>
      </c>
      <c r="B442" s="16" t="str">
        <f aca="false">Customer_Invoices_AR!B439</f>
        <v>C2003</v>
      </c>
      <c r="C442" s="16" t="str">
        <f aca="false">IFERROR(INDEX(Customer_Master!$B$2:$B$31,MATCH(B442,Customer_Master!$A$2:$A$31,0)),"Unknown Customer")</f>
        <v>Robinson, Jones and Welch</v>
      </c>
      <c r="D442" s="17" t="n">
        <f aca="false">Customer_Invoices_AR!C439</f>
        <v>45670</v>
      </c>
      <c r="E442" s="17" t="n">
        <f aca="false">Customer_Invoices_AR!E439</f>
        <v>45715</v>
      </c>
      <c r="F442" s="18" t="n">
        <f aca="false">Customer_Invoices_AR!D439</f>
        <v>972.77</v>
      </c>
      <c r="G442" s="18" t="n">
        <f aca="false">SUMIFS(Cash_Receipts_AR!$E$2:$E$503,Cash_Receipts_AR!$B$2:$B$503,A442)</f>
        <v>972.77</v>
      </c>
      <c r="H442" s="18" t="n">
        <f aca="false">F442-G442</f>
        <v>0</v>
      </c>
      <c r="I442" s="16" t="n">
        <f aca="false">IF(H442&lt;=0.01,0,MAX(Assumptions!$B$5-E442,0))</f>
        <v>0</v>
      </c>
      <c r="J442" s="16" t="str">
        <f aca="false">IF(H442&lt;=0.01,"Paid",IF(I442&lt;=30,"0-30",IF(I442&lt;=60,"31-60",IF(I442&lt;=90,"61-90","90+"))))</f>
        <v>Paid</v>
      </c>
      <c r="K442" s="16" t="str">
        <f aca="false">IF(H442&lt;=0.01,"Paid",IF(G442&gt;0,"Partially Paid","Unpaid"))</f>
        <v>Paid</v>
      </c>
    </row>
    <row r="443" customFormat="false" ht="15" hidden="false" customHeight="false" outlineLevel="0" collapsed="false">
      <c r="A443" s="16" t="str">
        <f aca="false">Customer_Invoices_AR!A440</f>
        <v>ARI60439</v>
      </c>
      <c r="B443" s="16" t="str">
        <f aca="false">Customer_Invoices_AR!B440</f>
        <v>C2019</v>
      </c>
      <c r="C443" s="16" t="str">
        <f aca="false">IFERROR(INDEX(Customer_Master!$B$2:$B$31,MATCH(B443,Customer_Master!$A$2:$A$31,0)),"Unknown Customer")</f>
        <v>Hancock Inc</v>
      </c>
      <c r="D443" s="17" t="n">
        <f aca="false">Customer_Invoices_AR!C440</f>
        <v>46173</v>
      </c>
      <c r="E443" s="17" t="n">
        <f aca="false">Customer_Invoices_AR!E440</f>
        <v>46188</v>
      </c>
      <c r="F443" s="18" t="n">
        <f aca="false">Customer_Invoices_AR!D440</f>
        <v>15147.09</v>
      </c>
      <c r="G443" s="18" t="n">
        <f aca="false">SUMIFS(Cash_Receipts_AR!$E$2:$E$503,Cash_Receipts_AR!$B$2:$B$503,A443)</f>
        <v>0</v>
      </c>
      <c r="H443" s="18" t="n">
        <f aca="false">F443-G443</f>
        <v>15147.09</v>
      </c>
      <c r="I443" s="16" t="n">
        <f aca="false">IF(H443&lt;=0.01,0,MAX(Assumptions!$B$5-E443,0))</f>
        <v>46</v>
      </c>
      <c r="J443" s="16" t="str">
        <f aca="false">IF(H443&lt;=0.01,"Paid",IF(I443&lt;=30,"0-30",IF(I443&lt;=60,"31-60",IF(I443&lt;=90,"61-90","90+"))))</f>
        <v>31-60</v>
      </c>
      <c r="K443" s="16" t="str">
        <f aca="false">IF(H443&lt;=0.01,"Paid",IF(G443&gt;0,"Partially Paid","Unpaid"))</f>
        <v>Unpaid</v>
      </c>
    </row>
    <row r="444" customFormat="false" ht="15" hidden="false" customHeight="false" outlineLevel="0" collapsed="false">
      <c r="A444" s="16" t="str">
        <f aca="false">Customer_Invoices_AR!A441</f>
        <v>ARI60440</v>
      </c>
      <c r="B444" s="16" t="str">
        <f aca="false">Customer_Invoices_AR!B441</f>
        <v>C2028</v>
      </c>
      <c r="C444" s="16" t="str">
        <f aca="false">IFERROR(INDEX(Customer_Master!$B$2:$B$31,MATCH(B444,Customer_Master!$A$2:$A$31,0)),"Unknown Customer")</f>
        <v>Jones Inc</v>
      </c>
      <c r="D444" s="17" t="n">
        <f aca="false">Customer_Invoices_AR!C441</f>
        <v>45933</v>
      </c>
      <c r="E444" s="17" t="n">
        <f aca="false">Customer_Invoices_AR!E441</f>
        <v>45948</v>
      </c>
      <c r="F444" s="18" t="n">
        <f aca="false">Customer_Invoices_AR!D441</f>
        <v>4774.51</v>
      </c>
      <c r="G444" s="18" t="n">
        <f aca="false">SUMIFS(Cash_Receipts_AR!$E$2:$E$503,Cash_Receipts_AR!$B$2:$B$503,A444)</f>
        <v>4774.51</v>
      </c>
      <c r="H444" s="18" t="n">
        <f aca="false">F444-G444</f>
        <v>0</v>
      </c>
      <c r="I444" s="16" t="n">
        <f aca="false">IF(H444&lt;=0.01,0,MAX(Assumptions!$B$5-E444,0))</f>
        <v>0</v>
      </c>
      <c r="J444" s="16" t="str">
        <f aca="false">IF(H444&lt;=0.01,"Paid",IF(I444&lt;=30,"0-30",IF(I444&lt;=60,"31-60",IF(I444&lt;=90,"61-90","90+"))))</f>
        <v>Paid</v>
      </c>
      <c r="K444" s="16" t="str">
        <f aca="false">IF(H444&lt;=0.01,"Paid",IF(G444&gt;0,"Partially Paid","Unpaid"))</f>
        <v>Paid</v>
      </c>
    </row>
    <row r="445" customFormat="false" ht="15" hidden="false" customHeight="false" outlineLevel="0" collapsed="false">
      <c r="A445" s="16" t="str">
        <f aca="false">Customer_Invoices_AR!A442</f>
        <v>ARI60441</v>
      </c>
      <c r="B445" s="16" t="str">
        <f aca="false">Customer_Invoices_AR!B442</f>
        <v>C2005</v>
      </c>
      <c r="C445" s="16" t="str">
        <f aca="false">IFERROR(INDEX(Customer_Master!$B$2:$B$31,MATCH(B445,Customer_Master!$A$2:$A$31,0)),"Unknown Customer")</f>
        <v>Jones-Young</v>
      </c>
      <c r="D445" s="17" t="n">
        <f aca="false">Customer_Invoices_AR!C442</f>
        <v>46184</v>
      </c>
      <c r="E445" s="17" t="n">
        <f aca="false">Customer_Invoices_AR!E442</f>
        <v>46199</v>
      </c>
      <c r="F445" s="18" t="n">
        <f aca="false">Customer_Invoices_AR!D442</f>
        <v>1827.71</v>
      </c>
      <c r="G445" s="18" t="n">
        <f aca="false">SUMIFS(Cash_Receipts_AR!$E$2:$E$503,Cash_Receipts_AR!$B$2:$B$503,A445)</f>
        <v>0</v>
      </c>
      <c r="H445" s="18" t="n">
        <f aca="false">F445-G445</f>
        <v>1827.71</v>
      </c>
      <c r="I445" s="16" t="n">
        <f aca="false">IF(H445&lt;=0.01,0,MAX(Assumptions!$B$5-E445,0))</f>
        <v>35</v>
      </c>
      <c r="J445" s="16" t="str">
        <f aca="false">IF(H445&lt;=0.01,"Paid",IF(I445&lt;=30,"0-30",IF(I445&lt;=60,"31-60",IF(I445&lt;=90,"61-90","90+"))))</f>
        <v>31-60</v>
      </c>
      <c r="K445" s="16" t="str">
        <f aca="false">IF(H445&lt;=0.01,"Paid",IF(G445&gt;0,"Partially Paid","Unpaid"))</f>
        <v>Unpaid</v>
      </c>
    </row>
    <row r="446" customFormat="false" ht="15" hidden="false" customHeight="false" outlineLevel="0" collapsed="false">
      <c r="A446" s="16" t="str">
        <f aca="false">Customer_Invoices_AR!A443</f>
        <v>ARI60442</v>
      </c>
      <c r="B446" s="16" t="str">
        <f aca="false">Customer_Invoices_AR!B443</f>
        <v>C2020</v>
      </c>
      <c r="C446" s="16" t="str">
        <f aca="false">IFERROR(INDEX(Customer_Master!$B$2:$B$31,MATCH(B446,Customer_Master!$A$2:$A$31,0)),"Unknown Customer")</f>
        <v>Gray Group</v>
      </c>
      <c r="D446" s="17" t="n">
        <f aca="false">Customer_Invoices_AR!C443</f>
        <v>45775</v>
      </c>
      <c r="E446" s="17" t="n">
        <f aca="false">Customer_Invoices_AR!E443</f>
        <v>45805</v>
      </c>
      <c r="F446" s="18" t="n">
        <f aca="false">Customer_Invoices_AR!D443</f>
        <v>1419.36</v>
      </c>
      <c r="G446" s="18" t="n">
        <f aca="false">SUMIFS(Cash_Receipts_AR!$E$2:$E$503,Cash_Receipts_AR!$B$2:$B$503,A446)</f>
        <v>1419.36</v>
      </c>
      <c r="H446" s="18" t="n">
        <f aca="false">F446-G446</f>
        <v>0</v>
      </c>
      <c r="I446" s="16" t="n">
        <f aca="false">IF(H446&lt;=0.01,0,MAX(Assumptions!$B$5-E446,0))</f>
        <v>0</v>
      </c>
      <c r="J446" s="16" t="str">
        <f aca="false">IF(H446&lt;=0.01,"Paid",IF(I446&lt;=30,"0-30",IF(I446&lt;=60,"31-60",IF(I446&lt;=90,"61-90","90+"))))</f>
        <v>Paid</v>
      </c>
      <c r="K446" s="16" t="str">
        <f aca="false">IF(H446&lt;=0.01,"Paid",IF(G446&gt;0,"Partially Paid","Unpaid"))</f>
        <v>Paid</v>
      </c>
    </row>
    <row r="447" customFormat="false" ht="15" hidden="false" customHeight="false" outlineLevel="0" collapsed="false">
      <c r="A447" s="16" t="str">
        <f aca="false">Customer_Invoices_AR!A444</f>
        <v>ARI60443</v>
      </c>
      <c r="B447" s="16" t="str">
        <f aca="false">Customer_Invoices_AR!B444</f>
        <v>C2013</v>
      </c>
      <c r="C447" s="16" t="str">
        <f aca="false">IFERROR(INDEX(Customer_Master!$B$2:$B$31,MATCH(B447,Customer_Master!$A$2:$A$31,0)),"Unknown Customer")</f>
        <v>West, Henderson and Ramirez</v>
      </c>
      <c r="D447" s="17" t="n">
        <f aca="false">Customer_Invoices_AR!C444</f>
        <v>45850</v>
      </c>
      <c r="E447" s="17" t="n">
        <f aca="false">Customer_Invoices_AR!E444</f>
        <v>45910</v>
      </c>
      <c r="F447" s="18" t="n">
        <f aca="false">Customer_Invoices_AR!D444</f>
        <v>3354.86</v>
      </c>
      <c r="G447" s="18" t="n">
        <f aca="false">SUMIFS(Cash_Receipts_AR!$E$2:$E$503,Cash_Receipts_AR!$B$2:$B$503,A447)</f>
        <v>3354.86</v>
      </c>
      <c r="H447" s="18" t="n">
        <f aca="false">F447-G447</f>
        <v>0</v>
      </c>
      <c r="I447" s="16" t="n">
        <f aca="false">IF(H447&lt;=0.01,0,MAX(Assumptions!$B$5-E447,0))</f>
        <v>0</v>
      </c>
      <c r="J447" s="16" t="str">
        <f aca="false">IF(H447&lt;=0.01,"Paid",IF(I447&lt;=30,"0-30",IF(I447&lt;=60,"31-60",IF(I447&lt;=90,"61-90","90+"))))</f>
        <v>Paid</v>
      </c>
      <c r="K447" s="16" t="str">
        <f aca="false">IF(H447&lt;=0.01,"Paid",IF(G447&gt;0,"Partially Paid","Unpaid"))</f>
        <v>Paid</v>
      </c>
    </row>
    <row r="448" customFormat="false" ht="15" hidden="false" customHeight="false" outlineLevel="0" collapsed="false">
      <c r="A448" s="16" t="str">
        <f aca="false">Customer_Invoices_AR!A445</f>
        <v>ARI60444</v>
      </c>
      <c r="B448" s="16" t="str">
        <f aca="false">Customer_Invoices_AR!B445</f>
        <v>C2022</v>
      </c>
      <c r="C448" s="16" t="str">
        <f aca="false">IFERROR(INDEX(Customer_Master!$B$2:$B$31,MATCH(B448,Customer_Master!$A$2:$A$31,0)),"Unknown Customer")</f>
        <v>Henderson-Bernard</v>
      </c>
      <c r="D448" s="17" t="n">
        <f aca="false">Customer_Invoices_AR!C445</f>
        <v>45685</v>
      </c>
      <c r="E448" s="17" t="n">
        <f aca="false">Customer_Invoices_AR!E445</f>
        <v>45715</v>
      </c>
      <c r="F448" s="18" t="n">
        <f aca="false">Customer_Invoices_AR!D445</f>
        <v>1948.8</v>
      </c>
      <c r="G448" s="18" t="n">
        <f aca="false">SUMIFS(Cash_Receipts_AR!$E$2:$E$503,Cash_Receipts_AR!$B$2:$B$503,A448)</f>
        <v>1948.8</v>
      </c>
      <c r="H448" s="18" t="n">
        <f aca="false">F448-G448</f>
        <v>0</v>
      </c>
      <c r="I448" s="16" t="n">
        <f aca="false">IF(H448&lt;=0.01,0,MAX(Assumptions!$B$5-E448,0))</f>
        <v>0</v>
      </c>
      <c r="J448" s="16" t="str">
        <f aca="false">IF(H448&lt;=0.01,"Paid",IF(I448&lt;=30,"0-30",IF(I448&lt;=60,"31-60",IF(I448&lt;=90,"61-90","90+"))))</f>
        <v>Paid</v>
      </c>
      <c r="K448" s="16" t="str">
        <f aca="false">IF(H448&lt;=0.01,"Paid",IF(G448&gt;0,"Partially Paid","Unpaid"))</f>
        <v>Paid</v>
      </c>
    </row>
    <row r="449" customFormat="false" ht="15" hidden="false" customHeight="false" outlineLevel="0" collapsed="false">
      <c r="A449" s="16" t="str">
        <f aca="false">Customer_Invoices_AR!A446</f>
        <v>ARI60445</v>
      </c>
      <c r="B449" s="16" t="str">
        <f aca="false">Customer_Invoices_AR!B446</f>
        <v>C2003</v>
      </c>
      <c r="C449" s="16" t="str">
        <f aca="false">IFERROR(INDEX(Customer_Master!$B$2:$B$31,MATCH(B449,Customer_Master!$A$2:$A$31,0)),"Unknown Customer")</f>
        <v>Robinson, Jones and Welch</v>
      </c>
      <c r="D449" s="17" t="n">
        <f aca="false">Customer_Invoices_AR!C446</f>
        <v>45927</v>
      </c>
      <c r="E449" s="17" t="n">
        <f aca="false">Customer_Invoices_AR!E446</f>
        <v>45972</v>
      </c>
      <c r="F449" s="18" t="n">
        <f aca="false">Customer_Invoices_AR!D446</f>
        <v>5733.44</v>
      </c>
      <c r="G449" s="18" t="n">
        <f aca="false">SUMIFS(Cash_Receipts_AR!$E$2:$E$503,Cash_Receipts_AR!$B$2:$B$503,A449)</f>
        <v>5733.44</v>
      </c>
      <c r="H449" s="18" t="n">
        <f aca="false">F449-G449</f>
        <v>0</v>
      </c>
      <c r="I449" s="16" t="n">
        <f aca="false">IF(H449&lt;=0.01,0,MAX(Assumptions!$B$5-E449,0))</f>
        <v>0</v>
      </c>
      <c r="J449" s="16" t="str">
        <f aca="false">IF(H449&lt;=0.01,"Paid",IF(I449&lt;=30,"0-30",IF(I449&lt;=60,"31-60",IF(I449&lt;=90,"61-90","90+"))))</f>
        <v>Paid</v>
      </c>
      <c r="K449" s="16" t="str">
        <f aca="false">IF(H449&lt;=0.01,"Paid",IF(G449&gt;0,"Partially Paid","Unpaid"))</f>
        <v>Paid</v>
      </c>
    </row>
    <row r="450" customFormat="false" ht="15" hidden="false" customHeight="false" outlineLevel="0" collapsed="false">
      <c r="A450" s="16" t="str">
        <f aca="false">Customer_Invoices_AR!A447</f>
        <v>ARI60446</v>
      </c>
      <c r="B450" s="16" t="str">
        <f aca="false">Customer_Invoices_AR!B447</f>
        <v>C2020</v>
      </c>
      <c r="C450" s="16" t="str">
        <f aca="false">IFERROR(INDEX(Customer_Master!$B$2:$B$31,MATCH(B450,Customer_Master!$A$2:$A$31,0)),"Unknown Customer")</f>
        <v>Gray Group</v>
      </c>
      <c r="D450" s="17" t="n">
        <f aca="false">Customer_Invoices_AR!C447</f>
        <v>46138</v>
      </c>
      <c r="E450" s="17" t="n">
        <f aca="false">Customer_Invoices_AR!E447</f>
        <v>46168</v>
      </c>
      <c r="F450" s="18" t="n">
        <f aca="false">Customer_Invoices_AR!D447</f>
        <v>3227.35</v>
      </c>
      <c r="G450" s="18" t="n">
        <f aca="false">SUMIFS(Cash_Receipts_AR!$E$2:$E$503,Cash_Receipts_AR!$B$2:$B$503,A450)</f>
        <v>3227.35</v>
      </c>
      <c r="H450" s="18" t="n">
        <f aca="false">F450-G450</f>
        <v>0</v>
      </c>
      <c r="I450" s="16" t="n">
        <f aca="false">IF(H450&lt;=0.01,0,MAX(Assumptions!$B$5-E450,0))</f>
        <v>0</v>
      </c>
      <c r="J450" s="16" t="str">
        <f aca="false">IF(H450&lt;=0.01,"Paid",IF(I450&lt;=30,"0-30",IF(I450&lt;=60,"31-60",IF(I450&lt;=90,"61-90","90+"))))</f>
        <v>Paid</v>
      </c>
      <c r="K450" s="16" t="str">
        <f aca="false">IF(H450&lt;=0.01,"Paid",IF(G450&gt;0,"Partially Paid","Unpaid"))</f>
        <v>Paid</v>
      </c>
    </row>
    <row r="451" customFormat="false" ht="15" hidden="false" customHeight="false" outlineLevel="0" collapsed="false">
      <c r="A451" s="16" t="str">
        <f aca="false">Customer_Invoices_AR!A448</f>
        <v>ARI60447</v>
      </c>
      <c r="B451" s="16" t="str">
        <f aca="false">Customer_Invoices_AR!B448</f>
        <v>C2011</v>
      </c>
      <c r="C451" s="16" t="str">
        <f aca="false">IFERROR(INDEX(Customer_Master!$B$2:$B$31,MATCH(B451,Customer_Master!$A$2:$A$31,0)),"Unknown Customer")</f>
        <v>Powell LLC</v>
      </c>
      <c r="D451" s="17" t="n">
        <f aca="false">Customer_Invoices_AR!C448</f>
        <v>46014</v>
      </c>
      <c r="E451" s="17" t="n">
        <f aca="false">Customer_Invoices_AR!E448</f>
        <v>46044</v>
      </c>
      <c r="F451" s="18" t="n">
        <f aca="false">Customer_Invoices_AR!D448</f>
        <v>1389.94</v>
      </c>
      <c r="G451" s="18" t="n">
        <f aca="false">SUMIFS(Cash_Receipts_AR!$E$2:$E$503,Cash_Receipts_AR!$B$2:$B$503,A451)</f>
        <v>1389.94</v>
      </c>
      <c r="H451" s="18" t="n">
        <f aca="false">F451-G451</f>
        <v>0</v>
      </c>
      <c r="I451" s="16" t="n">
        <f aca="false">IF(H451&lt;=0.01,0,MAX(Assumptions!$B$5-E451,0))</f>
        <v>0</v>
      </c>
      <c r="J451" s="16" t="str">
        <f aca="false">IF(H451&lt;=0.01,"Paid",IF(I451&lt;=30,"0-30",IF(I451&lt;=60,"31-60",IF(I451&lt;=90,"61-90","90+"))))</f>
        <v>Paid</v>
      </c>
      <c r="K451" s="16" t="str">
        <f aca="false">IF(H451&lt;=0.01,"Paid",IF(G451&gt;0,"Partially Paid","Unpaid"))</f>
        <v>Paid</v>
      </c>
    </row>
    <row r="452" customFormat="false" ht="15" hidden="false" customHeight="false" outlineLevel="0" collapsed="false">
      <c r="A452" s="16" t="str">
        <f aca="false">Customer_Invoices_AR!A449</f>
        <v>ARI60448</v>
      </c>
      <c r="B452" s="16" t="str">
        <f aca="false">Customer_Invoices_AR!B449</f>
        <v>C2001</v>
      </c>
      <c r="C452" s="16" t="str">
        <f aca="false">IFERROR(INDEX(Customer_Master!$B$2:$B$31,MATCH(B452,Customer_Master!$A$2:$A$31,0)),"Unknown Customer")</f>
        <v>Wright Inc</v>
      </c>
      <c r="D452" s="17" t="n">
        <f aca="false">Customer_Invoices_AR!C449</f>
        <v>45914</v>
      </c>
      <c r="E452" s="17" t="n">
        <f aca="false">Customer_Invoices_AR!E449</f>
        <v>45959</v>
      </c>
      <c r="F452" s="18" t="n">
        <f aca="false">Customer_Invoices_AR!D449</f>
        <v>4424.18</v>
      </c>
      <c r="G452" s="18" t="n">
        <f aca="false">SUMIFS(Cash_Receipts_AR!$E$2:$E$503,Cash_Receipts_AR!$B$2:$B$503,A452)</f>
        <v>4424.18</v>
      </c>
      <c r="H452" s="18" t="n">
        <f aca="false">F452-G452</f>
        <v>0</v>
      </c>
      <c r="I452" s="16" t="n">
        <f aca="false">IF(H452&lt;=0.01,0,MAX(Assumptions!$B$5-E452,0))</f>
        <v>0</v>
      </c>
      <c r="J452" s="16" t="str">
        <f aca="false">IF(H452&lt;=0.01,"Paid",IF(I452&lt;=30,"0-30",IF(I452&lt;=60,"31-60",IF(I452&lt;=90,"61-90","90+"))))</f>
        <v>Paid</v>
      </c>
      <c r="K452" s="16" t="str">
        <f aca="false">IF(H452&lt;=0.01,"Paid",IF(G452&gt;0,"Partially Paid","Unpaid"))</f>
        <v>Paid</v>
      </c>
    </row>
    <row r="453" customFormat="false" ht="15" hidden="false" customHeight="false" outlineLevel="0" collapsed="false">
      <c r="A453" s="16" t="str">
        <f aca="false">Customer_Invoices_AR!A450</f>
        <v>ARI60449</v>
      </c>
      <c r="B453" s="16" t="str">
        <f aca="false">Customer_Invoices_AR!B450</f>
        <v>C2022</v>
      </c>
      <c r="C453" s="16" t="str">
        <f aca="false">IFERROR(INDEX(Customer_Master!$B$2:$B$31,MATCH(B453,Customer_Master!$A$2:$A$31,0)),"Unknown Customer")</f>
        <v>Henderson-Bernard</v>
      </c>
      <c r="D453" s="17" t="n">
        <f aca="false">Customer_Invoices_AR!C450</f>
        <v>45950</v>
      </c>
      <c r="E453" s="17" t="n">
        <f aca="false">Customer_Invoices_AR!E450</f>
        <v>45980</v>
      </c>
      <c r="F453" s="18" t="n">
        <f aca="false">Customer_Invoices_AR!D450</f>
        <v>5939.73</v>
      </c>
      <c r="G453" s="18" t="n">
        <f aca="false">SUMIFS(Cash_Receipts_AR!$E$2:$E$503,Cash_Receipts_AR!$B$2:$B$503,A453)</f>
        <v>5939.73</v>
      </c>
      <c r="H453" s="18" t="n">
        <f aca="false">F453-G453</f>
        <v>0</v>
      </c>
      <c r="I453" s="16" t="n">
        <f aca="false">IF(H453&lt;=0.01,0,MAX(Assumptions!$B$5-E453,0))</f>
        <v>0</v>
      </c>
      <c r="J453" s="16" t="str">
        <f aca="false">IF(H453&lt;=0.01,"Paid",IF(I453&lt;=30,"0-30",IF(I453&lt;=60,"31-60",IF(I453&lt;=90,"61-90","90+"))))</f>
        <v>Paid</v>
      </c>
      <c r="K453" s="16" t="str">
        <f aca="false">IF(H453&lt;=0.01,"Paid",IF(G453&gt;0,"Partially Paid","Unpaid"))</f>
        <v>Paid</v>
      </c>
    </row>
    <row r="454" customFormat="false" ht="15" hidden="false" customHeight="false" outlineLevel="0" collapsed="false">
      <c r="A454" s="16" t="str">
        <f aca="false">Customer_Invoices_AR!A451</f>
        <v>ARI60450</v>
      </c>
      <c r="B454" s="16" t="str">
        <f aca="false">Customer_Invoices_AR!B451</f>
        <v>C2011</v>
      </c>
      <c r="C454" s="16" t="str">
        <f aca="false">IFERROR(INDEX(Customer_Master!$B$2:$B$31,MATCH(B454,Customer_Master!$A$2:$A$31,0)),"Unknown Customer")</f>
        <v>Powell LLC</v>
      </c>
      <c r="D454" s="17" t="n">
        <f aca="false">Customer_Invoices_AR!C451</f>
        <v>46119</v>
      </c>
      <c r="E454" s="17" t="n">
        <f aca="false">Customer_Invoices_AR!E451</f>
        <v>46149</v>
      </c>
      <c r="F454" s="18" t="n">
        <f aca="false">Customer_Invoices_AR!D451</f>
        <v>6534.13</v>
      </c>
      <c r="G454" s="18" t="n">
        <f aca="false">SUMIFS(Cash_Receipts_AR!$E$2:$E$503,Cash_Receipts_AR!$B$2:$B$503,A454)</f>
        <v>6534.13</v>
      </c>
      <c r="H454" s="18" t="n">
        <f aca="false">F454-G454</f>
        <v>0</v>
      </c>
      <c r="I454" s="16" t="n">
        <f aca="false">IF(H454&lt;=0.01,0,MAX(Assumptions!$B$5-E454,0))</f>
        <v>0</v>
      </c>
      <c r="J454" s="16" t="str">
        <f aca="false">IF(H454&lt;=0.01,"Paid",IF(I454&lt;=30,"0-30",IF(I454&lt;=60,"31-60",IF(I454&lt;=90,"61-90","90+"))))</f>
        <v>Paid</v>
      </c>
      <c r="K454" s="16" t="str">
        <f aca="false">IF(H454&lt;=0.01,"Paid",IF(G454&gt;0,"Partially Paid","Unpaid"))</f>
        <v>Paid</v>
      </c>
    </row>
    <row r="455" customFormat="false" ht="15" hidden="false" customHeight="false" outlineLevel="0" collapsed="false">
      <c r="A455" s="16" t="str">
        <f aca="false">Customer_Invoices_AR!A452</f>
        <v>ARI60451</v>
      </c>
      <c r="B455" s="16" t="str">
        <f aca="false">Customer_Invoices_AR!B452</f>
        <v>C2019</v>
      </c>
      <c r="C455" s="16" t="str">
        <f aca="false">IFERROR(INDEX(Customer_Master!$B$2:$B$31,MATCH(B455,Customer_Master!$A$2:$A$31,0)),"Unknown Customer")</f>
        <v>Hancock Inc</v>
      </c>
      <c r="D455" s="17" t="n">
        <f aca="false">Customer_Invoices_AR!C452</f>
        <v>45892</v>
      </c>
      <c r="E455" s="17" t="n">
        <f aca="false">Customer_Invoices_AR!E452</f>
        <v>45907</v>
      </c>
      <c r="F455" s="18" t="n">
        <f aca="false">Customer_Invoices_AR!D452</f>
        <v>905.65</v>
      </c>
      <c r="G455" s="18" t="n">
        <f aca="false">SUMIFS(Cash_Receipts_AR!$E$2:$E$503,Cash_Receipts_AR!$B$2:$B$503,A455)</f>
        <v>320.53</v>
      </c>
      <c r="H455" s="18" t="n">
        <f aca="false">F455-G455</f>
        <v>585.12</v>
      </c>
      <c r="I455" s="16" t="n">
        <f aca="false">IF(H455&lt;=0.01,0,MAX(Assumptions!$B$5-E455,0))</f>
        <v>327</v>
      </c>
      <c r="J455" s="16" t="str">
        <f aca="false">IF(H455&lt;=0.01,"Paid",IF(I455&lt;=30,"0-30",IF(I455&lt;=60,"31-60",IF(I455&lt;=90,"61-90","90+"))))</f>
        <v>90+</v>
      </c>
      <c r="K455" s="16" t="str">
        <f aca="false">IF(H455&lt;=0.01,"Paid",IF(G455&gt;0,"Partially Paid","Unpaid"))</f>
        <v>Partially Paid</v>
      </c>
    </row>
    <row r="456" customFormat="false" ht="15" hidden="false" customHeight="false" outlineLevel="0" collapsed="false">
      <c r="A456" s="16" t="str">
        <f aca="false">Customer_Invoices_AR!A453</f>
        <v>ARI60452</v>
      </c>
      <c r="B456" s="16" t="str">
        <f aca="false">Customer_Invoices_AR!B453</f>
        <v>C2023</v>
      </c>
      <c r="C456" s="16" t="str">
        <f aca="false">IFERROR(INDEX(Customer_Master!$B$2:$B$31,MATCH(B456,Customer_Master!$A$2:$A$31,0)),"Unknown Customer")</f>
        <v>Stanley, Tucker and Lee</v>
      </c>
      <c r="D456" s="17" t="n">
        <f aca="false">Customer_Invoices_AR!C453</f>
        <v>46138</v>
      </c>
      <c r="E456" s="17" t="n">
        <f aca="false">Customer_Invoices_AR!E453</f>
        <v>46198</v>
      </c>
      <c r="F456" s="18" t="n">
        <f aca="false">Customer_Invoices_AR!D453</f>
        <v>3067.28</v>
      </c>
      <c r="G456" s="18" t="n">
        <f aca="false">SUMIFS(Cash_Receipts_AR!$E$2:$E$503,Cash_Receipts_AR!$B$2:$B$503,A456)</f>
        <v>3067.28</v>
      </c>
      <c r="H456" s="18" t="n">
        <f aca="false">F456-G456</f>
        <v>0</v>
      </c>
      <c r="I456" s="16" t="n">
        <f aca="false">IF(H456&lt;=0.01,0,MAX(Assumptions!$B$5-E456,0))</f>
        <v>0</v>
      </c>
      <c r="J456" s="16" t="str">
        <f aca="false">IF(H456&lt;=0.01,"Paid",IF(I456&lt;=30,"0-30",IF(I456&lt;=60,"31-60",IF(I456&lt;=90,"61-90","90+"))))</f>
        <v>Paid</v>
      </c>
      <c r="K456" s="16" t="str">
        <f aca="false">IF(H456&lt;=0.01,"Paid",IF(G456&gt;0,"Partially Paid","Unpaid"))</f>
        <v>Paid</v>
      </c>
    </row>
    <row r="457" customFormat="false" ht="15" hidden="false" customHeight="false" outlineLevel="0" collapsed="false">
      <c r="A457" s="16" t="str">
        <f aca="false">Customer_Invoices_AR!A454</f>
        <v>ARI60453</v>
      </c>
      <c r="B457" s="16" t="str">
        <f aca="false">Customer_Invoices_AR!B454</f>
        <v>C2002</v>
      </c>
      <c r="C457" s="16" t="str">
        <f aca="false">IFERROR(INDEX(Customer_Master!$B$2:$B$31,MATCH(B457,Customer_Master!$A$2:$A$31,0)),"Unknown Customer")</f>
        <v>Smith-Spencer</v>
      </c>
      <c r="D457" s="17" t="n">
        <f aca="false">Customer_Invoices_AR!C454</f>
        <v>46054</v>
      </c>
      <c r="E457" s="17" t="n">
        <f aca="false">Customer_Invoices_AR!E454</f>
        <v>46069</v>
      </c>
      <c r="F457" s="18" t="n">
        <f aca="false">Customer_Invoices_AR!D454</f>
        <v>1584.49</v>
      </c>
      <c r="G457" s="18" t="n">
        <f aca="false">SUMIFS(Cash_Receipts_AR!$E$2:$E$503,Cash_Receipts_AR!$B$2:$B$503,A457)</f>
        <v>0</v>
      </c>
      <c r="H457" s="18" t="n">
        <f aca="false">F457-G457</f>
        <v>1584.49</v>
      </c>
      <c r="I457" s="16" t="n">
        <f aca="false">IF(H457&lt;=0.01,0,MAX(Assumptions!$B$5-E457,0))</f>
        <v>165</v>
      </c>
      <c r="J457" s="16" t="str">
        <f aca="false">IF(H457&lt;=0.01,"Paid",IF(I457&lt;=30,"0-30",IF(I457&lt;=60,"31-60",IF(I457&lt;=90,"61-90","90+"))))</f>
        <v>90+</v>
      </c>
      <c r="K457" s="16" t="str">
        <f aca="false">IF(H457&lt;=0.01,"Paid",IF(G457&gt;0,"Partially Paid","Unpaid"))</f>
        <v>Unpaid</v>
      </c>
    </row>
    <row r="458" customFormat="false" ht="15" hidden="false" customHeight="false" outlineLevel="0" collapsed="false">
      <c r="A458" s="16" t="str">
        <f aca="false">Customer_Invoices_AR!A455</f>
        <v>ARI60454</v>
      </c>
      <c r="B458" s="16" t="str">
        <f aca="false">Customer_Invoices_AR!B455</f>
        <v>C2018</v>
      </c>
      <c r="C458" s="16" t="str">
        <f aca="false">IFERROR(INDEX(Customer_Master!$B$2:$B$31,MATCH(B458,Customer_Master!$A$2:$A$31,0)),"Unknown Customer")</f>
        <v>Russell Group</v>
      </c>
      <c r="D458" s="17" t="n">
        <f aca="false">Customer_Invoices_AR!C455</f>
        <v>46074</v>
      </c>
      <c r="E458" s="17" t="n">
        <f aca="false">Customer_Invoices_AR!E455</f>
        <v>46089</v>
      </c>
      <c r="F458" s="18" t="n">
        <f aca="false">Customer_Invoices_AR!D455</f>
        <v>3317.36</v>
      </c>
      <c r="G458" s="18" t="n">
        <f aca="false">SUMIFS(Cash_Receipts_AR!$E$2:$E$503,Cash_Receipts_AR!$B$2:$B$503,A458)</f>
        <v>3317.36</v>
      </c>
      <c r="H458" s="18" t="n">
        <f aca="false">F458-G458</f>
        <v>0</v>
      </c>
      <c r="I458" s="16" t="n">
        <f aca="false">IF(H458&lt;=0.01,0,MAX(Assumptions!$B$5-E458,0))</f>
        <v>0</v>
      </c>
      <c r="J458" s="16" t="str">
        <f aca="false">IF(H458&lt;=0.01,"Paid",IF(I458&lt;=30,"0-30",IF(I458&lt;=60,"31-60",IF(I458&lt;=90,"61-90","90+"))))</f>
        <v>Paid</v>
      </c>
      <c r="K458" s="16" t="str">
        <f aca="false">IF(H458&lt;=0.01,"Paid",IF(G458&gt;0,"Partially Paid","Unpaid"))</f>
        <v>Paid</v>
      </c>
    </row>
    <row r="459" customFormat="false" ht="15" hidden="false" customHeight="false" outlineLevel="0" collapsed="false">
      <c r="A459" s="16" t="str">
        <f aca="false">Customer_Invoices_AR!A456</f>
        <v>ARI60455</v>
      </c>
      <c r="B459" s="16" t="str">
        <f aca="false">Customer_Invoices_AR!B456</f>
        <v>C2020</v>
      </c>
      <c r="C459" s="16" t="str">
        <f aca="false">IFERROR(INDEX(Customer_Master!$B$2:$B$31,MATCH(B459,Customer_Master!$A$2:$A$31,0)),"Unknown Customer")</f>
        <v>Gray Group</v>
      </c>
      <c r="D459" s="17" t="n">
        <f aca="false">Customer_Invoices_AR!C456</f>
        <v>45857</v>
      </c>
      <c r="E459" s="17" t="n">
        <f aca="false">Customer_Invoices_AR!E456</f>
        <v>45887</v>
      </c>
      <c r="F459" s="18" t="n">
        <f aca="false">Customer_Invoices_AR!D456</f>
        <v>8677.01</v>
      </c>
      <c r="G459" s="18" t="n">
        <f aca="false">SUMIFS(Cash_Receipts_AR!$E$2:$E$503,Cash_Receipts_AR!$B$2:$B$503,A459)</f>
        <v>8677.01</v>
      </c>
      <c r="H459" s="18" t="n">
        <f aca="false">F459-G459</f>
        <v>0</v>
      </c>
      <c r="I459" s="16" t="n">
        <f aca="false">IF(H459&lt;=0.01,0,MAX(Assumptions!$B$5-E459,0))</f>
        <v>0</v>
      </c>
      <c r="J459" s="16" t="str">
        <f aca="false">IF(H459&lt;=0.01,"Paid",IF(I459&lt;=30,"0-30",IF(I459&lt;=60,"31-60",IF(I459&lt;=90,"61-90","90+"))))</f>
        <v>Paid</v>
      </c>
      <c r="K459" s="16" t="str">
        <f aca="false">IF(H459&lt;=0.01,"Paid",IF(G459&gt;0,"Partially Paid","Unpaid"))</f>
        <v>Paid</v>
      </c>
    </row>
    <row r="460" customFormat="false" ht="15" hidden="false" customHeight="false" outlineLevel="0" collapsed="false">
      <c r="A460" s="16" t="str">
        <f aca="false">Customer_Invoices_AR!A457</f>
        <v>ARI60456</v>
      </c>
      <c r="B460" s="16" t="str">
        <f aca="false">Customer_Invoices_AR!B457</f>
        <v>C2016</v>
      </c>
      <c r="C460" s="16" t="str">
        <f aca="false">IFERROR(INDEX(Customer_Master!$B$2:$B$31,MATCH(B460,Customer_Master!$A$2:$A$31,0)),"Unknown Customer")</f>
        <v>Williams PLC</v>
      </c>
      <c r="D460" s="17" t="n">
        <f aca="false">Customer_Invoices_AR!C457</f>
        <v>45876</v>
      </c>
      <c r="E460" s="17" t="n">
        <f aca="false">Customer_Invoices_AR!E457</f>
        <v>45906</v>
      </c>
      <c r="F460" s="18" t="n">
        <f aca="false">Customer_Invoices_AR!D457</f>
        <v>325.4</v>
      </c>
      <c r="G460" s="18" t="n">
        <f aca="false">SUMIFS(Cash_Receipts_AR!$E$2:$E$503,Cash_Receipts_AR!$B$2:$B$503,A460)</f>
        <v>0</v>
      </c>
      <c r="H460" s="18" t="n">
        <f aca="false">F460-G460</f>
        <v>325.4</v>
      </c>
      <c r="I460" s="16" t="n">
        <f aca="false">IF(H460&lt;=0.01,0,MAX(Assumptions!$B$5-E460,0))</f>
        <v>328</v>
      </c>
      <c r="J460" s="16" t="str">
        <f aca="false">IF(H460&lt;=0.01,"Paid",IF(I460&lt;=30,"0-30",IF(I460&lt;=60,"31-60",IF(I460&lt;=90,"61-90","90+"))))</f>
        <v>90+</v>
      </c>
      <c r="K460" s="16" t="str">
        <f aca="false">IF(H460&lt;=0.01,"Paid",IF(G460&gt;0,"Partially Paid","Unpaid"))</f>
        <v>Unpaid</v>
      </c>
    </row>
    <row r="461" customFormat="false" ht="15" hidden="false" customHeight="false" outlineLevel="0" collapsed="false">
      <c r="A461" s="16" t="str">
        <f aca="false">Customer_Invoices_AR!A458</f>
        <v>ARI60457</v>
      </c>
      <c r="B461" s="16" t="str">
        <f aca="false">Customer_Invoices_AR!B458</f>
        <v>C2006</v>
      </c>
      <c r="C461" s="16" t="str">
        <f aca="false">IFERROR(INDEX(Customer_Master!$B$2:$B$31,MATCH(B461,Customer_Master!$A$2:$A$31,0)),"Unknown Customer")</f>
        <v>Washington, Ryan and Cummings</v>
      </c>
      <c r="D461" s="17" t="n">
        <f aca="false">Customer_Invoices_AR!C458</f>
        <v>45968</v>
      </c>
      <c r="E461" s="17" t="n">
        <f aca="false">Customer_Invoices_AR!E458</f>
        <v>45983</v>
      </c>
      <c r="F461" s="18" t="n">
        <f aca="false">Customer_Invoices_AR!D458</f>
        <v>558.97</v>
      </c>
      <c r="G461" s="18" t="n">
        <f aca="false">SUMIFS(Cash_Receipts_AR!$E$2:$E$503,Cash_Receipts_AR!$B$2:$B$503,A461)</f>
        <v>0</v>
      </c>
      <c r="H461" s="18" t="n">
        <f aca="false">F461-G461</f>
        <v>558.97</v>
      </c>
      <c r="I461" s="16" t="n">
        <f aca="false">IF(H461&lt;=0.01,0,MAX(Assumptions!$B$5-E461,0))</f>
        <v>251</v>
      </c>
      <c r="J461" s="16" t="str">
        <f aca="false">IF(H461&lt;=0.01,"Paid",IF(I461&lt;=30,"0-30",IF(I461&lt;=60,"31-60",IF(I461&lt;=90,"61-90","90+"))))</f>
        <v>90+</v>
      </c>
      <c r="K461" s="16" t="str">
        <f aca="false">IF(H461&lt;=0.01,"Paid",IF(G461&gt;0,"Partially Paid","Unpaid"))</f>
        <v>Unpaid</v>
      </c>
    </row>
    <row r="462" customFormat="false" ht="15" hidden="false" customHeight="false" outlineLevel="0" collapsed="false">
      <c r="A462" s="16" t="str">
        <f aca="false">Customer_Invoices_AR!A459</f>
        <v>ARI60458</v>
      </c>
      <c r="B462" s="16" t="str">
        <f aca="false">Customer_Invoices_AR!B459</f>
        <v>C2028</v>
      </c>
      <c r="C462" s="16" t="str">
        <f aca="false">IFERROR(INDEX(Customer_Master!$B$2:$B$31,MATCH(B462,Customer_Master!$A$2:$A$31,0)),"Unknown Customer")</f>
        <v>Jones Inc</v>
      </c>
      <c r="D462" s="17" t="n">
        <f aca="false">Customer_Invoices_AR!C459</f>
        <v>45764</v>
      </c>
      <c r="E462" s="17" t="n">
        <f aca="false">Customer_Invoices_AR!E459</f>
        <v>45779</v>
      </c>
      <c r="F462" s="18" t="n">
        <f aca="false">Customer_Invoices_AR!D459</f>
        <v>5328.41</v>
      </c>
      <c r="G462" s="18" t="n">
        <f aca="false">SUMIFS(Cash_Receipts_AR!$E$2:$E$503,Cash_Receipts_AR!$B$2:$B$503,A462)</f>
        <v>0</v>
      </c>
      <c r="H462" s="18" t="n">
        <f aca="false">F462-G462</f>
        <v>5328.41</v>
      </c>
      <c r="I462" s="16" t="n">
        <f aca="false">IF(H462&lt;=0.01,0,MAX(Assumptions!$B$5-E462,0))</f>
        <v>455</v>
      </c>
      <c r="J462" s="16" t="str">
        <f aca="false">IF(H462&lt;=0.01,"Paid",IF(I462&lt;=30,"0-30",IF(I462&lt;=60,"31-60",IF(I462&lt;=90,"61-90","90+"))))</f>
        <v>90+</v>
      </c>
      <c r="K462" s="16" t="str">
        <f aca="false">IF(H462&lt;=0.01,"Paid",IF(G462&gt;0,"Partially Paid","Unpaid"))</f>
        <v>Unpaid</v>
      </c>
    </row>
    <row r="463" customFormat="false" ht="15" hidden="false" customHeight="false" outlineLevel="0" collapsed="false">
      <c r="A463" s="16" t="str">
        <f aca="false">Customer_Invoices_AR!A460</f>
        <v>ARI60459</v>
      </c>
      <c r="B463" s="16" t="str">
        <f aca="false">Customer_Invoices_AR!B460</f>
        <v>C2010</v>
      </c>
      <c r="C463" s="16" t="str">
        <f aca="false">IFERROR(INDEX(Customer_Master!$B$2:$B$31,MATCH(B463,Customer_Master!$A$2:$A$31,0)),"Unknown Customer")</f>
        <v>Brown, Valdez and Lucas</v>
      </c>
      <c r="D463" s="17" t="n">
        <f aca="false">Customer_Invoices_AR!C460</f>
        <v>45959</v>
      </c>
      <c r="E463" s="17" t="n">
        <f aca="false">Customer_Invoices_AR!E460</f>
        <v>46019</v>
      </c>
      <c r="F463" s="18" t="n">
        <f aca="false">Customer_Invoices_AR!D460</f>
        <v>870.84</v>
      </c>
      <c r="G463" s="18" t="n">
        <f aca="false">SUMIFS(Cash_Receipts_AR!$E$2:$E$503,Cash_Receipts_AR!$B$2:$B$503,A463)</f>
        <v>0</v>
      </c>
      <c r="H463" s="18" t="n">
        <f aca="false">F463-G463</f>
        <v>870.84</v>
      </c>
      <c r="I463" s="16" t="n">
        <f aca="false">IF(H463&lt;=0.01,0,MAX(Assumptions!$B$5-E463,0))</f>
        <v>215</v>
      </c>
      <c r="J463" s="16" t="str">
        <f aca="false">IF(H463&lt;=0.01,"Paid",IF(I463&lt;=30,"0-30",IF(I463&lt;=60,"31-60",IF(I463&lt;=90,"61-90","90+"))))</f>
        <v>90+</v>
      </c>
      <c r="K463" s="16" t="str">
        <f aca="false">IF(H463&lt;=0.01,"Paid",IF(G463&gt;0,"Partially Paid","Unpaid"))</f>
        <v>Unpaid</v>
      </c>
    </row>
    <row r="464" customFormat="false" ht="15" hidden="false" customHeight="false" outlineLevel="0" collapsed="false">
      <c r="A464" s="16" t="str">
        <f aca="false">Customer_Invoices_AR!A461</f>
        <v>ARI60460</v>
      </c>
      <c r="B464" s="16" t="str">
        <f aca="false">Customer_Invoices_AR!B461</f>
        <v>C2014</v>
      </c>
      <c r="C464" s="16" t="str">
        <f aca="false">IFERROR(INDEX(Customer_Master!$B$2:$B$31,MATCH(B464,Customer_Master!$A$2:$A$31,0)),"Unknown Customer")</f>
        <v>Baxter Inc</v>
      </c>
      <c r="D464" s="17" t="n">
        <f aca="false">Customer_Invoices_AR!C461</f>
        <v>45698</v>
      </c>
      <c r="E464" s="17" t="n">
        <f aca="false">Customer_Invoices_AR!E461</f>
        <v>45728</v>
      </c>
      <c r="F464" s="18" t="n">
        <f aca="false">Customer_Invoices_AR!D461</f>
        <v>3688.77</v>
      </c>
      <c r="G464" s="18" t="n">
        <f aca="false">SUMIFS(Cash_Receipts_AR!$E$2:$E$503,Cash_Receipts_AR!$B$2:$B$503,A464)</f>
        <v>3688.77</v>
      </c>
      <c r="H464" s="18" t="n">
        <f aca="false">F464-G464</f>
        <v>0</v>
      </c>
      <c r="I464" s="16" t="n">
        <f aca="false">IF(H464&lt;=0.01,0,MAX(Assumptions!$B$5-E464,0))</f>
        <v>0</v>
      </c>
      <c r="J464" s="16" t="str">
        <f aca="false">IF(H464&lt;=0.01,"Paid",IF(I464&lt;=30,"0-30",IF(I464&lt;=60,"31-60",IF(I464&lt;=90,"61-90","90+"))))</f>
        <v>Paid</v>
      </c>
      <c r="K464" s="16" t="str">
        <f aca="false">IF(H464&lt;=0.01,"Paid",IF(G464&gt;0,"Partially Paid","Unpaid"))</f>
        <v>Paid</v>
      </c>
    </row>
    <row r="465" customFormat="false" ht="15" hidden="false" customHeight="false" outlineLevel="0" collapsed="false">
      <c r="A465" s="16" t="str">
        <f aca="false">Customer_Invoices_AR!A462</f>
        <v>ARI60461</v>
      </c>
      <c r="B465" s="16" t="str">
        <f aca="false">Customer_Invoices_AR!B462</f>
        <v>C2028</v>
      </c>
      <c r="C465" s="16" t="str">
        <f aca="false">IFERROR(INDEX(Customer_Master!$B$2:$B$31,MATCH(B465,Customer_Master!$A$2:$A$31,0)),"Unknown Customer")</f>
        <v>Jones Inc</v>
      </c>
      <c r="D465" s="17" t="n">
        <f aca="false">Customer_Invoices_AR!C462</f>
        <v>45932</v>
      </c>
      <c r="E465" s="17" t="n">
        <f aca="false">Customer_Invoices_AR!E462</f>
        <v>45947</v>
      </c>
      <c r="F465" s="18" t="n">
        <f aca="false">Customer_Invoices_AR!D462</f>
        <v>16714.6</v>
      </c>
      <c r="G465" s="18" t="n">
        <f aca="false">SUMIFS(Cash_Receipts_AR!$E$2:$E$503,Cash_Receipts_AR!$B$2:$B$503,A465)</f>
        <v>10558.67</v>
      </c>
      <c r="H465" s="18" t="n">
        <f aca="false">F465-G465</f>
        <v>6155.93</v>
      </c>
      <c r="I465" s="16" t="n">
        <f aca="false">IF(H465&lt;=0.01,0,MAX(Assumptions!$B$5-E465,0))</f>
        <v>287</v>
      </c>
      <c r="J465" s="16" t="str">
        <f aca="false">IF(H465&lt;=0.01,"Paid",IF(I465&lt;=30,"0-30",IF(I465&lt;=60,"31-60",IF(I465&lt;=90,"61-90","90+"))))</f>
        <v>90+</v>
      </c>
      <c r="K465" s="16" t="str">
        <f aca="false">IF(H465&lt;=0.01,"Paid",IF(G465&gt;0,"Partially Paid","Unpaid"))</f>
        <v>Partially Paid</v>
      </c>
    </row>
    <row r="466" customFormat="false" ht="15" hidden="false" customHeight="false" outlineLevel="0" collapsed="false">
      <c r="A466" s="16" t="str">
        <f aca="false">Customer_Invoices_AR!A463</f>
        <v>ARI60462</v>
      </c>
      <c r="B466" s="16" t="str">
        <f aca="false">Customer_Invoices_AR!B463</f>
        <v>C2021</v>
      </c>
      <c r="C466" s="16" t="str">
        <f aca="false">IFERROR(INDEX(Customer_Master!$B$2:$B$31,MATCH(B466,Customer_Master!$A$2:$A$31,0)),"Unknown Customer")</f>
        <v>House-Glover</v>
      </c>
      <c r="D466" s="17" t="n">
        <f aca="false">Customer_Invoices_AR!C463</f>
        <v>46074</v>
      </c>
      <c r="E466" s="17" t="n">
        <f aca="false">Customer_Invoices_AR!E463</f>
        <v>46134</v>
      </c>
      <c r="F466" s="18" t="n">
        <f aca="false">Customer_Invoices_AR!D463</f>
        <v>6079.39</v>
      </c>
      <c r="G466" s="18" t="n">
        <f aca="false">SUMIFS(Cash_Receipts_AR!$E$2:$E$503,Cash_Receipts_AR!$B$2:$B$503,A466)</f>
        <v>4773.31</v>
      </c>
      <c r="H466" s="18" t="n">
        <f aca="false">F466-G466</f>
        <v>1306.08</v>
      </c>
      <c r="I466" s="16" t="n">
        <f aca="false">IF(H466&lt;=0.01,0,MAX(Assumptions!$B$5-E466,0))</f>
        <v>100</v>
      </c>
      <c r="J466" s="16" t="str">
        <f aca="false">IF(H466&lt;=0.01,"Paid",IF(I466&lt;=30,"0-30",IF(I466&lt;=60,"31-60",IF(I466&lt;=90,"61-90","90+"))))</f>
        <v>90+</v>
      </c>
      <c r="K466" s="16" t="str">
        <f aca="false">IF(H466&lt;=0.01,"Paid",IF(G466&gt;0,"Partially Paid","Unpaid"))</f>
        <v>Partially Paid</v>
      </c>
    </row>
    <row r="467" customFormat="false" ht="15" hidden="false" customHeight="false" outlineLevel="0" collapsed="false">
      <c r="A467" s="16" t="str">
        <f aca="false">Customer_Invoices_AR!A464</f>
        <v>ARI60463</v>
      </c>
      <c r="B467" s="16" t="str">
        <f aca="false">Customer_Invoices_AR!B464</f>
        <v>C2028</v>
      </c>
      <c r="C467" s="16" t="str">
        <f aca="false">IFERROR(INDEX(Customer_Master!$B$2:$B$31,MATCH(B467,Customer_Master!$A$2:$A$31,0)),"Unknown Customer")</f>
        <v>Jones Inc</v>
      </c>
      <c r="D467" s="17" t="n">
        <f aca="false">Customer_Invoices_AR!C464</f>
        <v>45810</v>
      </c>
      <c r="E467" s="17" t="n">
        <f aca="false">Customer_Invoices_AR!E464</f>
        <v>45825</v>
      </c>
      <c r="F467" s="18" t="n">
        <f aca="false">Customer_Invoices_AR!D464</f>
        <v>2297.56</v>
      </c>
      <c r="G467" s="18" t="n">
        <f aca="false">SUMIFS(Cash_Receipts_AR!$E$2:$E$503,Cash_Receipts_AR!$B$2:$B$503,A467)</f>
        <v>2297.56</v>
      </c>
      <c r="H467" s="18" t="n">
        <f aca="false">F467-G467</f>
        <v>0</v>
      </c>
      <c r="I467" s="16" t="n">
        <f aca="false">IF(H467&lt;=0.01,0,MAX(Assumptions!$B$5-E467,0))</f>
        <v>0</v>
      </c>
      <c r="J467" s="16" t="str">
        <f aca="false">IF(H467&lt;=0.01,"Paid",IF(I467&lt;=30,"0-30",IF(I467&lt;=60,"31-60",IF(I467&lt;=90,"61-90","90+"))))</f>
        <v>Paid</v>
      </c>
      <c r="K467" s="16" t="str">
        <f aca="false">IF(H467&lt;=0.01,"Paid",IF(G467&gt;0,"Partially Paid","Unpaid"))</f>
        <v>Paid</v>
      </c>
    </row>
    <row r="468" customFormat="false" ht="15" hidden="false" customHeight="false" outlineLevel="0" collapsed="false">
      <c r="A468" s="16" t="str">
        <f aca="false">Customer_Invoices_AR!A465</f>
        <v>ARI60464</v>
      </c>
      <c r="B468" s="16" t="str">
        <f aca="false">Customer_Invoices_AR!B465</f>
        <v>C2020</v>
      </c>
      <c r="C468" s="16" t="str">
        <f aca="false">IFERROR(INDEX(Customer_Master!$B$2:$B$31,MATCH(B468,Customer_Master!$A$2:$A$31,0)),"Unknown Customer")</f>
        <v>Gray Group</v>
      </c>
      <c r="D468" s="17" t="n">
        <f aca="false">Customer_Invoices_AR!C465</f>
        <v>46197</v>
      </c>
      <c r="E468" s="17" t="n">
        <f aca="false">Customer_Invoices_AR!E465</f>
        <v>46227</v>
      </c>
      <c r="F468" s="18" t="n">
        <f aca="false">Customer_Invoices_AR!D465</f>
        <v>4197.23</v>
      </c>
      <c r="G468" s="18" t="n">
        <f aca="false">SUMIFS(Cash_Receipts_AR!$E$2:$E$503,Cash_Receipts_AR!$B$2:$B$503,A468)</f>
        <v>0</v>
      </c>
      <c r="H468" s="18" t="n">
        <f aca="false">F468-G468</f>
        <v>4197.23</v>
      </c>
      <c r="I468" s="16" t="n">
        <f aca="false">IF(H468&lt;=0.01,0,MAX(Assumptions!$B$5-E468,0))</f>
        <v>7</v>
      </c>
      <c r="J468" s="16" t="str">
        <f aca="false">IF(H468&lt;=0.01,"Paid",IF(I468&lt;=30,"0-30",IF(I468&lt;=60,"31-60",IF(I468&lt;=90,"61-90","90+"))))</f>
        <v>0-30</v>
      </c>
      <c r="K468" s="16" t="str">
        <f aca="false">IF(H468&lt;=0.01,"Paid",IF(G468&gt;0,"Partially Paid","Unpaid"))</f>
        <v>Unpaid</v>
      </c>
    </row>
    <row r="469" customFormat="false" ht="15" hidden="false" customHeight="false" outlineLevel="0" collapsed="false">
      <c r="A469" s="16" t="str">
        <f aca="false">Customer_Invoices_AR!A466</f>
        <v>ARI60465</v>
      </c>
      <c r="B469" s="16" t="str">
        <f aca="false">Customer_Invoices_AR!B466</f>
        <v>C2013</v>
      </c>
      <c r="C469" s="16" t="str">
        <f aca="false">IFERROR(INDEX(Customer_Master!$B$2:$B$31,MATCH(B469,Customer_Master!$A$2:$A$31,0)),"Unknown Customer")</f>
        <v>West, Henderson and Ramirez</v>
      </c>
      <c r="D469" s="17" t="n">
        <f aca="false">Customer_Invoices_AR!C466</f>
        <v>46028</v>
      </c>
      <c r="E469" s="17" t="n">
        <f aca="false">Customer_Invoices_AR!E466</f>
        <v>46088</v>
      </c>
      <c r="F469" s="18" t="n">
        <f aca="false">Customer_Invoices_AR!D466</f>
        <v>17482.96</v>
      </c>
      <c r="G469" s="18" t="n">
        <f aca="false">SUMIFS(Cash_Receipts_AR!$E$2:$E$503,Cash_Receipts_AR!$B$2:$B$503,A469)</f>
        <v>17482.96</v>
      </c>
      <c r="H469" s="18" t="n">
        <f aca="false">F469-G469</f>
        <v>0</v>
      </c>
      <c r="I469" s="16" t="n">
        <f aca="false">IF(H469&lt;=0.01,0,MAX(Assumptions!$B$5-E469,0))</f>
        <v>0</v>
      </c>
      <c r="J469" s="16" t="str">
        <f aca="false">IF(H469&lt;=0.01,"Paid",IF(I469&lt;=30,"0-30",IF(I469&lt;=60,"31-60",IF(I469&lt;=90,"61-90","90+"))))</f>
        <v>Paid</v>
      </c>
      <c r="K469" s="16" t="str">
        <f aca="false">IF(H469&lt;=0.01,"Paid",IF(G469&gt;0,"Partially Paid","Unpaid"))</f>
        <v>Paid</v>
      </c>
    </row>
    <row r="470" customFormat="false" ht="15" hidden="false" customHeight="false" outlineLevel="0" collapsed="false">
      <c r="A470" s="16" t="str">
        <f aca="false">Customer_Invoices_AR!A467</f>
        <v>ARI60466</v>
      </c>
      <c r="B470" s="16" t="str">
        <f aca="false">Customer_Invoices_AR!B467</f>
        <v>C2018</v>
      </c>
      <c r="C470" s="16" t="str">
        <f aca="false">IFERROR(INDEX(Customer_Master!$B$2:$B$31,MATCH(B470,Customer_Master!$A$2:$A$31,0)),"Unknown Customer")</f>
        <v>Russell Group</v>
      </c>
      <c r="D470" s="17" t="n">
        <f aca="false">Customer_Invoices_AR!C467</f>
        <v>45722</v>
      </c>
      <c r="E470" s="17" t="n">
        <f aca="false">Customer_Invoices_AR!E467</f>
        <v>45737</v>
      </c>
      <c r="F470" s="18" t="n">
        <f aca="false">Customer_Invoices_AR!D467</f>
        <v>39817.42</v>
      </c>
      <c r="G470" s="18" t="n">
        <f aca="false">SUMIFS(Cash_Receipts_AR!$E$2:$E$503,Cash_Receipts_AR!$B$2:$B$503,A470)</f>
        <v>39817.42</v>
      </c>
      <c r="H470" s="18" t="n">
        <f aca="false">F470-G470</f>
        <v>0</v>
      </c>
      <c r="I470" s="16" t="n">
        <f aca="false">IF(H470&lt;=0.01,0,MAX(Assumptions!$B$5-E470,0))</f>
        <v>0</v>
      </c>
      <c r="J470" s="16" t="str">
        <f aca="false">IF(H470&lt;=0.01,"Paid",IF(I470&lt;=30,"0-30",IF(I470&lt;=60,"31-60",IF(I470&lt;=90,"61-90","90+"))))</f>
        <v>Paid</v>
      </c>
      <c r="K470" s="16" t="str">
        <f aca="false">IF(H470&lt;=0.01,"Paid",IF(G470&gt;0,"Partially Paid","Unpaid"))</f>
        <v>Paid</v>
      </c>
    </row>
    <row r="471" customFormat="false" ht="15" hidden="false" customHeight="false" outlineLevel="0" collapsed="false">
      <c r="A471" s="16" t="str">
        <f aca="false">Customer_Invoices_AR!A468</f>
        <v>ARI60467</v>
      </c>
      <c r="B471" s="16" t="str">
        <f aca="false">Customer_Invoices_AR!B468</f>
        <v>C2010</v>
      </c>
      <c r="C471" s="16" t="str">
        <f aca="false">IFERROR(INDEX(Customer_Master!$B$2:$B$31,MATCH(B471,Customer_Master!$A$2:$A$31,0)),"Unknown Customer")</f>
        <v>Brown, Valdez and Lucas</v>
      </c>
      <c r="D471" s="17" t="n">
        <f aca="false">Customer_Invoices_AR!C468</f>
        <v>46189</v>
      </c>
      <c r="E471" s="17" t="n">
        <f aca="false">Customer_Invoices_AR!E468</f>
        <v>46249</v>
      </c>
      <c r="F471" s="18" t="n">
        <f aca="false">Customer_Invoices_AR!D468</f>
        <v>7642.64</v>
      </c>
      <c r="G471" s="18" t="n">
        <f aca="false">SUMIFS(Cash_Receipts_AR!$E$2:$E$503,Cash_Receipts_AR!$B$2:$B$503,A471)</f>
        <v>7642.64</v>
      </c>
      <c r="H471" s="18" t="n">
        <f aca="false">F471-G471</f>
        <v>0</v>
      </c>
      <c r="I471" s="16" t="n">
        <f aca="false">IF(H471&lt;=0.01,0,MAX(Assumptions!$B$5-E471,0))</f>
        <v>0</v>
      </c>
      <c r="J471" s="16" t="str">
        <f aca="false">IF(H471&lt;=0.01,"Paid",IF(I471&lt;=30,"0-30",IF(I471&lt;=60,"31-60",IF(I471&lt;=90,"61-90","90+"))))</f>
        <v>Paid</v>
      </c>
      <c r="K471" s="16" t="str">
        <f aca="false">IF(H471&lt;=0.01,"Paid",IF(G471&gt;0,"Partially Paid","Unpaid"))</f>
        <v>Paid</v>
      </c>
    </row>
    <row r="472" customFormat="false" ht="15" hidden="false" customHeight="false" outlineLevel="0" collapsed="false">
      <c r="A472" s="16" t="str">
        <f aca="false">Customer_Invoices_AR!A469</f>
        <v>ARI60468</v>
      </c>
      <c r="B472" s="16" t="str">
        <f aca="false">Customer_Invoices_AR!B469</f>
        <v>C2029</v>
      </c>
      <c r="C472" s="16" t="str">
        <f aca="false">IFERROR(INDEX(Customer_Master!$B$2:$B$31,MATCH(B472,Customer_Master!$A$2:$A$31,0)),"Unknown Customer")</f>
        <v>Hensley, Powell and David</v>
      </c>
      <c r="D472" s="17" t="n">
        <f aca="false">Customer_Invoices_AR!C469</f>
        <v>45872</v>
      </c>
      <c r="E472" s="17" t="n">
        <f aca="false">Customer_Invoices_AR!E469</f>
        <v>45932</v>
      </c>
      <c r="F472" s="18" t="n">
        <f aca="false">Customer_Invoices_AR!D469</f>
        <v>2491.07</v>
      </c>
      <c r="G472" s="18" t="n">
        <f aca="false">SUMIFS(Cash_Receipts_AR!$E$2:$E$503,Cash_Receipts_AR!$B$2:$B$503,A472)</f>
        <v>2491.07</v>
      </c>
      <c r="H472" s="18" t="n">
        <f aca="false">F472-G472</f>
        <v>0</v>
      </c>
      <c r="I472" s="16" t="n">
        <f aca="false">IF(H472&lt;=0.01,0,MAX(Assumptions!$B$5-E472,0))</f>
        <v>0</v>
      </c>
      <c r="J472" s="16" t="str">
        <f aca="false">IF(H472&lt;=0.01,"Paid",IF(I472&lt;=30,"0-30",IF(I472&lt;=60,"31-60",IF(I472&lt;=90,"61-90","90+"))))</f>
        <v>Paid</v>
      </c>
      <c r="K472" s="16" t="str">
        <f aca="false">IF(H472&lt;=0.01,"Paid",IF(G472&gt;0,"Partially Paid","Unpaid"))</f>
        <v>Paid</v>
      </c>
    </row>
    <row r="473" customFormat="false" ht="15" hidden="false" customHeight="false" outlineLevel="0" collapsed="false">
      <c r="A473" s="16" t="str">
        <f aca="false">Customer_Invoices_AR!A470</f>
        <v>ARI60469</v>
      </c>
      <c r="B473" s="16" t="str">
        <f aca="false">Customer_Invoices_AR!B470</f>
        <v>C2027</v>
      </c>
      <c r="C473" s="16" t="str">
        <f aca="false">IFERROR(INDEX(Customer_Master!$B$2:$B$31,MATCH(B473,Customer_Master!$A$2:$A$31,0)),"Unknown Customer")</f>
        <v>Yu Inc</v>
      </c>
      <c r="D473" s="17" t="n">
        <f aca="false">Customer_Invoices_AR!C470</f>
        <v>46091</v>
      </c>
      <c r="E473" s="17" t="n">
        <f aca="false">Customer_Invoices_AR!E470</f>
        <v>46151</v>
      </c>
      <c r="F473" s="18" t="n">
        <f aca="false">Customer_Invoices_AR!D470</f>
        <v>3222.71</v>
      </c>
      <c r="G473" s="18" t="n">
        <f aca="false">SUMIFS(Cash_Receipts_AR!$E$2:$E$503,Cash_Receipts_AR!$B$2:$B$503,A473)</f>
        <v>3222.71</v>
      </c>
      <c r="H473" s="18" t="n">
        <f aca="false">F473-G473</f>
        <v>0</v>
      </c>
      <c r="I473" s="16" t="n">
        <f aca="false">IF(H473&lt;=0.01,0,MAX(Assumptions!$B$5-E473,0))</f>
        <v>0</v>
      </c>
      <c r="J473" s="16" t="str">
        <f aca="false">IF(H473&lt;=0.01,"Paid",IF(I473&lt;=30,"0-30",IF(I473&lt;=60,"31-60",IF(I473&lt;=90,"61-90","90+"))))</f>
        <v>Paid</v>
      </c>
      <c r="K473" s="16" t="str">
        <f aca="false">IF(H473&lt;=0.01,"Paid",IF(G473&gt;0,"Partially Paid","Unpaid"))</f>
        <v>Paid</v>
      </c>
    </row>
    <row r="474" customFormat="false" ht="15" hidden="false" customHeight="false" outlineLevel="0" collapsed="false">
      <c r="A474" s="16" t="str">
        <f aca="false">Customer_Invoices_AR!A471</f>
        <v>ARI60470</v>
      </c>
      <c r="B474" s="16" t="str">
        <f aca="false">Customer_Invoices_AR!B471</f>
        <v>C2012</v>
      </c>
      <c r="C474" s="16" t="str">
        <f aca="false">IFERROR(INDEX(Customer_Master!$B$2:$B$31,MATCH(B474,Customer_Master!$A$2:$A$31,0)),"Unknown Customer")</f>
        <v>Wright and Sons</v>
      </c>
      <c r="D474" s="17" t="n">
        <f aca="false">Customer_Invoices_AR!C471</f>
        <v>45842</v>
      </c>
      <c r="E474" s="17" t="n">
        <f aca="false">Customer_Invoices_AR!E471</f>
        <v>45887</v>
      </c>
      <c r="F474" s="18" t="n">
        <f aca="false">Customer_Invoices_AR!D471</f>
        <v>1588.52</v>
      </c>
      <c r="G474" s="18" t="n">
        <f aca="false">SUMIFS(Cash_Receipts_AR!$E$2:$E$503,Cash_Receipts_AR!$B$2:$B$503,A474)</f>
        <v>1588.52</v>
      </c>
      <c r="H474" s="18" t="n">
        <f aca="false">F474-G474</f>
        <v>0</v>
      </c>
      <c r="I474" s="16" t="n">
        <f aca="false">IF(H474&lt;=0.01,0,MAX(Assumptions!$B$5-E474,0))</f>
        <v>0</v>
      </c>
      <c r="J474" s="16" t="str">
        <f aca="false">IF(H474&lt;=0.01,"Paid",IF(I474&lt;=30,"0-30",IF(I474&lt;=60,"31-60",IF(I474&lt;=90,"61-90","90+"))))</f>
        <v>Paid</v>
      </c>
      <c r="K474" s="16" t="str">
        <f aca="false">IF(H474&lt;=0.01,"Paid",IF(G474&gt;0,"Partially Paid","Unpaid"))</f>
        <v>Paid</v>
      </c>
    </row>
    <row r="475" customFormat="false" ht="15" hidden="false" customHeight="false" outlineLevel="0" collapsed="false">
      <c r="A475" s="16" t="str">
        <f aca="false">Customer_Invoices_AR!A472</f>
        <v>ARI60471</v>
      </c>
      <c r="B475" s="16" t="str">
        <f aca="false">Customer_Invoices_AR!B472</f>
        <v>C2026</v>
      </c>
      <c r="C475" s="16" t="str">
        <f aca="false">IFERROR(INDEX(Customer_Master!$B$2:$B$31,MATCH(B475,Customer_Master!$A$2:$A$31,0)),"Unknown Customer")</f>
        <v>Woods, Calhoun and Schmidt</v>
      </c>
      <c r="D475" s="17" t="n">
        <f aca="false">Customer_Invoices_AR!C472</f>
        <v>46169</v>
      </c>
      <c r="E475" s="17" t="n">
        <f aca="false">Customer_Invoices_AR!E472</f>
        <v>46229</v>
      </c>
      <c r="F475" s="18" t="n">
        <f aca="false">Customer_Invoices_AR!D472</f>
        <v>643.3</v>
      </c>
      <c r="G475" s="18" t="n">
        <f aca="false">SUMIFS(Cash_Receipts_AR!$E$2:$E$503,Cash_Receipts_AR!$B$2:$B$503,A475)</f>
        <v>643.3</v>
      </c>
      <c r="H475" s="18" t="n">
        <f aca="false">F475-G475</f>
        <v>0</v>
      </c>
      <c r="I475" s="16" t="n">
        <f aca="false">IF(H475&lt;=0.01,0,MAX(Assumptions!$B$5-E475,0))</f>
        <v>0</v>
      </c>
      <c r="J475" s="16" t="str">
        <f aca="false">IF(H475&lt;=0.01,"Paid",IF(I475&lt;=30,"0-30",IF(I475&lt;=60,"31-60",IF(I475&lt;=90,"61-90","90+"))))</f>
        <v>Paid</v>
      </c>
      <c r="K475" s="16" t="str">
        <f aca="false">IF(H475&lt;=0.01,"Paid",IF(G475&gt;0,"Partially Paid","Unpaid"))</f>
        <v>Paid</v>
      </c>
    </row>
    <row r="476" customFormat="false" ht="15" hidden="false" customHeight="false" outlineLevel="0" collapsed="false">
      <c r="A476" s="16" t="str">
        <f aca="false">Customer_Invoices_AR!A473</f>
        <v>ARI60472</v>
      </c>
      <c r="B476" s="16" t="str">
        <f aca="false">Customer_Invoices_AR!B473</f>
        <v>C2024</v>
      </c>
      <c r="C476" s="16" t="str">
        <f aca="false">IFERROR(INDEX(Customer_Master!$B$2:$B$31,MATCH(B476,Customer_Master!$A$2:$A$31,0)),"Unknown Customer")</f>
        <v>Novak PLC</v>
      </c>
      <c r="D476" s="17" t="n">
        <f aca="false">Customer_Invoices_AR!C473</f>
        <v>46069</v>
      </c>
      <c r="E476" s="17" t="n">
        <f aca="false">Customer_Invoices_AR!E473</f>
        <v>46129</v>
      </c>
      <c r="F476" s="18" t="n">
        <f aca="false">Customer_Invoices_AR!D473</f>
        <v>3234.7</v>
      </c>
      <c r="G476" s="18" t="n">
        <f aca="false">SUMIFS(Cash_Receipts_AR!$E$2:$E$503,Cash_Receipts_AR!$B$2:$B$503,A476)</f>
        <v>978.41</v>
      </c>
      <c r="H476" s="18" t="n">
        <f aca="false">F476-G476</f>
        <v>2256.29</v>
      </c>
      <c r="I476" s="16" t="n">
        <f aca="false">IF(H476&lt;=0.01,0,MAX(Assumptions!$B$5-E476,0))</f>
        <v>105</v>
      </c>
      <c r="J476" s="16" t="str">
        <f aca="false">IF(H476&lt;=0.01,"Paid",IF(I476&lt;=30,"0-30",IF(I476&lt;=60,"31-60",IF(I476&lt;=90,"61-90","90+"))))</f>
        <v>90+</v>
      </c>
      <c r="K476" s="16" t="str">
        <f aca="false">IF(H476&lt;=0.01,"Paid",IF(G476&gt;0,"Partially Paid","Unpaid"))</f>
        <v>Partially Paid</v>
      </c>
    </row>
    <row r="477" customFormat="false" ht="15" hidden="false" customHeight="false" outlineLevel="0" collapsed="false">
      <c r="A477" s="16" t="str">
        <f aca="false">Customer_Invoices_AR!A474</f>
        <v>ARI60473</v>
      </c>
      <c r="B477" s="16" t="str">
        <f aca="false">Customer_Invoices_AR!B474</f>
        <v>C2013</v>
      </c>
      <c r="C477" s="16" t="str">
        <f aca="false">IFERROR(INDEX(Customer_Master!$B$2:$B$31,MATCH(B477,Customer_Master!$A$2:$A$31,0)),"Unknown Customer")</f>
        <v>West, Henderson and Ramirez</v>
      </c>
      <c r="D477" s="17" t="n">
        <f aca="false">Customer_Invoices_AR!C474</f>
        <v>45766</v>
      </c>
      <c r="E477" s="17" t="n">
        <f aca="false">Customer_Invoices_AR!E474</f>
        <v>45826</v>
      </c>
      <c r="F477" s="18" t="n">
        <f aca="false">Customer_Invoices_AR!D474</f>
        <v>406.73</v>
      </c>
      <c r="G477" s="18" t="n">
        <f aca="false">SUMIFS(Cash_Receipts_AR!$E$2:$E$503,Cash_Receipts_AR!$B$2:$B$503,A477)</f>
        <v>406.73</v>
      </c>
      <c r="H477" s="18" t="n">
        <f aca="false">F477-G477</f>
        <v>0</v>
      </c>
      <c r="I477" s="16" t="n">
        <f aca="false">IF(H477&lt;=0.01,0,MAX(Assumptions!$B$5-E477,0))</f>
        <v>0</v>
      </c>
      <c r="J477" s="16" t="str">
        <f aca="false">IF(H477&lt;=0.01,"Paid",IF(I477&lt;=30,"0-30",IF(I477&lt;=60,"31-60",IF(I477&lt;=90,"61-90","90+"))))</f>
        <v>Paid</v>
      </c>
      <c r="K477" s="16" t="str">
        <f aca="false">IF(H477&lt;=0.01,"Paid",IF(G477&gt;0,"Partially Paid","Unpaid"))</f>
        <v>Paid</v>
      </c>
    </row>
    <row r="478" customFormat="false" ht="15" hidden="false" customHeight="false" outlineLevel="0" collapsed="false">
      <c r="A478" s="16" t="str">
        <f aca="false">Customer_Invoices_AR!A475</f>
        <v>ARI60474</v>
      </c>
      <c r="B478" s="16" t="str">
        <f aca="false">Customer_Invoices_AR!B475</f>
        <v>C2022</v>
      </c>
      <c r="C478" s="16" t="str">
        <f aca="false">IFERROR(INDEX(Customer_Master!$B$2:$B$31,MATCH(B478,Customer_Master!$A$2:$A$31,0)),"Unknown Customer")</f>
        <v>Henderson-Bernard</v>
      </c>
      <c r="D478" s="17" t="n">
        <f aca="false">Customer_Invoices_AR!C475</f>
        <v>45935</v>
      </c>
      <c r="E478" s="17" t="n">
        <f aca="false">Customer_Invoices_AR!E475</f>
        <v>45965</v>
      </c>
      <c r="F478" s="18" t="n">
        <f aca="false">Customer_Invoices_AR!D475</f>
        <v>938.41</v>
      </c>
      <c r="G478" s="18" t="n">
        <f aca="false">SUMIFS(Cash_Receipts_AR!$E$2:$E$503,Cash_Receipts_AR!$B$2:$B$503,A478)</f>
        <v>938.41</v>
      </c>
      <c r="H478" s="18" t="n">
        <f aca="false">F478-G478</f>
        <v>0</v>
      </c>
      <c r="I478" s="16" t="n">
        <f aca="false">IF(H478&lt;=0.01,0,MAX(Assumptions!$B$5-E478,0))</f>
        <v>0</v>
      </c>
      <c r="J478" s="16" t="str">
        <f aca="false">IF(H478&lt;=0.01,"Paid",IF(I478&lt;=30,"0-30",IF(I478&lt;=60,"31-60",IF(I478&lt;=90,"61-90","90+"))))</f>
        <v>Paid</v>
      </c>
      <c r="K478" s="16" t="str">
        <f aca="false">IF(H478&lt;=0.01,"Paid",IF(G478&gt;0,"Partially Paid","Unpaid"))</f>
        <v>Paid</v>
      </c>
    </row>
    <row r="479" customFormat="false" ht="15" hidden="false" customHeight="false" outlineLevel="0" collapsed="false">
      <c r="A479" s="16" t="str">
        <f aca="false">Customer_Invoices_AR!A476</f>
        <v>ARI60475</v>
      </c>
      <c r="B479" s="16" t="str">
        <f aca="false">Customer_Invoices_AR!B476</f>
        <v>C2008</v>
      </c>
      <c r="C479" s="16" t="str">
        <f aca="false">IFERROR(INDEX(Customer_Master!$B$2:$B$31,MATCH(B479,Customer_Master!$A$2:$A$31,0)),"Unknown Customer")</f>
        <v>Lee-Davis</v>
      </c>
      <c r="D479" s="17" t="n">
        <f aca="false">Customer_Invoices_AR!C476</f>
        <v>45930</v>
      </c>
      <c r="E479" s="17" t="n">
        <f aca="false">Customer_Invoices_AR!E476</f>
        <v>45990</v>
      </c>
      <c r="F479" s="18" t="n">
        <f aca="false">Customer_Invoices_AR!D476</f>
        <v>1285.74</v>
      </c>
      <c r="G479" s="18" t="n">
        <f aca="false">SUMIFS(Cash_Receipts_AR!$E$2:$E$503,Cash_Receipts_AR!$B$2:$B$503,A479)</f>
        <v>1285.74</v>
      </c>
      <c r="H479" s="18" t="n">
        <f aca="false">F479-G479</f>
        <v>0</v>
      </c>
      <c r="I479" s="16" t="n">
        <f aca="false">IF(H479&lt;=0.01,0,MAX(Assumptions!$B$5-E479,0))</f>
        <v>0</v>
      </c>
      <c r="J479" s="16" t="str">
        <f aca="false">IF(H479&lt;=0.01,"Paid",IF(I479&lt;=30,"0-30",IF(I479&lt;=60,"31-60",IF(I479&lt;=90,"61-90","90+"))))</f>
        <v>Paid</v>
      </c>
      <c r="K479" s="16" t="str">
        <f aca="false">IF(H479&lt;=0.01,"Paid",IF(G479&gt;0,"Partially Paid","Unpaid"))</f>
        <v>Paid</v>
      </c>
    </row>
    <row r="480" customFormat="false" ht="15" hidden="false" customHeight="false" outlineLevel="0" collapsed="false">
      <c r="A480" s="16" t="str">
        <f aca="false">Customer_Invoices_AR!A477</f>
        <v>ARI60476</v>
      </c>
      <c r="B480" s="16" t="str">
        <f aca="false">Customer_Invoices_AR!B477</f>
        <v>C2008</v>
      </c>
      <c r="C480" s="16" t="str">
        <f aca="false">IFERROR(INDEX(Customer_Master!$B$2:$B$31,MATCH(B480,Customer_Master!$A$2:$A$31,0)),"Unknown Customer")</f>
        <v>Lee-Davis</v>
      </c>
      <c r="D480" s="17" t="n">
        <f aca="false">Customer_Invoices_AR!C477</f>
        <v>45682</v>
      </c>
      <c r="E480" s="17" t="n">
        <f aca="false">Customer_Invoices_AR!E477</f>
        <v>45742</v>
      </c>
      <c r="F480" s="18" t="n">
        <f aca="false">Customer_Invoices_AR!D477</f>
        <v>2673.13</v>
      </c>
      <c r="G480" s="18" t="n">
        <f aca="false">SUMIFS(Cash_Receipts_AR!$E$2:$E$503,Cash_Receipts_AR!$B$2:$B$503,A480)</f>
        <v>0</v>
      </c>
      <c r="H480" s="18" t="n">
        <f aca="false">F480-G480</f>
        <v>2673.13</v>
      </c>
      <c r="I480" s="16" t="n">
        <f aca="false">IF(H480&lt;=0.01,0,MAX(Assumptions!$B$5-E480,0))</f>
        <v>492</v>
      </c>
      <c r="J480" s="16" t="str">
        <f aca="false">IF(H480&lt;=0.01,"Paid",IF(I480&lt;=30,"0-30",IF(I480&lt;=60,"31-60",IF(I480&lt;=90,"61-90","90+"))))</f>
        <v>90+</v>
      </c>
      <c r="K480" s="16" t="str">
        <f aca="false">IF(H480&lt;=0.01,"Paid",IF(G480&gt;0,"Partially Paid","Unpaid"))</f>
        <v>Unpaid</v>
      </c>
    </row>
    <row r="481" customFormat="false" ht="15" hidden="false" customHeight="false" outlineLevel="0" collapsed="false">
      <c r="A481" s="16" t="str">
        <f aca="false">Customer_Invoices_AR!A478</f>
        <v>ARI60477</v>
      </c>
      <c r="B481" s="16" t="str">
        <f aca="false">Customer_Invoices_AR!B478</f>
        <v>C2023</v>
      </c>
      <c r="C481" s="16" t="str">
        <f aca="false">IFERROR(INDEX(Customer_Master!$B$2:$B$31,MATCH(B481,Customer_Master!$A$2:$A$31,0)),"Unknown Customer")</f>
        <v>Stanley, Tucker and Lee</v>
      </c>
      <c r="D481" s="17" t="n">
        <f aca="false">Customer_Invoices_AR!C478</f>
        <v>45732</v>
      </c>
      <c r="E481" s="17" t="n">
        <f aca="false">Customer_Invoices_AR!E478</f>
        <v>45792</v>
      </c>
      <c r="F481" s="18" t="n">
        <f aca="false">Customer_Invoices_AR!D478</f>
        <v>9465.69</v>
      </c>
      <c r="G481" s="18" t="n">
        <f aca="false">SUMIFS(Cash_Receipts_AR!$E$2:$E$503,Cash_Receipts_AR!$B$2:$B$503,A481)</f>
        <v>9465.69</v>
      </c>
      <c r="H481" s="18" t="n">
        <f aca="false">F481-G481</f>
        <v>0</v>
      </c>
      <c r="I481" s="16" t="n">
        <f aca="false">IF(H481&lt;=0.01,0,MAX(Assumptions!$B$5-E481,0))</f>
        <v>0</v>
      </c>
      <c r="J481" s="16" t="str">
        <f aca="false">IF(H481&lt;=0.01,"Paid",IF(I481&lt;=30,"0-30",IF(I481&lt;=60,"31-60",IF(I481&lt;=90,"61-90","90+"))))</f>
        <v>Paid</v>
      </c>
      <c r="K481" s="16" t="str">
        <f aca="false">IF(H481&lt;=0.01,"Paid",IF(G481&gt;0,"Partially Paid","Unpaid"))</f>
        <v>Paid</v>
      </c>
    </row>
    <row r="482" customFormat="false" ht="15" hidden="false" customHeight="false" outlineLevel="0" collapsed="false">
      <c r="A482" s="16" t="str">
        <f aca="false">Customer_Invoices_AR!A479</f>
        <v>ARI60478</v>
      </c>
      <c r="B482" s="16" t="str">
        <f aca="false">Customer_Invoices_AR!B479</f>
        <v>C2011</v>
      </c>
      <c r="C482" s="16" t="str">
        <f aca="false">IFERROR(INDEX(Customer_Master!$B$2:$B$31,MATCH(B482,Customer_Master!$A$2:$A$31,0)),"Unknown Customer")</f>
        <v>Powell LLC</v>
      </c>
      <c r="D482" s="17" t="n">
        <f aca="false">Customer_Invoices_AR!C479</f>
        <v>45839</v>
      </c>
      <c r="E482" s="17" t="n">
        <f aca="false">Customer_Invoices_AR!E479</f>
        <v>45869</v>
      </c>
      <c r="F482" s="18" t="n">
        <f aca="false">Customer_Invoices_AR!D479</f>
        <v>2712.89</v>
      </c>
      <c r="G482" s="18" t="n">
        <f aca="false">SUMIFS(Cash_Receipts_AR!$E$2:$E$503,Cash_Receipts_AR!$B$2:$B$503,A482)</f>
        <v>1339.59</v>
      </c>
      <c r="H482" s="18" t="n">
        <f aca="false">F482-G482</f>
        <v>1373.3</v>
      </c>
      <c r="I482" s="16" t="n">
        <f aca="false">IF(H482&lt;=0.01,0,MAX(Assumptions!$B$5-E482,0))</f>
        <v>365</v>
      </c>
      <c r="J482" s="16" t="str">
        <f aca="false">IF(H482&lt;=0.01,"Paid",IF(I482&lt;=30,"0-30",IF(I482&lt;=60,"31-60",IF(I482&lt;=90,"61-90","90+"))))</f>
        <v>90+</v>
      </c>
      <c r="K482" s="16" t="str">
        <f aca="false">IF(H482&lt;=0.01,"Paid",IF(G482&gt;0,"Partially Paid","Unpaid"))</f>
        <v>Partially Paid</v>
      </c>
    </row>
    <row r="483" customFormat="false" ht="15" hidden="false" customHeight="false" outlineLevel="0" collapsed="false">
      <c r="A483" s="16" t="str">
        <f aca="false">Customer_Invoices_AR!A480</f>
        <v>ARI60479</v>
      </c>
      <c r="B483" s="16" t="str">
        <f aca="false">Customer_Invoices_AR!B480</f>
        <v>C2014</v>
      </c>
      <c r="C483" s="16" t="str">
        <f aca="false">IFERROR(INDEX(Customer_Master!$B$2:$B$31,MATCH(B483,Customer_Master!$A$2:$A$31,0)),"Unknown Customer")</f>
        <v>Baxter Inc</v>
      </c>
      <c r="D483" s="17" t="n">
        <f aca="false">Customer_Invoices_AR!C480</f>
        <v>45916</v>
      </c>
      <c r="E483" s="17" t="n">
        <f aca="false">Customer_Invoices_AR!E480</f>
        <v>45946</v>
      </c>
      <c r="F483" s="18" t="n">
        <f aca="false">Customer_Invoices_AR!D480</f>
        <v>2354.48</v>
      </c>
      <c r="G483" s="18" t="n">
        <f aca="false">SUMIFS(Cash_Receipts_AR!$E$2:$E$503,Cash_Receipts_AR!$B$2:$B$503,A483)</f>
        <v>2354.48</v>
      </c>
      <c r="H483" s="18" t="n">
        <f aca="false">F483-G483</f>
        <v>0</v>
      </c>
      <c r="I483" s="16" t="n">
        <f aca="false">IF(H483&lt;=0.01,0,MAX(Assumptions!$B$5-E483,0))</f>
        <v>0</v>
      </c>
      <c r="J483" s="16" t="str">
        <f aca="false">IF(H483&lt;=0.01,"Paid",IF(I483&lt;=30,"0-30",IF(I483&lt;=60,"31-60",IF(I483&lt;=90,"61-90","90+"))))</f>
        <v>Paid</v>
      </c>
      <c r="K483" s="16" t="str">
        <f aca="false">IF(H483&lt;=0.01,"Paid",IF(G483&gt;0,"Partially Paid","Unpaid"))</f>
        <v>Paid</v>
      </c>
    </row>
    <row r="484" customFormat="false" ht="15" hidden="false" customHeight="false" outlineLevel="0" collapsed="false">
      <c r="A484" s="16" t="str">
        <f aca="false">Customer_Invoices_AR!A481</f>
        <v>ARI60480</v>
      </c>
      <c r="B484" s="16" t="str">
        <f aca="false">Customer_Invoices_AR!B481</f>
        <v>C2029</v>
      </c>
      <c r="C484" s="16" t="str">
        <f aca="false">IFERROR(INDEX(Customer_Master!$B$2:$B$31,MATCH(B484,Customer_Master!$A$2:$A$31,0)),"Unknown Customer")</f>
        <v>Hensley, Powell and David</v>
      </c>
      <c r="D484" s="17" t="n">
        <f aca="false">Customer_Invoices_AR!C481</f>
        <v>45907</v>
      </c>
      <c r="E484" s="17" t="n">
        <f aca="false">Customer_Invoices_AR!E481</f>
        <v>45967</v>
      </c>
      <c r="F484" s="18" t="n">
        <f aca="false">Customer_Invoices_AR!D481</f>
        <v>2268.9</v>
      </c>
      <c r="G484" s="18" t="n">
        <f aca="false">SUMIFS(Cash_Receipts_AR!$E$2:$E$503,Cash_Receipts_AR!$B$2:$B$503,A484)</f>
        <v>2268.9</v>
      </c>
      <c r="H484" s="18" t="n">
        <f aca="false">F484-G484</f>
        <v>0</v>
      </c>
      <c r="I484" s="16" t="n">
        <f aca="false">IF(H484&lt;=0.01,0,MAX(Assumptions!$B$5-E484,0))</f>
        <v>0</v>
      </c>
      <c r="J484" s="16" t="str">
        <f aca="false">IF(H484&lt;=0.01,"Paid",IF(I484&lt;=30,"0-30",IF(I484&lt;=60,"31-60",IF(I484&lt;=90,"61-90","90+"))))</f>
        <v>Paid</v>
      </c>
      <c r="K484" s="16" t="str">
        <f aca="false">IF(H484&lt;=0.01,"Paid",IF(G484&gt;0,"Partially Paid","Unpaid"))</f>
        <v>Paid</v>
      </c>
    </row>
    <row r="485" customFormat="false" ht="15" hidden="false" customHeight="false" outlineLevel="0" collapsed="false">
      <c r="A485" s="16" t="str">
        <f aca="false">Customer_Invoices_AR!A482</f>
        <v>ARI60481</v>
      </c>
      <c r="B485" s="16" t="str">
        <f aca="false">Customer_Invoices_AR!B482</f>
        <v>C2025</v>
      </c>
      <c r="C485" s="16" t="str">
        <f aca="false">IFERROR(INDEX(Customer_Master!$B$2:$B$31,MATCH(B485,Customer_Master!$A$2:$A$31,0)),"Unknown Customer")</f>
        <v>Daniels, Adkins and Brown</v>
      </c>
      <c r="D485" s="17" t="n">
        <f aca="false">Customer_Invoices_AR!C482</f>
        <v>45988</v>
      </c>
      <c r="E485" s="17" t="n">
        <f aca="false">Customer_Invoices_AR!E482</f>
        <v>46003</v>
      </c>
      <c r="F485" s="18" t="n">
        <f aca="false">Customer_Invoices_AR!D482</f>
        <v>2491.22</v>
      </c>
      <c r="G485" s="18" t="n">
        <f aca="false">SUMIFS(Cash_Receipts_AR!$E$2:$E$503,Cash_Receipts_AR!$B$2:$B$503,A485)</f>
        <v>0</v>
      </c>
      <c r="H485" s="18" t="n">
        <f aca="false">F485-G485</f>
        <v>2491.22</v>
      </c>
      <c r="I485" s="16" t="n">
        <f aca="false">IF(H485&lt;=0.01,0,MAX(Assumptions!$B$5-E485,0))</f>
        <v>231</v>
      </c>
      <c r="J485" s="16" t="str">
        <f aca="false">IF(H485&lt;=0.01,"Paid",IF(I485&lt;=30,"0-30",IF(I485&lt;=60,"31-60",IF(I485&lt;=90,"61-90","90+"))))</f>
        <v>90+</v>
      </c>
      <c r="K485" s="16" t="str">
        <f aca="false">IF(H485&lt;=0.01,"Paid",IF(G485&gt;0,"Partially Paid","Unpaid"))</f>
        <v>Unpaid</v>
      </c>
    </row>
    <row r="486" customFormat="false" ht="15" hidden="false" customHeight="false" outlineLevel="0" collapsed="false">
      <c r="A486" s="16" t="str">
        <f aca="false">Customer_Invoices_AR!A483</f>
        <v>ARI60482</v>
      </c>
      <c r="B486" s="16" t="str">
        <f aca="false">Customer_Invoices_AR!B483</f>
        <v>C2013</v>
      </c>
      <c r="C486" s="16" t="str">
        <f aca="false">IFERROR(INDEX(Customer_Master!$B$2:$B$31,MATCH(B486,Customer_Master!$A$2:$A$31,0)),"Unknown Customer")</f>
        <v>West, Henderson and Ramirez</v>
      </c>
      <c r="D486" s="17" t="n">
        <f aca="false">Customer_Invoices_AR!C483</f>
        <v>45938</v>
      </c>
      <c r="E486" s="17" t="n">
        <f aca="false">Customer_Invoices_AR!E483</f>
        <v>45998</v>
      </c>
      <c r="F486" s="18" t="n">
        <f aca="false">Customer_Invoices_AR!D483</f>
        <v>2499.85</v>
      </c>
      <c r="G486" s="18" t="n">
        <f aca="false">SUMIFS(Cash_Receipts_AR!$E$2:$E$503,Cash_Receipts_AR!$B$2:$B$503,A486)</f>
        <v>1496.08</v>
      </c>
      <c r="H486" s="18" t="n">
        <f aca="false">F486-G486</f>
        <v>1003.77</v>
      </c>
      <c r="I486" s="16" t="n">
        <f aca="false">IF(H486&lt;=0.01,0,MAX(Assumptions!$B$5-E486,0))</f>
        <v>236</v>
      </c>
      <c r="J486" s="16" t="str">
        <f aca="false">IF(H486&lt;=0.01,"Paid",IF(I486&lt;=30,"0-30",IF(I486&lt;=60,"31-60",IF(I486&lt;=90,"61-90","90+"))))</f>
        <v>90+</v>
      </c>
      <c r="K486" s="16" t="str">
        <f aca="false">IF(H486&lt;=0.01,"Paid",IF(G486&gt;0,"Partially Paid","Unpaid"))</f>
        <v>Partially Paid</v>
      </c>
    </row>
    <row r="487" customFormat="false" ht="15" hidden="false" customHeight="false" outlineLevel="0" collapsed="false">
      <c r="A487" s="16" t="str">
        <f aca="false">Customer_Invoices_AR!A484</f>
        <v>ARI60483</v>
      </c>
      <c r="B487" s="16" t="str">
        <f aca="false">Customer_Invoices_AR!B484</f>
        <v>C2010</v>
      </c>
      <c r="C487" s="16" t="str">
        <f aca="false">IFERROR(INDEX(Customer_Master!$B$2:$B$31,MATCH(B487,Customer_Master!$A$2:$A$31,0)),"Unknown Customer")</f>
        <v>Brown, Valdez and Lucas</v>
      </c>
      <c r="D487" s="17" t="n">
        <f aca="false">Customer_Invoices_AR!C484</f>
        <v>45836</v>
      </c>
      <c r="E487" s="17" t="n">
        <f aca="false">Customer_Invoices_AR!E484</f>
        <v>45896</v>
      </c>
      <c r="F487" s="18" t="n">
        <f aca="false">Customer_Invoices_AR!D484</f>
        <v>1468.71</v>
      </c>
      <c r="G487" s="18" t="n">
        <f aca="false">SUMIFS(Cash_Receipts_AR!$E$2:$E$503,Cash_Receipts_AR!$B$2:$B$503,A487)</f>
        <v>1468.71</v>
      </c>
      <c r="H487" s="18" t="n">
        <f aca="false">F487-G487</f>
        <v>0</v>
      </c>
      <c r="I487" s="16" t="n">
        <f aca="false">IF(H487&lt;=0.01,0,MAX(Assumptions!$B$5-E487,0))</f>
        <v>0</v>
      </c>
      <c r="J487" s="16" t="str">
        <f aca="false">IF(H487&lt;=0.01,"Paid",IF(I487&lt;=30,"0-30",IF(I487&lt;=60,"31-60",IF(I487&lt;=90,"61-90","90+"))))</f>
        <v>Paid</v>
      </c>
      <c r="K487" s="16" t="str">
        <f aca="false">IF(H487&lt;=0.01,"Paid",IF(G487&gt;0,"Partially Paid","Unpaid"))</f>
        <v>Paid</v>
      </c>
    </row>
    <row r="488" customFormat="false" ht="15" hidden="false" customHeight="false" outlineLevel="0" collapsed="false">
      <c r="A488" s="16" t="str">
        <f aca="false">Customer_Invoices_AR!A485</f>
        <v>ARI60484</v>
      </c>
      <c r="B488" s="16" t="str">
        <f aca="false">Customer_Invoices_AR!B485</f>
        <v>C2006</v>
      </c>
      <c r="C488" s="16" t="str">
        <f aca="false">IFERROR(INDEX(Customer_Master!$B$2:$B$31,MATCH(B488,Customer_Master!$A$2:$A$31,0)),"Unknown Customer")</f>
        <v>Washington, Ryan and Cummings</v>
      </c>
      <c r="D488" s="17" t="n">
        <f aca="false">Customer_Invoices_AR!C485</f>
        <v>45992</v>
      </c>
      <c r="E488" s="17" t="n">
        <f aca="false">Customer_Invoices_AR!E485</f>
        <v>46007</v>
      </c>
      <c r="F488" s="18" t="n">
        <f aca="false">Customer_Invoices_AR!D485</f>
        <v>1829.72</v>
      </c>
      <c r="G488" s="18" t="n">
        <f aca="false">SUMIFS(Cash_Receipts_AR!$E$2:$E$503,Cash_Receipts_AR!$B$2:$B$503,A488)</f>
        <v>1829.72</v>
      </c>
      <c r="H488" s="18" t="n">
        <f aca="false">F488-G488</f>
        <v>0</v>
      </c>
      <c r="I488" s="16" t="n">
        <f aca="false">IF(H488&lt;=0.01,0,MAX(Assumptions!$B$5-E488,0))</f>
        <v>0</v>
      </c>
      <c r="J488" s="16" t="str">
        <f aca="false">IF(H488&lt;=0.01,"Paid",IF(I488&lt;=30,"0-30",IF(I488&lt;=60,"31-60",IF(I488&lt;=90,"61-90","90+"))))</f>
        <v>Paid</v>
      </c>
      <c r="K488" s="16" t="str">
        <f aca="false">IF(H488&lt;=0.01,"Paid",IF(G488&gt;0,"Partially Paid","Unpaid"))</f>
        <v>Paid</v>
      </c>
    </row>
    <row r="489" customFormat="false" ht="15" hidden="false" customHeight="false" outlineLevel="0" collapsed="false">
      <c r="A489" s="16" t="str">
        <f aca="false">Customer_Invoices_AR!A486</f>
        <v>ARI60485</v>
      </c>
      <c r="B489" s="16" t="str">
        <f aca="false">Customer_Invoices_AR!B486</f>
        <v>C2004</v>
      </c>
      <c r="C489" s="16" t="str">
        <f aca="false">IFERROR(INDEX(Customer_Master!$B$2:$B$31,MATCH(B489,Customer_Master!$A$2:$A$31,0)),"Unknown Customer")</f>
        <v>Jones Inc</v>
      </c>
      <c r="D489" s="17" t="n">
        <f aca="false">Customer_Invoices_AR!C486</f>
        <v>45746</v>
      </c>
      <c r="E489" s="17" t="n">
        <f aca="false">Customer_Invoices_AR!E486</f>
        <v>45776</v>
      </c>
      <c r="F489" s="18" t="n">
        <f aca="false">Customer_Invoices_AR!D486</f>
        <v>3756.07</v>
      </c>
      <c r="G489" s="18" t="n">
        <f aca="false">SUMIFS(Cash_Receipts_AR!$E$2:$E$503,Cash_Receipts_AR!$B$2:$B$503,A489)</f>
        <v>3756.07</v>
      </c>
      <c r="H489" s="18" t="n">
        <f aca="false">F489-G489</f>
        <v>0</v>
      </c>
      <c r="I489" s="16" t="n">
        <f aca="false">IF(H489&lt;=0.01,0,MAX(Assumptions!$B$5-E489,0))</f>
        <v>0</v>
      </c>
      <c r="J489" s="16" t="str">
        <f aca="false">IF(H489&lt;=0.01,"Paid",IF(I489&lt;=30,"0-30",IF(I489&lt;=60,"31-60",IF(I489&lt;=90,"61-90","90+"))))</f>
        <v>Paid</v>
      </c>
      <c r="K489" s="16" t="str">
        <f aca="false">IF(H489&lt;=0.01,"Paid",IF(G489&gt;0,"Partially Paid","Unpaid"))</f>
        <v>Paid</v>
      </c>
    </row>
    <row r="490" customFormat="false" ht="15" hidden="false" customHeight="false" outlineLevel="0" collapsed="false">
      <c r="A490" s="16" t="str">
        <f aca="false">Customer_Invoices_AR!A487</f>
        <v>ARI60486</v>
      </c>
      <c r="B490" s="16" t="str">
        <f aca="false">Customer_Invoices_AR!B487</f>
        <v>C2001</v>
      </c>
      <c r="C490" s="16" t="str">
        <f aca="false">IFERROR(INDEX(Customer_Master!$B$2:$B$31,MATCH(B490,Customer_Master!$A$2:$A$31,0)),"Unknown Customer")</f>
        <v>Wright Inc</v>
      </c>
      <c r="D490" s="17" t="n">
        <f aca="false">Customer_Invoices_AR!C487</f>
        <v>46197</v>
      </c>
      <c r="E490" s="17" t="n">
        <f aca="false">Customer_Invoices_AR!E487</f>
        <v>46242</v>
      </c>
      <c r="F490" s="18" t="n">
        <f aca="false">Customer_Invoices_AR!D487</f>
        <v>5345.18</v>
      </c>
      <c r="G490" s="18" t="n">
        <f aca="false">SUMIFS(Cash_Receipts_AR!$E$2:$E$503,Cash_Receipts_AR!$B$2:$B$503,A490)</f>
        <v>0</v>
      </c>
      <c r="H490" s="18" t="n">
        <f aca="false">F490-G490</f>
        <v>5345.18</v>
      </c>
      <c r="I490" s="16" t="n">
        <f aca="false">IF(H490&lt;=0.01,0,MAX(Assumptions!$B$5-E490,0))</f>
        <v>0</v>
      </c>
      <c r="J490" s="16" t="str">
        <f aca="false">IF(H490&lt;=0.01,"Paid",IF(I490&lt;=30,"0-30",IF(I490&lt;=60,"31-60",IF(I490&lt;=90,"61-90","90+"))))</f>
        <v>0-30</v>
      </c>
      <c r="K490" s="16" t="str">
        <f aca="false">IF(H490&lt;=0.01,"Paid",IF(G490&gt;0,"Partially Paid","Unpaid"))</f>
        <v>Unpaid</v>
      </c>
    </row>
    <row r="491" customFormat="false" ht="15" hidden="false" customHeight="false" outlineLevel="0" collapsed="false">
      <c r="A491" s="16" t="str">
        <f aca="false">Customer_Invoices_AR!A488</f>
        <v>ARI60487</v>
      </c>
      <c r="B491" s="16" t="str">
        <f aca="false">Customer_Invoices_AR!B488</f>
        <v>C2028</v>
      </c>
      <c r="C491" s="16" t="str">
        <f aca="false">IFERROR(INDEX(Customer_Master!$B$2:$B$31,MATCH(B491,Customer_Master!$A$2:$A$31,0)),"Unknown Customer")</f>
        <v>Jones Inc</v>
      </c>
      <c r="D491" s="17" t="n">
        <f aca="false">Customer_Invoices_AR!C488</f>
        <v>46060</v>
      </c>
      <c r="E491" s="17" t="n">
        <f aca="false">Customer_Invoices_AR!E488</f>
        <v>46075</v>
      </c>
      <c r="F491" s="18" t="n">
        <f aca="false">Customer_Invoices_AR!D488</f>
        <v>11259.88</v>
      </c>
      <c r="G491" s="18" t="n">
        <f aca="false">SUMIFS(Cash_Receipts_AR!$E$2:$E$503,Cash_Receipts_AR!$B$2:$B$503,A491)</f>
        <v>11259.88</v>
      </c>
      <c r="H491" s="18" t="n">
        <f aca="false">F491-G491</f>
        <v>0</v>
      </c>
      <c r="I491" s="16" t="n">
        <f aca="false">IF(H491&lt;=0.01,0,MAX(Assumptions!$B$5-E491,0))</f>
        <v>0</v>
      </c>
      <c r="J491" s="16" t="str">
        <f aca="false">IF(H491&lt;=0.01,"Paid",IF(I491&lt;=30,"0-30",IF(I491&lt;=60,"31-60",IF(I491&lt;=90,"61-90","90+"))))</f>
        <v>Paid</v>
      </c>
      <c r="K491" s="16" t="str">
        <f aca="false">IF(H491&lt;=0.01,"Paid",IF(G491&gt;0,"Partially Paid","Unpaid"))</f>
        <v>Paid</v>
      </c>
    </row>
    <row r="492" customFormat="false" ht="15" hidden="false" customHeight="false" outlineLevel="0" collapsed="false">
      <c r="A492" s="16" t="str">
        <f aca="false">Customer_Invoices_AR!A489</f>
        <v>ARI60488</v>
      </c>
      <c r="B492" s="16" t="str">
        <f aca="false">Customer_Invoices_AR!B489</f>
        <v>C2005</v>
      </c>
      <c r="C492" s="16" t="str">
        <f aca="false">IFERROR(INDEX(Customer_Master!$B$2:$B$31,MATCH(B492,Customer_Master!$A$2:$A$31,0)),"Unknown Customer")</f>
        <v>Jones-Young</v>
      </c>
      <c r="D492" s="17" t="n">
        <f aca="false">Customer_Invoices_AR!C489</f>
        <v>45821</v>
      </c>
      <c r="E492" s="17" t="n">
        <f aca="false">Customer_Invoices_AR!E489</f>
        <v>45836</v>
      </c>
      <c r="F492" s="18" t="n">
        <f aca="false">Customer_Invoices_AR!D489</f>
        <v>2193.92</v>
      </c>
      <c r="G492" s="18" t="n">
        <f aca="false">SUMIFS(Cash_Receipts_AR!$E$2:$E$503,Cash_Receipts_AR!$B$2:$B$503,A492)</f>
        <v>2193.92</v>
      </c>
      <c r="H492" s="18" t="n">
        <f aca="false">F492-G492</f>
        <v>0</v>
      </c>
      <c r="I492" s="16" t="n">
        <f aca="false">IF(H492&lt;=0.01,0,MAX(Assumptions!$B$5-E492,0))</f>
        <v>0</v>
      </c>
      <c r="J492" s="16" t="str">
        <f aca="false">IF(H492&lt;=0.01,"Paid",IF(I492&lt;=30,"0-30",IF(I492&lt;=60,"31-60",IF(I492&lt;=90,"61-90","90+"))))</f>
        <v>Paid</v>
      </c>
      <c r="K492" s="16" t="str">
        <f aca="false">IF(H492&lt;=0.01,"Paid",IF(G492&gt;0,"Partially Paid","Unpaid"))</f>
        <v>Paid</v>
      </c>
    </row>
    <row r="493" customFormat="false" ht="15" hidden="false" customHeight="false" outlineLevel="0" collapsed="false">
      <c r="A493" s="16" t="str">
        <f aca="false">Customer_Invoices_AR!A490</f>
        <v>ARI60489</v>
      </c>
      <c r="B493" s="16" t="str">
        <f aca="false">Customer_Invoices_AR!B490</f>
        <v>C2014</v>
      </c>
      <c r="C493" s="16" t="str">
        <f aca="false">IFERROR(INDEX(Customer_Master!$B$2:$B$31,MATCH(B493,Customer_Master!$A$2:$A$31,0)),"Unknown Customer")</f>
        <v>Baxter Inc</v>
      </c>
      <c r="D493" s="17" t="n">
        <f aca="false">Customer_Invoices_AR!C490</f>
        <v>45841</v>
      </c>
      <c r="E493" s="17" t="n">
        <f aca="false">Customer_Invoices_AR!E490</f>
        <v>45871</v>
      </c>
      <c r="F493" s="18" t="n">
        <f aca="false">Customer_Invoices_AR!D490</f>
        <v>6920.26</v>
      </c>
      <c r="G493" s="18" t="n">
        <f aca="false">SUMIFS(Cash_Receipts_AR!$E$2:$E$503,Cash_Receipts_AR!$B$2:$B$503,A493)</f>
        <v>6920.26</v>
      </c>
      <c r="H493" s="18" t="n">
        <f aca="false">F493-G493</f>
        <v>0</v>
      </c>
      <c r="I493" s="16" t="n">
        <f aca="false">IF(H493&lt;=0.01,0,MAX(Assumptions!$B$5-E493,0))</f>
        <v>0</v>
      </c>
      <c r="J493" s="16" t="str">
        <f aca="false">IF(H493&lt;=0.01,"Paid",IF(I493&lt;=30,"0-30",IF(I493&lt;=60,"31-60",IF(I493&lt;=90,"61-90","90+"))))</f>
        <v>Paid</v>
      </c>
      <c r="K493" s="16" t="str">
        <f aca="false">IF(H493&lt;=0.01,"Paid",IF(G493&gt;0,"Partially Paid","Unpaid"))</f>
        <v>Paid</v>
      </c>
    </row>
    <row r="494" customFormat="false" ht="15" hidden="false" customHeight="false" outlineLevel="0" collapsed="false">
      <c r="A494" s="16" t="str">
        <f aca="false">Customer_Invoices_AR!A491</f>
        <v>ARI60490</v>
      </c>
      <c r="B494" s="16" t="str">
        <f aca="false">Customer_Invoices_AR!B491</f>
        <v>C2009</v>
      </c>
      <c r="C494" s="16" t="str">
        <f aca="false">IFERROR(INDEX(Customer_Master!$B$2:$B$31,MATCH(B494,Customer_Master!$A$2:$A$31,0)),"Unknown Customer")</f>
        <v>Gomez-Jenkins</v>
      </c>
      <c r="D494" s="17" t="n">
        <f aca="false">Customer_Invoices_AR!C491</f>
        <v>46109</v>
      </c>
      <c r="E494" s="17" t="n">
        <f aca="false">Customer_Invoices_AR!E491</f>
        <v>46154</v>
      </c>
      <c r="F494" s="18" t="n">
        <f aca="false">Customer_Invoices_AR!D491</f>
        <v>3268.34</v>
      </c>
      <c r="G494" s="18" t="n">
        <f aca="false">SUMIFS(Cash_Receipts_AR!$E$2:$E$503,Cash_Receipts_AR!$B$2:$B$503,A494)</f>
        <v>0</v>
      </c>
      <c r="H494" s="18" t="n">
        <f aca="false">F494-G494</f>
        <v>3268.34</v>
      </c>
      <c r="I494" s="16" t="n">
        <f aca="false">IF(H494&lt;=0.01,0,MAX(Assumptions!$B$5-E494,0))</f>
        <v>80</v>
      </c>
      <c r="J494" s="16" t="str">
        <f aca="false">IF(H494&lt;=0.01,"Paid",IF(I494&lt;=30,"0-30",IF(I494&lt;=60,"31-60",IF(I494&lt;=90,"61-90","90+"))))</f>
        <v>61-90</v>
      </c>
      <c r="K494" s="16" t="str">
        <f aca="false">IF(H494&lt;=0.01,"Paid",IF(G494&gt;0,"Partially Paid","Unpaid"))</f>
        <v>Unpaid</v>
      </c>
    </row>
    <row r="495" customFormat="false" ht="15" hidden="false" customHeight="false" outlineLevel="0" collapsed="false">
      <c r="A495" s="16" t="str">
        <f aca="false">Customer_Invoices_AR!A492</f>
        <v>ARI60491</v>
      </c>
      <c r="B495" s="16" t="str">
        <f aca="false">Customer_Invoices_AR!B492</f>
        <v>C2019</v>
      </c>
      <c r="C495" s="16" t="str">
        <f aca="false">IFERROR(INDEX(Customer_Master!$B$2:$B$31,MATCH(B495,Customer_Master!$A$2:$A$31,0)),"Unknown Customer")</f>
        <v>Hancock Inc</v>
      </c>
      <c r="D495" s="17" t="n">
        <f aca="false">Customer_Invoices_AR!C492</f>
        <v>45948</v>
      </c>
      <c r="E495" s="17" t="n">
        <f aca="false">Customer_Invoices_AR!E492</f>
        <v>45963</v>
      </c>
      <c r="F495" s="18" t="n">
        <f aca="false">Customer_Invoices_AR!D492</f>
        <v>1088.77</v>
      </c>
      <c r="G495" s="18" t="n">
        <f aca="false">SUMIFS(Cash_Receipts_AR!$E$2:$E$503,Cash_Receipts_AR!$B$2:$B$503,A495)</f>
        <v>1088.77</v>
      </c>
      <c r="H495" s="18" t="n">
        <f aca="false">F495-G495</f>
        <v>0</v>
      </c>
      <c r="I495" s="16" t="n">
        <f aca="false">IF(H495&lt;=0.01,0,MAX(Assumptions!$B$5-E495,0))</f>
        <v>0</v>
      </c>
      <c r="J495" s="16" t="str">
        <f aca="false">IF(H495&lt;=0.01,"Paid",IF(I495&lt;=30,"0-30",IF(I495&lt;=60,"31-60",IF(I495&lt;=90,"61-90","90+"))))</f>
        <v>Paid</v>
      </c>
      <c r="K495" s="16" t="str">
        <f aca="false">IF(H495&lt;=0.01,"Paid",IF(G495&gt;0,"Partially Paid","Unpaid"))</f>
        <v>Paid</v>
      </c>
    </row>
    <row r="496" customFormat="false" ht="15" hidden="false" customHeight="false" outlineLevel="0" collapsed="false">
      <c r="A496" s="16" t="str">
        <f aca="false">Customer_Invoices_AR!A493</f>
        <v>ARI60492</v>
      </c>
      <c r="B496" s="16" t="str">
        <f aca="false">Customer_Invoices_AR!B493</f>
        <v>C2020</v>
      </c>
      <c r="C496" s="16" t="str">
        <f aca="false">IFERROR(INDEX(Customer_Master!$B$2:$B$31,MATCH(B496,Customer_Master!$A$2:$A$31,0)),"Unknown Customer")</f>
        <v>Gray Group</v>
      </c>
      <c r="D496" s="17" t="n">
        <f aca="false">Customer_Invoices_AR!C493</f>
        <v>46044</v>
      </c>
      <c r="E496" s="17" t="n">
        <f aca="false">Customer_Invoices_AR!E493</f>
        <v>46074</v>
      </c>
      <c r="F496" s="18" t="n">
        <f aca="false">Customer_Invoices_AR!D493</f>
        <v>3388.92</v>
      </c>
      <c r="G496" s="18" t="n">
        <f aca="false">SUMIFS(Cash_Receipts_AR!$E$2:$E$503,Cash_Receipts_AR!$B$2:$B$503,A496)</f>
        <v>3388.92</v>
      </c>
      <c r="H496" s="18" t="n">
        <f aca="false">F496-G496</f>
        <v>0</v>
      </c>
      <c r="I496" s="16" t="n">
        <f aca="false">IF(H496&lt;=0.01,0,MAX(Assumptions!$B$5-E496,0))</f>
        <v>0</v>
      </c>
      <c r="J496" s="16" t="str">
        <f aca="false">IF(H496&lt;=0.01,"Paid",IF(I496&lt;=30,"0-30",IF(I496&lt;=60,"31-60",IF(I496&lt;=90,"61-90","90+"))))</f>
        <v>Paid</v>
      </c>
      <c r="K496" s="16" t="str">
        <f aca="false">IF(H496&lt;=0.01,"Paid",IF(G496&gt;0,"Partially Paid","Unpaid"))</f>
        <v>Paid</v>
      </c>
    </row>
    <row r="497" customFormat="false" ht="15" hidden="false" customHeight="false" outlineLevel="0" collapsed="false">
      <c r="A497" s="16" t="str">
        <f aca="false">Customer_Invoices_AR!A494</f>
        <v>ARI60493</v>
      </c>
      <c r="B497" s="16" t="str">
        <f aca="false">Customer_Invoices_AR!B494</f>
        <v>C2017</v>
      </c>
      <c r="C497" s="16" t="str">
        <f aca="false">IFERROR(INDEX(Customer_Master!$B$2:$B$31,MATCH(B497,Customer_Master!$A$2:$A$31,0)),"Unknown Customer")</f>
        <v>Novak and Sons</v>
      </c>
      <c r="D497" s="17" t="n">
        <f aca="false">Customer_Invoices_AR!C494</f>
        <v>45821</v>
      </c>
      <c r="E497" s="17" t="n">
        <f aca="false">Customer_Invoices_AR!E494</f>
        <v>45836</v>
      </c>
      <c r="F497" s="18" t="n">
        <f aca="false">Customer_Invoices_AR!D494</f>
        <v>1296.95</v>
      </c>
      <c r="G497" s="18" t="n">
        <f aca="false">SUMIFS(Cash_Receipts_AR!$E$2:$E$503,Cash_Receipts_AR!$B$2:$B$503,A497)</f>
        <v>1296.95</v>
      </c>
      <c r="H497" s="18" t="n">
        <f aca="false">F497-G497</f>
        <v>0</v>
      </c>
      <c r="I497" s="16" t="n">
        <f aca="false">IF(H497&lt;=0.01,0,MAX(Assumptions!$B$5-E497,0))</f>
        <v>0</v>
      </c>
      <c r="J497" s="16" t="str">
        <f aca="false">IF(H497&lt;=0.01,"Paid",IF(I497&lt;=30,"0-30",IF(I497&lt;=60,"31-60",IF(I497&lt;=90,"61-90","90+"))))</f>
        <v>Paid</v>
      </c>
      <c r="K497" s="16" t="str">
        <f aca="false">IF(H497&lt;=0.01,"Paid",IF(G497&gt;0,"Partially Paid","Unpaid"))</f>
        <v>Paid</v>
      </c>
    </row>
    <row r="498" customFormat="false" ht="15" hidden="false" customHeight="false" outlineLevel="0" collapsed="false">
      <c r="A498" s="16" t="str">
        <f aca="false">Customer_Invoices_AR!A495</f>
        <v>ARI60494</v>
      </c>
      <c r="B498" s="16" t="str">
        <f aca="false">Customer_Invoices_AR!B495</f>
        <v>C2014</v>
      </c>
      <c r="C498" s="16" t="str">
        <f aca="false">IFERROR(INDEX(Customer_Master!$B$2:$B$31,MATCH(B498,Customer_Master!$A$2:$A$31,0)),"Unknown Customer")</f>
        <v>Baxter Inc</v>
      </c>
      <c r="D498" s="17" t="n">
        <f aca="false">Customer_Invoices_AR!C495</f>
        <v>46102</v>
      </c>
      <c r="E498" s="17" t="n">
        <f aca="false">Customer_Invoices_AR!E495</f>
        <v>46132</v>
      </c>
      <c r="F498" s="18" t="n">
        <f aca="false">Customer_Invoices_AR!D495</f>
        <v>973.23</v>
      </c>
      <c r="G498" s="18" t="n">
        <f aca="false">SUMIFS(Cash_Receipts_AR!$E$2:$E$503,Cash_Receipts_AR!$B$2:$B$503,A498)</f>
        <v>973.23</v>
      </c>
      <c r="H498" s="18" t="n">
        <f aca="false">F498-G498</f>
        <v>0</v>
      </c>
      <c r="I498" s="16" t="n">
        <f aca="false">IF(H498&lt;=0.01,0,MAX(Assumptions!$B$5-E498,0))</f>
        <v>0</v>
      </c>
      <c r="J498" s="16" t="str">
        <f aca="false">IF(H498&lt;=0.01,"Paid",IF(I498&lt;=30,"0-30",IF(I498&lt;=60,"31-60",IF(I498&lt;=90,"61-90","90+"))))</f>
        <v>Paid</v>
      </c>
      <c r="K498" s="16" t="str">
        <f aca="false">IF(H498&lt;=0.01,"Paid",IF(G498&gt;0,"Partially Paid","Unpaid"))</f>
        <v>Paid</v>
      </c>
    </row>
    <row r="499" customFormat="false" ht="15" hidden="false" customHeight="false" outlineLevel="0" collapsed="false">
      <c r="A499" s="16" t="str">
        <f aca="false">Customer_Invoices_AR!A496</f>
        <v>ARI60495</v>
      </c>
      <c r="B499" s="16" t="str">
        <f aca="false">Customer_Invoices_AR!B496</f>
        <v>C2022</v>
      </c>
      <c r="C499" s="16" t="str">
        <f aca="false">IFERROR(INDEX(Customer_Master!$B$2:$B$31,MATCH(B499,Customer_Master!$A$2:$A$31,0)),"Unknown Customer")</f>
        <v>Henderson-Bernard</v>
      </c>
      <c r="D499" s="17" t="n">
        <f aca="false">Customer_Invoices_AR!C496</f>
        <v>45858</v>
      </c>
      <c r="E499" s="17" t="n">
        <f aca="false">Customer_Invoices_AR!E496</f>
        <v>45888</v>
      </c>
      <c r="F499" s="18" t="n">
        <f aca="false">Customer_Invoices_AR!D496</f>
        <v>3529.93</v>
      </c>
      <c r="G499" s="18" t="n">
        <f aca="false">SUMIFS(Cash_Receipts_AR!$E$2:$E$503,Cash_Receipts_AR!$B$2:$B$503,A499)</f>
        <v>3529.93</v>
      </c>
      <c r="H499" s="18" t="n">
        <f aca="false">F499-G499</f>
        <v>0</v>
      </c>
      <c r="I499" s="16" t="n">
        <f aca="false">IF(H499&lt;=0.01,0,MAX(Assumptions!$B$5-E499,0))</f>
        <v>0</v>
      </c>
      <c r="J499" s="16" t="str">
        <f aca="false">IF(H499&lt;=0.01,"Paid",IF(I499&lt;=30,"0-30",IF(I499&lt;=60,"31-60",IF(I499&lt;=90,"61-90","90+"))))</f>
        <v>Paid</v>
      </c>
      <c r="K499" s="16" t="str">
        <f aca="false">IF(H499&lt;=0.01,"Paid",IF(G499&gt;0,"Partially Paid","Unpaid"))</f>
        <v>Paid</v>
      </c>
    </row>
    <row r="500" customFormat="false" ht="15" hidden="false" customHeight="false" outlineLevel="0" collapsed="false">
      <c r="A500" s="16" t="str">
        <f aca="false">Customer_Invoices_AR!A497</f>
        <v>ARI60496</v>
      </c>
      <c r="B500" s="16" t="str">
        <f aca="false">Customer_Invoices_AR!B497</f>
        <v>C2014</v>
      </c>
      <c r="C500" s="16" t="str">
        <f aca="false">IFERROR(INDEX(Customer_Master!$B$2:$B$31,MATCH(B500,Customer_Master!$A$2:$A$31,0)),"Unknown Customer")</f>
        <v>Baxter Inc</v>
      </c>
      <c r="D500" s="17" t="n">
        <f aca="false">Customer_Invoices_AR!C497</f>
        <v>46025</v>
      </c>
      <c r="E500" s="17" t="n">
        <f aca="false">Customer_Invoices_AR!E497</f>
        <v>46055</v>
      </c>
      <c r="F500" s="18" t="n">
        <f aca="false">Customer_Invoices_AR!D497</f>
        <v>6608.86</v>
      </c>
      <c r="G500" s="18" t="n">
        <f aca="false">SUMIFS(Cash_Receipts_AR!$E$2:$E$503,Cash_Receipts_AR!$B$2:$B$503,A500)</f>
        <v>6608.86</v>
      </c>
      <c r="H500" s="18" t="n">
        <f aca="false">F500-G500</f>
        <v>0</v>
      </c>
      <c r="I500" s="16" t="n">
        <f aca="false">IF(H500&lt;=0.01,0,MAX(Assumptions!$B$5-E500,0))</f>
        <v>0</v>
      </c>
      <c r="J500" s="16" t="str">
        <f aca="false">IF(H500&lt;=0.01,"Paid",IF(I500&lt;=30,"0-30",IF(I500&lt;=60,"31-60",IF(I500&lt;=90,"61-90","90+"))))</f>
        <v>Paid</v>
      </c>
      <c r="K500" s="16" t="str">
        <f aca="false">IF(H500&lt;=0.01,"Paid",IF(G500&gt;0,"Partially Paid","Unpaid"))</f>
        <v>Paid</v>
      </c>
    </row>
    <row r="501" customFormat="false" ht="15" hidden="false" customHeight="false" outlineLevel="0" collapsed="false">
      <c r="A501" s="16" t="str">
        <f aca="false">Customer_Invoices_AR!A498</f>
        <v>ARI60497</v>
      </c>
      <c r="B501" s="16" t="str">
        <f aca="false">Customer_Invoices_AR!B498</f>
        <v>C2006</v>
      </c>
      <c r="C501" s="16" t="str">
        <f aca="false">IFERROR(INDEX(Customer_Master!$B$2:$B$31,MATCH(B501,Customer_Master!$A$2:$A$31,0)),"Unknown Customer")</f>
        <v>Washington, Ryan and Cummings</v>
      </c>
      <c r="D501" s="17" t="n">
        <f aca="false">Customer_Invoices_AR!C498</f>
        <v>46192</v>
      </c>
      <c r="E501" s="17" t="n">
        <f aca="false">Customer_Invoices_AR!E498</f>
        <v>46207</v>
      </c>
      <c r="F501" s="18" t="n">
        <f aca="false">Customer_Invoices_AR!D498</f>
        <v>1785.3</v>
      </c>
      <c r="G501" s="18" t="n">
        <f aca="false">SUMIFS(Cash_Receipts_AR!$E$2:$E$503,Cash_Receipts_AR!$B$2:$B$503,A501)</f>
        <v>0</v>
      </c>
      <c r="H501" s="18" t="n">
        <f aca="false">F501-G501</f>
        <v>1785.3</v>
      </c>
      <c r="I501" s="16" t="n">
        <f aca="false">IF(H501&lt;=0.01,0,MAX(Assumptions!$B$5-E501,0))</f>
        <v>27</v>
      </c>
      <c r="J501" s="16" t="str">
        <f aca="false">IF(H501&lt;=0.01,"Paid",IF(I501&lt;=30,"0-30",IF(I501&lt;=60,"31-60",IF(I501&lt;=90,"61-90","90+"))))</f>
        <v>0-30</v>
      </c>
      <c r="K501" s="16" t="str">
        <f aca="false">IF(H501&lt;=0.01,"Paid",IF(G501&gt;0,"Partially Paid","Unpaid"))</f>
        <v>Unpaid</v>
      </c>
    </row>
    <row r="502" customFormat="false" ht="15" hidden="false" customHeight="false" outlineLevel="0" collapsed="false">
      <c r="A502" s="16" t="str">
        <f aca="false">Customer_Invoices_AR!A499</f>
        <v>ARI60498</v>
      </c>
      <c r="B502" s="16" t="str">
        <f aca="false">Customer_Invoices_AR!B499</f>
        <v>C2023</v>
      </c>
      <c r="C502" s="16" t="str">
        <f aca="false">IFERROR(INDEX(Customer_Master!$B$2:$B$31,MATCH(B502,Customer_Master!$A$2:$A$31,0)),"Unknown Customer")</f>
        <v>Stanley, Tucker and Lee</v>
      </c>
      <c r="D502" s="17" t="n">
        <f aca="false">Customer_Invoices_AR!C499</f>
        <v>45976</v>
      </c>
      <c r="E502" s="17" t="n">
        <f aca="false">Customer_Invoices_AR!E499</f>
        <v>46036</v>
      </c>
      <c r="F502" s="18" t="n">
        <f aca="false">Customer_Invoices_AR!D499</f>
        <v>6888.72</v>
      </c>
      <c r="G502" s="18" t="n">
        <f aca="false">SUMIFS(Cash_Receipts_AR!$E$2:$E$503,Cash_Receipts_AR!$B$2:$B$503,A502)</f>
        <v>6888.72</v>
      </c>
      <c r="H502" s="18" t="n">
        <f aca="false">F502-G502</f>
        <v>0</v>
      </c>
      <c r="I502" s="16" t="n">
        <f aca="false">IF(H502&lt;=0.01,0,MAX(Assumptions!$B$5-E502,0))</f>
        <v>0</v>
      </c>
      <c r="J502" s="16" t="str">
        <f aca="false">IF(H502&lt;=0.01,"Paid",IF(I502&lt;=30,"0-30",IF(I502&lt;=60,"31-60",IF(I502&lt;=90,"61-90","90+"))))</f>
        <v>Paid</v>
      </c>
      <c r="K502" s="16" t="str">
        <f aca="false">IF(H502&lt;=0.01,"Paid",IF(G502&gt;0,"Partially Paid","Unpaid"))</f>
        <v>Paid</v>
      </c>
    </row>
    <row r="503" customFormat="false" ht="15" hidden="false" customHeight="false" outlineLevel="0" collapsed="false">
      <c r="A503" s="16" t="str">
        <f aca="false">Customer_Invoices_AR!A500</f>
        <v>ARI60499</v>
      </c>
      <c r="B503" s="16" t="str">
        <f aca="false">Customer_Invoices_AR!B500</f>
        <v>C2002</v>
      </c>
      <c r="C503" s="16" t="str">
        <f aca="false">IFERROR(INDEX(Customer_Master!$B$2:$B$31,MATCH(B503,Customer_Master!$A$2:$A$31,0)),"Unknown Customer")</f>
        <v>Smith-Spencer</v>
      </c>
      <c r="D503" s="17" t="n">
        <f aca="false">Customer_Invoices_AR!C500</f>
        <v>46092</v>
      </c>
      <c r="E503" s="17" t="n">
        <f aca="false">Customer_Invoices_AR!E500</f>
        <v>46107</v>
      </c>
      <c r="F503" s="18" t="n">
        <f aca="false">Customer_Invoices_AR!D500</f>
        <v>1431.17</v>
      </c>
      <c r="G503" s="18" t="n">
        <f aca="false">SUMIFS(Cash_Receipts_AR!$E$2:$E$503,Cash_Receipts_AR!$B$2:$B$503,A503)</f>
        <v>1431.17</v>
      </c>
      <c r="H503" s="18" t="n">
        <f aca="false">F503-G503</f>
        <v>0</v>
      </c>
      <c r="I503" s="16" t="n">
        <f aca="false">IF(H503&lt;=0.01,0,MAX(Assumptions!$B$5-E503,0))</f>
        <v>0</v>
      </c>
      <c r="J503" s="16" t="str">
        <f aca="false">IF(H503&lt;=0.01,"Paid",IF(I503&lt;=30,"0-30",IF(I503&lt;=60,"31-60",IF(I503&lt;=90,"61-90","90+"))))</f>
        <v>Paid</v>
      </c>
      <c r="K503" s="16" t="str">
        <f aca="false">IF(H503&lt;=0.01,"Paid",IF(G503&gt;0,"Partially Paid","Unpaid"))</f>
        <v>Paid</v>
      </c>
    </row>
    <row r="504" customFormat="false" ht="15" hidden="false" customHeight="false" outlineLevel="0" collapsed="false">
      <c r="A504" s="16" t="str">
        <f aca="false">Customer_Invoices_AR!A501</f>
        <v>ARI60500</v>
      </c>
      <c r="B504" s="16" t="str">
        <f aca="false">Customer_Invoices_AR!B501</f>
        <v>C2016</v>
      </c>
      <c r="C504" s="16" t="str">
        <f aca="false">IFERROR(INDEX(Customer_Master!$B$2:$B$31,MATCH(B504,Customer_Master!$A$2:$A$31,0)),"Unknown Customer")</f>
        <v>Williams PLC</v>
      </c>
      <c r="D504" s="17" t="n">
        <f aca="false">Customer_Invoices_AR!C501</f>
        <v>46053</v>
      </c>
      <c r="E504" s="17" t="n">
        <f aca="false">Customer_Invoices_AR!E501</f>
        <v>46083</v>
      </c>
      <c r="F504" s="18" t="n">
        <f aca="false">Customer_Invoices_AR!D501</f>
        <v>4410.67</v>
      </c>
      <c r="G504" s="18" t="n">
        <f aca="false">SUMIFS(Cash_Receipts_AR!$E$2:$E$503,Cash_Receipts_AR!$B$2:$B$503,A504)</f>
        <v>4410.67</v>
      </c>
      <c r="H504" s="18" t="n">
        <f aca="false">F504-G504</f>
        <v>0</v>
      </c>
      <c r="I504" s="16" t="n">
        <f aca="false">IF(H504&lt;=0.01,0,MAX(Assumptions!$B$5-E504,0))</f>
        <v>0</v>
      </c>
      <c r="J504" s="16" t="str">
        <f aca="false">IF(H504&lt;=0.01,"Paid",IF(I504&lt;=30,"0-30",IF(I504&lt;=60,"31-60",IF(I504&lt;=90,"61-90","90+"))))</f>
        <v>Paid</v>
      </c>
      <c r="K504" s="16" t="str">
        <f aca="false">IF(H504&lt;=0.01,"Paid",IF(G504&gt;0,"Partially Paid","Unpaid"))</f>
        <v>Paid</v>
      </c>
    </row>
    <row r="505" customFormat="false" ht="15" hidden="false" customHeight="false" outlineLevel="0" collapsed="false">
      <c r="A505" s="16" t="str">
        <f aca="false">Customer_Invoices_AR!A502</f>
        <v>ARI60501</v>
      </c>
      <c r="B505" s="16" t="str">
        <f aca="false">Customer_Invoices_AR!B502</f>
        <v>C2029</v>
      </c>
      <c r="C505" s="16" t="str">
        <f aca="false">IFERROR(INDEX(Customer_Master!$B$2:$B$31,MATCH(B505,Customer_Master!$A$2:$A$31,0)),"Unknown Customer")</f>
        <v>Hensley, Powell and David</v>
      </c>
      <c r="D505" s="17" t="n">
        <f aca="false">Customer_Invoices_AR!C502</f>
        <v>46032</v>
      </c>
      <c r="E505" s="17" t="n">
        <f aca="false">Customer_Invoices_AR!E502</f>
        <v>46092</v>
      </c>
      <c r="F505" s="18" t="n">
        <f aca="false">Customer_Invoices_AR!D502</f>
        <v>7357.21</v>
      </c>
      <c r="G505" s="18" t="n">
        <f aca="false">SUMIFS(Cash_Receipts_AR!$E$2:$E$503,Cash_Receipts_AR!$B$2:$B$503,A505)</f>
        <v>7357.21</v>
      </c>
      <c r="H505" s="18" t="n">
        <f aca="false">F505-G505</f>
        <v>0</v>
      </c>
      <c r="I505" s="16" t="n">
        <f aca="false">IF(H505&lt;=0.01,0,MAX(Assumptions!$B$5-E505,0))</f>
        <v>0</v>
      </c>
      <c r="J505" s="16" t="str">
        <f aca="false">IF(H505&lt;=0.01,"Paid",IF(I505&lt;=30,"0-30",IF(I505&lt;=60,"31-60",IF(I505&lt;=90,"61-90","90+"))))</f>
        <v>Paid</v>
      </c>
      <c r="K505" s="16" t="str">
        <f aca="false">IF(H505&lt;=0.01,"Paid",IF(G505&gt;0,"Partially Paid","Unpaid"))</f>
        <v>Paid</v>
      </c>
    </row>
    <row r="506" customFormat="false" ht="15" hidden="false" customHeight="false" outlineLevel="0" collapsed="false">
      <c r="A506" s="16" t="str">
        <f aca="false">Customer_Invoices_AR!A503</f>
        <v>ARI60502</v>
      </c>
      <c r="B506" s="16" t="str">
        <f aca="false">Customer_Invoices_AR!B503</f>
        <v>C2023</v>
      </c>
      <c r="C506" s="16" t="str">
        <f aca="false">IFERROR(INDEX(Customer_Master!$B$2:$B$31,MATCH(B506,Customer_Master!$A$2:$A$31,0)),"Unknown Customer")</f>
        <v>Stanley, Tucker and Lee</v>
      </c>
      <c r="D506" s="17" t="n">
        <f aca="false">Customer_Invoices_AR!C503</f>
        <v>45672</v>
      </c>
      <c r="E506" s="17" t="n">
        <f aca="false">Customer_Invoices_AR!E503</f>
        <v>45732</v>
      </c>
      <c r="F506" s="18" t="n">
        <f aca="false">Customer_Invoices_AR!D503</f>
        <v>3743.89</v>
      </c>
      <c r="G506" s="18" t="n">
        <f aca="false">SUMIFS(Cash_Receipts_AR!$E$2:$E$503,Cash_Receipts_AR!$B$2:$B$503,A506)</f>
        <v>3743.89</v>
      </c>
      <c r="H506" s="18" t="n">
        <f aca="false">F506-G506</f>
        <v>0</v>
      </c>
      <c r="I506" s="16" t="n">
        <f aca="false">IF(H506&lt;=0.01,0,MAX(Assumptions!$B$5-E506,0))</f>
        <v>0</v>
      </c>
      <c r="J506" s="16" t="str">
        <f aca="false">IF(H506&lt;=0.01,"Paid",IF(I506&lt;=30,"0-30",IF(I506&lt;=60,"31-60",IF(I506&lt;=90,"61-90","90+"))))</f>
        <v>Paid</v>
      </c>
      <c r="K506" s="16" t="str">
        <f aca="false">IF(H506&lt;=0.01,"Paid",IF(G506&gt;0,"Partially Paid","Unpaid"))</f>
        <v>Paid</v>
      </c>
    </row>
    <row r="507" customFormat="false" ht="15" hidden="false" customHeight="false" outlineLevel="0" collapsed="false">
      <c r="A507" s="16" t="str">
        <f aca="false">Customer_Invoices_AR!A504</f>
        <v>ARI60503</v>
      </c>
      <c r="B507" s="16" t="str">
        <f aca="false">Customer_Invoices_AR!B504</f>
        <v>C2008</v>
      </c>
      <c r="C507" s="16" t="str">
        <f aca="false">IFERROR(INDEX(Customer_Master!$B$2:$B$31,MATCH(B507,Customer_Master!$A$2:$A$31,0)),"Unknown Customer")</f>
        <v>Lee-Davis</v>
      </c>
      <c r="D507" s="17" t="n">
        <f aca="false">Customer_Invoices_AR!C504</f>
        <v>45916</v>
      </c>
      <c r="E507" s="17" t="n">
        <f aca="false">Customer_Invoices_AR!E504</f>
        <v>45976</v>
      </c>
      <c r="F507" s="18" t="n">
        <f aca="false">Customer_Invoices_AR!D504</f>
        <v>2235.8</v>
      </c>
      <c r="G507" s="18" t="n">
        <f aca="false">SUMIFS(Cash_Receipts_AR!$E$2:$E$503,Cash_Receipts_AR!$B$2:$B$503,A507)</f>
        <v>2235.8</v>
      </c>
      <c r="H507" s="18" t="n">
        <f aca="false">F507-G507</f>
        <v>0</v>
      </c>
      <c r="I507" s="16" t="n">
        <f aca="false">IF(H507&lt;=0.01,0,MAX(Assumptions!$B$5-E507,0))</f>
        <v>0</v>
      </c>
      <c r="J507" s="16" t="str">
        <f aca="false">IF(H507&lt;=0.01,"Paid",IF(I507&lt;=30,"0-30",IF(I507&lt;=60,"31-60",IF(I507&lt;=90,"61-90","90+"))))</f>
        <v>Paid</v>
      </c>
      <c r="K507" s="16" t="str">
        <f aca="false">IF(H507&lt;=0.01,"Paid",IF(G507&gt;0,"Partially Paid","Unpaid"))</f>
        <v>Paid</v>
      </c>
    </row>
    <row r="508" customFormat="false" ht="15" hidden="false" customHeight="false" outlineLevel="0" collapsed="false">
      <c r="A508" s="16" t="str">
        <f aca="false">Customer_Invoices_AR!A505</f>
        <v>ARI60504</v>
      </c>
      <c r="B508" s="16" t="str">
        <f aca="false">Customer_Invoices_AR!B505</f>
        <v>C2017</v>
      </c>
      <c r="C508" s="16" t="str">
        <f aca="false">IFERROR(INDEX(Customer_Master!$B$2:$B$31,MATCH(B508,Customer_Master!$A$2:$A$31,0)),"Unknown Customer")</f>
        <v>Novak and Sons</v>
      </c>
      <c r="D508" s="17" t="n">
        <f aca="false">Customer_Invoices_AR!C505</f>
        <v>46185</v>
      </c>
      <c r="E508" s="17" t="n">
        <f aca="false">Customer_Invoices_AR!E505</f>
        <v>46200</v>
      </c>
      <c r="F508" s="18" t="n">
        <f aca="false">Customer_Invoices_AR!D505</f>
        <v>2407.89</v>
      </c>
      <c r="G508" s="18" t="n">
        <f aca="false">SUMIFS(Cash_Receipts_AR!$E$2:$E$503,Cash_Receipts_AR!$B$2:$B$503,A508)</f>
        <v>916.06</v>
      </c>
      <c r="H508" s="18" t="n">
        <f aca="false">F508-G508</f>
        <v>1491.83</v>
      </c>
      <c r="I508" s="16" t="n">
        <f aca="false">IF(H508&lt;=0.01,0,MAX(Assumptions!$B$5-E508,0))</f>
        <v>34</v>
      </c>
      <c r="J508" s="16" t="str">
        <f aca="false">IF(H508&lt;=0.01,"Paid",IF(I508&lt;=30,"0-30",IF(I508&lt;=60,"31-60",IF(I508&lt;=90,"61-90","90+"))))</f>
        <v>31-60</v>
      </c>
      <c r="K508" s="16" t="str">
        <f aca="false">IF(H508&lt;=0.01,"Paid",IF(G508&gt;0,"Partially Paid","Unpaid"))</f>
        <v>Partially Paid</v>
      </c>
    </row>
    <row r="509" customFormat="false" ht="15" hidden="false" customHeight="false" outlineLevel="0" collapsed="false">
      <c r="A509" s="16" t="str">
        <f aca="false">Customer_Invoices_AR!A506</f>
        <v>ARI60505</v>
      </c>
      <c r="B509" s="16" t="str">
        <f aca="false">Customer_Invoices_AR!B506</f>
        <v>C2003</v>
      </c>
      <c r="C509" s="16" t="str">
        <f aca="false">IFERROR(INDEX(Customer_Master!$B$2:$B$31,MATCH(B509,Customer_Master!$A$2:$A$31,0)),"Unknown Customer")</f>
        <v>Robinson, Jones and Welch</v>
      </c>
      <c r="D509" s="17" t="n">
        <f aca="false">Customer_Invoices_AR!C506</f>
        <v>46084</v>
      </c>
      <c r="E509" s="17" t="n">
        <f aca="false">Customer_Invoices_AR!E506</f>
        <v>46129</v>
      </c>
      <c r="F509" s="18" t="n">
        <f aca="false">Customer_Invoices_AR!D506</f>
        <v>2778.74</v>
      </c>
      <c r="G509" s="18" t="n">
        <f aca="false">SUMIFS(Cash_Receipts_AR!$E$2:$E$503,Cash_Receipts_AR!$B$2:$B$503,A509)</f>
        <v>2778.74</v>
      </c>
      <c r="H509" s="18" t="n">
        <f aca="false">F509-G509</f>
        <v>0</v>
      </c>
      <c r="I509" s="16" t="n">
        <f aca="false">IF(H509&lt;=0.01,0,MAX(Assumptions!$B$5-E509,0))</f>
        <v>0</v>
      </c>
      <c r="J509" s="16" t="str">
        <f aca="false">IF(H509&lt;=0.01,"Paid",IF(I509&lt;=30,"0-30",IF(I509&lt;=60,"31-60",IF(I509&lt;=90,"61-90","90+"))))</f>
        <v>Paid</v>
      </c>
      <c r="K509" s="16" t="str">
        <f aca="false">IF(H509&lt;=0.01,"Paid",IF(G509&gt;0,"Partially Paid","Unpaid"))</f>
        <v>Paid</v>
      </c>
    </row>
    <row r="510" customFormat="false" ht="15" hidden="false" customHeight="false" outlineLevel="0" collapsed="false">
      <c r="A510" s="16" t="str">
        <f aca="false">Customer_Invoices_AR!A507</f>
        <v>ARI60506</v>
      </c>
      <c r="B510" s="16" t="str">
        <f aca="false">Customer_Invoices_AR!B507</f>
        <v>C2009</v>
      </c>
      <c r="C510" s="16" t="str">
        <f aca="false">IFERROR(INDEX(Customer_Master!$B$2:$B$31,MATCH(B510,Customer_Master!$A$2:$A$31,0)),"Unknown Customer")</f>
        <v>Gomez-Jenkins</v>
      </c>
      <c r="D510" s="17" t="n">
        <f aca="false">Customer_Invoices_AR!C507</f>
        <v>46081</v>
      </c>
      <c r="E510" s="17" t="n">
        <f aca="false">Customer_Invoices_AR!E507</f>
        <v>46126</v>
      </c>
      <c r="F510" s="18" t="n">
        <f aca="false">Customer_Invoices_AR!D507</f>
        <v>2994.41</v>
      </c>
      <c r="G510" s="18" t="n">
        <f aca="false">SUMIFS(Cash_Receipts_AR!$E$2:$E$503,Cash_Receipts_AR!$B$2:$B$503,A510)</f>
        <v>2994.41</v>
      </c>
      <c r="H510" s="18" t="n">
        <f aca="false">F510-G510</f>
        <v>0</v>
      </c>
      <c r="I510" s="16" t="n">
        <f aca="false">IF(H510&lt;=0.01,0,MAX(Assumptions!$B$5-E510,0))</f>
        <v>0</v>
      </c>
      <c r="J510" s="16" t="str">
        <f aca="false">IF(H510&lt;=0.01,"Paid",IF(I510&lt;=30,"0-30",IF(I510&lt;=60,"31-60",IF(I510&lt;=90,"61-90","90+"))))</f>
        <v>Paid</v>
      </c>
      <c r="K510" s="16" t="str">
        <f aca="false">IF(H510&lt;=0.01,"Paid",IF(G510&gt;0,"Partially Paid","Unpaid"))</f>
        <v>Paid</v>
      </c>
    </row>
    <row r="511" customFormat="false" ht="15" hidden="false" customHeight="false" outlineLevel="0" collapsed="false">
      <c r="A511" s="16" t="str">
        <f aca="false">Customer_Invoices_AR!A508</f>
        <v>ARI60507</v>
      </c>
      <c r="B511" s="16" t="str">
        <f aca="false">Customer_Invoices_AR!B508</f>
        <v>C2025</v>
      </c>
      <c r="C511" s="16" t="str">
        <f aca="false">IFERROR(INDEX(Customer_Master!$B$2:$B$31,MATCH(B511,Customer_Master!$A$2:$A$31,0)),"Unknown Customer")</f>
        <v>Daniels, Adkins and Brown</v>
      </c>
      <c r="D511" s="17" t="n">
        <f aca="false">Customer_Invoices_AR!C508</f>
        <v>45972</v>
      </c>
      <c r="E511" s="17" t="n">
        <f aca="false">Customer_Invoices_AR!E508</f>
        <v>45987</v>
      </c>
      <c r="F511" s="18" t="n">
        <f aca="false">Customer_Invoices_AR!D508</f>
        <v>15639.98</v>
      </c>
      <c r="G511" s="18" t="n">
        <f aca="false">SUMIFS(Cash_Receipts_AR!$E$2:$E$503,Cash_Receipts_AR!$B$2:$B$503,A511)</f>
        <v>15639.98</v>
      </c>
      <c r="H511" s="18" t="n">
        <f aca="false">F511-G511</f>
        <v>0</v>
      </c>
      <c r="I511" s="16" t="n">
        <f aca="false">IF(H511&lt;=0.01,0,MAX(Assumptions!$B$5-E511,0))</f>
        <v>0</v>
      </c>
      <c r="J511" s="16" t="str">
        <f aca="false">IF(H511&lt;=0.01,"Paid",IF(I511&lt;=30,"0-30",IF(I511&lt;=60,"31-60",IF(I511&lt;=90,"61-90","90+"))))</f>
        <v>Paid</v>
      </c>
      <c r="K511" s="16" t="str">
        <f aca="false">IF(H511&lt;=0.01,"Paid",IF(G511&gt;0,"Partially Paid","Unpaid"))</f>
        <v>Paid</v>
      </c>
    </row>
    <row r="512" customFormat="false" ht="15" hidden="false" customHeight="false" outlineLevel="0" collapsed="false">
      <c r="A512" s="16" t="str">
        <f aca="false">Customer_Invoices_AR!A509</f>
        <v>ARI60508</v>
      </c>
      <c r="B512" s="16" t="str">
        <f aca="false">Customer_Invoices_AR!B509</f>
        <v>C2003</v>
      </c>
      <c r="C512" s="16" t="str">
        <f aca="false">IFERROR(INDEX(Customer_Master!$B$2:$B$31,MATCH(B512,Customer_Master!$A$2:$A$31,0)),"Unknown Customer")</f>
        <v>Robinson, Jones and Welch</v>
      </c>
      <c r="D512" s="17" t="n">
        <f aca="false">Customer_Invoices_AR!C509</f>
        <v>46051</v>
      </c>
      <c r="E512" s="17" t="n">
        <f aca="false">Customer_Invoices_AR!E509</f>
        <v>46096</v>
      </c>
      <c r="F512" s="18" t="n">
        <f aca="false">Customer_Invoices_AR!D509</f>
        <v>5411.11</v>
      </c>
      <c r="G512" s="18" t="n">
        <f aca="false">SUMIFS(Cash_Receipts_AR!$E$2:$E$503,Cash_Receipts_AR!$B$2:$B$503,A512)</f>
        <v>0</v>
      </c>
      <c r="H512" s="18" t="n">
        <f aca="false">F512-G512</f>
        <v>5411.11</v>
      </c>
      <c r="I512" s="16" t="n">
        <f aca="false">IF(H512&lt;=0.01,0,MAX(Assumptions!$B$5-E512,0))</f>
        <v>138</v>
      </c>
      <c r="J512" s="16" t="str">
        <f aca="false">IF(H512&lt;=0.01,"Paid",IF(I512&lt;=30,"0-30",IF(I512&lt;=60,"31-60",IF(I512&lt;=90,"61-90","90+"))))</f>
        <v>90+</v>
      </c>
      <c r="K512" s="16" t="str">
        <f aca="false">IF(H512&lt;=0.01,"Paid",IF(G512&gt;0,"Partially Paid","Unpaid"))</f>
        <v>Unpaid</v>
      </c>
    </row>
    <row r="513" customFormat="false" ht="15" hidden="false" customHeight="false" outlineLevel="0" collapsed="false">
      <c r="A513" s="16" t="str">
        <f aca="false">Customer_Invoices_AR!A510</f>
        <v>ARI60509</v>
      </c>
      <c r="B513" s="16" t="str">
        <f aca="false">Customer_Invoices_AR!B510</f>
        <v>C2012</v>
      </c>
      <c r="C513" s="16" t="str">
        <f aca="false">IFERROR(INDEX(Customer_Master!$B$2:$B$31,MATCH(B513,Customer_Master!$A$2:$A$31,0)),"Unknown Customer")</f>
        <v>Wright and Sons</v>
      </c>
      <c r="D513" s="17" t="n">
        <f aca="false">Customer_Invoices_AR!C510</f>
        <v>45976</v>
      </c>
      <c r="E513" s="17" t="n">
        <f aca="false">Customer_Invoices_AR!E510</f>
        <v>46021</v>
      </c>
      <c r="F513" s="18" t="n">
        <f aca="false">Customer_Invoices_AR!D510</f>
        <v>14179.43</v>
      </c>
      <c r="G513" s="18" t="n">
        <f aca="false">SUMIFS(Cash_Receipts_AR!$E$2:$E$503,Cash_Receipts_AR!$B$2:$B$503,A513)</f>
        <v>14179.43</v>
      </c>
      <c r="H513" s="18" t="n">
        <f aca="false">F513-G513</f>
        <v>0</v>
      </c>
      <c r="I513" s="16" t="n">
        <f aca="false">IF(H513&lt;=0.01,0,MAX(Assumptions!$B$5-E513,0))</f>
        <v>0</v>
      </c>
      <c r="J513" s="16" t="str">
        <f aca="false">IF(H513&lt;=0.01,"Paid",IF(I513&lt;=30,"0-30",IF(I513&lt;=60,"31-60",IF(I513&lt;=90,"61-90","90+"))))</f>
        <v>Paid</v>
      </c>
      <c r="K513" s="16" t="str">
        <f aca="false">IF(H513&lt;=0.01,"Paid",IF(G513&gt;0,"Partially Paid","Unpaid"))</f>
        <v>Paid</v>
      </c>
    </row>
    <row r="514" customFormat="false" ht="15" hidden="false" customHeight="false" outlineLevel="0" collapsed="false">
      <c r="A514" s="16" t="str">
        <f aca="false">Customer_Invoices_AR!A511</f>
        <v>ARI60510</v>
      </c>
      <c r="B514" s="16" t="str">
        <f aca="false">Customer_Invoices_AR!B511</f>
        <v>C2009</v>
      </c>
      <c r="C514" s="16" t="str">
        <f aca="false">IFERROR(INDEX(Customer_Master!$B$2:$B$31,MATCH(B514,Customer_Master!$A$2:$A$31,0)),"Unknown Customer")</f>
        <v>Gomez-Jenkins</v>
      </c>
      <c r="D514" s="17" t="n">
        <f aca="false">Customer_Invoices_AR!C511</f>
        <v>45750</v>
      </c>
      <c r="E514" s="17" t="n">
        <f aca="false">Customer_Invoices_AR!E511</f>
        <v>45795</v>
      </c>
      <c r="F514" s="18" t="n">
        <f aca="false">Customer_Invoices_AR!D511</f>
        <v>19992.01</v>
      </c>
      <c r="G514" s="18" t="n">
        <f aca="false">SUMIFS(Cash_Receipts_AR!$E$2:$E$503,Cash_Receipts_AR!$B$2:$B$503,A514)</f>
        <v>19992.01</v>
      </c>
      <c r="H514" s="18" t="n">
        <f aca="false">F514-G514</f>
        <v>0</v>
      </c>
      <c r="I514" s="16" t="n">
        <f aca="false">IF(H514&lt;=0.01,0,MAX(Assumptions!$B$5-E514,0))</f>
        <v>0</v>
      </c>
      <c r="J514" s="16" t="str">
        <f aca="false">IF(H514&lt;=0.01,"Paid",IF(I514&lt;=30,"0-30",IF(I514&lt;=60,"31-60",IF(I514&lt;=90,"61-90","90+"))))</f>
        <v>Paid</v>
      </c>
      <c r="K514" s="16" t="str">
        <f aca="false">IF(H514&lt;=0.01,"Paid",IF(G514&gt;0,"Partially Paid","Unpaid"))</f>
        <v>Paid</v>
      </c>
    </row>
    <row r="515" customFormat="false" ht="15" hidden="false" customHeight="false" outlineLevel="0" collapsed="false">
      <c r="A515" s="16" t="str">
        <f aca="false">Customer_Invoices_AR!A512</f>
        <v>ARI60511</v>
      </c>
      <c r="B515" s="16" t="str">
        <f aca="false">Customer_Invoices_AR!B512</f>
        <v>C2025</v>
      </c>
      <c r="C515" s="16" t="str">
        <f aca="false">IFERROR(INDEX(Customer_Master!$B$2:$B$31,MATCH(B515,Customer_Master!$A$2:$A$31,0)),"Unknown Customer")</f>
        <v>Daniels, Adkins and Brown</v>
      </c>
      <c r="D515" s="17" t="n">
        <f aca="false">Customer_Invoices_AR!C512</f>
        <v>46000</v>
      </c>
      <c r="E515" s="17" t="n">
        <f aca="false">Customer_Invoices_AR!E512</f>
        <v>46015</v>
      </c>
      <c r="F515" s="18" t="n">
        <f aca="false">Customer_Invoices_AR!D512</f>
        <v>413.39</v>
      </c>
      <c r="G515" s="18" t="n">
        <f aca="false">SUMIFS(Cash_Receipts_AR!$E$2:$E$503,Cash_Receipts_AR!$B$2:$B$503,A515)</f>
        <v>248.79</v>
      </c>
      <c r="H515" s="18" t="n">
        <f aca="false">F515-G515</f>
        <v>164.6</v>
      </c>
      <c r="I515" s="16" t="n">
        <f aca="false">IF(H515&lt;=0.01,0,MAX(Assumptions!$B$5-E515,0))</f>
        <v>219</v>
      </c>
      <c r="J515" s="16" t="str">
        <f aca="false">IF(H515&lt;=0.01,"Paid",IF(I515&lt;=30,"0-30",IF(I515&lt;=60,"31-60",IF(I515&lt;=90,"61-90","90+"))))</f>
        <v>90+</v>
      </c>
      <c r="K515" s="16" t="str">
        <f aca="false">IF(H515&lt;=0.01,"Paid",IF(G515&gt;0,"Partially Paid","Unpaid"))</f>
        <v>Partially Paid</v>
      </c>
    </row>
    <row r="516" customFormat="false" ht="15" hidden="false" customHeight="false" outlineLevel="0" collapsed="false">
      <c r="A516" s="16" t="str">
        <f aca="false">Customer_Invoices_AR!A513</f>
        <v>ARI60512</v>
      </c>
      <c r="B516" s="16" t="str">
        <f aca="false">Customer_Invoices_AR!B513</f>
        <v>C2024</v>
      </c>
      <c r="C516" s="16" t="str">
        <f aca="false">IFERROR(INDEX(Customer_Master!$B$2:$B$31,MATCH(B516,Customer_Master!$A$2:$A$31,0)),"Unknown Customer")</f>
        <v>Novak PLC</v>
      </c>
      <c r="D516" s="17" t="n">
        <f aca="false">Customer_Invoices_AR!C513</f>
        <v>45995</v>
      </c>
      <c r="E516" s="17" t="n">
        <f aca="false">Customer_Invoices_AR!E513</f>
        <v>46055</v>
      </c>
      <c r="F516" s="18" t="n">
        <f aca="false">Customer_Invoices_AR!D513</f>
        <v>2170.88</v>
      </c>
      <c r="G516" s="18" t="n">
        <f aca="false">SUMIFS(Cash_Receipts_AR!$E$2:$E$503,Cash_Receipts_AR!$B$2:$B$503,A516)</f>
        <v>1196.22</v>
      </c>
      <c r="H516" s="18" t="n">
        <f aca="false">F516-G516</f>
        <v>974.66</v>
      </c>
      <c r="I516" s="16" t="n">
        <f aca="false">IF(H516&lt;=0.01,0,MAX(Assumptions!$B$5-E516,0))</f>
        <v>179</v>
      </c>
      <c r="J516" s="16" t="str">
        <f aca="false">IF(H516&lt;=0.01,"Paid",IF(I516&lt;=30,"0-30",IF(I516&lt;=60,"31-60",IF(I516&lt;=90,"61-90","90+"))))</f>
        <v>90+</v>
      </c>
      <c r="K516" s="16" t="str">
        <f aca="false">IF(H516&lt;=0.01,"Paid",IF(G516&gt;0,"Partially Paid","Unpaid"))</f>
        <v>Partially Paid</v>
      </c>
    </row>
    <row r="517" customFormat="false" ht="15" hidden="false" customHeight="false" outlineLevel="0" collapsed="false">
      <c r="A517" s="16" t="str">
        <f aca="false">Customer_Invoices_AR!A514</f>
        <v>ARI60513</v>
      </c>
      <c r="B517" s="16" t="str">
        <f aca="false">Customer_Invoices_AR!B514</f>
        <v>C2026</v>
      </c>
      <c r="C517" s="16" t="str">
        <f aca="false">IFERROR(INDEX(Customer_Master!$B$2:$B$31,MATCH(B517,Customer_Master!$A$2:$A$31,0)),"Unknown Customer")</f>
        <v>Woods, Calhoun and Schmidt</v>
      </c>
      <c r="D517" s="17" t="n">
        <f aca="false">Customer_Invoices_AR!C514</f>
        <v>46116</v>
      </c>
      <c r="E517" s="17" t="n">
        <f aca="false">Customer_Invoices_AR!E514</f>
        <v>46176</v>
      </c>
      <c r="F517" s="18" t="n">
        <f aca="false">Customer_Invoices_AR!D514</f>
        <v>6596.62</v>
      </c>
      <c r="G517" s="18" t="n">
        <f aca="false">SUMIFS(Cash_Receipts_AR!$E$2:$E$503,Cash_Receipts_AR!$B$2:$B$503,A517)</f>
        <v>4763.32</v>
      </c>
      <c r="H517" s="18" t="n">
        <f aca="false">F517-G517</f>
        <v>1833.3</v>
      </c>
      <c r="I517" s="16" t="n">
        <f aca="false">IF(H517&lt;=0.01,0,MAX(Assumptions!$B$5-E517,0))</f>
        <v>58</v>
      </c>
      <c r="J517" s="16" t="str">
        <f aca="false">IF(H517&lt;=0.01,"Paid",IF(I517&lt;=30,"0-30",IF(I517&lt;=60,"31-60",IF(I517&lt;=90,"61-90","90+"))))</f>
        <v>31-60</v>
      </c>
      <c r="K517" s="16" t="str">
        <f aca="false">IF(H517&lt;=0.01,"Paid",IF(G517&gt;0,"Partially Paid","Unpaid"))</f>
        <v>Partially Paid</v>
      </c>
    </row>
    <row r="518" customFormat="false" ht="15" hidden="false" customHeight="false" outlineLevel="0" collapsed="false">
      <c r="A518" s="16" t="str">
        <f aca="false">Customer_Invoices_AR!A515</f>
        <v>ARI60514</v>
      </c>
      <c r="B518" s="16" t="str">
        <f aca="false">Customer_Invoices_AR!B515</f>
        <v>C2010</v>
      </c>
      <c r="C518" s="16" t="str">
        <f aca="false">IFERROR(INDEX(Customer_Master!$B$2:$B$31,MATCH(B518,Customer_Master!$A$2:$A$31,0)),"Unknown Customer")</f>
        <v>Brown, Valdez and Lucas</v>
      </c>
      <c r="D518" s="17" t="n">
        <f aca="false">Customer_Invoices_AR!C515</f>
        <v>45738</v>
      </c>
      <c r="E518" s="17" t="n">
        <f aca="false">Customer_Invoices_AR!E515</f>
        <v>45798</v>
      </c>
      <c r="F518" s="18" t="n">
        <f aca="false">Customer_Invoices_AR!D515</f>
        <v>739.89</v>
      </c>
      <c r="G518" s="18" t="n">
        <f aca="false">SUMIFS(Cash_Receipts_AR!$E$2:$E$503,Cash_Receipts_AR!$B$2:$B$503,A518)</f>
        <v>0</v>
      </c>
      <c r="H518" s="18" t="n">
        <f aca="false">F518-G518</f>
        <v>739.89</v>
      </c>
      <c r="I518" s="16" t="n">
        <f aca="false">IF(H518&lt;=0.01,0,MAX(Assumptions!$B$5-E518,0))</f>
        <v>436</v>
      </c>
      <c r="J518" s="16" t="str">
        <f aca="false">IF(H518&lt;=0.01,"Paid",IF(I518&lt;=30,"0-30",IF(I518&lt;=60,"31-60",IF(I518&lt;=90,"61-90","90+"))))</f>
        <v>90+</v>
      </c>
      <c r="K518" s="16" t="str">
        <f aca="false">IF(H518&lt;=0.01,"Paid",IF(G518&gt;0,"Partially Paid","Unpaid"))</f>
        <v>Unpaid</v>
      </c>
    </row>
    <row r="519" customFormat="false" ht="15" hidden="false" customHeight="false" outlineLevel="0" collapsed="false">
      <c r="A519" s="16" t="str">
        <f aca="false">Customer_Invoices_AR!A516</f>
        <v>ARI60515</v>
      </c>
      <c r="B519" s="16" t="str">
        <f aca="false">Customer_Invoices_AR!B516</f>
        <v>C2016</v>
      </c>
      <c r="C519" s="16" t="str">
        <f aca="false">IFERROR(INDEX(Customer_Master!$B$2:$B$31,MATCH(B519,Customer_Master!$A$2:$A$31,0)),"Unknown Customer")</f>
        <v>Williams PLC</v>
      </c>
      <c r="D519" s="17" t="n">
        <f aca="false">Customer_Invoices_AR!C516</f>
        <v>46028</v>
      </c>
      <c r="E519" s="17" t="n">
        <f aca="false">Customer_Invoices_AR!E516</f>
        <v>46058</v>
      </c>
      <c r="F519" s="18" t="n">
        <f aca="false">Customer_Invoices_AR!D516</f>
        <v>2149.55</v>
      </c>
      <c r="G519" s="18" t="n">
        <f aca="false">SUMIFS(Cash_Receipts_AR!$E$2:$E$503,Cash_Receipts_AR!$B$2:$B$503,A519)</f>
        <v>2149.55</v>
      </c>
      <c r="H519" s="18" t="n">
        <f aca="false">F519-G519</f>
        <v>0</v>
      </c>
      <c r="I519" s="16" t="n">
        <f aca="false">IF(H519&lt;=0.01,0,MAX(Assumptions!$B$5-E519,0))</f>
        <v>0</v>
      </c>
      <c r="J519" s="16" t="str">
        <f aca="false">IF(H519&lt;=0.01,"Paid",IF(I519&lt;=30,"0-30",IF(I519&lt;=60,"31-60",IF(I519&lt;=90,"61-90","90+"))))</f>
        <v>Paid</v>
      </c>
      <c r="K519" s="16" t="str">
        <f aca="false">IF(H519&lt;=0.01,"Paid",IF(G519&gt;0,"Partially Paid","Unpaid"))</f>
        <v>Paid</v>
      </c>
    </row>
    <row r="520" customFormat="false" ht="15" hidden="false" customHeight="false" outlineLevel="0" collapsed="false">
      <c r="A520" s="16" t="str">
        <f aca="false">Customer_Invoices_AR!A517</f>
        <v>ARI60516</v>
      </c>
      <c r="B520" s="16" t="str">
        <f aca="false">Customer_Invoices_AR!B517</f>
        <v>C2027</v>
      </c>
      <c r="C520" s="16" t="str">
        <f aca="false">IFERROR(INDEX(Customer_Master!$B$2:$B$31,MATCH(B520,Customer_Master!$A$2:$A$31,0)),"Unknown Customer")</f>
        <v>Yu Inc</v>
      </c>
      <c r="D520" s="17" t="n">
        <f aca="false">Customer_Invoices_AR!C517</f>
        <v>45675</v>
      </c>
      <c r="E520" s="17" t="n">
        <f aca="false">Customer_Invoices_AR!E517</f>
        <v>45735</v>
      </c>
      <c r="F520" s="18" t="n">
        <f aca="false">Customer_Invoices_AR!D517</f>
        <v>7147.79</v>
      </c>
      <c r="G520" s="18" t="n">
        <f aca="false">SUMIFS(Cash_Receipts_AR!$E$2:$E$503,Cash_Receipts_AR!$B$2:$B$503,A520)</f>
        <v>0</v>
      </c>
      <c r="H520" s="18" t="n">
        <f aca="false">F520-G520</f>
        <v>7147.79</v>
      </c>
      <c r="I520" s="16" t="n">
        <f aca="false">IF(H520&lt;=0.01,0,MAX(Assumptions!$B$5-E520,0))</f>
        <v>499</v>
      </c>
      <c r="J520" s="16" t="str">
        <f aca="false">IF(H520&lt;=0.01,"Paid",IF(I520&lt;=30,"0-30",IF(I520&lt;=60,"31-60",IF(I520&lt;=90,"61-90","90+"))))</f>
        <v>90+</v>
      </c>
      <c r="K520" s="16" t="str">
        <f aca="false">IF(H520&lt;=0.01,"Paid",IF(G520&gt;0,"Partially Paid","Unpaid"))</f>
        <v>Unpaid</v>
      </c>
    </row>
    <row r="521" customFormat="false" ht="15" hidden="false" customHeight="false" outlineLevel="0" collapsed="false">
      <c r="A521" s="16" t="str">
        <f aca="false">Customer_Invoices_AR!A518</f>
        <v>ARI60517</v>
      </c>
      <c r="B521" s="16" t="str">
        <f aca="false">Customer_Invoices_AR!B518</f>
        <v>C2030</v>
      </c>
      <c r="C521" s="16" t="str">
        <f aca="false">IFERROR(INDEX(Customer_Master!$B$2:$B$31,MATCH(B521,Customer_Master!$A$2:$A$31,0)),"Unknown Customer")</f>
        <v>Sanchez, Wheeler and Harvey</v>
      </c>
      <c r="D521" s="17" t="n">
        <f aca="false">Customer_Invoices_AR!C518</f>
        <v>46174</v>
      </c>
      <c r="E521" s="17" t="n">
        <f aca="false">Customer_Invoices_AR!E518</f>
        <v>46189</v>
      </c>
      <c r="F521" s="18" t="n">
        <f aca="false">Customer_Invoices_AR!D518</f>
        <v>12379.16</v>
      </c>
      <c r="G521" s="18" t="n">
        <f aca="false">SUMIFS(Cash_Receipts_AR!$E$2:$E$503,Cash_Receipts_AR!$B$2:$B$503,A521)</f>
        <v>12379.16</v>
      </c>
      <c r="H521" s="18" t="n">
        <f aca="false">F521-G521</f>
        <v>0</v>
      </c>
      <c r="I521" s="16" t="n">
        <f aca="false">IF(H521&lt;=0.01,0,MAX(Assumptions!$B$5-E521,0))</f>
        <v>0</v>
      </c>
      <c r="J521" s="16" t="str">
        <f aca="false">IF(H521&lt;=0.01,"Paid",IF(I521&lt;=30,"0-30",IF(I521&lt;=60,"31-60",IF(I521&lt;=90,"61-90","90+"))))</f>
        <v>Paid</v>
      </c>
      <c r="K521" s="16" t="str">
        <f aca="false">IF(H521&lt;=0.01,"Paid",IF(G521&gt;0,"Partially Paid","Unpaid"))</f>
        <v>Paid</v>
      </c>
    </row>
    <row r="522" customFormat="false" ht="15" hidden="false" customHeight="false" outlineLevel="0" collapsed="false">
      <c r="A522" s="16" t="str">
        <f aca="false">Customer_Invoices_AR!A519</f>
        <v>ARI60518</v>
      </c>
      <c r="B522" s="16" t="str">
        <f aca="false">Customer_Invoices_AR!B519</f>
        <v>C2014</v>
      </c>
      <c r="C522" s="16" t="str">
        <f aca="false">IFERROR(INDEX(Customer_Master!$B$2:$B$31,MATCH(B522,Customer_Master!$A$2:$A$31,0)),"Unknown Customer")</f>
        <v>Baxter Inc</v>
      </c>
      <c r="D522" s="17" t="n">
        <f aca="false">Customer_Invoices_AR!C519</f>
        <v>45717</v>
      </c>
      <c r="E522" s="17" t="n">
        <f aca="false">Customer_Invoices_AR!E519</f>
        <v>45747</v>
      </c>
      <c r="F522" s="18" t="n">
        <f aca="false">Customer_Invoices_AR!D519</f>
        <v>2026.69</v>
      </c>
      <c r="G522" s="18" t="n">
        <f aca="false">SUMIFS(Cash_Receipts_AR!$E$2:$E$503,Cash_Receipts_AR!$B$2:$B$503,A522)</f>
        <v>0</v>
      </c>
      <c r="H522" s="18" t="n">
        <f aca="false">F522-G522</f>
        <v>2026.69</v>
      </c>
      <c r="I522" s="16" t="n">
        <f aca="false">IF(H522&lt;=0.01,0,MAX(Assumptions!$B$5-E522,0))</f>
        <v>487</v>
      </c>
      <c r="J522" s="16" t="str">
        <f aca="false">IF(H522&lt;=0.01,"Paid",IF(I522&lt;=30,"0-30",IF(I522&lt;=60,"31-60",IF(I522&lt;=90,"61-90","90+"))))</f>
        <v>90+</v>
      </c>
      <c r="K522" s="16" t="str">
        <f aca="false">IF(H522&lt;=0.01,"Paid",IF(G522&gt;0,"Partially Paid","Unpaid"))</f>
        <v>Unpaid</v>
      </c>
    </row>
    <row r="523" customFormat="false" ht="15" hidden="false" customHeight="false" outlineLevel="0" collapsed="false">
      <c r="A523" s="16" t="str">
        <f aca="false">Customer_Invoices_AR!A520</f>
        <v>ARI60519</v>
      </c>
      <c r="B523" s="16" t="str">
        <f aca="false">Customer_Invoices_AR!B520</f>
        <v>C2011</v>
      </c>
      <c r="C523" s="16" t="str">
        <f aca="false">IFERROR(INDEX(Customer_Master!$B$2:$B$31,MATCH(B523,Customer_Master!$A$2:$A$31,0)),"Unknown Customer")</f>
        <v>Powell LLC</v>
      </c>
      <c r="D523" s="17" t="n">
        <f aca="false">Customer_Invoices_AR!C520</f>
        <v>45668</v>
      </c>
      <c r="E523" s="17" t="n">
        <f aca="false">Customer_Invoices_AR!E520</f>
        <v>45698</v>
      </c>
      <c r="F523" s="18" t="n">
        <f aca="false">Customer_Invoices_AR!D520</f>
        <v>4188.51</v>
      </c>
      <c r="G523" s="18" t="n">
        <f aca="false">SUMIFS(Cash_Receipts_AR!$E$2:$E$503,Cash_Receipts_AR!$B$2:$B$503,A523)</f>
        <v>4188.51</v>
      </c>
      <c r="H523" s="18" t="n">
        <f aca="false">F523-G523</f>
        <v>0</v>
      </c>
      <c r="I523" s="16" t="n">
        <f aca="false">IF(H523&lt;=0.01,0,MAX(Assumptions!$B$5-E523,0))</f>
        <v>0</v>
      </c>
      <c r="J523" s="16" t="str">
        <f aca="false">IF(H523&lt;=0.01,"Paid",IF(I523&lt;=30,"0-30",IF(I523&lt;=60,"31-60",IF(I523&lt;=90,"61-90","90+"))))</f>
        <v>Paid</v>
      </c>
      <c r="K523" s="16" t="str">
        <f aca="false">IF(H523&lt;=0.01,"Paid",IF(G523&gt;0,"Partially Paid","Unpaid"))</f>
        <v>Paid</v>
      </c>
    </row>
    <row r="524" customFormat="false" ht="15" hidden="false" customHeight="false" outlineLevel="0" collapsed="false">
      <c r="A524" s="16" t="str">
        <f aca="false">Customer_Invoices_AR!A521</f>
        <v>ARI60520</v>
      </c>
      <c r="B524" s="16" t="str">
        <f aca="false">Customer_Invoices_AR!B521</f>
        <v>C2017</v>
      </c>
      <c r="C524" s="16" t="str">
        <f aca="false">IFERROR(INDEX(Customer_Master!$B$2:$B$31,MATCH(B524,Customer_Master!$A$2:$A$31,0)),"Unknown Customer")</f>
        <v>Novak and Sons</v>
      </c>
      <c r="D524" s="17" t="n">
        <f aca="false">Customer_Invoices_AR!C521</f>
        <v>45828</v>
      </c>
      <c r="E524" s="17" t="n">
        <f aca="false">Customer_Invoices_AR!E521</f>
        <v>45843</v>
      </c>
      <c r="F524" s="18" t="n">
        <f aca="false">Customer_Invoices_AR!D521</f>
        <v>1240.25</v>
      </c>
      <c r="G524" s="18" t="n">
        <f aca="false">SUMIFS(Cash_Receipts_AR!$E$2:$E$503,Cash_Receipts_AR!$B$2:$B$503,A524)</f>
        <v>1240.25</v>
      </c>
      <c r="H524" s="18" t="n">
        <f aca="false">F524-G524</f>
        <v>0</v>
      </c>
      <c r="I524" s="16" t="n">
        <f aca="false">IF(H524&lt;=0.01,0,MAX(Assumptions!$B$5-E524,0))</f>
        <v>0</v>
      </c>
      <c r="J524" s="16" t="str">
        <f aca="false">IF(H524&lt;=0.01,"Paid",IF(I524&lt;=30,"0-30",IF(I524&lt;=60,"31-60",IF(I524&lt;=90,"61-90","90+"))))</f>
        <v>Paid</v>
      </c>
      <c r="K524" s="16" t="str">
        <f aca="false">IF(H524&lt;=0.01,"Paid",IF(G524&gt;0,"Partially Paid","Unpaid"))</f>
        <v>Paid</v>
      </c>
    </row>
    <row r="525" customFormat="false" ht="15" hidden="false" customHeight="false" outlineLevel="0" collapsed="false">
      <c r="A525" s="16" t="str">
        <f aca="false">Customer_Invoices_AR!A522</f>
        <v>ARI60521</v>
      </c>
      <c r="B525" s="16" t="str">
        <f aca="false">Customer_Invoices_AR!B522</f>
        <v>C2021</v>
      </c>
      <c r="C525" s="16" t="str">
        <f aca="false">IFERROR(INDEX(Customer_Master!$B$2:$B$31,MATCH(B525,Customer_Master!$A$2:$A$31,0)),"Unknown Customer")</f>
        <v>House-Glover</v>
      </c>
      <c r="D525" s="17" t="n">
        <f aca="false">Customer_Invoices_AR!C522</f>
        <v>45740</v>
      </c>
      <c r="E525" s="17" t="n">
        <f aca="false">Customer_Invoices_AR!E522</f>
        <v>45800</v>
      </c>
      <c r="F525" s="18" t="n">
        <f aca="false">Customer_Invoices_AR!D522</f>
        <v>4141.83</v>
      </c>
      <c r="G525" s="18" t="n">
        <f aca="false">SUMIFS(Cash_Receipts_AR!$E$2:$E$503,Cash_Receipts_AR!$B$2:$B$503,A525)</f>
        <v>4141.83</v>
      </c>
      <c r="H525" s="18" t="n">
        <f aca="false">F525-G525</f>
        <v>0</v>
      </c>
      <c r="I525" s="16" t="n">
        <f aca="false">IF(H525&lt;=0.01,0,MAX(Assumptions!$B$5-E525,0))</f>
        <v>0</v>
      </c>
      <c r="J525" s="16" t="str">
        <f aca="false">IF(H525&lt;=0.01,"Paid",IF(I525&lt;=30,"0-30",IF(I525&lt;=60,"31-60",IF(I525&lt;=90,"61-90","90+"))))</f>
        <v>Paid</v>
      </c>
      <c r="K525" s="16" t="str">
        <f aca="false">IF(H525&lt;=0.01,"Paid",IF(G525&gt;0,"Partially Paid","Unpaid"))</f>
        <v>Paid</v>
      </c>
    </row>
    <row r="526" customFormat="false" ht="15" hidden="false" customHeight="false" outlineLevel="0" collapsed="false">
      <c r="A526" s="16" t="str">
        <f aca="false">Customer_Invoices_AR!A523</f>
        <v>ARI60522</v>
      </c>
      <c r="B526" s="16" t="str">
        <f aca="false">Customer_Invoices_AR!B523</f>
        <v>C2010</v>
      </c>
      <c r="C526" s="16" t="str">
        <f aca="false">IFERROR(INDEX(Customer_Master!$B$2:$B$31,MATCH(B526,Customer_Master!$A$2:$A$31,0)),"Unknown Customer")</f>
        <v>Brown, Valdez and Lucas</v>
      </c>
      <c r="D526" s="17" t="n">
        <f aca="false">Customer_Invoices_AR!C523</f>
        <v>46034</v>
      </c>
      <c r="E526" s="17" t="n">
        <f aca="false">Customer_Invoices_AR!E523</f>
        <v>46094</v>
      </c>
      <c r="F526" s="18" t="n">
        <f aca="false">Customer_Invoices_AR!D523</f>
        <v>1132.9</v>
      </c>
      <c r="G526" s="18" t="n">
        <f aca="false">SUMIFS(Cash_Receipts_AR!$E$2:$E$503,Cash_Receipts_AR!$B$2:$B$503,A526)</f>
        <v>1132.9</v>
      </c>
      <c r="H526" s="18" t="n">
        <f aca="false">F526-G526</f>
        <v>0</v>
      </c>
      <c r="I526" s="16" t="n">
        <f aca="false">IF(H526&lt;=0.01,0,MAX(Assumptions!$B$5-E526,0))</f>
        <v>0</v>
      </c>
      <c r="J526" s="16" t="str">
        <f aca="false">IF(H526&lt;=0.01,"Paid",IF(I526&lt;=30,"0-30",IF(I526&lt;=60,"31-60",IF(I526&lt;=90,"61-90","90+"))))</f>
        <v>Paid</v>
      </c>
      <c r="K526" s="16" t="str">
        <f aca="false">IF(H526&lt;=0.01,"Paid",IF(G526&gt;0,"Partially Paid","Unpaid"))</f>
        <v>Paid</v>
      </c>
    </row>
    <row r="527" customFormat="false" ht="15" hidden="false" customHeight="false" outlineLevel="0" collapsed="false">
      <c r="A527" s="16" t="str">
        <f aca="false">Customer_Invoices_AR!A524</f>
        <v>ARI60523</v>
      </c>
      <c r="B527" s="16" t="str">
        <f aca="false">Customer_Invoices_AR!B524</f>
        <v>C2017</v>
      </c>
      <c r="C527" s="16" t="str">
        <f aca="false">IFERROR(INDEX(Customer_Master!$B$2:$B$31,MATCH(B527,Customer_Master!$A$2:$A$31,0)),"Unknown Customer")</f>
        <v>Novak and Sons</v>
      </c>
      <c r="D527" s="17" t="n">
        <f aca="false">Customer_Invoices_AR!C524</f>
        <v>45881</v>
      </c>
      <c r="E527" s="17" t="n">
        <f aca="false">Customer_Invoices_AR!E524</f>
        <v>45896</v>
      </c>
      <c r="F527" s="18" t="n">
        <f aca="false">Customer_Invoices_AR!D524</f>
        <v>3358.08</v>
      </c>
      <c r="G527" s="18" t="n">
        <f aca="false">SUMIFS(Cash_Receipts_AR!$E$2:$E$503,Cash_Receipts_AR!$B$2:$B$503,A527)</f>
        <v>1737.62</v>
      </c>
      <c r="H527" s="18" t="n">
        <f aca="false">F527-G527</f>
        <v>1620.46</v>
      </c>
      <c r="I527" s="16" t="n">
        <f aca="false">IF(H527&lt;=0.01,0,MAX(Assumptions!$B$5-E527,0))</f>
        <v>338</v>
      </c>
      <c r="J527" s="16" t="str">
        <f aca="false">IF(H527&lt;=0.01,"Paid",IF(I527&lt;=30,"0-30",IF(I527&lt;=60,"31-60",IF(I527&lt;=90,"61-90","90+"))))</f>
        <v>90+</v>
      </c>
      <c r="K527" s="16" t="str">
        <f aca="false">IF(H527&lt;=0.01,"Paid",IF(G527&gt;0,"Partially Paid","Unpaid"))</f>
        <v>Partially Paid</v>
      </c>
    </row>
    <row r="528" customFormat="false" ht="15" hidden="false" customHeight="false" outlineLevel="0" collapsed="false">
      <c r="A528" s="16" t="str">
        <f aca="false">Customer_Invoices_AR!A525</f>
        <v>ARI60524</v>
      </c>
      <c r="B528" s="16" t="str">
        <f aca="false">Customer_Invoices_AR!B525</f>
        <v>C2021</v>
      </c>
      <c r="C528" s="16" t="str">
        <f aca="false">IFERROR(INDEX(Customer_Master!$B$2:$B$31,MATCH(B528,Customer_Master!$A$2:$A$31,0)),"Unknown Customer")</f>
        <v>House-Glover</v>
      </c>
      <c r="D528" s="17" t="n">
        <f aca="false">Customer_Invoices_AR!C525</f>
        <v>46080</v>
      </c>
      <c r="E528" s="17" t="n">
        <f aca="false">Customer_Invoices_AR!E525</f>
        <v>46140</v>
      </c>
      <c r="F528" s="18" t="n">
        <f aca="false">Customer_Invoices_AR!D525</f>
        <v>5526.91</v>
      </c>
      <c r="G528" s="18" t="n">
        <f aca="false">SUMIFS(Cash_Receipts_AR!$E$2:$E$503,Cash_Receipts_AR!$B$2:$B$503,A528)</f>
        <v>5526.91</v>
      </c>
      <c r="H528" s="18" t="n">
        <f aca="false">F528-G528</f>
        <v>0</v>
      </c>
      <c r="I528" s="16" t="n">
        <f aca="false">IF(H528&lt;=0.01,0,MAX(Assumptions!$B$5-E528,0))</f>
        <v>0</v>
      </c>
      <c r="J528" s="16" t="str">
        <f aca="false">IF(H528&lt;=0.01,"Paid",IF(I528&lt;=30,"0-30",IF(I528&lt;=60,"31-60",IF(I528&lt;=90,"61-90","90+"))))</f>
        <v>Paid</v>
      </c>
      <c r="K528" s="16" t="str">
        <f aca="false">IF(H528&lt;=0.01,"Paid",IF(G528&gt;0,"Partially Paid","Unpaid"))</f>
        <v>Paid</v>
      </c>
    </row>
    <row r="529" customFormat="false" ht="15" hidden="false" customHeight="false" outlineLevel="0" collapsed="false">
      <c r="A529" s="16" t="str">
        <f aca="false">Customer_Invoices_AR!A526</f>
        <v>ARI60525</v>
      </c>
      <c r="B529" s="16" t="str">
        <f aca="false">Customer_Invoices_AR!B526</f>
        <v>C2012</v>
      </c>
      <c r="C529" s="16" t="str">
        <f aca="false">IFERROR(INDEX(Customer_Master!$B$2:$B$31,MATCH(B529,Customer_Master!$A$2:$A$31,0)),"Unknown Customer")</f>
        <v>Wright and Sons</v>
      </c>
      <c r="D529" s="17" t="n">
        <f aca="false">Customer_Invoices_AR!C526</f>
        <v>46159</v>
      </c>
      <c r="E529" s="17" t="n">
        <f aca="false">Customer_Invoices_AR!E526</f>
        <v>46204</v>
      </c>
      <c r="F529" s="18" t="n">
        <f aca="false">Customer_Invoices_AR!D526</f>
        <v>3293.29</v>
      </c>
      <c r="G529" s="18" t="n">
        <f aca="false">SUMIFS(Cash_Receipts_AR!$E$2:$E$503,Cash_Receipts_AR!$B$2:$B$503,A529)</f>
        <v>3293.29</v>
      </c>
      <c r="H529" s="18" t="n">
        <f aca="false">F529-G529</f>
        <v>0</v>
      </c>
      <c r="I529" s="16" t="n">
        <f aca="false">IF(H529&lt;=0.01,0,MAX(Assumptions!$B$5-E529,0))</f>
        <v>0</v>
      </c>
      <c r="J529" s="16" t="str">
        <f aca="false">IF(H529&lt;=0.01,"Paid",IF(I529&lt;=30,"0-30",IF(I529&lt;=60,"31-60",IF(I529&lt;=90,"61-90","90+"))))</f>
        <v>Paid</v>
      </c>
      <c r="K529" s="16" t="str">
        <f aca="false">IF(H529&lt;=0.01,"Paid",IF(G529&gt;0,"Partially Paid","Unpaid"))</f>
        <v>Paid</v>
      </c>
    </row>
    <row r="530" customFormat="false" ht="15" hidden="false" customHeight="false" outlineLevel="0" collapsed="false">
      <c r="A530" s="16" t="str">
        <f aca="false">Customer_Invoices_AR!A527</f>
        <v>ARI60526</v>
      </c>
      <c r="B530" s="16" t="str">
        <f aca="false">Customer_Invoices_AR!B527</f>
        <v>C2010</v>
      </c>
      <c r="C530" s="16" t="str">
        <f aca="false">IFERROR(INDEX(Customer_Master!$B$2:$B$31,MATCH(B530,Customer_Master!$A$2:$A$31,0)),"Unknown Customer")</f>
        <v>Brown, Valdez and Lucas</v>
      </c>
      <c r="D530" s="17" t="n">
        <f aca="false">Customer_Invoices_AR!C527</f>
        <v>46133</v>
      </c>
      <c r="E530" s="17" t="n">
        <f aca="false">Customer_Invoices_AR!E527</f>
        <v>46193</v>
      </c>
      <c r="F530" s="18" t="n">
        <f aca="false">Customer_Invoices_AR!D527</f>
        <v>5673.44</v>
      </c>
      <c r="G530" s="18" t="n">
        <f aca="false">SUMIFS(Cash_Receipts_AR!$E$2:$E$503,Cash_Receipts_AR!$B$2:$B$503,A530)</f>
        <v>5673.44</v>
      </c>
      <c r="H530" s="18" t="n">
        <f aca="false">F530-G530</f>
        <v>0</v>
      </c>
      <c r="I530" s="16" t="n">
        <f aca="false">IF(H530&lt;=0.01,0,MAX(Assumptions!$B$5-E530,0))</f>
        <v>0</v>
      </c>
      <c r="J530" s="16" t="str">
        <f aca="false">IF(H530&lt;=0.01,"Paid",IF(I530&lt;=30,"0-30",IF(I530&lt;=60,"31-60",IF(I530&lt;=90,"61-90","90+"))))</f>
        <v>Paid</v>
      </c>
      <c r="K530" s="16" t="str">
        <f aca="false">IF(H530&lt;=0.01,"Paid",IF(G530&gt;0,"Partially Paid","Unpaid"))</f>
        <v>Paid</v>
      </c>
    </row>
    <row r="531" customFormat="false" ht="15" hidden="false" customHeight="false" outlineLevel="0" collapsed="false">
      <c r="A531" s="16" t="str">
        <f aca="false">Customer_Invoices_AR!A528</f>
        <v>ARI60527</v>
      </c>
      <c r="B531" s="16" t="str">
        <f aca="false">Customer_Invoices_AR!B528</f>
        <v>C2012</v>
      </c>
      <c r="C531" s="16" t="str">
        <f aca="false">IFERROR(INDEX(Customer_Master!$B$2:$B$31,MATCH(B531,Customer_Master!$A$2:$A$31,0)),"Unknown Customer")</f>
        <v>Wright and Sons</v>
      </c>
      <c r="D531" s="17" t="n">
        <f aca="false">Customer_Invoices_AR!C528</f>
        <v>46059</v>
      </c>
      <c r="E531" s="17" t="n">
        <f aca="false">Customer_Invoices_AR!E528</f>
        <v>46104</v>
      </c>
      <c r="F531" s="18" t="n">
        <f aca="false">Customer_Invoices_AR!D528</f>
        <v>2578.69</v>
      </c>
      <c r="G531" s="18" t="n">
        <f aca="false">SUMIFS(Cash_Receipts_AR!$E$2:$E$503,Cash_Receipts_AR!$B$2:$B$503,A531)</f>
        <v>0</v>
      </c>
      <c r="H531" s="18" t="n">
        <f aca="false">F531-G531</f>
        <v>2578.69</v>
      </c>
      <c r="I531" s="16" t="n">
        <f aca="false">IF(H531&lt;=0.01,0,MAX(Assumptions!$B$5-E531,0))</f>
        <v>130</v>
      </c>
      <c r="J531" s="16" t="str">
        <f aca="false">IF(H531&lt;=0.01,"Paid",IF(I531&lt;=30,"0-30",IF(I531&lt;=60,"31-60",IF(I531&lt;=90,"61-90","90+"))))</f>
        <v>90+</v>
      </c>
      <c r="K531" s="16" t="str">
        <f aca="false">IF(H531&lt;=0.01,"Paid",IF(G531&gt;0,"Partially Paid","Unpaid"))</f>
        <v>Unpaid</v>
      </c>
    </row>
    <row r="532" customFormat="false" ht="15" hidden="false" customHeight="false" outlineLevel="0" collapsed="false">
      <c r="A532" s="16" t="str">
        <f aca="false">Customer_Invoices_AR!A529</f>
        <v>ARI60528</v>
      </c>
      <c r="B532" s="16" t="str">
        <f aca="false">Customer_Invoices_AR!B529</f>
        <v>C2014</v>
      </c>
      <c r="C532" s="16" t="str">
        <f aca="false">IFERROR(INDEX(Customer_Master!$B$2:$B$31,MATCH(B532,Customer_Master!$A$2:$A$31,0)),"Unknown Customer")</f>
        <v>Baxter Inc</v>
      </c>
      <c r="D532" s="17" t="n">
        <f aca="false">Customer_Invoices_AR!C529</f>
        <v>45691</v>
      </c>
      <c r="E532" s="17" t="n">
        <f aca="false">Customer_Invoices_AR!E529</f>
        <v>45721</v>
      </c>
      <c r="F532" s="18" t="n">
        <f aca="false">Customer_Invoices_AR!D529</f>
        <v>167.65</v>
      </c>
      <c r="G532" s="18" t="n">
        <f aca="false">SUMIFS(Cash_Receipts_AR!$E$2:$E$503,Cash_Receipts_AR!$B$2:$B$503,A532)</f>
        <v>167.65</v>
      </c>
      <c r="H532" s="18" t="n">
        <f aca="false">F532-G532</f>
        <v>0</v>
      </c>
      <c r="I532" s="16" t="n">
        <f aca="false">IF(H532&lt;=0.01,0,MAX(Assumptions!$B$5-E532,0))</f>
        <v>0</v>
      </c>
      <c r="J532" s="16" t="str">
        <f aca="false">IF(H532&lt;=0.01,"Paid",IF(I532&lt;=30,"0-30",IF(I532&lt;=60,"31-60",IF(I532&lt;=90,"61-90","90+"))))</f>
        <v>Paid</v>
      </c>
      <c r="K532" s="16" t="str">
        <f aca="false">IF(H532&lt;=0.01,"Paid",IF(G532&gt;0,"Partially Paid","Unpaid"))</f>
        <v>Paid</v>
      </c>
    </row>
    <row r="533" customFormat="false" ht="15" hidden="false" customHeight="false" outlineLevel="0" collapsed="false">
      <c r="A533" s="16" t="str">
        <f aca="false">Customer_Invoices_AR!A530</f>
        <v>ARI60529</v>
      </c>
      <c r="B533" s="16" t="str">
        <f aca="false">Customer_Invoices_AR!B530</f>
        <v>C2030</v>
      </c>
      <c r="C533" s="16" t="str">
        <f aca="false">IFERROR(INDEX(Customer_Master!$B$2:$B$31,MATCH(B533,Customer_Master!$A$2:$A$31,0)),"Unknown Customer")</f>
        <v>Sanchez, Wheeler and Harvey</v>
      </c>
      <c r="D533" s="17" t="n">
        <f aca="false">Customer_Invoices_AR!C530</f>
        <v>45733</v>
      </c>
      <c r="E533" s="17" t="n">
        <f aca="false">Customer_Invoices_AR!E530</f>
        <v>45748</v>
      </c>
      <c r="F533" s="18" t="n">
        <f aca="false">Customer_Invoices_AR!D530</f>
        <v>8207.3</v>
      </c>
      <c r="G533" s="18" t="n">
        <f aca="false">SUMIFS(Cash_Receipts_AR!$E$2:$E$503,Cash_Receipts_AR!$B$2:$B$503,A533)</f>
        <v>8207.3</v>
      </c>
      <c r="H533" s="18" t="n">
        <f aca="false">F533-G533</f>
        <v>0</v>
      </c>
      <c r="I533" s="16" t="n">
        <f aca="false">IF(H533&lt;=0.01,0,MAX(Assumptions!$B$5-E533,0))</f>
        <v>0</v>
      </c>
      <c r="J533" s="16" t="str">
        <f aca="false">IF(H533&lt;=0.01,"Paid",IF(I533&lt;=30,"0-30",IF(I533&lt;=60,"31-60",IF(I533&lt;=90,"61-90","90+"))))</f>
        <v>Paid</v>
      </c>
      <c r="K533" s="16" t="str">
        <f aca="false">IF(H533&lt;=0.01,"Paid",IF(G533&gt;0,"Partially Paid","Unpaid"))</f>
        <v>Paid</v>
      </c>
    </row>
    <row r="534" customFormat="false" ht="15" hidden="false" customHeight="false" outlineLevel="0" collapsed="false">
      <c r="A534" s="16" t="str">
        <f aca="false">Customer_Invoices_AR!A531</f>
        <v>ARI60530</v>
      </c>
      <c r="B534" s="16" t="str">
        <f aca="false">Customer_Invoices_AR!B531</f>
        <v>C2030</v>
      </c>
      <c r="C534" s="16" t="str">
        <f aca="false">IFERROR(INDEX(Customer_Master!$B$2:$B$31,MATCH(B534,Customer_Master!$A$2:$A$31,0)),"Unknown Customer")</f>
        <v>Sanchez, Wheeler and Harvey</v>
      </c>
      <c r="D534" s="17" t="n">
        <f aca="false">Customer_Invoices_AR!C531</f>
        <v>45771</v>
      </c>
      <c r="E534" s="17" t="n">
        <f aca="false">Customer_Invoices_AR!E531</f>
        <v>45786</v>
      </c>
      <c r="F534" s="18" t="n">
        <f aca="false">Customer_Invoices_AR!D531</f>
        <v>10226.07</v>
      </c>
      <c r="G534" s="18" t="n">
        <f aca="false">SUMIFS(Cash_Receipts_AR!$E$2:$E$503,Cash_Receipts_AR!$B$2:$B$503,A534)</f>
        <v>10226.07</v>
      </c>
      <c r="H534" s="18" t="n">
        <f aca="false">F534-G534</f>
        <v>0</v>
      </c>
      <c r="I534" s="16" t="n">
        <f aca="false">IF(H534&lt;=0.01,0,MAX(Assumptions!$B$5-E534,0))</f>
        <v>0</v>
      </c>
      <c r="J534" s="16" t="str">
        <f aca="false">IF(H534&lt;=0.01,"Paid",IF(I534&lt;=30,"0-30",IF(I534&lt;=60,"31-60",IF(I534&lt;=90,"61-90","90+"))))</f>
        <v>Paid</v>
      </c>
      <c r="K534" s="16" t="str">
        <f aca="false">IF(H534&lt;=0.01,"Paid",IF(G534&gt;0,"Partially Paid","Unpaid"))</f>
        <v>Paid</v>
      </c>
    </row>
    <row r="535" customFormat="false" ht="15" hidden="false" customHeight="false" outlineLevel="0" collapsed="false">
      <c r="A535" s="16" t="str">
        <f aca="false">Customer_Invoices_AR!A532</f>
        <v>ARI60531</v>
      </c>
      <c r="B535" s="16" t="str">
        <f aca="false">Customer_Invoices_AR!B532</f>
        <v>C2005</v>
      </c>
      <c r="C535" s="16" t="str">
        <f aca="false">IFERROR(INDEX(Customer_Master!$B$2:$B$31,MATCH(B535,Customer_Master!$A$2:$A$31,0)),"Unknown Customer")</f>
        <v>Jones-Young</v>
      </c>
      <c r="D535" s="17" t="n">
        <f aca="false">Customer_Invoices_AR!C532</f>
        <v>45835</v>
      </c>
      <c r="E535" s="17" t="n">
        <f aca="false">Customer_Invoices_AR!E532</f>
        <v>45850</v>
      </c>
      <c r="F535" s="18" t="n">
        <f aca="false">Customer_Invoices_AR!D532</f>
        <v>920.76</v>
      </c>
      <c r="G535" s="18" t="n">
        <f aca="false">SUMIFS(Cash_Receipts_AR!$E$2:$E$503,Cash_Receipts_AR!$B$2:$B$503,A535)</f>
        <v>920.76</v>
      </c>
      <c r="H535" s="18" t="n">
        <f aca="false">F535-G535</f>
        <v>0</v>
      </c>
      <c r="I535" s="16" t="n">
        <f aca="false">IF(H535&lt;=0.01,0,MAX(Assumptions!$B$5-E535,0))</f>
        <v>0</v>
      </c>
      <c r="J535" s="16" t="str">
        <f aca="false">IF(H535&lt;=0.01,"Paid",IF(I535&lt;=30,"0-30",IF(I535&lt;=60,"31-60",IF(I535&lt;=90,"61-90","90+"))))</f>
        <v>Paid</v>
      </c>
      <c r="K535" s="16" t="str">
        <f aca="false">IF(H535&lt;=0.01,"Paid",IF(G535&gt;0,"Partially Paid","Unpaid"))</f>
        <v>Paid</v>
      </c>
    </row>
    <row r="536" customFormat="false" ht="15" hidden="false" customHeight="false" outlineLevel="0" collapsed="false">
      <c r="A536" s="16" t="str">
        <f aca="false">Customer_Invoices_AR!A533</f>
        <v>ARI60532</v>
      </c>
      <c r="B536" s="16" t="str">
        <f aca="false">Customer_Invoices_AR!B533</f>
        <v>C2011</v>
      </c>
      <c r="C536" s="16" t="str">
        <f aca="false">IFERROR(INDEX(Customer_Master!$B$2:$B$31,MATCH(B536,Customer_Master!$A$2:$A$31,0)),"Unknown Customer")</f>
        <v>Powell LLC</v>
      </c>
      <c r="D536" s="17" t="n">
        <f aca="false">Customer_Invoices_AR!C533</f>
        <v>46018</v>
      </c>
      <c r="E536" s="17" t="n">
        <f aca="false">Customer_Invoices_AR!E533</f>
        <v>46048</v>
      </c>
      <c r="F536" s="18" t="n">
        <f aca="false">Customer_Invoices_AR!D533</f>
        <v>1774.7</v>
      </c>
      <c r="G536" s="18" t="n">
        <f aca="false">SUMIFS(Cash_Receipts_AR!$E$2:$E$503,Cash_Receipts_AR!$B$2:$B$503,A536)</f>
        <v>1774.7</v>
      </c>
      <c r="H536" s="18" t="n">
        <f aca="false">F536-G536</f>
        <v>0</v>
      </c>
      <c r="I536" s="16" t="n">
        <f aca="false">IF(H536&lt;=0.01,0,MAX(Assumptions!$B$5-E536,0))</f>
        <v>0</v>
      </c>
      <c r="J536" s="16" t="str">
        <f aca="false">IF(H536&lt;=0.01,"Paid",IF(I536&lt;=30,"0-30",IF(I536&lt;=60,"31-60",IF(I536&lt;=90,"61-90","90+"))))</f>
        <v>Paid</v>
      </c>
      <c r="K536" s="16" t="str">
        <f aca="false">IF(H536&lt;=0.01,"Paid",IF(G536&gt;0,"Partially Paid","Unpaid"))</f>
        <v>Paid</v>
      </c>
    </row>
    <row r="537" customFormat="false" ht="15" hidden="false" customHeight="false" outlineLevel="0" collapsed="false">
      <c r="A537" s="16" t="str">
        <f aca="false">Customer_Invoices_AR!A534</f>
        <v>ARI60533</v>
      </c>
      <c r="B537" s="16" t="str">
        <f aca="false">Customer_Invoices_AR!B534</f>
        <v>C2026</v>
      </c>
      <c r="C537" s="16" t="str">
        <f aca="false">IFERROR(INDEX(Customer_Master!$B$2:$B$31,MATCH(B537,Customer_Master!$A$2:$A$31,0)),"Unknown Customer")</f>
        <v>Woods, Calhoun and Schmidt</v>
      </c>
      <c r="D537" s="17" t="n">
        <f aca="false">Customer_Invoices_AR!C534</f>
        <v>45944</v>
      </c>
      <c r="E537" s="17" t="n">
        <f aca="false">Customer_Invoices_AR!E534</f>
        <v>46004</v>
      </c>
      <c r="F537" s="18" t="n">
        <f aca="false">Customer_Invoices_AR!D534</f>
        <v>8116.89</v>
      </c>
      <c r="G537" s="18" t="n">
        <f aca="false">SUMIFS(Cash_Receipts_AR!$E$2:$E$503,Cash_Receipts_AR!$B$2:$B$503,A537)</f>
        <v>8116.89</v>
      </c>
      <c r="H537" s="18" t="n">
        <f aca="false">F537-G537</f>
        <v>0</v>
      </c>
      <c r="I537" s="16" t="n">
        <f aca="false">IF(H537&lt;=0.01,0,MAX(Assumptions!$B$5-E537,0))</f>
        <v>0</v>
      </c>
      <c r="J537" s="16" t="str">
        <f aca="false">IF(H537&lt;=0.01,"Paid",IF(I537&lt;=30,"0-30",IF(I537&lt;=60,"31-60",IF(I537&lt;=90,"61-90","90+"))))</f>
        <v>Paid</v>
      </c>
      <c r="K537" s="16" t="str">
        <f aca="false">IF(H537&lt;=0.01,"Paid",IF(G537&gt;0,"Partially Paid","Unpaid"))</f>
        <v>Paid</v>
      </c>
    </row>
    <row r="538" customFormat="false" ht="15" hidden="false" customHeight="false" outlineLevel="0" collapsed="false">
      <c r="A538" s="16" t="str">
        <f aca="false">Customer_Invoices_AR!A535</f>
        <v>ARI60534</v>
      </c>
      <c r="B538" s="16" t="str">
        <f aca="false">Customer_Invoices_AR!B535</f>
        <v>C2021</v>
      </c>
      <c r="C538" s="16" t="str">
        <f aca="false">IFERROR(INDEX(Customer_Master!$B$2:$B$31,MATCH(B538,Customer_Master!$A$2:$A$31,0)),"Unknown Customer")</f>
        <v>House-Glover</v>
      </c>
      <c r="D538" s="17" t="n">
        <f aca="false">Customer_Invoices_AR!C535</f>
        <v>45828</v>
      </c>
      <c r="E538" s="17" t="n">
        <f aca="false">Customer_Invoices_AR!E535</f>
        <v>45888</v>
      </c>
      <c r="F538" s="18" t="n">
        <f aca="false">Customer_Invoices_AR!D535</f>
        <v>1559.65</v>
      </c>
      <c r="G538" s="18" t="n">
        <f aca="false">SUMIFS(Cash_Receipts_AR!$E$2:$E$503,Cash_Receipts_AR!$B$2:$B$503,A538)</f>
        <v>1559.65</v>
      </c>
      <c r="H538" s="18" t="n">
        <f aca="false">F538-G538</f>
        <v>0</v>
      </c>
      <c r="I538" s="16" t="n">
        <f aca="false">IF(H538&lt;=0.01,0,MAX(Assumptions!$B$5-E538,0))</f>
        <v>0</v>
      </c>
      <c r="J538" s="16" t="str">
        <f aca="false">IF(H538&lt;=0.01,"Paid",IF(I538&lt;=30,"0-30",IF(I538&lt;=60,"31-60",IF(I538&lt;=90,"61-90","90+"))))</f>
        <v>Paid</v>
      </c>
      <c r="K538" s="16" t="str">
        <f aca="false">IF(H538&lt;=0.01,"Paid",IF(G538&gt;0,"Partially Paid","Unpaid"))</f>
        <v>Paid</v>
      </c>
    </row>
    <row r="539" customFormat="false" ht="15" hidden="false" customHeight="false" outlineLevel="0" collapsed="false">
      <c r="A539" s="16" t="str">
        <f aca="false">Customer_Invoices_AR!A536</f>
        <v>ARI60535</v>
      </c>
      <c r="B539" s="16" t="str">
        <f aca="false">Customer_Invoices_AR!B536</f>
        <v>C2001</v>
      </c>
      <c r="C539" s="16" t="str">
        <f aca="false">IFERROR(INDEX(Customer_Master!$B$2:$B$31,MATCH(B539,Customer_Master!$A$2:$A$31,0)),"Unknown Customer")</f>
        <v>Wright Inc</v>
      </c>
      <c r="D539" s="17" t="n">
        <f aca="false">Customer_Invoices_AR!C536</f>
        <v>45752</v>
      </c>
      <c r="E539" s="17" t="n">
        <f aca="false">Customer_Invoices_AR!E536</f>
        <v>45797</v>
      </c>
      <c r="F539" s="18" t="n">
        <f aca="false">Customer_Invoices_AR!D536</f>
        <v>9577.01</v>
      </c>
      <c r="G539" s="18" t="n">
        <f aca="false">SUMIFS(Cash_Receipts_AR!$E$2:$E$503,Cash_Receipts_AR!$B$2:$B$503,A539)</f>
        <v>9577.01</v>
      </c>
      <c r="H539" s="18" t="n">
        <f aca="false">F539-G539</f>
        <v>0</v>
      </c>
      <c r="I539" s="16" t="n">
        <f aca="false">IF(H539&lt;=0.01,0,MAX(Assumptions!$B$5-E539,0))</f>
        <v>0</v>
      </c>
      <c r="J539" s="16" t="str">
        <f aca="false">IF(H539&lt;=0.01,"Paid",IF(I539&lt;=30,"0-30",IF(I539&lt;=60,"31-60",IF(I539&lt;=90,"61-90","90+"))))</f>
        <v>Paid</v>
      </c>
      <c r="K539" s="16" t="str">
        <f aca="false">IF(H539&lt;=0.01,"Paid",IF(G539&gt;0,"Partially Paid","Unpaid"))</f>
        <v>Paid</v>
      </c>
    </row>
    <row r="540" customFormat="false" ht="15" hidden="false" customHeight="false" outlineLevel="0" collapsed="false">
      <c r="A540" s="16" t="str">
        <f aca="false">Customer_Invoices_AR!A537</f>
        <v>ARI60536</v>
      </c>
      <c r="B540" s="16" t="str">
        <f aca="false">Customer_Invoices_AR!B537</f>
        <v>C2029</v>
      </c>
      <c r="C540" s="16" t="str">
        <f aca="false">IFERROR(INDEX(Customer_Master!$B$2:$B$31,MATCH(B540,Customer_Master!$A$2:$A$31,0)),"Unknown Customer")</f>
        <v>Hensley, Powell and David</v>
      </c>
      <c r="D540" s="17" t="n">
        <f aca="false">Customer_Invoices_AR!C537</f>
        <v>46155</v>
      </c>
      <c r="E540" s="17" t="n">
        <f aca="false">Customer_Invoices_AR!E537</f>
        <v>46215</v>
      </c>
      <c r="F540" s="18" t="n">
        <f aca="false">Customer_Invoices_AR!D537</f>
        <v>4737.55</v>
      </c>
      <c r="G540" s="18" t="n">
        <f aca="false">SUMIFS(Cash_Receipts_AR!$E$2:$E$503,Cash_Receipts_AR!$B$2:$B$503,A540)</f>
        <v>3171.03</v>
      </c>
      <c r="H540" s="18" t="n">
        <f aca="false">F540-G540</f>
        <v>1566.52</v>
      </c>
      <c r="I540" s="16" t="n">
        <f aca="false">IF(H540&lt;=0.01,0,MAX(Assumptions!$B$5-E540,0))</f>
        <v>19</v>
      </c>
      <c r="J540" s="16" t="str">
        <f aca="false">IF(H540&lt;=0.01,"Paid",IF(I540&lt;=30,"0-30",IF(I540&lt;=60,"31-60",IF(I540&lt;=90,"61-90","90+"))))</f>
        <v>0-30</v>
      </c>
      <c r="K540" s="16" t="str">
        <f aca="false">IF(H540&lt;=0.01,"Paid",IF(G540&gt;0,"Partially Paid","Unpaid"))</f>
        <v>Partially Paid</v>
      </c>
    </row>
    <row r="541" customFormat="false" ht="15" hidden="false" customHeight="false" outlineLevel="0" collapsed="false">
      <c r="A541" s="16" t="str">
        <f aca="false">Customer_Invoices_AR!A538</f>
        <v>ARI60537</v>
      </c>
      <c r="B541" s="16" t="str">
        <f aca="false">Customer_Invoices_AR!B538</f>
        <v>C2003</v>
      </c>
      <c r="C541" s="16" t="str">
        <f aca="false">IFERROR(INDEX(Customer_Master!$B$2:$B$31,MATCH(B541,Customer_Master!$A$2:$A$31,0)),"Unknown Customer")</f>
        <v>Robinson, Jones and Welch</v>
      </c>
      <c r="D541" s="17" t="n">
        <f aca="false">Customer_Invoices_AR!C538</f>
        <v>45844</v>
      </c>
      <c r="E541" s="17" t="n">
        <f aca="false">Customer_Invoices_AR!E538</f>
        <v>45889</v>
      </c>
      <c r="F541" s="18" t="n">
        <f aca="false">Customer_Invoices_AR!D538</f>
        <v>706.76</v>
      </c>
      <c r="G541" s="18" t="n">
        <f aca="false">SUMIFS(Cash_Receipts_AR!$E$2:$E$503,Cash_Receipts_AR!$B$2:$B$503,A541)</f>
        <v>706.76</v>
      </c>
      <c r="H541" s="18" t="n">
        <f aca="false">F541-G541</f>
        <v>0</v>
      </c>
      <c r="I541" s="16" t="n">
        <f aca="false">IF(H541&lt;=0.01,0,MAX(Assumptions!$B$5-E541,0))</f>
        <v>0</v>
      </c>
      <c r="J541" s="16" t="str">
        <f aca="false">IF(H541&lt;=0.01,"Paid",IF(I541&lt;=30,"0-30",IF(I541&lt;=60,"31-60",IF(I541&lt;=90,"61-90","90+"))))</f>
        <v>Paid</v>
      </c>
      <c r="K541" s="16" t="str">
        <f aca="false">IF(H541&lt;=0.01,"Paid",IF(G541&gt;0,"Partially Paid","Unpaid"))</f>
        <v>Paid</v>
      </c>
    </row>
    <row r="542" customFormat="false" ht="15" hidden="false" customHeight="false" outlineLevel="0" collapsed="false">
      <c r="A542" s="16" t="str">
        <f aca="false">Customer_Invoices_AR!A539</f>
        <v>ARI60538</v>
      </c>
      <c r="B542" s="16" t="str">
        <f aca="false">Customer_Invoices_AR!B539</f>
        <v>C2030</v>
      </c>
      <c r="C542" s="16" t="str">
        <f aca="false">IFERROR(INDEX(Customer_Master!$B$2:$B$31,MATCH(B542,Customer_Master!$A$2:$A$31,0)),"Unknown Customer")</f>
        <v>Sanchez, Wheeler and Harvey</v>
      </c>
      <c r="D542" s="17" t="n">
        <f aca="false">Customer_Invoices_AR!C539</f>
        <v>45851</v>
      </c>
      <c r="E542" s="17" t="n">
        <f aca="false">Customer_Invoices_AR!E539</f>
        <v>45866</v>
      </c>
      <c r="F542" s="18" t="n">
        <f aca="false">Customer_Invoices_AR!D539</f>
        <v>4114.21</v>
      </c>
      <c r="G542" s="18" t="n">
        <f aca="false">SUMIFS(Cash_Receipts_AR!$E$2:$E$503,Cash_Receipts_AR!$B$2:$B$503,A542)</f>
        <v>4114.21</v>
      </c>
      <c r="H542" s="18" t="n">
        <f aca="false">F542-G542</f>
        <v>0</v>
      </c>
      <c r="I542" s="16" t="n">
        <f aca="false">IF(H542&lt;=0.01,0,MAX(Assumptions!$B$5-E542,0))</f>
        <v>0</v>
      </c>
      <c r="J542" s="16" t="str">
        <f aca="false">IF(H542&lt;=0.01,"Paid",IF(I542&lt;=30,"0-30",IF(I542&lt;=60,"31-60",IF(I542&lt;=90,"61-90","90+"))))</f>
        <v>Paid</v>
      </c>
      <c r="K542" s="16" t="str">
        <f aca="false">IF(H542&lt;=0.01,"Paid",IF(G542&gt;0,"Partially Paid","Unpaid"))</f>
        <v>Paid</v>
      </c>
    </row>
    <row r="543" customFormat="false" ht="15" hidden="false" customHeight="false" outlineLevel="0" collapsed="false">
      <c r="A543" s="16" t="str">
        <f aca="false">Customer_Invoices_AR!A540</f>
        <v>ARI60539</v>
      </c>
      <c r="B543" s="16" t="str">
        <f aca="false">Customer_Invoices_AR!B540</f>
        <v>C2002</v>
      </c>
      <c r="C543" s="16" t="str">
        <f aca="false">IFERROR(INDEX(Customer_Master!$B$2:$B$31,MATCH(B543,Customer_Master!$A$2:$A$31,0)),"Unknown Customer")</f>
        <v>Smith-Spencer</v>
      </c>
      <c r="D543" s="17" t="n">
        <f aca="false">Customer_Invoices_AR!C540</f>
        <v>46078</v>
      </c>
      <c r="E543" s="17" t="n">
        <f aca="false">Customer_Invoices_AR!E540</f>
        <v>46093</v>
      </c>
      <c r="F543" s="18" t="n">
        <f aca="false">Customer_Invoices_AR!D540</f>
        <v>4838.65</v>
      </c>
      <c r="G543" s="18" t="n">
        <f aca="false">SUMIFS(Cash_Receipts_AR!$E$2:$E$503,Cash_Receipts_AR!$B$2:$B$503,A543)</f>
        <v>2645.41</v>
      </c>
      <c r="H543" s="18" t="n">
        <f aca="false">F543-G543</f>
        <v>2193.24</v>
      </c>
      <c r="I543" s="16" t="n">
        <f aca="false">IF(H543&lt;=0.01,0,MAX(Assumptions!$B$5-E543,0))</f>
        <v>141</v>
      </c>
      <c r="J543" s="16" t="str">
        <f aca="false">IF(H543&lt;=0.01,"Paid",IF(I543&lt;=30,"0-30",IF(I543&lt;=60,"31-60",IF(I543&lt;=90,"61-90","90+"))))</f>
        <v>90+</v>
      </c>
      <c r="K543" s="16" t="str">
        <f aca="false">IF(H543&lt;=0.01,"Paid",IF(G543&gt;0,"Partially Paid","Unpaid"))</f>
        <v>Partially Paid</v>
      </c>
    </row>
    <row r="544" customFormat="false" ht="15" hidden="false" customHeight="false" outlineLevel="0" collapsed="false">
      <c r="A544" s="16" t="str">
        <f aca="false">Customer_Invoices_AR!A541</f>
        <v>ARI60540</v>
      </c>
      <c r="B544" s="16" t="str">
        <f aca="false">Customer_Invoices_AR!B541</f>
        <v>C2001</v>
      </c>
      <c r="C544" s="16" t="str">
        <f aca="false">IFERROR(INDEX(Customer_Master!$B$2:$B$31,MATCH(B544,Customer_Master!$A$2:$A$31,0)),"Unknown Customer")</f>
        <v>Wright Inc</v>
      </c>
      <c r="D544" s="17" t="n">
        <f aca="false">Customer_Invoices_AR!C541</f>
        <v>46050</v>
      </c>
      <c r="E544" s="17" t="n">
        <f aca="false">Customer_Invoices_AR!E541</f>
        <v>46095</v>
      </c>
      <c r="F544" s="18" t="n">
        <f aca="false">Customer_Invoices_AR!D541</f>
        <v>6378.14</v>
      </c>
      <c r="G544" s="18" t="n">
        <f aca="false">SUMIFS(Cash_Receipts_AR!$E$2:$E$503,Cash_Receipts_AR!$B$2:$B$503,A544)</f>
        <v>0</v>
      </c>
      <c r="H544" s="18" t="n">
        <f aca="false">F544-G544</f>
        <v>6378.14</v>
      </c>
      <c r="I544" s="16" t="n">
        <f aca="false">IF(H544&lt;=0.01,0,MAX(Assumptions!$B$5-E544,0))</f>
        <v>139</v>
      </c>
      <c r="J544" s="16" t="str">
        <f aca="false">IF(H544&lt;=0.01,"Paid",IF(I544&lt;=30,"0-30",IF(I544&lt;=60,"31-60",IF(I544&lt;=90,"61-90","90+"))))</f>
        <v>90+</v>
      </c>
      <c r="K544" s="16" t="str">
        <f aca="false">IF(H544&lt;=0.01,"Paid",IF(G544&gt;0,"Partially Paid","Unpaid"))</f>
        <v>Unpaid</v>
      </c>
    </row>
    <row r="545" customFormat="false" ht="15" hidden="false" customHeight="false" outlineLevel="0" collapsed="false">
      <c r="A545" s="16" t="str">
        <f aca="false">Customer_Invoices_AR!A542</f>
        <v>ARI60541</v>
      </c>
      <c r="B545" s="16" t="str">
        <f aca="false">Customer_Invoices_AR!B542</f>
        <v>C2027</v>
      </c>
      <c r="C545" s="16" t="str">
        <f aca="false">IFERROR(INDEX(Customer_Master!$B$2:$B$31,MATCH(B545,Customer_Master!$A$2:$A$31,0)),"Unknown Customer")</f>
        <v>Yu Inc</v>
      </c>
      <c r="D545" s="17" t="n">
        <f aca="false">Customer_Invoices_AR!C542</f>
        <v>46008</v>
      </c>
      <c r="E545" s="17" t="n">
        <f aca="false">Customer_Invoices_AR!E542</f>
        <v>46068</v>
      </c>
      <c r="F545" s="18" t="n">
        <f aca="false">Customer_Invoices_AR!D542</f>
        <v>3755.82</v>
      </c>
      <c r="G545" s="18" t="n">
        <f aca="false">SUMIFS(Cash_Receipts_AR!$E$2:$E$503,Cash_Receipts_AR!$B$2:$B$503,A545)</f>
        <v>3755.82</v>
      </c>
      <c r="H545" s="18" t="n">
        <f aca="false">F545-G545</f>
        <v>0</v>
      </c>
      <c r="I545" s="16" t="n">
        <f aca="false">IF(H545&lt;=0.01,0,MAX(Assumptions!$B$5-E545,0))</f>
        <v>0</v>
      </c>
      <c r="J545" s="16" t="str">
        <f aca="false">IF(H545&lt;=0.01,"Paid",IF(I545&lt;=30,"0-30",IF(I545&lt;=60,"31-60",IF(I545&lt;=90,"61-90","90+"))))</f>
        <v>Paid</v>
      </c>
      <c r="K545" s="16" t="str">
        <f aca="false">IF(H545&lt;=0.01,"Paid",IF(G545&gt;0,"Partially Paid","Unpaid"))</f>
        <v>Paid</v>
      </c>
    </row>
    <row r="546" customFormat="false" ht="15" hidden="false" customHeight="false" outlineLevel="0" collapsed="false">
      <c r="A546" s="16" t="str">
        <f aca="false">Customer_Invoices_AR!A543</f>
        <v>ARI60542</v>
      </c>
      <c r="B546" s="16" t="str">
        <f aca="false">Customer_Invoices_AR!B543</f>
        <v>C2004</v>
      </c>
      <c r="C546" s="16" t="str">
        <f aca="false">IFERROR(INDEX(Customer_Master!$B$2:$B$31,MATCH(B546,Customer_Master!$A$2:$A$31,0)),"Unknown Customer")</f>
        <v>Jones Inc</v>
      </c>
      <c r="D546" s="17" t="n">
        <f aca="false">Customer_Invoices_AR!C543</f>
        <v>46035</v>
      </c>
      <c r="E546" s="17" t="n">
        <f aca="false">Customer_Invoices_AR!E543</f>
        <v>46065</v>
      </c>
      <c r="F546" s="18" t="n">
        <f aca="false">Customer_Invoices_AR!D543</f>
        <v>1123.7</v>
      </c>
      <c r="G546" s="18" t="n">
        <f aca="false">SUMIFS(Cash_Receipts_AR!$E$2:$E$503,Cash_Receipts_AR!$B$2:$B$503,A546)</f>
        <v>1123.7</v>
      </c>
      <c r="H546" s="18" t="n">
        <f aca="false">F546-G546</f>
        <v>0</v>
      </c>
      <c r="I546" s="16" t="n">
        <f aca="false">IF(H546&lt;=0.01,0,MAX(Assumptions!$B$5-E546,0))</f>
        <v>0</v>
      </c>
      <c r="J546" s="16" t="str">
        <f aca="false">IF(H546&lt;=0.01,"Paid",IF(I546&lt;=30,"0-30",IF(I546&lt;=60,"31-60",IF(I546&lt;=90,"61-90","90+"))))</f>
        <v>Paid</v>
      </c>
      <c r="K546" s="16" t="str">
        <f aca="false">IF(H546&lt;=0.01,"Paid",IF(G546&gt;0,"Partially Paid","Unpaid"))</f>
        <v>Paid</v>
      </c>
    </row>
    <row r="547" customFormat="false" ht="15" hidden="false" customHeight="false" outlineLevel="0" collapsed="false">
      <c r="A547" s="16" t="str">
        <f aca="false">Customer_Invoices_AR!A544</f>
        <v>ARI60543</v>
      </c>
      <c r="B547" s="16" t="str">
        <f aca="false">Customer_Invoices_AR!B544</f>
        <v>C2002</v>
      </c>
      <c r="C547" s="16" t="str">
        <f aca="false">IFERROR(INDEX(Customer_Master!$B$2:$B$31,MATCH(B547,Customer_Master!$A$2:$A$31,0)),"Unknown Customer")</f>
        <v>Smith-Spencer</v>
      </c>
      <c r="D547" s="17" t="n">
        <f aca="false">Customer_Invoices_AR!C544</f>
        <v>45990</v>
      </c>
      <c r="E547" s="17" t="n">
        <f aca="false">Customer_Invoices_AR!E544</f>
        <v>46005</v>
      </c>
      <c r="F547" s="18" t="n">
        <f aca="false">Customer_Invoices_AR!D544</f>
        <v>3764.46</v>
      </c>
      <c r="G547" s="18" t="n">
        <f aca="false">SUMIFS(Cash_Receipts_AR!$E$2:$E$503,Cash_Receipts_AR!$B$2:$B$503,A547)</f>
        <v>0</v>
      </c>
      <c r="H547" s="18" t="n">
        <f aca="false">F547-G547</f>
        <v>3764.46</v>
      </c>
      <c r="I547" s="16" t="n">
        <f aca="false">IF(H547&lt;=0.01,0,MAX(Assumptions!$B$5-E547,0))</f>
        <v>229</v>
      </c>
      <c r="J547" s="16" t="str">
        <f aca="false">IF(H547&lt;=0.01,"Paid",IF(I547&lt;=30,"0-30",IF(I547&lt;=60,"31-60",IF(I547&lt;=90,"61-90","90+"))))</f>
        <v>90+</v>
      </c>
      <c r="K547" s="16" t="str">
        <f aca="false">IF(H547&lt;=0.01,"Paid",IF(G547&gt;0,"Partially Paid","Unpaid"))</f>
        <v>Unpaid</v>
      </c>
    </row>
    <row r="548" customFormat="false" ht="15" hidden="false" customHeight="false" outlineLevel="0" collapsed="false">
      <c r="A548" s="16" t="str">
        <f aca="false">Customer_Invoices_AR!A545</f>
        <v>ARI60544</v>
      </c>
      <c r="B548" s="16" t="str">
        <f aca="false">Customer_Invoices_AR!B545</f>
        <v>C2027</v>
      </c>
      <c r="C548" s="16" t="str">
        <f aca="false">IFERROR(INDEX(Customer_Master!$B$2:$B$31,MATCH(B548,Customer_Master!$A$2:$A$31,0)),"Unknown Customer")</f>
        <v>Yu Inc</v>
      </c>
      <c r="D548" s="17" t="n">
        <f aca="false">Customer_Invoices_AR!C545</f>
        <v>45762</v>
      </c>
      <c r="E548" s="17" t="n">
        <f aca="false">Customer_Invoices_AR!E545</f>
        <v>45822</v>
      </c>
      <c r="F548" s="18" t="n">
        <f aca="false">Customer_Invoices_AR!D545</f>
        <v>2234.86</v>
      </c>
      <c r="G548" s="18" t="n">
        <f aca="false">SUMIFS(Cash_Receipts_AR!$E$2:$E$503,Cash_Receipts_AR!$B$2:$B$503,A548)</f>
        <v>0</v>
      </c>
      <c r="H548" s="18" t="n">
        <f aca="false">F548-G548</f>
        <v>2234.86</v>
      </c>
      <c r="I548" s="16" t="n">
        <f aca="false">IF(H548&lt;=0.01,0,MAX(Assumptions!$B$5-E548,0))</f>
        <v>412</v>
      </c>
      <c r="J548" s="16" t="str">
        <f aca="false">IF(H548&lt;=0.01,"Paid",IF(I548&lt;=30,"0-30",IF(I548&lt;=60,"31-60",IF(I548&lt;=90,"61-90","90+"))))</f>
        <v>90+</v>
      </c>
      <c r="K548" s="16" t="str">
        <f aca="false">IF(H548&lt;=0.01,"Paid",IF(G548&gt;0,"Partially Paid","Unpaid"))</f>
        <v>Unpaid</v>
      </c>
    </row>
    <row r="549" customFormat="false" ht="15" hidden="false" customHeight="false" outlineLevel="0" collapsed="false">
      <c r="A549" s="16" t="str">
        <f aca="false">Customer_Invoices_AR!A546</f>
        <v>ARI60545</v>
      </c>
      <c r="B549" s="16" t="str">
        <f aca="false">Customer_Invoices_AR!B546</f>
        <v>C2029</v>
      </c>
      <c r="C549" s="16" t="str">
        <f aca="false">IFERROR(INDEX(Customer_Master!$B$2:$B$31,MATCH(B549,Customer_Master!$A$2:$A$31,0)),"Unknown Customer")</f>
        <v>Hensley, Powell and David</v>
      </c>
      <c r="D549" s="17" t="n">
        <f aca="false">Customer_Invoices_AR!C546</f>
        <v>45792</v>
      </c>
      <c r="E549" s="17" t="n">
        <f aca="false">Customer_Invoices_AR!E546</f>
        <v>45852</v>
      </c>
      <c r="F549" s="18" t="n">
        <f aca="false">Customer_Invoices_AR!D546</f>
        <v>4226.05</v>
      </c>
      <c r="G549" s="18" t="n">
        <f aca="false">SUMIFS(Cash_Receipts_AR!$E$2:$E$503,Cash_Receipts_AR!$B$2:$B$503,A549)</f>
        <v>0</v>
      </c>
      <c r="H549" s="18" t="n">
        <f aca="false">F549-G549</f>
        <v>4226.05</v>
      </c>
      <c r="I549" s="16" t="n">
        <f aca="false">IF(H549&lt;=0.01,0,MAX(Assumptions!$B$5-E549,0))</f>
        <v>382</v>
      </c>
      <c r="J549" s="16" t="str">
        <f aca="false">IF(H549&lt;=0.01,"Paid",IF(I549&lt;=30,"0-30",IF(I549&lt;=60,"31-60",IF(I549&lt;=90,"61-90","90+"))))</f>
        <v>90+</v>
      </c>
      <c r="K549" s="16" t="str">
        <f aca="false">IF(H549&lt;=0.01,"Paid",IF(G549&gt;0,"Partially Paid","Unpaid"))</f>
        <v>Unpaid</v>
      </c>
    </row>
    <row r="550" customFormat="false" ht="15" hidden="false" customHeight="false" outlineLevel="0" collapsed="false">
      <c r="A550" s="16" t="str">
        <f aca="false">Customer_Invoices_AR!A547</f>
        <v>ARI60546</v>
      </c>
      <c r="B550" s="16" t="str">
        <f aca="false">Customer_Invoices_AR!B547</f>
        <v>C2001</v>
      </c>
      <c r="C550" s="16" t="str">
        <f aca="false">IFERROR(INDEX(Customer_Master!$B$2:$B$31,MATCH(B550,Customer_Master!$A$2:$A$31,0)),"Unknown Customer")</f>
        <v>Wright Inc</v>
      </c>
      <c r="D550" s="17" t="n">
        <f aca="false">Customer_Invoices_AR!C547</f>
        <v>45962</v>
      </c>
      <c r="E550" s="17" t="n">
        <f aca="false">Customer_Invoices_AR!E547</f>
        <v>46007</v>
      </c>
      <c r="F550" s="18" t="n">
        <f aca="false">Customer_Invoices_AR!D547</f>
        <v>4407.52</v>
      </c>
      <c r="G550" s="18" t="n">
        <f aca="false">SUMIFS(Cash_Receipts_AR!$E$2:$E$503,Cash_Receipts_AR!$B$2:$B$503,A550)</f>
        <v>2332.5</v>
      </c>
      <c r="H550" s="18" t="n">
        <f aca="false">F550-G550</f>
        <v>2075.02</v>
      </c>
      <c r="I550" s="16" t="n">
        <f aca="false">IF(H550&lt;=0.01,0,MAX(Assumptions!$B$5-E550,0))</f>
        <v>227</v>
      </c>
      <c r="J550" s="16" t="str">
        <f aca="false">IF(H550&lt;=0.01,"Paid",IF(I550&lt;=30,"0-30",IF(I550&lt;=60,"31-60",IF(I550&lt;=90,"61-90","90+"))))</f>
        <v>90+</v>
      </c>
      <c r="K550" s="16" t="str">
        <f aca="false">IF(H550&lt;=0.01,"Paid",IF(G550&gt;0,"Partially Paid","Unpaid"))</f>
        <v>Partially Paid</v>
      </c>
    </row>
    <row r="551" customFormat="false" ht="15" hidden="false" customHeight="false" outlineLevel="0" collapsed="false">
      <c r="A551" s="16" t="str">
        <f aca="false">Customer_Invoices_AR!A548</f>
        <v>ARI60547</v>
      </c>
      <c r="B551" s="16" t="str">
        <f aca="false">Customer_Invoices_AR!B548</f>
        <v>C2015</v>
      </c>
      <c r="C551" s="16" t="str">
        <f aca="false">IFERROR(INDEX(Customer_Master!$B$2:$B$31,MATCH(B551,Customer_Master!$A$2:$A$31,0)),"Unknown Customer")</f>
        <v>Morton-Chase</v>
      </c>
      <c r="D551" s="17" t="n">
        <f aca="false">Customer_Invoices_AR!C548</f>
        <v>45780</v>
      </c>
      <c r="E551" s="17" t="n">
        <f aca="false">Customer_Invoices_AR!E548</f>
        <v>45795</v>
      </c>
      <c r="F551" s="18" t="n">
        <f aca="false">Customer_Invoices_AR!D548</f>
        <v>1869.4</v>
      </c>
      <c r="G551" s="18" t="n">
        <f aca="false">SUMIFS(Cash_Receipts_AR!$E$2:$E$503,Cash_Receipts_AR!$B$2:$B$503,A551)</f>
        <v>1869.4</v>
      </c>
      <c r="H551" s="18" t="n">
        <f aca="false">F551-G551</f>
        <v>0</v>
      </c>
      <c r="I551" s="16" t="n">
        <f aca="false">IF(H551&lt;=0.01,0,MAX(Assumptions!$B$5-E551,0))</f>
        <v>0</v>
      </c>
      <c r="J551" s="16" t="str">
        <f aca="false">IF(H551&lt;=0.01,"Paid",IF(I551&lt;=30,"0-30",IF(I551&lt;=60,"31-60",IF(I551&lt;=90,"61-90","90+"))))</f>
        <v>Paid</v>
      </c>
      <c r="K551" s="16" t="str">
        <f aca="false">IF(H551&lt;=0.01,"Paid",IF(G551&gt;0,"Partially Paid","Unpaid"))</f>
        <v>Paid</v>
      </c>
    </row>
    <row r="552" customFormat="false" ht="15" hidden="false" customHeight="false" outlineLevel="0" collapsed="false">
      <c r="A552" s="16" t="str">
        <f aca="false">Customer_Invoices_AR!A549</f>
        <v>ARI60548</v>
      </c>
      <c r="B552" s="16" t="str">
        <f aca="false">Customer_Invoices_AR!B549</f>
        <v>C2025</v>
      </c>
      <c r="C552" s="16" t="str">
        <f aca="false">IFERROR(INDEX(Customer_Master!$B$2:$B$31,MATCH(B552,Customer_Master!$A$2:$A$31,0)),"Unknown Customer")</f>
        <v>Daniels, Adkins and Brown</v>
      </c>
      <c r="D552" s="17" t="n">
        <f aca="false">Customer_Invoices_AR!C549</f>
        <v>46188</v>
      </c>
      <c r="E552" s="17" t="n">
        <f aca="false">Customer_Invoices_AR!E549</f>
        <v>46203</v>
      </c>
      <c r="F552" s="18" t="n">
        <f aca="false">Customer_Invoices_AR!D549</f>
        <v>1558.3</v>
      </c>
      <c r="G552" s="18" t="n">
        <f aca="false">SUMIFS(Cash_Receipts_AR!$E$2:$E$503,Cash_Receipts_AR!$B$2:$B$503,A552)</f>
        <v>0</v>
      </c>
      <c r="H552" s="18" t="n">
        <f aca="false">F552-G552</f>
        <v>1558.3</v>
      </c>
      <c r="I552" s="16" t="n">
        <f aca="false">IF(H552&lt;=0.01,0,MAX(Assumptions!$B$5-E552,0))</f>
        <v>31</v>
      </c>
      <c r="J552" s="16" t="str">
        <f aca="false">IF(H552&lt;=0.01,"Paid",IF(I552&lt;=30,"0-30",IF(I552&lt;=60,"31-60",IF(I552&lt;=90,"61-90","90+"))))</f>
        <v>31-60</v>
      </c>
      <c r="K552" s="16" t="str">
        <f aca="false">IF(H552&lt;=0.01,"Paid",IF(G552&gt;0,"Partially Paid","Unpaid"))</f>
        <v>Unpaid</v>
      </c>
    </row>
    <row r="553" customFormat="false" ht="15" hidden="false" customHeight="false" outlineLevel="0" collapsed="false">
      <c r="A553" s="16" t="str">
        <f aca="false">Customer_Invoices_AR!A550</f>
        <v>ARI60549</v>
      </c>
      <c r="B553" s="16" t="str">
        <f aca="false">Customer_Invoices_AR!B550</f>
        <v>C2006</v>
      </c>
      <c r="C553" s="16" t="str">
        <f aca="false">IFERROR(INDEX(Customer_Master!$B$2:$B$31,MATCH(B553,Customer_Master!$A$2:$A$31,0)),"Unknown Customer")</f>
        <v>Washington, Ryan and Cummings</v>
      </c>
      <c r="D553" s="17" t="n">
        <f aca="false">Customer_Invoices_AR!C550</f>
        <v>45820</v>
      </c>
      <c r="E553" s="17" t="n">
        <f aca="false">Customer_Invoices_AR!E550</f>
        <v>45835</v>
      </c>
      <c r="F553" s="18" t="n">
        <f aca="false">Customer_Invoices_AR!D550</f>
        <v>986.91</v>
      </c>
      <c r="G553" s="18" t="n">
        <f aca="false">SUMIFS(Cash_Receipts_AR!$E$2:$E$503,Cash_Receipts_AR!$B$2:$B$503,A553)</f>
        <v>0</v>
      </c>
      <c r="H553" s="18" t="n">
        <f aca="false">F553-G553</f>
        <v>986.91</v>
      </c>
      <c r="I553" s="16" t="n">
        <f aca="false">IF(H553&lt;=0.01,0,MAX(Assumptions!$B$5-E553,0))</f>
        <v>399</v>
      </c>
      <c r="J553" s="16" t="str">
        <f aca="false">IF(H553&lt;=0.01,"Paid",IF(I553&lt;=30,"0-30",IF(I553&lt;=60,"31-60",IF(I553&lt;=90,"61-90","90+"))))</f>
        <v>90+</v>
      </c>
      <c r="K553" s="16" t="str">
        <f aca="false">IF(H553&lt;=0.01,"Paid",IF(G553&gt;0,"Partially Paid","Unpaid"))</f>
        <v>Unpaid</v>
      </c>
    </row>
    <row r="554" customFormat="false" ht="15" hidden="false" customHeight="false" outlineLevel="0" collapsed="false">
      <c r="A554" s="16" t="str">
        <f aca="false">Customer_Invoices_AR!A551</f>
        <v>ARI60550</v>
      </c>
      <c r="B554" s="16" t="str">
        <f aca="false">Customer_Invoices_AR!B551</f>
        <v>C2027</v>
      </c>
      <c r="C554" s="16" t="str">
        <f aca="false">IFERROR(INDEX(Customer_Master!$B$2:$B$31,MATCH(B554,Customer_Master!$A$2:$A$31,0)),"Unknown Customer")</f>
        <v>Yu Inc</v>
      </c>
      <c r="D554" s="17" t="n">
        <f aca="false">Customer_Invoices_AR!C551</f>
        <v>45815</v>
      </c>
      <c r="E554" s="17" t="n">
        <f aca="false">Customer_Invoices_AR!E551</f>
        <v>45875</v>
      </c>
      <c r="F554" s="18" t="n">
        <f aca="false">Customer_Invoices_AR!D551</f>
        <v>533.42</v>
      </c>
      <c r="G554" s="18" t="n">
        <f aca="false">SUMIFS(Cash_Receipts_AR!$E$2:$E$503,Cash_Receipts_AR!$B$2:$B$503,A554)</f>
        <v>533.42</v>
      </c>
      <c r="H554" s="18" t="n">
        <f aca="false">F554-G554</f>
        <v>0</v>
      </c>
      <c r="I554" s="16" t="n">
        <f aca="false">IF(H554&lt;=0.01,0,MAX(Assumptions!$B$5-E554,0))</f>
        <v>0</v>
      </c>
      <c r="J554" s="16" t="str">
        <f aca="false">IF(H554&lt;=0.01,"Paid",IF(I554&lt;=30,"0-30",IF(I554&lt;=60,"31-60",IF(I554&lt;=90,"61-90","90+"))))</f>
        <v>Paid</v>
      </c>
      <c r="K554" s="16" t="str">
        <f aca="false">IF(H554&lt;=0.01,"Paid",IF(G554&gt;0,"Partially Paid","Unpaid"))</f>
        <v>Paid</v>
      </c>
    </row>
    <row r="555" customFormat="false" ht="15" hidden="false" customHeight="false" outlineLevel="0" collapsed="false">
      <c r="A555" s="16" t="str">
        <f aca="false">Customer_Invoices_AR!A552</f>
        <v>ARI60551</v>
      </c>
      <c r="B555" s="16" t="str">
        <f aca="false">Customer_Invoices_AR!B552</f>
        <v>C2028</v>
      </c>
      <c r="C555" s="16" t="str">
        <f aca="false">IFERROR(INDEX(Customer_Master!$B$2:$B$31,MATCH(B555,Customer_Master!$A$2:$A$31,0)),"Unknown Customer")</f>
        <v>Jones Inc</v>
      </c>
      <c r="D555" s="17" t="n">
        <f aca="false">Customer_Invoices_AR!C552</f>
        <v>45770</v>
      </c>
      <c r="E555" s="17" t="n">
        <f aca="false">Customer_Invoices_AR!E552</f>
        <v>45785</v>
      </c>
      <c r="F555" s="18" t="n">
        <f aca="false">Customer_Invoices_AR!D552</f>
        <v>1235.59</v>
      </c>
      <c r="G555" s="18" t="n">
        <f aca="false">SUMIFS(Cash_Receipts_AR!$E$2:$E$503,Cash_Receipts_AR!$B$2:$B$503,A555)</f>
        <v>1235.59</v>
      </c>
      <c r="H555" s="18" t="n">
        <f aca="false">F555-G555</f>
        <v>0</v>
      </c>
      <c r="I555" s="16" t="n">
        <f aca="false">IF(H555&lt;=0.01,0,MAX(Assumptions!$B$5-E555,0))</f>
        <v>0</v>
      </c>
      <c r="J555" s="16" t="str">
        <f aca="false">IF(H555&lt;=0.01,"Paid",IF(I555&lt;=30,"0-30",IF(I555&lt;=60,"31-60",IF(I555&lt;=90,"61-90","90+"))))</f>
        <v>Paid</v>
      </c>
      <c r="K555" s="16" t="str">
        <f aca="false">IF(H555&lt;=0.01,"Paid",IF(G555&gt;0,"Partially Paid","Unpaid"))</f>
        <v>Paid</v>
      </c>
    </row>
    <row r="556" customFormat="false" ht="15" hidden="false" customHeight="false" outlineLevel="0" collapsed="false">
      <c r="A556" s="16" t="str">
        <f aca="false">Customer_Invoices_AR!A553</f>
        <v>ARI60552</v>
      </c>
      <c r="B556" s="16" t="str">
        <f aca="false">Customer_Invoices_AR!B553</f>
        <v>C2002</v>
      </c>
      <c r="C556" s="16" t="str">
        <f aca="false">IFERROR(INDEX(Customer_Master!$B$2:$B$31,MATCH(B556,Customer_Master!$A$2:$A$31,0)),"Unknown Customer")</f>
        <v>Smith-Spencer</v>
      </c>
      <c r="D556" s="17" t="n">
        <f aca="false">Customer_Invoices_AR!C553</f>
        <v>46042</v>
      </c>
      <c r="E556" s="17" t="n">
        <f aca="false">Customer_Invoices_AR!E553</f>
        <v>46057</v>
      </c>
      <c r="F556" s="18" t="n">
        <f aca="false">Customer_Invoices_AR!D553</f>
        <v>3621.75</v>
      </c>
      <c r="G556" s="18" t="n">
        <f aca="false">SUMIFS(Cash_Receipts_AR!$E$2:$E$503,Cash_Receipts_AR!$B$2:$B$503,A556)</f>
        <v>3621.75</v>
      </c>
      <c r="H556" s="18" t="n">
        <f aca="false">F556-G556</f>
        <v>0</v>
      </c>
      <c r="I556" s="16" t="n">
        <f aca="false">IF(H556&lt;=0.01,0,MAX(Assumptions!$B$5-E556,0))</f>
        <v>0</v>
      </c>
      <c r="J556" s="16" t="str">
        <f aca="false">IF(H556&lt;=0.01,"Paid",IF(I556&lt;=30,"0-30",IF(I556&lt;=60,"31-60",IF(I556&lt;=90,"61-90","90+"))))</f>
        <v>Paid</v>
      </c>
      <c r="K556" s="16" t="str">
        <f aca="false">IF(H556&lt;=0.01,"Paid",IF(G556&gt;0,"Partially Paid","Unpaid"))</f>
        <v>Paid</v>
      </c>
    </row>
    <row r="557" customFormat="false" ht="15" hidden="false" customHeight="false" outlineLevel="0" collapsed="false">
      <c r="A557" s="16" t="str">
        <f aca="false">Customer_Invoices_AR!A554</f>
        <v>ARI60553</v>
      </c>
      <c r="B557" s="16" t="str">
        <f aca="false">Customer_Invoices_AR!B554</f>
        <v>C2010</v>
      </c>
      <c r="C557" s="16" t="str">
        <f aca="false">IFERROR(INDEX(Customer_Master!$B$2:$B$31,MATCH(B557,Customer_Master!$A$2:$A$31,0)),"Unknown Customer")</f>
        <v>Brown, Valdez and Lucas</v>
      </c>
      <c r="D557" s="17" t="n">
        <f aca="false">Customer_Invoices_AR!C554</f>
        <v>45830</v>
      </c>
      <c r="E557" s="17" t="n">
        <f aca="false">Customer_Invoices_AR!E554</f>
        <v>45890</v>
      </c>
      <c r="F557" s="18" t="n">
        <f aca="false">Customer_Invoices_AR!D554</f>
        <v>621.35</v>
      </c>
      <c r="G557" s="18" t="n">
        <f aca="false">SUMIFS(Cash_Receipts_AR!$E$2:$E$503,Cash_Receipts_AR!$B$2:$B$503,A557)</f>
        <v>310.9</v>
      </c>
      <c r="H557" s="18" t="n">
        <f aca="false">F557-G557</f>
        <v>310.45</v>
      </c>
      <c r="I557" s="16" t="n">
        <f aca="false">IF(H557&lt;=0.01,0,MAX(Assumptions!$B$5-E557,0))</f>
        <v>344</v>
      </c>
      <c r="J557" s="16" t="str">
        <f aca="false">IF(H557&lt;=0.01,"Paid",IF(I557&lt;=30,"0-30",IF(I557&lt;=60,"31-60",IF(I557&lt;=90,"61-90","90+"))))</f>
        <v>90+</v>
      </c>
      <c r="K557" s="16" t="str">
        <f aca="false">IF(H557&lt;=0.01,"Paid",IF(G557&gt;0,"Partially Paid","Unpaid"))</f>
        <v>Partially Paid</v>
      </c>
    </row>
    <row r="558" customFormat="false" ht="15" hidden="false" customHeight="false" outlineLevel="0" collapsed="false">
      <c r="A558" s="16" t="str">
        <f aca="false">Customer_Invoices_AR!A555</f>
        <v>ARI60554</v>
      </c>
      <c r="B558" s="16" t="str">
        <f aca="false">Customer_Invoices_AR!B555</f>
        <v>C2014</v>
      </c>
      <c r="C558" s="16" t="str">
        <f aca="false">IFERROR(INDEX(Customer_Master!$B$2:$B$31,MATCH(B558,Customer_Master!$A$2:$A$31,0)),"Unknown Customer")</f>
        <v>Baxter Inc</v>
      </c>
      <c r="D558" s="17" t="n">
        <f aca="false">Customer_Invoices_AR!C555</f>
        <v>45848</v>
      </c>
      <c r="E558" s="17" t="n">
        <f aca="false">Customer_Invoices_AR!E555</f>
        <v>45878</v>
      </c>
      <c r="F558" s="18" t="n">
        <f aca="false">Customer_Invoices_AR!D555</f>
        <v>434.92</v>
      </c>
      <c r="G558" s="18" t="n">
        <f aca="false">SUMIFS(Cash_Receipts_AR!$E$2:$E$503,Cash_Receipts_AR!$B$2:$B$503,A558)</f>
        <v>434.92</v>
      </c>
      <c r="H558" s="18" t="n">
        <f aca="false">F558-G558</f>
        <v>0</v>
      </c>
      <c r="I558" s="16" t="n">
        <f aca="false">IF(H558&lt;=0.01,0,MAX(Assumptions!$B$5-E558,0))</f>
        <v>0</v>
      </c>
      <c r="J558" s="16" t="str">
        <f aca="false">IF(H558&lt;=0.01,"Paid",IF(I558&lt;=30,"0-30",IF(I558&lt;=60,"31-60",IF(I558&lt;=90,"61-90","90+"))))</f>
        <v>Paid</v>
      </c>
      <c r="K558" s="16" t="str">
        <f aca="false">IF(H558&lt;=0.01,"Paid",IF(G558&gt;0,"Partially Paid","Unpaid"))</f>
        <v>Paid</v>
      </c>
    </row>
    <row r="559" customFormat="false" ht="15" hidden="false" customHeight="false" outlineLevel="0" collapsed="false">
      <c r="A559" s="16" t="str">
        <f aca="false">Customer_Invoices_AR!A556</f>
        <v>ARI60555</v>
      </c>
      <c r="B559" s="16" t="str">
        <f aca="false">Customer_Invoices_AR!B556</f>
        <v>C2018</v>
      </c>
      <c r="C559" s="16" t="str">
        <f aca="false">IFERROR(INDEX(Customer_Master!$B$2:$B$31,MATCH(B559,Customer_Master!$A$2:$A$31,0)),"Unknown Customer")</f>
        <v>Russell Group</v>
      </c>
      <c r="D559" s="17" t="n">
        <f aca="false">Customer_Invoices_AR!C556</f>
        <v>46166</v>
      </c>
      <c r="E559" s="17" t="n">
        <f aca="false">Customer_Invoices_AR!E556</f>
        <v>46181</v>
      </c>
      <c r="F559" s="18" t="n">
        <f aca="false">Customer_Invoices_AR!D556</f>
        <v>2192.72</v>
      </c>
      <c r="G559" s="18" t="n">
        <f aca="false">SUMIFS(Cash_Receipts_AR!$E$2:$E$503,Cash_Receipts_AR!$B$2:$B$503,A559)</f>
        <v>1575.31</v>
      </c>
      <c r="H559" s="18" t="n">
        <f aca="false">F559-G559</f>
        <v>617.41</v>
      </c>
      <c r="I559" s="16" t="n">
        <f aca="false">IF(H559&lt;=0.01,0,MAX(Assumptions!$B$5-E559,0))</f>
        <v>53</v>
      </c>
      <c r="J559" s="16" t="str">
        <f aca="false">IF(H559&lt;=0.01,"Paid",IF(I559&lt;=30,"0-30",IF(I559&lt;=60,"31-60",IF(I559&lt;=90,"61-90","90+"))))</f>
        <v>31-60</v>
      </c>
      <c r="K559" s="16" t="str">
        <f aca="false">IF(H559&lt;=0.01,"Paid",IF(G559&gt;0,"Partially Paid","Unpaid"))</f>
        <v>Partially Paid</v>
      </c>
    </row>
    <row r="560" customFormat="false" ht="15" hidden="false" customHeight="false" outlineLevel="0" collapsed="false">
      <c r="A560" s="16" t="str">
        <f aca="false">Customer_Invoices_AR!A557</f>
        <v>ARI60556</v>
      </c>
      <c r="B560" s="16" t="str">
        <f aca="false">Customer_Invoices_AR!B557</f>
        <v>C2006</v>
      </c>
      <c r="C560" s="16" t="str">
        <f aca="false">IFERROR(INDEX(Customer_Master!$B$2:$B$31,MATCH(B560,Customer_Master!$A$2:$A$31,0)),"Unknown Customer")</f>
        <v>Washington, Ryan and Cummings</v>
      </c>
      <c r="D560" s="17" t="n">
        <f aca="false">Customer_Invoices_AR!C557</f>
        <v>46091</v>
      </c>
      <c r="E560" s="17" t="n">
        <f aca="false">Customer_Invoices_AR!E557</f>
        <v>46106</v>
      </c>
      <c r="F560" s="18" t="n">
        <f aca="false">Customer_Invoices_AR!D557</f>
        <v>4060.23</v>
      </c>
      <c r="G560" s="18" t="n">
        <f aca="false">SUMIFS(Cash_Receipts_AR!$E$2:$E$503,Cash_Receipts_AR!$B$2:$B$503,A560)</f>
        <v>4060.23</v>
      </c>
      <c r="H560" s="18" t="n">
        <f aca="false">F560-G560</f>
        <v>0</v>
      </c>
      <c r="I560" s="16" t="n">
        <f aca="false">IF(H560&lt;=0.01,0,MAX(Assumptions!$B$5-E560,0))</f>
        <v>0</v>
      </c>
      <c r="J560" s="16" t="str">
        <f aca="false">IF(H560&lt;=0.01,"Paid",IF(I560&lt;=30,"0-30",IF(I560&lt;=60,"31-60",IF(I560&lt;=90,"61-90","90+"))))</f>
        <v>Paid</v>
      </c>
      <c r="K560" s="16" t="str">
        <f aca="false">IF(H560&lt;=0.01,"Paid",IF(G560&gt;0,"Partially Paid","Unpaid"))</f>
        <v>Paid</v>
      </c>
    </row>
    <row r="561" customFormat="false" ht="15" hidden="false" customHeight="false" outlineLevel="0" collapsed="false">
      <c r="A561" s="16" t="str">
        <f aca="false">Customer_Invoices_AR!A558</f>
        <v>ARI60557</v>
      </c>
      <c r="B561" s="16" t="str">
        <f aca="false">Customer_Invoices_AR!B558</f>
        <v>C2006</v>
      </c>
      <c r="C561" s="16" t="str">
        <f aca="false">IFERROR(INDEX(Customer_Master!$B$2:$B$31,MATCH(B561,Customer_Master!$A$2:$A$31,0)),"Unknown Customer")</f>
        <v>Washington, Ryan and Cummings</v>
      </c>
      <c r="D561" s="17" t="n">
        <f aca="false">Customer_Invoices_AR!C558</f>
        <v>45807</v>
      </c>
      <c r="E561" s="17" t="n">
        <f aca="false">Customer_Invoices_AR!E558</f>
        <v>45822</v>
      </c>
      <c r="F561" s="18" t="n">
        <f aca="false">Customer_Invoices_AR!D558</f>
        <v>1038.25</v>
      </c>
      <c r="G561" s="18" t="n">
        <f aca="false">SUMIFS(Cash_Receipts_AR!$E$2:$E$503,Cash_Receipts_AR!$B$2:$B$503,A561)</f>
        <v>446.95</v>
      </c>
      <c r="H561" s="18" t="n">
        <f aca="false">F561-G561</f>
        <v>591.3</v>
      </c>
      <c r="I561" s="16" t="n">
        <f aca="false">IF(H561&lt;=0.01,0,MAX(Assumptions!$B$5-E561,0))</f>
        <v>412</v>
      </c>
      <c r="J561" s="16" t="str">
        <f aca="false">IF(H561&lt;=0.01,"Paid",IF(I561&lt;=30,"0-30",IF(I561&lt;=60,"31-60",IF(I561&lt;=90,"61-90","90+"))))</f>
        <v>90+</v>
      </c>
      <c r="K561" s="16" t="str">
        <f aca="false">IF(H561&lt;=0.01,"Paid",IF(G561&gt;0,"Partially Paid","Unpaid"))</f>
        <v>Partially Paid</v>
      </c>
    </row>
    <row r="562" customFormat="false" ht="15" hidden="false" customHeight="false" outlineLevel="0" collapsed="false">
      <c r="A562" s="16" t="str">
        <f aca="false">Customer_Invoices_AR!A559</f>
        <v>ARI60558</v>
      </c>
      <c r="B562" s="16" t="str">
        <f aca="false">Customer_Invoices_AR!B559</f>
        <v>C2025</v>
      </c>
      <c r="C562" s="16" t="str">
        <f aca="false">IFERROR(INDEX(Customer_Master!$B$2:$B$31,MATCH(B562,Customer_Master!$A$2:$A$31,0)),"Unknown Customer")</f>
        <v>Daniels, Adkins and Brown</v>
      </c>
      <c r="D562" s="17" t="n">
        <f aca="false">Customer_Invoices_AR!C559</f>
        <v>45724</v>
      </c>
      <c r="E562" s="17" t="n">
        <f aca="false">Customer_Invoices_AR!E559</f>
        <v>45739</v>
      </c>
      <c r="F562" s="18" t="n">
        <f aca="false">Customer_Invoices_AR!D559</f>
        <v>769.32</v>
      </c>
      <c r="G562" s="18" t="n">
        <f aca="false">SUMIFS(Cash_Receipts_AR!$E$2:$E$503,Cash_Receipts_AR!$B$2:$B$503,A562)</f>
        <v>769.32</v>
      </c>
      <c r="H562" s="18" t="n">
        <f aca="false">F562-G562</f>
        <v>0</v>
      </c>
      <c r="I562" s="16" t="n">
        <f aca="false">IF(H562&lt;=0.01,0,MAX(Assumptions!$B$5-E562,0))</f>
        <v>0</v>
      </c>
      <c r="J562" s="16" t="str">
        <f aca="false">IF(H562&lt;=0.01,"Paid",IF(I562&lt;=30,"0-30",IF(I562&lt;=60,"31-60",IF(I562&lt;=90,"61-90","90+"))))</f>
        <v>Paid</v>
      </c>
      <c r="K562" s="16" t="str">
        <f aca="false">IF(H562&lt;=0.01,"Paid",IF(G562&gt;0,"Partially Paid","Unpaid"))</f>
        <v>Paid</v>
      </c>
    </row>
    <row r="563" customFormat="false" ht="15" hidden="false" customHeight="false" outlineLevel="0" collapsed="false">
      <c r="A563" s="16" t="str">
        <f aca="false">Customer_Invoices_AR!A560</f>
        <v>ARI60559</v>
      </c>
      <c r="B563" s="16" t="str">
        <f aca="false">Customer_Invoices_AR!B560</f>
        <v>C2022</v>
      </c>
      <c r="C563" s="16" t="str">
        <f aca="false">IFERROR(INDEX(Customer_Master!$B$2:$B$31,MATCH(B563,Customer_Master!$A$2:$A$31,0)),"Unknown Customer")</f>
        <v>Henderson-Bernard</v>
      </c>
      <c r="D563" s="17" t="n">
        <f aca="false">Customer_Invoices_AR!C560</f>
        <v>46026</v>
      </c>
      <c r="E563" s="17" t="n">
        <f aca="false">Customer_Invoices_AR!E560</f>
        <v>46056</v>
      </c>
      <c r="F563" s="18" t="n">
        <f aca="false">Customer_Invoices_AR!D560</f>
        <v>1309.37</v>
      </c>
      <c r="G563" s="18" t="n">
        <f aca="false">SUMIFS(Cash_Receipts_AR!$E$2:$E$503,Cash_Receipts_AR!$B$2:$B$503,A563)</f>
        <v>1309.37</v>
      </c>
      <c r="H563" s="18" t="n">
        <f aca="false">F563-G563</f>
        <v>0</v>
      </c>
      <c r="I563" s="16" t="n">
        <f aca="false">IF(H563&lt;=0.01,0,MAX(Assumptions!$B$5-E563,0))</f>
        <v>0</v>
      </c>
      <c r="J563" s="16" t="str">
        <f aca="false">IF(H563&lt;=0.01,"Paid",IF(I563&lt;=30,"0-30",IF(I563&lt;=60,"31-60",IF(I563&lt;=90,"61-90","90+"))))</f>
        <v>Paid</v>
      </c>
      <c r="K563" s="16" t="str">
        <f aca="false">IF(H563&lt;=0.01,"Paid",IF(G563&gt;0,"Partially Paid","Unpaid"))</f>
        <v>Paid</v>
      </c>
    </row>
    <row r="564" customFormat="false" ht="15" hidden="false" customHeight="false" outlineLevel="0" collapsed="false">
      <c r="A564" s="16" t="str">
        <f aca="false">Customer_Invoices_AR!A561</f>
        <v>ARI60560</v>
      </c>
      <c r="B564" s="16" t="str">
        <f aca="false">Customer_Invoices_AR!B561</f>
        <v>C2025</v>
      </c>
      <c r="C564" s="16" t="str">
        <f aca="false">IFERROR(INDEX(Customer_Master!$B$2:$B$31,MATCH(B564,Customer_Master!$A$2:$A$31,0)),"Unknown Customer")</f>
        <v>Daniels, Adkins and Brown</v>
      </c>
      <c r="D564" s="17" t="n">
        <f aca="false">Customer_Invoices_AR!C561</f>
        <v>45864</v>
      </c>
      <c r="E564" s="17" t="n">
        <f aca="false">Customer_Invoices_AR!E561</f>
        <v>45879</v>
      </c>
      <c r="F564" s="18" t="n">
        <f aca="false">Customer_Invoices_AR!D561</f>
        <v>936.39</v>
      </c>
      <c r="G564" s="18" t="n">
        <f aca="false">SUMIFS(Cash_Receipts_AR!$E$2:$E$503,Cash_Receipts_AR!$B$2:$B$503,A564)</f>
        <v>936.39</v>
      </c>
      <c r="H564" s="18" t="n">
        <f aca="false">F564-G564</f>
        <v>0</v>
      </c>
      <c r="I564" s="16" t="n">
        <f aca="false">IF(H564&lt;=0.01,0,MAX(Assumptions!$B$5-E564,0))</f>
        <v>0</v>
      </c>
      <c r="J564" s="16" t="str">
        <f aca="false">IF(H564&lt;=0.01,"Paid",IF(I564&lt;=30,"0-30",IF(I564&lt;=60,"31-60",IF(I564&lt;=90,"61-90","90+"))))</f>
        <v>Paid</v>
      </c>
      <c r="K564" s="16" t="str">
        <f aca="false">IF(H564&lt;=0.01,"Paid",IF(G564&gt;0,"Partially Paid","Unpaid"))</f>
        <v>Paid</v>
      </c>
    </row>
    <row r="565" customFormat="false" ht="15" hidden="false" customHeight="false" outlineLevel="0" collapsed="false">
      <c r="A565" s="16" t="str">
        <f aca="false">Customer_Invoices_AR!A562</f>
        <v>ARI60561</v>
      </c>
      <c r="B565" s="16" t="str">
        <f aca="false">Customer_Invoices_AR!B562</f>
        <v>C2023</v>
      </c>
      <c r="C565" s="16" t="str">
        <f aca="false">IFERROR(INDEX(Customer_Master!$B$2:$B$31,MATCH(B565,Customer_Master!$A$2:$A$31,0)),"Unknown Customer")</f>
        <v>Stanley, Tucker and Lee</v>
      </c>
      <c r="D565" s="17" t="n">
        <f aca="false">Customer_Invoices_AR!C562</f>
        <v>46192</v>
      </c>
      <c r="E565" s="17" t="n">
        <f aca="false">Customer_Invoices_AR!E562</f>
        <v>46252</v>
      </c>
      <c r="F565" s="18" t="n">
        <f aca="false">Customer_Invoices_AR!D562</f>
        <v>1399.11</v>
      </c>
      <c r="G565" s="18" t="n">
        <f aca="false">SUMIFS(Cash_Receipts_AR!$E$2:$E$503,Cash_Receipts_AR!$B$2:$B$503,A565)</f>
        <v>0</v>
      </c>
      <c r="H565" s="18" t="n">
        <f aca="false">F565-G565</f>
        <v>1399.11</v>
      </c>
      <c r="I565" s="16" t="n">
        <f aca="false">IF(H565&lt;=0.01,0,MAX(Assumptions!$B$5-E565,0))</f>
        <v>0</v>
      </c>
      <c r="J565" s="16" t="str">
        <f aca="false">IF(H565&lt;=0.01,"Paid",IF(I565&lt;=30,"0-30",IF(I565&lt;=60,"31-60",IF(I565&lt;=90,"61-90","90+"))))</f>
        <v>0-30</v>
      </c>
      <c r="K565" s="16" t="str">
        <f aca="false">IF(H565&lt;=0.01,"Paid",IF(G565&gt;0,"Partially Paid","Unpaid"))</f>
        <v>Unpaid</v>
      </c>
    </row>
    <row r="566" customFormat="false" ht="15" hidden="false" customHeight="false" outlineLevel="0" collapsed="false">
      <c r="A566" s="16" t="str">
        <f aca="false">Customer_Invoices_AR!A563</f>
        <v>ARI60562</v>
      </c>
      <c r="B566" s="16" t="str">
        <f aca="false">Customer_Invoices_AR!B563</f>
        <v>C2013</v>
      </c>
      <c r="C566" s="16" t="str">
        <f aca="false">IFERROR(INDEX(Customer_Master!$B$2:$B$31,MATCH(B566,Customer_Master!$A$2:$A$31,0)),"Unknown Customer")</f>
        <v>West, Henderson and Ramirez</v>
      </c>
      <c r="D566" s="17" t="n">
        <f aca="false">Customer_Invoices_AR!C563</f>
        <v>46104</v>
      </c>
      <c r="E566" s="17" t="n">
        <f aca="false">Customer_Invoices_AR!E563</f>
        <v>46164</v>
      </c>
      <c r="F566" s="18" t="n">
        <f aca="false">Customer_Invoices_AR!D563</f>
        <v>685.41</v>
      </c>
      <c r="G566" s="18" t="n">
        <f aca="false">SUMIFS(Cash_Receipts_AR!$E$2:$E$503,Cash_Receipts_AR!$B$2:$B$503,A566)</f>
        <v>685.41</v>
      </c>
      <c r="H566" s="18" t="n">
        <f aca="false">F566-G566</f>
        <v>0</v>
      </c>
      <c r="I566" s="16" t="n">
        <f aca="false">IF(H566&lt;=0.01,0,MAX(Assumptions!$B$5-E566,0))</f>
        <v>0</v>
      </c>
      <c r="J566" s="16" t="str">
        <f aca="false">IF(H566&lt;=0.01,"Paid",IF(I566&lt;=30,"0-30",IF(I566&lt;=60,"31-60",IF(I566&lt;=90,"61-90","90+"))))</f>
        <v>Paid</v>
      </c>
      <c r="K566" s="16" t="str">
        <f aca="false">IF(H566&lt;=0.01,"Paid",IF(G566&gt;0,"Partially Paid","Unpaid"))</f>
        <v>Paid</v>
      </c>
    </row>
    <row r="567" customFormat="false" ht="15" hidden="false" customHeight="false" outlineLevel="0" collapsed="false">
      <c r="A567" s="16" t="str">
        <f aca="false">Customer_Invoices_AR!A564</f>
        <v>ARI60563</v>
      </c>
      <c r="B567" s="16" t="str">
        <f aca="false">Customer_Invoices_AR!B564</f>
        <v>C2021</v>
      </c>
      <c r="C567" s="16" t="str">
        <f aca="false">IFERROR(INDEX(Customer_Master!$B$2:$B$31,MATCH(B567,Customer_Master!$A$2:$A$31,0)),"Unknown Customer")</f>
        <v>House-Glover</v>
      </c>
      <c r="D567" s="17" t="n">
        <f aca="false">Customer_Invoices_AR!C564</f>
        <v>46178</v>
      </c>
      <c r="E567" s="17" t="n">
        <f aca="false">Customer_Invoices_AR!E564</f>
        <v>46238</v>
      </c>
      <c r="F567" s="18" t="n">
        <f aca="false">Customer_Invoices_AR!D564</f>
        <v>2090.4</v>
      </c>
      <c r="G567" s="18" t="n">
        <f aca="false">SUMIFS(Cash_Receipts_AR!$E$2:$E$503,Cash_Receipts_AR!$B$2:$B$503,A567)</f>
        <v>0</v>
      </c>
      <c r="H567" s="18" t="n">
        <f aca="false">F567-G567</f>
        <v>2090.4</v>
      </c>
      <c r="I567" s="16" t="n">
        <f aca="false">IF(H567&lt;=0.01,0,MAX(Assumptions!$B$5-E567,0))</f>
        <v>0</v>
      </c>
      <c r="J567" s="16" t="str">
        <f aca="false">IF(H567&lt;=0.01,"Paid",IF(I567&lt;=30,"0-30",IF(I567&lt;=60,"31-60",IF(I567&lt;=90,"61-90","90+"))))</f>
        <v>0-30</v>
      </c>
      <c r="K567" s="16" t="str">
        <f aca="false">IF(H567&lt;=0.01,"Paid",IF(G567&gt;0,"Partially Paid","Unpaid"))</f>
        <v>Unpaid</v>
      </c>
    </row>
    <row r="568" customFormat="false" ht="15" hidden="false" customHeight="false" outlineLevel="0" collapsed="false">
      <c r="A568" s="16" t="str">
        <f aca="false">Customer_Invoices_AR!A565</f>
        <v>ARI60564</v>
      </c>
      <c r="B568" s="16" t="str">
        <f aca="false">Customer_Invoices_AR!B565</f>
        <v>C2002</v>
      </c>
      <c r="C568" s="16" t="str">
        <f aca="false">IFERROR(INDEX(Customer_Master!$B$2:$B$31,MATCH(B568,Customer_Master!$A$2:$A$31,0)),"Unknown Customer")</f>
        <v>Smith-Spencer</v>
      </c>
      <c r="D568" s="17" t="n">
        <f aca="false">Customer_Invoices_AR!C565</f>
        <v>46096</v>
      </c>
      <c r="E568" s="17" t="n">
        <f aca="false">Customer_Invoices_AR!E565</f>
        <v>46111</v>
      </c>
      <c r="F568" s="18" t="n">
        <f aca="false">Customer_Invoices_AR!D565</f>
        <v>4359.06</v>
      </c>
      <c r="G568" s="18" t="n">
        <f aca="false">SUMIFS(Cash_Receipts_AR!$E$2:$E$503,Cash_Receipts_AR!$B$2:$B$503,A568)</f>
        <v>2400.89</v>
      </c>
      <c r="H568" s="18" t="n">
        <f aca="false">F568-G568</f>
        <v>1958.17</v>
      </c>
      <c r="I568" s="16" t="n">
        <f aca="false">IF(H568&lt;=0.01,0,MAX(Assumptions!$B$5-E568,0))</f>
        <v>123</v>
      </c>
      <c r="J568" s="16" t="str">
        <f aca="false">IF(H568&lt;=0.01,"Paid",IF(I568&lt;=30,"0-30",IF(I568&lt;=60,"31-60",IF(I568&lt;=90,"61-90","90+"))))</f>
        <v>90+</v>
      </c>
      <c r="K568" s="16" t="str">
        <f aca="false">IF(H568&lt;=0.01,"Paid",IF(G568&gt;0,"Partially Paid","Unpaid"))</f>
        <v>Partially Paid</v>
      </c>
    </row>
    <row r="569" customFormat="false" ht="15" hidden="false" customHeight="false" outlineLevel="0" collapsed="false">
      <c r="A569" s="16" t="str">
        <f aca="false">Customer_Invoices_AR!A566</f>
        <v>ARI60565</v>
      </c>
      <c r="B569" s="16" t="str">
        <f aca="false">Customer_Invoices_AR!B566</f>
        <v>C2026</v>
      </c>
      <c r="C569" s="16" t="str">
        <f aca="false">IFERROR(INDEX(Customer_Master!$B$2:$B$31,MATCH(B569,Customer_Master!$A$2:$A$31,0)),"Unknown Customer")</f>
        <v>Woods, Calhoun and Schmidt</v>
      </c>
      <c r="D569" s="17" t="n">
        <f aca="false">Customer_Invoices_AR!C566</f>
        <v>45816</v>
      </c>
      <c r="E569" s="17" t="n">
        <f aca="false">Customer_Invoices_AR!E566</f>
        <v>45876</v>
      </c>
      <c r="F569" s="18" t="n">
        <f aca="false">Customer_Invoices_AR!D566</f>
        <v>19038.18</v>
      </c>
      <c r="G569" s="18" t="n">
        <f aca="false">SUMIFS(Cash_Receipts_AR!$E$2:$E$503,Cash_Receipts_AR!$B$2:$B$503,A569)</f>
        <v>19038.18</v>
      </c>
      <c r="H569" s="18" t="n">
        <f aca="false">F569-G569</f>
        <v>0</v>
      </c>
      <c r="I569" s="16" t="n">
        <f aca="false">IF(H569&lt;=0.01,0,MAX(Assumptions!$B$5-E569,0))</f>
        <v>0</v>
      </c>
      <c r="J569" s="16" t="str">
        <f aca="false">IF(H569&lt;=0.01,"Paid",IF(I569&lt;=30,"0-30",IF(I569&lt;=60,"31-60",IF(I569&lt;=90,"61-90","90+"))))</f>
        <v>Paid</v>
      </c>
      <c r="K569" s="16" t="str">
        <f aca="false">IF(H569&lt;=0.01,"Paid",IF(G569&gt;0,"Partially Paid","Unpaid"))</f>
        <v>Paid</v>
      </c>
    </row>
    <row r="570" customFormat="false" ht="15" hidden="false" customHeight="false" outlineLevel="0" collapsed="false">
      <c r="A570" s="16" t="str">
        <f aca="false">Customer_Invoices_AR!A567</f>
        <v>ARI60566</v>
      </c>
      <c r="B570" s="16" t="str">
        <f aca="false">Customer_Invoices_AR!B567</f>
        <v>C2027</v>
      </c>
      <c r="C570" s="16" t="str">
        <f aca="false">IFERROR(INDEX(Customer_Master!$B$2:$B$31,MATCH(B570,Customer_Master!$A$2:$A$31,0)),"Unknown Customer")</f>
        <v>Yu Inc</v>
      </c>
      <c r="D570" s="17" t="n">
        <f aca="false">Customer_Invoices_AR!C567</f>
        <v>45814</v>
      </c>
      <c r="E570" s="17" t="n">
        <f aca="false">Customer_Invoices_AR!E567</f>
        <v>45874</v>
      </c>
      <c r="F570" s="18" t="n">
        <f aca="false">Customer_Invoices_AR!D567</f>
        <v>1340.55</v>
      </c>
      <c r="G570" s="18" t="n">
        <f aca="false">SUMIFS(Cash_Receipts_AR!$E$2:$E$503,Cash_Receipts_AR!$B$2:$B$503,A570)</f>
        <v>0</v>
      </c>
      <c r="H570" s="18" t="n">
        <f aca="false">F570-G570</f>
        <v>1340.55</v>
      </c>
      <c r="I570" s="16" t="n">
        <f aca="false">IF(H570&lt;=0.01,0,MAX(Assumptions!$B$5-E570,0))</f>
        <v>360</v>
      </c>
      <c r="J570" s="16" t="str">
        <f aca="false">IF(H570&lt;=0.01,"Paid",IF(I570&lt;=30,"0-30",IF(I570&lt;=60,"31-60",IF(I570&lt;=90,"61-90","90+"))))</f>
        <v>90+</v>
      </c>
      <c r="K570" s="16" t="str">
        <f aca="false">IF(H570&lt;=0.01,"Paid",IF(G570&gt;0,"Partially Paid","Unpaid"))</f>
        <v>Unpaid</v>
      </c>
    </row>
    <row r="571" customFormat="false" ht="15" hidden="false" customHeight="false" outlineLevel="0" collapsed="false">
      <c r="A571" s="16" t="str">
        <f aca="false">Customer_Invoices_AR!A568</f>
        <v>ARI60567</v>
      </c>
      <c r="B571" s="16" t="str">
        <f aca="false">Customer_Invoices_AR!B568</f>
        <v>C2025</v>
      </c>
      <c r="C571" s="16" t="str">
        <f aca="false">IFERROR(INDEX(Customer_Master!$B$2:$B$31,MATCH(B571,Customer_Master!$A$2:$A$31,0)),"Unknown Customer")</f>
        <v>Daniels, Adkins and Brown</v>
      </c>
      <c r="D571" s="17" t="n">
        <f aca="false">Customer_Invoices_AR!C568</f>
        <v>46047</v>
      </c>
      <c r="E571" s="17" t="n">
        <f aca="false">Customer_Invoices_AR!E568</f>
        <v>46062</v>
      </c>
      <c r="F571" s="18" t="n">
        <f aca="false">Customer_Invoices_AR!D568</f>
        <v>2291.28</v>
      </c>
      <c r="G571" s="18" t="n">
        <f aca="false">SUMIFS(Cash_Receipts_AR!$E$2:$E$503,Cash_Receipts_AR!$B$2:$B$503,A571)</f>
        <v>2291.28</v>
      </c>
      <c r="H571" s="18" t="n">
        <f aca="false">F571-G571</f>
        <v>0</v>
      </c>
      <c r="I571" s="16" t="n">
        <f aca="false">IF(H571&lt;=0.01,0,MAX(Assumptions!$B$5-E571,0))</f>
        <v>0</v>
      </c>
      <c r="J571" s="16" t="str">
        <f aca="false">IF(H571&lt;=0.01,"Paid",IF(I571&lt;=30,"0-30",IF(I571&lt;=60,"31-60",IF(I571&lt;=90,"61-90","90+"))))</f>
        <v>Paid</v>
      </c>
      <c r="K571" s="16" t="str">
        <f aca="false">IF(H571&lt;=0.01,"Paid",IF(G571&gt;0,"Partially Paid","Unpaid"))</f>
        <v>Paid</v>
      </c>
    </row>
    <row r="572" customFormat="false" ht="15" hidden="false" customHeight="false" outlineLevel="0" collapsed="false">
      <c r="A572" s="16" t="str">
        <f aca="false">Customer_Invoices_AR!A569</f>
        <v>ARI60568</v>
      </c>
      <c r="B572" s="16" t="str">
        <f aca="false">Customer_Invoices_AR!B569</f>
        <v>C2013</v>
      </c>
      <c r="C572" s="16" t="str">
        <f aca="false">IFERROR(INDEX(Customer_Master!$B$2:$B$31,MATCH(B572,Customer_Master!$A$2:$A$31,0)),"Unknown Customer")</f>
        <v>West, Henderson and Ramirez</v>
      </c>
      <c r="D572" s="17" t="n">
        <f aca="false">Customer_Invoices_AR!C569</f>
        <v>45846</v>
      </c>
      <c r="E572" s="17" t="n">
        <f aca="false">Customer_Invoices_AR!E569</f>
        <v>45906</v>
      </c>
      <c r="F572" s="18" t="n">
        <f aca="false">Customer_Invoices_AR!D569</f>
        <v>249.31</v>
      </c>
      <c r="G572" s="18" t="n">
        <f aca="false">SUMIFS(Cash_Receipts_AR!$E$2:$E$503,Cash_Receipts_AR!$B$2:$B$503,A572)</f>
        <v>249.31</v>
      </c>
      <c r="H572" s="18" t="n">
        <f aca="false">F572-G572</f>
        <v>0</v>
      </c>
      <c r="I572" s="16" t="n">
        <f aca="false">IF(H572&lt;=0.01,0,MAX(Assumptions!$B$5-E572,0))</f>
        <v>0</v>
      </c>
      <c r="J572" s="16" t="str">
        <f aca="false">IF(H572&lt;=0.01,"Paid",IF(I572&lt;=30,"0-30",IF(I572&lt;=60,"31-60",IF(I572&lt;=90,"61-90","90+"))))</f>
        <v>Paid</v>
      </c>
      <c r="K572" s="16" t="str">
        <f aca="false">IF(H572&lt;=0.01,"Paid",IF(G572&gt;0,"Partially Paid","Unpaid"))</f>
        <v>Paid</v>
      </c>
    </row>
    <row r="573" customFormat="false" ht="15" hidden="false" customHeight="false" outlineLevel="0" collapsed="false">
      <c r="A573" s="16" t="str">
        <f aca="false">Customer_Invoices_AR!A570</f>
        <v>ARI60569</v>
      </c>
      <c r="B573" s="16" t="str">
        <f aca="false">Customer_Invoices_AR!B570</f>
        <v>C2027</v>
      </c>
      <c r="C573" s="16" t="str">
        <f aca="false">IFERROR(INDEX(Customer_Master!$B$2:$B$31,MATCH(B573,Customer_Master!$A$2:$A$31,0)),"Unknown Customer")</f>
        <v>Yu Inc</v>
      </c>
      <c r="D573" s="17" t="n">
        <f aca="false">Customer_Invoices_AR!C570</f>
        <v>45899</v>
      </c>
      <c r="E573" s="17" t="n">
        <f aca="false">Customer_Invoices_AR!E570</f>
        <v>45959</v>
      </c>
      <c r="F573" s="18" t="n">
        <f aca="false">Customer_Invoices_AR!D570</f>
        <v>1973.38</v>
      </c>
      <c r="G573" s="18" t="n">
        <f aca="false">SUMIFS(Cash_Receipts_AR!$E$2:$E$503,Cash_Receipts_AR!$B$2:$B$503,A573)</f>
        <v>1973.38</v>
      </c>
      <c r="H573" s="18" t="n">
        <f aca="false">F573-G573</f>
        <v>0</v>
      </c>
      <c r="I573" s="16" t="n">
        <f aca="false">IF(H573&lt;=0.01,0,MAX(Assumptions!$B$5-E573,0))</f>
        <v>0</v>
      </c>
      <c r="J573" s="16" t="str">
        <f aca="false">IF(H573&lt;=0.01,"Paid",IF(I573&lt;=30,"0-30",IF(I573&lt;=60,"31-60",IF(I573&lt;=90,"61-90","90+"))))</f>
        <v>Paid</v>
      </c>
      <c r="K573" s="16" t="str">
        <f aca="false">IF(H573&lt;=0.01,"Paid",IF(G573&gt;0,"Partially Paid","Unpaid"))</f>
        <v>Paid</v>
      </c>
    </row>
    <row r="574" customFormat="false" ht="15" hidden="false" customHeight="false" outlineLevel="0" collapsed="false">
      <c r="A574" s="16" t="str">
        <f aca="false">Customer_Invoices_AR!A571</f>
        <v>ARI60570</v>
      </c>
      <c r="B574" s="16" t="str">
        <f aca="false">Customer_Invoices_AR!B571</f>
        <v>C2009</v>
      </c>
      <c r="C574" s="16" t="str">
        <f aca="false">IFERROR(INDEX(Customer_Master!$B$2:$B$31,MATCH(B574,Customer_Master!$A$2:$A$31,0)),"Unknown Customer")</f>
        <v>Gomez-Jenkins</v>
      </c>
      <c r="D574" s="17" t="n">
        <f aca="false">Customer_Invoices_AR!C571</f>
        <v>45797</v>
      </c>
      <c r="E574" s="17" t="n">
        <f aca="false">Customer_Invoices_AR!E571</f>
        <v>45842</v>
      </c>
      <c r="F574" s="18" t="n">
        <f aca="false">Customer_Invoices_AR!D571</f>
        <v>1252.42</v>
      </c>
      <c r="G574" s="18" t="n">
        <f aca="false">SUMIFS(Cash_Receipts_AR!$E$2:$E$503,Cash_Receipts_AR!$B$2:$B$503,A574)</f>
        <v>1252.42</v>
      </c>
      <c r="H574" s="18" t="n">
        <f aca="false">F574-G574</f>
        <v>0</v>
      </c>
      <c r="I574" s="16" t="n">
        <f aca="false">IF(H574&lt;=0.01,0,MAX(Assumptions!$B$5-E574,0))</f>
        <v>0</v>
      </c>
      <c r="J574" s="16" t="str">
        <f aca="false">IF(H574&lt;=0.01,"Paid",IF(I574&lt;=30,"0-30",IF(I574&lt;=60,"31-60",IF(I574&lt;=90,"61-90","90+"))))</f>
        <v>Paid</v>
      </c>
      <c r="K574" s="16" t="str">
        <f aca="false">IF(H574&lt;=0.01,"Paid",IF(G574&gt;0,"Partially Paid","Unpaid"))</f>
        <v>Paid</v>
      </c>
    </row>
    <row r="575" customFormat="false" ht="15" hidden="false" customHeight="false" outlineLevel="0" collapsed="false">
      <c r="A575" s="16" t="str">
        <f aca="false">Customer_Invoices_AR!A572</f>
        <v>ARI60571</v>
      </c>
      <c r="B575" s="16" t="str">
        <f aca="false">Customer_Invoices_AR!B572</f>
        <v>C2028</v>
      </c>
      <c r="C575" s="16" t="str">
        <f aca="false">IFERROR(INDEX(Customer_Master!$B$2:$B$31,MATCH(B575,Customer_Master!$A$2:$A$31,0)),"Unknown Customer")</f>
        <v>Jones Inc</v>
      </c>
      <c r="D575" s="17" t="n">
        <f aca="false">Customer_Invoices_AR!C572</f>
        <v>45919</v>
      </c>
      <c r="E575" s="17" t="n">
        <f aca="false">Customer_Invoices_AR!E572</f>
        <v>45934</v>
      </c>
      <c r="F575" s="18" t="n">
        <f aca="false">Customer_Invoices_AR!D572</f>
        <v>304.24</v>
      </c>
      <c r="G575" s="18" t="n">
        <f aca="false">SUMIFS(Cash_Receipts_AR!$E$2:$E$503,Cash_Receipts_AR!$B$2:$B$503,A575)</f>
        <v>304.24</v>
      </c>
      <c r="H575" s="18" t="n">
        <f aca="false">F575-G575</f>
        <v>0</v>
      </c>
      <c r="I575" s="16" t="n">
        <f aca="false">IF(H575&lt;=0.01,0,MAX(Assumptions!$B$5-E575,0))</f>
        <v>0</v>
      </c>
      <c r="J575" s="16" t="str">
        <f aca="false">IF(H575&lt;=0.01,"Paid",IF(I575&lt;=30,"0-30",IF(I575&lt;=60,"31-60",IF(I575&lt;=90,"61-90","90+"))))</f>
        <v>Paid</v>
      </c>
      <c r="K575" s="16" t="str">
        <f aca="false">IF(H575&lt;=0.01,"Paid",IF(G575&gt;0,"Partially Paid","Unpaid"))</f>
        <v>Paid</v>
      </c>
    </row>
    <row r="576" customFormat="false" ht="15" hidden="false" customHeight="false" outlineLevel="0" collapsed="false">
      <c r="A576" s="16" t="str">
        <f aca="false">Customer_Invoices_AR!A573</f>
        <v>ARI60572</v>
      </c>
      <c r="B576" s="16" t="str">
        <f aca="false">Customer_Invoices_AR!B573</f>
        <v>C2027</v>
      </c>
      <c r="C576" s="16" t="str">
        <f aca="false">IFERROR(INDEX(Customer_Master!$B$2:$B$31,MATCH(B576,Customer_Master!$A$2:$A$31,0)),"Unknown Customer")</f>
        <v>Yu Inc</v>
      </c>
      <c r="D576" s="17" t="n">
        <f aca="false">Customer_Invoices_AR!C573</f>
        <v>45768</v>
      </c>
      <c r="E576" s="17" t="n">
        <f aca="false">Customer_Invoices_AR!E573</f>
        <v>45828</v>
      </c>
      <c r="F576" s="18" t="n">
        <f aca="false">Customer_Invoices_AR!D573</f>
        <v>3223.74</v>
      </c>
      <c r="G576" s="18" t="n">
        <f aca="false">SUMIFS(Cash_Receipts_AR!$E$2:$E$503,Cash_Receipts_AR!$B$2:$B$503,A576)</f>
        <v>1479.95</v>
      </c>
      <c r="H576" s="18" t="n">
        <f aca="false">F576-G576</f>
        <v>1743.79</v>
      </c>
      <c r="I576" s="16" t="n">
        <f aca="false">IF(H576&lt;=0.01,0,MAX(Assumptions!$B$5-E576,0))</f>
        <v>406</v>
      </c>
      <c r="J576" s="16" t="str">
        <f aca="false">IF(H576&lt;=0.01,"Paid",IF(I576&lt;=30,"0-30",IF(I576&lt;=60,"31-60",IF(I576&lt;=90,"61-90","90+"))))</f>
        <v>90+</v>
      </c>
      <c r="K576" s="16" t="str">
        <f aca="false">IF(H576&lt;=0.01,"Paid",IF(G576&gt;0,"Partially Paid","Unpaid"))</f>
        <v>Partially Paid</v>
      </c>
    </row>
    <row r="577" customFormat="false" ht="15" hidden="false" customHeight="false" outlineLevel="0" collapsed="false">
      <c r="A577" s="16" t="str">
        <f aca="false">Customer_Invoices_AR!A574</f>
        <v>ARI60573</v>
      </c>
      <c r="B577" s="16" t="str">
        <f aca="false">Customer_Invoices_AR!B574</f>
        <v>C2030</v>
      </c>
      <c r="C577" s="16" t="str">
        <f aca="false">IFERROR(INDEX(Customer_Master!$B$2:$B$31,MATCH(B577,Customer_Master!$A$2:$A$31,0)),"Unknown Customer")</f>
        <v>Sanchez, Wheeler and Harvey</v>
      </c>
      <c r="D577" s="17" t="n">
        <f aca="false">Customer_Invoices_AR!C574</f>
        <v>45951</v>
      </c>
      <c r="E577" s="17" t="n">
        <f aca="false">Customer_Invoices_AR!E574</f>
        <v>45966</v>
      </c>
      <c r="F577" s="18" t="n">
        <f aca="false">Customer_Invoices_AR!D574</f>
        <v>3207.98</v>
      </c>
      <c r="G577" s="18" t="n">
        <f aca="false">SUMIFS(Cash_Receipts_AR!$E$2:$E$503,Cash_Receipts_AR!$B$2:$B$503,A577)</f>
        <v>3207.98</v>
      </c>
      <c r="H577" s="18" t="n">
        <f aca="false">F577-G577</f>
        <v>0</v>
      </c>
      <c r="I577" s="16" t="n">
        <f aca="false">IF(H577&lt;=0.01,0,MAX(Assumptions!$B$5-E577,0))</f>
        <v>0</v>
      </c>
      <c r="J577" s="16" t="str">
        <f aca="false">IF(H577&lt;=0.01,"Paid",IF(I577&lt;=30,"0-30",IF(I577&lt;=60,"31-60",IF(I577&lt;=90,"61-90","90+"))))</f>
        <v>Paid</v>
      </c>
      <c r="K577" s="16" t="str">
        <f aca="false">IF(H577&lt;=0.01,"Paid",IF(G577&gt;0,"Partially Paid","Unpaid"))</f>
        <v>Paid</v>
      </c>
    </row>
    <row r="578" customFormat="false" ht="15" hidden="false" customHeight="false" outlineLevel="0" collapsed="false">
      <c r="A578" s="16" t="str">
        <f aca="false">Customer_Invoices_AR!A575</f>
        <v>ARI60574</v>
      </c>
      <c r="B578" s="16" t="str">
        <f aca="false">Customer_Invoices_AR!B575</f>
        <v>C2007</v>
      </c>
      <c r="C578" s="16" t="str">
        <f aca="false">IFERROR(INDEX(Customer_Master!$B$2:$B$31,MATCH(B578,Customer_Master!$A$2:$A$31,0)),"Unknown Customer")</f>
        <v>Johnston, Sanchez and Kennedy</v>
      </c>
      <c r="D578" s="17" t="n">
        <f aca="false">Customer_Invoices_AR!C575</f>
        <v>46166</v>
      </c>
      <c r="E578" s="17" t="n">
        <f aca="false">Customer_Invoices_AR!E575</f>
        <v>46196</v>
      </c>
      <c r="F578" s="18" t="n">
        <f aca="false">Customer_Invoices_AR!D575</f>
        <v>2634.36</v>
      </c>
      <c r="G578" s="18" t="n">
        <f aca="false">SUMIFS(Cash_Receipts_AR!$E$2:$E$503,Cash_Receipts_AR!$B$2:$B$503,A578)</f>
        <v>874.24</v>
      </c>
      <c r="H578" s="18" t="n">
        <f aca="false">F578-G578</f>
        <v>1760.12</v>
      </c>
      <c r="I578" s="16" t="n">
        <f aca="false">IF(H578&lt;=0.01,0,MAX(Assumptions!$B$5-E578,0))</f>
        <v>38</v>
      </c>
      <c r="J578" s="16" t="str">
        <f aca="false">IF(H578&lt;=0.01,"Paid",IF(I578&lt;=30,"0-30",IF(I578&lt;=60,"31-60",IF(I578&lt;=90,"61-90","90+"))))</f>
        <v>31-60</v>
      </c>
      <c r="K578" s="16" t="str">
        <f aca="false">IF(H578&lt;=0.01,"Paid",IF(G578&gt;0,"Partially Paid","Unpaid"))</f>
        <v>Partially Paid</v>
      </c>
    </row>
    <row r="579" customFormat="false" ht="15" hidden="false" customHeight="false" outlineLevel="0" collapsed="false">
      <c r="A579" s="16" t="str">
        <f aca="false">Customer_Invoices_AR!A576</f>
        <v>ARI60575</v>
      </c>
      <c r="B579" s="16" t="str">
        <f aca="false">Customer_Invoices_AR!B576</f>
        <v>C2021</v>
      </c>
      <c r="C579" s="16" t="str">
        <f aca="false">IFERROR(INDEX(Customer_Master!$B$2:$B$31,MATCH(B579,Customer_Master!$A$2:$A$31,0)),"Unknown Customer")</f>
        <v>House-Glover</v>
      </c>
      <c r="D579" s="17" t="n">
        <f aca="false">Customer_Invoices_AR!C576</f>
        <v>46037</v>
      </c>
      <c r="E579" s="17" t="n">
        <f aca="false">Customer_Invoices_AR!E576</f>
        <v>46097</v>
      </c>
      <c r="F579" s="18" t="n">
        <f aca="false">Customer_Invoices_AR!D576</f>
        <v>433.9</v>
      </c>
      <c r="G579" s="18" t="n">
        <f aca="false">SUMIFS(Cash_Receipts_AR!$E$2:$E$503,Cash_Receipts_AR!$B$2:$B$503,A579)</f>
        <v>433.9</v>
      </c>
      <c r="H579" s="18" t="n">
        <f aca="false">F579-G579</f>
        <v>0</v>
      </c>
      <c r="I579" s="16" t="n">
        <f aca="false">IF(H579&lt;=0.01,0,MAX(Assumptions!$B$5-E579,0))</f>
        <v>0</v>
      </c>
      <c r="J579" s="16" t="str">
        <f aca="false">IF(H579&lt;=0.01,"Paid",IF(I579&lt;=30,"0-30",IF(I579&lt;=60,"31-60",IF(I579&lt;=90,"61-90","90+"))))</f>
        <v>Paid</v>
      </c>
      <c r="K579" s="16" t="str">
        <f aca="false">IF(H579&lt;=0.01,"Paid",IF(G579&gt;0,"Partially Paid","Unpaid"))</f>
        <v>Paid</v>
      </c>
    </row>
    <row r="580" customFormat="false" ht="15" hidden="false" customHeight="false" outlineLevel="0" collapsed="false">
      <c r="A580" s="16" t="str">
        <f aca="false">Customer_Invoices_AR!A577</f>
        <v>ARI60576</v>
      </c>
      <c r="B580" s="16" t="str">
        <f aca="false">Customer_Invoices_AR!B577</f>
        <v>C2019</v>
      </c>
      <c r="C580" s="16" t="str">
        <f aca="false">IFERROR(INDEX(Customer_Master!$B$2:$B$31,MATCH(B580,Customer_Master!$A$2:$A$31,0)),"Unknown Customer")</f>
        <v>Hancock Inc</v>
      </c>
      <c r="D580" s="17" t="n">
        <f aca="false">Customer_Invoices_AR!C577</f>
        <v>45732</v>
      </c>
      <c r="E580" s="17" t="n">
        <f aca="false">Customer_Invoices_AR!E577</f>
        <v>45747</v>
      </c>
      <c r="F580" s="18" t="n">
        <f aca="false">Customer_Invoices_AR!D577</f>
        <v>7401.16</v>
      </c>
      <c r="G580" s="18" t="n">
        <f aca="false">SUMIFS(Cash_Receipts_AR!$E$2:$E$503,Cash_Receipts_AR!$B$2:$B$503,A580)</f>
        <v>7401.16</v>
      </c>
      <c r="H580" s="18" t="n">
        <f aca="false">F580-G580</f>
        <v>0</v>
      </c>
      <c r="I580" s="16" t="n">
        <f aca="false">IF(H580&lt;=0.01,0,MAX(Assumptions!$B$5-E580,0))</f>
        <v>0</v>
      </c>
      <c r="J580" s="16" t="str">
        <f aca="false">IF(H580&lt;=0.01,"Paid",IF(I580&lt;=30,"0-30",IF(I580&lt;=60,"31-60",IF(I580&lt;=90,"61-90","90+"))))</f>
        <v>Paid</v>
      </c>
      <c r="K580" s="16" t="str">
        <f aca="false">IF(H580&lt;=0.01,"Paid",IF(G580&gt;0,"Partially Paid","Unpaid"))</f>
        <v>Paid</v>
      </c>
    </row>
    <row r="581" customFormat="false" ht="15" hidden="false" customHeight="false" outlineLevel="0" collapsed="false">
      <c r="A581" s="16" t="str">
        <f aca="false">Customer_Invoices_AR!A578</f>
        <v>ARI60577</v>
      </c>
      <c r="B581" s="16" t="str">
        <f aca="false">Customer_Invoices_AR!B578</f>
        <v>C2019</v>
      </c>
      <c r="C581" s="16" t="str">
        <f aca="false">IFERROR(INDEX(Customer_Master!$B$2:$B$31,MATCH(B581,Customer_Master!$A$2:$A$31,0)),"Unknown Customer")</f>
        <v>Hancock Inc</v>
      </c>
      <c r="D581" s="17" t="n">
        <f aca="false">Customer_Invoices_AR!C578</f>
        <v>45993</v>
      </c>
      <c r="E581" s="17" t="n">
        <f aca="false">Customer_Invoices_AR!E578</f>
        <v>46008</v>
      </c>
      <c r="F581" s="18" t="n">
        <f aca="false">Customer_Invoices_AR!D578</f>
        <v>4832.02</v>
      </c>
      <c r="G581" s="18" t="n">
        <f aca="false">SUMIFS(Cash_Receipts_AR!$E$2:$E$503,Cash_Receipts_AR!$B$2:$B$503,A581)</f>
        <v>4832.02</v>
      </c>
      <c r="H581" s="18" t="n">
        <f aca="false">F581-G581</f>
        <v>0</v>
      </c>
      <c r="I581" s="16" t="n">
        <f aca="false">IF(H581&lt;=0.01,0,MAX(Assumptions!$B$5-E581,0))</f>
        <v>0</v>
      </c>
      <c r="J581" s="16" t="str">
        <f aca="false">IF(H581&lt;=0.01,"Paid",IF(I581&lt;=30,"0-30",IF(I581&lt;=60,"31-60",IF(I581&lt;=90,"61-90","90+"))))</f>
        <v>Paid</v>
      </c>
      <c r="K581" s="16" t="str">
        <f aca="false">IF(H581&lt;=0.01,"Paid",IF(G581&gt;0,"Partially Paid","Unpaid"))</f>
        <v>Paid</v>
      </c>
    </row>
    <row r="582" customFormat="false" ht="15" hidden="false" customHeight="false" outlineLevel="0" collapsed="false">
      <c r="A582" s="16" t="str">
        <f aca="false">Customer_Invoices_AR!A579</f>
        <v>ARI60578</v>
      </c>
      <c r="B582" s="16" t="str">
        <f aca="false">Customer_Invoices_AR!B579</f>
        <v>C2021</v>
      </c>
      <c r="C582" s="16" t="str">
        <f aca="false">IFERROR(INDEX(Customer_Master!$B$2:$B$31,MATCH(B582,Customer_Master!$A$2:$A$31,0)),"Unknown Customer")</f>
        <v>House-Glover</v>
      </c>
      <c r="D582" s="17" t="n">
        <f aca="false">Customer_Invoices_AR!C579</f>
        <v>45977</v>
      </c>
      <c r="E582" s="17" t="n">
        <f aca="false">Customer_Invoices_AR!E579</f>
        <v>46037</v>
      </c>
      <c r="F582" s="18" t="n">
        <f aca="false">Customer_Invoices_AR!D579</f>
        <v>2365.49</v>
      </c>
      <c r="G582" s="18" t="n">
        <f aca="false">SUMIFS(Cash_Receipts_AR!$E$2:$E$503,Cash_Receipts_AR!$B$2:$B$503,A582)</f>
        <v>2365.49</v>
      </c>
      <c r="H582" s="18" t="n">
        <f aca="false">F582-G582</f>
        <v>0</v>
      </c>
      <c r="I582" s="16" t="n">
        <f aca="false">IF(H582&lt;=0.01,0,MAX(Assumptions!$B$5-E582,0))</f>
        <v>0</v>
      </c>
      <c r="J582" s="16" t="str">
        <f aca="false">IF(H582&lt;=0.01,"Paid",IF(I582&lt;=30,"0-30",IF(I582&lt;=60,"31-60",IF(I582&lt;=90,"61-90","90+"))))</f>
        <v>Paid</v>
      </c>
      <c r="K582" s="16" t="str">
        <f aca="false">IF(H582&lt;=0.01,"Paid",IF(G582&gt;0,"Partially Paid","Unpaid"))</f>
        <v>Paid</v>
      </c>
    </row>
    <row r="583" customFormat="false" ht="15" hidden="false" customHeight="false" outlineLevel="0" collapsed="false">
      <c r="A583" s="16" t="str">
        <f aca="false">Customer_Invoices_AR!A580</f>
        <v>ARI60579</v>
      </c>
      <c r="B583" s="16" t="str">
        <f aca="false">Customer_Invoices_AR!B580</f>
        <v>C2007</v>
      </c>
      <c r="C583" s="16" t="str">
        <f aca="false">IFERROR(INDEX(Customer_Master!$B$2:$B$31,MATCH(B583,Customer_Master!$A$2:$A$31,0)),"Unknown Customer")</f>
        <v>Johnston, Sanchez and Kennedy</v>
      </c>
      <c r="D583" s="17" t="n">
        <f aca="false">Customer_Invoices_AR!C580</f>
        <v>45790</v>
      </c>
      <c r="E583" s="17" t="n">
        <f aca="false">Customer_Invoices_AR!E580</f>
        <v>45820</v>
      </c>
      <c r="F583" s="18" t="n">
        <f aca="false">Customer_Invoices_AR!D580</f>
        <v>1800.86</v>
      </c>
      <c r="G583" s="18" t="n">
        <f aca="false">SUMIFS(Cash_Receipts_AR!$E$2:$E$503,Cash_Receipts_AR!$B$2:$B$503,A583)</f>
        <v>1800.86</v>
      </c>
      <c r="H583" s="18" t="n">
        <f aca="false">F583-G583</f>
        <v>0</v>
      </c>
      <c r="I583" s="16" t="n">
        <f aca="false">IF(H583&lt;=0.01,0,MAX(Assumptions!$B$5-E583,0))</f>
        <v>0</v>
      </c>
      <c r="J583" s="16" t="str">
        <f aca="false">IF(H583&lt;=0.01,"Paid",IF(I583&lt;=30,"0-30",IF(I583&lt;=60,"31-60",IF(I583&lt;=90,"61-90","90+"))))</f>
        <v>Paid</v>
      </c>
      <c r="K583" s="16" t="str">
        <f aca="false">IF(H583&lt;=0.01,"Paid",IF(G583&gt;0,"Partially Paid","Unpaid"))</f>
        <v>Paid</v>
      </c>
    </row>
    <row r="584" customFormat="false" ht="15" hidden="false" customHeight="false" outlineLevel="0" collapsed="false">
      <c r="A584" s="16" t="str">
        <f aca="false">Customer_Invoices_AR!A581</f>
        <v>ARI60580</v>
      </c>
      <c r="B584" s="16" t="str">
        <f aca="false">Customer_Invoices_AR!B581</f>
        <v>C2015</v>
      </c>
      <c r="C584" s="16" t="str">
        <f aca="false">IFERROR(INDEX(Customer_Master!$B$2:$B$31,MATCH(B584,Customer_Master!$A$2:$A$31,0)),"Unknown Customer")</f>
        <v>Morton-Chase</v>
      </c>
      <c r="D584" s="17" t="n">
        <f aca="false">Customer_Invoices_AR!C581</f>
        <v>46023</v>
      </c>
      <c r="E584" s="17" t="n">
        <f aca="false">Customer_Invoices_AR!E581</f>
        <v>46038</v>
      </c>
      <c r="F584" s="18" t="n">
        <f aca="false">Customer_Invoices_AR!D581</f>
        <v>20829.97</v>
      </c>
      <c r="G584" s="18" t="n">
        <f aca="false">SUMIFS(Cash_Receipts_AR!$E$2:$E$503,Cash_Receipts_AR!$B$2:$B$503,A584)</f>
        <v>20829.97</v>
      </c>
      <c r="H584" s="18" t="n">
        <f aca="false">F584-G584</f>
        <v>0</v>
      </c>
      <c r="I584" s="16" t="n">
        <f aca="false">IF(H584&lt;=0.01,0,MAX(Assumptions!$B$5-E584,0))</f>
        <v>0</v>
      </c>
      <c r="J584" s="16" t="str">
        <f aca="false">IF(H584&lt;=0.01,"Paid",IF(I584&lt;=30,"0-30",IF(I584&lt;=60,"31-60",IF(I584&lt;=90,"61-90","90+"))))</f>
        <v>Paid</v>
      </c>
      <c r="K584" s="16" t="str">
        <f aca="false">IF(H584&lt;=0.01,"Paid",IF(G584&gt;0,"Partially Paid","Unpaid"))</f>
        <v>Paid</v>
      </c>
    </row>
    <row r="585" customFormat="false" ht="15" hidden="false" customHeight="false" outlineLevel="0" collapsed="false">
      <c r="A585" s="16" t="str">
        <f aca="false">Customer_Invoices_AR!A582</f>
        <v>ARI60581</v>
      </c>
      <c r="B585" s="16" t="str">
        <f aca="false">Customer_Invoices_AR!B582</f>
        <v>C2014</v>
      </c>
      <c r="C585" s="16" t="str">
        <f aca="false">IFERROR(INDEX(Customer_Master!$B$2:$B$31,MATCH(B585,Customer_Master!$A$2:$A$31,0)),"Unknown Customer")</f>
        <v>Baxter Inc</v>
      </c>
      <c r="D585" s="17" t="n">
        <f aca="false">Customer_Invoices_AR!C582</f>
        <v>45947</v>
      </c>
      <c r="E585" s="17" t="n">
        <f aca="false">Customer_Invoices_AR!E582</f>
        <v>45977</v>
      </c>
      <c r="F585" s="18" t="n">
        <f aca="false">Customer_Invoices_AR!D582</f>
        <v>308.07</v>
      </c>
      <c r="G585" s="18" t="n">
        <f aca="false">SUMIFS(Cash_Receipts_AR!$E$2:$E$503,Cash_Receipts_AR!$B$2:$B$503,A585)</f>
        <v>308.07</v>
      </c>
      <c r="H585" s="18" t="n">
        <f aca="false">F585-G585</f>
        <v>0</v>
      </c>
      <c r="I585" s="16" t="n">
        <f aca="false">IF(H585&lt;=0.01,0,MAX(Assumptions!$B$5-E585,0))</f>
        <v>0</v>
      </c>
      <c r="J585" s="16" t="str">
        <f aca="false">IF(H585&lt;=0.01,"Paid",IF(I585&lt;=30,"0-30",IF(I585&lt;=60,"31-60",IF(I585&lt;=90,"61-90","90+"))))</f>
        <v>Paid</v>
      </c>
      <c r="K585" s="16" t="str">
        <f aca="false">IF(H585&lt;=0.01,"Paid",IF(G585&gt;0,"Partially Paid","Unpaid"))</f>
        <v>Paid</v>
      </c>
    </row>
    <row r="586" customFormat="false" ht="15" hidden="false" customHeight="false" outlineLevel="0" collapsed="false">
      <c r="A586" s="16" t="str">
        <f aca="false">Customer_Invoices_AR!A583</f>
        <v>ARI60582</v>
      </c>
      <c r="B586" s="16" t="str">
        <f aca="false">Customer_Invoices_AR!B583</f>
        <v>C2016</v>
      </c>
      <c r="C586" s="16" t="str">
        <f aca="false">IFERROR(INDEX(Customer_Master!$B$2:$B$31,MATCH(B586,Customer_Master!$A$2:$A$31,0)),"Unknown Customer")</f>
        <v>Williams PLC</v>
      </c>
      <c r="D586" s="17" t="n">
        <f aca="false">Customer_Invoices_AR!C583</f>
        <v>46005</v>
      </c>
      <c r="E586" s="17" t="n">
        <f aca="false">Customer_Invoices_AR!E583</f>
        <v>46035</v>
      </c>
      <c r="F586" s="18" t="n">
        <f aca="false">Customer_Invoices_AR!D583</f>
        <v>2509.92</v>
      </c>
      <c r="G586" s="18" t="n">
        <f aca="false">SUMIFS(Cash_Receipts_AR!$E$2:$E$503,Cash_Receipts_AR!$B$2:$B$503,A586)</f>
        <v>2509.92</v>
      </c>
      <c r="H586" s="18" t="n">
        <f aca="false">F586-G586</f>
        <v>0</v>
      </c>
      <c r="I586" s="16" t="n">
        <f aca="false">IF(H586&lt;=0.01,0,MAX(Assumptions!$B$5-E586,0))</f>
        <v>0</v>
      </c>
      <c r="J586" s="16" t="str">
        <f aca="false">IF(H586&lt;=0.01,"Paid",IF(I586&lt;=30,"0-30",IF(I586&lt;=60,"31-60",IF(I586&lt;=90,"61-90","90+"))))</f>
        <v>Paid</v>
      </c>
      <c r="K586" s="16" t="str">
        <f aca="false">IF(H586&lt;=0.01,"Paid",IF(G586&gt;0,"Partially Paid","Unpaid"))</f>
        <v>Paid</v>
      </c>
    </row>
    <row r="587" customFormat="false" ht="15" hidden="false" customHeight="false" outlineLevel="0" collapsed="false">
      <c r="A587" s="16" t="str">
        <f aca="false">Customer_Invoices_AR!A584</f>
        <v>ARI60583</v>
      </c>
      <c r="B587" s="16" t="str">
        <f aca="false">Customer_Invoices_AR!B584</f>
        <v>C2017</v>
      </c>
      <c r="C587" s="16" t="str">
        <f aca="false">IFERROR(INDEX(Customer_Master!$B$2:$B$31,MATCH(B587,Customer_Master!$A$2:$A$31,0)),"Unknown Customer")</f>
        <v>Novak and Sons</v>
      </c>
      <c r="D587" s="17" t="n">
        <f aca="false">Customer_Invoices_AR!C584</f>
        <v>45686</v>
      </c>
      <c r="E587" s="17" t="n">
        <f aca="false">Customer_Invoices_AR!E584</f>
        <v>45701</v>
      </c>
      <c r="F587" s="18" t="n">
        <f aca="false">Customer_Invoices_AR!D584</f>
        <v>13746.34</v>
      </c>
      <c r="G587" s="18" t="n">
        <f aca="false">SUMIFS(Cash_Receipts_AR!$E$2:$E$503,Cash_Receipts_AR!$B$2:$B$503,A587)</f>
        <v>13746.34</v>
      </c>
      <c r="H587" s="18" t="n">
        <f aca="false">F587-G587</f>
        <v>0</v>
      </c>
      <c r="I587" s="16" t="n">
        <f aca="false">IF(H587&lt;=0.01,0,MAX(Assumptions!$B$5-E587,0))</f>
        <v>0</v>
      </c>
      <c r="J587" s="16" t="str">
        <f aca="false">IF(H587&lt;=0.01,"Paid",IF(I587&lt;=30,"0-30",IF(I587&lt;=60,"31-60",IF(I587&lt;=90,"61-90","90+"))))</f>
        <v>Paid</v>
      </c>
      <c r="K587" s="16" t="str">
        <f aca="false">IF(H587&lt;=0.01,"Paid",IF(G587&gt;0,"Partially Paid","Unpaid"))</f>
        <v>Paid</v>
      </c>
    </row>
    <row r="588" customFormat="false" ht="15" hidden="false" customHeight="false" outlineLevel="0" collapsed="false">
      <c r="A588" s="16" t="str">
        <f aca="false">Customer_Invoices_AR!A585</f>
        <v>ARI60584</v>
      </c>
      <c r="B588" s="16" t="str">
        <f aca="false">Customer_Invoices_AR!B585</f>
        <v>C2014</v>
      </c>
      <c r="C588" s="16" t="str">
        <f aca="false">IFERROR(INDEX(Customer_Master!$B$2:$B$31,MATCH(B588,Customer_Master!$A$2:$A$31,0)),"Unknown Customer")</f>
        <v>Baxter Inc</v>
      </c>
      <c r="D588" s="17" t="n">
        <f aca="false">Customer_Invoices_AR!C585</f>
        <v>45883</v>
      </c>
      <c r="E588" s="17" t="n">
        <f aca="false">Customer_Invoices_AR!E585</f>
        <v>45913</v>
      </c>
      <c r="F588" s="18" t="n">
        <f aca="false">Customer_Invoices_AR!D585</f>
        <v>2328.05</v>
      </c>
      <c r="G588" s="18" t="n">
        <f aca="false">SUMIFS(Cash_Receipts_AR!$E$2:$E$503,Cash_Receipts_AR!$B$2:$B$503,A588)</f>
        <v>2328.05</v>
      </c>
      <c r="H588" s="18" t="n">
        <f aca="false">F588-G588</f>
        <v>0</v>
      </c>
      <c r="I588" s="16" t="n">
        <f aca="false">IF(H588&lt;=0.01,0,MAX(Assumptions!$B$5-E588,0))</f>
        <v>0</v>
      </c>
      <c r="J588" s="16" t="str">
        <f aca="false">IF(H588&lt;=0.01,"Paid",IF(I588&lt;=30,"0-30",IF(I588&lt;=60,"31-60",IF(I588&lt;=90,"61-90","90+"))))</f>
        <v>Paid</v>
      </c>
      <c r="K588" s="16" t="str">
        <f aca="false">IF(H588&lt;=0.01,"Paid",IF(G588&gt;0,"Partially Paid","Unpaid"))</f>
        <v>Paid</v>
      </c>
    </row>
    <row r="589" customFormat="false" ht="15" hidden="false" customHeight="false" outlineLevel="0" collapsed="false">
      <c r="A589" s="16" t="str">
        <f aca="false">Customer_Invoices_AR!A586</f>
        <v>ARI60585</v>
      </c>
      <c r="B589" s="16" t="str">
        <f aca="false">Customer_Invoices_AR!B586</f>
        <v>C2016</v>
      </c>
      <c r="C589" s="16" t="str">
        <f aca="false">IFERROR(INDEX(Customer_Master!$B$2:$B$31,MATCH(B589,Customer_Master!$A$2:$A$31,0)),"Unknown Customer")</f>
        <v>Williams PLC</v>
      </c>
      <c r="D589" s="17" t="n">
        <f aca="false">Customer_Invoices_AR!C586</f>
        <v>46048</v>
      </c>
      <c r="E589" s="17" t="n">
        <f aca="false">Customer_Invoices_AR!E586</f>
        <v>46078</v>
      </c>
      <c r="F589" s="18" t="n">
        <f aca="false">Customer_Invoices_AR!D586</f>
        <v>700.59</v>
      </c>
      <c r="G589" s="18" t="n">
        <f aca="false">SUMIFS(Cash_Receipts_AR!$E$2:$E$503,Cash_Receipts_AR!$B$2:$B$503,A589)</f>
        <v>700.59</v>
      </c>
      <c r="H589" s="18" t="n">
        <f aca="false">F589-G589</f>
        <v>0</v>
      </c>
      <c r="I589" s="16" t="n">
        <f aca="false">IF(H589&lt;=0.01,0,MAX(Assumptions!$B$5-E589,0))</f>
        <v>0</v>
      </c>
      <c r="J589" s="16" t="str">
        <f aca="false">IF(H589&lt;=0.01,"Paid",IF(I589&lt;=30,"0-30",IF(I589&lt;=60,"31-60",IF(I589&lt;=90,"61-90","90+"))))</f>
        <v>Paid</v>
      </c>
      <c r="K589" s="16" t="str">
        <f aca="false">IF(H589&lt;=0.01,"Paid",IF(G589&gt;0,"Partially Paid","Unpaid"))</f>
        <v>Paid</v>
      </c>
    </row>
    <row r="590" customFormat="false" ht="15" hidden="false" customHeight="false" outlineLevel="0" collapsed="false">
      <c r="A590" s="16" t="str">
        <f aca="false">Customer_Invoices_AR!A587</f>
        <v>ARI60586</v>
      </c>
      <c r="B590" s="16" t="str">
        <f aca="false">Customer_Invoices_AR!B587</f>
        <v>C2026</v>
      </c>
      <c r="C590" s="16" t="str">
        <f aca="false">IFERROR(INDEX(Customer_Master!$B$2:$B$31,MATCH(B590,Customer_Master!$A$2:$A$31,0)),"Unknown Customer")</f>
        <v>Woods, Calhoun and Schmidt</v>
      </c>
      <c r="D590" s="17" t="n">
        <f aca="false">Customer_Invoices_AR!C587</f>
        <v>45712</v>
      </c>
      <c r="E590" s="17" t="n">
        <f aca="false">Customer_Invoices_AR!E587</f>
        <v>45772</v>
      </c>
      <c r="F590" s="18" t="n">
        <f aca="false">Customer_Invoices_AR!D587</f>
        <v>1796.89</v>
      </c>
      <c r="G590" s="18" t="n">
        <f aca="false">SUMIFS(Cash_Receipts_AR!$E$2:$E$503,Cash_Receipts_AR!$B$2:$B$503,A590)</f>
        <v>1796.89</v>
      </c>
      <c r="H590" s="18" t="n">
        <f aca="false">F590-G590</f>
        <v>0</v>
      </c>
      <c r="I590" s="16" t="n">
        <f aca="false">IF(H590&lt;=0.01,0,MAX(Assumptions!$B$5-E590,0))</f>
        <v>0</v>
      </c>
      <c r="J590" s="16" t="str">
        <f aca="false">IF(H590&lt;=0.01,"Paid",IF(I590&lt;=30,"0-30",IF(I590&lt;=60,"31-60",IF(I590&lt;=90,"61-90","90+"))))</f>
        <v>Paid</v>
      </c>
      <c r="K590" s="16" t="str">
        <f aca="false">IF(H590&lt;=0.01,"Paid",IF(G590&gt;0,"Partially Paid","Unpaid"))</f>
        <v>Paid</v>
      </c>
    </row>
    <row r="591" customFormat="false" ht="15" hidden="false" customHeight="false" outlineLevel="0" collapsed="false">
      <c r="A591" s="16" t="str">
        <f aca="false">Customer_Invoices_AR!A588</f>
        <v>ARI60587</v>
      </c>
      <c r="B591" s="16" t="str">
        <f aca="false">Customer_Invoices_AR!B588</f>
        <v>C2009</v>
      </c>
      <c r="C591" s="16" t="str">
        <f aca="false">IFERROR(INDEX(Customer_Master!$B$2:$B$31,MATCH(B591,Customer_Master!$A$2:$A$31,0)),"Unknown Customer")</f>
        <v>Gomez-Jenkins</v>
      </c>
      <c r="D591" s="17" t="n">
        <f aca="false">Customer_Invoices_AR!C588</f>
        <v>46078</v>
      </c>
      <c r="E591" s="17" t="n">
        <f aca="false">Customer_Invoices_AR!E588</f>
        <v>46123</v>
      </c>
      <c r="F591" s="18" t="n">
        <f aca="false">Customer_Invoices_AR!D588</f>
        <v>9197.58</v>
      </c>
      <c r="G591" s="18" t="n">
        <f aca="false">SUMIFS(Cash_Receipts_AR!$E$2:$E$503,Cash_Receipts_AR!$B$2:$B$503,A591)</f>
        <v>0</v>
      </c>
      <c r="H591" s="18" t="n">
        <f aca="false">F591-G591</f>
        <v>9197.58</v>
      </c>
      <c r="I591" s="16" t="n">
        <f aca="false">IF(H591&lt;=0.01,0,MAX(Assumptions!$B$5-E591,0))</f>
        <v>111</v>
      </c>
      <c r="J591" s="16" t="str">
        <f aca="false">IF(H591&lt;=0.01,"Paid",IF(I591&lt;=30,"0-30",IF(I591&lt;=60,"31-60",IF(I591&lt;=90,"61-90","90+"))))</f>
        <v>90+</v>
      </c>
      <c r="K591" s="16" t="str">
        <f aca="false">IF(H591&lt;=0.01,"Paid",IF(G591&gt;0,"Partially Paid","Unpaid"))</f>
        <v>Unpaid</v>
      </c>
    </row>
    <row r="592" customFormat="false" ht="15" hidden="false" customHeight="false" outlineLevel="0" collapsed="false">
      <c r="A592" s="16" t="str">
        <f aca="false">Customer_Invoices_AR!A589</f>
        <v>ARI60588</v>
      </c>
      <c r="B592" s="16" t="str">
        <f aca="false">Customer_Invoices_AR!B589</f>
        <v>C2004</v>
      </c>
      <c r="C592" s="16" t="str">
        <f aca="false">IFERROR(INDEX(Customer_Master!$B$2:$B$31,MATCH(B592,Customer_Master!$A$2:$A$31,0)),"Unknown Customer")</f>
        <v>Jones Inc</v>
      </c>
      <c r="D592" s="17" t="n">
        <f aca="false">Customer_Invoices_AR!C589</f>
        <v>45660</v>
      </c>
      <c r="E592" s="17" t="n">
        <f aca="false">Customer_Invoices_AR!E589</f>
        <v>45690</v>
      </c>
      <c r="F592" s="18" t="n">
        <f aca="false">Customer_Invoices_AR!D589</f>
        <v>4661.09</v>
      </c>
      <c r="G592" s="18" t="n">
        <f aca="false">SUMIFS(Cash_Receipts_AR!$E$2:$E$503,Cash_Receipts_AR!$B$2:$B$503,A592)</f>
        <v>4661.09</v>
      </c>
      <c r="H592" s="18" t="n">
        <f aca="false">F592-G592</f>
        <v>0</v>
      </c>
      <c r="I592" s="16" t="n">
        <f aca="false">IF(H592&lt;=0.01,0,MAX(Assumptions!$B$5-E592,0))</f>
        <v>0</v>
      </c>
      <c r="J592" s="16" t="str">
        <f aca="false">IF(H592&lt;=0.01,"Paid",IF(I592&lt;=30,"0-30",IF(I592&lt;=60,"31-60",IF(I592&lt;=90,"61-90","90+"))))</f>
        <v>Paid</v>
      </c>
      <c r="K592" s="16" t="str">
        <f aca="false">IF(H592&lt;=0.01,"Paid",IF(G592&gt;0,"Partially Paid","Unpaid"))</f>
        <v>Paid</v>
      </c>
    </row>
    <row r="593" customFormat="false" ht="15" hidden="false" customHeight="false" outlineLevel="0" collapsed="false">
      <c r="A593" s="16" t="str">
        <f aca="false">Customer_Invoices_AR!A590</f>
        <v>ARI60589</v>
      </c>
      <c r="B593" s="16" t="str">
        <f aca="false">Customer_Invoices_AR!B590</f>
        <v>C2009</v>
      </c>
      <c r="C593" s="16" t="str">
        <f aca="false">IFERROR(INDEX(Customer_Master!$B$2:$B$31,MATCH(B593,Customer_Master!$A$2:$A$31,0)),"Unknown Customer")</f>
        <v>Gomez-Jenkins</v>
      </c>
      <c r="D593" s="17" t="n">
        <f aca="false">Customer_Invoices_AR!C590</f>
        <v>45957</v>
      </c>
      <c r="E593" s="17" t="n">
        <f aca="false">Customer_Invoices_AR!E590</f>
        <v>46002</v>
      </c>
      <c r="F593" s="18" t="n">
        <f aca="false">Customer_Invoices_AR!D590</f>
        <v>2712.95</v>
      </c>
      <c r="G593" s="18" t="n">
        <f aca="false">SUMIFS(Cash_Receipts_AR!$E$2:$E$503,Cash_Receipts_AR!$B$2:$B$503,A593)</f>
        <v>0</v>
      </c>
      <c r="H593" s="18" t="n">
        <f aca="false">F593-G593</f>
        <v>2712.95</v>
      </c>
      <c r="I593" s="16" t="n">
        <f aca="false">IF(H593&lt;=0.01,0,MAX(Assumptions!$B$5-E593,0))</f>
        <v>232</v>
      </c>
      <c r="J593" s="16" t="str">
        <f aca="false">IF(H593&lt;=0.01,"Paid",IF(I593&lt;=30,"0-30",IF(I593&lt;=60,"31-60",IF(I593&lt;=90,"61-90","90+"))))</f>
        <v>90+</v>
      </c>
      <c r="K593" s="16" t="str">
        <f aca="false">IF(H593&lt;=0.01,"Paid",IF(G593&gt;0,"Partially Paid","Unpaid"))</f>
        <v>Unpaid</v>
      </c>
    </row>
    <row r="594" customFormat="false" ht="15" hidden="false" customHeight="false" outlineLevel="0" collapsed="false">
      <c r="A594" s="16" t="str">
        <f aca="false">Customer_Invoices_AR!A591</f>
        <v>ARI60590</v>
      </c>
      <c r="B594" s="16" t="str">
        <f aca="false">Customer_Invoices_AR!B591</f>
        <v>C2011</v>
      </c>
      <c r="C594" s="16" t="str">
        <f aca="false">IFERROR(INDEX(Customer_Master!$B$2:$B$31,MATCH(B594,Customer_Master!$A$2:$A$31,0)),"Unknown Customer")</f>
        <v>Powell LLC</v>
      </c>
      <c r="D594" s="17" t="n">
        <f aca="false">Customer_Invoices_AR!C591</f>
        <v>46164</v>
      </c>
      <c r="E594" s="17" t="n">
        <f aca="false">Customer_Invoices_AR!E591</f>
        <v>46194</v>
      </c>
      <c r="F594" s="18" t="n">
        <f aca="false">Customer_Invoices_AR!D591</f>
        <v>11680.95</v>
      </c>
      <c r="G594" s="18" t="n">
        <f aca="false">SUMIFS(Cash_Receipts_AR!$E$2:$E$503,Cash_Receipts_AR!$B$2:$B$503,A594)</f>
        <v>11680.95</v>
      </c>
      <c r="H594" s="18" t="n">
        <f aca="false">F594-G594</f>
        <v>0</v>
      </c>
      <c r="I594" s="16" t="n">
        <f aca="false">IF(H594&lt;=0.01,0,MAX(Assumptions!$B$5-E594,0))</f>
        <v>0</v>
      </c>
      <c r="J594" s="16" t="str">
        <f aca="false">IF(H594&lt;=0.01,"Paid",IF(I594&lt;=30,"0-30",IF(I594&lt;=60,"31-60",IF(I594&lt;=90,"61-90","90+"))))</f>
        <v>Paid</v>
      </c>
      <c r="K594" s="16" t="str">
        <f aca="false">IF(H594&lt;=0.01,"Paid",IF(G594&gt;0,"Partially Paid","Unpaid"))</f>
        <v>Paid</v>
      </c>
    </row>
    <row r="595" customFormat="false" ht="15" hidden="false" customHeight="false" outlineLevel="0" collapsed="false">
      <c r="A595" s="16" t="str">
        <f aca="false">Customer_Invoices_AR!A592</f>
        <v>ARI60591</v>
      </c>
      <c r="B595" s="16" t="str">
        <f aca="false">Customer_Invoices_AR!B592</f>
        <v>C2029</v>
      </c>
      <c r="C595" s="16" t="str">
        <f aca="false">IFERROR(INDEX(Customer_Master!$B$2:$B$31,MATCH(B595,Customer_Master!$A$2:$A$31,0)),"Unknown Customer")</f>
        <v>Hensley, Powell and David</v>
      </c>
      <c r="D595" s="17" t="n">
        <f aca="false">Customer_Invoices_AR!C592</f>
        <v>45879</v>
      </c>
      <c r="E595" s="17" t="n">
        <f aca="false">Customer_Invoices_AR!E592</f>
        <v>45939</v>
      </c>
      <c r="F595" s="18" t="n">
        <f aca="false">Customer_Invoices_AR!D592</f>
        <v>2499.07</v>
      </c>
      <c r="G595" s="18" t="n">
        <f aca="false">SUMIFS(Cash_Receipts_AR!$E$2:$E$503,Cash_Receipts_AR!$B$2:$B$503,A595)</f>
        <v>2499.07</v>
      </c>
      <c r="H595" s="18" t="n">
        <f aca="false">F595-G595</f>
        <v>0</v>
      </c>
      <c r="I595" s="16" t="n">
        <f aca="false">IF(H595&lt;=0.01,0,MAX(Assumptions!$B$5-E595,0))</f>
        <v>0</v>
      </c>
      <c r="J595" s="16" t="str">
        <f aca="false">IF(H595&lt;=0.01,"Paid",IF(I595&lt;=30,"0-30",IF(I595&lt;=60,"31-60",IF(I595&lt;=90,"61-90","90+"))))</f>
        <v>Paid</v>
      </c>
      <c r="K595" s="16" t="str">
        <f aca="false">IF(H595&lt;=0.01,"Paid",IF(G595&gt;0,"Partially Paid","Unpaid"))</f>
        <v>Paid</v>
      </c>
    </row>
    <row r="596" customFormat="false" ht="15" hidden="false" customHeight="false" outlineLevel="0" collapsed="false">
      <c r="A596" s="16" t="str">
        <f aca="false">Customer_Invoices_AR!A593</f>
        <v>ARI60592</v>
      </c>
      <c r="B596" s="16" t="str">
        <f aca="false">Customer_Invoices_AR!B593</f>
        <v>C2009</v>
      </c>
      <c r="C596" s="16" t="str">
        <f aca="false">IFERROR(INDEX(Customer_Master!$B$2:$B$31,MATCH(B596,Customer_Master!$A$2:$A$31,0)),"Unknown Customer")</f>
        <v>Gomez-Jenkins</v>
      </c>
      <c r="D596" s="17" t="n">
        <f aca="false">Customer_Invoices_AR!C593</f>
        <v>46167</v>
      </c>
      <c r="E596" s="17" t="n">
        <f aca="false">Customer_Invoices_AR!E593</f>
        <v>46212</v>
      </c>
      <c r="F596" s="18" t="n">
        <f aca="false">Customer_Invoices_AR!D593</f>
        <v>2710.15</v>
      </c>
      <c r="G596" s="18" t="n">
        <f aca="false">SUMIFS(Cash_Receipts_AR!$E$2:$E$503,Cash_Receipts_AR!$B$2:$B$503,A596)</f>
        <v>1727.04</v>
      </c>
      <c r="H596" s="18" t="n">
        <f aca="false">F596-G596</f>
        <v>983.11</v>
      </c>
      <c r="I596" s="16" t="n">
        <f aca="false">IF(H596&lt;=0.01,0,MAX(Assumptions!$B$5-E596,0))</f>
        <v>22</v>
      </c>
      <c r="J596" s="16" t="str">
        <f aca="false">IF(H596&lt;=0.01,"Paid",IF(I596&lt;=30,"0-30",IF(I596&lt;=60,"31-60",IF(I596&lt;=90,"61-90","90+"))))</f>
        <v>0-30</v>
      </c>
      <c r="K596" s="16" t="str">
        <f aca="false">IF(H596&lt;=0.01,"Paid",IF(G596&gt;0,"Partially Paid","Unpaid"))</f>
        <v>Partially Paid</v>
      </c>
    </row>
    <row r="597" customFormat="false" ht="15" hidden="false" customHeight="false" outlineLevel="0" collapsed="false">
      <c r="A597" s="16" t="str">
        <f aca="false">Customer_Invoices_AR!A594</f>
        <v>ARI60593</v>
      </c>
      <c r="B597" s="16" t="str">
        <f aca="false">Customer_Invoices_AR!B594</f>
        <v>C2007</v>
      </c>
      <c r="C597" s="16" t="str">
        <f aca="false">IFERROR(INDEX(Customer_Master!$B$2:$B$31,MATCH(B597,Customer_Master!$A$2:$A$31,0)),"Unknown Customer")</f>
        <v>Johnston, Sanchez and Kennedy</v>
      </c>
      <c r="D597" s="17" t="n">
        <f aca="false">Customer_Invoices_AR!C594</f>
        <v>46136</v>
      </c>
      <c r="E597" s="17" t="n">
        <f aca="false">Customer_Invoices_AR!E594</f>
        <v>46166</v>
      </c>
      <c r="F597" s="18" t="n">
        <f aca="false">Customer_Invoices_AR!D594</f>
        <v>4942.64</v>
      </c>
      <c r="G597" s="18" t="n">
        <f aca="false">SUMIFS(Cash_Receipts_AR!$E$2:$E$503,Cash_Receipts_AR!$B$2:$B$503,A597)</f>
        <v>4942.64</v>
      </c>
      <c r="H597" s="18" t="n">
        <f aca="false">F597-G597</f>
        <v>0</v>
      </c>
      <c r="I597" s="16" t="n">
        <f aca="false">IF(H597&lt;=0.01,0,MAX(Assumptions!$B$5-E597,0))</f>
        <v>0</v>
      </c>
      <c r="J597" s="16" t="str">
        <f aca="false">IF(H597&lt;=0.01,"Paid",IF(I597&lt;=30,"0-30",IF(I597&lt;=60,"31-60",IF(I597&lt;=90,"61-90","90+"))))</f>
        <v>Paid</v>
      </c>
      <c r="K597" s="16" t="str">
        <f aca="false">IF(H597&lt;=0.01,"Paid",IF(G597&gt;0,"Partially Paid","Unpaid"))</f>
        <v>Paid</v>
      </c>
    </row>
    <row r="598" customFormat="false" ht="15" hidden="false" customHeight="false" outlineLevel="0" collapsed="false">
      <c r="A598" s="16" t="str">
        <f aca="false">Customer_Invoices_AR!A595</f>
        <v>ARI60594</v>
      </c>
      <c r="B598" s="16" t="str">
        <f aca="false">Customer_Invoices_AR!B595</f>
        <v>C2001</v>
      </c>
      <c r="C598" s="16" t="str">
        <f aca="false">IFERROR(INDEX(Customer_Master!$B$2:$B$31,MATCH(B598,Customer_Master!$A$2:$A$31,0)),"Unknown Customer")</f>
        <v>Wright Inc</v>
      </c>
      <c r="D598" s="17" t="n">
        <f aca="false">Customer_Invoices_AR!C595</f>
        <v>45918</v>
      </c>
      <c r="E598" s="17" t="n">
        <f aca="false">Customer_Invoices_AR!E595</f>
        <v>45963</v>
      </c>
      <c r="F598" s="18" t="n">
        <f aca="false">Customer_Invoices_AR!D595</f>
        <v>2782.84</v>
      </c>
      <c r="G598" s="18" t="n">
        <f aca="false">SUMIFS(Cash_Receipts_AR!$E$2:$E$503,Cash_Receipts_AR!$B$2:$B$503,A598)</f>
        <v>2782.84</v>
      </c>
      <c r="H598" s="18" t="n">
        <f aca="false">F598-G598</f>
        <v>0</v>
      </c>
      <c r="I598" s="16" t="n">
        <f aca="false">IF(H598&lt;=0.01,0,MAX(Assumptions!$B$5-E598,0))</f>
        <v>0</v>
      </c>
      <c r="J598" s="16" t="str">
        <f aca="false">IF(H598&lt;=0.01,"Paid",IF(I598&lt;=30,"0-30",IF(I598&lt;=60,"31-60",IF(I598&lt;=90,"61-90","90+"))))</f>
        <v>Paid</v>
      </c>
      <c r="K598" s="16" t="str">
        <f aca="false">IF(H598&lt;=0.01,"Paid",IF(G598&gt;0,"Partially Paid","Unpaid"))</f>
        <v>Paid</v>
      </c>
    </row>
    <row r="599" customFormat="false" ht="15" hidden="false" customHeight="false" outlineLevel="0" collapsed="false">
      <c r="A599" s="16" t="str">
        <f aca="false">Customer_Invoices_AR!A596</f>
        <v>ARI60595</v>
      </c>
      <c r="B599" s="16" t="str">
        <f aca="false">Customer_Invoices_AR!B596</f>
        <v>C2017</v>
      </c>
      <c r="C599" s="16" t="str">
        <f aca="false">IFERROR(INDEX(Customer_Master!$B$2:$B$31,MATCH(B599,Customer_Master!$A$2:$A$31,0)),"Unknown Customer")</f>
        <v>Novak and Sons</v>
      </c>
      <c r="D599" s="17" t="n">
        <f aca="false">Customer_Invoices_AR!C596</f>
        <v>45766</v>
      </c>
      <c r="E599" s="17" t="n">
        <f aca="false">Customer_Invoices_AR!E596</f>
        <v>45781</v>
      </c>
      <c r="F599" s="18" t="n">
        <f aca="false">Customer_Invoices_AR!D596</f>
        <v>11817.42</v>
      </c>
      <c r="G599" s="18" t="n">
        <f aca="false">SUMIFS(Cash_Receipts_AR!$E$2:$E$503,Cash_Receipts_AR!$B$2:$B$503,A599)</f>
        <v>11817.42</v>
      </c>
      <c r="H599" s="18" t="n">
        <f aca="false">F599-G599</f>
        <v>0</v>
      </c>
      <c r="I599" s="16" t="n">
        <f aca="false">IF(H599&lt;=0.01,0,MAX(Assumptions!$B$5-E599,0))</f>
        <v>0</v>
      </c>
      <c r="J599" s="16" t="str">
        <f aca="false">IF(H599&lt;=0.01,"Paid",IF(I599&lt;=30,"0-30",IF(I599&lt;=60,"31-60",IF(I599&lt;=90,"61-90","90+"))))</f>
        <v>Paid</v>
      </c>
      <c r="K599" s="16" t="str">
        <f aca="false">IF(H599&lt;=0.01,"Paid",IF(G599&gt;0,"Partially Paid","Unpaid"))</f>
        <v>Paid</v>
      </c>
    </row>
    <row r="600" customFormat="false" ht="15" hidden="false" customHeight="false" outlineLevel="0" collapsed="false">
      <c r="A600" s="16" t="str">
        <f aca="false">Customer_Invoices_AR!A597</f>
        <v>ARI60596</v>
      </c>
      <c r="B600" s="16" t="str">
        <f aca="false">Customer_Invoices_AR!B597</f>
        <v>C2030</v>
      </c>
      <c r="C600" s="16" t="str">
        <f aca="false">IFERROR(INDEX(Customer_Master!$B$2:$B$31,MATCH(B600,Customer_Master!$A$2:$A$31,0)),"Unknown Customer")</f>
        <v>Sanchez, Wheeler and Harvey</v>
      </c>
      <c r="D600" s="17" t="n">
        <f aca="false">Customer_Invoices_AR!C597</f>
        <v>46183</v>
      </c>
      <c r="E600" s="17" t="n">
        <f aca="false">Customer_Invoices_AR!E597</f>
        <v>46198</v>
      </c>
      <c r="F600" s="18" t="n">
        <f aca="false">Customer_Invoices_AR!D597</f>
        <v>703.13</v>
      </c>
      <c r="G600" s="18" t="n">
        <f aca="false">SUMIFS(Cash_Receipts_AR!$E$2:$E$503,Cash_Receipts_AR!$B$2:$B$503,A600)</f>
        <v>703.13</v>
      </c>
      <c r="H600" s="18" t="n">
        <f aca="false">F600-G600</f>
        <v>0</v>
      </c>
      <c r="I600" s="16" t="n">
        <f aca="false">IF(H600&lt;=0.01,0,MAX(Assumptions!$B$5-E600,0))</f>
        <v>0</v>
      </c>
      <c r="J600" s="16" t="str">
        <f aca="false">IF(H600&lt;=0.01,"Paid",IF(I600&lt;=30,"0-30",IF(I600&lt;=60,"31-60",IF(I600&lt;=90,"61-90","90+"))))</f>
        <v>Paid</v>
      </c>
      <c r="K600" s="16" t="str">
        <f aca="false">IF(H600&lt;=0.01,"Paid",IF(G600&gt;0,"Partially Paid","Unpaid"))</f>
        <v>Paid</v>
      </c>
    </row>
    <row r="601" customFormat="false" ht="15" hidden="false" customHeight="false" outlineLevel="0" collapsed="false">
      <c r="A601" s="16" t="str">
        <f aca="false">Customer_Invoices_AR!A598</f>
        <v>ARI60597</v>
      </c>
      <c r="B601" s="16" t="str">
        <f aca="false">Customer_Invoices_AR!B598</f>
        <v>C2002</v>
      </c>
      <c r="C601" s="16" t="str">
        <f aca="false">IFERROR(INDEX(Customer_Master!$B$2:$B$31,MATCH(B601,Customer_Master!$A$2:$A$31,0)),"Unknown Customer")</f>
        <v>Smith-Spencer</v>
      </c>
      <c r="D601" s="17" t="n">
        <f aca="false">Customer_Invoices_AR!C598</f>
        <v>45833</v>
      </c>
      <c r="E601" s="17" t="n">
        <f aca="false">Customer_Invoices_AR!E598</f>
        <v>45848</v>
      </c>
      <c r="F601" s="18" t="n">
        <f aca="false">Customer_Invoices_AR!D598</f>
        <v>1810.18</v>
      </c>
      <c r="G601" s="18" t="n">
        <f aca="false">SUMIFS(Cash_Receipts_AR!$E$2:$E$503,Cash_Receipts_AR!$B$2:$B$503,A601)</f>
        <v>1046.68</v>
      </c>
      <c r="H601" s="18" t="n">
        <f aca="false">F601-G601</f>
        <v>763.5</v>
      </c>
      <c r="I601" s="16" t="n">
        <f aca="false">IF(H601&lt;=0.01,0,MAX(Assumptions!$B$5-E601,0))</f>
        <v>386</v>
      </c>
      <c r="J601" s="16" t="str">
        <f aca="false">IF(H601&lt;=0.01,"Paid",IF(I601&lt;=30,"0-30",IF(I601&lt;=60,"31-60",IF(I601&lt;=90,"61-90","90+"))))</f>
        <v>90+</v>
      </c>
      <c r="K601" s="16" t="str">
        <f aca="false">IF(H601&lt;=0.01,"Paid",IF(G601&gt;0,"Partially Paid","Unpaid"))</f>
        <v>Partially Paid</v>
      </c>
    </row>
    <row r="602" customFormat="false" ht="15" hidden="false" customHeight="false" outlineLevel="0" collapsed="false">
      <c r="A602" s="16" t="str">
        <f aca="false">Customer_Invoices_AR!A599</f>
        <v>ARI60598</v>
      </c>
      <c r="B602" s="16" t="str">
        <f aca="false">Customer_Invoices_AR!B599</f>
        <v>C2024</v>
      </c>
      <c r="C602" s="16" t="str">
        <f aca="false">IFERROR(INDEX(Customer_Master!$B$2:$B$31,MATCH(B602,Customer_Master!$A$2:$A$31,0)),"Unknown Customer")</f>
        <v>Novak PLC</v>
      </c>
      <c r="D602" s="17" t="n">
        <f aca="false">Customer_Invoices_AR!C599</f>
        <v>46010</v>
      </c>
      <c r="E602" s="17" t="n">
        <f aca="false">Customer_Invoices_AR!E599</f>
        <v>46070</v>
      </c>
      <c r="F602" s="18" t="n">
        <f aca="false">Customer_Invoices_AR!D599</f>
        <v>1573.73</v>
      </c>
      <c r="G602" s="18" t="n">
        <f aca="false">SUMIFS(Cash_Receipts_AR!$E$2:$E$503,Cash_Receipts_AR!$B$2:$B$503,A602)</f>
        <v>1573.73</v>
      </c>
      <c r="H602" s="18" t="n">
        <f aca="false">F602-G602</f>
        <v>0</v>
      </c>
      <c r="I602" s="16" t="n">
        <f aca="false">IF(H602&lt;=0.01,0,MAX(Assumptions!$B$5-E602,0))</f>
        <v>0</v>
      </c>
      <c r="J602" s="16" t="str">
        <f aca="false">IF(H602&lt;=0.01,"Paid",IF(I602&lt;=30,"0-30",IF(I602&lt;=60,"31-60",IF(I602&lt;=90,"61-90","90+"))))</f>
        <v>Paid</v>
      </c>
      <c r="K602" s="16" t="str">
        <f aca="false">IF(H602&lt;=0.01,"Paid",IF(G602&gt;0,"Partially Paid","Unpaid"))</f>
        <v>Paid</v>
      </c>
    </row>
    <row r="603" customFormat="false" ht="15" hidden="false" customHeight="false" outlineLevel="0" collapsed="false">
      <c r="A603" s="16" t="str">
        <f aca="false">Customer_Invoices_AR!A600</f>
        <v>ARI60599</v>
      </c>
      <c r="B603" s="16" t="str">
        <f aca="false">Customer_Invoices_AR!B600</f>
        <v>C2003</v>
      </c>
      <c r="C603" s="16" t="str">
        <f aca="false">IFERROR(INDEX(Customer_Master!$B$2:$B$31,MATCH(B603,Customer_Master!$A$2:$A$31,0)),"Unknown Customer")</f>
        <v>Robinson, Jones and Welch</v>
      </c>
      <c r="D603" s="17" t="n">
        <f aca="false">Customer_Invoices_AR!C600</f>
        <v>46152</v>
      </c>
      <c r="E603" s="17" t="n">
        <f aca="false">Customer_Invoices_AR!E600</f>
        <v>46197</v>
      </c>
      <c r="F603" s="18" t="n">
        <f aca="false">Customer_Invoices_AR!D600</f>
        <v>1461.81</v>
      </c>
      <c r="G603" s="18" t="n">
        <f aca="false">SUMIFS(Cash_Receipts_AR!$E$2:$E$503,Cash_Receipts_AR!$B$2:$B$503,A603)</f>
        <v>1461.81</v>
      </c>
      <c r="H603" s="18" t="n">
        <f aca="false">F603-G603</f>
        <v>0</v>
      </c>
      <c r="I603" s="16" t="n">
        <f aca="false">IF(H603&lt;=0.01,0,MAX(Assumptions!$B$5-E603,0))</f>
        <v>0</v>
      </c>
      <c r="J603" s="16" t="str">
        <f aca="false">IF(H603&lt;=0.01,"Paid",IF(I603&lt;=30,"0-30",IF(I603&lt;=60,"31-60",IF(I603&lt;=90,"61-90","90+"))))</f>
        <v>Paid</v>
      </c>
      <c r="K603" s="16" t="str">
        <f aca="false">IF(H603&lt;=0.01,"Paid",IF(G603&gt;0,"Partially Paid","Unpaid"))</f>
        <v>Paid</v>
      </c>
    </row>
    <row r="604" customFormat="false" ht="15" hidden="false" customHeight="false" outlineLevel="0" collapsed="false">
      <c r="A604" s="16" t="str">
        <f aca="false">Customer_Invoices_AR!A601</f>
        <v>ARI60600</v>
      </c>
      <c r="B604" s="16" t="str">
        <f aca="false">Customer_Invoices_AR!B601</f>
        <v>C2021</v>
      </c>
      <c r="C604" s="16" t="str">
        <f aca="false">IFERROR(INDEX(Customer_Master!$B$2:$B$31,MATCH(B604,Customer_Master!$A$2:$A$31,0)),"Unknown Customer")</f>
        <v>House-Glover</v>
      </c>
      <c r="D604" s="17" t="n">
        <f aca="false">Customer_Invoices_AR!C601</f>
        <v>45706</v>
      </c>
      <c r="E604" s="17" t="n">
        <f aca="false">Customer_Invoices_AR!E601</f>
        <v>45766</v>
      </c>
      <c r="F604" s="18" t="n">
        <f aca="false">Customer_Invoices_AR!D601</f>
        <v>3855.14</v>
      </c>
      <c r="G604" s="18" t="n">
        <f aca="false">SUMIFS(Cash_Receipts_AR!$E$2:$E$503,Cash_Receipts_AR!$B$2:$B$503,A604)</f>
        <v>3855.14</v>
      </c>
      <c r="H604" s="18" t="n">
        <f aca="false">F604-G604</f>
        <v>0</v>
      </c>
      <c r="I604" s="16" t="n">
        <f aca="false">IF(H604&lt;=0.01,0,MAX(Assumptions!$B$5-E604,0))</f>
        <v>0</v>
      </c>
      <c r="J604" s="16" t="str">
        <f aca="false">IF(H604&lt;=0.01,"Paid",IF(I604&lt;=30,"0-30",IF(I604&lt;=60,"31-60",IF(I604&lt;=90,"61-90","90+"))))</f>
        <v>Paid</v>
      </c>
      <c r="K604" s="16" t="str">
        <f aca="false">IF(H604&lt;=0.01,"Paid",IF(G604&gt;0,"Partially Paid","Unpaid"))</f>
        <v>Paid</v>
      </c>
    </row>
    <row r="607" customFormat="false" ht="15" hidden="false" customHeight="false" outlineLevel="0" collapsed="false">
      <c r="A607" s="3" t="s">
        <v>5586</v>
      </c>
      <c r="B607" s="4"/>
      <c r="C607" s="4"/>
    </row>
    <row r="608" customFormat="false" ht="15" hidden="false" customHeight="false" outlineLevel="0" collapsed="false">
      <c r="A608" s="19" t="s">
        <v>5554</v>
      </c>
      <c r="B608" s="19" t="s">
        <v>5555</v>
      </c>
      <c r="C608" s="19" t="s">
        <v>5556</v>
      </c>
    </row>
    <row r="609" customFormat="false" ht="15" hidden="false" customHeight="false" outlineLevel="0" collapsed="false">
      <c r="A609" s="8" t="s">
        <v>5557</v>
      </c>
      <c r="B609" s="20" t="n">
        <f aca="false">SUMIFS($H$5:$H$604,$J$5:$J$604,A609)</f>
        <v>36608.27</v>
      </c>
      <c r="C609" s="15" t="n">
        <f aca="false">COUNTIFS($J$5:$J$604,A609)</f>
        <v>19</v>
      </c>
    </row>
    <row r="610" customFormat="false" ht="15" hidden="false" customHeight="false" outlineLevel="0" collapsed="false">
      <c r="A610" s="8" t="s">
        <v>5558</v>
      </c>
      <c r="B610" s="20" t="n">
        <f aca="false">SUMIFS($H$5:$H$604,$J$5:$J$604,A610)</f>
        <v>46667.73</v>
      </c>
      <c r="C610" s="15" t="n">
        <f aca="false">COUNTIFS($J$5:$J$604,A610)</f>
        <v>17</v>
      </c>
    </row>
    <row r="611" customFormat="false" ht="15" hidden="false" customHeight="false" outlineLevel="0" collapsed="false">
      <c r="A611" s="8" t="s">
        <v>5559</v>
      </c>
      <c r="B611" s="20" t="n">
        <f aca="false">SUMIFS($H$5:$H$604,$J$5:$J$604,A611)</f>
        <v>23901.13</v>
      </c>
      <c r="C611" s="15" t="n">
        <f aca="false">COUNTIFS($J$5:$J$604,A611)</f>
        <v>5</v>
      </c>
    </row>
    <row r="612" customFormat="false" ht="15" hidden="false" customHeight="false" outlineLevel="0" collapsed="false">
      <c r="A612" s="8" t="s">
        <v>5560</v>
      </c>
      <c r="B612" s="20" t="n">
        <f aca="false">SUMIFS($H$5:$H$604,$J$5:$J$604,A612)</f>
        <v>323070.04</v>
      </c>
      <c r="C612" s="15" t="n">
        <f aca="false">COUNTIFS($J$5:$J$604,A612)</f>
        <v>143</v>
      </c>
    </row>
  </sheetData>
  <autoFilter ref="A4:K6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5587</v>
      </c>
    </row>
    <row r="2" customFormat="false" ht="15" hidden="false" customHeight="false" outlineLevel="0" collapsed="false">
      <c r="A2" s="2" t="s">
        <v>5588</v>
      </c>
    </row>
    <row r="4" customFormat="false" ht="27.75" hidden="false" customHeight="true" outlineLevel="0" collapsed="false">
      <c r="A4" s="7" t="s">
        <v>4423</v>
      </c>
      <c r="B4" s="7" t="s">
        <v>205</v>
      </c>
      <c r="C4" s="7" t="s">
        <v>1955</v>
      </c>
      <c r="D4" s="7" t="s">
        <v>5585</v>
      </c>
      <c r="E4" s="7" t="s">
        <v>5550</v>
      </c>
      <c r="F4" s="7" t="s">
        <v>5551</v>
      </c>
      <c r="G4" s="7" t="s">
        <v>5546</v>
      </c>
      <c r="H4" s="7" t="s">
        <v>5589</v>
      </c>
    </row>
    <row r="5" customFormat="false" ht="15" hidden="false" customHeight="false" outlineLevel="0" collapsed="false">
      <c r="A5" s="16" t="str">
        <f aca="false">AR_Aging!A5</f>
        <v>ARI60001</v>
      </c>
      <c r="B5" s="16" t="str">
        <f aca="false">AR_Aging!C5</f>
        <v>Robinson, Jones and Welch</v>
      </c>
      <c r="C5" s="18" t="n">
        <f aca="false">AR_Aging!F5</f>
        <v>6493.93</v>
      </c>
      <c r="D5" s="18" t="n">
        <f aca="false">AR_Aging!G5</f>
        <v>0</v>
      </c>
      <c r="E5" s="18" t="n">
        <f aca="false">AR_Aging!H5</f>
        <v>6493.93</v>
      </c>
      <c r="F5" s="16" t="n">
        <f aca="false">AR_Aging!I5</f>
        <v>203</v>
      </c>
      <c r="G5" s="16" t="str">
        <f aca="false">AR_Aging!K5</f>
        <v>Unpaid</v>
      </c>
      <c r="H5" s="16" t="str">
        <f aca="false">IF(AND(G5="Unpaid",F5&gt;90),"HIGH - Fully Overdue 90+ Days",IF(G5="Partially Paid","MEDIUM - Short Paid","OK"))</f>
        <v>HIGH - Fully Overdue 90+ Days</v>
      </c>
    </row>
    <row r="6" customFormat="false" ht="15" hidden="false" customHeight="false" outlineLevel="0" collapsed="false">
      <c r="A6" s="16" t="str">
        <f aca="false">AR_Aging!A6</f>
        <v>ARI60002</v>
      </c>
      <c r="B6" s="16" t="str">
        <f aca="false">AR_Aging!C6</f>
        <v>Baxter Inc</v>
      </c>
      <c r="C6" s="18" t="n">
        <f aca="false">AR_Aging!F6</f>
        <v>3250.9</v>
      </c>
      <c r="D6" s="18" t="n">
        <f aca="false">AR_Aging!G6</f>
        <v>1523.91</v>
      </c>
      <c r="E6" s="18" t="n">
        <f aca="false">AR_Aging!H6</f>
        <v>1726.99</v>
      </c>
      <c r="F6" s="16" t="n">
        <f aca="false">AR_Aging!I6</f>
        <v>132</v>
      </c>
      <c r="G6" s="16" t="str">
        <f aca="false">AR_Aging!K6</f>
        <v>Partially Paid</v>
      </c>
      <c r="H6" s="16" t="str">
        <f aca="false">IF(AND(G6="Unpaid",F6&gt;90),"HIGH - Fully Overdue 90+ Days",IF(G6="Partially Paid","MEDIUM - Short Paid","OK"))</f>
        <v>MEDIUM - Short Paid</v>
      </c>
    </row>
    <row r="7" customFormat="false" ht="15" hidden="false" customHeight="false" outlineLevel="0" collapsed="false">
      <c r="A7" s="16" t="str">
        <f aca="false">AR_Aging!A7</f>
        <v>ARI60003</v>
      </c>
      <c r="B7" s="16" t="str">
        <f aca="false">AR_Aging!C7</f>
        <v>Brown, Valdez and Lucas</v>
      </c>
      <c r="C7" s="18" t="n">
        <f aca="false">AR_Aging!F7</f>
        <v>715.25</v>
      </c>
      <c r="D7" s="18" t="n">
        <f aca="false">AR_Aging!G7</f>
        <v>715.25</v>
      </c>
      <c r="E7" s="18" t="n">
        <f aca="false">AR_Aging!H7</f>
        <v>0</v>
      </c>
      <c r="F7" s="16" t="n">
        <f aca="false">AR_Aging!I7</f>
        <v>0</v>
      </c>
      <c r="G7" s="16" t="str">
        <f aca="false">AR_Aging!K7</f>
        <v>Paid</v>
      </c>
      <c r="H7" s="16" t="str">
        <f aca="false">IF(AND(G7="Unpaid",F7&gt;90),"HIGH - Fully Overdue 90+ Days",IF(G7="Partially Paid","MEDIUM - Short Paid","OK"))</f>
        <v>OK</v>
      </c>
    </row>
    <row r="8" customFormat="false" ht="15" hidden="false" customHeight="false" outlineLevel="0" collapsed="false">
      <c r="A8" s="16" t="str">
        <f aca="false">AR_Aging!A8</f>
        <v>ARI60004</v>
      </c>
      <c r="B8" s="16" t="str">
        <f aca="false">AR_Aging!C8</f>
        <v>Sanchez, Wheeler and Harvey</v>
      </c>
      <c r="C8" s="18" t="n">
        <f aca="false">AR_Aging!F8</f>
        <v>3252.02</v>
      </c>
      <c r="D8" s="18" t="n">
        <f aca="false">AR_Aging!G8</f>
        <v>3252.02</v>
      </c>
      <c r="E8" s="18" t="n">
        <f aca="false">AR_Aging!H8</f>
        <v>0</v>
      </c>
      <c r="F8" s="16" t="n">
        <f aca="false">AR_Aging!I8</f>
        <v>0</v>
      </c>
      <c r="G8" s="16" t="str">
        <f aca="false">AR_Aging!K8</f>
        <v>Paid</v>
      </c>
      <c r="H8" s="16" t="str">
        <f aca="false">IF(AND(G8="Unpaid",F8&gt;90),"HIGH - Fully Overdue 90+ Days",IF(G8="Partially Paid","MEDIUM - Short Paid","OK"))</f>
        <v>OK</v>
      </c>
    </row>
    <row r="9" customFormat="false" ht="15" hidden="false" customHeight="false" outlineLevel="0" collapsed="false">
      <c r="A9" s="16" t="str">
        <f aca="false">AR_Aging!A9</f>
        <v>ARI60005</v>
      </c>
      <c r="B9" s="16" t="str">
        <f aca="false">AR_Aging!C9</f>
        <v>Baxter Inc</v>
      </c>
      <c r="C9" s="18" t="n">
        <f aca="false">AR_Aging!F9</f>
        <v>6622.57</v>
      </c>
      <c r="D9" s="18" t="n">
        <f aca="false">AR_Aging!G9</f>
        <v>6622.57</v>
      </c>
      <c r="E9" s="18" t="n">
        <f aca="false">AR_Aging!H9</f>
        <v>0</v>
      </c>
      <c r="F9" s="16" t="n">
        <f aca="false">AR_Aging!I9</f>
        <v>0</v>
      </c>
      <c r="G9" s="16" t="str">
        <f aca="false">AR_Aging!K9</f>
        <v>Paid</v>
      </c>
      <c r="H9" s="16" t="str">
        <f aca="false">IF(AND(G9="Unpaid",F9&gt;90),"HIGH - Fully Overdue 90+ Days",IF(G9="Partially Paid","MEDIUM - Short Paid","OK"))</f>
        <v>OK</v>
      </c>
    </row>
    <row r="10" customFormat="false" ht="15" hidden="false" customHeight="false" outlineLevel="0" collapsed="false">
      <c r="A10" s="16" t="str">
        <f aca="false">AR_Aging!A10</f>
        <v>ARI60006</v>
      </c>
      <c r="B10" s="16" t="str">
        <f aca="false">AR_Aging!C10</f>
        <v>Jones Inc</v>
      </c>
      <c r="C10" s="18" t="n">
        <f aca="false">AR_Aging!F10</f>
        <v>8576.41</v>
      </c>
      <c r="D10" s="18" t="n">
        <f aca="false">AR_Aging!G10</f>
        <v>2625.84</v>
      </c>
      <c r="E10" s="18" t="n">
        <f aca="false">AR_Aging!H10</f>
        <v>5950.57</v>
      </c>
      <c r="F10" s="16" t="n">
        <f aca="false">AR_Aging!I10</f>
        <v>277</v>
      </c>
      <c r="G10" s="16" t="str">
        <f aca="false">AR_Aging!K10</f>
        <v>Partially Paid</v>
      </c>
      <c r="H10" s="16" t="str">
        <f aca="false">IF(AND(G10="Unpaid",F10&gt;90),"HIGH - Fully Overdue 90+ Days",IF(G10="Partially Paid","MEDIUM - Short Paid","OK"))</f>
        <v>MEDIUM - Short Paid</v>
      </c>
    </row>
    <row r="11" customFormat="false" ht="15" hidden="false" customHeight="false" outlineLevel="0" collapsed="false">
      <c r="A11" s="16" t="str">
        <f aca="false">AR_Aging!A11</f>
        <v>ARI60007</v>
      </c>
      <c r="B11" s="16" t="str">
        <f aca="false">AR_Aging!C11</f>
        <v>Yu Inc</v>
      </c>
      <c r="C11" s="18" t="n">
        <f aca="false">AR_Aging!F11</f>
        <v>4091.62</v>
      </c>
      <c r="D11" s="18" t="n">
        <f aca="false">AR_Aging!G11</f>
        <v>4091.62</v>
      </c>
      <c r="E11" s="18" t="n">
        <f aca="false">AR_Aging!H11</f>
        <v>0</v>
      </c>
      <c r="F11" s="16" t="n">
        <f aca="false">AR_Aging!I11</f>
        <v>0</v>
      </c>
      <c r="G11" s="16" t="str">
        <f aca="false">AR_Aging!K11</f>
        <v>Paid</v>
      </c>
      <c r="H11" s="16" t="str">
        <f aca="false">IF(AND(G11="Unpaid",F11&gt;90),"HIGH - Fully Overdue 90+ Days",IF(G11="Partially Paid","MEDIUM - Short Paid","OK"))</f>
        <v>OK</v>
      </c>
    </row>
    <row r="12" customFormat="false" ht="15" hidden="false" customHeight="false" outlineLevel="0" collapsed="false">
      <c r="A12" s="16" t="str">
        <f aca="false">AR_Aging!A12</f>
        <v>ARI60008</v>
      </c>
      <c r="B12" s="16" t="str">
        <f aca="false">AR_Aging!C12</f>
        <v>Gomez-Jenkins</v>
      </c>
      <c r="C12" s="18" t="n">
        <f aca="false">AR_Aging!F12</f>
        <v>673.49</v>
      </c>
      <c r="D12" s="18" t="n">
        <f aca="false">AR_Aging!G12</f>
        <v>673.49</v>
      </c>
      <c r="E12" s="18" t="n">
        <f aca="false">AR_Aging!H12</f>
        <v>0</v>
      </c>
      <c r="F12" s="16" t="n">
        <f aca="false">AR_Aging!I12</f>
        <v>0</v>
      </c>
      <c r="G12" s="16" t="str">
        <f aca="false">AR_Aging!K12</f>
        <v>Paid</v>
      </c>
      <c r="H12" s="16" t="str">
        <f aca="false">IF(AND(G12="Unpaid",F12&gt;90),"HIGH - Fully Overdue 90+ Days",IF(G12="Partially Paid","MEDIUM - Short Paid","OK"))</f>
        <v>OK</v>
      </c>
    </row>
    <row r="13" customFormat="false" ht="15" hidden="false" customHeight="false" outlineLevel="0" collapsed="false">
      <c r="A13" s="16" t="str">
        <f aca="false">AR_Aging!A13</f>
        <v>ARI60009</v>
      </c>
      <c r="B13" s="16" t="str">
        <f aca="false">AR_Aging!C13</f>
        <v>Yu Inc</v>
      </c>
      <c r="C13" s="18" t="n">
        <f aca="false">AR_Aging!F13</f>
        <v>4452.11</v>
      </c>
      <c r="D13" s="18" t="n">
        <f aca="false">AR_Aging!G13</f>
        <v>2365.68</v>
      </c>
      <c r="E13" s="18" t="n">
        <f aca="false">AR_Aging!H13</f>
        <v>2086.43</v>
      </c>
      <c r="F13" s="16" t="n">
        <f aca="false">AR_Aging!I13</f>
        <v>272</v>
      </c>
      <c r="G13" s="16" t="str">
        <f aca="false">AR_Aging!K13</f>
        <v>Partially Paid</v>
      </c>
      <c r="H13" s="16" t="str">
        <f aca="false">IF(AND(G13="Unpaid",F13&gt;90),"HIGH - Fully Overdue 90+ Days",IF(G13="Partially Paid","MEDIUM - Short Paid","OK"))</f>
        <v>MEDIUM - Short Paid</v>
      </c>
    </row>
    <row r="14" customFormat="false" ht="15" hidden="false" customHeight="false" outlineLevel="0" collapsed="false">
      <c r="A14" s="16" t="str">
        <f aca="false">AR_Aging!A14</f>
        <v>ARI60010</v>
      </c>
      <c r="B14" s="16" t="str">
        <f aca="false">AR_Aging!C14</f>
        <v>Lee-Davis</v>
      </c>
      <c r="C14" s="18" t="n">
        <f aca="false">AR_Aging!F14</f>
        <v>6127.03</v>
      </c>
      <c r="D14" s="18" t="n">
        <f aca="false">AR_Aging!G14</f>
        <v>6127.03</v>
      </c>
      <c r="E14" s="18" t="n">
        <f aca="false">AR_Aging!H14</f>
        <v>0</v>
      </c>
      <c r="F14" s="16" t="n">
        <f aca="false">AR_Aging!I14</f>
        <v>0</v>
      </c>
      <c r="G14" s="16" t="str">
        <f aca="false">AR_Aging!K14</f>
        <v>Paid</v>
      </c>
      <c r="H14" s="16" t="str">
        <f aca="false">IF(AND(G14="Unpaid",F14&gt;90),"HIGH - Fully Overdue 90+ Days",IF(G14="Partially Paid","MEDIUM - Short Paid","OK"))</f>
        <v>OK</v>
      </c>
    </row>
    <row r="15" customFormat="false" ht="15" hidden="false" customHeight="false" outlineLevel="0" collapsed="false">
      <c r="A15" s="16" t="str">
        <f aca="false">AR_Aging!A15</f>
        <v>ARI60011</v>
      </c>
      <c r="B15" s="16" t="str">
        <f aca="false">AR_Aging!C15</f>
        <v>Wright Inc</v>
      </c>
      <c r="C15" s="18" t="n">
        <f aca="false">AR_Aging!F15</f>
        <v>3666.96</v>
      </c>
      <c r="D15" s="18" t="n">
        <f aca="false">AR_Aging!G15</f>
        <v>3666.96</v>
      </c>
      <c r="E15" s="18" t="n">
        <f aca="false">AR_Aging!H15</f>
        <v>0</v>
      </c>
      <c r="F15" s="16" t="n">
        <f aca="false">AR_Aging!I15</f>
        <v>0</v>
      </c>
      <c r="G15" s="16" t="str">
        <f aca="false">AR_Aging!K15</f>
        <v>Paid</v>
      </c>
      <c r="H15" s="16" t="str">
        <f aca="false">IF(AND(G15="Unpaid",F15&gt;90),"HIGH - Fully Overdue 90+ Days",IF(G15="Partially Paid","MEDIUM - Short Paid","OK"))</f>
        <v>OK</v>
      </c>
    </row>
    <row r="16" customFormat="false" ht="15" hidden="false" customHeight="false" outlineLevel="0" collapsed="false">
      <c r="A16" s="16" t="str">
        <f aca="false">AR_Aging!A16</f>
        <v>ARI60012</v>
      </c>
      <c r="B16" s="16" t="str">
        <f aca="false">AR_Aging!C16</f>
        <v>Williams PLC</v>
      </c>
      <c r="C16" s="18" t="n">
        <f aca="false">AR_Aging!F16</f>
        <v>8288.62</v>
      </c>
      <c r="D16" s="18" t="n">
        <f aca="false">AR_Aging!G16</f>
        <v>8288.62</v>
      </c>
      <c r="E16" s="18" t="n">
        <f aca="false">AR_Aging!H16</f>
        <v>0</v>
      </c>
      <c r="F16" s="16" t="n">
        <f aca="false">AR_Aging!I16</f>
        <v>0</v>
      </c>
      <c r="G16" s="16" t="str">
        <f aca="false">AR_Aging!K16</f>
        <v>Paid</v>
      </c>
      <c r="H16" s="16" t="str">
        <f aca="false">IF(AND(G16="Unpaid",F16&gt;90),"HIGH - Fully Overdue 90+ Days",IF(G16="Partially Paid","MEDIUM - Short Paid","OK"))</f>
        <v>OK</v>
      </c>
    </row>
    <row r="17" customFormat="false" ht="15" hidden="false" customHeight="false" outlineLevel="0" collapsed="false">
      <c r="A17" s="16" t="str">
        <f aca="false">AR_Aging!A17</f>
        <v>ARI60013</v>
      </c>
      <c r="B17" s="16" t="str">
        <f aca="false">AR_Aging!C17</f>
        <v>Daniels, Adkins and Brown</v>
      </c>
      <c r="C17" s="18" t="n">
        <f aca="false">AR_Aging!F17</f>
        <v>1708.27</v>
      </c>
      <c r="D17" s="18" t="n">
        <f aca="false">AR_Aging!G17</f>
        <v>1708.27</v>
      </c>
      <c r="E17" s="18" t="n">
        <f aca="false">AR_Aging!H17</f>
        <v>0</v>
      </c>
      <c r="F17" s="16" t="n">
        <f aca="false">AR_Aging!I17</f>
        <v>0</v>
      </c>
      <c r="G17" s="16" t="str">
        <f aca="false">AR_Aging!K17</f>
        <v>Paid</v>
      </c>
      <c r="H17" s="16" t="str">
        <f aca="false">IF(AND(G17="Unpaid",F17&gt;90),"HIGH - Fully Overdue 90+ Days",IF(G17="Partially Paid","MEDIUM - Short Paid","OK"))</f>
        <v>OK</v>
      </c>
    </row>
    <row r="18" customFormat="false" ht="15" hidden="false" customHeight="false" outlineLevel="0" collapsed="false">
      <c r="A18" s="16" t="str">
        <f aca="false">AR_Aging!A18</f>
        <v>ARI60014</v>
      </c>
      <c r="B18" s="16" t="str">
        <f aca="false">AR_Aging!C18</f>
        <v>Williams PLC</v>
      </c>
      <c r="C18" s="18" t="n">
        <f aca="false">AR_Aging!F18</f>
        <v>10942.48</v>
      </c>
      <c r="D18" s="18" t="n">
        <f aca="false">AR_Aging!G18</f>
        <v>10942.48</v>
      </c>
      <c r="E18" s="18" t="n">
        <f aca="false">AR_Aging!H18</f>
        <v>0</v>
      </c>
      <c r="F18" s="16" t="n">
        <f aca="false">AR_Aging!I18</f>
        <v>0</v>
      </c>
      <c r="G18" s="16" t="str">
        <f aca="false">AR_Aging!K18</f>
        <v>Paid</v>
      </c>
      <c r="H18" s="16" t="str">
        <f aca="false">IF(AND(G18="Unpaid",F18&gt;90),"HIGH - Fully Overdue 90+ Days",IF(G18="Partially Paid","MEDIUM - Short Paid","OK"))</f>
        <v>OK</v>
      </c>
    </row>
    <row r="19" customFormat="false" ht="15" hidden="false" customHeight="false" outlineLevel="0" collapsed="false">
      <c r="A19" s="16" t="str">
        <f aca="false">AR_Aging!A19</f>
        <v>ARI60015</v>
      </c>
      <c r="B19" s="16" t="str">
        <f aca="false">AR_Aging!C19</f>
        <v>Novak and Sons</v>
      </c>
      <c r="C19" s="18" t="n">
        <f aca="false">AR_Aging!F19</f>
        <v>1415.72</v>
      </c>
      <c r="D19" s="18" t="n">
        <f aca="false">AR_Aging!G19</f>
        <v>1415.72</v>
      </c>
      <c r="E19" s="18" t="n">
        <f aca="false">AR_Aging!H19</f>
        <v>0</v>
      </c>
      <c r="F19" s="16" t="n">
        <f aca="false">AR_Aging!I19</f>
        <v>0</v>
      </c>
      <c r="G19" s="16" t="str">
        <f aca="false">AR_Aging!K19</f>
        <v>Paid</v>
      </c>
      <c r="H19" s="16" t="str">
        <f aca="false">IF(AND(G19="Unpaid",F19&gt;90),"HIGH - Fully Overdue 90+ Days",IF(G19="Partially Paid","MEDIUM - Short Paid","OK"))</f>
        <v>OK</v>
      </c>
    </row>
    <row r="20" customFormat="false" ht="15" hidden="false" customHeight="false" outlineLevel="0" collapsed="false">
      <c r="A20" s="16" t="str">
        <f aca="false">AR_Aging!A20</f>
        <v>ARI60016</v>
      </c>
      <c r="B20" s="16" t="str">
        <f aca="false">AR_Aging!C20</f>
        <v>Williams PLC</v>
      </c>
      <c r="C20" s="18" t="n">
        <f aca="false">AR_Aging!F20</f>
        <v>2952.16</v>
      </c>
      <c r="D20" s="18" t="n">
        <f aca="false">AR_Aging!G20</f>
        <v>2952.16</v>
      </c>
      <c r="E20" s="18" t="n">
        <f aca="false">AR_Aging!H20</f>
        <v>0</v>
      </c>
      <c r="F20" s="16" t="n">
        <f aca="false">AR_Aging!I20</f>
        <v>0</v>
      </c>
      <c r="G20" s="16" t="str">
        <f aca="false">AR_Aging!K20</f>
        <v>Paid</v>
      </c>
      <c r="H20" s="16" t="str">
        <f aca="false">IF(AND(G20="Unpaid",F20&gt;90),"HIGH - Fully Overdue 90+ Days",IF(G20="Partially Paid","MEDIUM - Short Paid","OK"))</f>
        <v>OK</v>
      </c>
    </row>
    <row r="21" customFormat="false" ht="15" hidden="false" customHeight="false" outlineLevel="0" collapsed="false">
      <c r="A21" s="16" t="str">
        <f aca="false">AR_Aging!A21</f>
        <v>ARI60017</v>
      </c>
      <c r="B21" s="16" t="str">
        <f aca="false">AR_Aging!C21</f>
        <v>Morton-Chase</v>
      </c>
      <c r="C21" s="18" t="n">
        <f aca="false">AR_Aging!F21</f>
        <v>3137.15</v>
      </c>
      <c r="D21" s="18" t="n">
        <f aca="false">AR_Aging!G21</f>
        <v>3137.15</v>
      </c>
      <c r="E21" s="18" t="n">
        <f aca="false">AR_Aging!H21</f>
        <v>0</v>
      </c>
      <c r="F21" s="16" t="n">
        <f aca="false">AR_Aging!I21</f>
        <v>0</v>
      </c>
      <c r="G21" s="16" t="str">
        <f aca="false">AR_Aging!K21</f>
        <v>Paid</v>
      </c>
      <c r="H21" s="16" t="str">
        <f aca="false">IF(AND(G21="Unpaid",F21&gt;90),"HIGH - Fully Overdue 90+ Days",IF(G21="Partially Paid","MEDIUM - Short Paid","OK"))</f>
        <v>OK</v>
      </c>
    </row>
    <row r="22" customFormat="false" ht="15" hidden="false" customHeight="false" outlineLevel="0" collapsed="false">
      <c r="A22" s="16" t="str">
        <f aca="false">AR_Aging!A22</f>
        <v>ARI60018</v>
      </c>
      <c r="B22" s="16" t="str">
        <f aca="false">AR_Aging!C22</f>
        <v>Wright Inc</v>
      </c>
      <c r="C22" s="18" t="n">
        <f aca="false">AR_Aging!F22</f>
        <v>1090.77</v>
      </c>
      <c r="D22" s="18" t="n">
        <f aca="false">AR_Aging!G22</f>
        <v>468.78</v>
      </c>
      <c r="E22" s="18" t="n">
        <f aca="false">AR_Aging!H22</f>
        <v>621.99</v>
      </c>
      <c r="F22" s="16" t="n">
        <f aca="false">AR_Aging!I22</f>
        <v>290</v>
      </c>
      <c r="G22" s="16" t="str">
        <f aca="false">AR_Aging!K22</f>
        <v>Partially Paid</v>
      </c>
      <c r="H22" s="16" t="str">
        <f aca="false">IF(AND(G22="Unpaid",F22&gt;90),"HIGH - Fully Overdue 90+ Days",IF(G22="Partially Paid","MEDIUM - Short Paid","OK"))</f>
        <v>MEDIUM - Short Paid</v>
      </c>
    </row>
    <row r="23" customFormat="false" ht="15" hidden="false" customHeight="false" outlineLevel="0" collapsed="false">
      <c r="A23" s="16" t="str">
        <f aca="false">AR_Aging!A23</f>
        <v>ARI60019</v>
      </c>
      <c r="B23" s="16" t="str">
        <f aca="false">AR_Aging!C23</f>
        <v>Wright and Sons</v>
      </c>
      <c r="C23" s="18" t="n">
        <f aca="false">AR_Aging!F23</f>
        <v>1542.98</v>
      </c>
      <c r="D23" s="18" t="n">
        <f aca="false">AR_Aging!G23</f>
        <v>1542.98</v>
      </c>
      <c r="E23" s="18" t="n">
        <f aca="false">AR_Aging!H23</f>
        <v>0</v>
      </c>
      <c r="F23" s="16" t="n">
        <f aca="false">AR_Aging!I23</f>
        <v>0</v>
      </c>
      <c r="G23" s="16" t="str">
        <f aca="false">AR_Aging!K23</f>
        <v>Paid</v>
      </c>
      <c r="H23" s="16" t="str">
        <f aca="false">IF(AND(G23="Unpaid",F23&gt;90),"HIGH - Fully Overdue 90+ Days",IF(G23="Partially Paid","MEDIUM - Short Paid","OK"))</f>
        <v>OK</v>
      </c>
    </row>
    <row r="24" customFormat="false" ht="15" hidden="false" customHeight="false" outlineLevel="0" collapsed="false">
      <c r="A24" s="16" t="str">
        <f aca="false">AR_Aging!A24</f>
        <v>ARI60020</v>
      </c>
      <c r="B24" s="16" t="str">
        <f aca="false">AR_Aging!C24</f>
        <v>Daniels, Adkins and Brown</v>
      </c>
      <c r="C24" s="18" t="n">
        <f aca="false">AR_Aging!F24</f>
        <v>4945.6</v>
      </c>
      <c r="D24" s="18" t="n">
        <f aca="false">AR_Aging!G24</f>
        <v>4945.6</v>
      </c>
      <c r="E24" s="18" t="n">
        <f aca="false">AR_Aging!H24</f>
        <v>0</v>
      </c>
      <c r="F24" s="16" t="n">
        <f aca="false">AR_Aging!I24</f>
        <v>0</v>
      </c>
      <c r="G24" s="16" t="str">
        <f aca="false">AR_Aging!K24</f>
        <v>Paid</v>
      </c>
      <c r="H24" s="16" t="str">
        <f aca="false">IF(AND(G24="Unpaid",F24&gt;90),"HIGH - Fully Overdue 90+ Days",IF(G24="Partially Paid","MEDIUM - Short Paid","OK"))</f>
        <v>OK</v>
      </c>
    </row>
    <row r="25" customFormat="false" ht="15" hidden="false" customHeight="false" outlineLevel="0" collapsed="false">
      <c r="A25" s="16" t="str">
        <f aca="false">AR_Aging!A25</f>
        <v>ARI60021</v>
      </c>
      <c r="B25" s="16" t="str">
        <f aca="false">AR_Aging!C25</f>
        <v>Johnston, Sanchez and Kennedy</v>
      </c>
      <c r="C25" s="18" t="n">
        <f aca="false">AR_Aging!F25</f>
        <v>1269.3</v>
      </c>
      <c r="D25" s="18" t="n">
        <f aca="false">AR_Aging!G25</f>
        <v>0</v>
      </c>
      <c r="E25" s="18" t="n">
        <f aca="false">AR_Aging!H25</f>
        <v>1269.3</v>
      </c>
      <c r="F25" s="16" t="n">
        <f aca="false">AR_Aging!I25</f>
        <v>516</v>
      </c>
      <c r="G25" s="16" t="str">
        <f aca="false">AR_Aging!K25</f>
        <v>Unpaid</v>
      </c>
      <c r="H25" s="16" t="str">
        <f aca="false">IF(AND(G25="Unpaid",F25&gt;90),"HIGH - Fully Overdue 90+ Days",IF(G25="Partially Paid","MEDIUM - Short Paid","OK"))</f>
        <v>HIGH - Fully Overdue 90+ Days</v>
      </c>
    </row>
    <row r="26" customFormat="false" ht="15" hidden="false" customHeight="false" outlineLevel="0" collapsed="false">
      <c r="A26" s="16" t="str">
        <f aca="false">AR_Aging!A26</f>
        <v>ARI60022</v>
      </c>
      <c r="B26" s="16" t="str">
        <f aca="false">AR_Aging!C26</f>
        <v>Gomez-Jenkins</v>
      </c>
      <c r="C26" s="18" t="n">
        <f aca="false">AR_Aging!F26</f>
        <v>10752.52</v>
      </c>
      <c r="D26" s="18" t="n">
        <f aca="false">AR_Aging!G26</f>
        <v>10752.52</v>
      </c>
      <c r="E26" s="18" t="n">
        <f aca="false">AR_Aging!H26</f>
        <v>0</v>
      </c>
      <c r="F26" s="16" t="n">
        <f aca="false">AR_Aging!I26</f>
        <v>0</v>
      </c>
      <c r="G26" s="16" t="str">
        <f aca="false">AR_Aging!K26</f>
        <v>Paid</v>
      </c>
      <c r="H26" s="16" t="str">
        <f aca="false">IF(AND(G26="Unpaid",F26&gt;90),"HIGH - Fully Overdue 90+ Days",IF(G26="Partially Paid","MEDIUM - Short Paid","OK"))</f>
        <v>OK</v>
      </c>
    </row>
    <row r="27" customFormat="false" ht="15" hidden="false" customHeight="false" outlineLevel="0" collapsed="false">
      <c r="A27" s="16" t="str">
        <f aca="false">AR_Aging!A27</f>
        <v>ARI60023</v>
      </c>
      <c r="B27" s="16" t="str">
        <f aca="false">AR_Aging!C27</f>
        <v>Woods, Calhoun and Schmidt</v>
      </c>
      <c r="C27" s="18" t="n">
        <f aca="false">AR_Aging!F27</f>
        <v>738.73</v>
      </c>
      <c r="D27" s="18" t="n">
        <f aca="false">AR_Aging!G27</f>
        <v>738.73</v>
      </c>
      <c r="E27" s="18" t="n">
        <f aca="false">AR_Aging!H27</f>
        <v>0</v>
      </c>
      <c r="F27" s="16" t="n">
        <f aca="false">AR_Aging!I27</f>
        <v>0</v>
      </c>
      <c r="G27" s="16" t="str">
        <f aca="false">AR_Aging!K27</f>
        <v>Paid</v>
      </c>
      <c r="H27" s="16" t="str">
        <f aca="false">IF(AND(G27="Unpaid",F27&gt;90),"HIGH - Fully Overdue 90+ Days",IF(G27="Partially Paid","MEDIUM - Short Paid","OK"))</f>
        <v>OK</v>
      </c>
    </row>
    <row r="28" customFormat="false" ht="15" hidden="false" customHeight="false" outlineLevel="0" collapsed="false">
      <c r="A28" s="16" t="str">
        <f aca="false">AR_Aging!A28</f>
        <v>ARI60024</v>
      </c>
      <c r="B28" s="16" t="str">
        <f aca="false">AR_Aging!C28</f>
        <v>Lee-Davis</v>
      </c>
      <c r="C28" s="18" t="n">
        <f aca="false">AR_Aging!F28</f>
        <v>2574.77</v>
      </c>
      <c r="D28" s="18" t="n">
        <f aca="false">AR_Aging!G28</f>
        <v>2574.77</v>
      </c>
      <c r="E28" s="18" t="n">
        <f aca="false">AR_Aging!H28</f>
        <v>0</v>
      </c>
      <c r="F28" s="16" t="n">
        <f aca="false">AR_Aging!I28</f>
        <v>0</v>
      </c>
      <c r="G28" s="16" t="str">
        <f aca="false">AR_Aging!K28</f>
        <v>Paid</v>
      </c>
      <c r="H28" s="16" t="str">
        <f aca="false">IF(AND(G28="Unpaid",F28&gt;90),"HIGH - Fully Overdue 90+ Days",IF(G28="Partially Paid","MEDIUM - Short Paid","OK"))</f>
        <v>OK</v>
      </c>
    </row>
    <row r="29" customFormat="false" ht="15" hidden="false" customHeight="false" outlineLevel="0" collapsed="false">
      <c r="A29" s="16" t="str">
        <f aca="false">AR_Aging!A29</f>
        <v>ARI60025</v>
      </c>
      <c r="B29" s="16" t="str">
        <f aca="false">AR_Aging!C29</f>
        <v>Yu Inc</v>
      </c>
      <c r="C29" s="18" t="n">
        <f aca="false">AR_Aging!F29</f>
        <v>2017.81</v>
      </c>
      <c r="D29" s="18" t="n">
        <f aca="false">AR_Aging!G29</f>
        <v>0</v>
      </c>
      <c r="E29" s="18" t="n">
        <f aca="false">AR_Aging!H29</f>
        <v>2017.81</v>
      </c>
      <c r="F29" s="16" t="n">
        <f aca="false">AR_Aging!I29</f>
        <v>485</v>
      </c>
      <c r="G29" s="16" t="str">
        <f aca="false">AR_Aging!K29</f>
        <v>Unpaid</v>
      </c>
      <c r="H29" s="16" t="str">
        <f aca="false">IF(AND(G29="Unpaid",F29&gt;90),"HIGH - Fully Overdue 90+ Days",IF(G29="Partially Paid","MEDIUM - Short Paid","OK"))</f>
        <v>HIGH - Fully Overdue 90+ Days</v>
      </c>
    </row>
    <row r="30" customFormat="false" ht="15" hidden="false" customHeight="false" outlineLevel="0" collapsed="false">
      <c r="A30" s="16" t="str">
        <f aca="false">AR_Aging!A30</f>
        <v>ARI60026</v>
      </c>
      <c r="B30" s="16" t="str">
        <f aca="false">AR_Aging!C30</f>
        <v>Wright and Sons</v>
      </c>
      <c r="C30" s="18" t="n">
        <f aca="false">AR_Aging!F30</f>
        <v>419.87</v>
      </c>
      <c r="D30" s="18" t="n">
        <f aca="false">AR_Aging!G30</f>
        <v>419.87</v>
      </c>
      <c r="E30" s="18" t="n">
        <f aca="false">AR_Aging!H30</f>
        <v>0</v>
      </c>
      <c r="F30" s="16" t="n">
        <f aca="false">AR_Aging!I30</f>
        <v>0</v>
      </c>
      <c r="G30" s="16" t="str">
        <f aca="false">AR_Aging!K30</f>
        <v>Paid</v>
      </c>
      <c r="H30" s="16" t="str">
        <f aca="false">IF(AND(G30="Unpaid",F30&gt;90),"HIGH - Fully Overdue 90+ Days",IF(G30="Partially Paid","MEDIUM - Short Paid","OK"))</f>
        <v>OK</v>
      </c>
    </row>
    <row r="31" customFormat="false" ht="15" hidden="false" customHeight="false" outlineLevel="0" collapsed="false">
      <c r="A31" s="16" t="str">
        <f aca="false">AR_Aging!A31</f>
        <v>ARI60027</v>
      </c>
      <c r="B31" s="16" t="str">
        <f aca="false">AR_Aging!C31</f>
        <v>Novak PLC</v>
      </c>
      <c r="C31" s="18" t="n">
        <f aca="false">AR_Aging!F31</f>
        <v>1097.71</v>
      </c>
      <c r="D31" s="18" t="n">
        <f aca="false">AR_Aging!G31</f>
        <v>1097.71</v>
      </c>
      <c r="E31" s="18" t="n">
        <f aca="false">AR_Aging!H31</f>
        <v>0</v>
      </c>
      <c r="F31" s="16" t="n">
        <f aca="false">AR_Aging!I31</f>
        <v>0</v>
      </c>
      <c r="G31" s="16" t="str">
        <f aca="false">AR_Aging!K31</f>
        <v>Paid</v>
      </c>
      <c r="H31" s="16" t="str">
        <f aca="false">IF(AND(G31="Unpaid",F31&gt;90),"HIGH - Fully Overdue 90+ Days",IF(G31="Partially Paid","MEDIUM - Short Paid","OK"))</f>
        <v>OK</v>
      </c>
    </row>
    <row r="32" customFormat="false" ht="15" hidden="false" customHeight="false" outlineLevel="0" collapsed="false">
      <c r="A32" s="16" t="str">
        <f aca="false">AR_Aging!A32</f>
        <v>ARI60028</v>
      </c>
      <c r="B32" s="16" t="str">
        <f aca="false">AR_Aging!C32</f>
        <v>Hensley, Powell and David</v>
      </c>
      <c r="C32" s="18" t="n">
        <f aca="false">AR_Aging!F32</f>
        <v>3200.16</v>
      </c>
      <c r="D32" s="18" t="n">
        <f aca="false">AR_Aging!G32</f>
        <v>3200.16</v>
      </c>
      <c r="E32" s="18" t="n">
        <f aca="false">AR_Aging!H32</f>
        <v>0</v>
      </c>
      <c r="F32" s="16" t="n">
        <f aca="false">AR_Aging!I32</f>
        <v>0</v>
      </c>
      <c r="G32" s="16" t="str">
        <f aca="false">AR_Aging!K32</f>
        <v>Paid</v>
      </c>
      <c r="H32" s="16" t="str">
        <f aca="false">IF(AND(G32="Unpaid",F32&gt;90),"HIGH - Fully Overdue 90+ Days",IF(G32="Partially Paid","MEDIUM - Short Paid","OK"))</f>
        <v>OK</v>
      </c>
    </row>
    <row r="33" customFormat="false" ht="15" hidden="false" customHeight="false" outlineLevel="0" collapsed="false">
      <c r="A33" s="16" t="str">
        <f aca="false">AR_Aging!A33</f>
        <v>ARI60029</v>
      </c>
      <c r="B33" s="16" t="str">
        <f aca="false">AR_Aging!C33</f>
        <v>Washington, Ryan and Cummings</v>
      </c>
      <c r="C33" s="18" t="n">
        <f aca="false">AR_Aging!F33</f>
        <v>1642.53</v>
      </c>
      <c r="D33" s="18" t="n">
        <f aca="false">AR_Aging!G33</f>
        <v>0</v>
      </c>
      <c r="E33" s="18" t="n">
        <f aca="false">AR_Aging!H33</f>
        <v>1642.53</v>
      </c>
      <c r="F33" s="16" t="n">
        <f aca="false">AR_Aging!I33</f>
        <v>95</v>
      </c>
      <c r="G33" s="16" t="str">
        <f aca="false">AR_Aging!K33</f>
        <v>Unpaid</v>
      </c>
      <c r="H33" s="16" t="str">
        <f aca="false">IF(AND(G33="Unpaid",F33&gt;90),"HIGH - Fully Overdue 90+ Days",IF(G33="Partially Paid","MEDIUM - Short Paid","OK"))</f>
        <v>HIGH - Fully Overdue 90+ Days</v>
      </c>
    </row>
    <row r="34" customFormat="false" ht="15" hidden="false" customHeight="false" outlineLevel="0" collapsed="false">
      <c r="A34" s="16" t="str">
        <f aca="false">AR_Aging!A34</f>
        <v>ARI60030</v>
      </c>
      <c r="B34" s="16" t="str">
        <f aca="false">AR_Aging!C34</f>
        <v>Hancock Inc</v>
      </c>
      <c r="C34" s="18" t="n">
        <f aca="false">AR_Aging!F34</f>
        <v>3022.81</v>
      </c>
      <c r="D34" s="18" t="n">
        <f aca="false">AR_Aging!G34</f>
        <v>0</v>
      </c>
      <c r="E34" s="18" t="n">
        <f aca="false">AR_Aging!H34</f>
        <v>3022.81</v>
      </c>
      <c r="F34" s="16" t="n">
        <f aca="false">AR_Aging!I34</f>
        <v>226</v>
      </c>
      <c r="G34" s="16" t="str">
        <f aca="false">AR_Aging!K34</f>
        <v>Unpaid</v>
      </c>
      <c r="H34" s="16" t="str">
        <f aca="false">IF(AND(G34="Unpaid",F34&gt;90),"HIGH - Fully Overdue 90+ Days",IF(G34="Partially Paid","MEDIUM - Short Paid","OK"))</f>
        <v>HIGH - Fully Overdue 90+ Days</v>
      </c>
    </row>
    <row r="35" customFormat="false" ht="15" hidden="false" customHeight="false" outlineLevel="0" collapsed="false">
      <c r="A35" s="16" t="str">
        <f aca="false">AR_Aging!A35</f>
        <v>ARI60031</v>
      </c>
      <c r="B35" s="16" t="str">
        <f aca="false">AR_Aging!C35</f>
        <v>Jones Inc</v>
      </c>
      <c r="C35" s="18" t="n">
        <f aca="false">AR_Aging!F35</f>
        <v>3581.88</v>
      </c>
      <c r="D35" s="18" t="n">
        <f aca="false">AR_Aging!G35</f>
        <v>3581.88</v>
      </c>
      <c r="E35" s="18" t="n">
        <f aca="false">AR_Aging!H35</f>
        <v>0</v>
      </c>
      <c r="F35" s="16" t="n">
        <f aca="false">AR_Aging!I35</f>
        <v>0</v>
      </c>
      <c r="G35" s="16" t="str">
        <f aca="false">AR_Aging!K35</f>
        <v>Paid</v>
      </c>
      <c r="H35" s="16" t="str">
        <f aca="false">IF(AND(G35="Unpaid",F35&gt;90),"HIGH - Fully Overdue 90+ Days",IF(G35="Partially Paid","MEDIUM - Short Paid","OK"))</f>
        <v>OK</v>
      </c>
    </row>
    <row r="36" customFormat="false" ht="15" hidden="false" customHeight="false" outlineLevel="0" collapsed="false">
      <c r="A36" s="16" t="str">
        <f aca="false">AR_Aging!A36</f>
        <v>ARI60032</v>
      </c>
      <c r="B36" s="16" t="str">
        <f aca="false">AR_Aging!C36</f>
        <v>Yu Inc</v>
      </c>
      <c r="C36" s="18" t="n">
        <f aca="false">AR_Aging!F36</f>
        <v>2165.8</v>
      </c>
      <c r="D36" s="18" t="n">
        <f aca="false">AR_Aging!G36</f>
        <v>2165.8</v>
      </c>
      <c r="E36" s="18" t="n">
        <f aca="false">AR_Aging!H36</f>
        <v>0</v>
      </c>
      <c r="F36" s="16" t="n">
        <f aca="false">AR_Aging!I36</f>
        <v>0</v>
      </c>
      <c r="G36" s="16" t="str">
        <f aca="false">AR_Aging!K36</f>
        <v>Paid</v>
      </c>
      <c r="H36" s="16" t="str">
        <f aca="false">IF(AND(G36="Unpaid",F36&gt;90),"HIGH - Fully Overdue 90+ Days",IF(G36="Partially Paid","MEDIUM - Short Paid","OK"))</f>
        <v>OK</v>
      </c>
    </row>
    <row r="37" customFormat="false" ht="15" hidden="false" customHeight="false" outlineLevel="0" collapsed="false">
      <c r="A37" s="16" t="str">
        <f aca="false">AR_Aging!A37</f>
        <v>ARI60033</v>
      </c>
      <c r="B37" s="16" t="str">
        <f aca="false">AR_Aging!C37</f>
        <v>Russell Group</v>
      </c>
      <c r="C37" s="18" t="n">
        <f aca="false">AR_Aging!F37</f>
        <v>1078.27</v>
      </c>
      <c r="D37" s="18" t="n">
        <f aca="false">AR_Aging!G37</f>
        <v>1078.27</v>
      </c>
      <c r="E37" s="18" t="n">
        <f aca="false">AR_Aging!H37</f>
        <v>0</v>
      </c>
      <c r="F37" s="16" t="n">
        <f aca="false">AR_Aging!I37</f>
        <v>0</v>
      </c>
      <c r="G37" s="16" t="str">
        <f aca="false">AR_Aging!K37</f>
        <v>Paid</v>
      </c>
      <c r="H37" s="16" t="str">
        <f aca="false">IF(AND(G37="Unpaid",F37&gt;90),"HIGH - Fully Overdue 90+ Days",IF(G37="Partially Paid","MEDIUM - Short Paid","OK"))</f>
        <v>OK</v>
      </c>
    </row>
    <row r="38" customFormat="false" ht="15" hidden="false" customHeight="false" outlineLevel="0" collapsed="false">
      <c r="A38" s="16" t="str">
        <f aca="false">AR_Aging!A38</f>
        <v>ARI60034</v>
      </c>
      <c r="B38" s="16" t="str">
        <f aca="false">AR_Aging!C38</f>
        <v>Russell Group</v>
      </c>
      <c r="C38" s="18" t="n">
        <f aca="false">AR_Aging!F38</f>
        <v>4109.52</v>
      </c>
      <c r="D38" s="18" t="n">
        <f aca="false">AR_Aging!G38</f>
        <v>4109.52</v>
      </c>
      <c r="E38" s="18" t="n">
        <f aca="false">AR_Aging!H38</f>
        <v>0</v>
      </c>
      <c r="F38" s="16" t="n">
        <f aca="false">AR_Aging!I38</f>
        <v>0</v>
      </c>
      <c r="G38" s="16" t="str">
        <f aca="false">AR_Aging!K38</f>
        <v>Paid</v>
      </c>
      <c r="H38" s="16" t="str">
        <f aca="false">IF(AND(G38="Unpaid",F38&gt;90),"HIGH - Fully Overdue 90+ Days",IF(G38="Partially Paid","MEDIUM - Short Paid","OK"))</f>
        <v>OK</v>
      </c>
    </row>
    <row r="39" customFormat="false" ht="15" hidden="false" customHeight="false" outlineLevel="0" collapsed="false">
      <c r="A39" s="16" t="str">
        <f aca="false">AR_Aging!A39</f>
        <v>ARI60035</v>
      </c>
      <c r="B39" s="16" t="str">
        <f aca="false">AR_Aging!C39</f>
        <v>House-Glover</v>
      </c>
      <c r="C39" s="18" t="n">
        <f aca="false">AR_Aging!F39</f>
        <v>2519.07</v>
      </c>
      <c r="D39" s="18" t="n">
        <f aca="false">AR_Aging!G39</f>
        <v>2519.07</v>
      </c>
      <c r="E39" s="18" t="n">
        <f aca="false">AR_Aging!H39</f>
        <v>0</v>
      </c>
      <c r="F39" s="16" t="n">
        <f aca="false">AR_Aging!I39</f>
        <v>0</v>
      </c>
      <c r="G39" s="16" t="str">
        <f aca="false">AR_Aging!K39</f>
        <v>Paid</v>
      </c>
      <c r="H39" s="16" t="str">
        <f aca="false">IF(AND(G39="Unpaid",F39&gt;90),"HIGH - Fully Overdue 90+ Days",IF(G39="Partially Paid","MEDIUM - Short Paid","OK"))</f>
        <v>OK</v>
      </c>
    </row>
    <row r="40" customFormat="false" ht="15" hidden="false" customHeight="false" outlineLevel="0" collapsed="false">
      <c r="A40" s="16" t="str">
        <f aca="false">AR_Aging!A40</f>
        <v>ARI60036</v>
      </c>
      <c r="B40" s="16" t="str">
        <f aca="false">AR_Aging!C40</f>
        <v>Wright Inc</v>
      </c>
      <c r="C40" s="18" t="n">
        <f aca="false">AR_Aging!F40</f>
        <v>5268.62</v>
      </c>
      <c r="D40" s="18" t="n">
        <f aca="false">AR_Aging!G40</f>
        <v>5268.62</v>
      </c>
      <c r="E40" s="18" t="n">
        <f aca="false">AR_Aging!H40</f>
        <v>0</v>
      </c>
      <c r="F40" s="16" t="n">
        <f aca="false">AR_Aging!I40</f>
        <v>0</v>
      </c>
      <c r="G40" s="16" t="str">
        <f aca="false">AR_Aging!K40</f>
        <v>Paid</v>
      </c>
      <c r="H40" s="16" t="str">
        <f aca="false">IF(AND(G40="Unpaid",F40&gt;90),"HIGH - Fully Overdue 90+ Days",IF(G40="Partially Paid","MEDIUM - Short Paid","OK"))</f>
        <v>OK</v>
      </c>
    </row>
    <row r="41" customFormat="false" ht="15" hidden="false" customHeight="false" outlineLevel="0" collapsed="false">
      <c r="A41" s="16" t="str">
        <f aca="false">AR_Aging!A41</f>
        <v>ARI60037</v>
      </c>
      <c r="B41" s="16" t="str">
        <f aca="false">AR_Aging!C41</f>
        <v>Yu Inc</v>
      </c>
      <c r="C41" s="18" t="n">
        <f aca="false">AR_Aging!F41</f>
        <v>1149.12</v>
      </c>
      <c r="D41" s="18" t="n">
        <f aca="false">AR_Aging!G41</f>
        <v>1149.12</v>
      </c>
      <c r="E41" s="18" t="n">
        <f aca="false">AR_Aging!H41</f>
        <v>0</v>
      </c>
      <c r="F41" s="16" t="n">
        <f aca="false">AR_Aging!I41</f>
        <v>0</v>
      </c>
      <c r="G41" s="16" t="str">
        <f aca="false">AR_Aging!K41</f>
        <v>Paid</v>
      </c>
      <c r="H41" s="16" t="str">
        <f aca="false">IF(AND(G41="Unpaid",F41&gt;90),"HIGH - Fully Overdue 90+ Days",IF(G41="Partially Paid","MEDIUM - Short Paid","OK"))</f>
        <v>OK</v>
      </c>
    </row>
    <row r="42" customFormat="false" ht="15" hidden="false" customHeight="false" outlineLevel="0" collapsed="false">
      <c r="A42" s="16" t="str">
        <f aca="false">AR_Aging!A42</f>
        <v>ARI60038</v>
      </c>
      <c r="B42" s="16" t="str">
        <f aca="false">AR_Aging!C42</f>
        <v>Powell LLC</v>
      </c>
      <c r="C42" s="18" t="n">
        <f aca="false">AR_Aging!F42</f>
        <v>546.28</v>
      </c>
      <c r="D42" s="18" t="n">
        <f aca="false">AR_Aging!G42</f>
        <v>183.38</v>
      </c>
      <c r="E42" s="18" t="n">
        <f aca="false">AR_Aging!H42</f>
        <v>362.9</v>
      </c>
      <c r="F42" s="16" t="n">
        <f aca="false">AR_Aging!I42</f>
        <v>191</v>
      </c>
      <c r="G42" s="16" t="str">
        <f aca="false">AR_Aging!K42</f>
        <v>Partially Paid</v>
      </c>
      <c r="H42" s="16" t="str">
        <f aca="false">IF(AND(G42="Unpaid",F42&gt;90),"HIGH - Fully Overdue 90+ Days",IF(G42="Partially Paid","MEDIUM - Short Paid","OK"))</f>
        <v>MEDIUM - Short Paid</v>
      </c>
    </row>
    <row r="43" customFormat="false" ht="15" hidden="false" customHeight="false" outlineLevel="0" collapsed="false">
      <c r="A43" s="16" t="str">
        <f aca="false">AR_Aging!A43</f>
        <v>ARI60039</v>
      </c>
      <c r="B43" s="16" t="str">
        <f aca="false">AR_Aging!C43</f>
        <v>Wright Inc</v>
      </c>
      <c r="C43" s="18" t="n">
        <f aca="false">AR_Aging!F43</f>
        <v>5425.91</v>
      </c>
      <c r="D43" s="18" t="n">
        <f aca="false">AR_Aging!G43</f>
        <v>5425.91</v>
      </c>
      <c r="E43" s="18" t="n">
        <f aca="false">AR_Aging!H43</f>
        <v>0</v>
      </c>
      <c r="F43" s="16" t="n">
        <f aca="false">AR_Aging!I43</f>
        <v>0</v>
      </c>
      <c r="G43" s="16" t="str">
        <f aca="false">AR_Aging!K43</f>
        <v>Paid</v>
      </c>
      <c r="H43" s="16" t="str">
        <f aca="false">IF(AND(G43="Unpaid",F43&gt;90),"HIGH - Fully Overdue 90+ Days",IF(G43="Partially Paid","MEDIUM - Short Paid","OK"))</f>
        <v>OK</v>
      </c>
    </row>
    <row r="44" customFormat="false" ht="15" hidden="false" customHeight="false" outlineLevel="0" collapsed="false">
      <c r="A44" s="16" t="str">
        <f aca="false">AR_Aging!A44</f>
        <v>ARI60040</v>
      </c>
      <c r="B44" s="16" t="str">
        <f aca="false">AR_Aging!C44</f>
        <v>Novak and Sons</v>
      </c>
      <c r="C44" s="18" t="n">
        <f aca="false">AR_Aging!F44</f>
        <v>2859.95</v>
      </c>
      <c r="D44" s="18" t="n">
        <f aca="false">AR_Aging!G44</f>
        <v>2859.95</v>
      </c>
      <c r="E44" s="18" t="n">
        <f aca="false">AR_Aging!H44</f>
        <v>0</v>
      </c>
      <c r="F44" s="16" t="n">
        <f aca="false">AR_Aging!I44</f>
        <v>0</v>
      </c>
      <c r="G44" s="16" t="str">
        <f aca="false">AR_Aging!K44</f>
        <v>Paid</v>
      </c>
      <c r="H44" s="16" t="str">
        <f aca="false">IF(AND(G44="Unpaid",F44&gt;90),"HIGH - Fully Overdue 90+ Days",IF(G44="Partially Paid","MEDIUM - Short Paid","OK"))</f>
        <v>OK</v>
      </c>
    </row>
    <row r="45" customFormat="false" ht="15" hidden="false" customHeight="false" outlineLevel="0" collapsed="false">
      <c r="A45" s="16" t="str">
        <f aca="false">AR_Aging!A45</f>
        <v>ARI60041</v>
      </c>
      <c r="B45" s="16" t="str">
        <f aca="false">AR_Aging!C45</f>
        <v>West, Henderson and Ramirez</v>
      </c>
      <c r="C45" s="18" t="n">
        <f aca="false">AR_Aging!F45</f>
        <v>8209.38</v>
      </c>
      <c r="D45" s="18" t="n">
        <f aca="false">AR_Aging!G45</f>
        <v>8209.38</v>
      </c>
      <c r="E45" s="18" t="n">
        <f aca="false">AR_Aging!H45</f>
        <v>0</v>
      </c>
      <c r="F45" s="16" t="n">
        <f aca="false">AR_Aging!I45</f>
        <v>0</v>
      </c>
      <c r="G45" s="16" t="str">
        <f aca="false">AR_Aging!K45</f>
        <v>Paid</v>
      </c>
      <c r="H45" s="16" t="str">
        <f aca="false">IF(AND(G45="Unpaid",F45&gt;90),"HIGH - Fully Overdue 90+ Days",IF(G45="Partially Paid","MEDIUM - Short Paid","OK"))</f>
        <v>OK</v>
      </c>
    </row>
    <row r="46" customFormat="false" ht="15" hidden="false" customHeight="false" outlineLevel="0" collapsed="false">
      <c r="A46" s="16" t="str">
        <f aca="false">AR_Aging!A46</f>
        <v>ARI60042</v>
      </c>
      <c r="B46" s="16" t="str">
        <f aca="false">AR_Aging!C46</f>
        <v>Brown, Valdez and Lucas</v>
      </c>
      <c r="C46" s="18" t="n">
        <f aca="false">AR_Aging!F46</f>
        <v>2699.15</v>
      </c>
      <c r="D46" s="18" t="n">
        <f aca="false">AR_Aging!G46</f>
        <v>2699.15</v>
      </c>
      <c r="E46" s="18" t="n">
        <f aca="false">AR_Aging!H46</f>
        <v>0</v>
      </c>
      <c r="F46" s="16" t="n">
        <f aca="false">AR_Aging!I46</f>
        <v>0</v>
      </c>
      <c r="G46" s="16" t="str">
        <f aca="false">AR_Aging!K46</f>
        <v>Paid</v>
      </c>
      <c r="H46" s="16" t="str">
        <f aca="false">IF(AND(G46="Unpaid",F46&gt;90),"HIGH - Fully Overdue 90+ Days",IF(G46="Partially Paid","MEDIUM - Short Paid","OK"))</f>
        <v>OK</v>
      </c>
    </row>
    <row r="47" customFormat="false" ht="15" hidden="false" customHeight="false" outlineLevel="0" collapsed="false">
      <c r="A47" s="16" t="str">
        <f aca="false">AR_Aging!A47</f>
        <v>ARI60043</v>
      </c>
      <c r="B47" s="16" t="str">
        <f aca="false">AR_Aging!C47</f>
        <v>Smith-Spencer</v>
      </c>
      <c r="C47" s="18" t="n">
        <f aca="false">AR_Aging!F47</f>
        <v>1257.66</v>
      </c>
      <c r="D47" s="18" t="n">
        <f aca="false">AR_Aging!G47</f>
        <v>0</v>
      </c>
      <c r="E47" s="18" t="n">
        <f aca="false">AR_Aging!H47</f>
        <v>1257.66</v>
      </c>
      <c r="F47" s="16" t="n">
        <f aca="false">AR_Aging!I47</f>
        <v>505</v>
      </c>
      <c r="G47" s="16" t="str">
        <f aca="false">AR_Aging!K47</f>
        <v>Unpaid</v>
      </c>
      <c r="H47" s="16" t="str">
        <f aca="false">IF(AND(G47="Unpaid",F47&gt;90),"HIGH - Fully Overdue 90+ Days",IF(G47="Partially Paid","MEDIUM - Short Paid","OK"))</f>
        <v>HIGH - Fully Overdue 90+ Days</v>
      </c>
    </row>
    <row r="48" customFormat="false" ht="15" hidden="false" customHeight="false" outlineLevel="0" collapsed="false">
      <c r="A48" s="16" t="str">
        <f aca="false">AR_Aging!A48</f>
        <v>ARI60044</v>
      </c>
      <c r="B48" s="16" t="str">
        <f aca="false">AR_Aging!C48</f>
        <v>Lee-Davis</v>
      </c>
      <c r="C48" s="18" t="n">
        <f aca="false">AR_Aging!F48</f>
        <v>1354.65</v>
      </c>
      <c r="D48" s="18" t="n">
        <f aca="false">AR_Aging!G48</f>
        <v>1354.65</v>
      </c>
      <c r="E48" s="18" t="n">
        <f aca="false">AR_Aging!H48</f>
        <v>0</v>
      </c>
      <c r="F48" s="16" t="n">
        <f aca="false">AR_Aging!I48</f>
        <v>0</v>
      </c>
      <c r="G48" s="16" t="str">
        <f aca="false">AR_Aging!K48</f>
        <v>Paid</v>
      </c>
      <c r="H48" s="16" t="str">
        <f aca="false">IF(AND(G48="Unpaid",F48&gt;90),"HIGH - Fully Overdue 90+ Days",IF(G48="Partially Paid","MEDIUM - Short Paid","OK"))</f>
        <v>OK</v>
      </c>
    </row>
    <row r="49" customFormat="false" ht="15" hidden="false" customHeight="false" outlineLevel="0" collapsed="false">
      <c r="A49" s="16" t="str">
        <f aca="false">AR_Aging!A49</f>
        <v>ARI60045</v>
      </c>
      <c r="B49" s="16" t="str">
        <f aca="false">AR_Aging!C49</f>
        <v>Morton-Chase</v>
      </c>
      <c r="C49" s="18" t="n">
        <f aca="false">AR_Aging!F49</f>
        <v>2443.44</v>
      </c>
      <c r="D49" s="18" t="n">
        <f aca="false">AR_Aging!G49</f>
        <v>2443.44</v>
      </c>
      <c r="E49" s="18" t="n">
        <f aca="false">AR_Aging!H49</f>
        <v>0</v>
      </c>
      <c r="F49" s="16" t="n">
        <f aca="false">AR_Aging!I49</f>
        <v>0</v>
      </c>
      <c r="G49" s="16" t="str">
        <f aca="false">AR_Aging!K49</f>
        <v>Paid</v>
      </c>
      <c r="H49" s="16" t="str">
        <f aca="false">IF(AND(G49="Unpaid",F49&gt;90),"HIGH - Fully Overdue 90+ Days",IF(G49="Partially Paid","MEDIUM - Short Paid","OK"))</f>
        <v>OK</v>
      </c>
    </row>
    <row r="50" customFormat="false" ht="15" hidden="false" customHeight="false" outlineLevel="0" collapsed="false">
      <c r="A50" s="16" t="str">
        <f aca="false">AR_Aging!A50</f>
        <v>ARI60046</v>
      </c>
      <c r="B50" s="16" t="str">
        <f aca="false">AR_Aging!C50</f>
        <v>Williams PLC</v>
      </c>
      <c r="C50" s="18" t="n">
        <f aca="false">AR_Aging!F50</f>
        <v>4874.17</v>
      </c>
      <c r="D50" s="18" t="n">
        <f aca="false">AR_Aging!G50</f>
        <v>4874.17</v>
      </c>
      <c r="E50" s="18" t="n">
        <f aca="false">AR_Aging!H50</f>
        <v>0</v>
      </c>
      <c r="F50" s="16" t="n">
        <f aca="false">AR_Aging!I50</f>
        <v>0</v>
      </c>
      <c r="G50" s="16" t="str">
        <f aca="false">AR_Aging!K50</f>
        <v>Paid</v>
      </c>
      <c r="H50" s="16" t="str">
        <f aca="false">IF(AND(G50="Unpaid",F50&gt;90),"HIGH - Fully Overdue 90+ Days",IF(G50="Partially Paid","MEDIUM - Short Paid","OK"))</f>
        <v>OK</v>
      </c>
    </row>
    <row r="51" customFormat="false" ht="15" hidden="false" customHeight="false" outlineLevel="0" collapsed="false">
      <c r="A51" s="16" t="str">
        <f aca="false">AR_Aging!A51</f>
        <v>ARI60047</v>
      </c>
      <c r="B51" s="16" t="str">
        <f aca="false">AR_Aging!C51</f>
        <v>Smith-Spencer</v>
      </c>
      <c r="C51" s="18" t="n">
        <f aca="false">AR_Aging!F51</f>
        <v>326.8</v>
      </c>
      <c r="D51" s="18" t="n">
        <f aca="false">AR_Aging!G51</f>
        <v>0</v>
      </c>
      <c r="E51" s="18" t="n">
        <f aca="false">AR_Aging!H51</f>
        <v>326.8</v>
      </c>
      <c r="F51" s="16" t="n">
        <f aca="false">AR_Aging!I51</f>
        <v>287</v>
      </c>
      <c r="G51" s="16" t="str">
        <f aca="false">AR_Aging!K51</f>
        <v>Unpaid</v>
      </c>
      <c r="H51" s="16" t="str">
        <f aca="false">IF(AND(G51="Unpaid",F51&gt;90),"HIGH - Fully Overdue 90+ Days",IF(G51="Partially Paid","MEDIUM - Short Paid","OK"))</f>
        <v>HIGH - Fully Overdue 90+ Days</v>
      </c>
    </row>
    <row r="52" customFormat="false" ht="15" hidden="false" customHeight="false" outlineLevel="0" collapsed="false">
      <c r="A52" s="16" t="str">
        <f aca="false">AR_Aging!A52</f>
        <v>ARI60048</v>
      </c>
      <c r="B52" s="16" t="str">
        <f aca="false">AR_Aging!C52</f>
        <v>Powell LLC</v>
      </c>
      <c r="C52" s="18" t="n">
        <f aca="false">AR_Aging!F52</f>
        <v>1044.13</v>
      </c>
      <c r="D52" s="18" t="n">
        <f aca="false">AR_Aging!G52</f>
        <v>0</v>
      </c>
      <c r="E52" s="18" t="n">
        <f aca="false">AR_Aging!H52</f>
        <v>1044.13</v>
      </c>
      <c r="F52" s="16" t="n">
        <f aca="false">AR_Aging!I52</f>
        <v>452</v>
      </c>
      <c r="G52" s="16" t="str">
        <f aca="false">AR_Aging!K52</f>
        <v>Unpaid</v>
      </c>
      <c r="H52" s="16" t="str">
        <f aca="false">IF(AND(G52="Unpaid",F52&gt;90),"HIGH - Fully Overdue 90+ Days",IF(G52="Partially Paid","MEDIUM - Short Paid","OK"))</f>
        <v>HIGH - Fully Overdue 90+ Days</v>
      </c>
    </row>
    <row r="53" customFormat="false" ht="15" hidden="false" customHeight="false" outlineLevel="0" collapsed="false">
      <c r="A53" s="16" t="str">
        <f aca="false">AR_Aging!A53</f>
        <v>ARI60049</v>
      </c>
      <c r="B53" s="16" t="str">
        <f aca="false">AR_Aging!C53</f>
        <v>Powell LLC</v>
      </c>
      <c r="C53" s="18" t="n">
        <f aca="false">AR_Aging!F53</f>
        <v>3700.7</v>
      </c>
      <c r="D53" s="18" t="n">
        <f aca="false">AR_Aging!G53</f>
        <v>3700.7</v>
      </c>
      <c r="E53" s="18" t="n">
        <f aca="false">AR_Aging!H53</f>
        <v>0</v>
      </c>
      <c r="F53" s="16" t="n">
        <f aca="false">AR_Aging!I53</f>
        <v>0</v>
      </c>
      <c r="G53" s="16" t="str">
        <f aca="false">AR_Aging!K53</f>
        <v>Paid</v>
      </c>
      <c r="H53" s="16" t="str">
        <f aca="false">IF(AND(G53="Unpaid",F53&gt;90),"HIGH - Fully Overdue 90+ Days",IF(G53="Partially Paid","MEDIUM - Short Paid","OK"))</f>
        <v>OK</v>
      </c>
    </row>
    <row r="54" customFormat="false" ht="15" hidden="false" customHeight="false" outlineLevel="0" collapsed="false">
      <c r="A54" s="16" t="str">
        <f aca="false">AR_Aging!A54</f>
        <v>ARI60050</v>
      </c>
      <c r="B54" s="16" t="str">
        <f aca="false">AR_Aging!C54</f>
        <v>Jones Inc</v>
      </c>
      <c r="C54" s="18" t="n">
        <f aca="false">AR_Aging!F54</f>
        <v>1168.97</v>
      </c>
      <c r="D54" s="18" t="n">
        <f aca="false">AR_Aging!G54</f>
        <v>1168.97</v>
      </c>
      <c r="E54" s="18" t="n">
        <f aca="false">AR_Aging!H54</f>
        <v>0</v>
      </c>
      <c r="F54" s="16" t="n">
        <f aca="false">AR_Aging!I54</f>
        <v>0</v>
      </c>
      <c r="G54" s="16" t="str">
        <f aca="false">AR_Aging!K54</f>
        <v>Paid</v>
      </c>
      <c r="H54" s="16" t="str">
        <f aca="false">IF(AND(G54="Unpaid",F54&gt;90),"HIGH - Fully Overdue 90+ Days",IF(G54="Partially Paid","MEDIUM - Short Paid","OK"))</f>
        <v>OK</v>
      </c>
    </row>
    <row r="55" customFormat="false" ht="15" hidden="false" customHeight="false" outlineLevel="0" collapsed="false">
      <c r="A55" s="16" t="str">
        <f aca="false">AR_Aging!A55</f>
        <v>ARI60051</v>
      </c>
      <c r="B55" s="16" t="str">
        <f aca="false">AR_Aging!C55</f>
        <v>Gomez-Jenkins</v>
      </c>
      <c r="C55" s="18" t="n">
        <f aca="false">AR_Aging!F55</f>
        <v>1984.44</v>
      </c>
      <c r="D55" s="18" t="n">
        <f aca="false">AR_Aging!G55</f>
        <v>1984.44</v>
      </c>
      <c r="E55" s="18" t="n">
        <f aca="false">AR_Aging!H55</f>
        <v>0</v>
      </c>
      <c r="F55" s="16" t="n">
        <f aca="false">AR_Aging!I55</f>
        <v>0</v>
      </c>
      <c r="G55" s="16" t="str">
        <f aca="false">AR_Aging!K55</f>
        <v>Paid</v>
      </c>
      <c r="H55" s="16" t="str">
        <f aca="false">IF(AND(G55="Unpaid",F55&gt;90),"HIGH - Fully Overdue 90+ Days",IF(G55="Partially Paid","MEDIUM - Short Paid","OK"))</f>
        <v>OK</v>
      </c>
    </row>
    <row r="56" customFormat="false" ht="15" hidden="false" customHeight="false" outlineLevel="0" collapsed="false">
      <c r="A56" s="16" t="str">
        <f aca="false">AR_Aging!A56</f>
        <v>ARI60052</v>
      </c>
      <c r="B56" s="16" t="str">
        <f aca="false">AR_Aging!C56</f>
        <v>Hancock Inc</v>
      </c>
      <c r="C56" s="18" t="n">
        <f aca="false">AR_Aging!F56</f>
        <v>1193.06</v>
      </c>
      <c r="D56" s="18" t="n">
        <f aca="false">AR_Aging!G56</f>
        <v>918.62</v>
      </c>
      <c r="E56" s="18" t="n">
        <f aca="false">AR_Aging!H56</f>
        <v>274.44</v>
      </c>
      <c r="F56" s="16" t="n">
        <f aca="false">AR_Aging!I56</f>
        <v>277</v>
      </c>
      <c r="G56" s="16" t="str">
        <f aca="false">AR_Aging!K56</f>
        <v>Partially Paid</v>
      </c>
      <c r="H56" s="16" t="str">
        <f aca="false">IF(AND(G56="Unpaid",F56&gt;90),"HIGH - Fully Overdue 90+ Days",IF(G56="Partially Paid","MEDIUM - Short Paid","OK"))</f>
        <v>MEDIUM - Short Paid</v>
      </c>
    </row>
    <row r="57" customFormat="false" ht="15" hidden="false" customHeight="false" outlineLevel="0" collapsed="false">
      <c r="A57" s="16" t="str">
        <f aca="false">AR_Aging!A57</f>
        <v>ARI60053</v>
      </c>
      <c r="B57" s="16" t="str">
        <f aca="false">AR_Aging!C57</f>
        <v>Wright Inc</v>
      </c>
      <c r="C57" s="18" t="n">
        <f aca="false">AR_Aging!F57</f>
        <v>1358.01</v>
      </c>
      <c r="D57" s="18" t="n">
        <f aca="false">AR_Aging!G57</f>
        <v>1358.01</v>
      </c>
      <c r="E57" s="18" t="n">
        <f aca="false">AR_Aging!H57</f>
        <v>0</v>
      </c>
      <c r="F57" s="16" t="n">
        <f aca="false">AR_Aging!I57</f>
        <v>0</v>
      </c>
      <c r="G57" s="16" t="str">
        <f aca="false">AR_Aging!K57</f>
        <v>Paid</v>
      </c>
      <c r="H57" s="16" t="str">
        <f aca="false">IF(AND(G57="Unpaid",F57&gt;90),"HIGH - Fully Overdue 90+ Days",IF(G57="Partially Paid","MEDIUM - Short Paid","OK"))</f>
        <v>OK</v>
      </c>
    </row>
    <row r="58" customFormat="false" ht="15" hidden="false" customHeight="false" outlineLevel="0" collapsed="false">
      <c r="A58" s="16" t="str">
        <f aca="false">AR_Aging!A58</f>
        <v>ARI60054</v>
      </c>
      <c r="B58" s="16" t="str">
        <f aca="false">AR_Aging!C58</f>
        <v>Jones-Young</v>
      </c>
      <c r="C58" s="18" t="n">
        <f aca="false">AR_Aging!F58</f>
        <v>857.18</v>
      </c>
      <c r="D58" s="18" t="n">
        <f aca="false">AR_Aging!G58</f>
        <v>857.18</v>
      </c>
      <c r="E58" s="18" t="n">
        <f aca="false">AR_Aging!H58</f>
        <v>0</v>
      </c>
      <c r="F58" s="16" t="n">
        <f aca="false">AR_Aging!I58</f>
        <v>0</v>
      </c>
      <c r="G58" s="16" t="str">
        <f aca="false">AR_Aging!K58</f>
        <v>Paid</v>
      </c>
      <c r="H58" s="16" t="str">
        <f aca="false">IF(AND(G58="Unpaid",F58&gt;90),"HIGH - Fully Overdue 90+ Days",IF(G58="Partially Paid","MEDIUM - Short Paid","OK"))</f>
        <v>OK</v>
      </c>
    </row>
    <row r="59" customFormat="false" ht="15" hidden="false" customHeight="false" outlineLevel="0" collapsed="false">
      <c r="A59" s="16" t="str">
        <f aca="false">AR_Aging!A59</f>
        <v>ARI60055</v>
      </c>
      <c r="B59" s="16" t="str">
        <f aca="false">AR_Aging!C59</f>
        <v>Powell LLC</v>
      </c>
      <c r="C59" s="18" t="n">
        <f aca="false">AR_Aging!F59</f>
        <v>2386.51</v>
      </c>
      <c r="D59" s="18" t="n">
        <f aca="false">AR_Aging!G59</f>
        <v>2386.51</v>
      </c>
      <c r="E59" s="18" t="n">
        <f aca="false">AR_Aging!H59</f>
        <v>0</v>
      </c>
      <c r="F59" s="16" t="n">
        <f aca="false">AR_Aging!I59</f>
        <v>0</v>
      </c>
      <c r="G59" s="16" t="str">
        <f aca="false">AR_Aging!K59</f>
        <v>Paid</v>
      </c>
      <c r="H59" s="16" t="str">
        <f aca="false">IF(AND(G59="Unpaid",F59&gt;90),"HIGH - Fully Overdue 90+ Days",IF(G59="Partially Paid","MEDIUM - Short Paid","OK"))</f>
        <v>OK</v>
      </c>
    </row>
    <row r="60" customFormat="false" ht="15" hidden="false" customHeight="false" outlineLevel="0" collapsed="false">
      <c r="A60" s="16" t="str">
        <f aca="false">AR_Aging!A60</f>
        <v>ARI60056</v>
      </c>
      <c r="B60" s="16" t="str">
        <f aca="false">AR_Aging!C60</f>
        <v>Hancock Inc</v>
      </c>
      <c r="C60" s="18" t="n">
        <f aca="false">AR_Aging!F60</f>
        <v>1552.87</v>
      </c>
      <c r="D60" s="18" t="n">
        <f aca="false">AR_Aging!G60</f>
        <v>1552.87</v>
      </c>
      <c r="E60" s="18" t="n">
        <f aca="false">AR_Aging!H60</f>
        <v>0</v>
      </c>
      <c r="F60" s="16" t="n">
        <f aca="false">AR_Aging!I60</f>
        <v>0</v>
      </c>
      <c r="G60" s="16" t="str">
        <f aca="false">AR_Aging!K60</f>
        <v>Paid</v>
      </c>
      <c r="H60" s="16" t="str">
        <f aca="false">IF(AND(G60="Unpaid",F60&gt;90),"HIGH - Fully Overdue 90+ Days",IF(G60="Partially Paid","MEDIUM - Short Paid","OK"))</f>
        <v>OK</v>
      </c>
    </row>
    <row r="61" customFormat="false" ht="15" hidden="false" customHeight="false" outlineLevel="0" collapsed="false">
      <c r="A61" s="16" t="str">
        <f aca="false">AR_Aging!A61</f>
        <v>ARI60057</v>
      </c>
      <c r="B61" s="16" t="str">
        <f aca="false">AR_Aging!C61</f>
        <v>Gray Group</v>
      </c>
      <c r="C61" s="18" t="n">
        <f aca="false">AR_Aging!F61</f>
        <v>738.05</v>
      </c>
      <c r="D61" s="18" t="n">
        <f aca="false">AR_Aging!G61</f>
        <v>0</v>
      </c>
      <c r="E61" s="18" t="n">
        <f aca="false">AR_Aging!H61</f>
        <v>738.05</v>
      </c>
      <c r="F61" s="16" t="n">
        <f aca="false">AR_Aging!I61</f>
        <v>362</v>
      </c>
      <c r="G61" s="16" t="str">
        <f aca="false">AR_Aging!K61</f>
        <v>Unpaid</v>
      </c>
      <c r="H61" s="16" t="str">
        <f aca="false">IF(AND(G61="Unpaid",F61&gt;90),"HIGH - Fully Overdue 90+ Days",IF(G61="Partially Paid","MEDIUM - Short Paid","OK"))</f>
        <v>HIGH - Fully Overdue 90+ Days</v>
      </c>
    </row>
    <row r="62" customFormat="false" ht="15" hidden="false" customHeight="false" outlineLevel="0" collapsed="false">
      <c r="A62" s="16" t="str">
        <f aca="false">AR_Aging!A62</f>
        <v>ARI60058</v>
      </c>
      <c r="B62" s="16" t="str">
        <f aca="false">AR_Aging!C62</f>
        <v>Yu Inc</v>
      </c>
      <c r="C62" s="18" t="n">
        <f aca="false">AR_Aging!F62</f>
        <v>7195.65</v>
      </c>
      <c r="D62" s="18" t="n">
        <f aca="false">AR_Aging!G62</f>
        <v>0</v>
      </c>
      <c r="E62" s="18" t="n">
        <f aca="false">AR_Aging!H62</f>
        <v>7195.65</v>
      </c>
      <c r="F62" s="16" t="n">
        <f aca="false">AR_Aging!I62</f>
        <v>191</v>
      </c>
      <c r="G62" s="16" t="str">
        <f aca="false">AR_Aging!K62</f>
        <v>Unpaid</v>
      </c>
      <c r="H62" s="16" t="str">
        <f aca="false">IF(AND(G62="Unpaid",F62&gt;90),"HIGH - Fully Overdue 90+ Days",IF(G62="Partially Paid","MEDIUM - Short Paid","OK"))</f>
        <v>HIGH - Fully Overdue 90+ Days</v>
      </c>
    </row>
    <row r="63" customFormat="false" ht="15" hidden="false" customHeight="false" outlineLevel="0" collapsed="false">
      <c r="A63" s="16" t="str">
        <f aca="false">AR_Aging!A63</f>
        <v>ARI60059</v>
      </c>
      <c r="B63" s="16" t="str">
        <f aca="false">AR_Aging!C63</f>
        <v>House-Glover</v>
      </c>
      <c r="C63" s="18" t="n">
        <f aca="false">AR_Aging!F63</f>
        <v>1143.06</v>
      </c>
      <c r="D63" s="18" t="n">
        <f aca="false">AR_Aging!G63</f>
        <v>1143.06</v>
      </c>
      <c r="E63" s="18" t="n">
        <f aca="false">AR_Aging!H63</f>
        <v>0</v>
      </c>
      <c r="F63" s="16" t="n">
        <f aca="false">AR_Aging!I63</f>
        <v>0</v>
      </c>
      <c r="G63" s="16" t="str">
        <f aca="false">AR_Aging!K63</f>
        <v>Paid</v>
      </c>
      <c r="H63" s="16" t="str">
        <f aca="false">IF(AND(G63="Unpaid",F63&gt;90),"HIGH - Fully Overdue 90+ Days",IF(G63="Partially Paid","MEDIUM - Short Paid","OK"))</f>
        <v>OK</v>
      </c>
    </row>
    <row r="64" customFormat="false" ht="15" hidden="false" customHeight="false" outlineLevel="0" collapsed="false">
      <c r="A64" s="16" t="str">
        <f aca="false">AR_Aging!A64</f>
        <v>ARI60060</v>
      </c>
      <c r="B64" s="16" t="str">
        <f aca="false">AR_Aging!C64</f>
        <v>Baxter Inc</v>
      </c>
      <c r="C64" s="18" t="n">
        <f aca="false">AR_Aging!F64</f>
        <v>139.79</v>
      </c>
      <c r="D64" s="18" t="n">
        <f aca="false">AR_Aging!G64</f>
        <v>139.79</v>
      </c>
      <c r="E64" s="18" t="n">
        <f aca="false">AR_Aging!H64</f>
        <v>0</v>
      </c>
      <c r="F64" s="16" t="n">
        <f aca="false">AR_Aging!I64</f>
        <v>0</v>
      </c>
      <c r="G64" s="16" t="str">
        <f aca="false">AR_Aging!K64</f>
        <v>Paid</v>
      </c>
      <c r="H64" s="16" t="str">
        <f aca="false">IF(AND(G64="Unpaid",F64&gt;90),"HIGH - Fully Overdue 90+ Days",IF(G64="Partially Paid","MEDIUM - Short Paid","OK"))</f>
        <v>OK</v>
      </c>
    </row>
    <row r="65" customFormat="false" ht="15" hidden="false" customHeight="false" outlineLevel="0" collapsed="false">
      <c r="A65" s="16" t="str">
        <f aca="false">AR_Aging!A65</f>
        <v>ARI60061</v>
      </c>
      <c r="B65" s="16" t="str">
        <f aca="false">AR_Aging!C65</f>
        <v>Jones-Young</v>
      </c>
      <c r="C65" s="18" t="n">
        <f aca="false">AR_Aging!F65</f>
        <v>1962</v>
      </c>
      <c r="D65" s="18" t="n">
        <f aca="false">AR_Aging!G65</f>
        <v>1962</v>
      </c>
      <c r="E65" s="18" t="n">
        <f aca="false">AR_Aging!H65</f>
        <v>0</v>
      </c>
      <c r="F65" s="16" t="n">
        <f aca="false">AR_Aging!I65</f>
        <v>0</v>
      </c>
      <c r="G65" s="16" t="str">
        <f aca="false">AR_Aging!K65</f>
        <v>Paid</v>
      </c>
      <c r="H65" s="16" t="str">
        <f aca="false">IF(AND(G65="Unpaid",F65&gt;90),"HIGH - Fully Overdue 90+ Days",IF(G65="Partially Paid","MEDIUM - Short Paid","OK"))</f>
        <v>OK</v>
      </c>
    </row>
    <row r="66" customFormat="false" ht="15" hidden="false" customHeight="false" outlineLevel="0" collapsed="false">
      <c r="A66" s="16" t="str">
        <f aca="false">AR_Aging!A66</f>
        <v>ARI60062</v>
      </c>
      <c r="B66" s="16" t="str">
        <f aca="false">AR_Aging!C66</f>
        <v>Hensley, Powell and David</v>
      </c>
      <c r="C66" s="18" t="n">
        <f aca="false">AR_Aging!F66</f>
        <v>1462.38</v>
      </c>
      <c r="D66" s="18" t="n">
        <f aca="false">AR_Aging!G66</f>
        <v>1022.35</v>
      </c>
      <c r="E66" s="18" t="n">
        <f aca="false">AR_Aging!H66</f>
        <v>440.03</v>
      </c>
      <c r="F66" s="16" t="n">
        <f aca="false">AR_Aging!I66</f>
        <v>465</v>
      </c>
      <c r="G66" s="16" t="str">
        <f aca="false">AR_Aging!K66</f>
        <v>Partially Paid</v>
      </c>
      <c r="H66" s="16" t="str">
        <f aca="false">IF(AND(G66="Unpaid",F66&gt;90),"HIGH - Fully Overdue 90+ Days",IF(G66="Partially Paid","MEDIUM - Short Paid","OK"))</f>
        <v>MEDIUM - Short Paid</v>
      </c>
    </row>
    <row r="67" customFormat="false" ht="15" hidden="false" customHeight="false" outlineLevel="0" collapsed="false">
      <c r="A67" s="16" t="str">
        <f aca="false">AR_Aging!A67</f>
        <v>ARI60063</v>
      </c>
      <c r="B67" s="16" t="str">
        <f aca="false">AR_Aging!C67</f>
        <v>Woods, Calhoun and Schmidt</v>
      </c>
      <c r="C67" s="18" t="n">
        <f aca="false">AR_Aging!F67</f>
        <v>1069.79</v>
      </c>
      <c r="D67" s="18" t="n">
        <f aca="false">AR_Aging!G67</f>
        <v>1069.79</v>
      </c>
      <c r="E67" s="18" t="n">
        <f aca="false">AR_Aging!H67</f>
        <v>0</v>
      </c>
      <c r="F67" s="16" t="n">
        <f aca="false">AR_Aging!I67</f>
        <v>0</v>
      </c>
      <c r="G67" s="16" t="str">
        <f aca="false">AR_Aging!K67</f>
        <v>Paid</v>
      </c>
      <c r="H67" s="16" t="str">
        <f aca="false">IF(AND(G67="Unpaid",F67&gt;90),"HIGH - Fully Overdue 90+ Days",IF(G67="Partially Paid","MEDIUM - Short Paid","OK"))</f>
        <v>OK</v>
      </c>
    </row>
    <row r="68" customFormat="false" ht="15" hidden="false" customHeight="false" outlineLevel="0" collapsed="false">
      <c r="A68" s="16" t="str">
        <f aca="false">AR_Aging!A68</f>
        <v>ARI60064</v>
      </c>
      <c r="B68" s="16" t="str">
        <f aca="false">AR_Aging!C68</f>
        <v>West, Henderson and Ramirez</v>
      </c>
      <c r="C68" s="18" t="n">
        <f aca="false">AR_Aging!F68</f>
        <v>5778.66</v>
      </c>
      <c r="D68" s="18" t="n">
        <f aca="false">AR_Aging!G68</f>
        <v>5778.66</v>
      </c>
      <c r="E68" s="18" t="n">
        <f aca="false">AR_Aging!H68</f>
        <v>0</v>
      </c>
      <c r="F68" s="16" t="n">
        <f aca="false">AR_Aging!I68</f>
        <v>0</v>
      </c>
      <c r="G68" s="16" t="str">
        <f aca="false">AR_Aging!K68</f>
        <v>Paid</v>
      </c>
      <c r="H68" s="16" t="str">
        <f aca="false">IF(AND(G68="Unpaid",F68&gt;90),"HIGH - Fully Overdue 90+ Days",IF(G68="Partially Paid","MEDIUM - Short Paid","OK"))</f>
        <v>OK</v>
      </c>
    </row>
    <row r="69" customFormat="false" ht="15" hidden="false" customHeight="false" outlineLevel="0" collapsed="false">
      <c r="A69" s="16" t="str">
        <f aca="false">AR_Aging!A69</f>
        <v>ARI60065</v>
      </c>
      <c r="B69" s="16" t="str">
        <f aca="false">AR_Aging!C69</f>
        <v>Williams PLC</v>
      </c>
      <c r="C69" s="18" t="n">
        <f aca="false">AR_Aging!F69</f>
        <v>2296.31</v>
      </c>
      <c r="D69" s="18" t="n">
        <f aca="false">AR_Aging!G69</f>
        <v>2296.31</v>
      </c>
      <c r="E69" s="18" t="n">
        <f aca="false">AR_Aging!H69</f>
        <v>0</v>
      </c>
      <c r="F69" s="16" t="n">
        <f aca="false">AR_Aging!I69</f>
        <v>0</v>
      </c>
      <c r="G69" s="16" t="str">
        <f aca="false">AR_Aging!K69</f>
        <v>Paid</v>
      </c>
      <c r="H69" s="16" t="str">
        <f aca="false">IF(AND(G69="Unpaid",F69&gt;90),"HIGH - Fully Overdue 90+ Days",IF(G69="Partially Paid","MEDIUM - Short Paid","OK"))</f>
        <v>OK</v>
      </c>
    </row>
    <row r="70" customFormat="false" ht="15" hidden="false" customHeight="false" outlineLevel="0" collapsed="false">
      <c r="A70" s="16" t="str">
        <f aca="false">AR_Aging!A70</f>
        <v>ARI60066</v>
      </c>
      <c r="B70" s="16" t="str">
        <f aca="false">AR_Aging!C70</f>
        <v>Gomez-Jenkins</v>
      </c>
      <c r="C70" s="18" t="n">
        <f aca="false">AR_Aging!F70</f>
        <v>7915.97</v>
      </c>
      <c r="D70" s="18" t="n">
        <f aca="false">AR_Aging!G70</f>
        <v>5980.79</v>
      </c>
      <c r="E70" s="18" t="n">
        <f aca="false">AR_Aging!H70</f>
        <v>1935.18</v>
      </c>
      <c r="F70" s="16" t="n">
        <f aca="false">AR_Aging!I70</f>
        <v>174</v>
      </c>
      <c r="G70" s="16" t="str">
        <f aca="false">AR_Aging!K70</f>
        <v>Partially Paid</v>
      </c>
      <c r="H70" s="16" t="str">
        <f aca="false">IF(AND(G70="Unpaid",F70&gt;90),"HIGH - Fully Overdue 90+ Days",IF(G70="Partially Paid","MEDIUM - Short Paid","OK"))</f>
        <v>MEDIUM - Short Paid</v>
      </c>
    </row>
    <row r="71" customFormat="false" ht="15" hidden="false" customHeight="false" outlineLevel="0" collapsed="false">
      <c r="A71" s="16" t="str">
        <f aca="false">AR_Aging!A71</f>
        <v>ARI60067</v>
      </c>
      <c r="B71" s="16" t="str">
        <f aca="false">AR_Aging!C71</f>
        <v>Washington, Ryan and Cummings</v>
      </c>
      <c r="C71" s="18" t="n">
        <f aca="false">AR_Aging!F71</f>
        <v>2115.58</v>
      </c>
      <c r="D71" s="18" t="n">
        <f aca="false">AR_Aging!G71</f>
        <v>2115.58</v>
      </c>
      <c r="E71" s="18" t="n">
        <f aca="false">AR_Aging!H71</f>
        <v>0</v>
      </c>
      <c r="F71" s="16" t="n">
        <f aca="false">AR_Aging!I71</f>
        <v>0</v>
      </c>
      <c r="G71" s="16" t="str">
        <f aca="false">AR_Aging!K71</f>
        <v>Paid</v>
      </c>
      <c r="H71" s="16" t="str">
        <f aca="false">IF(AND(G71="Unpaid",F71&gt;90),"HIGH - Fully Overdue 90+ Days",IF(G71="Partially Paid","MEDIUM - Short Paid","OK"))</f>
        <v>OK</v>
      </c>
    </row>
    <row r="72" customFormat="false" ht="15" hidden="false" customHeight="false" outlineLevel="0" collapsed="false">
      <c r="A72" s="16" t="str">
        <f aca="false">AR_Aging!A72</f>
        <v>ARI60068</v>
      </c>
      <c r="B72" s="16" t="str">
        <f aca="false">AR_Aging!C72</f>
        <v>Wright and Sons</v>
      </c>
      <c r="C72" s="18" t="n">
        <f aca="false">AR_Aging!F72</f>
        <v>1470.85</v>
      </c>
      <c r="D72" s="18" t="n">
        <f aca="false">AR_Aging!G72</f>
        <v>1470.85</v>
      </c>
      <c r="E72" s="18" t="n">
        <f aca="false">AR_Aging!H72</f>
        <v>0</v>
      </c>
      <c r="F72" s="16" t="n">
        <f aca="false">AR_Aging!I72</f>
        <v>0</v>
      </c>
      <c r="G72" s="16" t="str">
        <f aca="false">AR_Aging!K72</f>
        <v>Paid</v>
      </c>
      <c r="H72" s="16" t="str">
        <f aca="false">IF(AND(G72="Unpaid",F72&gt;90),"HIGH - Fully Overdue 90+ Days",IF(G72="Partially Paid","MEDIUM - Short Paid","OK"))</f>
        <v>OK</v>
      </c>
    </row>
    <row r="73" customFormat="false" ht="15" hidden="false" customHeight="false" outlineLevel="0" collapsed="false">
      <c r="A73" s="16" t="str">
        <f aca="false">AR_Aging!A73</f>
        <v>ARI60069</v>
      </c>
      <c r="B73" s="16" t="str">
        <f aca="false">AR_Aging!C73</f>
        <v>Washington, Ryan and Cummings</v>
      </c>
      <c r="C73" s="18" t="n">
        <f aca="false">AR_Aging!F73</f>
        <v>1903.66</v>
      </c>
      <c r="D73" s="18" t="n">
        <f aca="false">AR_Aging!G73</f>
        <v>1230.79</v>
      </c>
      <c r="E73" s="18" t="n">
        <f aca="false">AR_Aging!H73</f>
        <v>672.87</v>
      </c>
      <c r="F73" s="16" t="n">
        <f aca="false">AR_Aging!I73</f>
        <v>380</v>
      </c>
      <c r="G73" s="16" t="str">
        <f aca="false">AR_Aging!K73</f>
        <v>Partially Paid</v>
      </c>
      <c r="H73" s="16" t="str">
        <f aca="false">IF(AND(G73="Unpaid",F73&gt;90),"HIGH - Fully Overdue 90+ Days",IF(G73="Partially Paid","MEDIUM - Short Paid","OK"))</f>
        <v>MEDIUM - Short Paid</v>
      </c>
    </row>
    <row r="74" customFormat="false" ht="15" hidden="false" customHeight="false" outlineLevel="0" collapsed="false">
      <c r="A74" s="16" t="str">
        <f aca="false">AR_Aging!A74</f>
        <v>ARI60070</v>
      </c>
      <c r="B74" s="16" t="str">
        <f aca="false">AR_Aging!C74</f>
        <v>Williams PLC</v>
      </c>
      <c r="C74" s="18" t="n">
        <f aca="false">AR_Aging!F74</f>
        <v>11396.88</v>
      </c>
      <c r="D74" s="18" t="n">
        <f aca="false">AR_Aging!G74</f>
        <v>11396.88</v>
      </c>
      <c r="E74" s="18" t="n">
        <f aca="false">AR_Aging!H74</f>
        <v>0</v>
      </c>
      <c r="F74" s="16" t="n">
        <f aca="false">AR_Aging!I74</f>
        <v>0</v>
      </c>
      <c r="G74" s="16" t="str">
        <f aca="false">AR_Aging!K74</f>
        <v>Paid</v>
      </c>
      <c r="H74" s="16" t="str">
        <f aca="false">IF(AND(G74="Unpaid",F74&gt;90),"HIGH - Fully Overdue 90+ Days",IF(G74="Partially Paid","MEDIUM - Short Paid","OK"))</f>
        <v>OK</v>
      </c>
    </row>
    <row r="75" customFormat="false" ht="15" hidden="false" customHeight="false" outlineLevel="0" collapsed="false">
      <c r="A75" s="16" t="str">
        <f aca="false">AR_Aging!A75</f>
        <v>ARI60071</v>
      </c>
      <c r="B75" s="16" t="str">
        <f aca="false">AR_Aging!C75</f>
        <v>Novak and Sons</v>
      </c>
      <c r="C75" s="18" t="n">
        <f aca="false">AR_Aging!F75</f>
        <v>2362.28</v>
      </c>
      <c r="D75" s="18" t="n">
        <f aca="false">AR_Aging!G75</f>
        <v>2362.28</v>
      </c>
      <c r="E75" s="18" t="n">
        <f aca="false">AR_Aging!H75</f>
        <v>0</v>
      </c>
      <c r="F75" s="16" t="n">
        <f aca="false">AR_Aging!I75</f>
        <v>0</v>
      </c>
      <c r="G75" s="16" t="str">
        <f aca="false">AR_Aging!K75</f>
        <v>Paid</v>
      </c>
      <c r="H75" s="16" t="str">
        <f aca="false">IF(AND(G75="Unpaid",F75&gt;90),"HIGH - Fully Overdue 90+ Days",IF(G75="Partially Paid","MEDIUM - Short Paid","OK"))</f>
        <v>OK</v>
      </c>
    </row>
    <row r="76" customFormat="false" ht="15" hidden="false" customHeight="false" outlineLevel="0" collapsed="false">
      <c r="A76" s="16" t="str">
        <f aca="false">AR_Aging!A76</f>
        <v>ARI60072</v>
      </c>
      <c r="B76" s="16" t="str">
        <f aca="false">AR_Aging!C76</f>
        <v>Sanchez, Wheeler and Harvey</v>
      </c>
      <c r="C76" s="18" t="n">
        <f aca="false">AR_Aging!F76</f>
        <v>19405.86</v>
      </c>
      <c r="D76" s="18" t="n">
        <f aca="false">AR_Aging!G76</f>
        <v>19405.86</v>
      </c>
      <c r="E76" s="18" t="n">
        <f aca="false">AR_Aging!H76</f>
        <v>0</v>
      </c>
      <c r="F76" s="16" t="n">
        <f aca="false">AR_Aging!I76</f>
        <v>0</v>
      </c>
      <c r="G76" s="16" t="str">
        <f aca="false">AR_Aging!K76</f>
        <v>Paid</v>
      </c>
      <c r="H76" s="16" t="str">
        <f aca="false">IF(AND(G76="Unpaid",F76&gt;90),"HIGH - Fully Overdue 90+ Days",IF(G76="Partially Paid","MEDIUM - Short Paid","OK"))</f>
        <v>OK</v>
      </c>
    </row>
    <row r="77" customFormat="false" ht="15" hidden="false" customHeight="false" outlineLevel="0" collapsed="false">
      <c r="A77" s="16" t="str">
        <f aca="false">AR_Aging!A77</f>
        <v>ARI60073</v>
      </c>
      <c r="B77" s="16" t="str">
        <f aca="false">AR_Aging!C77</f>
        <v>Daniels, Adkins and Brown</v>
      </c>
      <c r="C77" s="18" t="n">
        <f aca="false">AR_Aging!F77</f>
        <v>2340.97</v>
      </c>
      <c r="D77" s="18" t="n">
        <f aca="false">AR_Aging!G77</f>
        <v>0</v>
      </c>
      <c r="E77" s="18" t="n">
        <f aca="false">AR_Aging!H77</f>
        <v>2340.97</v>
      </c>
      <c r="F77" s="16" t="n">
        <f aca="false">AR_Aging!I77</f>
        <v>34</v>
      </c>
      <c r="G77" s="16" t="str">
        <f aca="false">AR_Aging!K77</f>
        <v>Unpaid</v>
      </c>
      <c r="H77" s="16" t="str">
        <f aca="false">IF(AND(G77="Unpaid",F77&gt;90),"HIGH - Fully Overdue 90+ Days",IF(G77="Partially Paid","MEDIUM - Short Paid","OK"))</f>
        <v>OK</v>
      </c>
    </row>
    <row r="78" customFormat="false" ht="15" hidden="false" customHeight="false" outlineLevel="0" collapsed="false">
      <c r="A78" s="16" t="str">
        <f aca="false">AR_Aging!A78</f>
        <v>ARI60074</v>
      </c>
      <c r="B78" s="16" t="str">
        <f aca="false">AR_Aging!C78</f>
        <v>Sanchez, Wheeler and Harvey</v>
      </c>
      <c r="C78" s="18" t="n">
        <f aca="false">AR_Aging!F78</f>
        <v>422.1</v>
      </c>
      <c r="D78" s="18" t="n">
        <f aca="false">AR_Aging!G78</f>
        <v>422.1</v>
      </c>
      <c r="E78" s="18" t="n">
        <f aca="false">AR_Aging!H78</f>
        <v>0</v>
      </c>
      <c r="F78" s="16" t="n">
        <f aca="false">AR_Aging!I78</f>
        <v>0</v>
      </c>
      <c r="G78" s="16" t="str">
        <f aca="false">AR_Aging!K78</f>
        <v>Paid</v>
      </c>
      <c r="H78" s="16" t="str">
        <f aca="false">IF(AND(G78="Unpaid",F78&gt;90),"HIGH - Fully Overdue 90+ Days",IF(G78="Partially Paid","MEDIUM - Short Paid","OK"))</f>
        <v>OK</v>
      </c>
    </row>
    <row r="79" customFormat="false" ht="15" hidden="false" customHeight="false" outlineLevel="0" collapsed="false">
      <c r="A79" s="16" t="str">
        <f aca="false">AR_Aging!A79</f>
        <v>ARI60075</v>
      </c>
      <c r="B79" s="16" t="str">
        <f aca="false">AR_Aging!C79</f>
        <v>Morton-Chase</v>
      </c>
      <c r="C79" s="18" t="n">
        <f aca="false">AR_Aging!F79</f>
        <v>3092.13</v>
      </c>
      <c r="D79" s="18" t="n">
        <f aca="false">AR_Aging!G79</f>
        <v>3092.13</v>
      </c>
      <c r="E79" s="18" t="n">
        <f aca="false">AR_Aging!H79</f>
        <v>0</v>
      </c>
      <c r="F79" s="16" t="n">
        <f aca="false">AR_Aging!I79</f>
        <v>0</v>
      </c>
      <c r="G79" s="16" t="str">
        <f aca="false">AR_Aging!K79</f>
        <v>Paid</v>
      </c>
      <c r="H79" s="16" t="str">
        <f aca="false">IF(AND(G79="Unpaid",F79&gt;90),"HIGH - Fully Overdue 90+ Days",IF(G79="Partially Paid","MEDIUM - Short Paid","OK"))</f>
        <v>OK</v>
      </c>
    </row>
    <row r="80" customFormat="false" ht="15" hidden="false" customHeight="false" outlineLevel="0" collapsed="false">
      <c r="A80" s="16" t="str">
        <f aca="false">AR_Aging!A80</f>
        <v>ARI60076</v>
      </c>
      <c r="B80" s="16" t="str">
        <f aca="false">AR_Aging!C80</f>
        <v>Henderson-Bernard</v>
      </c>
      <c r="C80" s="18" t="n">
        <f aca="false">AR_Aging!F80</f>
        <v>4650.25</v>
      </c>
      <c r="D80" s="18" t="n">
        <f aca="false">AR_Aging!G80</f>
        <v>4650.25</v>
      </c>
      <c r="E80" s="18" t="n">
        <f aca="false">AR_Aging!H80</f>
        <v>0</v>
      </c>
      <c r="F80" s="16" t="n">
        <f aca="false">AR_Aging!I80</f>
        <v>0</v>
      </c>
      <c r="G80" s="16" t="str">
        <f aca="false">AR_Aging!K80</f>
        <v>Paid</v>
      </c>
      <c r="H80" s="16" t="str">
        <f aca="false">IF(AND(G80="Unpaid",F80&gt;90),"HIGH - Fully Overdue 90+ Days",IF(G80="Partially Paid","MEDIUM - Short Paid","OK"))</f>
        <v>OK</v>
      </c>
    </row>
    <row r="81" customFormat="false" ht="15" hidden="false" customHeight="false" outlineLevel="0" collapsed="false">
      <c r="A81" s="16" t="str">
        <f aca="false">AR_Aging!A81</f>
        <v>ARI60077</v>
      </c>
      <c r="B81" s="16" t="str">
        <f aca="false">AR_Aging!C81</f>
        <v>Jones-Young</v>
      </c>
      <c r="C81" s="18" t="n">
        <f aca="false">AR_Aging!F81</f>
        <v>949.22</v>
      </c>
      <c r="D81" s="18" t="n">
        <f aca="false">AR_Aging!G81</f>
        <v>0</v>
      </c>
      <c r="E81" s="18" t="n">
        <f aca="false">AR_Aging!H81</f>
        <v>949.22</v>
      </c>
      <c r="F81" s="16" t="n">
        <f aca="false">AR_Aging!I81</f>
        <v>50</v>
      </c>
      <c r="G81" s="16" t="str">
        <f aca="false">AR_Aging!K81</f>
        <v>Unpaid</v>
      </c>
      <c r="H81" s="16" t="str">
        <f aca="false">IF(AND(G81="Unpaid",F81&gt;90),"HIGH - Fully Overdue 90+ Days",IF(G81="Partially Paid","MEDIUM - Short Paid","OK"))</f>
        <v>OK</v>
      </c>
    </row>
    <row r="82" customFormat="false" ht="15" hidden="false" customHeight="false" outlineLevel="0" collapsed="false">
      <c r="A82" s="16" t="str">
        <f aca="false">AR_Aging!A82</f>
        <v>ARI60078</v>
      </c>
      <c r="B82" s="16" t="str">
        <f aca="false">AR_Aging!C82</f>
        <v>Smith-Spencer</v>
      </c>
      <c r="C82" s="18" t="n">
        <f aca="false">AR_Aging!F82</f>
        <v>2761.96</v>
      </c>
      <c r="D82" s="18" t="n">
        <f aca="false">AR_Aging!G82</f>
        <v>2761.96</v>
      </c>
      <c r="E82" s="18" t="n">
        <f aca="false">AR_Aging!H82</f>
        <v>0</v>
      </c>
      <c r="F82" s="16" t="n">
        <f aca="false">AR_Aging!I82</f>
        <v>0</v>
      </c>
      <c r="G82" s="16" t="str">
        <f aca="false">AR_Aging!K82</f>
        <v>Paid</v>
      </c>
      <c r="H82" s="16" t="str">
        <f aca="false">IF(AND(G82="Unpaid",F82&gt;90),"HIGH - Fully Overdue 90+ Days",IF(G82="Partially Paid","MEDIUM - Short Paid","OK"))</f>
        <v>OK</v>
      </c>
    </row>
    <row r="83" customFormat="false" ht="15" hidden="false" customHeight="false" outlineLevel="0" collapsed="false">
      <c r="A83" s="16" t="str">
        <f aca="false">AR_Aging!A83</f>
        <v>ARI60079</v>
      </c>
      <c r="B83" s="16" t="str">
        <f aca="false">AR_Aging!C83</f>
        <v>West, Henderson and Ramirez</v>
      </c>
      <c r="C83" s="18" t="n">
        <f aca="false">AR_Aging!F83</f>
        <v>2517.6</v>
      </c>
      <c r="D83" s="18" t="n">
        <f aca="false">AR_Aging!G83</f>
        <v>2517.6</v>
      </c>
      <c r="E83" s="18" t="n">
        <f aca="false">AR_Aging!H83</f>
        <v>0</v>
      </c>
      <c r="F83" s="16" t="n">
        <f aca="false">AR_Aging!I83</f>
        <v>0</v>
      </c>
      <c r="G83" s="16" t="str">
        <f aca="false">AR_Aging!K83</f>
        <v>Paid</v>
      </c>
      <c r="H83" s="16" t="str">
        <f aca="false">IF(AND(G83="Unpaid",F83&gt;90),"HIGH - Fully Overdue 90+ Days",IF(G83="Partially Paid","MEDIUM - Short Paid","OK"))</f>
        <v>OK</v>
      </c>
    </row>
    <row r="84" customFormat="false" ht="15" hidden="false" customHeight="false" outlineLevel="0" collapsed="false">
      <c r="A84" s="16" t="str">
        <f aca="false">AR_Aging!A84</f>
        <v>ARI60080</v>
      </c>
      <c r="B84" s="16" t="str">
        <f aca="false">AR_Aging!C84</f>
        <v>Lee-Davis</v>
      </c>
      <c r="C84" s="18" t="n">
        <f aca="false">AR_Aging!F84</f>
        <v>2398.54</v>
      </c>
      <c r="D84" s="18" t="n">
        <f aca="false">AR_Aging!G84</f>
        <v>2398.54</v>
      </c>
      <c r="E84" s="18" t="n">
        <f aca="false">AR_Aging!H84</f>
        <v>0</v>
      </c>
      <c r="F84" s="16" t="n">
        <f aca="false">AR_Aging!I84</f>
        <v>0</v>
      </c>
      <c r="G84" s="16" t="str">
        <f aca="false">AR_Aging!K84</f>
        <v>Paid</v>
      </c>
      <c r="H84" s="16" t="str">
        <f aca="false">IF(AND(G84="Unpaid",F84&gt;90),"HIGH - Fully Overdue 90+ Days",IF(G84="Partially Paid","MEDIUM - Short Paid","OK"))</f>
        <v>OK</v>
      </c>
    </row>
    <row r="85" customFormat="false" ht="15" hidden="false" customHeight="false" outlineLevel="0" collapsed="false">
      <c r="A85" s="16" t="str">
        <f aca="false">AR_Aging!A85</f>
        <v>ARI60081</v>
      </c>
      <c r="B85" s="16" t="str">
        <f aca="false">AR_Aging!C85</f>
        <v>Novak PLC</v>
      </c>
      <c r="C85" s="18" t="n">
        <f aca="false">AR_Aging!F85</f>
        <v>1418.91</v>
      </c>
      <c r="D85" s="18" t="n">
        <f aca="false">AR_Aging!G85</f>
        <v>648.33</v>
      </c>
      <c r="E85" s="18" t="n">
        <f aca="false">AR_Aging!H85</f>
        <v>770.58</v>
      </c>
      <c r="F85" s="16" t="n">
        <f aca="false">AR_Aging!I85</f>
        <v>73</v>
      </c>
      <c r="G85" s="16" t="str">
        <f aca="false">AR_Aging!K85</f>
        <v>Partially Paid</v>
      </c>
      <c r="H85" s="16" t="str">
        <f aca="false">IF(AND(G85="Unpaid",F85&gt;90),"HIGH - Fully Overdue 90+ Days",IF(G85="Partially Paid","MEDIUM - Short Paid","OK"))</f>
        <v>MEDIUM - Short Paid</v>
      </c>
    </row>
    <row r="86" customFormat="false" ht="15" hidden="false" customHeight="false" outlineLevel="0" collapsed="false">
      <c r="A86" s="16" t="str">
        <f aca="false">AR_Aging!A86</f>
        <v>ARI60082</v>
      </c>
      <c r="B86" s="16" t="str">
        <f aca="false">AR_Aging!C86</f>
        <v>Johnston, Sanchez and Kennedy</v>
      </c>
      <c r="C86" s="18" t="n">
        <f aca="false">AR_Aging!F86</f>
        <v>2710.4</v>
      </c>
      <c r="D86" s="18" t="n">
        <f aca="false">AR_Aging!G86</f>
        <v>2710.4</v>
      </c>
      <c r="E86" s="18" t="n">
        <f aca="false">AR_Aging!H86</f>
        <v>0</v>
      </c>
      <c r="F86" s="16" t="n">
        <f aca="false">AR_Aging!I86</f>
        <v>0</v>
      </c>
      <c r="G86" s="16" t="str">
        <f aca="false">AR_Aging!K86</f>
        <v>Paid</v>
      </c>
      <c r="H86" s="16" t="str">
        <f aca="false">IF(AND(G86="Unpaid",F86&gt;90),"HIGH - Fully Overdue 90+ Days",IF(G86="Partially Paid","MEDIUM - Short Paid","OK"))</f>
        <v>OK</v>
      </c>
    </row>
    <row r="87" customFormat="false" ht="15" hidden="false" customHeight="false" outlineLevel="0" collapsed="false">
      <c r="A87" s="16" t="str">
        <f aca="false">AR_Aging!A87</f>
        <v>ARI60083</v>
      </c>
      <c r="B87" s="16" t="str">
        <f aca="false">AR_Aging!C87</f>
        <v>Jones-Young</v>
      </c>
      <c r="C87" s="18" t="n">
        <f aca="false">AR_Aging!F87</f>
        <v>3607.75</v>
      </c>
      <c r="D87" s="18" t="n">
        <f aca="false">AR_Aging!G87</f>
        <v>3607.75</v>
      </c>
      <c r="E87" s="18" t="n">
        <f aca="false">AR_Aging!H87</f>
        <v>0</v>
      </c>
      <c r="F87" s="16" t="n">
        <f aca="false">AR_Aging!I87</f>
        <v>0</v>
      </c>
      <c r="G87" s="16" t="str">
        <f aca="false">AR_Aging!K87</f>
        <v>Paid</v>
      </c>
      <c r="H87" s="16" t="str">
        <f aca="false">IF(AND(G87="Unpaid",F87&gt;90),"HIGH - Fully Overdue 90+ Days",IF(G87="Partially Paid","MEDIUM - Short Paid","OK"))</f>
        <v>OK</v>
      </c>
    </row>
    <row r="88" customFormat="false" ht="15" hidden="false" customHeight="false" outlineLevel="0" collapsed="false">
      <c r="A88" s="16" t="str">
        <f aca="false">AR_Aging!A88</f>
        <v>ARI60084</v>
      </c>
      <c r="B88" s="16" t="str">
        <f aca="false">AR_Aging!C88</f>
        <v>Novak and Sons</v>
      </c>
      <c r="C88" s="18" t="n">
        <f aca="false">AR_Aging!F88</f>
        <v>855.89</v>
      </c>
      <c r="D88" s="18" t="n">
        <f aca="false">AR_Aging!G88</f>
        <v>855.89</v>
      </c>
      <c r="E88" s="18" t="n">
        <f aca="false">AR_Aging!H88</f>
        <v>0</v>
      </c>
      <c r="F88" s="16" t="n">
        <f aca="false">AR_Aging!I88</f>
        <v>0</v>
      </c>
      <c r="G88" s="16" t="str">
        <f aca="false">AR_Aging!K88</f>
        <v>Paid</v>
      </c>
      <c r="H88" s="16" t="str">
        <f aca="false">IF(AND(G88="Unpaid",F88&gt;90),"HIGH - Fully Overdue 90+ Days",IF(G88="Partially Paid","MEDIUM - Short Paid","OK"))</f>
        <v>OK</v>
      </c>
    </row>
    <row r="89" customFormat="false" ht="15" hidden="false" customHeight="false" outlineLevel="0" collapsed="false">
      <c r="A89" s="16" t="str">
        <f aca="false">AR_Aging!A89</f>
        <v>ARI60085</v>
      </c>
      <c r="B89" s="16" t="str">
        <f aca="false">AR_Aging!C89</f>
        <v>Robinson, Jones and Welch</v>
      </c>
      <c r="C89" s="18" t="n">
        <f aca="false">AR_Aging!F89</f>
        <v>2589.72</v>
      </c>
      <c r="D89" s="18" t="n">
        <f aca="false">AR_Aging!G89</f>
        <v>0</v>
      </c>
      <c r="E89" s="18" t="n">
        <f aca="false">AR_Aging!H89</f>
        <v>2589.72</v>
      </c>
      <c r="F89" s="16" t="n">
        <f aca="false">AR_Aging!I89</f>
        <v>158</v>
      </c>
      <c r="G89" s="16" t="str">
        <f aca="false">AR_Aging!K89</f>
        <v>Unpaid</v>
      </c>
      <c r="H89" s="16" t="str">
        <f aca="false">IF(AND(G89="Unpaid",F89&gt;90),"HIGH - Fully Overdue 90+ Days",IF(G89="Partially Paid","MEDIUM - Short Paid","OK"))</f>
        <v>HIGH - Fully Overdue 90+ Days</v>
      </c>
    </row>
    <row r="90" customFormat="false" ht="15" hidden="false" customHeight="false" outlineLevel="0" collapsed="false">
      <c r="A90" s="16" t="str">
        <f aca="false">AR_Aging!A90</f>
        <v>ARI60086</v>
      </c>
      <c r="B90" s="16" t="str">
        <f aca="false">AR_Aging!C90</f>
        <v>House-Glover</v>
      </c>
      <c r="C90" s="18" t="n">
        <f aca="false">AR_Aging!F90</f>
        <v>1236.06</v>
      </c>
      <c r="D90" s="18" t="n">
        <f aca="false">AR_Aging!G90</f>
        <v>1236.06</v>
      </c>
      <c r="E90" s="18" t="n">
        <f aca="false">AR_Aging!H90</f>
        <v>0</v>
      </c>
      <c r="F90" s="16" t="n">
        <f aca="false">AR_Aging!I90</f>
        <v>0</v>
      </c>
      <c r="G90" s="16" t="str">
        <f aca="false">AR_Aging!K90</f>
        <v>Paid</v>
      </c>
      <c r="H90" s="16" t="str">
        <f aca="false">IF(AND(G90="Unpaid",F90&gt;90),"HIGH - Fully Overdue 90+ Days",IF(G90="Partially Paid","MEDIUM - Short Paid","OK"))</f>
        <v>OK</v>
      </c>
    </row>
    <row r="91" customFormat="false" ht="15" hidden="false" customHeight="false" outlineLevel="0" collapsed="false">
      <c r="A91" s="16" t="str">
        <f aca="false">AR_Aging!A91</f>
        <v>ARI60087</v>
      </c>
      <c r="B91" s="16" t="str">
        <f aca="false">AR_Aging!C91</f>
        <v>Stanley, Tucker and Lee</v>
      </c>
      <c r="C91" s="18" t="n">
        <f aca="false">AR_Aging!F91</f>
        <v>3022.29</v>
      </c>
      <c r="D91" s="18" t="n">
        <f aca="false">AR_Aging!G91</f>
        <v>0</v>
      </c>
      <c r="E91" s="18" t="n">
        <f aca="false">AR_Aging!H91</f>
        <v>3022.29</v>
      </c>
      <c r="F91" s="16" t="n">
        <f aca="false">AR_Aging!I91</f>
        <v>164</v>
      </c>
      <c r="G91" s="16" t="str">
        <f aca="false">AR_Aging!K91</f>
        <v>Unpaid</v>
      </c>
      <c r="H91" s="16" t="str">
        <f aca="false">IF(AND(G91="Unpaid",F91&gt;90),"HIGH - Fully Overdue 90+ Days",IF(G91="Partially Paid","MEDIUM - Short Paid","OK"))</f>
        <v>HIGH - Fully Overdue 90+ Days</v>
      </c>
    </row>
    <row r="92" customFormat="false" ht="15" hidden="false" customHeight="false" outlineLevel="0" collapsed="false">
      <c r="A92" s="16" t="str">
        <f aca="false">AR_Aging!A92</f>
        <v>ARI60088</v>
      </c>
      <c r="B92" s="16" t="str">
        <f aca="false">AR_Aging!C92</f>
        <v>Washington, Ryan and Cummings</v>
      </c>
      <c r="C92" s="18" t="n">
        <f aca="false">AR_Aging!F92</f>
        <v>7933.14</v>
      </c>
      <c r="D92" s="18" t="n">
        <f aca="false">AR_Aging!G92</f>
        <v>7933.14</v>
      </c>
      <c r="E92" s="18" t="n">
        <f aca="false">AR_Aging!H92</f>
        <v>0</v>
      </c>
      <c r="F92" s="16" t="n">
        <f aca="false">AR_Aging!I92</f>
        <v>0</v>
      </c>
      <c r="G92" s="16" t="str">
        <f aca="false">AR_Aging!K92</f>
        <v>Paid</v>
      </c>
      <c r="H92" s="16" t="str">
        <f aca="false">IF(AND(G92="Unpaid",F92&gt;90),"HIGH - Fully Overdue 90+ Days",IF(G92="Partially Paid","MEDIUM - Short Paid","OK"))</f>
        <v>OK</v>
      </c>
    </row>
    <row r="93" customFormat="false" ht="15" hidden="false" customHeight="false" outlineLevel="0" collapsed="false">
      <c r="A93" s="16" t="str">
        <f aca="false">AR_Aging!A93</f>
        <v>ARI60089</v>
      </c>
      <c r="B93" s="16" t="str">
        <f aca="false">AR_Aging!C93</f>
        <v>House-Glover</v>
      </c>
      <c r="C93" s="18" t="n">
        <f aca="false">AR_Aging!F93</f>
        <v>8308.55</v>
      </c>
      <c r="D93" s="18" t="n">
        <f aca="false">AR_Aging!G93</f>
        <v>8308.55</v>
      </c>
      <c r="E93" s="18" t="n">
        <f aca="false">AR_Aging!H93</f>
        <v>0</v>
      </c>
      <c r="F93" s="16" t="n">
        <f aca="false">AR_Aging!I93</f>
        <v>0</v>
      </c>
      <c r="G93" s="16" t="str">
        <f aca="false">AR_Aging!K93</f>
        <v>Paid</v>
      </c>
      <c r="H93" s="16" t="str">
        <f aca="false">IF(AND(G93="Unpaid",F93&gt;90),"HIGH - Fully Overdue 90+ Days",IF(G93="Partially Paid","MEDIUM - Short Paid","OK"))</f>
        <v>OK</v>
      </c>
    </row>
    <row r="94" customFormat="false" ht="15" hidden="false" customHeight="false" outlineLevel="0" collapsed="false">
      <c r="A94" s="16" t="str">
        <f aca="false">AR_Aging!A94</f>
        <v>ARI60090</v>
      </c>
      <c r="B94" s="16" t="str">
        <f aca="false">AR_Aging!C94</f>
        <v>Gomez-Jenkins</v>
      </c>
      <c r="C94" s="18" t="n">
        <f aca="false">AR_Aging!F94</f>
        <v>11319.08</v>
      </c>
      <c r="D94" s="18" t="n">
        <f aca="false">AR_Aging!G94</f>
        <v>7599.94</v>
      </c>
      <c r="E94" s="18" t="n">
        <f aca="false">AR_Aging!H94</f>
        <v>3719.14</v>
      </c>
      <c r="F94" s="16" t="n">
        <f aca="false">AR_Aging!I94</f>
        <v>334</v>
      </c>
      <c r="G94" s="16" t="str">
        <f aca="false">AR_Aging!K94</f>
        <v>Partially Paid</v>
      </c>
      <c r="H94" s="16" t="str">
        <f aca="false">IF(AND(G94="Unpaid",F94&gt;90),"HIGH - Fully Overdue 90+ Days",IF(G94="Partially Paid","MEDIUM - Short Paid","OK"))</f>
        <v>MEDIUM - Short Paid</v>
      </c>
    </row>
    <row r="95" customFormat="false" ht="15" hidden="false" customHeight="false" outlineLevel="0" collapsed="false">
      <c r="A95" s="16" t="str">
        <f aca="false">AR_Aging!A95</f>
        <v>ARI60091</v>
      </c>
      <c r="B95" s="16" t="str">
        <f aca="false">AR_Aging!C95</f>
        <v>Woods, Calhoun and Schmidt</v>
      </c>
      <c r="C95" s="18" t="n">
        <f aca="false">AR_Aging!F95</f>
        <v>3436.09</v>
      </c>
      <c r="D95" s="18" t="n">
        <f aca="false">AR_Aging!G95</f>
        <v>3436.09</v>
      </c>
      <c r="E95" s="18" t="n">
        <f aca="false">AR_Aging!H95</f>
        <v>0</v>
      </c>
      <c r="F95" s="16" t="n">
        <f aca="false">AR_Aging!I95</f>
        <v>0</v>
      </c>
      <c r="G95" s="16" t="str">
        <f aca="false">AR_Aging!K95</f>
        <v>Paid</v>
      </c>
      <c r="H95" s="16" t="str">
        <f aca="false">IF(AND(G95="Unpaid",F95&gt;90),"HIGH - Fully Overdue 90+ Days",IF(G95="Partially Paid","MEDIUM - Short Paid","OK"))</f>
        <v>OK</v>
      </c>
    </row>
    <row r="96" customFormat="false" ht="15" hidden="false" customHeight="false" outlineLevel="0" collapsed="false">
      <c r="A96" s="16" t="str">
        <f aca="false">AR_Aging!A96</f>
        <v>ARI60092</v>
      </c>
      <c r="B96" s="16" t="str">
        <f aca="false">AR_Aging!C96</f>
        <v>Lee-Davis</v>
      </c>
      <c r="C96" s="18" t="n">
        <f aca="false">AR_Aging!F96</f>
        <v>6787.28</v>
      </c>
      <c r="D96" s="18" t="n">
        <f aca="false">AR_Aging!G96</f>
        <v>4377.95</v>
      </c>
      <c r="E96" s="18" t="n">
        <f aca="false">AR_Aging!H96</f>
        <v>2409.33</v>
      </c>
      <c r="F96" s="16" t="n">
        <f aca="false">AR_Aging!I96</f>
        <v>400</v>
      </c>
      <c r="G96" s="16" t="str">
        <f aca="false">AR_Aging!K96</f>
        <v>Partially Paid</v>
      </c>
      <c r="H96" s="16" t="str">
        <f aca="false">IF(AND(G96="Unpaid",F96&gt;90),"HIGH - Fully Overdue 90+ Days",IF(G96="Partially Paid","MEDIUM - Short Paid","OK"))</f>
        <v>MEDIUM - Short Paid</v>
      </c>
    </row>
    <row r="97" customFormat="false" ht="15" hidden="false" customHeight="false" outlineLevel="0" collapsed="false">
      <c r="A97" s="16" t="str">
        <f aca="false">AR_Aging!A97</f>
        <v>ARI60093</v>
      </c>
      <c r="B97" s="16" t="str">
        <f aca="false">AR_Aging!C97</f>
        <v>Russell Group</v>
      </c>
      <c r="C97" s="18" t="n">
        <f aca="false">AR_Aging!F97</f>
        <v>1540.61</v>
      </c>
      <c r="D97" s="18" t="n">
        <f aca="false">AR_Aging!G97</f>
        <v>0</v>
      </c>
      <c r="E97" s="18" t="n">
        <f aca="false">AR_Aging!H97</f>
        <v>1540.61</v>
      </c>
      <c r="F97" s="16" t="n">
        <f aca="false">AR_Aging!I97</f>
        <v>45</v>
      </c>
      <c r="G97" s="16" t="str">
        <f aca="false">AR_Aging!K97</f>
        <v>Unpaid</v>
      </c>
      <c r="H97" s="16" t="str">
        <f aca="false">IF(AND(G97="Unpaid",F97&gt;90),"HIGH - Fully Overdue 90+ Days",IF(G97="Partially Paid","MEDIUM - Short Paid","OK"))</f>
        <v>OK</v>
      </c>
    </row>
    <row r="98" customFormat="false" ht="15" hidden="false" customHeight="false" outlineLevel="0" collapsed="false">
      <c r="A98" s="16" t="str">
        <f aca="false">AR_Aging!A98</f>
        <v>ARI60094</v>
      </c>
      <c r="B98" s="16" t="str">
        <f aca="false">AR_Aging!C98</f>
        <v>Washington, Ryan and Cummings</v>
      </c>
      <c r="C98" s="18" t="n">
        <f aca="false">AR_Aging!F98</f>
        <v>5089.83</v>
      </c>
      <c r="D98" s="18" t="n">
        <f aca="false">AR_Aging!G98</f>
        <v>5089.83</v>
      </c>
      <c r="E98" s="18" t="n">
        <f aca="false">AR_Aging!H98</f>
        <v>0</v>
      </c>
      <c r="F98" s="16" t="n">
        <f aca="false">AR_Aging!I98</f>
        <v>0</v>
      </c>
      <c r="G98" s="16" t="str">
        <f aca="false">AR_Aging!K98</f>
        <v>Paid</v>
      </c>
      <c r="H98" s="16" t="str">
        <f aca="false">IF(AND(G98="Unpaid",F98&gt;90),"HIGH - Fully Overdue 90+ Days",IF(G98="Partially Paid","MEDIUM - Short Paid","OK"))</f>
        <v>OK</v>
      </c>
    </row>
    <row r="99" customFormat="false" ht="15" hidden="false" customHeight="false" outlineLevel="0" collapsed="false">
      <c r="A99" s="16" t="str">
        <f aca="false">AR_Aging!A99</f>
        <v>ARI60095</v>
      </c>
      <c r="B99" s="16" t="str">
        <f aca="false">AR_Aging!C99</f>
        <v>Gomez-Jenkins</v>
      </c>
      <c r="C99" s="18" t="n">
        <f aca="false">AR_Aging!F99</f>
        <v>4255.63</v>
      </c>
      <c r="D99" s="18" t="n">
        <f aca="false">AR_Aging!G99</f>
        <v>0</v>
      </c>
      <c r="E99" s="18" t="n">
        <f aca="false">AR_Aging!H99</f>
        <v>4255.63</v>
      </c>
      <c r="F99" s="16" t="n">
        <f aca="false">AR_Aging!I99</f>
        <v>408</v>
      </c>
      <c r="G99" s="16" t="str">
        <f aca="false">AR_Aging!K99</f>
        <v>Unpaid</v>
      </c>
      <c r="H99" s="16" t="str">
        <f aca="false">IF(AND(G99="Unpaid",F99&gt;90),"HIGH - Fully Overdue 90+ Days",IF(G99="Partially Paid","MEDIUM - Short Paid","OK"))</f>
        <v>HIGH - Fully Overdue 90+ Days</v>
      </c>
    </row>
    <row r="100" customFormat="false" ht="15" hidden="false" customHeight="false" outlineLevel="0" collapsed="false">
      <c r="A100" s="16" t="str">
        <f aca="false">AR_Aging!A100</f>
        <v>ARI60096</v>
      </c>
      <c r="B100" s="16" t="str">
        <f aca="false">AR_Aging!C100</f>
        <v>Brown, Valdez and Lucas</v>
      </c>
      <c r="C100" s="18" t="n">
        <f aca="false">AR_Aging!F100</f>
        <v>1792.09</v>
      </c>
      <c r="D100" s="18" t="n">
        <f aca="false">AR_Aging!G100</f>
        <v>0</v>
      </c>
      <c r="E100" s="18" t="n">
        <f aca="false">AR_Aging!H100</f>
        <v>1792.09</v>
      </c>
      <c r="F100" s="16" t="n">
        <f aca="false">AR_Aging!I100</f>
        <v>442</v>
      </c>
      <c r="G100" s="16" t="str">
        <f aca="false">AR_Aging!K100</f>
        <v>Unpaid</v>
      </c>
      <c r="H100" s="16" t="str">
        <f aca="false">IF(AND(G100="Unpaid",F100&gt;90),"HIGH - Fully Overdue 90+ Days",IF(G100="Partially Paid","MEDIUM - Short Paid","OK"))</f>
        <v>HIGH - Fully Overdue 90+ Days</v>
      </c>
    </row>
    <row r="101" customFormat="false" ht="15" hidden="false" customHeight="false" outlineLevel="0" collapsed="false">
      <c r="A101" s="16" t="str">
        <f aca="false">AR_Aging!A101</f>
        <v>ARI60097</v>
      </c>
      <c r="B101" s="16" t="str">
        <f aca="false">AR_Aging!C101</f>
        <v>Williams PLC</v>
      </c>
      <c r="C101" s="18" t="n">
        <f aca="false">AR_Aging!F101</f>
        <v>1932.03</v>
      </c>
      <c r="D101" s="18" t="n">
        <f aca="false">AR_Aging!G101</f>
        <v>1932.03</v>
      </c>
      <c r="E101" s="18" t="n">
        <f aca="false">AR_Aging!H101</f>
        <v>0</v>
      </c>
      <c r="F101" s="16" t="n">
        <f aca="false">AR_Aging!I101</f>
        <v>0</v>
      </c>
      <c r="G101" s="16" t="str">
        <f aca="false">AR_Aging!K101</f>
        <v>Paid</v>
      </c>
      <c r="H101" s="16" t="str">
        <f aca="false">IF(AND(G101="Unpaid",F101&gt;90),"HIGH - Fully Overdue 90+ Days",IF(G101="Partially Paid","MEDIUM - Short Paid","OK"))</f>
        <v>OK</v>
      </c>
    </row>
    <row r="102" customFormat="false" ht="15" hidden="false" customHeight="false" outlineLevel="0" collapsed="false">
      <c r="A102" s="16" t="str">
        <f aca="false">AR_Aging!A102</f>
        <v>ARI60098</v>
      </c>
      <c r="B102" s="16" t="str">
        <f aca="false">AR_Aging!C102</f>
        <v>Henderson-Bernard</v>
      </c>
      <c r="C102" s="18" t="n">
        <f aca="false">AR_Aging!F102</f>
        <v>7159.38</v>
      </c>
      <c r="D102" s="18" t="n">
        <f aca="false">AR_Aging!G102</f>
        <v>7159.38</v>
      </c>
      <c r="E102" s="18" t="n">
        <f aca="false">AR_Aging!H102</f>
        <v>0</v>
      </c>
      <c r="F102" s="16" t="n">
        <f aca="false">AR_Aging!I102</f>
        <v>0</v>
      </c>
      <c r="G102" s="16" t="str">
        <f aca="false">AR_Aging!K102</f>
        <v>Paid</v>
      </c>
      <c r="H102" s="16" t="str">
        <f aca="false">IF(AND(G102="Unpaid",F102&gt;90),"HIGH - Fully Overdue 90+ Days",IF(G102="Partially Paid","MEDIUM - Short Paid","OK"))</f>
        <v>OK</v>
      </c>
    </row>
    <row r="103" customFormat="false" ht="15" hidden="false" customHeight="false" outlineLevel="0" collapsed="false">
      <c r="A103" s="16" t="str">
        <f aca="false">AR_Aging!A103</f>
        <v>ARI60099</v>
      </c>
      <c r="B103" s="16" t="str">
        <f aca="false">AR_Aging!C103</f>
        <v>Novak PLC</v>
      </c>
      <c r="C103" s="18" t="n">
        <f aca="false">AR_Aging!F103</f>
        <v>1930.69</v>
      </c>
      <c r="D103" s="18" t="n">
        <f aca="false">AR_Aging!G103</f>
        <v>904.34</v>
      </c>
      <c r="E103" s="18" t="n">
        <f aca="false">AR_Aging!H103</f>
        <v>1026.35</v>
      </c>
      <c r="F103" s="16" t="n">
        <f aca="false">AR_Aging!I103</f>
        <v>461</v>
      </c>
      <c r="G103" s="16" t="str">
        <f aca="false">AR_Aging!K103</f>
        <v>Partially Paid</v>
      </c>
      <c r="H103" s="16" t="str">
        <f aca="false">IF(AND(G103="Unpaid",F103&gt;90),"HIGH - Fully Overdue 90+ Days",IF(G103="Partially Paid","MEDIUM - Short Paid","OK"))</f>
        <v>MEDIUM - Short Paid</v>
      </c>
    </row>
    <row r="104" customFormat="false" ht="15" hidden="false" customHeight="false" outlineLevel="0" collapsed="false">
      <c r="A104" s="16" t="str">
        <f aca="false">AR_Aging!A104</f>
        <v>ARI60100</v>
      </c>
      <c r="B104" s="16" t="str">
        <f aca="false">AR_Aging!C104</f>
        <v>Washington, Ryan and Cummings</v>
      </c>
      <c r="C104" s="18" t="n">
        <f aca="false">AR_Aging!F104</f>
        <v>1385.74</v>
      </c>
      <c r="D104" s="18" t="n">
        <f aca="false">AR_Aging!G104</f>
        <v>825.54</v>
      </c>
      <c r="E104" s="18" t="n">
        <f aca="false">AR_Aging!H104</f>
        <v>560.2</v>
      </c>
      <c r="F104" s="16" t="n">
        <f aca="false">AR_Aging!I104</f>
        <v>141</v>
      </c>
      <c r="G104" s="16" t="str">
        <f aca="false">AR_Aging!K104</f>
        <v>Partially Paid</v>
      </c>
      <c r="H104" s="16" t="str">
        <f aca="false">IF(AND(G104="Unpaid",F104&gt;90),"HIGH - Fully Overdue 90+ Days",IF(G104="Partially Paid","MEDIUM - Short Paid","OK"))</f>
        <v>MEDIUM - Short Paid</v>
      </c>
    </row>
    <row r="105" customFormat="false" ht="15" hidden="false" customHeight="false" outlineLevel="0" collapsed="false">
      <c r="A105" s="16" t="str">
        <f aca="false">AR_Aging!A105</f>
        <v>ARI60101</v>
      </c>
      <c r="B105" s="16" t="str">
        <f aca="false">AR_Aging!C105</f>
        <v>Jones Inc</v>
      </c>
      <c r="C105" s="18" t="n">
        <f aca="false">AR_Aging!F105</f>
        <v>1466.44</v>
      </c>
      <c r="D105" s="18" t="n">
        <f aca="false">AR_Aging!G105</f>
        <v>1466.44</v>
      </c>
      <c r="E105" s="18" t="n">
        <f aca="false">AR_Aging!H105</f>
        <v>0</v>
      </c>
      <c r="F105" s="16" t="n">
        <f aca="false">AR_Aging!I105</f>
        <v>0</v>
      </c>
      <c r="G105" s="16" t="str">
        <f aca="false">AR_Aging!K105</f>
        <v>Paid</v>
      </c>
      <c r="H105" s="16" t="str">
        <f aca="false">IF(AND(G105="Unpaid",F105&gt;90),"HIGH - Fully Overdue 90+ Days",IF(G105="Partially Paid","MEDIUM - Short Paid","OK"))</f>
        <v>OK</v>
      </c>
    </row>
    <row r="106" customFormat="false" ht="15" hidden="false" customHeight="false" outlineLevel="0" collapsed="false">
      <c r="A106" s="16" t="str">
        <f aca="false">AR_Aging!A106</f>
        <v>ARI60102</v>
      </c>
      <c r="B106" s="16" t="str">
        <f aca="false">AR_Aging!C106</f>
        <v>Jones Inc</v>
      </c>
      <c r="C106" s="18" t="n">
        <f aca="false">AR_Aging!F106</f>
        <v>2761.43</v>
      </c>
      <c r="D106" s="18" t="n">
        <f aca="false">AR_Aging!G106</f>
        <v>2761.43</v>
      </c>
      <c r="E106" s="18" t="n">
        <f aca="false">AR_Aging!H106</f>
        <v>0</v>
      </c>
      <c r="F106" s="16" t="n">
        <f aca="false">AR_Aging!I106</f>
        <v>0</v>
      </c>
      <c r="G106" s="16" t="str">
        <f aca="false">AR_Aging!K106</f>
        <v>Paid</v>
      </c>
      <c r="H106" s="16" t="str">
        <f aca="false">IF(AND(G106="Unpaid",F106&gt;90),"HIGH - Fully Overdue 90+ Days",IF(G106="Partially Paid","MEDIUM - Short Paid","OK"))</f>
        <v>OK</v>
      </c>
    </row>
    <row r="107" customFormat="false" ht="15" hidden="false" customHeight="false" outlineLevel="0" collapsed="false">
      <c r="A107" s="16" t="str">
        <f aca="false">AR_Aging!A107</f>
        <v>ARI60103</v>
      </c>
      <c r="B107" s="16" t="str">
        <f aca="false">AR_Aging!C107</f>
        <v>Washington, Ryan and Cummings</v>
      </c>
      <c r="C107" s="18" t="n">
        <f aca="false">AR_Aging!F107</f>
        <v>773.4</v>
      </c>
      <c r="D107" s="18" t="n">
        <f aca="false">AR_Aging!G107</f>
        <v>0</v>
      </c>
      <c r="E107" s="18" t="n">
        <f aca="false">AR_Aging!H107</f>
        <v>773.4</v>
      </c>
      <c r="F107" s="16" t="n">
        <f aca="false">AR_Aging!I107</f>
        <v>541</v>
      </c>
      <c r="G107" s="16" t="str">
        <f aca="false">AR_Aging!K107</f>
        <v>Unpaid</v>
      </c>
      <c r="H107" s="16" t="str">
        <f aca="false">IF(AND(G107="Unpaid",F107&gt;90),"HIGH - Fully Overdue 90+ Days",IF(G107="Partially Paid","MEDIUM - Short Paid","OK"))</f>
        <v>HIGH - Fully Overdue 90+ Days</v>
      </c>
    </row>
    <row r="108" customFormat="false" ht="15" hidden="false" customHeight="false" outlineLevel="0" collapsed="false">
      <c r="A108" s="16" t="str">
        <f aca="false">AR_Aging!A108</f>
        <v>ARI60104</v>
      </c>
      <c r="B108" s="16" t="str">
        <f aca="false">AR_Aging!C108</f>
        <v>Russell Group</v>
      </c>
      <c r="C108" s="18" t="n">
        <f aca="false">AR_Aging!F108</f>
        <v>4096.85</v>
      </c>
      <c r="D108" s="18" t="n">
        <f aca="false">AR_Aging!G108</f>
        <v>0</v>
      </c>
      <c r="E108" s="18" t="n">
        <f aca="false">AR_Aging!H108</f>
        <v>4096.85</v>
      </c>
      <c r="F108" s="16" t="n">
        <f aca="false">AR_Aging!I108</f>
        <v>378</v>
      </c>
      <c r="G108" s="16" t="str">
        <f aca="false">AR_Aging!K108</f>
        <v>Unpaid</v>
      </c>
      <c r="H108" s="16" t="str">
        <f aca="false">IF(AND(G108="Unpaid",F108&gt;90),"HIGH - Fully Overdue 90+ Days",IF(G108="Partially Paid","MEDIUM - Short Paid","OK"))</f>
        <v>HIGH - Fully Overdue 90+ Days</v>
      </c>
    </row>
    <row r="109" customFormat="false" ht="15" hidden="false" customHeight="false" outlineLevel="0" collapsed="false">
      <c r="A109" s="16" t="str">
        <f aca="false">AR_Aging!A109</f>
        <v>ARI60105</v>
      </c>
      <c r="B109" s="16" t="str">
        <f aca="false">AR_Aging!C109</f>
        <v>Henderson-Bernard</v>
      </c>
      <c r="C109" s="18" t="n">
        <f aca="false">AR_Aging!F109</f>
        <v>1991.17</v>
      </c>
      <c r="D109" s="18" t="n">
        <f aca="false">AR_Aging!G109</f>
        <v>1991.17</v>
      </c>
      <c r="E109" s="18" t="n">
        <f aca="false">AR_Aging!H109</f>
        <v>0</v>
      </c>
      <c r="F109" s="16" t="n">
        <f aca="false">AR_Aging!I109</f>
        <v>0</v>
      </c>
      <c r="G109" s="16" t="str">
        <f aca="false">AR_Aging!K109</f>
        <v>Paid</v>
      </c>
      <c r="H109" s="16" t="str">
        <f aca="false">IF(AND(G109="Unpaid",F109&gt;90),"HIGH - Fully Overdue 90+ Days",IF(G109="Partially Paid","MEDIUM - Short Paid","OK"))</f>
        <v>OK</v>
      </c>
    </row>
    <row r="110" customFormat="false" ht="15" hidden="false" customHeight="false" outlineLevel="0" collapsed="false">
      <c r="A110" s="16" t="str">
        <f aca="false">AR_Aging!A110</f>
        <v>ARI60106</v>
      </c>
      <c r="B110" s="16" t="str">
        <f aca="false">AR_Aging!C110</f>
        <v>Novak PLC</v>
      </c>
      <c r="C110" s="18" t="n">
        <f aca="false">AR_Aging!F110</f>
        <v>7900.96</v>
      </c>
      <c r="D110" s="18" t="n">
        <f aca="false">AR_Aging!G110</f>
        <v>7900.96</v>
      </c>
      <c r="E110" s="18" t="n">
        <f aca="false">AR_Aging!H110</f>
        <v>0</v>
      </c>
      <c r="F110" s="16" t="n">
        <f aca="false">AR_Aging!I110</f>
        <v>0</v>
      </c>
      <c r="G110" s="16" t="str">
        <f aca="false">AR_Aging!K110</f>
        <v>Paid</v>
      </c>
      <c r="H110" s="16" t="str">
        <f aca="false">IF(AND(G110="Unpaid",F110&gt;90),"HIGH - Fully Overdue 90+ Days",IF(G110="Partially Paid","MEDIUM - Short Paid","OK"))</f>
        <v>OK</v>
      </c>
    </row>
    <row r="111" customFormat="false" ht="15" hidden="false" customHeight="false" outlineLevel="0" collapsed="false">
      <c r="A111" s="16" t="str">
        <f aca="false">AR_Aging!A111</f>
        <v>ARI60107</v>
      </c>
      <c r="B111" s="16" t="str">
        <f aca="false">AR_Aging!C111</f>
        <v>Lee-Davis</v>
      </c>
      <c r="C111" s="18" t="n">
        <f aca="false">AR_Aging!F111</f>
        <v>3604.05</v>
      </c>
      <c r="D111" s="18" t="n">
        <f aca="false">AR_Aging!G111</f>
        <v>2385.35</v>
      </c>
      <c r="E111" s="18" t="n">
        <f aca="false">AR_Aging!H111</f>
        <v>1218.7</v>
      </c>
      <c r="F111" s="16" t="n">
        <f aca="false">AR_Aging!I111</f>
        <v>311</v>
      </c>
      <c r="G111" s="16" t="str">
        <f aca="false">AR_Aging!K111</f>
        <v>Partially Paid</v>
      </c>
      <c r="H111" s="16" t="str">
        <f aca="false">IF(AND(G111="Unpaid",F111&gt;90),"HIGH - Fully Overdue 90+ Days",IF(G111="Partially Paid","MEDIUM - Short Paid","OK"))</f>
        <v>MEDIUM - Short Paid</v>
      </c>
    </row>
    <row r="112" customFormat="false" ht="15" hidden="false" customHeight="false" outlineLevel="0" collapsed="false">
      <c r="A112" s="16" t="str">
        <f aca="false">AR_Aging!A112</f>
        <v>ARI60108</v>
      </c>
      <c r="B112" s="16" t="str">
        <f aca="false">AR_Aging!C112</f>
        <v>Novak and Sons</v>
      </c>
      <c r="C112" s="18" t="n">
        <f aca="false">AR_Aging!F112</f>
        <v>14838.59</v>
      </c>
      <c r="D112" s="18" t="n">
        <f aca="false">AR_Aging!G112</f>
        <v>14838.59</v>
      </c>
      <c r="E112" s="18" t="n">
        <f aca="false">AR_Aging!H112</f>
        <v>0</v>
      </c>
      <c r="F112" s="16" t="n">
        <f aca="false">AR_Aging!I112</f>
        <v>0</v>
      </c>
      <c r="G112" s="16" t="str">
        <f aca="false">AR_Aging!K112</f>
        <v>Paid</v>
      </c>
      <c r="H112" s="16" t="str">
        <f aca="false">IF(AND(G112="Unpaid",F112&gt;90),"HIGH - Fully Overdue 90+ Days",IF(G112="Partially Paid","MEDIUM - Short Paid","OK"))</f>
        <v>OK</v>
      </c>
    </row>
    <row r="113" customFormat="false" ht="15" hidden="false" customHeight="false" outlineLevel="0" collapsed="false">
      <c r="A113" s="16" t="str">
        <f aca="false">AR_Aging!A113</f>
        <v>ARI60109</v>
      </c>
      <c r="B113" s="16" t="str">
        <f aca="false">AR_Aging!C113</f>
        <v>Stanley, Tucker and Lee</v>
      </c>
      <c r="C113" s="18" t="n">
        <f aca="false">AR_Aging!F113</f>
        <v>615.89</v>
      </c>
      <c r="D113" s="18" t="n">
        <f aca="false">AR_Aging!G113</f>
        <v>615.89</v>
      </c>
      <c r="E113" s="18" t="n">
        <f aca="false">AR_Aging!H113</f>
        <v>0</v>
      </c>
      <c r="F113" s="16" t="n">
        <f aca="false">AR_Aging!I113</f>
        <v>0</v>
      </c>
      <c r="G113" s="16" t="str">
        <f aca="false">AR_Aging!K113</f>
        <v>Paid</v>
      </c>
      <c r="H113" s="16" t="str">
        <f aca="false">IF(AND(G113="Unpaid",F113&gt;90),"HIGH - Fully Overdue 90+ Days",IF(G113="Partially Paid","MEDIUM - Short Paid","OK"))</f>
        <v>OK</v>
      </c>
    </row>
    <row r="114" customFormat="false" ht="15" hidden="false" customHeight="false" outlineLevel="0" collapsed="false">
      <c r="A114" s="16" t="str">
        <f aca="false">AR_Aging!A114</f>
        <v>ARI60110</v>
      </c>
      <c r="B114" s="16" t="str">
        <f aca="false">AR_Aging!C114</f>
        <v>Wright Inc</v>
      </c>
      <c r="C114" s="18" t="n">
        <f aca="false">AR_Aging!F114</f>
        <v>614.16</v>
      </c>
      <c r="D114" s="18" t="n">
        <f aca="false">AR_Aging!G114</f>
        <v>614.16</v>
      </c>
      <c r="E114" s="18" t="n">
        <f aca="false">AR_Aging!H114</f>
        <v>0</v>
      </c>
      <c r="F114" s="16" t="n">
        <f aca="false">AR_Aging!I114</f>
        <v>0</v>
      </c>
      <c r="G114" s="16" t="str">
        <f aca="false">AR_Aging!K114</f>
        <v>Paid</v>
      </c>
      <c r="H114" s="16" t="str">
        <f aca="false">IF(AND(G114="Unpaid",F114&gt;90),"HIGH - Fully Overdue 90+ Days",IF(G114="Partially Paid","MEDIUM - Short Paid","OK"))</f>
        <v>OK</v>
      </c>
    </row>
    <row r="115" customFormat="false" ht="15" hidden="false" customHeight="false" outlineLevel="0" collapsed="false">
      <c r="A115" s="16" t="str">
        <f aca="false">AR_Aging!A115</f>
        <v>ARI60111</v>
      </c>
      <c r="B115" s="16" t="str">
        <f aca="false">AR_Aging!C115</f>
        <v>West, Henderson and Ramirez</v>
      </c>
      <c r="C115" s="18" t="n">
        <f aca="false">AR_Aging!F115</f>
        <v>3085.97</v>
      </c>
      <c r="D115" s="18" t="n">
        <f aca="false">AR_Aging!G115</f>
        <v>3085.97</v>
      </c>
      <c r="E115" s="18" t="n">
        <f aca="false">AR_Aging!H115</f>
        <v>0</v>
      </c>
      <c r="F115" s="16" t="n">
        <f aca="false">AR_Aging!I115</f>
        <v>0</v>
      </c>
      <c r="G115" s="16" t="str">
        <f aca="false">AR_Aging!K115</f>
        <v>Paid</v>
      </c>
      <c r="H115" s="16" t="str">
        <f aca="false">IF(AND(G115="Unpaid",F115&gt;90),"HIGH - Fully Overdue 90+ Days",IF(G115="Partially Paid","MEDIUM - Short Paid","OK"))</f>
        <v>OK</v>
      </c>
    </row>
    <row r="116" customFormat="false" ht="15" hidden="false" customHeight="false" outlineLevel="0" collapsed="false">
      <c r="A116" s="16" t="str">
        <f aca="false">AR_Aging!A116</f>
        <v>ARI60112</v>
      </c>
      <c r="B116" s="16" t="str">
        <f aca="false">AR_Aging!C116</f>
        <v>Wright and Sons</v>
      </c>
      <c r="C116" s="18" t="n">
        <f aca="false">AR_Aging!F116</f>
        <v>1494.36</v>
      </c>
      <c r="D116" s="18" t="n">
        <f aca="false">AR_Aging!G116</f>
        <v>1494.36</v>
      </c>
      <c r="E116" s="18" t="n">
        <f aca="false">AR_Aging!H116</f>
        <v>0</v>
      </c>
      <c r="F116" s="16" t="n">
        <f aca="false">AR_Aging!I116</f>
        <v>0</v>
      </c>
      <c r="G116" s="16" t="str">
        <f aca="false">AR_Aging!K116</f>
        <v>Paid</v>
      </c>
      <c r="H116" s="16" t="str">
        <f aca="false">IF(AND(G116="Unpaid",F116&gt;90),"HIGH - Fully Overdue 90+ Days",IF(G116="Partially Paid","MEDIUM - Short Paid","OK"))</f>
        <v>OK</v>
      </c>
    </row>
    <row r="117" customFormat="false" ht="15" hidden="false" customHeight="false" outlineLevel="0" collapsed="false">
      <c r="A117" s="16" t="str">
        <f aca="false">AR_Aging!A117</f>
        <v>ARI60113</v>
      </c>
      <c r="B117" s="16" t="str">
        <f aca="false">AR_Aging!C117</f>
        <v>Stanley, Tucker and Lee</v>
      </c>
      <c r="C117" s="18" t="n">
        <f aca="false">AR_Aging!F117</f>
        <v>3555.91</v>
      </c>
      <c r="D117" s="18" t="n">
        <f aca="false">AR_Aging!G117</f>
        <v>3555.91</v>
      </c>
      <c r="E117" s="18" t="n">
        <f aca="false">AR_Aging!H117</f>
        <v>0</v>
      </c>
      <c r="F117" s="16" t="n">
        <f aca="false">AR_Aging!I117</f>
        <v>0</v>
      </c>
      <c r="G117" s="16" t="str">
        <f aca="false">AR_Aging!K117</f>
        <v>Paid</v>
      </c>
      <c r="H117" s="16" t="str">
        <f aca="false">IF(AND(G117="Unpaid",F117&gt;90),"HIGH - Fully Overdue 90+ Days",IF(G117="Partially Paid","MEDIUM - Short Paid","OK"))</f>
        <v>OK</v>
      </c>
    </row>
    <row r="118" customFormat="false" ht="15" hidden="false" customHeight="false" outlineLevel="0" collapsed="false">
      <c r="A118" s="16" t="str">
        <f aca="false">AR_Aging!A118</f>
        <v>ARI60114</v>
      </c>
      <c r="B118" s="16" t="str">
        <f aca="false">AR_Aging!C118</f>
        <v>Smith-Spencer</v>
      </c>
      <c r="C118" s="18" t="n">
        <f aca="false">AR_Aging!F118</f>
        <v>3592.42</v>
      </c>
      <c r="D118" s="18" t="n">
        <f aca="false">AR_Aging!G118</f>
        <v>3592.42</v>
      </c>
      <c r="E118" s="18" t="n">
        <f aca="false">AR_Aging!H118</f>
        <v>0</v>
      </c>
      <c r="F118" s="16" t="n">
        <f aca="false">AR_Aging!I118</f>
        <v>0</v>
      </c>
      <c r="G118" s="16" t="str">
        <f aca="false">AR_Aging!K118</f>
        <v>Paid</v>
      </c>
      <c r="H118" s="16" t="str">
        <f aca="false">IF(AND(G118="Unpaid",F118&gt;90),"HIGH - Fully Overdue 90+ Days",IF(G118="Partially Paid","MEDIUM - Short Paid","OK"))</f>
        <v>OK</v>
      </c>
    </row>
    <row r="119" customFormat="false" ht="15" hidden="false" customHeight="false" outlineLevel="0" collapsed="false">
      <c r="A119" s="16" t="str">
        <f aca="false">AR_Aging!A119</f>
        <v>ARI60115</v>
      </c>
      <c r="B119" s="16" t="str">
        <f aca="false">AR_Aging!C119</f>
        <v>Powell LLC</v>
      </c>
      <c r="C119" s="18" t="n">
        <f aca="false">AR_Aging!F119</f>
        <v>389.2</v>
      </c>
      <c r="D119" s="18" t="n">
        <f aca="false">AR_Aging!G119</f>
        <v>389.2</v>
      </c>
      <c r="E119" s="18" t="n">
        <f aca="false">AR_Aging!H119</f>
        <v>0</v>
      </c>
      <c r="F119" s="16" t="n">
        <f aca="false">AR_Aging!I119</f>
        <v>0</v>
      </c>
      <c r="G119" s="16" t="str">
        <f aca="false">AR_Aging!K119</f>
        <v>Paid</v>
      </c>
      <c r="H119" s="16" t="str">
        <f aca="false">IF(AND(G119="Unpaid",F119&gt;90),"HIGH - Fully Overdue 90+ Days",IF(G119="Partially Paid","MEDIUM - Short Paid","OK"))</f>
        <v>OK</v>
      </c>
    </row>
    <row r="120" customFormat="false" ht="15" hidden="false" customHeight="false" outlineLevel="0" collapsed="false">
      <c r="A120" s="16" t="str">
        <f aca="false">AR_Aging!A120</f>
        <v>ARI60116</v>
      </c>
      <c r="B120" s="16" t="str">
        <f aca="false">AR_Aging!C120</f>
        <v>Powell LLC</v>
      </c>
      <c r="C120" s="18" t="n">
        <f aca="false">AR_Aging!F120</f>
        <v>394.94</v>
      </c>
      <c r="D120" s="18" t="n">
        <f aca="false">AR_Aging!G120</f>
        <v>394.94</v>
      </c>
      <c r="E120" s="18" t="n">
        <f aca="false">AR_Aging!H120</f>
        <v>0</v>
      </c>
      <c r="F120" s="16" t="n">
        <f aca="false">AR_Aging!I120</f>
        <v>0</v>
      </c>
      <c r="G120" s="16" t="str">
        <f aca="false">AR_Aging!K120</f>
        <v>Paid</v>
      </c>
      <c r="H120" s="16" t="str">
        <f aca="false">IF(AND(G120="Unpaid",F120&gt;90),"HIGH - Fully Overdue 90+ Days",IF(G120="Partially Paid","MEDIUM - Short Paid","OK"))</f>
        <v>OK</v>
      </c>
    </row>
    <row r="121" customFormat="false" ht="15" hidden="false" customHeight="false" outlineLevel="0" collapsed="false">
      <c r="A121" s="16" t="str">
        <f aca="false">AR_Aging!A121</f>
        <v>ARI60117</v>
      </c>
      <c r="B121" s="16" t="str">
        <f aca="false">AR_Aging!C121</f>
        <v>Jones-Young</v>
      </c>
      <c r="C121" s="18" t="n">
        <f aca="false">AR_Aging!F121</f>
        <v>3529.53</v>
      </c>
      <c r="D121" s="18" t="n">
        <f aca="false">AR_Aging!G121</f>
        <v>3529.53</v>
      </c>
      <c r="E121" s="18" t="n">
        <f aca="false">AR_Aging!H121</f>
        <v>0</v>
      </c>
      <c r="F121" s="16" t="n">
        <f aca="false">AR_Aging!I121</f>
        <v>0</v>
      </c>
      <c r="G121" s="16" t="str">
        <f aca="false">AR_Aging!K121</f>
        <v>Paid</v>
      </c>
      <c r="H121" s="16" t="str">
        <f aca="false">IF(AND(G121="Unpaid",F121&gt;90),"HIGH - Fully Overdue 90+ Days",IF(G121="Partially Paid","MEDIUM - Short Paid","OK"))</f>
        <v>OK</v>
      </c>
    </row>
    <row r="122" customFormat="false" ht="15" hidden="false" customHeight="false" outlineLevel="0" collapsed="false">
      <c r="A122" s="16" t="str">
        <f aca="false">AR_Aging!A122</f>
        <v>ARI60118</v>
      </c>
      <c r="B122" s="16" t="str">
        <f aca="false">AR_Aging!C122</f>
        <v>Stanley, Tucker and Lee</v>
      </c>
      <c r="C122" s="18" t="n">
        <f aca="false">AR_Aging!F122</f>
        <v>1344.49</v>
      </c>
      <c r="D122" s="18" t="n">
        <f aca="false">AR_Aging!G122</f>
        <v>1344.49</v>
      </c>
      <c r="E122" s="18" t="n">
        <f aca="false">AR_Aging!H122</f>
        <v>0</v>
      </c>
      <c r="F122" s="16" t="n">
        <f aca="false">AR_Aging!I122</f>
        <v>0</v>
      </c>
      <c r="G122" s="16" t="str">
        <f aca="false">AR_Aging!K122</f>
        <v>Paid</v>
      </c>
      <c r="H122" s="16" t="str">
        <f aca="false">IF(AND(G122="Unpaid",F122&gt;90),"HIGH - Fully Overdue 90+ Days",IF(G122="Partially Paid","MEDIUM - Short Paid","OK"))</f>
        <v>OK</v>
      </c>
    </row>
    <row r="123" customFormat="false" ht="15" hidden="false" customHeight="false" outlineLevel="0" collapsed="false">
      <c r="A123" s="16" t="str">
        <f aca="false">AR_Aging!A123</f>
        <v>ARI60119</v>
      </c>
      <c r="B123" s="16" t="str">
        <f aca="false">AR_Aging!C123</f>
        <v>Wright and Sons</v>
      </c>
      <c r="C123" s="18" t="n">
        <f aca="false">AR_Aging!F123</f>
        <v>7154.52</v>
      </c>
      <c r="D123" s="18" t="n">
        <f aca="false">AR_Aging!G123</f>
        <v>7154.52</v>
      </c>
      <c r="E123" s="18" t="n">
        <f aca="false">AR_Aging!H123</f>
        <v>0</v>
      </c>
      <c r="F123" s="16" t="n">
        <f aca="false">AR_Aging!I123</f>
        <v>0</v>
      </c>
      <c r="G123" s="16" t="str">
        <f aca="false">AR_Aging!K123</f>
        <v>Paid</v>
      </c>
      <c r="H123" s="16" t="str">
        <f aca="false">IF(AND(G123="Unpaid",F123&gt;90),"HIGH - Fully Overdue 90+ Days",IF(G123="Partially Paid","MEDIUM - Short Paid","OK"))</f>
        <v>OK</v>
      </c>
    </row>
    <row r="124" customFormat="false" ht="15" hidden="false" customHeight="false" outlineLevel="0" collapsed="false">
      <c r="A124" s="16" t="str">
        <f aca="false">AR_Aging!A124</f>
        <v>ARI60120</v>
      </c>
      <c r="B124" s="16" t="str">
        <f aca="false">AR_Aging!C124</f>
        <v>Daniels, Adkins and Brown</v>
      </c>
      <c r="C124" s="18" t="n">
        <f aca="false">AR_Aging!F124</f>
        <v>2756.04</v>
      </c>
      <c r="D124" s="18" t="n">
        <f aca="false">AR_Aging!G124</f>
        <v>2756.04</v>
      </c>
      <c r="E124" s="18" t="n">
        <f aca="false">AR_Aging!H124</f>
        <v>0</v>
      </c>
      <c r="F124" s="16" t="n">
        <f aca="false">AR_Aging!I124</f>
        <v>0</v>
      </c>
      <c r="G124" s="16" t="str">
        <f aca="false">AR_Aging!K124</f>
        <v>Paid</v>
      </c>
      <c r="H124" s="16" t="str">
        <f aca="false">IF(AND(G124="Unpaid",F124&gt;90),"HIGH - Fully Overdue 90+ Days",IF(G124="Partially Paid","MEDIUM - Short Paid","OK"))</f>
        <v>OK</v>
      </c>
    </row>
    <row r="125" customFormat="false" ht="15" hidden="false" customHeight="false" outlineLevel="0" collapsed="false">
      <c r="A125" s="16" t="str">
        <f aca="false">AR_Aging!A125</f>
        <v>ARI60121</v>
      </c>
      <c r="B125" s="16" t="str">
        <f aca="false">AR_Aging!C125</f>
        <v>Morton-Chase</v>
      </c>
      <c r="C125" s="18" t="n">
        <f aca="false">AR_Aging!F125</f>
        <v>1425.44</v>
      </c>
      <c r="D125" s="18" t="n">
        <f aca="false">AR_Aging!G125</f>
        <v>0</v>
      </c>
      <c r="E125" s="18" t="n">
        <f aca="false">AR_Aging!H125</f>
        <v>1425.44</v>
      </c>
      <c r="F125" s="16" t="n">
        <f aca="false">AR_Aging!I125</f>
        <v>270</v>
      </c>
      <c r="G125" s="16" t="str">
        <f aca="false">AR_Aging!K125</f>
        <v>Unpaid</v>
      </c>
      <c r="H125" s="16" t="str">
        <f aca="false">IF(AND(G125="Unpaid",F125&gt;90),"HIGH - Fully Overdue 90+ Days",IF(G125="Partially Paid","MEDIUM - Short Paid","OK"))</f>
        <v>HIGH - Fully Overdue 90+ Days</v>
      </c>
    </row>
    <row r="126" customFormat="false" ht="15" hidden="false" customHeight="false" outlineLevel="0" collapsed="false">
      <c r="A126" s="16" t="str">
        <f aca="false">AR_Aging!A126</f>
        <v>ARI60122</v>
      </c>
      <c r="B126" s="16" t="str">
        <f aca="false">AR_Aging!C126</f>
        <v>Baxter Inc</v>
      </c>
      <c r="C126" s="18" t="n">
        <f aca="false">AR_Aging!F126</f>
        <v>14970.09</v>
      </c>
      <c r="D126" s="18" t="n">
        <f aca="false">AR_Aging!G126</f>
        <v>14970.09</v>
      </c>
      <c r="E126" s="18" t="n">
        <f aca="false">AR_Aging!H126</f>
        <v>0</v>
      </c>
      <c r="F126" s="16" t="n">
        <f aca="false">AR_Aging!I126</f>
        <v>0</v>
      </c>
      <c r="G126" s="16" t="str">
        <f aca="false">AR_Aging!K126</f>
        <v>Paid</v>
      </c>
      <c r="H126" s="16" t="str">
        <f aca="false">IF(AND(G126="Unpaid",F126&gt;90),"HIGH - Fully Overdue 90+ Days",IF(G126="Partially Paid","MEDIUM - Short Paid","OK"))</f>
        <v>OK</v>
      </c>
    </row>
    <row r="127" customFormat="false" ht="15" hidden="false" customHeight="false" outlineLevel="0" collapsed="false">
      <c r="A127" s="16" t="str">
        <f aca="false">AR_Aging!A127</f>
        <v>ARI60123</v>
      </c>
      <c r="B127" s="16" t="str">
        <f aca="false">AR_Aging!C127</f>
        <v>Jones-Young</v>
      </c>
      <c r="C127" s="18" t="n">
        <f aca="false">AR_Aging!F127</f>
        <v>384.06</v>
      </c>
      <c r="D127" s="18" t="n">
        <f aca="false">AR_Aging!G127</f>
        <v>384.06</v>
      </c>
      <c r="E127" s="18" t="n">
        <f aca="false">AR_Aging!H127</f>
        <v>0</v>
      </c>
      <c r="F127" s="16" t="n">
        <f aca="false">AR_Aging!I127</f>
        <v>0</v>
      </c>
      <c r="G127" s="16" t="str">
        <f aca="false">AR_Aging!K127</f>
        <v>Paid</v>
      </c>
      <c r="H127" s="16" t="str">
        <f aca="false">IF(AND(G127="Unpaid",F127&gt;90),"HIGH - Fully Overdue 90+ Days",IF(G127="Partially Paid","MEDIUM - Short Paid","OK"))</f>
        <v>OK</v>
      </c>
    </row>
    <row r="128" customFormat="false" ht="15" hidden="false" customHeight="false" outlineLevel="0" collapsed="false">
      <c r="A128" s="16" t="str">
        <f aca="false">AR_Aging!A128</f>
        <v>ARI60124</v>
      </c>
      <c r="B128" s="16" t="str">
        <f aca="false">AR_Aging!C128</f>
        <v>Novak PLC</v>
      </c>
      <c r="C128" s="18" t="n">
        <f aca="false">AR_Aging!F128</f>
        <v>1780.11</v>
      </c>
      <c r="D128" s="18" t="n">
        <f aca="false">AR_Aging!G128</f>
        <v>1780.11</v>
      </c>
      <c r="E128" s="18" t="n">
        <f aca="false">AR_Aging!H128</f>
        <v>0</v>
      </c>
      <c r="F128" s="16" t="n">
        <f aca="false">AR_Aging!I128</f>
        <v>0</v>
      </c>
      <c r="G128" s="16" t="str">
        <f aca="false">AR_Aging!K128</f>
        <v>Paid</v>
      </c>
      <c r="H128" s="16" t="str">
        <f aca="false">IF(AND(G128="Unpaid",F128&gt;90),"HIGH - Fully Overdue 90+ Days",IF(G128="Partially Paid","MEDIUM - Short Paid","OK"))</f>
        <v>OK</v>
      </c>
    </row>
    <row r="129" customFormat="false" ht="15" hidden="false" customHeight="false" outlineLevel="0" collapsed="false">
      <c r="A129" s="16" t="str">
        <f aca="false">AR_Aging!A129</f>
        <v>ARI60125</v>
      </c>
      <c r="B129" s="16" t="str">
        <f aca="false">AR_Aging!C129</f>
        <v>Powell LLC</v>
      </c>
      <c r="C129" s="18" t="n">
        <f aca="false">AR_Aging!F129</f>
        <v>1695.79</v>
      </c>
      <c r="D129" s="18" t="n">
        <f aca="false">AR_Aging!G129</f>
        <v>1695.79</v>
      </c>
      <c r="E129" s="18" t="n">
        <f aca="false">AR_Aging!H129</f>
        <v>0</v>
      </c>
      <c r="F129" s="16" t="n">
        <f aca="false">AR_Aging!I129</f>
        <v>0</v>
      </c>
      <c r="G129" s="16" t="str">
        <f aca="false">AR_Aging!K129</f>
        <v>Paid</v>
      </c>
      <c r="H129" s="16" t="str">
        <f aca="false">IF(AND(G129="Unpaid",F129&gt;90),"HIGH - Fully Overdue 90+ Days",IF(G129="Partially Paid","MEDIUM - Short Paid","OK"))</f>
        <v>OK</v>
      </c>
    </row>
    <row r="130" customFormat="false" ht="15" hidden="false" customHeight="false" outlineLevel="0" collapsed="false">
      <c r="A130" s="16" t="str">
        <f aca="false">AR_Aging!A130</f>
        <v>ARI60126</v>
      </c>
      <c r="B130" s="16" t="str">
        <f aca="false">AR_Aging!C130</f>
        <v>Hensley, Powell and David</v>
      </c>
      <c r="C130" s="18" t="n">
        <f aca="false">AR_Aging!F130</f>
        <v>2702</v>
      </c>
      <c r="D130" s="18" t="n">
        <f aca="false">AR_Aging!G130</f>
        <v>2702</v>
      </c>
      <c r="E130" s="18" t="n">
        <f aca="false">AR_Aging!H130</f>
        <v>0</v>
      </c>
      <c r="F130" s="16" t="n">
        <f aca="false">AR_Aging!I130</f>
        <v>0</v>
      </c>
      <c r="G130" s="16" t="str">
        <f aca="false">AR_Aging!K130</f>
        <v>Paid</v>
      </c>
      <c r="H130" s="16" t="str">
        <f aca="false">IF(AND(G130="Unpaid",F130&gt;90),"HIGH - Fully Overdue 90+ Days",IF(G130="Partially Paid","MEDIUM - Short Paid","OK"))</f>
        <v>OK</v>
      </c>
    </row>
    <row r="131" customFormat="false" ht="15" hidden="false" customHeight="false" outlineLevel="0" collapsed="false">
      <c r="A131" s="16" t="str">
        <f aca="false">AR_Aging!A131</f>
        <v>ARI60127</v>
      </c>
      <c r="B131" s="16" t="str">
        <f aca="false">AR_Aging!C131</f>
        <v>Washington, Ryan and Cummings</v>
      </c>
      <c r="C131" s="18" t="n">
        <f aca="false">AR_Aging!F131</f>
        <v>6868.48</v>
      </c>
      <c r="D131" s="18" t="n">
        <f aca="false">AR_Aging!G131</f>
        <v>6868.48</v>
      </c>
      <c r="E131" s="18" t="n">
        <f aca="false">AR_Aging!H131</f>
        <v>0</v>
      </c>
      <c r="F131" s="16" t="n">
        <f aca="false">AR_Aging!I131</f>
        <v>0</v>
      </c>
      <c r="G131" s="16" t="str">
        <f aca="false">AR_Aging!K131</f>
        <v>Paid</v>
      </c>
      <c r="H131" s="16" t="str">
        <f aca="false">IF(AND(G131="Unpaid",F131&gt;90),"HIGH - Fully Overdue 90+ Days",IF(G131="Partially Paid","MEDIUM - Short Paid","OK"))</f>
        <v>OK</v>
      </c>
    </row>
    <row r="132" customFormat="false" ht="15" hidden="false" customHeight="false" outlineLevel="0" collapsed="false">
      <c r="A132" s="16" t="str">
        <f aca="false">AR_Aging!A132</f>
        <v>ARI60128</v>
      </c>
      <c r="B132" s="16" t="str">
        <f aca="false">AR_Aging!C132</f>
        <v>Powell LLC</v>
      </c>
      <c r="C132" s="18" t="n">
        <f aca="false">AR_Aging!F132</f>
        <v>6006.81</v>
      </c>
      <c r="D132" s="18" t="n">
        <f aca="false">AR_Aging!G132</f>
        <v>6006.81</v>
      </c>
      <c r="E132" s="18" t="n">
        <f aca="false">AR_Aging!H132</f>
        <v>0</v>
      </c>
      <c r="F132" s="16" t="n">
        <f aca="false">AR_Aging!I132</f>
        <v>0</v>
      </c>
      <c r="G132" s="16" t="str">
        <f aca="false">AR_Aging!K132</f>
        <v>Paid</v>
      </c>
      <c r="H132" s="16" t="str">
        <f aca="false">IF(AND(G132="Unpaid",F132&gt;90),"HIGH - Fully Overdue 90+ Days",IF(G132="Partially Paid","MEDIUM - Short Paid","OK"))</f>
        <v>OK</v>
      </c>
    </row>
    <row r="133" customFormat="false" ht="15" hidden="false" customHeight="false" outlineLevel="0" collapsed="false">
      <c r="A133" s="16" t="str">
        <f aca="false">AR_Aging!A133</f>
        <v>ARI60129</v>
      </c>
      <c r="B133" s="16" t="str">
        <f aca="false">AR_Aging!C133</f>
        <v>Wright and Sons</v>
      </c>
      <c r="C133" s="18" t="n">
        <f aca="false">AR_Aging!F133</f>
        <v>1048.47</v>
      </c>
      <c r="D133" s="18" t="n">
        <f aca="false">AR_Aging!G133</f>
        <v>1048.47</v>
      </c>
      <c r="E133" s="18" t="n">
        <f aca="false">AR_Aging!H133</f>
        <v>0</v>
      </c>
      <c r="F133" s="16" t="n">
        <f aca="false">AR_Aging!I133</f>
        <v>0</v>
      </c>
      <c r="G133" s="16" t="str">
        <f aca="false">AR_Aging!K133</f>
        <v>Paid</v>
      </c>
      <c r="H133" s="16" t="str">
        <f aca="false">IF(AND(G133="Unpaid",F133&gt;90),"HIGH - Fully Overdue 90+ Days",IF(G133="Partially Paid","MEDIUM - Short Paid","OK"))</f>
        <v>OK</v>
      </c>
    </row>
    <row r="134" customFormat="false" ht="15" hidden="false" customHeight="false" outlineLevel="0" collapsed="false">
      <c r="A134" s="16" t="str">
        <f aca="false">AR_Aging!A134</f>
        <v>ARI60130</v>
      </c>
      <c r="B134" s="16" t="str">
        <f aca="false">AR_Aging!C134</f>
        <v>Novak and Sons</v>
      </c>
      <c r="C134" s="18" t="n">
        <f aca="false">AR_Aging!F134</f>
        <v>4969.45</v>
      </c>
      <c r="D134" s="18" t="n">
        <f aca="false">AR_Aging!G134</f>
        <v>0</v>
      </c>
      <c r="E134" s="18" t="n">
        <f aca="false">AR_Aging!H134</f>
        <v>4969.45</v>
      </c>
      <c r="F134" s="16" t="n">
        <f aca="false">AR_Aging!I134</f>
        <v>408</v>
      </c>
      <c r="G134" s="16" t="str">
        <f aca="false">AR_Aging!K134</f>
        <v>Unpaid</v>
      </c>
      <c r="H134" s="16" t="str">
        <f aca="false">IF(AND(G134="Unpaid",F134&gt;90),"HIGH - Fully Overdue 90+ Days",IF(G134="Partially Paid","MEDIUM - Short Paid","OK"))</f>
        <v>HIGH - Fully Overdue 90+ Days</v>
      </c>
    </row>
    <row r="135" customFormat="false" ht="15" hidden="false" customHeight="false" outlineLevel="0" collapsed="false">
      <c r="A135" s="16" t="str">
        <f aca="false">AR_Aging!A135</f>
        <v>ARI60131</v>
      </c>
      <c r="B135" s="16" t="str">
        <f aca="false">AR_Aging!C135</f>
        <v>Novak and Sons</v>
      </c>
      <c r="C135" s="18" t="n">
        <f aca="false">AR_Aging!F135</f>
        <v>11087.34</v>
      </c>
      <c r="D135" s="18" t="n">
        <f aca="false">AR_Aging!G135</f>
        <v>7020.69</v>
      </c>
      <c r="E135" s="18" t="n">
        <f aca="false">AR_Aging!H135</f>
        <v>4066.65</v>
      </c>
      <c r="F135" s="16" t="n">
        <f aca="false">AR_Aging!I135</f>
        <v>353</v>
      </c>
      <c r="G135" s="16" t="str">
        <f aca="false">AR_Aging!K135</f>
        <v>Partially Paid</v>
      </c>
      <c r="H135" s="16" t="str">
        <f aca="false">IF(AND(G135="Unpaid",F135&gt;90),"HIGH - Fully Overdue 90+ Days",IF(G135="Partially Paid","MEDIUM - Short Paid","OK"))</f>
        <v>MEDIUM - Short Paid</v>
      </c>
    </row>
    <row r="136" customFormat="false" ht="15" hidden="false" customHeight="false" outlineLevel="0" collapsed="false">
      <c r="A136" s="16" t="str">
        <f aca="false">AR_Aging!A136</f>
        <v>ARI60132</v>
      </c>
      <c r="B136" s="16" t="str">
        <f aca="false">AR_Aging!C136</f>
        <v>Jones-Young</v>
      </c>
      <c r="C136" s="18" t="n">
        <f aca="false">AR_Aging!F136</f>
        <v>1027.67</v>
      </c>
      <c r="D136" s="18" t="n">
        <f aca="false">AR_Aging!G136</f>
        <v>1027.67</v>
      </c>
      <c r="E136" s="18" t="n">
        <f aca="false">AR_Aging!H136</f>
        <v>0</v>
      </c>
      <c r="F136" s="16" t="n">
        <f aca="false">AR_Aging!I136</f>
        <v>0</v>
      </c>
      <c r="G136" s="16" t="str">
        <f aca="false">AR_Aging!K136</f>
        <v>Paid</v>
      </c>
      <c r="H136" s="16" t="str">
        <f aca="false">IF(AND(G136="Unpaid",F136&gt;90),"HIGH - Fully Overdue 90+ Days",IF(G136="Partially Paid","MEDIUM - Short Paid","OK"))</f>
        <v>OK</v>
      </c>
    </row>
    <row r="137" customFormat="false" ht="15" hidden="false" customHeight="false" outlineLevel="0" collapsed="false">
      <c r="A137" s="16" t="str">
        <f aca="false">AR_Aging!A137</f>
        <v>ARI60133</v>
      </c>
      <c r="B137" s="16" t="str">
        <f aca="false">AR_Aging!C137</f>
        <v>Williams PLC</v>
      </c>
      <c r="C137" s="18" t="n">
        <f aca="false">AR_Aging!F137</f>
        <v>1672.41</v>
      </c>
      <c r="D137" s="18" t="n">
        <f aca="false">AR_Aging!G137</f>
        <v>0</v>
      </c>
      <c r="E137" s="18" t="n">
        <f aca="false">AR_Aging!H137</f>
        <v>1672.41</v>
      </c>
      <c r="F137" s="16" t="n">
        <f aca="false">AR_Aging!I137</f>
        <v>20</v>
      </c>
      <c r="G137" s="16" t="str">
        <f aca="false">AR_Aging!K137</f>
        <v>Unpaid</v>
      </c>
      <c r="H137" s="16" t="str">
        <f aca="false">IF(AND(G137="Unpaid",F137&gt;90),"HIGH - Fully Overdue 90+ Days",IF(G137="Partially Paid","MEDIUM - Short Paid","OK"))</f>
        <v>OK</v>
      </c>
    </row>
    <row r="138" customFormat="false" ht="15" hidden="false" customHeight="false" outlineLevel="0" collapsed="false">
      <c r="A138" s="16" t="str">
        <f aca="false">AR_Aging!A138</f>
        <v>ARI60134</v>
      </c>
      <c r="B138" s="16" t="str">
        <f aca="false">AR_Aging!C138</f>
        <v>Woods, Calhoun and Schmidt</v>
      </c>
      <c r="C138" s="18" t="n">
        <f aca="false">AR_Aging!F138</f>
        <v>2028.73</v>
      </c>
      <c r="D138" s="18" t="n">
        <f aca="false">AR_Aging!G138</f>
        <v>1215.61</v>
      </c>
      <c r="E138" s="18" t="n">
        <f aca="false">AR_Aging!H138</f>
        <v>813.12</v>
      </c>
      <c r="F138" s="16" t="n">
        <f aca="false">AR_Aging!I138</f>
        <v>71</v>
      </c>
      <c r="G138" s="16" t="str">
        <f aca="false">AR_Aging!K138</f>
        <v>Partially Paid</v>
      </c>
      <c r="H138" s="16" t="str">
        <f aca="false">IF(AND(G138="Unpaid",F138&gt;90),"HIGH - Fully Overdue 90+ Days",IF(G138="Partially Paid","MEDIUM - Short Paid","OK"))</f>
        <v>MEDIUM - Short Paid</v>
      </c>
    </row>
    <row r="139" customFormat="false" ht="15" hidden="false" customHeight="false" outlineLevel="0" collapsed="false">
      <c r="A139" s="16" t="str">
        <f aca="false">AR_Aging!A139</f>
        <v>ARI60135</v>
      </c>
      <c r="B139" s="16" t="str">
        <f aca="false">AR_Aging!C139</f>
        <v>Wright and Sons</v>
      </c>
      <c r="C139" s="18" t="n">
        <f aca="false">AR_Aging!F139</f>
        <v>6379.66</v>
      </c>
      <c r="D139" s="18" t="n">
        <f aca="false">AR_Aging!G139</f>
        <v>6379.66</v>
      </c>
      <c r="E139" s="18" t="n">
        <f aca="false">AR_Aging!H139</f>
        <v>0</v>
      </c>
      <c r="F139" s="16" t="n">
        <f aca="false">AR_Aging!I139</f>
        <v>0</v>
      </c>
      <c r="G139" s="16" t="str">
        <f aca="false">AR_Aging!K139</f>
        <v>Paid</v>
      </c>
      <c r="H139" s="16" t="str">
        <f aca="false">IF(AND(G139="Unpaid",F139&gt;90),"HIGH - Fully Overdue 90+ Days",IF(G139="Partially Paid","MEDIUM - Short Paid","OK"))</f>
        <v>OK</v>
      </c>
    </row>
    <row r="140" customFormat="false" ht="15" hidden="false" customHeight="false" outlineLevel="0" collapsed="false">
      <c r="A140" s="16" t="str">
        <f aca="false">AR_Aging!A140</f>
        <v>ARI60136</v>
      </c>
      <c r="B140" s="16" t="str">
        <f aca="false">AR_Aging!C140</f>
        <v>Stanley, Tucker and Lee</v>
      </c>
      <c r="C140" s="18" t="n">
        <f aca="false">AR_Aging!F140</f>
        <v>2883.05</v>
      </c>
      <c r="D140" s="18" t="n">
        <f aca="false">AR_Aging!G140</f>
        <v>2883.05</v>
      </c>
      <c r="E140" s="18" t="n">
        <f aca="false">AR_Aging!H140</f>
        <v>0</v>
      </c>
      <c r="F140" s="16" t="n">
        <f aca="false">AR_Aging!I140</f>
        <v>0</v>
      </c>
      <c r="G140" s="16" t="str">
        <f aca="false">AR_Aging!K140</f>
        <v>Paid</v>
      </c>
      <c r="H140" s="16" t="str">
        <f aca="false">IF(AND(G140="Unpaid",F140&gt;90),"HIGH - Fully Overdue 90+ Days",IF(G140="Partially Paid","MEDIUM - Short Paid","OK"))</f>
        <v>OK</v>
      </c>
    </row>
    <row r="141" customFormat="false" ht="15" hidden="false" customHeight="false" outlineLevel="0" collapsed="false">
      <c r="A141" s="16" t="str">
        <f aca="false">AR_Aging!A141</f>
        <v>ARI60137</v>
      </c>
      <c r="B141" s="16" t="str">
        <f aca="false">AR_Aging!C141</f>
        <v>Lee-Davis</v>
      </c>
      <c r="C141" s="18" t="n">
        <f aca="false">AR_Aging!F141</f>
        <v>880.8</v>
      </c>
      <c r="D141" s="18" t="n">
        <f aca="false">AR_Aging!G141</f>
        <v>880.8</v>
      </c>
      <c r="E141" s="18" t="n">
        <f aca="false">AR_Aging!H141</f>
        <v>0</v>
      </c>
      <c r="F141" s="16" t="n">
        <f aca="false">AR_Aging!I141</f>
        <v>0</v>
      </c>
      <c r="G141" s="16" t="str">
        <f aca="false">AR_Aging!K141</f>
        <v>Paid</v>
      </c>
      <c r="H141" s="16" t="str">
        <f aca="false">IF(AND(G141="Unpaid",F141&gt;90),"HIGH - Fully Overdue 90+ Days",IF(G141="Partially Paid","MEDIUM - Short Paid","OK"))</f>
        <v>OK</v>
      </c>
    </row>
    <row r="142" customFormat="false" ht="15" hidden="false" customHeight="false" outlineLevel="0" collapsed="false">
      <c r="A142" s="16" t="str">
        <f aca="false">AR_Aging!A142</f>
        <v>ARI60138</v>
      </c>
      <c r="B142" s="16" t="str">
        <f aca="false">AR_Aging!C142</f>
        <v>Smith-Spencer</v>
      </c>
      <c r="C142" s="18" t="n">
        <f aca="false">AR_Aging!F142</f>
        <v>2834.41</v>
      </c>
      <c r="D142" s="18" t="n">
        <f aca="false">AR_Aging!G142</f>
        <v>2834.41</v>
      </c>
      <c r="E142" s="18" t="n">
        <f aca="false">AR_Aging!H142</f>
        <v>0</v>
      </c>
      <c r="F142" s="16" t="n">
        <f aca="false">AR_Aging!I142</f>
        <v>0</v>
      </c>
      <c r="G142" s="16" t="str">
        <f aca="false">AR_Aging!K142</f>
        <v>Paid</v>
      </c>
      <c r="H142" s="16" t="str">
        <f aca="false">IF(AND(G142="Unpaid",F142&gt;90),"HIGH - Fully Overdue 90+ Days",IF(G142="Partially Paid","MEDIUM - Short Paid","OK"))</f>
        <v>OK</v>
      </c>
    </row>
    <row r="143" customFormat="false" ht="15" hidden="false" customHeight="false" outlineLevel="0" collapsed="false">
      <c r="A143" s="16" t="str">
        <f aca="false">AR_Aging!A143</f>
        <v>ARI60139</v>
      </c>
      <c r="B143" s="16" t="str">
        <f aca="false">AR_Aging!C143</f>
        <v>Novak PLC</v>
      </c>
      <c r="C143" s="18" t="n">
        <f aca="false">AR_Aging!F143</f>
        <v>3358.61</v>
      </c>
      <c r="D143" s="18" t="n">
        <f aca="false">AR_Aging!G143</f>
        <v>0</v>
      </c>
      <c r="E143" s="18" t="n">
        <f aca="false">AR_Aging!H143</f>
        <v>3358.61</v>
      </c>
      <c r="F143" s="16" t="n">
        <f aca="false">AR_Aging!I143</f>
        <v>40</v>
      </c>
      <c r="G143" s="16" t="str">
        <f aca="false">AR_Aging!K143</f>
        <v>Unpaid</v>
      </c>
      <c r="H143" s="16" t="str">
        <f aca="false">IF(AND(G143="Unpaid",F143&gt;90),"HIGH - Fully Overdue 90+ Days",IF(G143="Partially Paid","MEDIUM - Short Paid","OK"))</f>
        <v>OK</v>
      </c>
    </row>
    <row r="144" customFormat="false" ht="15" hidden="false" customHeight="false" outlineLevel="0" collapsed="false">
      <c r="A144" s="16" t="str">
        <f aca="false">AR_Aging!A144</f>
        <v>ARI60140</v>
      </c>
      <c r="B144" s="16" t="str">
        <f aca="false">AR_Aging!C144</f>
        <v>House-Glover</v>
      </c>
      <c r="C144" s="18" t="n">
        <f aca="false">AR_Aging!F144</f>
        <v>2962.83</v>
      </c>
      <c r="D144" s="18" t="n">
        <f aca="false">AR_Aging!G144</f>
        <v>2962.83</v>
      </c>
      <c r="E144" s="18" t="n">
        <f aca="false">AR_Aging!H144</f>
        <v>0</v>
      </c>
      <c r="F144" s="16" t="n">
        <f aca="false">AR_Aging!I144</f>
        <v>0</v>
      </c>
      <c r="G144" s="16" t="str">
        <f aca="false">AR_Aging!K144</f>
        <v>Paid</v>
      </c>
      <c r="H144" s="16" t="str">
        <f aca="false">IF(AND(G144="Unpaid",F144&gt;90),"HIGH - Fully Overdue 90+ Days",IF(G144="Partially Paid","MEDIUM - Short Paid","OK"))</f>
        <v>OK</v>
      </c>
    </row>
    <row r="145" customFormat="false" ht="15" hidden="false" customHeight="false" outlineLevel="0" collapsed="false">
      <c r="A145" s="16" t="str">
        <f aca="false">AR_Aging!A145</f>
        <v>ARI60141</v>
      </c>
      <c r="B145" s="16" t="str">
        <f aca="false">AR_Aging!C145</f>
        <v>Morton-Chase</v>
      </c>
      <c r="C145" s="18" t="n">
        <f aca="false">AR_Aging!F145</f>
        <v>1642.39</v>
      </c>
      <c r="D145" s="18" t="n">
        <f aca="false">AR_Aging!G145</f>
        <v>1642.39</v>
      </c>
      <c r="E145" s="18" t="n">
        <f aca="false">AR_Aging!H145</f>
        <v>0</v>
      </c>
      <c r="F145" s="16" t="n">
        <f aca="false">AR_Aging!I145</f>
        <v>0</v>
      </c>
      <c r="G145" s="16" t="str">
        <f aca="false">AR_Aging!K145</f>
        <v>Paid</v>
      </c>
      <c r="H145" s="16" t="str">
        <f aca="false">IF(AND(G145="Unpaid",F145&gt;90),"HIGH - Fully Overdue 90+ Days",IF(G145="Partially Paid","MEDIUM - Short Paid","OK"))</f>
        <v>OK</v>
      </c>
    </row>
    <row r="146" customFormat="false" ht="15" hidden="false" customHeight="false" outlineLevel="0" collapsed="false">
      <c r="A146" s="16" t="str">
        <f aca="false">AR_Aging!A146</f>
        <v>ARI60142</v>
      </c>
      <c r="B146" s="16" t="str">
        <f aca="false">AR_Aging!C146</f>
        <v>Henderson-Bernard</v>
      </c>
      <c r="C146" s="18" t="n">
        <f aca="false">AR_Aging!F146</f>
        <v>1076.31</v>
      </c>
      <c r="D146" s="18" t="n">
        <f aca="false">AR_Aging!G146</f>
        <v>1076.31</v>
      </c>
      <c r="E146" s="18" t="n">
        <f aca="false">AR_Aging!H146</f>
        <v>0</v>
      </c>
      <c r="F146" s="16" t="n">
        <f aca="false">AR_Aging!I146</f>
        <v>0</v>
      </c>
      <c r="G146" s="16" t="str">
        <f aca="false">AR_Aging!K146</f>
        <v>Paid</v>
      </c>
      <c r="H146" s="16" t="str">
        <f aca="false">IF(AND(G146="Unpaid",F146&gt;90),"HIGH - Fully Overdue 90+ Days",IF(G146="Partially Paid","MEDIUM - Short Paid","OK"))</f>
        <v>OK</v>
      </c>
    </row>
    <row r="147" customFormat="false" ht="15" hidden="false" customHeight="false" outlineLevel="0" collapsed="false">
      <c r="A147" s="16" t="str">
        <f aca="false">AR_Aging!A147</f>
        <v>ARI60143</v>
      </c>
      <c r="B147" s="16" t="str">
        <f aca="false">AR_Aging!C147</f>
        <v>Lee-Davis</v>
      </c>
      <c r="C147" s="18" t="n">
        <f aca="false">AR_Aging!F147</f>
        <v>1464.84</v>
      </c>
      <c r="D147" s="18" t="n">
        <f aca="false">AR_Aging!G147</f>
        <v>764.94</v>
      </c>
      <c r="E147" s="18" t="n">
        <f aca="false">AR_Aging!H147</f>
        <v>699.9</v>
      </c>
      <c r="F147" s="16" t="n">
        <f aca="false">AR_Aging!I147</f>
        <v>53</v>
      </c>
      <c r="G147" s="16" t="str">
        <f aca="false">AR_Aging!K147</f>
        <v>Partially Paid</v>
      </c>
      <c r="H147" s="16" t="str">
        <f aca="false">IF(AND(G147="Unpaid",F147&gt;90),"HIGH - Fully Overdue 90+ Days",IF(G147="Partially Paid","MEDIUM - Short Paid","OK"))</f>
        <v>MEDIUM - Short Paid</v>
      </c>
    </row>
    <row r="148" customFormat="false" ht="15" hidden="false" customHeight="false" outlineLevel="0" collapsed="false">
      <c r="A148" s="16" t="str">
        <f aca="false">AR_Aging!A148</f>
        <v>ARI60144</v>
      </c>
      <c r="B148" s="16" t="str">
        <f aca="false">AR_Aging!C148</f>
        <v>Hancock Inc</v>
      </c>
      <c r="C148" s="18" t="n">
        <f aca="false">AR_Aging!F148</f>
        <v>9454.9</v>
      </c>
      <c r="D148" s="18" t="n">
        <f aca="false">AR_Aging!G148</f>
        <v>9454.9</v>
      </c>
      <c r="E148" s="18" t="n">
        <f aca="false">AR_Aging!H148</f>
        <v>0</v>
      </c>
      <c r="F148" s="16" t="n">
        <f aca="false">AR_Aging!I148</f>
        <v>0</v>
      </c>
      <c r="G148" s="16" t="str">
        <f aca="false">AR_Aging!K148</f>
        <v>Paid</v>
      </c>
      <c r="H148" s="16" t="str">
        <f aca="false">IF(AND(G148="Unpaid",F148&gt;90),"HIGH - Fully Overdue 90+ Days",IF(G148="Partially Paid","MEDIUM - Short Paid","OK"))</f>
        <v>OK</v>
      </c>
    </row>
    <row r="149" customFormat="false" ht="15" hidden="false" customHeight="false" outlineLevel="0" collapsed="false">
      <c r="A149" s="16" t="str">
        <f aca="false">AR_Aging!A149</f>
        <v>ARI60145</v>
      </c>
      <c r="B149" s="16" t="str">
        <f aca="false">AR_Aging!C149</f>
        <v>Johnston, Sanchez and Kennedy</v>
      </c>
      <c r="C149" s="18" t="n">
        <f aca="false">AR_Aging!F149</f>
        <v>2303.51</v>
      </c>
      <c r="D149" s="18" t="n">
        <f aca="false">AR_Aging!G149</f>
        <v>2303.51</v>
      </c>
      <c r="E149" s="18" t="n">
        <f aca="false">AR_Aging!H149</f>
        <v>0</v>
      </c>
      <c r="F149" s="16" t="n">
        <f aca="false">AR_Aging!I149</f>
        <v>0</v>
      </c>
      <c r="G149" s="16" t="str">
        <f aca="false">AR_Aging!K149</f>
        <v>Paid</v>
      </c>
      <c r="H149" s="16" t="str">
        <f aca="false">IF(AND(G149="Unpaid",F149&gt;90),"HIGH - Fully Overdue 90+ Days",IF(G149="Partially Paid","MEDIUM - Short Paid","OK"))</f>
        <v>OK</v>
      </c>
    </row>
    <row r="150" customFormat="false" ht="15" hidden="false" customHeight="false" outlineLevel="0" collapsed="false">
      <c r="A150" s="16" t="str">
        <f aca="false">AR_Aging!A150</f>
        <v>ARI60146</v>
      </c>
      <c r="B150" s="16" t="str">
        <f aca="false">AR_Aging!C150</f>
        <v>Williams PLC</v>
      </c>
      <c r="C150" s="18" t="n">
        <f aca="false">AR_Aging!F150</f>
        <v>10490.23</v>
      </c>
      <c r="D150" s="18" t="n">
        <f aca="false">AR_Aging!G150</f>
        <v>0</v>
      </c>
      <c r="E150" s="18" t="n">
        <f aca="false">AR_Aging!H150</f>
        <v>10490.23</v>
      </c>
      <c r="F150" s="16" t="n">
        <f aca="false">AR_Aging!I150</f>
        <v>398</v>
      </c>
      <c r="G150" s="16" t="str">
        <f aca="false">AR_Aging!K150</f>
        <v>Unpaid</v>
      </c>
      <c r="H150" s="16" t="str">
        <f aca="false">IF(AND(G150="Unpaid",F150&gt;90),"HIGH - Fully Overdue 90+ Days",IF(G150="Partially Paid","MEDIUM - Short Paid","OK"))</f>
        <v>HIGH - Fully Overdue 90+ Days</v>
      </c>
    </row>
    <row r="151" customFormat="false" ht="15" hidden="false" customHeight="false" outlineLevel="0" collapsed="false">
      <c r="A151" s="16" t="str">
        <f aca="false">AR_Aging!A151</f>
        <v>ARI60147</v>
      </c>
      <c r="B151" s="16" t="str">
        <f aca="false">AR_Aging!C151</f>
        <v>Stanley, Tucker and Lee</v>
      </c>
      <c r="C151" s="18" t="n">
        <f aca="false">AR_Aging!F151</f>
        <v>6140.98</v>
      </c>
      <c r="D151" s="18" t="n">
        <f aca="false">AR_Aging!G151</f>
        <v>4815.88</v>
      </c>
      <c r="E151" s="18" t="n">
        <f aca="false">AR_Aging!H151</f>
        <v>1325.1</v>
      </c>
      <c r="F151" s="16" t="n">
        <f aca="false">AR_Aging!I151</f>
        <v>23</v>
      </c>
      <c r="G151" s="16" t="str">
        <f aca="false">AR_Aging!K151</f>
        <v>Partially Paid</v>
      </c>
      <c r="H151" s="16" t="str">
        <f aca="false">IF(AND(G151="Unpaid",F151&gt;90),"HIGH - Fully Overdue 90+ Days",IF(G151="Partially Paid","MEDIUM - Short Paid","OK"))</f>
        <v>MEDIUM - Short Paid</v>
      </c>
    </row>
    <row r="152" customFormat="false" ht="15" hidden="false" customHeight="false" outlineLevel="0" collapsed="false">
      <c r="A152" s="16" t="str">
        <f aca="false">AR_Aging!A152</f>
        <v>ARI60148</v>
      </c>
      <c r="B152" s="16" t="str">
        <f aca="false">AR_Aging!C152</f>
        <v>West, Henderson and Ramirez</v>
      </c>
      <c r="C152" s="18" t="n">
        <f aca="false">AR_Aging!F152</f>
        <v>3313.51</v>
      </c>
      <c r="D152" s="18" t="n">
        <f aca="false">AR_Aging!G152</f>
        <v>2199.11</v>
      </c>
      <c r="E152" s="18" t="n">
        <f aca="false">AR_Aging!H152</f>
        <v>1114.4</v>
      </c>
      <c r="F152" s="16" t="n">
        <f aca="false">AR_Aging!I152</f>
        <v>436</v>
      </c>
      <c r="G152" s="16" t="str">
        <f aca="false">AR_Aging!K152</f>
        <v>Partially Paid</v>
      </c>
      <c r="H152" s="16" t="str">
        <f aca="false">IF(AND(G152="Unpaid",F152&gt;90),"HIGH - Fully Overdue 90+ Days",IF(G152="Partially Paid","MEDIUM - Short Paid","OK"))</f>
        <v>MEDIUM - Short Paid</v>
      </c>
    </row>
    <row r="153" customFormat="false" ht="15" hidden="false" customHeight="false" outlineLevel="0" collapsed="false">
      <c r="A153" s="16" t="str">
        <f aca="false">AR_Aging!A153</f>
        <v>ARI60149</v>
      </c>
      <c r="B153" s="16" t="str">
        <f aca="false">AR_Aging!C153</f>
        <v>Baxter Inc</v>
      </c>
      <c r="C153" s="18" t="n">
        <f aca="false">AR_Aging!F153</f>
        <v>691.61</v>
      </c>
      <c r="D153" s="18" t="n">
        <f aca="false">AR_Aging!G153</f>
        <v>691.61</v>
      </c>
      <c r="E153" s="18" t="n">
        <f aca="false">AR_Aging!H153</f>
        <v>0</v>
      </c>
      <c r="F153" s="16" t="n">
        <f aca="false">AR_Aging!I153</f>
        <v>0</v>
      </c>
      <c r="G153" s="16" t="str">
        <f aca="false">AR_Aging!K153</f>
        <v>Paid</v>
      </c>
      <c r="H153" s="16" t="str">
        <f aca="false">IF(AND(G153="Unpaid",F153&gt;90),"HIGH - Fully Overdue 90+ Days",IF(G153="Partially Paid","MEDIUM - Short Paid","OK"))</f>
        <v>OK</v>
      </c>
    </row>
    <row r="154" customFormat="false" ht="15" hidden="false" customHeight="false" outlineLevel="0" collapsed="false">
      <c r="A154" s="16" t="str">
        <f aca="false">AR_Aging!A154</f>
        <v>ARI60150</v>
      </c>
      <c r="B154" s="16" t="str">
        <f aca="false">AR_Aging!C154</f>
        <v>Hensley, Powell and David</v>
      </c>
      <c r="C154" s="18" t="n">
        <f aca="false">AR_Aging!F154</f>
        <v>3158.11</v>
      </c>
      <c r="D154" s="18" t="n">
        <f aca="false">AR_Aging!G154</f>
        <v>3158.11</v>
      </c>
      <c r="E154" s="18" t="n">
        <f aca="false">AR_Aging!H154</f>
        <v>0</v>
      </c>
      <c r="F154" s="16" t="n">
        <f aca="false">AR_Aging!I154</f>
        <v>0</v>
      </c>
      <c r="G154" s="16" t="str">
        <f aca="false">AR_Aging!K154</f>
        <v>Paid</v>
      </c>
      <c r="H154" s="16" t="str">
        <f aca="false">IF(AND(G154="Unpaid",F154&gt;90),"HIGH - Fully Overdue 90+ Days",IF(G154="Partially Paid","MEDIUM - Short Paid","OK"))</f>
        <v>OK</v>
      </c>
    </row>
    <row r="155" customFormat="false" ht="15" hidden="false" customHeight="false" outlineLevel="0" collapsed="false">
      <c r="A155" s="16" t="str">
        <f aca="false">AR_Aging!A155</f>
        <v>ARI60151</v>
      </c>
      <c r="B155" s="16" t="str">
        <f aca="false">AR_Aging!C155</f>
        <v>Sanchez, Wheeler and Harvey</v>
      </c>
      <c r="C155" s="18" t="n">
        <f aca="false">AR_Aging!F155</f>
        <v>5637.18</v>
      </c>
      <c r="D155" s="18" t="n">
        <f aca="false">AR_Aging!G155</f>
        <v>5637.18</v>
      </c>
      <c r="E155" s="18" t="n">
        <f aca="false">AR_Aging!H155</f>
        <v>0</v>
      </c>
      <c r="F155" s="16" t="n">
        <f aca="false">AR_Aging!I155</f>
        <v>0</v>
      </c>
      <c r="G155" s="16" t="str">
        <f aca="false">AR_Aging!K155</f>
        <v>Paid</v>
      </c>
      <c r="H155" s="16" t="str">
        <f aca="false">IF(AND(G155="Unpaid",F155&gt;90),"HIGH - Fully Overdue 90+ Days",IF(G155="Partially Paid","MEDIUM - Short Paid","OK"))</f>
        <v>OK</v>
      </c>
    </row>
    <row r="156" customFormat="false" ht="15" hidden="false" customHeight="false" outlineLevel="0" collapsed="false">
      <c r="A156" s="16" t="str">
        <f aca="false">AR_Aging!A156</f>
        <v>ARI60152</v>
      </c>
      <c r="B156" s="16" t="str">
        <f aca="false">AR_Aging!C156</f>
        <v>Baxter Inc</v>
      </c>
      <c r="C156" s="18" t="n">
        <f aca="false">AR_Aging!F156</f>
        <v>12200.28</v>
      </c>
      <c r="D156" s="18" t="n">
        <f aca="false">AR_Aging!G156</f>
        <v>12200.28</v>
      </c>
      <c r="E156" s="18" t="n">
        <f aca="false">AR_Aging!H156</f>
        <v>0</v>
      </c>
      <c r="F156" s="16" t="n">
        <f aca="false">AR_Aging!I156</f>
        <v>0</v>
      </c>
      <c r="G156" s="16" t="str">
        <f aca="false">AR_Aging!K156</f>
        <v>Paid</v>
      </c>
      <c r="H156" s="16" t="str">
        <f aca="false">IF(AND(G156="Unpaid",F156&gt;90),"HIGH - Fully Overdue 90+ Days",IF(G156="Partially Paid","MEDIUM - Short Paid","OK"))</f>
        <v>OK</v>
      </c>
    </row>
    <row r="157" customFormat="false" ht="15" hidden="false" customHeight="false" outlineLevel="0" collapsed="false">
      <c r="A157" s="16" t="str">
        <f aca="false">AR_Aging!A157</f>
        <v>ARI60153</v>
      </c>
      <c r="B157" s="16" t="str">
        <f aca="false">AR_Aging!C157</f>
        <v>Baxter Inc</v>
      </c>
      <c r="C157" s="18" t="n">
        <f aca="false">AR_Aging!F157</f>
        <v>7567.96</v>
      </c>
      <c r="D157" s="18" t="n">
        <f aca="false">AR_Aging!G157</f>
        <v>5646.73</v>
      </c>
      <c r="E157" s="18" t="n">
        <f aca="false">AR_Aging!H157</f>
        <v>1921.23</v>
      </c>
      <c r="F157" s="16" t="n">
        <f aca="false">AR_Aging!I157</f>
        <v>356</v>
      </c>
      <c r="G157" s="16" t="str">
        <f aca="false">AR_Aging!K157</f>
        <v>Partially Paid</v>
      </c>
      <c r="H157" s="16" t="str">
        <f aca="false">IF(AND(G157="Unpaid",F157&gt;90),"HIGH - Fully Overdue 90+ Days",IF(G157="Partially Paid","MEDIUM - Short Paid","OK"))</f>
        <v>MEDIUM - Short Paid</v>
      </c>
    </row>
    <row r="158" customFormat="false" ht="15" hidden="false" customHeight="false" outlineLevel="0" collapsed="false">
      <c r="A158" s="16" t="str">
        <f aca="false">AR_Aging!A158</f>
        <v>ARI60154</v>
      </c>
      <c r="B158" s="16" t="str">
        <f aca="false">AR_Aging!C158</f>
        <v>Gray Group</v>
      </c>
      <c r="C158" s="18" t="n">
        <f aca="false">AR_Aging!F158</f>
        <v>549.85</v>
      </c>
      <c r="D158" s="18" t="n">
        <f aca="false">AR_Aging!G158</f>
        <v>549.85</v>
      </c>
      <c r="E158" s="18" t="n">
        <f aca="false">AR_Aging!H158</f>
        <v>0</v>
      </c>
      <c r="F158" s="16" t="n">
        <f aca="false">AR_Aging!I158</f>
        <v>0</v>
      </c>
      <c r="G158" s="16" t="str">
        <f aca="false">AR_Aging!K158</f>
        <v>Paid</v>
      </c>
      <c r="H158" s="16" t="str">
        <f aca="false">IF(AND(G158="Unpaid",F158&gt;90),"HIGH - Fully Overdue 90+ Days",IF(G158="Partially Paid","MEDIUM - Short Paid","OK"))</f>
        <v>OK</v>
      </c>
    </row>
    <row r="159" customFormat="false" ht="15" hidden="false" customHeight="false" outlineLevel="0" collapsed="false">
      <c r="A159" s="16" t="str">
        <f aca="false">AR_Aging!A159</f>
        <v>ARI60155</v>
      </c>
      <c r="B159" s="16" t="str">
        <f aca="false">AR_Aging!C159</f>
        <v>Washington, Ryan and Cummings</v>
      </c>
      <c r="C159" s="18" t="n">
        <f aca="false">AR_Aging!F159</f>
        <v>4482.25</v>
      </c>
      <c r="D159" s="18" t="n">
        <f aca="false">AR_Aging!G159</f>
        <v>0</v>
      </c>
      <c r="E159" s="18" t="n">
        <f aca="false">AR_Aging!H159</f>
        <v>4482.25</v>
      </c>
      <c r="F159" s="16" t="n">
        <f aca="false">AR_Aging!I159</f>
        <v>532</v>
      </c>
      <c r="G159" s="16" t="str">
        <f aca="false">AR_Aging!K159</f>
        <v>Unpaid</v>
      </c>
      <c r="H159" s="16" t="str">
        <f aca="false">IF(AND(G159="Unpaid",F159&gt;90),"HIGH - Fully Overdue 90+ Days",IF(G159="Partially Paid","MEDIUM - Short Paid","OK"))</f>
        <v>HIGH - Fully Overdue 90+ Days</v>
      </c>
    </row>
    <row r="160" customFormat="false" ht="15" hidden="false" customHeight="false" outlineLevel="0" collapsed="false">
      <c r="A160" s="16" t="str">
        <f aca="false">AR_Aging!A160</f>
        <v>ARI60156</v>
      </c>
      <c r="B160" s="16" t="str">
        <f aca="false">AR_Aging!C160</f>
        <v>Daniels, Adkins and Brown</v>
      </c>
      <c r="C160" s="18" t="n">
        <f aca="false">AR_Aging!F160</f>
        <v>739.82</v>
      </c>
      <c r="D160" s="18" t="n">
        <f aca="false">AR_Aging!G160</f>
        <v>292.38</v>
      </c>
      <c r="E160" s="18" t="n">
        <f aca="false">AR_Aging!H160</f>
        <v>447.44</v>
      </c>
      <c r="F160" s="16" t="n">
        <f aca="false">AR_Aging!I160</f>
        <v>288</v>
      </c>
      <c r="G160" s="16" t="str">
        <f aca="false">AR_Aging!K160</f>
        <v>Partially Paid</v>
      </c>
      <c r="H160" s="16" t="str">
        <f aca="false">IF(AND(G160="Unpaid",F160&gt;90),"HIGH - Fully Overdue 90+ Days",IF(G160="Partially Paid","MEDIUM - Short Paid","OK"))</f>
        <v>MEDIUM - Short Paid</v>
      </c>
    </row>
    <row r="161" customFormat="false" ht="15" hidden="false" customHeight="false" outlineLevel="0" collapsed="false">
      <c r="A161" s="16" t="str">
        <f aca="false">AR_Aging!A161</f>
        <v>ARI60157</v>
      </c>
      <c r="B161" s="16" t="str">
        <f aca="false">AR_Aging!C161</f>
        <v>Sanchez, Wheeler and Harvey</v>
      </c>
      <c r="C161" s="18" t="n">
        <f aca="false">AR_Aging!F161</f>
        <v>2784.82</v>
      </c>
      <c r="D161" s="18" t="n">
        <f aca="false">AR_Aging!G161</f>
        <v>2784.82</v>
      </c>
      <c r="E161" s="18" t="n">
        <f aca="false">AR_Aging!H161</f>
        <v>0</v>
      </c>
      <c r="F161" s="16" t="n">
        <f aca="false">AR_Aging!I161</f>
        <v>0</v>
      </c>
      <c r="G161" s="16" t="str">
        <f aca="false">AR_Aging!K161</f>
        <v>Paid</v>
      </c>
      <c r="H161" s="16" t="str">
        <f aca="false">IF(AND(G161="Unpaid",F161&gt;90),"HIGH - Fully Overdue 90+ Days",IF(G161="Partially Paid","MEDIUM - Short Paid","OK"))</f>
        <v>OK</v>
      </c>
    </row>
    <row r="162" customFormat="false" ht="15" hidden="false" customHeight="false" outlineLevel="0" collapsed="false">
      <c r="A162" s="16" t="str">
        <f aca="false">AR_Aging!A162</f>
        <v>ARI60158</v>
      </c>
      <c r="B162" s="16" t="str">
        <f aca="false">AR_Aging!C162</f>
        <v>Stanley, Tucker and Lee</v>
      </c>
      <c r="C162" s="18" t="n">
        <f aca="false">AR_Aging!F162</f>
        <v>446.4</v>
      </c>
      <c r="D162" s="18" t="n">
        <f aca="false">AR_Aging!G162</f>
        <v>0</v>
      </c>
      <c r="E162" s="18" t="n">
        <f aca="false">AR_Aging!H162</f>
        <v>446.4</v>
      </c>
      <c r="F162" s="16" t="n">
        <f aca="false">AR_Aging!I162</f>
        <v>0</v>
      </c>
      <c r="G162" s="16" t="str">
        <f aca="false">AR_Aging!K162</f>
        <v>Unpaid</v>
      </c>
      <c r="H162" s="16" t="str">
        <f aca="false">IF(AND(G162="Unpaid",F162&gt;90),"HIGH - Fully Overdue 90+ Days",IF(G162="Partially Paid","MEDIUM - Short Paid","OK"))</f>
        <v>OK</v>
      </c>
    </row>
    <row r="163" customFormat="false" ht="15" hidden="false" customHeight="false" outlineLevel="0" collapsed="false">
      <c r="A163" s="16" t="str">
        <f aca="false">AR_Aging!A163</f>
        <v>ARI60159</v>
      </c>
      <c r="B163" s="16" t="str">
        <f aca="false">AR_Aging!C163</f>
        <v>Novak and Sons</v>
      </c>
      <c r="C163" s="18" t="n">
        <f aca="false">AR_Aging!F163</f>
        <v>2740.17</v>
      </c>
      <c r="D163" s="18" t="n">
        <f aca="false">AR_Aging!G163</f>
        <v>2740.17</v>
      </c>
      <c r="E163" s="18" t="n">
        <f aca="false">AR_Aging!H163</f>
        <v>0</v>
      </c>
      <c r="F163" s="16" t="n">
        <f aca="false">AR_Aging!I163</f>
        <v>0</v>
      </c>
      <c r="G163" s="16" t="str">
        <f aca="false">AR_Aging!K163</f>
        <v>Paid</v>
      </c>
      <c r="H163" s="16" t="str">
        <f aca="false">IF(AND(G163="Unpaid",F163&gt;90),"HIGH - Fully Overdue 90+ Days",IF(G163="Partially Paid","MEDIUM - Short Paid","OK"))</f>
        <v>OK</v>
      </c>
    </row>
    <row r="164" customFormat="false" ht="15" hidden="false" customHeight="false" outlineLevel="0" collapsed="false">
      <c r="A164" s="16" t="str">
        <f aca="false">AR_Aging!A164</f>
        <v>ARI60160</v>
      </c>
      <c r="B164" s="16" t="str">
        <f aca="false">AR_Aging!C164</f>
        <v>Sanchez, Wheeler and Harvey</v>
      </c>
      <c r="C164" s="18" t="n">
        <f aca="false">AR_Aging!F164</f>
        <v>1008.67</v>
      </c>
      <c r="D164" s="18" t="n">
        <f aca="false">AR_Aging!G164</f>
        <v>1008.67</v>
      </c>
      <c r="E164" s="18" t="n">
        <f aca="false">AR_Aging!H164</f>
        <v>0</v>
      </c>
      <c r="F164" s="16" t="n">
        <f aca="false">AR_Aging!I164</f>
        <v>0</v>
      </c>
      <c r="G164" s="16" t="str">
        <f aca="false">AR_Aging!K164</f>
        <v>Paid</v>
      </c>
      <c r="H164" s="16" t="str">
        <f aca="false">IF(AND(G164="Unpaid",F164&gt;90),"HIGH - Fully Overdue 90+ Days",IF(G164="Partially Paid","MEDIUM - Short Paid","OK"))</f>
        <v>OK</v>
      </c>
    </row>
    <row r="165" customFormat="false" ht="15" hidden="false" customHeight="false" outlineLevel="0" collapsed="false">
      <c r="A165" s="16" t="str">
        <f aca="false">AR_Aging!A165</f>
        <v>ARI60161</v>
      </c>
      <c r="B165" s="16" t="str">
        <f aca="false">AR_Aging!C165</f>
        <v>Hancock Inc</v>
      </c>
      <c r="C165" s="18" t="n">
        <f aca="false">AR_Aging!F165</f>
        <v>1252.91</v>
      </c>
      <c r="D165" s="18" t="n">
        <f aca="false">AR_Aging!G165</f>
        <v>0</v>
      </c>
      <c r="E165" s="18" t="n">
        <f aca="false">AR_Aging!H165</f>
        <v>1252.91</v>
      </c>
      <c r="F165" s="16" t="n">
        <f aca="false">AR_Aging!I165</f>
        <v>54</v>
      </c>
      <c r="G165" s="16" t="str">
        <f aca="false">AR_Aging!K165</f>
        <v>Unpaid</v>
      </c>
      <c r="H165" s="16" t="str">
        <f aca="false">IF(AND(G165="Unpaid",F165&gt;90),"HIGH - Fully Overdue 90+ Days",IF(G165="Partially Paid","MEDIUM - Short Paid","OK"))</f>
        <v>OK</v>
      </c>
    </row>
    <row r="166" customFormat="false" ht="15" hidden="false" customHeight="false" outlineLevel="0" collapsed="false">
      <c r="A166" s="16" t="str">
        <f aca="false">AR_Aging!A166</f>
        <v>ARI60162</v>
      </c>
      <c r="B166" s="16" t="str">
        <f aca="false">AR_Aging!C166</f>
        <v>West, Henderson and Ramirez</v>
      </c>
      <c r="C166" s="18" t="n">
        <f aca="false">AR_Aging!F166</f>
        <v>581.09</v>
      </c>
      <c r="D166" s="18" t="n">
        <f aca="false">AR_Aging!G166</f>
        <v>581.09</v>
      </c>
      <c r="E166" s="18" t="n">
        <f aca="false">AR_Aging!H166</f>
        <v>0</v>
      </c>
      <c r="F166" s="16" t="n">
        <f aca="false">AR_Aging!I166</f>
        <v>0</v>
      </c>
      <c r="G166" s="16" t="str">
        <f aca="false">AR_Aging!K166</f>
        <v>Paid</v>
      </c>
      <c r="H166" s="16" t="str">
        <f aca="false">IF(AND(G166="Unpaid",F166&gt;90),"HIGH - Fully Overdue 90+ Days",IF(G166="Partially Paid","MEDIUM - Short Paid","OK"))</f>
        <v>OK</v>
      </c>
    </row>
    <row r="167" customFormat="false" ht="15" hidden="false" customHeight="false" outlineLevel="0" collapsed="false">
      <c r="A167" s="16" t="str">
        <f aca="false">AR_Aging!A167</f>
        <v>ARI60163</v>
      </c>
      <c r="B167" s="16" t="str">
        <f aca="false">AR_Aging!C167</f>
        <v>Novak and Sons</v>
      </c>
      <c r="C167" s="18" t="n">
        <f aca="false">AR_Aging!F167</f>
        <v>5364.47</v>
      </c>
      <c r="D167" s="18" t="n">
        <f aca="false">AR_Aging!G167</f>
        <v>5364.47</v>
      </c>
      <c r="E167" s="18" t="n">
        <f aca="false">AR_Aging!H167</f>
        <v>0</v>
      </c>
      <c r="F167" s="16" t="n">
        <f aca="false">AR_Aging!I167</f>
        <v>0</v>
      </c>
      <c r="G167" s="16" t="str">
        <f aca="false">AR_Aging!K167</f>
        <v>Paid</v>
      </c>
      <c r="H167" s="16" t="str">
        <f aca="false">IF(AND(G167="Unpaid",F167&gt;90),"HIGH - Fully Overdue 90+ Days",IF(G167="Partially Paid","MEDIUM - Short Paid","OK"))</f>
        <v>OK</v>
      </c>
    </row>
    <row r="168" customFormat="false" ht="15" hidden="false" customHeight="false" outlineLevel="0" collapsed="false">
      <c r="A168" s="16" t="str">
        <f aca="false">AR_Aging!A168</f>
        <v>ARI60164</v>
      </c>
      <c r="B168" s="16" t="str">
        <f aca="false">AR_Aging!C168</f>
        <v>Robinson, Jones and Welch</v>
      </c>
      <c r="C168" s="18" t="n">
        <f aca="false">AR_Aging!F168</f>
        <v>2482.23</v>
      </c>
      <c r="D168" s="18" t="n">
        <f aca="false">AR_Aging!G168</f>
        <v>2482.23</v>
      </c>
      <c r="E168" s="18" t="n">
        <f aca="false">AR_Aging!H168</f>
        <v>0</v>
      </c>
      <c r="F168" s="16" t="n">
        <f aca="false">AR_Aging!I168</f>
        <v>0</v>
      </c>
      <c r="G168" s="16" t="str">
        <f aca="false">AR_Aging!K168</f>
        <v>Paid</v>
      </c>
      <c r="H168" s="16" t="str">
        <f aca="false">IF(AND(G168="Unpaid",F168&gt;90),"HIGH - Fully Overdue 90+ Days",IF(G168="Partially Paid","MEDIUM - Short Paid","OK"))</f>
        <v>OK</v>
      </c>
    </row>
    <row r="169" customFormat="false" ht="15" hidden="false" customHeight="false" outlineLevel="0" collapsed="false">
      <c r="A169" s="16" t="str">
        <f aca="false">AR_Aging!A169</f>
        <v>ARI60165</v>
      </c>
      <c r="B169" s="16" t="str">
        <f aca="false">AR_Aging!C169</f>
        <v>Wright Inc</v>
      </c>
      <c r="C169" s="18" t="n">
        <f aca="false">AR_Aging!F169</f>
        <v>10479.09</v>
      </c>
      <c r="D169" s="18" t="n">
        <f aca="false">AR_Aging!G169</f>
        <v>3834.26</v>
      </c>
      <c r="E169" s="18" t="n">
        <f aca="false">AR_Aging!H169</f>
        <v>6644.83</v>
      </c>
      <c r="F169" s="16" t="n">
        <f aca="false">AR_Aging!I169</f>
        <v>457</v>
      </c>
      <c r="G169" s="16" t="str">
        <f aca="false">AR_Aging!K169</f>
        <v>Partially Paid</v>
      </c>
      <c r="H169" s="16" t="str">
        <f aca="false">IF(AND(G169="Unpaid",F169&gt;90),"HIGH - Fully Overdue 90+ Days",IF(G169="Partially Paid","MEDIUM - Short Paid","OK"))</f>
        <v>MEDIUM - Short Paid</v>
      </c>
    </row>
    <row r="170" customFormat="false" ht="15" hidden="false" customHeight="false" outlineLevel="0" collapsed="false">
      <c r="A170" s="16" t="str">
        <f aca="false">AR_Aging!A170</f>
        <v>ARI60166</v>
      </c>
      <c r="B170" s="16" t="str">
        <f aca="false">AR_Aging!C170</f>
        <v>Johnston, Sanchez and Kennedy</v>
      </c>
      <c r="C170" s="18" t="n">
        <f aca="false">AR_Aging!F170</f>
        <v>1447.89</v>
      </c>
      <c r="D170" s="18" t="n">
        <f aca="false">AR_Aging!G170</f>
        <v>1447.89</v>
      </c>
      <c r="E170" s="18" t="n">
        <f aca="false">AR_Aging!H170</f>
        <v>0</v>
      </c>
      <c r="F170" s="16" t="n">
        <f aca="false">AR_Aging!I170</f>
        <v>0</v>
      </c>
      <c r="G170" s="16" t="str">
        <f aca="false">AR_Aging!K170</f>
        <v>Paid</v>
      </c>
      <c r="H170" s="16" t="str">
        <f aca="false">IF(AND(G170="Unpaid",F170&gt;90),"HIGH - Fully Overdue 90+ Days",IF(G170="Partially Paid","MEDIUM - Short Paid","OK"))</f>
        <v>OK</v>
      </c>
    </row>
    <row r="171" customFormat="false" ht="15" hidden="false" customHeight="false" outlineLevel="0" collapsed="false">
      <c r="A171" s="16" t="str">
        <f aca="false">AR_Aging!A171</f>
        <v>ARI60167</v>
      </c>
      <c r="B171" s="16" t="str">
        <f aca="false">AR_Aging!C171</f>
        <v>Brown, Valdez and Lucas</v>
      </c>
      <c r="C171" s="18" t="n">
        <f aca="false">AR_Aging!F171</f>
        <v>697.19</v>
      </c>
      <c r="D171" s="18" t="n">
        <f aca="false">AR_Aging!G171</f>
        <v>0</v>
      </c>
      <c r="E171" s="18" t="n">
        <f aca="false">AR_Aging!H171</f>
        <v>697.19</v>
      </c>
      <c r="F171" s="16" t="n">
        <f aca="false">AR_Aging!I171</f>
        <v>64</v>
      </c>
      <c r="G171" s="16" t="str">
        <f aca="false">AR_Aging!K171</f>
        <v>Unpaid</v>
      </c>
      <c r="H171" s="16" t="str">
        <f aca="false">IF(AND(G171="Unpaid",F171&gt;90),"HIGH - Fully Overdue 90+ Days",IF(G171="Partially Paid","MEDIUM - Short Paid","OK"))</f>
        <v>OK</v>
      </c>
    </row>
    <row r="172" customFormat="false" ht="15" hidden="false" customHeight="false" outlineLevel="0" collapsed="false">
      <c r="A172" s="16" t="str">
        <f aca="false">AR_Aging!A172</f>
        <v>ARI60168</v>
      </c>
      <c r="B172" s="16" t="str">
        <f aca="false">AR_Aging!C172</f>
        <v>Brown, Valdez and Lucas</v>
      </c>
      <c r="C172" s="18" t="n">
        <f aca="false">AR_Aging!F172</f>
        <v>1767.03</v>
      </c>
      <c r="D172" s="18" t="n">
        <f aca="false">AR_Aging!G172</f>
        <v>0</v>
      </c>
      <c r="E172" s="18" t="n">
        <f aca="false">AR_Aging!H172</f>
        <v>1767.03</v>
      </c>
      <c r="F172" s="16" t="n">
        <f aca="false">AR_Aging!I172</f>
        <v>137</v>
      </c>
      <c r="G172" s="16" t="str">
        <f aca="false">AR_Aging!K172</f>
        <v>Unpaid</v>
      </c>
      <c r="H172" s="16" t="str">
        <f aca="false">IF(AND(G172="Unpaid",F172&gt;90),"HIGH - Fully Overdue 90+ Days",IF(G172="Partially Paid","MEDIUM - Short Paid","OK"))</f>
        <v>HIGH - Fully Overdue 90+ Days</v>
      </c>
    </row>
    <row r="173" customFormat="false" ht="15" hidden="false" customHeight="false" outlineLevel="0" collapsed="false">
      <c r="A173" s="16" t="str">
        <f aca="false">AR_Aging!A173</f>
        <v>ARI60169</v>
      </c>
      <c r="B173" s="16" t="str">
        <f aca="false">AR_Aging!C173</f>
        <v>Daniels, Adkins and Brown</v>
      </c>
      <c r="C173" s="18" t="n">
        <f aca="false">AR_Aging!F173</f>
        <v>2989.29</v>
      </c>
      <c r="D173" s="18" t="n">
        <f aca="false">AR_Aging!G173</f>
        <v>1545.94</v>
      </c>
      <c r="E173" s="18" t="n">
        <f aca="false">AR_Aging!H173</f>
        <v>1443.35</v>
      </c>
      <c r="F173" s="16" t="n">
        <f aca="false">AR_Aging!I173</f>
        <v>486</v>
      </c>
      <c r="G173" s="16" t="str">
        <f aca="false">AR_Aging!K173</f>
        <v>Partially Paid</v>
      </c>
      <c r="H173" s="16" t="str">
        <f aca="false">IF(AND(G173="Unpaid",F173&gt;90),"HIGH - Fully Overdue 90+ Days",IF(G173="Partially Paid","MEDIUM - Short Paid","OK"))</f>
        <v>MEDIUM - Short Paid</v>
      </c>
    </row>
    <row r="174" customFormat="false" ht="15" hidden="false" customHeight="false" outlineLevel="0" collapsed="false">
      <c r="A174" s="16" t="str">
        <f aca="false">AR_Aging!A174</f>
        <v>ARI60170</v>
      </c>
      <c r="B174" s="16" t="str">
        <f aca="false">AR_Aging!C174</f>
        <v>Gray Group</v>
      </c>
      <c r="C174" s="18" t="n">
        <f aca="false">AR_Aging!F174</f>
        <v>216.72</v>
      </c>
      <c r="D174" s="18" t="n">
        <f aca="false">AR_Aging!G174</f>
        <v>216.72</v>
      </c>
      <c r="E174" s="18" t="n">
        <f aca="false">AR_Aging!H174</f>
        <v>0</v>
      </c>
      <c r="F174" s="16" t="n">
        <f aca="false">AR_Aging!I174</f>
        <v>0</v>
      </c>
      <c r="G174" s="16" t="str">
        <f aca="false">AR_Aging!K174</f>
        <v>Paid</v>
      </c>
      <c r="H174" s="16" t="str">
        <f aca="false">IF(AND(G174="Unpaid",F174&gt;90),"HIGH - Fully Overdue 90+ Days",IF(G174="Partially Paid","MEDIUM - Short Paid","OK"))</f>
        <v>OK</v>
      </c>
    </row>
    <row r="175" customFormat="false" ht="15" hidden="false" customHeight="false" outlineLevel="0" collapsed="false">
      <c r="A175" s="16" t="str">
        <f aca="false">AR_Aging!A175</f>
        <v>ARI60171</v>
      </c>
      <c r="B175" s="16" t="str">
        <f aca="false">AR_Aging!C175</f>
        <v>Hensley, Powell and David</v>
      </c>
      <c r="C175" s="18" t="n">
        <f aca="false">AR_Aging!F175</f>
        <v>9409.48</v>
      </c>
      <c r="D175" s="18" t="n">
        <f aca="false">AR_Aging!G175</f>
        <v>9409.48</v>
      </c>
      <c r="E175" s="18" t="n">
        <f aca="false">AR_Aging!H175</f>
        <v>0</v>
      </c>
      <c r="F175" s="16" t="n">
        <f aca="false">AR_Aging!I175</f>
        <v>0</v>
      </c>
      <c r="G175" s="16" t="str">
        <f aca="false">AR_Aging!K175</f>
        <v>Paid</v>
      </c>
      <c r="H175" s="16" t="str">
        <f aca="false">IF(AND(G175="Unpaid",F175&gt;90),"HIGH - Fully Overdue 90+ Days",IF(G175="Partially Paid","MEDIUM - Short Paid","OK"))</f>
        <v>OK</v>
      </c>
    </row>
    <row r="176" customFormat="false" ht="15" hidden="false" customHeight="false" outlineLevel="0" collapsed="false">
      <c r="A176" s="16" t="str">
        <f aca="false">AR_Aging!A176</f>
        <v>ARI60172</v>
      </c>
      <c r="B176" s="16" t="str">
        <f aca="false">AR_Aging!C176</f>
        <v>Robinson, Jones and Welch</v>
      </c>
      <c r="C176" s="18" t="n">
        <f aca="false">AR_Aging!F176</f>
        <v>937.8</v>
      </c>
      <c r="D176" s="18" t="n">
        <f aca="false">AR_Aging!G176</f>
        <v>937.8</v>
      </c>
      <c r="E176" s="18" t="n">
        <f aca="false">AR_Aging!H176</f>
        <v>0</v>
      </c>
      <c r="F176" s="16" t="n">
        <f aca="false">AR_Aging!I176</f>
        <v>0</v>
      </c>
      <c r="G176" s="16" t="str">
        <f aca="false">AR_Aging!K176</f>
        <v>Paid</v>
      </c>
      <c r="H176" s="16" t="str">
        <f aca="false">IF(AND(G176="Unpaid",F176&gt;90),"HIGH - Fully Overdue 90+ Days",IF(G176="Partially Paid","MEDIUM - Short Paid","OK"))</f>
        <v>OK</v>
      </c>
    </row>
    <row r="177" customFormat="false" ht="15" hidden="false" customHeight="false" outlineLevel="0" collapsed="false">
      <c r="A177" s="16" t="str">
        <f aca="false">AR_Aging!A177</f>
        <v>ARI60173</v>
      </c>
      <c r="B177" s="16" t="str">
        <f aca="false">AR_Aging!C177</f>
        <v>Russell Group</v>
      </c>
      <c r="C177" s="18" t="n">
        <f aca="false">AR_Aging!F177</f>
        <v>1637.03</v>
      </c>
      <c r="D177" s="18" t="n">
        <f aca="false">AR_Aging!G177</f>
        <v>1637.03</v>
      </c>
      <c r="E177" s="18" t="n">
        <f aca="false">AR_Aging!H177</f>
        <v>0</v>
      </c>
      <c r="F177" s="16" t="n">
        <f aca="false">AR_Aging!I177</f>
        <v>0</v>
      </c>
      <c r="G177" s="16" t="str">
        <f aca="false">AR_Aging!K177</f>
        <v>Paid</v>
      </c>
      <c r="H177" s="16" t="str">
        <f aca="false">IF(AND(G177="Unpaid",F177&gt;90),"HIGH - Fully Overdue 90+ Days",IF(G177="Partially Paid","MEDIUM - Short Paid","OK"))</f>
        <v>OK</v>
      </c>
    </row>
    <row r="178" customFormat="false" ht="15" hidden="false" customHeight="false" outlineLevel="0" collapsed="false">
      <c r="A178" s="16" t="str">
        <f aca="false">AR_Aging!A178</f>
        <v>ARI60174</v>
      </c>
      <c r="B178" s="16" t="str">
        <f aca="false">AR_Aging!C178</f>
        <v>Morton-Chase</v>
      </c>
      <c r="C178" s="18" t="n">
        <f aca="false">AR_Aging!F178</f>
        <v>2021.6</v>
      </c>
      <c r="D178" s="18" t="n">
        <f aca="false">AR_Aging!G178</f>
        <v>2021.6</v>
      </c>
      <c r="E178" s="18" t="n">
        <f aca="false">AR_Aging!H178</f>
        <v>0</v>
      </c>
      <c r="F178" s="16" t="n">
        <f aca="false">AR_Aging!I178</f>
        <v>0</v>
      </c>
      <c r="G178" s="16" t="str">
        <f aca="false">AR_Aging!K178</f>
        <v>Paid</v>
      </c>
      <c r="H178" s="16" t="str">
        <f aca="false">IF(AND(G178="Unpaid",F178&gt;90),"HIGH - Fully Overdue 90+ Days",IF(G178="Partially Paid","MEDIUM - Short Paid","OK"))</f>
        <v>OK</v>
      </c>
    </row>
    <row r="179" customFormat="false" ht="15" hidden="false" customHeight="false" outlineLevel="0" collapsed="false">
      <c r="A179" s="16" t="str">
        <f aca="false">AR_Aging!A179</f>
        <v>ARI60175</v>
      </c>
      <c r="B179" s="16" t="str">
        <f aca="false">AR_Aging!C179</f>
        <v>Stanley, Tucker and Lee</v>
      </c>
      <c r="C179" s="18" t="n">
        <f aca="false">AR_Aging!F179</f>
        <v>475.54</v>
      </c>
      <c r="D179" s="18" t="n">
        <f aca="false">AR_Aging!G179</f>
        <v>475.54</v>
      </c>
      <c r="E179" s="18" t="n">
        <f aca="false">AR_Aging!H179</f>
        <v>0</v>
      </c>
      <c r="F179" s="16" t="n">
        <f aca="false">AR_Aging!I179</f>
        <v>0</v>
      </c>
      <c r="G179" s="16" t="str">
        <f aca="false">AR_Aging!K179</f>
        <v>Paid</v>
      </c>
      <c r="H179" s="16" t="str">
        <f aca="false">IF(AND(G179="Unpaid",F179&gt;90),"HIGH - Fully Overdue 90+ Days",IF(G179="Partially Paid","MEDIUM - Short Paid","OK"))</f>
        <v>OK</v>
      </c>
    </row>
    <row r="180" customFormat="false" ht="15" hidden="false" customHeight="false" outlineLevel="0" collapsed="false">
      <c r="A180" s="16" t="str">
        <f aca="false">AR_Aging!A180</f>
        <v>ARI60176</v>
      </c>
      <c r="B180" s="16" t="str">
        <f aca="false">AR_Aging!C180</f>
        <v>House-Glover</v>
      </c>
      <c r="C180" s="18" t="n">
        <f aca="false">AR_Aging!F180</f>
        <v>3003.96</v>
      </c>
      <c r="D180" s="18" t="n">
        <f aca="false">AR_Aging!G180</f>
        <v>3003.96</v>
      </c>
      <c r="E180" s="18" t="n">
        <f aca="false">AR_Aging!H180</f>
        <v>0</v>
      </c>
      <c r="F180" s="16" t="n">
        <f aca="false">AR_Aging!I180</f>
        <v>0</v>
      </c>
      <c r="G180" s="16" t="str">
        <f aca="false">AR_Aging!K180</f>
        <v>Paid</v>
      </c>
      <c r="H180" s="16" t="str">
        <f aca="false">IF(AND(G180="Unpaid",F180&gt;90),"HIGH - Fully Overdue 90+ Days",IF(G180="Partially Paid","MEDIUM - Short Paid","OK"))</f>
        <v>OK</v>
      </c>
    </row>
    <row r="181" customFormat="false" ht="15" hidden="false" customHeight="false" outlineLevel="0" collapsed="false">
      <c r="A181" s="16" t="str">
        <f aca="false">AR_Aging!A181</f>
        <v>ARI60177</v>
      </c>
      <c r="B181" s="16" t="str">
        <f aca="false">AR_Aging!C181</f>
        <v>West, Henderson and Ramirez</v>
      </c>
      <c r="C181" s="18" t="n">
        <f aca="false">AR_Aging!F181</f>
        <v>2861.28</v>
      </c>
      <c r="D181" s="18" t="n">
        <f aca="false">AR_Aging!G181</f>
        <v>0</v>
      </c>
      <c r="E181" s="18" t="n">
        <f aca="false">AR_Aging!H181</f>
        <v>2861.28</v>
      </c>
      <c r="F181" s="16" t="n">
        <f aca="false">AR_Aging!I181</f>
        <v>120</v>
      </c>
      <c r="G181" s="16" t="str">
        <f aca="false">AR_Aging!K181</f>
        <v>Unpaid</v>
      </c>
      <c r="H181" s="16" t="str">
        <f aca="false">IF(AND(G181="Unpaid",F181&gt;90),"HIGH - Fully Overdue 90+ Days",IF(G181="Partially Paid","MEDIUM - Short Paid","OK"))</f>
        <v>HIGH - Fully Overdue 90+ Days</v>
      </c>
    </row>
    <row r="182" customFormat="false" ht="15" hidden="false" customHeight="false" outlineLevel="0" collapsed="false">
      <c r="A182" s="16" t="str">
        <f aca="false">AR_Aging!A182</f>
        <v>ARI60178</v>
      </c>
      <c r="B182" s="16" t="str">
        <f aca="false">AR_Aging!C182</f>
        <v>Jones Inc</v>
      </c>
      <c r="C182" s="18" t="n">
        <f aca="false">AR_Aging!F182</f>
        <v>3929.53</v>
      </c>
      <c r="D182" s="18" t="n">
        <f aca="false">AR_Aging!G182</f>
        <v>2491.27</v>
      </c>
      <c r="E182" s="18" t="n">
        <f aca="false">AR_Aging!H182</f>
        <v>1438.26</v>
      </c>
      <c r="F182" s="16" t="n">
        <f aca="false">AR_Aging!I182</f>
        <v>274</v>
      </c>
      <c r="G182" s="16" t="str">
        <f aca="false">AR_Aging!K182</f>
        <v>Partially Paid</v>
      </c>
      <c r="H182" s="16" t="str">
        <f aca="false">IF(AND(G182="Unpaid",F182&gt;90),"HIGH - Fully Overdue 90+ Days",IF(G182="Partially Paid","MEDIUM - Short Paid","OK"))</f>
        <v>MEDIUM - Short Paid</v>
      </c>
    </row>
    <row r="183" customFormat="false" ht="15" hidden="false" customHeight="false" outlineLevel="0" collapsed="false">
      <c r="A183" s="16" t="str">
        <f aca="false">AR_Aging!A183</f>
        <v>ARI60179</v>
      </c>
      <c r="B183" s="16" t="str">
        <f aca="false">AR_Aging!C183</f>
        <v>Williams PLC</v>
      </c>
      <c r="C183" s="18" t="n">
        <f aca="false">AR_Aging!F183</f>
        <v>1121.02</v>
      </c>
      <c r="D183" s="18" t="n">
        <f aca="false">AR_Aging!G183</f>
        <v>1121.02</v>
      </c>
      <c r="E183" s="18" t="n">
        <f aca="false">AR_Aging!H183</f>
        <v>0</v>
      </c>
      <c r="F183" s="16" t="n">
        <f aca="false">AR_Aging!I183</f>
        <v>0</v>
      </c>
      <c r="G183" s="16" t="str">
        <f aca="false">AR_Aging!K183</f>
        <v>Paid</v>
      </c>
      <c r="H183" s="16" t="str">
        <f aca="false">IF(AND(G183="Unpaid",F183&gt;90),"HIGH - Fully Overdue 90+ Days",IF(G183="Partially Paid","MEDIUM - Short Paid","OK"))</f>
        <v>OK</v>
      </c>
    </row>
    <row r="184" customFormat="false" ht="15" hidden="false" customHeight="false" outlineLevel="0" collapsed="false">
      <c r="A184" s="16" t="str">
        <f aca="false">AR_Aging!A184</f>
        <v>ARI60180</v>
      </c>
      <c r="B184" s="16" t="str">
        <f aca="false">AR_Aging!C184</f>
        <v>Russell Group</v>
      </c>
      <c r="C184" s="18" t="n">
        <f aca="false">AR_Aging!F184</f>
        <v>781.09</v>
      </c>
      <c r="D184" s="18" t="n">
        <f aca="false">AR_Aging!G184</f>
        <v>781.09</v>
      </c>
      <c r="E184" s="18" t="n">
        <f aca="false">AR_Aging!H184</f>
        <v>0</v>
      </c>
      <c r="F184" s="16" t="n">
        <f aca="false">AR_Aging!I184</f>
        <v>0</v>
      </c>
      <c r="G184" s="16" t="str">
        <f aca="false">AR_Aging!K184</f>
        <v>Paid</v>
      </c>
      <c r="H184" s="16" t="str">
        <f aca="false">IF(AND(G184="Unpaid",F184&gt;90),"HIGH - Fully Overdue 90+ Days",IF(G184="Partially Paid","MEDIUM - Short Paid","OK"))</f>
        <v>OK</v>
      </c>
    </row>
    <row r="185" customFormat="false" ht="15" hidden="false" customHeight="false" outlineLevel="0" collapsed="false">
      <c r="A185" s="16" t="str">
        <f aca="false">AR_Aging!A185</f>
        <v>ARI60181</v>
      </c>
      <c r="B185" s="16" t="str">
        <f aca="false">AR_Aging!C185</f>
        <v>West, Henderson and Ramirez</v>
      </c>
      <c r="C185" s="18" t="n">
        <f aca="false">AR_Aging!F185</f>
        <v>30870.59</v>
      </c>
      <c r="D185" s="18" t="n">
        <f aca="false">AR_Aging!G185</f>
        <v>30870.59</v>
      </c>
      <c r="E185" s="18" t="n">
        <f aca="false">AR_Aging!H185</f>
        <v>0</v>
      </c>
      <c r="F185" s="16" t="n">
        <f aca="false">AR_Aging!I185</f>
        <v>0</v>
      </c>
      <c r="G185" s="16" t="str">
        <f aca="false">AR_Aging!K185</f>
        <v>Paid</v>
      </c>
      <c r="H185" s="16" t="str">
        <f aca="false">IF(AND(G185="Unpaid",F185&gt;90),"HIGH - Fully Overdue 90+ Days",IF(G185="Partially Paid","MEDIUM - Short Paid","OK"))</f>
        <v>OK</v>
      </c>
    </row>
    <row r="186" customFormat="false" ht="15" hidden="false" customHeight="false" outlineLevel="0" collapsed="false">
      <c r="A186" s="16" t="str">
        <f aca="false">AR_Aging!A186</f>
        <v>ARI60182</v>
      </c>
      <c r="B186" s="16" t="str">
        <f aca="false">AR_Aging!C186</f>
        <v>Williams PLC</v>
      </c>
      <c r="C186" s="18" t="n">
        <f aca="false">AR_Aging!F186</f>
        <v>4442.76</v>
      </c>
      <c r="D186" s="18" t="n">
        <f aca="false">AR_Aging!G186</f>
        <v>4442.76</v>
      </c>
      <c r="E186" s="18" t="n">
        <f aca="false">AR_Aging!H186</f>
        <v>0</v>
      </c>
      <c r="F186" s="16" t="n">
        <f aca="false">AR_Aging!I186</f>
        <v>0</v>
      </c>
      <c r="G186" s="16" t="str">
        <f aca="false">AR_Aging!K186</f>
        <v>Paid</v>
      </c>
      <c r="H186" s="16" t="str">
        <f aca="false">IF(AND(G186="Unpaid",F186&gt;90),"HIGH - Fully Overdue 90+ Days",IF(G186="Partially Paid","MEDIUM - Short Paid","OK"))</f>
        <v>OK</v>
      </c>
    </row>
    <row r="187" customFormat="false" ht="15" hidden="false" customHeight="false" outlineLevel="0" collapsed="false">
      <c r="A187" s="16" t="str">
        <f aca="false">AR_Aging!A187</f>
        <v>ARI60183</v>
      </c>
      <c r="B187" s="16" t="str">
        <f aca="false">AR_Aging!C187</f>
        <v>Daniels, Adkins and Brown</v>
      </c>
      <c r="C187" s="18" t="n">
        <f aca="false">AR_Aging!F187</f>
        <v>843.64</v>
      </c>
      <c r="D187" s="18" t="n">
        <f aca="false">AR_Aging!G187</f>
        <v>0</v>
      </c>
      <c r="E187" s="18" t="n">
        <f aca="false">AR_Aging!H187</f>
        <v>843.64</v>
      </c>
      <c r="F187" s="16" t="n">
        <f aca="false">AR_Aging!I187</f>
        <v>333</v>
      </c>
      <c r="G187" s="16" t="str">
        <f aca="false">AR_Aging!K187</f>
        <v>Unpaid</v>
      </c>
      <c r="H187" s="16" t="str">
        <f aca="false">IF(AND(G187="Unpaid",F187&gt;90),"HIGH - Fully Overdue 90+ Days",IF(G187="Partially Paid","MEDIUM - Short Paid","OK"))</f>
        <v>HIGH - Fully Overdue 90+ Days</v>
      </c>
    </row>
    <row r="188" customFormat="false" ht="15" hidden="false" customHeight="false" outlineLevel="0" collapsed="false">
      <c r="A188" s="16" t="str">
        <f aca="false">AR_Aging!A188</f>
        <v>ARI60184</v>
      </c>
      <c r="B188" s="16" t="str">
        <f aca="false">AR_Aging!C188</f>
        <v>West, Henderson and Ramirez</v>
      </c>
      <c r="C188" s="18" t="n">
        <f aca="false">AR_Aging!F188</f>
        <v>18351.9</v>
      </c>
      <c r="D188" s="18" t="n">
        <f aca="false">AR_Aging!G188</f>
        <v>0</v>
      </c>
      <c r="E188" s="18" t="n">
        <f aca="false">AR_Aging!H188</f>
        <v>18351.9</v>
      </c>
      <c r="F188" s="16" t="n">
        <f aca="false">AR_Aging!I188</f>
        <v>84</v>
      </c>
      <c r="G188" s="16" t="str">
        <f aca="false">AR_Aging!K188</f>
        <v>Unpaid</v>
      </c>
      <c r="H188" s="16" t="str">
        <f aca="false">IF(AND(G188="Unpaid",F188&gt;90),"HIGH - Fully Overdue 90+ Days",IF(G188="Partially Paid","MEDIUM - Short Paid","OK"))</f>
        <v>OK</v>
      </c>
    </row>
    <row r="189" customFormat="false" ht="15" hidden="false" customHeight="false" outlineLevel="0" collapsed="false">
      <c r="A189" s="16" t="str">
        <f aca="false">AR_Aging!A189</f>
        <v>ARI60185</v>
      </c>
      <c r="B189" s="16" t="str">
        <f aca="false">AR_Aging!C189</f>
        <v>Daniels, Adkins and Brown</v>
      </c>
      <c r="C189" s="18" t="n">
        <f aca="false">AR_Aging!F189</f>
        <v>2310.93</v>
      </c>
      <c r="D189" s="18" t="n">
        <f aca="false">AR_Aging!G189</f>
        <v>1813.34</v>
      </c>
      <c r="E189" s="18" t="n">
        <f aca="false">AR_Aging!H189</f>
        <v>497.59</v>
      </c>
      <c r="F189" s="16" t="n">
        <f aca="false">AR_Aging!I189</f>
        <v>312</v>
      </c>
      <c r="G189" s="16" t="str">
        <f aca="false">AR_Aging!K189</f>
        <v>Partially Paid</v>
      </c>
      <c r="H189" s="16" t="str">
        <f aca="false">IF(AND(G189="Unpaid",F189&gt;90),"HIGH - Fully Overdue 90+ Days",IF(G189="Partially Paid","MEDIUM - Short Paid","OK"))</f>
        <v>MEDIUM - Short Paid</v>
      </c>
    </row>
    <row r="190" customFormat="false" ht="15" hidden="false" customHeight="false" outlineLevel="0" collapsed="false">
      <c r="A190" s="16" t="str">
        <f aca="false">AR_Aging!A190</f>
        <v>ARI60186</v>
      </c>
      <c r="B190" s="16" t="str">
        <f aca="false">AR_Aging!C190</f>
        <v>Novak and Sons</v>
      </c>
      <c r="C190" s="18" t="n">
        <f aca="false">AR_Aging!F190</f>
        <v>1671.7</v>
      </c>
      <c r="D190" s="18" t="n">
        <f aca="false">AR_Aging!G190</f>
        <v>1671.7</v>
      </c>
      <c r="E190" s="18" t="n">
        <f aca="false">AR_Aging!H190</f>
        <v>0</v>
      </c>
      <c r="F190" s="16" t="n">
        <f aca="false">AR_Aging!I190</f>
        <v>0</v>
      </c>
      <c r="G190" s="16" t="str">
        <f aca="false">AR_Aging!K190</f>
        <v>Paid</v>
      </c>
      <c r="H190" s="16" t="str">
        <f aca="false">IF(AND(G190="Unpaid",F190&gt;90),"HIGH - Fully Overdue 90+ Days",IF(G190="Partially Paid","MEDIUM - Short Paid","OK"))</f>
        <v>OK</v>
      </c>
    </row>
    <row r="191" customFormat="false" ht="15" hidden="false" customHeight="false" outlineLevel="0" collapsed="false">
      <c r="A191" s="16" t="str">
        <f aca="false">AR_Aging!A191</f>
        <v>ARI60187</v>
      </c>
      <c r="B191" s="16" t="str">
        <f aca="false">AR_Aging!C191</f>
        <v>Washington, Ryan and Cummings</v>
      </c>
      <c r="C191" s="18" t="n">
        <f aca="false">AR_Aging!F191</f>
        <v>1617.75</v>
      </c>
      <c r="D191" s="18" t="n">
        <f aca="false">AR_Aging!G191</f>
        <v>1617.75</v>
      </c>
      <c r="E191" s="18" t="n">
        <f aca="false">AR_Aging!H191</f>
        <v>0</v>
      </c>
      <c r="F191" s="16" t="n">
        <f aca="false">AR_Aging!I191</f>
        <v>0</v>
      </c>
      <c r="G191" s="16" t="str">
        <f aca="false">AR_Aging!K191</f>
        <v>Paid</v>
      </c>
      <c r="H191" s="16" t="str">
        <f aca="false">IF(AND(G191="Unpaid",F191&gt;90),"HIGH - Fully Overdue 90+ Days",IF(G191="Partially Paid","MEDIUM - Short Paid","OK"))</f>
        <v>OK</v>
      </c>
    </row>
    <row r="192" customFormat="false" ht="15" hidden="false" customHeight="false" outlineLevel="0" collapsed="false">
      <c r="A192" s="16" t="str">
        <f aca="false">AR_Aging!A192</f>
        <v>ARI60188</v>
      </c>
      <c r="B192" s="16" t="str">
        <f aca="false">AR_Aging!C192</f>
        <v>Sanchez, Wheeler and Harvey</v>
      </c>
      <c r="C192" s="18" t="n">
        <f aca="false">AR_Aging!F192</f>
        <v>650.59</v>
      </c>
      <c r="D192" s="18" t="n">
        <f aca="false">AR_Aging!G192</f>
        <v>650.59</v>
      </c>
      <c r="E192" s="18" t="n">
        <f aca="false">AR_Aging!H192</f>
        <v>0</v>
      </c>
      <c r="F192" s="16" t="n">
        <f aca="false">AR_Aging!I192</f>
        <v>0</v>
      </c>
      <c r="G192" s="16" t="str">
        <f aca="false">AR_Aging!K192</f>
        <v>Paid</v>
      </c>
      <c r="H192" s="16" t="str">
        <f aca="false">IF(AND(G192="Unpaid",F192&gt;90),"HIGH - Fully Overdue 90+ Days",IF(G192="Partially Paid","MEDIUM - Short Paid","OK"))</f>
        <v>OK</v>
      </c>
    </row>
    <row r="193" customFormat="false" ht="15" hidden="false" customHeight="false" outlineLevel="0" collapsed="false">
      <c r="A193" s="16" t="str">
        <f aca="false">AR_Aging!A193</f>
        <v>ARI60189</v>
      </c>
      <c r="B193" s="16" t="str">
        <f aca="false">AR_Aging!C193</f>
        <v>Sanchez, Wheeler and Harvey</v>
      </c>
      <c r="C193" s="18" t="n">
        <f aca="false">AR_Aging!F193</f>
        <v>14441.58</v>
      </c>
      <c r="D193" s="18" t="n">
        <f aca="false">AR_Aging!G193</f>
        <v>14441.58</v>
      </c>
      <c r="E193" s="18" t="n">
        <f aca="false">AR_Aging!H193</f>
        <v>0</v>
      </c>
      <c r="F193" s="16" t="n">
        <f aca="false">AR_Aging!I193</f>
        <v>0</v>
      </c>
      <c r="G193" s="16" t="str">
        <f aca="false">AR_Aging!K193</f>
        <v>Paid</v>
      </c>
      <c r="H193" s="16" t="str">
        <f aca="false">IF(AND(G193="Unpaid",F193&gt;90),"HIGH - Fully Overdue 90+ Days",IF(G193="Partially Paid","MEDIUM - Short Paid","OK"))</f>
        <v>OK</v>
      </c>
    </row>
    <row r="194" customFormat="false" ht="15" hidden="false" customHeight="false" outlineLevel="0" collapsed="false">
      <c r="A194" s="16" t="str">
        <f aca="false">AR_Aging!A194</f>
        <v>ARI60190</v>
      </c>
      <c r="B194" s="16" t="str">
        <f aca="false">AR_Aging!C194</f>
        <v>Jones-Young</v>
      </c>
      <c r="C194" s="18" t="n">
        <f aca="false">AR_Aging!F194</f>
        <v>8138.88</v>
      </c>
      <c r="D194" s="18" t="n">
        <f aca="false">AR_Aging!G194</f>
        <v>8138.88</v>
      </c>
      <c r="E194" s="18" t="n">
        <f aca="false">AR_Aging!H194</f>
        <v>0</v>
      </c>
      <c r="F194" s="16" t="n">
        <f aca="false">AR_Aging!I194</f>
        <v>0</v>
      </c>
      <c r="G194" s="16" t="str">
        <f aca="false">AR_Aging!K194</f>
        <v>Paid</v>
      </c>
      <c r="H194" s="16" t="str">
        <f aca="false">IF(AND(G194="Unpaid",F194&gt;90),"HIGH - Fully Overdue 90+ Days",IF(G194="Partially Paid","MEDIUM - Short Paid","OK"))</f>
        <v>OK</v>
      </c>
    </row>
    <row r="195" customFormat="false" ht="15" hidden="false" customHeight="false" outlineLevel="0" collapsed="false">
      <c r="A195" s="16" t="str">
        <f aca="false">AR_Aging!A195</f>
        <v>ARI60191</v>
      </c>
      <c r="B195" s="16" t="str">
        <f aca="false">AR_Aging!C195</f>
        <v>Jones Inc</v>
      </c>
      <c r="C195" s="18" t="n">
        <f aca="false">AR_Aging!F195</f>
        <v>5632.06</v>
      </c>
      <c r="D195" s="18" t="n">
        <f aca="false">AR_Aging!G195</f>
        <v>5632.06</v>
      </c>
      <c r="E195" s="18" t="n">
        <f aca="false">AR_Aging!H195</f>
        <v>0</v>
      </c>
      <c r="F195" s="16" t="n">
        <f aca="false">AR_Aging!I195</f>
        <v>0</v>
      </c>
      <c r="G195" s="16" t="str">
        <f aca="false">AR_Aging!K195</f>
        <v>Paid</v>
      </c>
      <c r="H195" s="16" t="str">
        <f aca="false">IF(AND(G195="Unpaid",F195&gt;90),"HIGH - Fully Overdue 90+ Days",IF(G195="Partially Paid","MEDIUM - Short Paid","OK"))</f>
        <v>OK</v>
      </c>
    </row>
    <row r="196" customFormat="false" ht="15" hidden="false" customHeight="false" outlineLevel="0" collapsed="false">
      <c r="A196" s="16" t="str">
        <f aca="false">AR_Aging!A196</f>
        <v>ARI60192</v>
      </c>
      <c r="B196" s="16" t="str">
        <f aca="false">AR_Aging!C196</f>
        <v>Wright and Sons</v>
      </c>
      <c r="C196" s="18" t="n">
        <f aca="false">AR_Aging!F196</f>
        <v>3931.49</v>
      </c>
      <c r="D196" s="18" t="n">
        <f aca="false">AR_Aging!G196</f>
        <v>2360.98</v>
      </c>
      <c r="E196" s="18" t="n">
        <f aca="false">AR_Aging!H196</f>
        <v>1570.51</v>
      </c>
      <c r="F196" s="16" t="n">
        <f aca="false">AR_Aging!I196</f>
        <v>453</v>
      </c>
      <c r="G196" s="16" t="str">
        <f aca="false">AR_Aging!K196</f>
        <v>Partially Paid</v>
      </c>
      <c r="H196" s="16" t="str">
        <f aca="false">IF(AND(G196="Unpaid",F196&gt;90),"HIGH - Fully Overdue 90+ Days",IF(G196="Partially Paid","MEDIUM - Short Paid","OK"))</f>
        <v>MEDIUM - Short Paid</v>
      </c>
    </row>
    <row r="197" customFormat="false" ht="15" hidden="false" customHeight="false" outlineLevel="0" collapsed="false">
      <c r="A197" s="16" t="str">
        <f aca="false">AR_Aging!A197</f>
        <v>ARI60193</v>
      </c>
      <c r="B197" s="16" t="str">
        <f aca="false">AR_Aging!C197</f>
        <v>Jones Inc</v>
      </c>
      <c r="C197" s="18" t="n">
        <f aca="false">AR_Aging!F197</f>
        <v>1675.46</v>
      </c>
      <c r="D197" s="18" t="n">
        <f aca="false">AR_Aging!G197</f>
        <v>1675.46</v>
      </c>
      <c r="E197" s="18" t="n">
        <f aca="false">AR_Aging!H197</f>
        <v>0</v>
      </c>
      <c r="F197" s="16" t="n">
        <f aca="false">AR_Aging!I197</f>
        <v>0</v>
      </c>
      <c r="G197" s="16" t="str">
        <f aca="false">AR_Aging!K197</f>
        <v>Paid</v>
      </c>
      <c r="H197" s="16" t="str">
        <f aca="false">IF(AND(G197="Unpaid",F197&gt;90),"HIGH - Fully Overdue 90+ Days",IF(G197="Partially Paid","MEDIUM - Short Paid","OK"))</f>
        <v>OK</v>
      </c>
    </row>
    <row r="198" customFormat="false" ht="15" hidden="false" customHeight="false" outlineLevel="0" collapsed="false">
      <c r="A198" s="16" t="str">
        <f aca="false">AR_Aging!A198</f>
        <v>ARI60194</v>
      </c>
      <c r="B198" s="16" t="str">
        <f aca="false">AR_Aging!C198</f>
        <v>House-Glover</v>
      </c>
      <c r="C198" s="18" t="n">
        <f aca="false">AR_Aging!F198</f>
        <v>4788.54</v>
      </c>
      <c r="D198" s="18" t="n">
        <f aca="false">AR_Aging!G198</f>
        <v>4788.54</v>
      </c>
      <c r="E198" s="18" t="n">
        <f aca="false">AR_Aging!H198</f>
        <v>0</v>
      </c>
      <c r="F198" s="16" t="n">
        <f aca="false">AR_Aging!I198</f>
        <v>0</v>
      </c>
      <c r="G198" s="16" t="str">
        <f aca="false">AR_Aging!K198</f>
        <v>Paid</v>
      </c>
      <c r="H198" s="16" t="str">
        <f aca="false">IF(AND(G198="Unpaid",F198&gt;90),"HIGH - Fully Overdue 90+ Days",IF(G198="Partially Paid","MEDIUM - Short Paid","OK"))</f>
        <v>OK</v>
      </c>
    </row>
    <row r="199" customFormat="false" ht="15" hidden="false" customHeight="false" outlineLevel="0" collapsed="false">
      <c r="A199" s="16" t="str">
        <f aca="false">AR_Aging!A199</f>
        <v>ARI60195</v>
      </c>
      <c r="B199" s="16" t="str">
        <f aca="false">AR_Aging!C199</f>
        <v>Yu Inc</v>
      </c>
      <c r="C199" s="18" t="n">
        <f aca="false">AR_Aging!F199</f>
        <v>1283.11</v>
      </c>
      <c r="D199" s="18" t="n">
        <f aca="false">AR_Aging!G199</f>
        <v>1283.11</v>
      </c>
      <c r="E199" s="18" t="n">
        <f aca="false">AR_Aging!H199</f>
        <v>0</v>
      </c>
      <c r="F199" s="16" t="n">
        <f aca="false">AR_Aging!I199</f>
        <v>0</v>
      </c>
      <c r="G199" s="16" t="str">
        <f aca="false">AR_Aging!K199</f>
        <v>Paid</v>
      </c>
      <c r="H199" s="16" t="str">
        <f aca="false">IF(AND(G199="Unpaid",F199&gt;90),"HIGH - Fully Overdue 90+ Days",IF(G199="Partially Paid","MEDIUM - Short Paid","OK"))</f>
        <v>OK</v>
      </c>
    </row>
    <row r="200" customFormat="false" ht="15" hidden="false" customHeight="false" outlineLevel="0" collapsed="false">
      <c r="A200" s="16" t="str">
        <f aca="false">AR_Aging!A200</f>
        <v>ARI60196</v>
      </c>
      <c r="B200" s="16" t="str">
        <f aca="false">AR_Aging!C200</f>
        <v>Lee-Davis</v>
      </c>
      <c r="C200" s="18" t="n">
        <f aca="false">AR_Aging!F200</f>
        <v>5545.72</v>
      </c>
      <c r="D200" s="18" t="n">
        <f aca="false">AR_Aging!G200</f>
        <v>5545.72</v>
      </c>
      <c r="E200" s="18" t="n">
        <f aca="false">AR_Aging!H200</f>
        <v>0</v>
      </c>
      <c r="F200" s="16" t="n">
        <f aca="false">AR_Aging!I200</f>
        <v>0</v>
      </c>
      <c r="G200" s="16" t="str">
        <f aca="false">AR_Aging!K200</f>
        <v>Paid</v>
      </c>
      <c r="H200" s="16" t="str">
        <f aca="false">IF(AND(G200="Unpaid",F200&gt;90),"HIGH - Fully Overdue 90+ Days",IF(G200="Partially Paid","MEDIUM - Short Paid","OK"))</f>
        <v>OK</v>
      </c>
    </row>
    <row r="201" customFormat="false" ht="15" hidden="false" customHeight="false" outlineLevel="0" collapsed="false">
      <c r="A201" s="16" t="str">
        <f aca="false">AR_Aging!A201</f>
        <v>ARI60197</v>
      </c>
      <c r="B201" s="16" t="str">
        <f aca="false">AR_Aging!C201</f>
        <v>Novak PLC</v>
      </c>
      <c r="C201" s="18" t="n">
        <f aca="false">AR_Aging!F201</f>
        <v>2989.16</v>
      </c>
      <c r="D201" s="18" t="n">
        <f aca="false">AR_Aging!G201</f>
        <v>2989.16</v>
      </c>
      <c r="E201" s="18" t="n">
        <f aca="false">AR_Aging!H201</f>
        <v>0</v>
      </c>
      <c r="F201" s="16" t="n">
        <f aca="false">AR_Aging!I201</f>
        <v>0</v>
      </c>
      <c r="G201" s="16" t="str">
        <f aca="false">AR_Aging!K201</f>
        <v>Paid</v>
      </c>
      <c r="H201" s="16" t="str">
        <f aca="false">IF(AND(G201="Unpaid",F201&gt;90),"HIGH - Fully Overdue 90+ Days",IF(G201="Partially Paid","MEDIUM - Short Paid","OK"))</f>
        <v>OK</v>
      </c>
    </row>
    <row r="202" customFormat="false" ht="15" hidden="false" customHeight="false" outlineLevel="0" collapsed="false">
      <c r="A202" s="16" t="str">
        <f aca="false">AR_Aging!A202</f>
        <v>ARI60198</v>
      </c>
      <c r="B202" s="16" t="str">
        <f aca="false">AR_Aging!C202</f>
        <v>Novak PLC</v>
      </c>
      <c r="C202" s="18" t="n">
        <f aca="false">AR_Aging!F202</f>
        <v>3613.89</v>
      </c>
      <c r="D202" s="18" t="n">
        <f aca="false">AR_Aging!G202</f>
        <v>3613.89</v>
      </c>
      <c r="E202" s="18" t="n">
        <f aca="false">AR_Aging!H202</f>
        <v>0</v>
      </c>
      <c r="F202" s="16" t="n">
        <f aca="false">AR_Aging!I202</f>
        <v>0</v>
      </c>
      <c r="G202" s="16" t="str">
        <f aca="false">AR_Aging!K202</f>
        <v>Paid</v>
      </c>
      <c r="H202" s="16" t="str">
        <f aca="false">IF(AND(G202="Unpaid",F202&gt;90),"HIGH - Fully Overdue 90+ Days",IF(G202="Partially Paid","MEDIUM - Short Paid","OK"))</f>
        <v>OK</v>
      </c>
    </row>
    <row r="203" customFormat="false" ht="15" hidden="false" customHeight="false" outlineLevel="0" collapsed="false">
      <c r="A203" s="16" t="str">
        <f aca="false">AR_Aging!A203</f>
        <v>ARI60199</v>
      </c>
      <c r="B203" s="16" t="str">
        <f aca="false">AR_Aging!C203</f>
        <v>Washington, Ryan and Cummings</v>
      </c>
      <c r="C203" s="18" t="n">
        <f aca="false">AR_Aging!F203</f>
        <v>8770.73</v>
      </c>
      <c r="D203" s="18" t="n">
        <f aca="false">AR_Aging!G203</f>
        <v>8770.73</v>
      </c>
      <c r="E203" s="18" t="n">
        <f aca="false">AR_Aging!H203</f>
        <v>0</v>
      </c>
      <c r="F203" s="16" t="n">
        <f aca="false">AR_Aging!I203</f>
        <v>0</v>
      </c>
      <c r="G203" s="16" t="str">
        <f aca="false">AR_Aging!K203</f>
        <v>Paid</v>
      </c>
      <c r="H203" s="16" t="str">
        <f aca="false">IF(AND(G203="Unpaid",F203&gt;90),"HIGH - Fully Overdue 90+ Days",IF(G203="Partially Paid","MEDIUM - Short Paid","OK"))</f>
        <v>OK</v>
      </c>
    </row>
    <row r="204" customFormat="false" ht="15" hidden="false" customHeight="false" outlineLevel="0" collapsed="false">
      <c r="A204" s="16" t="str">
        <f aca="false">AR_Aging!A204</f>
        <v>ARI60200</v>
      </c>
      <c r="B204" s="16" t="str">
        <f aca="false">AR_Aging!C204</f>
        <v>Novak and Sons</v>
      </c>
      <c r="C204" s="18" t="n">
        <f aca="false">AR_Aging!F204</f>
        <v>5089.31</v>
      </c>
      <c r="D204" s="18" t="n">
        <f aca="false">AR_Aging!G204</f>
        <v>0</v>
      </c>
      <c r="E204" s="18" t="n">
        <f aca="false">AR_Aging!H204</f>
        <v>5089.31</v>
      </c>
      <c r="F204" s="16" t="n">
        <f aca="false">AR_Aging!I204</f>
        <v>525</v>
      </c>
      <c r="G204" s="16" t="str">
        <f aca="false">AR_Aging!K204</f>
        <v>Unpaid</v>
      </c>
      <c r="H204" s="16" t="str">
        <f aca="false">IF(AND(G204="Unpaid",F204&gt;90),"HIGH - Fully Overdue 90+ Days",IF(G204="Partially Paid","MEDIUM - Short Paid","OK"))</f>
        <v>HIGH - Fully Overdue 90+ Days</v>
      </c>
    </row>
    <row r="205" customFormat="false" ht="15" hidden="false" customHeight="false" outlineLevel="0" collapsed="false">
      <c r="A205" s="16" t="str">
        <f aca="false">AR_Aging!A205</f>
        <v>ARI60201</v>
      </c>
      <c r="B205" s="16" t="str">
        <f aca="false">AR_Aging!C205</f>
        <v>Novak PLC</v>
      </c>
      <c r="C205" s="18" t="n">
        <f aca="false">AR_Aging!F205</f>
        <v>1860.95</v>
      </c>
      <c r="D205" s="18" t="n">
        <f aca="false">AR_Aging!G205</f>
        <v>1860.95</v>
      </c>
      <c r="E205" s="18" t="n">
        <f aca="false">AR_Aging!H205</f>
        <v>0</v>
      </c>
      <c r="F205" s="16" t="n">
        <f aca="false">AR_Aging!I205</f>
        <v>0</v>
      </c>
      <c r="G205" s="16" t="str">
        <f aca="false">AR_Aging!K205</f>
        <v>Paid</v>
      </c>
      <c r="H205" s="16" t="str">
        <f aca="false">IF(AND(G205="Unpaid",F205&gt;90),"HIGH - Fully Overdue 90+ Days",IF(G205="Partially Paid","MEDIUM - Short Paid","OK"))</f>
        <v>OK</v>
      </c>
    </row>
    <row r="206" customFormat="false" ht="15" hidden="false" customHeight="false" outlineLevel="0" collapsed="false">
      <c r="A206" s="16" t="str">
        <f aca="false">AR_Aging!A206</f>
        <v>ARI60202</v>
      </c>
      <c r="B206" s="16" t="str">
        <f aca="false">AR_Aging!C206</f>
        <v>Wright and Sons</v>
      </c>
      <c r="C206" s="18" t="n">
        <f aca="false">AR_Aging!F206</f>
        <v>9808.37</v>
      </c>
      <c r="D206" s="18" t="n">
        <f aca="false">AR_Aging!G206</f>
        <v>9808.37</v>
      </c>
      <c r="E206" s="18" t="n">
        <f aca="false">AR_Aging!H206</f>
        <v>0</v>
      </c>
      <c r="F206" s="16" t="n">
        <f aca="false">AR_Aging!I206</f>
        <v>0</v>
      </c>
      <c r="G206" s="16" t="str">
        <f aca="false">AR_Aging!K206</f>
        <v>Paid</v>
      </c>
      <c r="H206" s="16" t="str">
        <f aca="false">IF(AND(G206="Unpaid",F206&gt;90),"HIGH - Fully Overdue 90+ Days",IF(G206="Partially Paid","MEDIUM - Short Paid","OK"))</f>
        <v>OK</v>
      </c>
    </row>
    <row r="207" customFormat="false" ht="15" hidden="false" customHeight="false" outlineLevel="0" collapsed="false">
      <c r="A207" s="16" t="str">
        <f aca="false">AR_Aging!A207</f>
        <v>ARI60203</v>
      </c>
      <c r="B207" s="16" t="str">
        <f aca="false">AR_Aging!C207</f>
        <v>Sanchez, Wheeler and Harvey</v>
      </c>
      <c r="C207" s="18" t="n">
        <f aca="false">AR_Aging!F207</f>
        <v>834.04</v>
      </c>
      <c r="D207" s="18" t="n">
        <f aca="false">AR_Aging!G207</f>
        <v>0</v>
      </c>
      <c r="E207" s="18" t="n">
        <f aca="false">AR_Aging!H207</f>
        <v>834.04</v>
      </c>
      <c r="F207" s="16" t="n">
        <f aca="false">AR_Aging!I207</f>
        <v>23</v>
      </c>
      <c r="G207" s="16" t="str">
        <f aca="false">AR_Aging!K207</f>
        <v>Unpaid</v>
      </c>
      <c r="H207" s="16" t="str">
        <f aca="false">IF(AND(G207="Unpaid",F207&gt;90),"HIGH - Fully Overdue 90+ Days",IF(G207="Partially Paid","MEDIUM - Short Paid","OK"))</f>
        <v>OK</v>
      </c>
    </row>
    <row r="208" customFormat="false" ht="15" hidden="false" customHeight="false" outlineLevel="0" collapsed="false">
      <c r="A208" s="16" t="str">
        <f aca="false">AR_Aging!A208</f>
        <v>ARI60204</v>
      </c>
      <c r="B208" s="16" t="str">
        <f aca="false">AR_Aging!C208</f>
        <v>Powell LLC</v>
      </c>
      <c r="C208" s="18" t="n">
        <f aca="false">AR_Aging!F208</f>
        <v>1305.87</v>
      </c>
      <c r="D208" s="18" t="n">
        <f aca="false">AR_Aging!G208</f>
        <v>1305.87</v>
      </c>
      <c r="E208" s="18" t="n">
        <f aca="false">AR_Aging!H208</f>
        <v>0</v>
      </c>
      <c r="F208" s="16" t="n">
        <f aca="false">AR_Aging!I208</f>
        <v>0</v>
      </c>
      <c r="G208" s="16" t="str">
        <f aca="false">AR_Aging!K208</f>
        <v>Paid</v>
      </c>
      <c r="H208" s="16" t="str">
        <f aca="false">IF(AND(G208="Unpaid",F208&gt;90),"HIGH - Fully Overdue 90+ Days",IF(G208="Partially Paid","MEDIUM - Short Paid","OK"))</f>
        <v>OK</v>
      </c>
    </row>
    <row r="209" customFormat="false" ht="15" hidden="false" customHeight="false" outlineLevel="0" collapsed="false">
      <c r="A209" s="16" t="str">
        <f aca="false">AR_Aging!A209</f>
        <v>ARI60205</v>
      </c>
      <c r="B209" s="16" t="str">
        <f aca="false">AR_Aging!C209</f>
        <v>Wright Inc</v>
      </c>
      <c r="C209" s="18" t="n">
        <f aca="false">AR_Aging!F209</f>
        <v>5919.46</v>
      </c>
      <c r="D209" s="18" t="n">
        <f aca="false">AR_Aging!G209</f>
        <v>5919.46</v>
      </c>
      <c r="E209" s="18" t="n">
        <f aca="false">AR_Aging!H209</f>
        <v>0</v>
      </c>
      <c r="F209" s="16" t="n">
        <f aca="false">AR_Aging!I209</f>
        <v>0</v>
      </c>
      <c r="G209" s="16" t="str">
        <f aca="false">AR_Aging!K209</f>
        <v>Paid</v>
      </c>
      <c r="H209" s="16" t="str">
        <f aca="false">IF(AND(G209="Unpaid",F209&gt;90),"HIGH - Fully Overdue 90+ Days",IF(G209="Partially Paid","MEDIUM - Short Paid","OK"))</f>
        <v>OK</v>
      </c>
    </row>
    <row r="210" customFormat="false" ht="15" hidden="false" customHeight="false" outlineLevel="0" collapsed="false">
      <c r="A210" s="16" t="str">
        <f aca="false">AR_Aging!A210</f>
        <v>ARI60206</v>
      </c>
      <c r="B210" s="16" t="str">
        <f aca="false">AR_Aging!C210</f>
        <v>Powell LLC</v>
      </c>
      <c r="C210" s="18" t="n">
        <f aca="false">AR_Aging!F210</f>
        <v>318.17</v>
      </c>
      <c r="D210" s="18" t="n">
        <f aca="false">AR_Aging!G210</f>
        <v>318.17</v>
      </c>
      <c r="E210" s="18" t="n">
        <f aca="false">AR_Aging!H210</f>
        <v>0</v>
      </c>
      <c r="F210" s="16" t="n">
        <f aca="false">AR_Aging!I210</f>
        <v>0</v>
      </c>
      <c r="G210" s="16" t="str">
        <f aca="false">AR_Aging!K210</f>
        <v>Paid</v>
      </c>
      <c r="H210" s="16" t="str">
        <f aca="false">IF(AND(G210="Unpaid",F210&gt;90),"HIGH - Fully Overdue 90+ Days",IF(G210="Partially Paid","MEDIUM - Short Paid","OK"))</f>
        <v>OK</v>
      </c>
    </row>
    <row r="211" customFormat="false" ht="15" hidden="false" customHeight="false" outlineLevel="0" collapsed="false">
      <c r="A211" s="16" t="str">
        <f aca="false">AR_Aging!A211</f>
        <v>ARI60207</v>
      </c>
      <c r="B211" s="16" t="str">
        <f aca="false">AR_Aging!C211</f>
        <v>Novak and Sons</v>
      </c>
      <c r="C211" s="18" t="n">
        <f aca="false">AR_Aging!F211</f>
        <v>4186.99</v>
      </c>
      <c r="D211" s="18" t="n">
        <f aca="false">AR_Aging!G211</f>
        <v>4186.99</v>
      </c>
      <c r="E211" s="18" t="n">
        <f aca="false">AR_Aging!H211</f>
        <v>0</v>
      </c>
      <c r="F211" s="16" t="n">
        <f aca="false">AR_Aging!I211</f>
        <v>0</v>
      </c>
      <c r="G211" s="16" t="str">
        <f aca="false">AR_Aging!K211</f>
        <v>Paid</v>
      </c>
      <c r="H211" s="16" t="str">
        <f aca="false">IF(AND(G211="Unpaid",F211&gt;90),"HIGH - Fully Overdue 90+ Days",IF(G211="Partially Paid","MEDIUM - Short Paid","OK"))</f>
        <v>OK</v>
      </c>
    </row>
    <row r="212" customFormat="false" ht="15" hidden="false" customHeight="false" outlineLevel="0" collapsed="false">
      <c r="A212" s="16" t="str">
        <f aca="false">AR_Aging!A212</f>
        <v>ARI60208</v>
      </c>
      <c r="B212" s="16" t="str">
        <f aca="false">AR_Aging!C212</f>
        <v>Novak PLC</v>
      </c>
      <c r="C212" s="18" t="n">
        <f aca="false">AR_Aging!F212</f>
        <v>753.14</v>
      </c>
      <c r="D212" s="18" t="n">
        <f aca="false">AR_Aging!G212</f>
        <v>753.14</v>
      </c>
      <c r="E212" s="18" t="n">
        <f aca="false">AR_Aging!H212</f>
        <v>0</v>
      </c>
      <c r="F212" s="16" t="n">
        <f aca="false">AR_Aging!I212</f>
        <v>0</v>
      </c>
      <c r="G212" s="16" t="str">
        <f aca="false">AR_Aging!K212</f>
        <v>Paid</v>
      </c>
      <c r="H212" s="16" t="str">
        <f aca="false">IF(AND(G212="Unpaid",F212&gt;90),"HIGH - Fully Overdue 90+ Days",IF(G212="Partially Paid","MEDIUM - Short Paid","OK"))</f>
        <v>OK</v>
      </c>
    </row>
    <row r="213" customFormat="false" ht="15" hidden="false" customHeight="false" outlineLevel="0" collapsed="false">
      <c r="A213" s="16" t="str">
        <f aca="false">AR_Aging!A213</f>
        <v>ARI60209</v>
      </c>
      <c r="B213" s="16" t="str">
        <f aca="false">AR_Aging!C213</f>
        <v>Robinson, Jones and Welch</v>
      </c>
      <c r="C213" s="18" t="n">
        <f aca="false">AR_Aging!F213</f>
        <v>672.7</v>
      </c>
      <c r="D213" s="18" t="n">
        <f aca="false">AR_Aging!G213</f>
        <v>0</v>
      </c>
      <c r="E213" s="18" t="n">
        <f aca="false">AR_Aging!H213</f>
        <v>672.7</v>
      </c>
      <c r="F213" s="16" t="n">
        <f aca="false">AR_Aging!I213</f>
        <v>393</v>
      </c>
      <c r="G213" s="16" t="str">
        <f aca="false">AR_Aging!K213</f>
        <v>Unpaid</v>
      </c>
      <c r="H213" s="16" t="str">
        <f aca="false">IF(AND(G213="Unpaid",F213&gt;90),"HIGH - Fully Overdue 90+ Days",IF(G213="Partially Paid","MEDIUM - Short Paid","OK"))</f>
        <v>HIGH - Fully Overdue 90+ Days</v>
      </c>
    </row>
    <row r="214" customFormat="false" ht="15" hidden="false" customHeight="false" outlineLevel="0" collapsed="false">
      <c r="A214" s="16" t="str">
        <f aca="false">AR_Aging!A214</f>
        <v>ARI60210</v>
      </c>
      <c r="B214" s="16" t="str">
        <f aca="false">AR_Aging!C214</f>
        <v>Hancock Inc</v>
      </c>
      <c r="C214" s="18" t="n">
        <f aca="false">AR_Aging!F214</f>
        <v>6725.63</v>
      </c>
      <c r="D214" s="18" t="n">
        <f aca="false">AR_Aging!G214</f>
        <v>6725.63</v>
      </c>
      <c r="E214" s="18" t="n">
        <f aca="false">AR_Aging!H214</f>
        <v>0</v>
      </c>
      <c r="F214" s="16" t="n">
        <f aca="false">AR_Aging!I214</f>
        <v>0</v>
      </c>
      <c r="G214" s="16" t="str">
        <f aca="false">AR_Aging!K214</f>
        <v>Paid</v>
      </c>
      <c r="H214" s="16" t="str">
        <f aca="false">IF(AND(G214="Unpaid",F214&gt;90),"HIGH - Fully Overdue 90+ Days",IF(G214="Partially Paid","MEDIUM - Short Paid","OK"))</f>
        <v>OK</v>
      </c>
    </row>
    <row r="215" customFormat="false" ht="15" hidden="false" customHeight="false" outlineLevel="0" collapsed="false">
      <c r="A215" s="16" t="str">
        <f aca="false">AR_Aging!A215</f>
        <v>ARI60211</v>
      </c>
      <c r="B215" s="16" t="str">
        <f aca="false">AR_Aging!C215</f>
        <v>Hensley, Powell and David</v>
      </c>
      <c r="C215" s="18" t="n">
        <f aca="false">AR_Aging!F215</f>
        <v>576.63</v>
      </c>
      <c r="D215" s="18" t="n">
        <f aca="false">AR_Aging!G215</f>
        <v>576.63</v>
      </c>
      <c r="E215" s="18" t="n">
        <f aca="false">AR_Aging!H215</f>
        <v>0</v>
      </c>
      <c r="F215" s="16" t="n">
        <f aca="false">AR_Aging!I215</f>
        <v>0</v>
      </c>
      <c r="G215" s="16" t="str">
        <f aca="false">AR_Aging!K215</f>
        <v>Paid</v>
      </c>
      <c r="H215" s="16" t="str">
        <f aca="false">IF(AND(G215="Unpaid",F215&gt;90),"HIGH - Fully Overdue 90+ Days",IF(G215="Partially Paid","MEDIUM - Short Paid","OK"))</f>
        <v>OK</v>
      </c>
    </row>
    <row r="216" customFormat="false" ht="15" hidden="false" customHeight="false" outlineLevel="0" collapsed="false">
      <c r="A216" s="16" t="str">
        <f aca="false">AR_Aging!A216</f>
        <v>ARI60212</v>
      </c>
      <c r="B216" s="16" t="str">
        <f aca="false">AR_Aging!C216</f>
        <v>Jones-Young</v>
      </c>
      <c r="C216" s="18" t="n">
        <f aca="false">AR_Aging!F216</f>
        <v>410.31</v>
      </c>
      <c r="D216" s="18" t="n">
        <f aca="false">AR_Aging!G216</f>
        <v>410.31</v>
      </c>
      <c r="E216" s="18" t="n">
        <f aca="false">AR_Aging!H216</f>
        <v>0</v>
      </c>
      <c r="F216" s="16" t="n">
        <f aca="false">AR_Aging!I216</f>
        <v>0</v>
      </c>
      <c r="G216" s="16" t="str">
        <f aca="false">AR_Aging!K216</f>
        <v>Paid</v>
      </c>
      <c r="H216" s="16" t="str">
        <f aca="false">IF(AND(G216="Unpaid",F216&gt;90),"HIGH - Fully Overdue 90+ Days",IF(G216="Partially Paid","MEDIUM - Short Paid","OK"))</f>
        <v>OK</v>
      </c>
    </row>
    <row r="217" customFormat="false" ht="15" hidden="false" customHeight="false" outlineLevel="0" collapsed="false">
      <c r="A217" s="16" t="str">
        <f aca="false">AR_Aging!A217</f>
        <v>ARI60213</v>
      </c>
      <c r="B217" s="16" t="str">
        <f aca="false">AR_Aging!C217</f>
        <v>Gray Group</v>
      </c>
      <c r="C217" s="18" t="n">
        <f aca="false">AR_Aging!F217</f>
        <v>2023.11</v>
      </c>
      <c r="D217" s="18" t="n">
        <f aca="false">AR_Aging!G217</f>
        <v>671.13</v>
      </c>
      <c r="E217" s="18" t="n">
        <f aca="false">AR_Aging!H217</f>
        <v>1351.98</v>
      </c>
      <c r="F217" s="16" t="n">
        <f aca="false">AR_Aging!I217</f>
        <v>147</v>
      </c>
      <c r="G217" s="16" t="str">
        <f aca="false">AR_Aging!K217</f>
        <v>Partially Paid</v>
      </c>
      <c r="H217" s="16" t="str">
        <f aca="false">IF(AND(G217="Unpaid",F217&gt;90),"HIGH - Fully Overdue 90+ Days",IF(G217="Partially Paid","MEDIUM - Short Paid","OK"))</f>
        <v>MEDIUM - Short Paid</v>
      </c>
    </row>
    <row r="218" customFormat="false" ht="15" hidden="false" customHeight="false" outlineLevel="0" collapsed="false">
      <c r="A218" s="16" t="str">
        <f aca="false">AR_Aging!A218</f>
        <v>ARI60214</v>
      </c>
      <c r="B218" s="16" t="str">
        <f aca="false">AR_Aging!C218</f>
        <v>Henderson-Bernard</v>
      </c>
      <c r="C218" s="18" t="n">
        <f aca="false">AR_Aging!F218</f>
        <v>882.81</v>
      </c>
      <c r="D218" s="18" t="n">
        <f aca="false">AR_Aging!G218</f>
        <v>882.81</v>
      </c>
      <c r="E218" s="18" t="n">
        <f aca="false">AR_Aging!H218</f>
        <v>0</v>
      </c>
      <c r="F218" s="16" t="n">
        <f aca="false">AR_Aging!I218</f>
        <v>0</v>
      </c>
      <c r="G218" s="16" t="str">
        <f aca="false">AR_Aging!K218</f>
        <v>Paid</v>
      </c>
      <c r="H218" s="16" t="str">
        <f aca="false">IF(AND(G218="Unpaid",F218&gt;90),"HIGH - Fully Overdue 90+ Days",IF(G218="Partially Paid","MEDIUM - Short Paid","OK"))</f>
        <v>OK</v>
      </c>
    </row>
    <row r="219" customFormat="false" ht="15" hidden="false" customHeight="false" outlineLevel="0" collapsed="false">
      <c r="A219" s="16" t="str">
        <f aca="false">AR_Aging!A219</f>
        <v>ARI60215</v>
      </c>
      <c r="B219" s="16" t="str">
        <f aca="false">AR_Aging!C219</f>
        <v>Wright and Sons</v>
      </c>
      <c r="C219" s="18" t="n">
        <f aca="false">AR_Aging!F219</f>
        <v>6647.76</v>
      </c>
      <c r="D219" s="18" t="n">
        <f aca="false">AR_Aging!G219</f>
        <v>6647.76</v>
      </c>
      <c r="E219" s="18" t="n">
        <f aca="false">AR_Aging!H219</f>
        <v>0</v>
      </c>
      <c r="F219" s="16" t="n">
        <f aca="false">AR_Aging!I219</f>
        <v>0</v>
      </c>
      <c r="G219" s="16" t="str">
        <f aca="false">AR_Aging!K219</f>
        <v>Paid</v>
      </c>
      <c r="H219" s="16" t="str">
        <f aca="false">IF(AND(G219="Unpaid",F219&gt;90),"HIGH - Fully Overdue 90+ Days",IF(G219="Partially Paid","MEDIUM - Short Paid","OK"))</f>
        <v>OK</v>
      </c>
    </row>
    <row r="220" customFormat="false" ht="15" hidden="false" customHeight="false" outlineLevel="0" collapsed="false">
      <c r="A220" s="16" t="str">
        <f aca="false">AR_Aging!A220</f>
        <v>ARI60216</v>
      </c>
      <c r="B220" s="16" t="str">
        <f aca="false">AR_Aging!C220</f>
        <v>West, Henderson and Ramirez</v>
      </c>
      <c r="C220" s="18" t="n">
        <f aca="false">AR_Aging!F220</f>
        <v>1948.03</v>
      </c>
      <c r="D220" s="18" t="n">
        <f aca="false">AR_Aging!G220</f>
        <v>0</v>
      </c>
      <c r="E220" s="18" t="n">
        <f aca="false">AR_Aging!H220</f>
        <v>1948.03</v>
      </c>
      <c r="F220" s="16" t="n">
        <f aca="false">AR_Aging!I220</f>
        <v>116</v>
      </c>
      <c r="G220" s="16" t="str">
        <f aca="false">AR_Aging!K220</f>
        <v>Unpaid</v>
      </c>
      <c r="H220" s="16" t="str">
        <f aca="false">IF(AND(G220="Unpaid",F220&gt;90),"HIGH - Fully Overdue 90+ Days",IF(G220="Partially Paid","MEDIUM - Short Paid","OK"))</f>
        <v>HIGH - Fully Overdue 90+ Days</v>
      </c>
    </row>
    <row r="221" customFormat="false" ht="15" hidden="false" customHeight="false" outlineLevel="0" collapsed="false">
      <c r="A221" s="16" t="str">
        <f aca="false">AR_Aging!A221</f>
        <v>ARI60217</v>
      </c>
      <c r="B221" s="16" t="str">
        <f aca="false">AR_Aging!C221</f>
        <v>Smith-Spencer</v>
      </c>
      <c r="C221" s="18" t="n">
        <f aca="false">AR_Aging!F221</f>
        <v>13454.72</v>
      </c>
      <c r="D221" s="18" t="n">
        <f aca="false">AR_Aging!G221</f>
        <v>9820.08</v>
      </c>
      <c r="E221" s="18" t="n">
        <f aca="false">AR_Aging!H221</f>
        <v>3634.64</v>
      </c>
      <c r="F221" s="16" t="n">
        <f aca="false">AR_Aging!I221</f>
        <v>380</v>
      </c>
      <c r="G221" s="16" t="str">
        <f aca="false">AR_Aging!K221</f>
        <v>Partially Paid</v>
      </c>
      <c r="H221" s="16" t="str">
        <f aca="false">IF(AND(G221="Unpaid",F221&gt;90),"HIGH - Fully Overdue 90+ Days",IF(G221="Partially Paid","MEDIUM - Short Paid","OK"))</f>
        <v>MEDIUM - Short Paid</v>
      </c>
    </row>
    <row r="222" customFormat="false" ht="15" hidden="false" customHeight="false" outlineLevel="0" collapsed="false">
      <c r="A222" s="16" t="str">
        <f aca="false">AR_Aging!A222</f>
        <v>ARI60218</v>
      </c>
      <c r="B222" s="16" t="str">
        <f aca="false">AR_Aging!C222</f>
        <v>Williams PLC</v>
      </c>
      <c r="C222" s="18" t="n">
        <f aca="false">AR_Aging!F222</f>
        <v>397.84</v>
      </c>
      <c r="D222" s="18" t="n">
        <f aca="false">AR_Aging!G222</f>
        <v>397.84</v>
      </c>
      <c r="E222" s="18" t="n">
        <f aca="false">AR_Aging!H222</f>
        <v>0</v>
      </c>
      <c r="F222" s="16" t="n">
        <f aca="false">AR_Aging!I222</f>
        <v>0</v>
      </c>
      <c r="G222" s="16" t="str">
        <f aca="false">AR_Aging!K222</f>
        <v>Paid</v>
      </c>
      <c r="H222" s="16" t="str">
        <f aca="false">IF(AND(G222="Unpaid",F222&gt;90),"HIGH - Fully Overdue 90+ Days",IF(G222="Partially Paid","MEDIUM - Short Paid","OK"))</f>
        <v>OK</v>
      </c>
    </row>
    <row r="223" customFormat="false" ht="15" hidden="false" customHeight="false" outlineLevel="0" collapsed="false">
      <c r="A223" s="16" t="str">
        <f aca="false">AR_Aging!A223</f>
        <v>ARI60219</v>
      </c>
      <c r="B223" s="16" t="str">
        <f aca="false">AR_Aging!C223</f>
        <v>Daniels, Adkins and Brown</v>
      </c>
      <c r="C223" s="18" t="n">
        <f aca="false">AR_Aging!F223</f>
        <v>2005.26</v>
      </c>
      <c r="D223" s="18" t="n">
        <f aca="false">AR_Aging!G223</f>
        <v>0</v>
      </c>
      <c r="E223" s="18" t="n">
        <f aca="false">AR_Aging!H223</f>
        <v>2005.26</v>
      </c>
      <c r="F223" s="16" t="n">
        <f aca="false">AR_Aging!I223</f>
        <v>264</v>
      </c>
      <c r="G223" s="16" t="str">
        <f aca="false">AR_Aging!K223</f>
        <v>Unpaid</v>
      </c>
      <c r="H223" s="16" t="str">
        <f aca="false">IF(AND(G223="Unpaid",F223&gt;90),"HIGH - Fully Overdue 90+ Days",IF(G223="Partially Paid","MEDIUM - Short Paid","OK"))</f>
        <v>HIGH - Fully Overdue 90+ Days</v>
      </c>
    </row>
    <row r="224" customFormat="false" ht="15" hidden="false" customHeight="false" outlineLevel="0" collapsed="false">
      <c r="A224" s="16" t="str">
        <f aca="false">AR_Aging!A224</f>
        <v>ARI60220</v>
      </c>
      <c r="B224" s="16" t="str">
        <f aca="false">AR_Aging!C224</f>
        <v>Henderson-Bernard</v>
      </c>
      <c r="C224" s="18" t="n">
        <f aca="false">AR_Aging!F224</f>
        <v>5191.06</v>
      </c>
      <c r="D224" s="18" t="n">
        <f aca="false">AR_Aging!G224</f>
        <v>5191.06</v>
      </c>
      <c r="E224" s="18" t="n">
        <f aca="false">AR_Aging!H224</f>
        <v>0</v>
      </c>
      <c r="F224" s="16" t="n">
        <f aca="false">AR_Aging!I224</f>
        <v>0</v>
      </c>
      <c r="G224" s="16" t="str">
        <f aca="false">AR_Aging!K224</f>
        <v>Paid</v>
      </c>
      <c r="H224" s="16" t="str">
        <f aca="false">IF(AND(G224="Unpaid",F224&gt;90),"HIGH - Fully Overdue 90+ Days",IF(G224="Partially Paid","MEDIUM - Short Paid","OK"))</f>
        <v>OK</v>
      </c>
    </row>
    <row r="225" customFormat="false" ht="15" hidden="false" customHeight="false" outlineLevel="0" collapsed="false">
      <c r="A225" s="16" t="str">
        <f aca="false">AR_Aging!A225</f>
        <v>ARI60221</v>
      </c>
      <c r="B225" s="16" t="str">
        <f aca="false">AR_Aging!C225</f>
        <v>Hensley, Powell and David</v>
      </c>
      <c r="C225" s="18" t="n">
        <f aca="false">AR_Aging!F225</f>
        <v>2721.67</v>
      </c>
      <c r="D225" s="18" t="n">
        <f aca="false">AR_Aging!G225</f>
        <v>2721.67</v>
      </c>
      <c r="E225" s="18" t="n">
        <f aca="false">AR_Aging!H225</f>
        <v>0</v>
      </c>
      <c r="F225" s="16" t="n">
        <f aca="false">AR_Aging!I225</f>
        <v>0</v>
      </c>
      <c r="G225" s="16" t="str">
        <f aca="false">AR_Aging!K225</f>
        <v>Paid</v>
      </c>
      <c r="H225" s="16" t="str">
        <f aca="false">IF(AND(G225="Unpaid",F225&gt;90),"HIGH - Fully Overdue 90+ Days",IF(G225="Partially Paid","MEDIUM - Short Paid","OK"))</f>
        <v>OK</v>
      </c>
    </row>
    <row r="226" customFormat="false" ht="15" hidden="false" customHeight="false" outlineLevel="0" collapsed="false">
      <c r="A226" s="16" t="str">
        <f aca="false">AR_Aging!A226</f>
        <v>ARI60222</v>
      </c>
      <c r="B226" s="16" t="str">
        <f aca="false">AR_Aging!C226</f>
        <v>Baxter Inc</v>
      </c>
      <c r="C226" s="18" t="n">
        <f aca="false">AR_Aging!F226</f>
        <v>6806.9</v>
      </c>
      <c r="D226" s="18" t="n">
        <f aca="false">AR_Aging!G226</f>
        <v>0</v>
      </c>
      <c r="E226" s="18" t="n">
        <f aca="false">AR_Aging!H226</f>
        <v>6806.9</v>
      </c>
      <c r="F226" s="16" t="n">
        <f aca="false">AR_Aging!I226</f>
        <v>122</v>
      </c>
      <c r="G226" s="16" t="str">
        <f aca="false">AR_Aging!K226</f>
        <v>Unpaid</v>
      </c>
      <c r="H226" s="16" t="str">
        <f aca="false">IF(AND(G226="Unpaid",F226&gt;90),"HIGH - Fully Overdue 90+ Days",IF(G226="Partially Paid","MEDIUM - Short Paid","OK"))</f>
        <v>HIGH - Fully Overdue 90+ Days</v>
      </c>
    </row>
    <row r="227" customFormat="false" ht="15" hidden="false" customHeight="false" outlineLevel="0" collapsed="false">
      <c r="A227" s="16" t="str">
        <f aca="false">AR_Aging!A227</f>
        <v>ARI60223</v>
      </c>
      <c r="B227" s="16" t="str">
        <f aca="false">AR_Aging!C227</f>
        <v>Woods, Calhoun and Schmidt</v>
      </c>
      <c r="C227" s="18" t="n">
        <f aca="false">AR_Aging!F227</f>
        <v>1083.03</v>
      </c>
      <c r="D227" s="18" t="n">
        <f aca="false">AR_Aging!G227</f>
        <v>1083.03</v>
      </c>
      <c r="E227" s="18" t="n">
        <f aca="false">AR_Aging!H227</f>
        <v>0</v>
      </c>
      <c r="F227" s="16" t="n">
        <f aca="false">AR_Aging!I227</f>
        <v>0</v>
      </c>
      <c r="G227" s="16" t="str">
        <f aca="false">AR_Aging!K227</f>
        <v>Paid</v>
      </c>
      <c r="H227" s="16" t="str">
        <f aca="false">IF(AND(G227="Unpaid",F227&gt;90),"HIGH - Fully Overdue 90+ Days",IF(G227="Partially Paid","MEDIUM - Short Paid","OK"))</f>
        <v>OK</v>
      </c>
    </row>
    <row r="228" customFormat="false" ht="15" hidden="false" customHeight="false" outlineLevel="0" collapsed="false">
      <c r="A228" s="16" t="str">
        <f aca="false">AR_Aging!A228</f>
        <v>ARI60224</v>
      </c>
      <c r="B228" s="16" t="str">
        <f aca="false">AR_Aging!C228</f>
        <v>Smith-Spencer</v>
      </c>
      <c r="C228" s="18" t="n">
        <f aca="false">AR_Aging!F228</f>
        <v>4378.8</v>
      </c>
      <c r="D228" s="18" t="n">
        <f aca="false">AR_Aging!G228</f>
        <v>1538.1</v>
      </c>
      <c r="E228" s="18" t="n">
        <f aca="false">AR_Aging!H228</f>
        <v>2840.7</v>
      </c>
      <c r="F228" s="16" t="n">
        <f aca="false">AR_Aging!I228</f>
        <v>183</v>
      </c>
      <c r="G228" s="16" t="str">
        <f aca="false">AR_Aging!K228</f>
        <v>Partially Paid</v>
      </c>
      <c r="H228" s="16" t="str">
        <f aca="false">IF(AND(G228="Unpaid",F228&gt;90),"HIGH - Fully Overdue 90+ Days",IF(G228="Partially Paid","MEDIUM - Short Paid","OK"))</f>
        <v>MEDIUM - Short Paid</v>
      </c>
    </row>
    <row r="229" customFormat="false" ht="15" hidden="false" customHeight="false" outlineLevel="0" collapsed="false">
      <c r="A229" s="16" t="str">
        <f aca="false">AR_Aging!A229</f>
        <v>ARI60225</v>
      </c>
      <c r="B229" s="16" t="str">
        <f aca="false">AR_Aging!C229</f>
        <v>Stanley, Tucker and Lee</v>
      </c>
      <c r="C229" s="18" t="n">
        <f aca="false">AR_Aging!F229</f>
        <v>8987.97</v>
      </c>
      <c r="D229" s="18" t="n">
        <f aca="false">AR_Aging!G229</f>
        <v>8987.97</v>
      </c>
      <c r="E229" s="18" t="n">
        <f aca="false">AR_Aging!H229</f>
        <v>0</v>
      </c>
      <c r="F229" s="16" t="n">
        <f aca="false">AR_Aging!I229</f>
        <v>0</v>
      </c>
      <c r="G229" s="16" t="str">
        <f aca="false">AR_Aging!K229</f>
        <v>Paid</v>
      </c>
      <c r="H229" s="16" t="str">
        <f aca="false">IF(AND(G229="Unpaid",F229&gt;90),"HIGH - Fully Overdue 90+ Days",IF(G229="Partially Paid","MEDIUM - Short Paid","OK"))</f>
        <v>OK</v>
      </c>
    </row>
    <row r="230" customFormat="false" ht="15" hidden="false" customHeight="false" outlineLevel="0" collapsed="false">
      <c r="A230" s="16" t="str">
        <f aca="false">AR_Aging!A230</f>
        <v>ARI60226</v>
      </c>
      <c r="B230" s="16" t="str">
        <f aca="false">AR_Aging!C230</f>
        <v>Jones Inc</v>
      </c>
      <c r="C230" s="18" t="n">
        <f aca="false">AR_Aging!F230</f>
        <v>14949.45</v>
      </c>
      <c r="D230" s="18" t="n">
        <f aca="false">AR_Aging!G230</f>
        <v>14949.45</v>
      </c>
      <c r="E230" s="18" t="n">
        <f aca="false">AR_Aging!H230</f>
        <v>0</v>
      </c>
      <c r="F230" s="16" t="n">
        <f aca="false">AR_Aging!I230</f>
        <v>0</v>
      </c>
      <c r="G230" s="16" t="str">
        <f aca="false">AR_Aging!K230</f>
        <v>Paid</v>
      </c>
      <c r="H230" s="16" t="str">
        <f aca="false">IF(AND(G230="Unpaid",F230&gt;90),"HIGH - Fully Overdue 90+ Days",IF(G230="Partially Paid","MEDIUM - Short Paid","OK"))</f>
        <v>OK</v>
      </c>
    </row>
    <row r="231" customFormat="false" ht="15" hidden="false" customHeight="false" outlineLevel="0" collapsed="false">
      <c r="A231" s="16" t="str">
        <f aca="false">AR_Aging!A231</f>
        <v>ARI60227</v>
      </c>
      <c r="B231" s="16" t="str">
        <f aca="false">AR_Aging!C231</f>
        <v>Daniels, Adkins and Brown</v>
      </c>
      <c r="C231" s="18" t="n">
        <f aca="false">AR_Aging!F231</f>
        <v>2225.7</v>
      </c>
      <c r="D231" s="18" t="n">
        <f aca="false">AR_Aging!G231</f>
        <v>2225.7</v>
      </c>
      <c r="E231" s="18" t="n">
        <f aca="false">AR_Aging!H231</f>
        <v>0</v>
      </c>
      <c r="F231" s="16" t="n">
        <f aca="false">AR_Aging!I231</f>
        <v>0</v>
      </c>
      <c r="G231" s="16" t="str">
        <f aca="false">AR_Aging!K231</f>
        <v>Paid</v>
      </c>
      <c r="H231" s="16" t="str">
        <f aca="false">IF(AND(G231="Unpaid",F231&gt;90),"HIGH - Fully Overdue 90+ Days",IF(G231="Partially Paid","MEDIUM - Short Paid","OK"))</f>
        <v>OK</v>
      </c>
    </row>
    <row r="232" customFormat="false" ht="15" hidden="false" customHeight="false" outlineLevel="0" collapsed="false">
      <c r="A232" s="16" t="str">
        <f aca="false">AR_Aging!A232</f>
        <v>ARI60228</v>
      </c>
      <c r="B232" s="16" t="str">
        <f aca="false">AR_Aging!C232</f>
        <v>Powell LLC</v>
      </c>
      <c r="C232" s="18" t="n">
        <f aca="false">AR_Aging!F232</f>
        <v>1125.91</v>
      </c>
      <c r="D232" s="18" t="n">
        <f aca="false">AR_Aging!G232</f>
        <v>1125.91</v>
      </c>
      <c r="E232" s="18" t="n">
        <f aca="false">AR_Aging!H232</f>
        <v>0</v>
      </c>
      <c r="F232" s="16" t="n">
        <f aca="false">AR_Aging!I232</f>
        <v>0</v>
      </c>
      <c r="G232" s="16" t="str">
        <f aca="false">AR_Aging!K232</f>
        <v>Paid</v>
      </c>
      <c r="H232" s="16" t="str">
        <f aca="false">IF(AND(G232="Unpaid",F232&gt;90),"HIGH - Fully Overdue 90+ Days",IF(G232="Partially Paid","MEDIUM - Short Paid","OK"))</f>
        <v>OK</v>
      </c>
    </row>
    <row r="233" customFormat="false" ht="15" hidden="false" customHeight="false" outlineLevel="0" collapsed="false">
      <c r="A233" s="16" t="str">
        <f aca="false">AR_Aging!A233</f>
        <v>ARI60229</v>
      </c>
      <c r="B233" s="16" t="str">
        <f aca="false">AR_Aging!C233</f>
        <v>Sanchez, Wheeler and Harvey</v>
      </c>
      <c r="C233" s="18" t="n">
        <f aca="false">AR_Aging!F233</f>
        <v>3138.47</v>
      </c>
      <c r="D233" s="18" t="n">
        <f aca="false">AR_Aging!G233</f>
        <v>3138.47</v>
      </c>
      <c r="E233" s="18" t="n">
        <f aca="false">AR_Aging!H233</f>
        <v>0</v>
      </c>
      <c r="F233" s="16" t="n">
        <f aca="false">AR_Aging!I233</f>
        <v>0</v>
      </c>
      <c r="G233" s="16" t="str">
        <f aca="false">AR_Aging!K233</f>
        <v>Paid</v>
      </c>
      <c r="H233" s="16" t="str">
        <f aca="false">IF(AND(G233="Unpaid",F233&gt;90),"HIGH - Fully Overdue 90+ Days",IF(G233="Partially Paid","MEDIUM - Short Paid","OK"))</f>
        <v>OK</v>
      </c>
    </row>
    <row r="234" customFormat="false" ht="15" hidden="false" customHeight="false" outlineLevel="0" collapsed="false">
      <c r="A234" s="16" t="str">
        <f aca="false">AR_Aging!A234</f>
        <v>ARI60230</v>
      </c>
      <c r="B234" s="16" t="str">
        <f aca="false">AR_Aging!C234</f>
        <v>Hensley, Powell and David</v>
      </c>
      <c r="C234" s="18" t="n">
        <f aca="false">AR_Aging!F234</f>
        <v>3349.88</v>
      </c>
      <c r="D234" s="18" t="n">
        <f aca="false">AR_Aging!G234</f>
        <v>2102.51</v>
      </c>
      <c r="E234" s="18" t="n">
        <f aca="false">AR_Aging!H234</f>
        <v>1247.37</v>
      </c>
      <c r="F234" s="16" t="n">
        <f aca="false">AR_Aging!I234</f>
        <v>357</v>
      </c>
      <c r="G234" s="16" t="str">
        <f aca="false">AR_Aging!K234</f>
        <v>Partially Paid</v>
      </c>
      <c r="H234" s="16" t="str">
        <f aca="false">IF(AND(G234="Unpaid",F234&gt;90),"HIGH - Fully Overdue 90+ Days",IF(G234="Partially Paid","MEDIUM - Short Paid","OK"))</f>
        <v>MEDIUM - Short Paid</v>
      </c>
    </row>
    <row r="235" customFormat="false" ht="15" hidden="false" customHeight="false" outlineLevel="0" collapsed="false">
      <c r="A235" s="16" t="str">
        <f aca="false">AR_Aging!A235</f>
        <v>ARI60231</v>
      </c>
      <c r="B235" s="16" t="str">
        <f aca="false">AR_Aging!C235</f>
        <v>Russell Group</v>
      </c>
      <c r="C235" s="18" t="n">
        <f aca="false">AR_Aging!F235</f>
        <v>3302.54</v>
      </c>
      <c r="D235" s="18" t="n">
        <f aca="false">AR_Aging!G235</f>
        <v>3302.54</v>
      </c>
      <c r="E235" s="18" t="n">
        <f aca="false">AR_Aging!H235</f>
        <v>0</v>
      </c>
      <c r="F235" s="16" t="n">
        <f aca="false">AR_Aging!I235</f>
        <v>0</v>
      </c>
      <c r="G235" s="16" t="str">
        <f aca="false">AR_Aging!K235</f>
        <v>Paid</v>
      </c>
      <c r="H235" s="16" t="str">
        <f aca="false">IF(AND(G235="Unpaid",F235&gt;90),"HIGH - Fully Overdue 90+ Days",IF(G235="Partially Paid","MEDIUM - Short Paid","OK"))</f>
        <v>OK</v>
      </c>
    </row>
    <row r="236" customFormat="false" ht="15" hidden="false" customHeight="false" outlineLevel="0" collapsed="false">
      <c r="A236" s="16" t="str">
        <f aca="false">AR_Aging!A236</f>
        <v>ARI60232</v>
      </c>
      <c r="B236" s="16" t="str">
        <f aca="false">AR_Aging!C236</f>
        <v>Gray Group</v>
      </c>
      <c r="C236" s="18" t="n">
        <f aca="false">AR_Aging!F236</f>
        <v>346.91</v>
      </c>
      <c r="D236" s="18" t="n">
        <f aca="false">AR_Aging!G236</f>
        <v>0</v>
      </c>
      <c r="E236" s="18" t="n">
        <f aca="false">AR_Aging!H236</f>
        <v>346.91</v>
      </c>
      <c r="F236" s="16" t="n">
        <f aca="false">AR_Aging!I236</f>
        <v>438</v>
      </c>
      <c r="G236" s="16" t="str">
        <f aca="false">AR_Aging!K236</f>
        <v>Unpaid</v>
      </c>
      <c r="H236" s="16" t="str">
        <f aca="false">IF(AND(G236="Unpaid",F236&gt;90),"HIGH - Fully Overdue 90+ Days",IF(G236="Partially Paid","MEDIUM - Short Paid","OK"))</f>
        <v>HIGH - Fully Overdue 90+ Days</v>
      </c>
    </row>
    <row r="237" customFormat="false" ht="15" hidden="false" customHeight="false" outlineLevel="0" collapsed="false">
      <c r="A237" s="16" t="str">
        <f aca="false">AR_Aging!A237</f>
        <v>ARI60233</v>
      </c>
      <c r="B237" s="16" t="str">
        <f aca="false">AR_Aging!C237</f>
        <v>Lee-Davis</v>
      </c>
      <c r="C237" s="18" t="n">
        <f aca="false">AR_Aging!F237</f>
        <v>6811</v>
      </c>
      <c r="D237" s="18" t="n">
        <f aca="false">AR_Aging!G237</f>
        <v>6811</v>
      </c>
      <c r="E237" s="18" t="n">
        <f aca="false">AR_Aging!H237</f>
        <v>0</v>
      </c>
      <c r="F237" s="16" t="n">
        <f aca="false">AR_Aging!I237</f>
        <v>0</v>
      </c>
      <c r="G237" s="16" t="str">
        <f aca="false">AR_Aging!K237</f>
        <v>Paid</v>
      </c>
      <c r="H237" s="16" t="str">
        <f aca="false">IF(AND(G237="Unpaid",F237&gt;90),"HIGH - Fully Overdue 90+ Days",IF(G237="Partially Paid","MEDIUM - Short Paid","OK"))</f>
        <v>OK</v>
      </c>
    </row>
    <row r="238" customFormat="false" ht="15" hidden="false" customHeight="false" outlineLevel="0" collapsed="false">
      <c r="A238" s="16" t="str">
        <f aca="false">AR_Aging!A238</f>
        <v>ARI60234</v>
      </c>
      <c r="B238" s="16" t="str">
        <f aca="false">AR_Aging!C238</f>
        <v>West, Henderson and Ramirez</v>
      </c>
      <c r="C238" s="18" t="n">
        <f aca="false">AR_Aging!F238</f>
        <v>1186.01</v>
      </c>
      <c r="D238" s="18" t="n">
        <f aca="false">AR_Aging!G238</f>
        <v>367.75</v>
      </c>
      <c r="E238" s="18" t="n">
        <f aca="false">AR_Aging!H238</f>
        <v>818.26</v>
      </c>
      <c r="F238" s="16" t="n">
        <f aca="false">AR_Aging!I238</f>
        <v>8</v>
      </c>
      <c r="G238" s="16" t="str">
        <f aca="false">AR_Aging!K238</f>
        <v>Partially Paid</v>
      </c>
      <c r="H238" s="16" t="str">
        <f aca="false">IF(AND(G238="Unpaid",F238&gt;90),"HIGH - Fully Overdue 90+ Days",IF(G238="Partially Paid","MEDIUM - Short Paid","OK"))</f>
        <v>MEDIUM - Short Paid</v>
      </c>
    </row>
    <row r="239" customFormat="false" ht="15" hidden="false" customHeight="false" outlineLevel="0" collapsed="false">
      <c r="A239" s="16" t="str">
        <f aca="false">AR_Aging!A239</f>
        <v>ARI60235</v>
      </c>
      <c r="B239" s="16" t="str">
        <f aca="false">AR_Aging!C239</f>
        <v>Sanchez, Wheeler and Harvey</v>
      </c>
      <c r="C239" s="18" t="n">
        <f aca="false">AR_Aging!F239</f>
        <v>713.03</v>
      </c>
      <c r="D239" s="18" t="n">
        <f aca="false">AR_Aging!G239</f>
        <v>429.55</v>
      </c>
      <c r="E239" s="18" t="n">
        <f aca="false">AR_Aging!H239</f>
        <v>283.48</v>
      </c>
      <c r="F239" s="16" t="n">
        <f aca="false">AR_Aging!I239</f>
        <v>281</v>
      </c>
      <c r="G239" s="16" t="str">
        <f aca="false">AR_Aging!K239</f>
        <v>Partially Paid</v>
      </c>
      <c r="H239" s="16" t="str">
        <f aca="false">IF(AND(G239="Unpaid",F239&gt;90),"HIGH - Fully Overdue 90+ Days",IF(G239="Partially Paid","MEDIUM - Short Paid","OK"))</f>
        <v>MEDIUM - Short Paid</v>
      </c>
    </row>
    <row r="240" customFormat="false" ht="15" hidden="false" customHeight="false" outlineLevel="0" collapsed="false">
      <c r="A240" s="16" t="str">
        <f aca="false">AR_Aging!A240</f>
        <v>ARI60236</v>
      </c>
      <c r="B240" s="16" t="str">
        <f aca="false">AR_Aging!C240</f>
        <v>Stanley, Tucker and Lee</v>
      </c>
      <c r="C240" s="18" t="n">
        <f aca="false">AR_Aging!F240</f>
        <v>3693.27</v>
      </c>
      <c r="D240" s="18" t="n">
        <f aca="false">AR_Aging!G240</f>
        <v>0</v>
      </c>
      <c r="E240" s="18" t="n">
        <f aca="false">AR_Aging!H240</f>
        <v>3693.27</v>
      </c>
      <c r="F240" s="16" t="n">
        <f aca="false">AR_Aging!I240</f>
        <v>0</v>
      </c>
      <c r="G240" s="16" t="str">
        <f aca="false">AR_Aging!K240</f>
        <v>Unpaid</v>
      </c>
      <c r="H240" s="16" t="str">
        <f aca="false">IF(AND(G240="Unpaid",F240&gt;90),"HIGH - Fully Overdue 90+ Days",IF(G240="Partially Paid","MEDIUM - Short Paid","OK"))</f>
        <v>OK</v>
      </c>
    </row>
    <row r="241" customFormat="false" ht="15" hidden="false" customHeight="false" outlineLevel="0" collapsed="false">
      <c r="A241" s="16" t="str">
        <f aca="false">AR_Aging!A241</f>
        <v>ARI60237</v>
      </c>
      <c r="B241" s="16" t="str">
        <f aca="false">AR_Aging!C241</f>
        <v>Washington, Ryan and Cummings</v>
      </c>
      <c r="C241" s="18" t="n">
        <f aca="false">AR_Aging!F241</f>
        <v>1811.75</v>
      </c>
      <c r="D241" s="18" t="n">
        <f aca="false">AR_Aging!G241</f>
        <v>1296.73</v>
      </c>
      <c r="E241" s="18" t="n">
        <f aca="false">AR_Aging!H241</f>
        <v>515.02</v>
      </c>
      <c r="F241" s="16" t="n">
        <f aca="false">AR_Aging!I241</f>
        <v>266</v>
      </c>
      <c r="G241" s="16" t="str">
        <f aca="false">AR_Aging!K241</f>
        <v>Partially Paid</v>
      </c>
      <c r="H241" s="16" t="str">
        <f aca="false">IF(AND(G241="Unpaid",F241&gt;90),"HIGH - Fully Overdue 90+ Days",IF(G241="Partially Paid","MEDIUM - Short Paid","OK"))</f>
        <v>MEDIUM - Short Paid</v>
      </c>
    </row>
    <row r="242" customFormat="false" ht="15" hidden="false" customHeight="false" outlineLevel="0" collapsed="false">
      <c r="A242" s="16" t="str">
        <f aca="false">AR_Aging!A242</f>
        <v>ARI60238</v>
      </c>
      <c r="B242" s="16" t="str">
        <f aca="false">AR_Aging!C242</f>
        <v>Henderson-Bernard</v>
      </c>
      <c r="C242" s="18" t="n">
        <f aca="false">AR_Aging!F242</f>
        <v>2133.93</v>
      </c>
      <c r="D242" s="18" t="n">
        <f aca="false">AR_Aging!G242</f>
        <v>0</v>
      </c>
      <c r="E242" s="18" t="n">
        <f aca="false">AR_Aging!H242</f>
        <v>2133.93</v>
      </c>
      <c r="F242" s="16" t="n">
        <f aca="false">AR_Aging!I242</f>
        <v>408</v>
      </c>
      <c r="G242" s="16" t="str">
        <f aca="false">AR_Aging!K242</f>
        <v>Unpaid</v>
      </c>
      <c r="H242" s="16" t="str">
        <f aca="false">IF(AND(G242="Unpaid",F242&gt;90),"HIGH - Fully Overdue 90+ Days",IF(G242="Partially Paid","MEDIUM - Short Paid","OK"))</f>
        <v>HIGH - Fully Overdue 90+ Days</v>
      </c>
    </row>
    <row r="243" customFormat="false" ht="15" hidden="false" customHeight="false" outlineLevel="0" collapsed="false">
      <c r="A243" s="16" t="str">
        <f aca="false">AR_Aging!A243</f>
        <v>ARI60239</v>
      </c>
      <c r="B243" s="16" t="str">
        <f aca="false">AR_Aging!C243</f>
        <v>Novak PLC</v>
      </c>
      <c r="C243" s="18" t="n">
        <f aca="false">AR_Aging!F243</f>
        <v>2390.69</v>
      </c>
      <c r="D243" s="18" t="n">
        <f aca="false">AR_Aging!G243</f>
        <v>1329.65</v>
      </c>
      <c r="E243" s="18" t="n">
        <f aca="false">AR_Aging!H243</f>
        <v>1061.04</v>
      </c>
      <c r="F243" s="16" t="n">
        <f aca="false">AR_Aging!I243</f>
        <v>106</v>
      </c>
      <c r="G243" s="16" t="str">
        <f aca="false">AR_Aging!K243</f>
        <v>Partially Paid</v>
      </c>
      <c r="H243" s="16" t="str">
        <f aca="false">IF(AND(G243="Unpaid",F243&gt;90),"HIGH - Fully Overdue 90+ Days",IF(G243="Partially Paid","MEDIUM - Short Paid","OK"))</f>
        <v>MEDIUM - Short Paid</v>
      </c>
    </row>
    <row r="244" customFormat="false" ht="15" hidden="false" customHeight="false" outlineLevel="0" collapsed="false">
      <c r="A244" s="16" t="str">
        <f aca="false">AR_Aging!A244</f>
        <v>ARI60240</v>
      </c>
      <c r="B244" s="16" t="str">
        <f aca="false">AR_Aging!C244</f>
        <v>Hensley, Powell and David</v>
      </c>
      <c r="C244" s="18" t="n">
        <f aca="false">AR_Aging!F244</f>
        <v>1478.27</v>
      </c>
      <c r="D244" s="18" t="n">
        <f aca="false">AR_Aging!G244</f>
        <v>1478.27</v>
      </c>
      <c r="E244" s="18" t="n">
        <f aca="false">AR_Aging!H244</f>
        <v>0</v>
      </c>
      <c r="F244" s="16" t="n">
        <f aca="false">AR_Aging!I244</f>
        <v>0</v>
      </c>
      <c r="G244" s="16" t="str">
        <f aca="false">AR_Aging!K244</f>
        <v>Paid</v>
      </c>
      <c r="H244" s="16" t="str">
        <f aca="false">IF(AND(G244="Unpaid",F244&gt;90),"HIGH - Fully Overdue 90+ Days",IF(G244="Partially Paid","MEDIUM - Short Paid","OK"))</f>
        <v>OK</v>
      </c>
    </row>
    <row r="245" customFormat="false" ht="15" hidden="false" customHeight="false" outlineLevel="0" collapsed="false">
      <c r="A245" s="16" t="str">
        <f aca="false">AR_Aging!A245</f>
        <v>ARI60241</v>
      </c>
      <c r="B245" s="16" t="str">
        <f aca="false">AR_Aging!C245</f>
        <v>Smith-Spencer</v>
      </c>
      <c r="C245" s="18" t="n">
        <f aca="false">AR_Aging!F245</f>
        <v>951.67</v>
      </c>
      <c r="D245" s="18" t="n">
        <f aca="false">AR_Aging!G245</f>
        <v>951.67</v>
      </c>
      <c r="E245" s="18" t="n">
        <f aca="false">AR_Aging!H245</f>
        <v>0</v>
      </c>
      <c r="F245" s="16" t="n">
        <f aca="false">AR_Aging!I245</f>
        <v>0</v>
      </c>
      <c r="G245" s="16" t="str">
        <f aca="false">AR_Aging!K245</f>
        <v>Paid</v>
      </c>
      <c r="H245" s="16" t="str">
        <f aca="false">IF(AND(G245="Unpaid",F245&gt;90),"HIGH - Fully Overdue 90+ Days",IF(G245="Partially Paid","MEDIUM - Short Paid","OK"))</f>
        <v>OK</v>
      </c>
    </row>
    <row r="246" customFormat="false" ht="15" hidden="false" customHeight="false" outlineLevel="0" collapsed="false">
      <c r="A246" s="16" t="str">
        <f aca="false">AR_Aging!A246</f>
        <v>ARI60242</v>
      </c>
      <c r="B246" s="16" t="str">
        <f aca="false">AR_Aging!C246</f>
        <v>Gomez-Jenkins</v>
      </c>
      <c r="C246" s="18" t="n">
        <f aca="false">AR_Aging!F246</f>
        <v>4785.44</v>
      </c>
      <c r="D246" s="18" t="n">
        <f aca="false">AR_Aging!G246</f>
        <v>4785.44</v>
      </c>
      <c r="E246" s="18" t="n">
        <f aca="false">AR_Aging!H246</f>
        <v>0</v>
      </c>
      <c r="F246" s="16" t="n">
        <f aca="false">AR_Aging!I246</f>
        <v>0</v>
      </c>
      <c r="G246" s="16" t="str">
        <f aca="false">AR_Aging!K246</f>
        <v>Paid</v>
      </c>
      <c r="H246" s="16" t="str">
        <f aca="false">IF(AND(G246="Unpaid",F246&gt;90),"HIGH - Fully Overdue 90+ Days",IF(G246="Partially Paid","MEDIUM - Short Paid","OK"))</f>
        <v>OK</v>
      </c>
    </row>
    <row r="247" customFormat="false" ht="15" hidden="false" customHeight="false" outlineLevel="0" collapsed="false">
      <c r="A247" s="16" t="str">
        <f aca="false">AR_Aging!A247</f>
        <v>ARI60243</v>
      </c>
      <c r="B247" s="16" t="str">
        <f aca="false">AR_Aging!C247</f>
        <v>Sanchez, Wheeler and Harvey</v>
      </c>
      <c r="C247" s="18" t="n">
        <f aca="false">AR_Aging!F247</f>
        <v>4420.51</v>
      </c>
      <c r="D247" s="18" t="n">
        <f aca="false">AR_Aging!G247</f>
        <v>4420.51</v>
      </c>
      <c r="E247" s="18" t="n">
        <f aca="false">AR_Aging!H247</f>
        <v>0</v>
      </c>
      <c r="F247" s="16" t="n">
        <f aca="false">AR_Aging!I247</f>
        <v>0</v>
      </c>
      <c r="G247" s="16" t="str">
        <f aca="false">AR_Aging!K247</f>
        <v>Paid</v>
      </c>
      <c r="H247" s="16" t="str">
        <f aca="false">IF(AND(G247="Unpaid",F247&gt;90),"HIGH - Fully Overdue 90+ Days",IF(G247="Partially Paid","MEDIUM - Short Paid","OK"))</f>
        <v>OK</v>
      </c>
    </row>
    <row r="248" customFormat="false" ht="15" hidden="false" customHeight="false" outlineLevel="0" collapsed="false">
      <c r="A248" s="16" t="str">
        <f aca="false">AR_Aging!A248</f>
        <v>ARI60244</v>
      </c>
      <c r="B248" s="16" t="str">
        <f aca="false">AR_Aging!C248</f>
        <v>Johnston, Sanchez and Kennedy</v>
      </c>
      <c r="C248" s="18" t="n">
        <f aca="false">AR_Aging!F248</f>
        <v>2086.28</v>
      </c>
      <c r="D248" s="18" t="n">
        <f aca="false">AR_Aging!G248</f>
        <v>2086.28</v>
      </c>
      <c r="E248" s="18" t="n">
        <f aca="false">AR_Aging!H248</f>
        <v>0</v>
      </c>
      <c r="F248" s="16" t="n">
        <f aca="false">AR_Aging!I248</f>
        <v>0</v>
      </c>
      <c r="G248" s="16" t="str">
        <f aca="false">AR_Aging!K248</f>
        <v>Paid</v>
      </c>
      <c r="H248" s="16" t="str">
        <f aca="false">IF(AND(G248="Unpaid",F248&gt;90),"HIGH - Fully Overdue 90+ Days",IF(G248="Partially Paid","MEDIUM - Short Paid","OK"))</f>
        <v>OK</v>
      </c>
    </row>
    <row r="249" customFormat="false" ht="15" hidden="false" customHeight="false" outlineLevel="0" collapsed="false">
      <c r="A249" s="16" t="str">
        <f aca="false">AR_Aging!A249</f>
        <v>ARI60245</v>
      </c>
      <c r="B249" s="16" t="str">
        <f aca="false">AR_Aging!C249</f>
        <v>Daniels, Adkins and Brown</v>
      </c>
      <c r="C249" s="18" t="n">
        <f aca="false">AR_Aging!F249</f>
        <v>21829.68</v>
      </c>
      <c r="D249" s="18" t="n">
        <f aca="false">AR_Aging!G249</f>
        <v>21829.68</v>
      </c>
      <c r="E249" s="18" t="n">
        <f aca="false">AR_Aging!H249</f>
        <v>0</v>
      </c>
      <c r="F249" s="16" t="n">
        <f aca="false">AR_Aging!I249</f>
        <v>0</v>
      </c>
      <c r="G249" s="16" t="str">
        <f aca="false">AR_Aging!K249</f>
        <v>Paid</v>
      </c>
      <c r="H249" s="16" t="str">
        <f aca="false">IF(AND(G249="Unpaid",F249&gt;90),"HIGH - Fully Overdue 90+ Days",IF(G249="Partially Paid","MEDIUM - Short Paid","OK"))</f>
        <v>OK</v>
      </c>
    </row>
    <row r="250" customFormat="false" ht="15" hidden="false" customHeight="false" outlineLevel="0" collapsed="false">
      <c r="A250" s="16" t="str">
        <f aca="false">AR_Aging!A250</f>
        <v>ARI60246</v>
      </c>
      <c r="B250" s="16" t="str">
        <f aca="false">AR_Aging!C250</f>
        <v>Gomez-Jenkins</v>
      </c>
      <c r="C250" s="18" t="n">
        <f aca="false">AR_Aging!F250</f>
        <v>10564.24</v>
      </c>
      <c r="D250" s="18" t="n">
        <f aca="false">AR_Aging!G250</f>
        <v>10564.24</v>
      </c>
      <c r="E250" s="18" t="n">
        <f aca="false">AR_Aging!H250</f>
        <v>0</v>
      </c>
      <c r="F250" s="16" t="n">
        <f aca="false">AR_Aging!I250</f>
        <v>0</v>
      </c>
      <c r="G250" s="16" t="str">
        <f aca="false">AR_Aging!K250</f>
        <v>Paid</v>
      </c>
      <c r="H250" s="16" t="str">
        <f aca="false">IF(AND(G250="Unpaid",F250&gt;90),"HIGH - Fully Overdue 90+ Days",IF(G250="Partially Paid","MEDIUM - Short Paid","OK"))</f>
        <v>OK</v>
      </c>
    </row>
    <row r="251" customFormat="false" ht="15" hidden="false" customHeight="false" outlineLevel="0" collapsed="false">
      <c r="A251" s="16" t="str">
        <f aca="false">AR_Aging!A251</f>
        <v>ARI60247</v>
      </c>
      <c r="B251" s="16" t="str">
        <f aca="false">AR_Aging!C251</f>
        <v>Gomez-Jenkins</v>
      </c>
      <c r="C251" s="18" t="n">
        <f aca="false">AR_Aging!F251</f>
        <v>1103.66</v>
      </c>
      <c r="D251" s="18" t="n">
        <f aca="false">AR_Aging!G251</f>
        <v>1103.66</v>
      </c>
      <c r="E251" s="18" t="n">
        <f aca="false">AR_Aging!H251</f>
        <v>0</v>
      </c>
      <c r="F251" s="16" t="n">
        <f aca="false">AR_Aging!I251</f>
        <v>0</v>
      </c>
      <c r="G251" s="16" t="str">
        <f aca="false">AR_Aging!K251</f>
        <v>Paid</v>
      </c>
      <c r="H251" s="16" t="str">
        <f aca="false">IF(AND(G251="Unpaid",F251&gt;90),"HIGH - Fully Overdue 90+ Days",IF(G251="Partially Paid","MEDIUM - Short Paid","OK"))</f>
        <v>OK</v>
      </c>
    </row>
    <row r="252" customFormat="false" ht="15" hidden="false" customHeight="false" outlineLevel="0" collapsed="false">
      <c r="A252" s="16" t="str">
        <f aca="false">AR_Aging!A252</f>
        <v>ARI60248</v>
      </c>
      <c r="B252" s="16" t="str">
        <f aca="false">AR_Aging!C252</f>
        <v>Hancock Inc</v>
      </c>
      <c r="C252" s="18" t="n">
        <f aca="false">AR_Aging!F252</f>
        <v>3351.82</v>
      </c>
      <c r="D252" s="18" t="n">
        <f aca="false">AR_Aging!G252</f>
        <v>3351.82</v>
      </c>
      <c r="E252" s="18" t="n">
        <f aca="false">AR_Aging!H252</f>
        <v>0</v>
      </c>
      <c r="F252" s="16" t="n">
        <f aca="false">AR_Aging!I252</f>
        <v>0</v>
      </c>
      <c r="G252" s="16" t="str">
        <f aca="false">AR_Aging!K252</f>
        <v>Paid</v>
      </c>
      <c r="H252" s="16" t="str">
        <f aca="false">IF(AND(G252="Unpaid",F252&gt;90),"HIGH - Fully Overdue 90+ Days",IF(G252="Partially Paid","MEDIUM - Short Paid","OK"))</f>
        <v>OK</v>
      </c>
    </row>
    <row r="253" customFormat="false" ht="15" hidden="false" customHeight="false" outlineLevel="0" collapsed="false">
      <c r="A253" s="16" t="str">
        <f aca="false">AR_Aging!A253</f>
        <v>ARI60249</v>
      </c>
      <c r="B253" s="16" t="str">
        <f aca="false">AR_Aging!C253</f>
        <v>Novak PLC</v>
      </c>
      <c r="C253" s="18" t="n">
        <f aca="false">AR_Aging!F253</f>
        <v>693.6</v>
      </c>
      <c r="D253" s="18" t="n">
        <f aca="false">AR_Aging!G253</f>
        <v>693.6</v>
      </c>
      <c r="E253" s="18" t="n">
        <f aca="false">AR_Aging!H253</f>
        <v>0</v>
      </c>
      <c r="F253" s="16" t="n">
        <f aca="false">AR_Aging!I253</f>
        <v>0</v>
      </c>
      <c r="G253" s="16" t="str">
        <f aca="false">AR_Aging!K253</f>
        <v>Paid</v>
      </c>
      <c r="H253" s="16" t="str">
        <f aca="false">IF(AND(G253="Unpaid",F253&gt;90),"HIGH - Fully Overdue 90+ Days",IF(G253="Partially Paid","MEDIUM - Short Paid","OK"))</f>
        <v>OK</v>
      </c>
    </row>
    <row r="254" customFormat="false" ht="15" hidden="false" customHeight="false" outlineLevel="0" collapsed="false">
      <c r="A254" s="16" t="str">
        <f aca="false">AR_Aging!A254</f>
        <v>ARI60250</v>
      </c>
      <c r="B254" s="16" t="str">
        <f aca="false">AR_Aging!C254</f>
        <v>Russell Group</v>
      </c>
      <c r="C254" s="18" t="n">
        <f aca="false">AR_Aging!F254</f>
        <v>5622.05</v>
      </c>
      <c r="D254" s="18" t="n">
        <f aca="false">AR_Aging!G254</f>
        <v>3830.58</v>
      </c>
      <c r="E254" s="18" t="n">
        <f aca="false">AR_Aging!H254</f>
        <v>1791.47</v>
      </c>
      <c r="F254" s="16" t="n">
        <f aca="false">AR_Aging!I254</f>
        <v>351</v>
      </c>
      <c r="G254" s="16" t="str">
        <f aca="false">AR_Aging!K254</f>
        <v>Partially Paid</v>
      </c>
      <c r="H254" s="16" t="str">
        <f aca="false">IF(AND(G254="Unpaid",F254&gt;90),"HIGH - Fully Overdue 90+ Days",IF(G254="Partially Paid","MEDIUM - Short Paid","OK"))</f>
        <v>MEDIUM - Short Paid</v>
      </c>
    </row>
    <row r="255" customFormat="false" ht="15" hidden="false" customHeight="false" outlineLevel="0" collapsed="false">
      <c r="A255" s="16" t="str">
        <f aca="false">AR_Aging!A255</f>
        <v>ARI60251</v>
      </c>
      <c r="B255" s="16" t="str">
        <f aca="false">AR_Aging!C255</f>
        <v>Smith-Spencer</v>
      </c>
      <c r="C255" s="18" t="n">
        <f aca="false">AR_Aging!F255</f>
        <v>95.7</v>
      </c>
      <c r="D255" s="18" t="n">
        <f aca="false">AR_Aging!G255</f>
        <v>0</v>
      </c>
      <c r="E255" s="18" t="n">
        <f aca="false">AR_Aging!H255</f>
        <v>95.7</v>
      </c>
      <c r="F255" s="16" t="n">
        <f aca="false">AR_Aging!I255</f>
        <v>31</v>
      </c>
      <c r="G255" s="16" t="str">
        <f aca="false">AR_Aging!K255</f>
        <v>Unpaid</v>
      </c>
      <c r="H255" s="16" t="str">
        <f aca="false">IF(AND(G255="Unpaid",F255&gt;90),"HIGH - Fully Overdue 90+ Days",IF(G255="Partially Paid","MEDIUM - Short Paid","OK"))</f>
        <v>OK</v>
      </c>
    </row>
    <row r="256" customFormat="false" ht="15" hidden="false" customHeight="false" outlineLevel="0" collapsed="false">
      <c r="A256" s="16" t="str">
        <f aca="false">AR_Aging!A256</f>
        <v>ARI60252</v>
      </c>
      <c r="B256" s="16" t="str">
        <f aca="false">AR_Aging!C256</f>
        <v>Lee-Davis</v>
      </c>
      <c r="C256" s="18" t="n">
        <f aca="false">AR_Aging!F256</f>
        <v>1015.03</v>
      </c>
      <c r="D256" s="18" t="n">
        <f aca="false">AR_Aging!G256</f>
        <v>1015.03</v>
      </c>
      <c r="E256" s="18" t="n">
        <f aca="false">AR_Aging!H256</f>
        <v>0</v>
      </c>
      <c r="F256" s="16" t="n">
        <f aca="false">AR_Aging!I256</f>
        <v>0</v>
      </c>
      <c r="G256" s="16" t="str">
        <f aca="false">AR_Aging!K256</f>
        <v>Paid</v>
      </c>
      <c r="H256" s="16" t="str">
        <f aca="false">IF(AND(G256="Unpaid",F256&gt;90),"HIGH - Fully Overdue 90+ Days",IF(G256="Partially Paid","MEDIUM - Short Paid","OK"))</f>
        <v>OK</v>
      </c>
    </row>
    <row r="257" customFormat="false" ht="15" hidden="false" customHeight="false" outlineLevel="0" collapsed="false">
      <c r="A257" s="16" t="str">
        <f aca="false">AR_Aging!A257</f>
        <v>ARI60253</v>
      </c>
      <c r="B257" s="16" t="str">
        <f aca="false">AR_Aging!C257</f>
        <v>Washington, Ryan and Cummings</v>
      </c>
      <c r="C257" s="18" t="n">
        <f aca="false">AR_Aging!F257</f>
        <v>1106.15</v>
      </c>
      <c r="D257" s="18" t="n">
        <f aca="false">AR_Aging!G257</f>
        <v>1106.15</v>
      </c>
      <c r="E257" s="18" t="n">
        <f aca="false">AR_Aging!H257</f>
        <v>0</v>
      </c>
      <c r="F257" s="16" t="n">
        <f aca="false">AR_Aging!I257</f>
        <v>0</v>
      </c>
      <c r="G257" s="16" t="str">
        <f aca="false">AR_Aging!K257</f>
        <v>Paid</v>
      </c>
      <c r="H257" s="16" t="str">
        <f aca="false">IF(AND(G257="Unpaid",F257&gt;90),"HIGH - Fully Overdue 90+ Days",IF(G257="Partially Paid","MEDIUM - Short Paid","OK"))</f>
        <v>OK</v>
      </c>
    </row>
    <row r="258" customFormat="false" ht="15" hidden="false" customHeight="false" outlineLevel="0" collapsed="false">
      <c r="A258" s="16" t="str">
        <f aca="false">AR_Aging!A258</f>
        <v>ARI60254</v>
      </c>
      <c r="B258" s="16" t="str">
        <f aca="false">AR_Aging!C258</f>
        <v>Yu Inc</v>
      </c>
      <c r="C258" s="18" t="n">
        <f aca="false">AR_Aging!F258</f>
        <v>868.28</v>
      </c>
      <c r="D258" s="18" t="n">
        <f aca="false">AR_Aging!G258</f>
        <v>868.28</v>
      </c>
      <c r="E258" s="18" t="n">
        <f aca="false">AR_Aging!H258</f>
        <v>0</v>
      </c>
      <c r="F258" s="16" t="n">
        <f aca="false">AR_Aging!I258</f>
        <v>0</v>
      </c>
      <c r="G258" s="16" t="str">
        <f aca="false">AR_Aging!K258</f>
        <v>Paid</v>
      </c>
      <c r="H258" s="16" t="str">
        <f aca="false">IF(AND(G258="Unpaid",F258&gt;90),"HIGH - Fully Overdue 90+ Days",IF(G258="Partially Paid","MEDIUM - Short Paid","OK"))</f>
        <v>OK</v>
      </c>
    </row>
    <row r="259" customFormat="false" ht="15" hidden="false" customHeight="false" outlineLevel="0" collapsed="false">
      <c r="A259" s="16" t="str">
        <f aca="false">AR_Aging!A259</f>
        <v>ARI60255</v>
      </c>
      <c r="B259" s="16" t="str">
        <f aca="false">AR_Aging!C259</f>
        <v>Wright and Sons</v>
      </c>
      <c r="C259" s="18" t="n">
        <f aca="false">AR_Aging!F259</f>
        <v>1314.94</v>
      </c>
      <c r="D259" s="18" t="n">
        <f aca="false">AR_Aging!G259</f>
        <v>1314.94</v>
      </c>
      <c r="E259" s="18" t="n">
        <f aca="false">AR_Aging!H259</f>
        <v>0</v>
      </c>
      <c r="F259" s="16" t="n">
        <f aca="false">AR_Aging!I259</f>
        <v>0</v>
      </c>
      <c r="G259" s="16" t="str">
        <f aca="false">AR_Aging!K259</f>
        <v>Paid</v>
      </c>
      <c r="H259" s="16" t="str">
        <f aca="false">IF(AND(G259="Unpaid",F259&gt;90),"HIGH - Fully Overdue 90+ Days",IF(G259="Partially Paid","MEDIUM - Short Paid","OK"))</f>
        <v>OK</v>
      </c>
    </row>
    <row r="260" customFormat="false" ht="15" hidden="false" customHeight="false" outlineLevel="0" collapsed="false">
      <c r="A260" s="16" t="str">
        <f aca="false">AR_Aging!A260</f>
        <v>ARI60256</v>
      </c>
      <c r="B260" s="16" t="str">
        <f aca="false">AR_Aging!C260</f>
        <v>Gray Group</v>
      </c>
      <c r="C260" s="18" t="n">
        <f aca="false">AR_Aging!F260</f>
        <v>1978.9</v>
      </c>
      <c r="D260" s="18" t="n">
        <f aca="false">AR_Aging!G260</f>
        <v>1978.9</v>
      </c>
      <c r="E260" s="18" t="n">
        <f aca="false">AR_Aging!H260</f>
        <v>0</v>
      </c>
      <c r="F260" s="16" t="n">
        <f aca="false">AR_Aging!I260</f>
        <v>0</v>
      </c>
      <c r="G260" s="16" t="str">
        <f aca="false">AR_Aging!K260</f>
        <v>Paid</v>
      </c>
      <c r="H260" s="16" t="str">
        <f aca="false">IF(AND(G260="Unpaid",F260&gt;90),"HIGH - Fully Overdue 90+ Days",IF(G260="Partially Paid","MEDIUM - Short Paid","OK"))</f>
        <v>OK</v>
      </c>
    </row>
    <row r="261" customFormat="false" ht="15" hidden="false" customHeight="false" outlineLevel="0" collapsed="false">
      <c r="A261" s="16" t="str">
        <f aca="false">AR_Aging!A261</f>
        <v>ARI60257</v>
      </c>
      <c r="B261" s="16" t="str">
        <f aca="false">AR_Aging!C261</f>
        <v>Robinson, Jones and Welch</v>
      </c>
      <c r="C261" s="18" t="n">
        <f aca="false">AR_Aging!F261</f>
        <v>11178.22</v>
      </c>
      <c r="D261" s="18" t="n">
        <f aca="false">AR_Aging!G261</f>
        <v>3886.61</v>
      </c>
      <c r="E261" s="18" t="n">
        <f aca="false">AR_Aging!H261</f>
        <v>7291.61</v>
      </c>
      <c r="F261" s="16" t="n">
        <f aca="false">AR_Aging!I261</f>
        <v>135</v>
      </c>
      <c r="G261" s="16" t="str">
        <f aca="false">AR_Aging!K261</f>
        <v>Partially Paid</v>
      </c>
      <c r="H261" s="16" t="str">
        <f aca="false">IF(AND(G261="Unpaid",F261&gt;90),"HIGH - Fully Overdue 90+ Days",IF(G261="Partially Paid","MEDIUM - Short Paid","OK"))</f>
        <v>MEDIUM - Short Paid</v>
      </c>
    </row>
    <row r="262" customFormat="false" ht="15" hidden="false" customHeight="false" outlineLevel="0" collapsed="false">
      <c r="A262" s="16" t="str">
        <f aca="false">AR_Aging!A262</f>
        <v>ARI60258</v>
      </c>
      <c r="B262" s="16" t="str">
        <f aca="false">AR_Aging!C262</f>
        <v>Jones-Young</v>
      </c>
      <c r="C262" s="18" t="n">
        <f aca="false">AR_Aging!F262</f>
        <v>1371.8</v>
      </c>
      <c r="D262" s="18" t="n">
        <f aca="false">AR_Aging!G262</f>
        <v>1371.8</v>
      </c>
      <c r="E262" s="18" t="n">
        <f aca="false">AR_Aging!H262</f>
        <v>0</v>
      </c>
      <c r="F262" s="16" t="n">
        <f aca="false">AR_Aging!I262</f>
        <v>0</v>
      </c>
      <c r="G262" s="16" t="str">
        <f aca="false">AR_Aging!K262</f>
        <v>Paid</v>
      </c>
      <c r="H262" s="16" t="str">
        <f aca="false">IF(AND(G262="Unpaid",F262&gt;90),"HIGH - Fully Overdue 90+ Days",IF(G262="Partially Paid","MEDIUM - Short Paid","OK"))</f>
        <v>OK</v>
      </c>
    </row>
    <row r="263" customFormat="false" ht="15" hidden="false" customHeight="false" outlineLevel="0" collapsed="false">
      <c r="A263" s="16" t="str">
        <f aca="false">AR_Aging!A263</f>
        <v>ARI60259</v>
      </c>
      <c r="B263" s="16" t="str">
        <f aca="false">AR_Aging!C263</f>
        <v>Stanley, Tucker and Lee</v>
      </c>
      <c r="C263" s="18" t="n">
        <f aca="false">AR_Aging!F263</f>
        <v>7064.1</v>
      </c>
      <c r="D263" s="18" t="n">
        <f aca="false">AR_Aging!G263</f>
        <v>7064.1</v>
      </c>
      <c r="E263" s="18" t="n">
        <f aca="false">AR_Aging!H263</f>
        <v>0</v>
      </c>
      <c r="F263" s="16" t="n">
        <f aca="false">AR_Aging!I263</f>
        <v>0</v>
      </c>
      <c r="G263" s="16" t="str">
        <f aca="false">AR_Aging!K263</f>
        <v>Paid</v>
      </c>
      <c r="H263" s="16" t="str">
        <f aca="false">IF(AND(G263="Unpaid",F263&gt;90),"HIGH - Fully Overdue 90+ Days",IF(G263="Partially Paid","MEDIUM - Short Paid","OK"))</f>
        <v>OK</v>
      </c>
    </row>
    <row r="264" customFormat="false" ht="15" hidden="false" customHeight="false" outlineLevel="0" collapsed="false">
      <c r="A264" s="16" t="str">
        <f aca="false">AR_Aging!A264</f>
        <v>ARI60260</v>
      </c>
      <c r="B264" s="16" t="str">
        <f aca="false">AR_Aging!C264</f>
        <v>Jones Inc</v>
      </c>
      <c r="C264" s="18" t="n">
        <f aca="false">AR_Aging!F264</f>
        <v>631.11</v>
      </c>
      <c r="D264" s="18" t="n">
        <f aca="false">AR_Aging!G264</f>
        <v>631.11</v>
      </c>
      <c r="E264" s="18" t="n">
        <f aca="false">AR_Aging!H264</f>
        <v>0</v>
      </c>
      <c r="F264" s="16" t="n">
        <f aca="false">AR_Aging!I264</f>
        <v>0</v>
      </c>
      <c r="G264" s="16" t="str">
        <f aca="false">AR_Aging!K264</f>
        <v>Paid</v>
      </c>
      <c r="H264" s="16" t="str">
        <f aca="false">IF(AND(G264="Unpaid",F264&gt;90),"HIGH - Fully Overdue 90+ Days",IF(G264="Partially Paid","MEDIUM - Short Paid","OK"))</f>
        <v>OK</v>
      </c>
    </row>
    <row r="265" customFormat="false" ht="15" hidden="false" customHeight="false" outlineLevel="0" collapsed="false">
      <c r="A265" s="16" t="str">
        <f aca="false">AR_Aging!A265</f>
        <v>ARI60261</v>
      </c>
      <c r="B265" s="16" t="str">
        <f aca="false">AR_Aging!C265</f>
        <v>Washington, Ryan and Cummings</v>
      </c>
      <c r="C265" s="18" t="n">
        <f aca="false">AR_Aging!F265</f>
        <v>3621.74</v>
      </c>
      <c r="D265" s="18" t="n">
        <f aca="false">AR_Aging!G265</f>
        <v>2395.84</v>
      </c>
      <c r="E265" s="18" t="n">
        <f aca="false">AR_Aging!H265</f>
        <v>1225.9</v>
      </c>
      <c r="F265" s="16" t="n">
        <f aca="false">AR_Aging!I265</f>
        <v>264</v>
      </c>
      <c r="G265" s="16" t="str">
        <f aca="false">AR_Aging!K265</f>
        <v>Partially Paid</v>
      </c>
      <c r="H265" s="16" t="str">
        <f aca="false">IF(AND(G265="Unpaid",F265&gt;90),"HIGH - Fully Overdue 90+ Days",IF(G265="Partially Paid","MEDIUM - Short Paid","OK"))</f>
        <v>MEDIUM - Short Paid</v>
      </c>
    </row>
    <row r="266" customFormat="false" ht="15" hidden="false" customHeight="false" outlineLevel="0" collapsed="false">
      <c r="A266" s="16" t="str">
        <f aca="false">AR_Aging!A266</f>
        <v>ARI60262</v>
      </c>
      <c r="B266" s="16" t="str">
        <f aca="false">AR_Aging!C266</f>
        <v>Sanchez, Wheeler and Harvey</v>
      </c>
      <c r="C266" s="18" t="n">
        <f aca="false">AR_Aging!F266</f>
        <v>1066.33</v>
      </c>
      <c r="D266" s="18" t="n">
        <f aca="false">AR_Aging!G266</f>
        <v>1066.33</v>
      </c>
      <c r="E266" s="18" t="n">
        <f aca="false">AR_Aging!H266</f>
        <v>0</v>
      </c>
      <c r="F266" s="16" t="n">
        <f aca="false">AR_Aging!I266</f>
        <v>0</v>
      </c>
      <c r="G266" s="16" t="str">
        <f aca="false">AR_Aging!K266</f>
        <v>Paid</v>
      </c>
      <c r="H266" s="16" t="str">
        <f aca="false">IF(AND(G266="Unpaid",F266&gt;90),"HIGH - Fully Overdue 90+ Days",IF(G266="Partially Paid","MEDIUM - Short Paid","OK"))</f>
        <v>OK</v>
      </c>
    </row>
    <row r="267" customFormat="false" ht="15" hidden="false" customHeight="false" outlineLevel="0" collapsed="false">
      <c r="A267" s="16" t="str">
        <f aca="false">AR_Aging!A267</f>
        <v>ARI60263</v>
      </c>
      <c r="B267" s="16" t="str">
        <f aca="false">AR_Aging!C267</f>
        <v>Williams PLC</v>
      </c>
      <c r="C267" s="18" t="n">
        <f aca="false">AR_Aging!F267</f>
        <v>4466.52</v>
      </c>
      <c r="D267" s="18" t="n">
        <f aca="false">AR_Aging!G267</f>
        <v>4466.52</v>
      </c>
      <c r="E267" s="18" t="n">
        <f aca="false">AR_Aging!H267</f>
        <v>0</v>
      </c>
      <c r="F267" s="16" t="n">
        <f aca="false">AR_Aging!I267</f>
        <v>0</v>
      </c>
      <c r="G267" s="16" t="str">
        <f aca="false">AR_Aging!K267</f>
        <v>Paid</v>
      </c>
      <c r="H267" s="16" t="str">
        <f aca="false">IF(AND(G267="Unpaid",F267&gt;90),"HIGH - Fully Overdue 90+ Days",IF(G267="Partially Paid","MEDIUM - Short Paid","OK"))</f>
        <v>OK</v>
      </c>
    </row>
    <row r="268" customFormat="false" ht="15" hidden="false" customHeight="false" outlineLevel="0" collapsed="false">
      <c r="A268" s="16" t="str">
        <f aca="false">AR_Aging!A268</f>
        <v>ARI60264</v>
      </c>
      <c r="B268" s="16" t="str">
        <f aca="false">AR_Aging!C268</f>
        <v>Powell LLC</v>
      </c>
      <c r="C268" s="18" t="n">
        <f aca="false">AR_Aging!F268</f>
        <v>11407.94</v>
      </c>
      <c r="D268" s="18" t="n">
        <f aca="false">AR_Aging!G268</f>
        <v>11407.94</v>
      </c>
      <c r="E268" s="18" t="n">
        <f aca="false">AR_Aging!H268</f>
        <v>0</v>
      </c>
      <c r="F268" s="16" t="n">
        <f aca="false">AR_Aging!I268</f>
        <v>0</v>
      </c>
      <c r="G268" s="16" t="str">
        <f aca="false">AR_Aging!K268</f>
        <v>Paid</v>
      </c>
      <c r="H268" s="16" t="str">
        <f aca="false">IF(AND(G268="Unpaid",F268&gt;90),"HIGH - Fully Overdue 90+ Days",IF(G268="Partially Paid","MEDIUM - Short Paid","OK"))</f>
        <v>OK</v>
      </c>
    </row>
    <row r="269" customFormat="false" ht="15" hidden="false" customHeight="false" outlineLevel="0" collapsed="false">
      <c r="A269" s="16" t="str">
        <f aca="false">AR_Aging!A269</f>
        <v>ARI60265</v>
      </c>
      <c r="B269" s="16" t="str">
        <f aca="false">AR_Aging!C269</f>
        <v>Williams PLC</v>
      </c>
      <c r="C269" s="18" t="n">
        <f aca="false">AR_Aging!F269</f>
        <v>1511.06</v>
      </c>
      <c r="D269" s="18" t="n">
        <f aca="false">AR_Aging!G269</f>
        <v>480.9</v>
      </c>
      <c r="E269" s="18" t="n">
        <f aca="false">AR_Aging!H269</f>
        <v>1030.16</v>
      </c>
      <c r="F269" s="16" t="n">
        <f aca="false">AR_Aging!I269</f>
        <v>379</v>
      </c>
      <c r="G269" s="16" t="str">
        <f aca="false">AR_Aging!K269</f>
        <v>Partially Paid</v>
      </c>
      <c r="H269" s="16" t="str">
        <f aca="false">IF(AND(G269="Unpaid",F269&gt;90),"HIGH - Fully Overdue 90+ Days",IF(G269="Partially Paid","MEDIUM - Short Paid","OK"))</f>
        <v>MEDIUM - Short Paid</v>
      </c>
    </row>
    <row r="270" customFormat="false" ht="15" hidden="false" customHeight="false" outlineLevel="0" collapsed="false">
      <c r="A270" s="16" t="str">
        <f aca="false">AR_Aging!A270</f>
        <v>ARI60266</v>
      </c>
      <c r="B270" s="16" t="str">
        <f aca="false">AR_Aging!C270</f>
        <v>West, Henderson and Ramirez</v>
      </c>
      <c r="C270" s="18" t="n">
        <f aca="false">AR_Aging!F270</f>
        <v>1105.87</v>
      </c>
      <c r="D270" s="18" t="n">
        <f aca="false">AR_Aging!G270</f>
        <v>1105.87</v>
      </c>
      <c r="E270" s="18" t="n">
        <f aca="false">AR_Aging!H270</f>
        <v>0</v>
      </c>
      <c r="F270" s="16" t="n">
        <f aca="false">AR_Aging!I270</f>
        <v>0</v>
      </c>
      <c r="G270" s="16" t="str">
        <f aca="false">AR_Aging!K270</f>
        <v>Paid</v>
      </c>
      <c r="H270" s="16" t="str">
        <f aca="false">IF(AND(G270="Unpaid",F270&gt;90),"HIGH - Fully Overdue 90+ Days",IF(G270="Partially Paid","MEDIUM - Short Paid","OK"))</f>
        <v>OK</v>
      </c>
    </row>
    <row r="271" customFormat="false" ht="15" hidden="false" customHeight="false" outlineLevel="0" collapsed="false">
      <c r="A271" s="16" t="str">
        <f aca="false">AR_Aging!A271</f>
        <v>ARI60267</v>
      </c>
      <c r="B271" s="16" t="str">
        <f aca="false">AR_Aging!C271</f>
        <v>Novak PLC</v>
      </c>
      <c r="C271" s="18" t="n">
        <f aca="false">AR_Aging!F271</f>
        <v>5771.14</v>
      </c>
      <c r="D271" s="18" t="n">
        <f aca="false">AR_Aging!G271</f>
        <v>5771.14</v>
      </c>
      <c r="E271" s="18" t="n">
        <f aca="false">AR_Aging!H271</f>
        <v>0</v>
      </c>
      <c r="F271" s="16" t="n">
        <f aca="false">AR_Aging!I271</f>
        <v>0</v>
      </c>
      <c r="G271" s="16" t="str">
        <f aca="false">AR_Aging!K271</f>
        <v>Paid</v>
      </c>
      <c r="H271" s="16" t="str">
        <f aca="false">IF(AND(G271="Unpaid",F271&gt;90),"HIGH - Fully Overdue 90+ Days",IF(G271="Partially Paid","MEDIUM - Short Paid","OK"))</f>
        <v>OK</v>
      </c>
    </row>
    <row r="272" customFormat="false" ht="15" hidden="false" customHeight="false" outlineLevel="0" collapsed="false">
      <c r="A272" s="16" t="str">
        <f aca="false">AR_Aging!A272</f>
        <v>ARI60268</v>
      </c>
      <c r="B272" s="16" t="str">
        <f aca="false">AR_Aging!C272</f>
        <v>Lee-Davis</v>
      </c>
      <c r="C272" s="18" t="n">
        <f aca="false">AR_Aging!F272</f>
        <v>5158.41</v>
      </c>
      <c r="D272" s="18" t="n">
        <f aca="false">AR_Aging!G272</f>
        <v>5158.41</v>
      </c>
      <c r="E272" s="18" t="n">
        <f aca="false">AR_Aging!H272</f>
        <v>0</v>
      </c>
      <c r="F272" s="16" t="n">
        <f aca="false">AR_Aging!I272</f>
        <v>0</v>
      </c>
      <c r="G272" s="16" t="str">
        <f aca="false">AR_Aging!K272</f>
        <v>Paid</v>
      </c>
      <c r="H272" s="16" t="str">
        <f aca="false">IF(AND(G272="Unpaid",F272&gt;90),"HIGH - Fully Overdue 90+ Days",IF(G272="Partially Paid","MEDIUM - Short Paid","OK"))</f>
        <v>OK</v>
      </c>
    </row>
    <row r="273" customFormat="false" ht="15" hidden="false" customHeight="false" outlineLevel="0" collapsed="false">
      <c r="A273" s="16" t="str">
        <f aca="false">AR_Aging!A273</f>
        <v>ARI60269</v>
      </c>
      <c r="B273" s="16" t="str">
        <f aca="false">AR_Aging!C273</f>
        <v>Robinson, Jones and Welch</v>
      </c>
      <c r="C273" s="18" t="n">
        <f aca="false">AR_Aging!F273</f>
        <v>7321.9</v>
      </c>
      <c r="D273" s="18" t="n">
        <f aca="false">AR_Aging!G273</f>
        <v>4193.94</v>
      </c>
      <c r="E273" s="18" t="n">
        <f aca="false">AR_Aging!H273</f>
        <v>3127.96</v>
      </c>
      <c r="F273" s="16" t="n">
        <f aca="false">AR_Aging!I273</f>
        <v>340</v>
      </c>
      <c r="G273" s="16" t="str">
        <f aca="false">AR_Aging!K273</f>
        <v>Partially Paid</v>
      </c>
      <c r="H273" s="16" t="str">
        <f aca="false">IF(AND(G273="Unpaid",F273&gt;90),"HIGH - Fully Overdue 90+ Days",IF(G273="Partially Paid","MEDIUM - Short Paid","OK"))</f>
        <v>MEDIUM - Short Paid</v>
      </c>
    </row>
    <row r="274" customFormat="false" ht="15" hidden="false" customHeight="false" outlineLevel="0" collapsed="false">
      <c r="A274" s="16" t="str">
        <f aca="false">AR_Aging!A274</f>
        <v>ARI60270</v>
      </c>
      <c r="B274" s="16" t="str">
        <f aca="false">AR_Aging!C274</f>
        <v>Smith-Spencer</v>
      </c>
      <c r="C274" s="18" t="n">
        <f aca="false">AR_Aging!F274</f>
        <v>6400.75</v>
      </c>
      <c r="D274" s="18" t="n">
        <f aca="false">AR_Aging!G274</f>
        <v>6400.75</v>
      </c>
      <c r="E274" s="18" t="n">
        <f aca="false">AR_Aging!H274</f>
        <v>0</v>
      </c>
      <c r="F274" s="16" t="n">
        <f aca="false">AR_Aging!I274</f>
        <v>0</v>
      </c>
      <c r="G274" s="16" t="str">
        <f aca="false">AR_Aging!K274</f>
        <v>Paid</v>
      </c>
      <c r="H274" s="16" t="str">
        <f aca="false">IF(AND(G274="Unpaid",F274&gt;90),"HIGH - Fully Overdue 90+ Days",IF(G274="Partially Paid","MEDIUM - Short Paid","OK"))</f>
        <v>OK</v>
      </c>
    </row>
    <row r="275" customFormat="false" ht="15" hidden="false" customHeight="false" outlineLevel="0" collapsed="false">
      <c r="A275" s="16" t="str">
        <f aca="false">AR_Aging!A275</f>
        <v>ARI60271</v>
      </c>
      <c r="B275" s="16" t="str">
        <f aca="false">AR_Aging!C275</f>
        <v>Jones Inc</v>
      </c>
      <c r="C275" s="18" t="n">
        <f aca="false">AR_Aging!F275</f>
        <v>261.15</v>
      </c>
      <c r="D275" s="18" t="n">
        <f aca="false">AR_Aging!G275</f>
        <v>261.15</v>
      </c>
      <c r="E275" s="18" t="n">
        <f aca="false">AR_Aging!H275</f>
        <v>0</v>
      </c>
      <c r="F275" s="16" t="n">
        <f aca="false">AR_Aging!I275</f>
        <v>0</v>
      </c>
      <c r="G275" s="16" t="str">
        <f aca="false">AR_Aging!K275</f>
        <v>Paid</v>
      </c>
      <c r="H275" s="16" t="str">
        <f aca="false">IF(AND(G275="Unpaid",F275&gt;90),"HIGH - Fully Overdue 90+ Days",IF(G275="Partially Paid","MEDIUM - Short Paid","OK"))</f>
        <v>OK</v>
      </c>
    </row>
    <row r="276" customFormat="false" ht="15" hidden="false" customHeight="false" outlineLevel="0" collapsed="false">
      <c r="A276" s="16" t="str">
        <f aca="false">AR_Aging!A276</f>
        <v>ARI60272</v>
      </c>
      <c r="B276" s="16" t="str">
        <f aca="false">AR_Aging!C276</f>
        <v>Sanchez, Wheeler and Harvey</v>
      </c>
      <c r="C276" s="18" t="n">
        <f aca="false">AR_Aging!F276</f>
        <v>1021.35</v>
      </c>
      <c r="D276" s="18" t="n">
        <f aca="false">AR_Aging!G276</f>
        <v>589.73</v>
      </c>
      <c r="E276" s="18" t="n">
        <f aca="false">AR_Aging!H276</f>
        <v>431.62</v>
      </c>
      <c r="F276" s="16" t="n">
        <f aca="false">AR_Aging!I276</f>
        <v>369</v>
      </c>
      <c r="G276" s="16" t="str">
        <f aca="false">AR_Aging!K276</f>
        <v>Partially Paid</v>
      </c>
      <c r="H276" s="16" t="str">
        <f aca="false">IF(AND(G276="Unpaid",F276&gt;90),"HIGH - Fully Overdue 90+ Days",IF(G276="Partially Paid","MEDIUM - Short Paid","OK"))</f>
        <v>MEDIUM - Short Paid</v>
      </c>
    </row>
    <row r="277" customFormat="false" ht="15" hidden="false" customHeight="false" outlineLevel="0" collapsed="false">
      <c r="A277" s="16" t="str">
        <f aca="false">AR_Aging!A277</f>
        <v>ARI60273</v>
      </c>
      <c r="B277" s="16" t="str">
        <f aca="false">AR_Aging!C277</f>
        <v>Daniels, Adkins and Brown</v>
      </c>
      <c r="C277" s="18" t="n">
        <f aca="false">AR_Aging!F277</f>
        <v>710.23</v>
      </c>
      <c r="D277" s="18" t="n">
        <f aca="false">AR_Aging!G277</f>
        <v>0</v>
      </c>
      <c r="E277" s="18" t="n">
        <f aca="false">AR_Aging!H277</f>
        <v>710.23</v>
      </c>
      <c r="F277" s="16" t="n">
        <f aca="false">AR_Aging!I277</f>
        <v>18</v>
      </c>
      <c r="G277" s="16" t="str">
        <f aca="false">AR_Aging!K277</f>
        <v>Unpaid</v>
      </c>
      <c r="H277" s="16" t="str">
        <f aca="false">IF(AND(G277="Unpaid",F277&gt;90),"HIGH - Fully Overdue 90+ Days",IF(G277="Partially Paid","MEDIUM - Short Paid","OK"))</f>
        <v>OK</v>
      </c>
    </row>
    <row r="278" customFormat="false" ht="15" hidden="false" customHeight="false" outlineLevel="0" collapsed="false">
      <c r="A278" s="16" t="str">
        <f aca="false">AR_Aging!A278</f>
        <v>ARI60274</v>
      </c>
      <c r="B278" s="16" t="str">
        <f aca="false">AR_Aging!C278</f>
        <v>Hancock Inc</v>
      </c>
      <c r="C278" s="18" t="n">
        <f aca="false">AR_Aging!F278</f>
        <v>506.01</v>
      </c>
      <c r="D278" s="18" t="n">
        <f aca="false">AR_Aging!G278</f>
        <v>0</v>
      </c>
      <c r="E278" s="18" t="n">
        <f aca="false">AR_Aging!H278</f>
        <v>506.01</v>
      </c>
      <c r="F278" s="16" t="n">
        <f aca="false">AR_Aging!I278</f>
        <v>412</v>
      </c>
      <c r="G278" s="16" t="str">
        <f aca="false">AR_Aging!K278</f>
        <v>Unpaid</v>
      </c>
      <c r="H278" s="16" t="str">
        <f aca="false">IF(AND(G278="Unpaid",F278&gt;90),"HIGH - Fully Overdue 90+ Days",IF(G278="Partially Paid","MEDIUM - Short Paid","OK"))</f>
        <v>HIGH - Fully Overdue 90+ Days</v>
      </c>
    </row>
    <row r="279" customFormat="false" ht="15" hidden="false" customHeight="false" outlineLevel="0" collapsed="false">
      <c r="A279" s="16" t="str">
        <f aca="false">AR_Aging!A279</f>
        <v>ARI60275</v>
      </c>
      <c r="B279" s="16" t="str">
        <f aca="false">AR_Aging!C279</f>
        <v>Woods, Calhoun and Schmidt</v>
      </c>
      <c r="C279" s="18" t="n">
        <f aca="false">AR_Aging!F279</f>
        <v>1071.06</v>
      </c>
      <c r="D279" s="18" t="n">
        <f aca="false">AR_Aging!G279</f>
        <v>1071.06</v>
      </c>
      <c r="E279" s="18" t="n">
        <f aca="false">AR_Aging!H279</f>
        <v>0</v>
      </c>
      <c r="F279" s="16" t="n">
        <f aca="false">AR_Aging!I279</f>
        <v>0</v>
      </c>
      <c r="G279" s="16" t="str">
        <f aca="false">AR_Aging!K279</f>
        <v>Paid</v>
      </c>
      <c r="H279" s="16" t="str">
        <f aca="false">IF(AND(G279="Unpaid",F279&gt;90),"HIGH - Fully Overdue 90+ Days",IF(G279="Partially Paid","MEDIUM - Short Paid","OK"))</f>
        <v>OK</v>
      </c>
    </row>
    <row r="280" customFormat="false" ht="15" hidden="false" customHeight="false" outlineLevel="0" collapsed="false">
      <c r="A280" s="16" t="str">
        <f aca="false">AR_Aging!A280</f>
        <v>ARI60276</v>
      </c>
      <c r="B280" s="16" t="str">
        <f aca="false">AR_Aging!C280</f>
        <v>Baxter Inc</v>
      </c>
      <c r="C280" s="18" t="n">
        <f aca="false">AR_Aging!F280</f>
        <v>10242.53</v>
      </c>
      <c r="D280" s="18" t="n">
        <f aca="false">AR_Aging!G280</f>
        <v>10242.53</v>
      </c>
      <c r="E280" s="18" t="n">
        <f aca="false">AR_Aging!H280</f>
        <v>0</v>
      </c>
      <c r="F280" s="16" t="n">
        <f aca="false">AR_Aging!I280</f>
        <v>0</v>
      </c>
      <c r="G280" s="16" t="str">
        <f aca="false">AR_Aging!K280</f>
        <v>Paid</v>
      </c>
      <c r="H280" s="16" t="str">
        <f aca="false">IF(AND(G280="Unpaid",F280&gt;90),"HIGH - Fully Overdue 90+ Days",IF(G280="Partially Paid","MEDIUM - Short Paid","OK"))</f>
        <v>OK</v>
      </c>
    </row>
    <row r="281" customFormat="false" ht="15" hidden="false" customHeight="false" outlineLevel="0" collapsed="false">
      <c r="A281" s="16" t="str">
        <f aca="false">AR_Aging!A281</f>
        <v>ARI60277</v>
      </c>
      <c r="B281" s="16" t="str">
        <f aca="false">AR_Aging!C281</f>
        <v>Johnston, Sanchez and Kennedy</v>
      </c>
      <c r="C281" s="18" t="n">
        <f aca="false">AR_Aging!F281</f>
        <v>3658.12</v>
      </c>
      <c r="D281" s="18" t="n">
        <f aca="false">AR_Aging!G281</f>
        <v>3658.12</v>
      </c>
      <c r="E281" s="18" t="n">
        <f aca="false">AR_Aging!H281</f>
        <v>0</v>
      </c>
      <c r="F281" s="16" t="n">
        <f aca="false">AR_Aging!I281</f>
        <v>0</v>
      </c>
      <c r="G281" s="16" t="str">
        <f aca="false">AR_Aging!K281</f>
        <v>Paid</v>
      </c>
      <c r="H281" s="16" t="str">
        <f aca="false">IF(AND(G281="Unpaid",F281&gt;90),"HIGH - Fully Overdue 90+ Days",IF(G281="Partially Paid","MEDIUM - Short Paid","OK"))</f>
        <v>OK</v>
      </c>
    </row>
    <row r="282" customFormat="false" ht="15" hidden="false" customHeight="false" outlineLevel="0" collapsed="false">
      <c r="A282" s="16" t="str">
        <f aca="false">AR_Aging!A282</f>
        <v>ARI60278</v>
      </c>
      <c r="B282" s="16" t="str">
        <f aca="false">AR_Aging!C282</f>
        <v>Gomez-Jenkins</v>
      </c>
      <c r="C282" s="18" t="n">
        <f aca="false">AR_Aging!F282</f>
        <v>2604.05</v>
      </c>
      <c r="D282" s="18" t="n">
        <f aca="false">AR_Aging!G282</f>
        <v>2604.05</v>
      </c>
      <c r="E282" s="18" t="n">
        <f aca="false">AR_Aging!H282</f>
        <v>0</v>
      </c>
      <c r="F282" s="16" t="n">
        <f aca="false">AR_Aging!I282</f>
        <v>0</v>
      </c>
      <c r="G282" s="16" t="str">
        <f aca="false">AR_Aging!K282</f>
        <v>Paid</v>
      </c>
      <c r="H282" s="16" t="str">
        <f aca="false">IF(AND(G282="Unpaid",F282&gt;90),"HIGH - Fully Overdue 90+ Days",IF(G282="Partially Paid","MEDIUM - Short Paid","OK"))</f>
        <v>OK</v>
      </c>
    </row>
    <row r="283" customFormat="false" ht="15" hidden="false" customHeight="false" outlineLevel="0" collapsed="false">
      <c r="A283" s="16" t="str">
        <f aca="false">AR_Aging!A283</f>
        <v>ARI60279</v>
      </c>
      <c r="B283" s="16" t="str">
        <f aca="false">AR_Aging!C283</f>
        <v>Powell LLC</v>
      </c>
      <c r="C283" s="18" t="n">
        <f aca="false">AR_Aging!F283</f>
        <v>2819.13</v>
      </c>
      <c r="D283" s="18" t="n">
        <f aca="false">AR_Aging!G283</f>
        <v>0</v>
      </c>
      <c r="E283" s="18" t="n">
        <f aca="false">AR_Aging!H283</f>
        <v>2819.13</v>
      </c>
      <c r="F283" s="16" t="n">
        <f aca="false">AR_Aging!I283</f>
        <v>348</v>
      </c>
      <c r="G283" s="16" t="str">
        <f aca="false">AR_Aging!K283</f>
        <v>Unpaid</v>
      </c>
      <c r="H283" s="16" t="str">
        <f aca="false">IF(AND(G283="Unpaid",F283&gt;90),"HIGH - Fully Overdue 90+ Days",IF(G283="Partially Paid","MEDIUM - Short Paid","OK"))</f>
        <v>HIGH - Fully Overdue 90+ Days</v>
      </c>
    </row>
    <row r="284" customFormat="false" ht="15" hidden="false" customHeight="false" outlineLevel="0" collapsed="false">
      <c r="A284" s="16" t="str">
        <f aca="false">AR_Aging!A284</f>
        <v>ARI60280</v>
      </c>
      <c r="B284" s="16" t="str">
        <f aca="false">AR_Aging!C284</f>
        <v>Jones Inc</v>
      </c>
      <c r="C284" s="18" t="n">
        <f aca="false">AR_Aging!F284</f>
        <v>7427.02</v>
      </c>
      <c r="D284" s="18" t="n">
        <f aca="false">AR_Aging!G284</f>
        <v>7427.02</v>
      </c>
      <c r="E284" s="18" t="n">
        <f aca="false">AR_Aging!H284</f>
        <v>0</v>
      </c>
      <c r="F284" s="16" t="n">
        <f aca="false">AR_Aging!I284</f>
        <v>0</v>
      </c>
      <c r="G284" s="16" t="str">
        <f aca="false">AR_Aging!K284</f>
        <v>Paid</v>
      </c>
      <c r="H284" s="16" t="str">
        <f aca="false">IF(AND(G284="Unpaid",F284&gt;90),"HIGH - Fully Overdue 90+ Days",IF(G284="Partially Paid","MEDIUM - Short Paid","OK"))</f>
        <v>OK</v>
      </c>
    </row>
    <row r="285" customFormat="false" ht="15" hidden="false" customHeight="false" outlineLevel="0" collapsed="false">
      <c r="A285" s="16" t="str">
        <f aca="false">AR_Aging!A285</f>
        <v>ARI60281</v>
      </c>
      <c r="B285" s="16" t="str">
        <f aca="false">AR_Aging!C285</f>
        <v>Brown, Valdez and Lucas</v>
      </c>
      <c r="C285" s="18" t="n">
        <f aca="false">AR_Aging!F285</f>
        <v>1206.18</v>
      </c>
      <c r="D285" s="18" t="n">
        <f aca="false">AR_Aging!G285</f>
        <v>1206.18</v>
      </c>
      <c r="E285" s="18" t="n">
        <f aca="false">AR_Aging!H285</f>
        <v>0</v>
      </c>
      <c r="F285" s="16" t="n">
        <f aca="false">AR_Aging!I285</f>
        <v>0</v>
      </c>
      <c r="G285" s="16" t="str">
        <f aca="false">AR_Aging!K285</f>
        <v>Paid</v>
      </c>
      <c r="H285" s="16" t="str">
        <f aca="false">IF(AND(G285="Unpaid",F285&gt;90),"HIGH - Fully Overdue 90+ Days",IF(G285="Partially Paid","MEDIUM - Short Paid","OK"))</f>
        <v>OK</v>
      </c>
    </row>
    <row r="286" customFormat="false" ht="15" hidden="false" customHeight="false" outlineLevel="0" collapsed="false">
      <c r="A286" s="16" t="str">
        <f aca="false">AR_Aging!A286</f>
        <v>ARI60282</v>
      </c>
      <c r="B286" s="16" t="str">
        <f aca="false">AR_Aging!C286</f>
        <v>Russell Group</v>
      </c>
      <c r="C286" s="18" t="n">
        <f aca="false">AR_Aging!F286</f>
        <v>4124.86</v>
      </c>
      <c r="D286" s="18" t="n">
        <f aca="false">AR_Aging!G286</f>
        <v>0</v>
      </c>
      <c r="E286" s="18" t="n">
        <f aca="false">AR_Aging!H286</f>
        <v>4124.86</v>
      </c>
      <c r="F286" s="16" t="n">
        <f aca="false">AR_Aging!I286</f>
        <v>42</v>
      </c>
      <c r="G286" s="16" t="str">
        <f aca="false">AR_Aging!K286</f>
        <v>Unpaid</v>
      </c>
      <c r="H286" s="16" t="str">
        <f aca="false">IF(AND(G286="Unpaid",F286&gt;90),"HIGH - Fully Overdue 90+ Days",IF(G286="Partially Paid","MEDIUM - Short Paid","OK"))</f>
        <v>OK</v>
      </c>
    </row>
    <row r="287" customFormat="false" ht="15" hidden="false" customHeight="false" outlineLevel="0" collapsed="false">
      <c r="A287" s="16" t="str">
        <f aca="false">AR_Aging!A287</f>
        <v>ARI60283</v>
      </c>
      <c r="B287" s="16" t="str">
        <f aca="false">AR_Aging!C287</f>
        <v>Wright Inc</v>
      </c>
      <c r="C287" s="18" t="n">
        <f aca="false">AR_Aging!F287</f>
        <v>7132.42</v>
      </c>
      <c r="D287" s="18" t="n">
        <f aca="false">AR_Aging!G287</f>
        <v>7132.42</v>
      </c>
      <c r="E287" s="18" t="n">
        <f aca="false">AR_Aging!H287</f>
        <v>0</v>
      </c>
      <c r="F287" s="16" t="n">
        <f aca="false">AR_Aging!I287</f>
        <v>0</v>
      </c>
      <c r="G287" s="16" t="str">
        <f aca="false">AR_Aging!K287</f>
        <v>Paid</v>
      </c>
      <c r="H287" s="16" t="str">
        <f aca="false">IF(AND(G287="Unpaid",F287&gt;90),"HIGH - Fully Overdue 90+ Days",IF(G287="Partially Paid","MEDIUM - Short Paid","OK"))</f>
        <v>OK</v>
      </c>
    </row>
    <row r="288" customFormat="false" ht="15" hidden="false" customHeight="false" outlineLevel="0" collapsed="false">
      <c r="A288" s="16" t="str">
        <f aca="false">AR_Aging!A288</f>
        <v>ARI60284</v>
      </c>
      <c r="B288" s="16" t="str">
        <f aca="false">AR_Aging!C288</f>
        <v>Brown, Valdez and Lucas</v>
      </c>
      <c r="C288" s="18" t="n">
        <f aca="false">AR_Aging!F288</f>
        <v>18569.06</v>
      </c>
      <c r="D288" s="18" t="n">
        <f aca="false">AR_Aging!G288</f>
        <v>18569.06</v>
      </c>
      <c r="E288" s="18" t="n">
        <f aca="false">AR_Aging!H288</f>
        <v>0</v>
      </c>
      <c r="F288" s="16" t="n">
        <f aca="false">AR_Aging!I288</f>
        <v>0</v>
      </c>
      <c r="G288" s="16" t="str">
        <f aca="false">AR_Aging!K288</f>
        <v>Paid</v>
      </c>
      <c r="H288" s="16" t="str">
        <f aca="false">IF(AND(G288="Unpaid",F288&gt;90),"HIGH - Fully Overdue 90+ Days",IF(G288="Partially Paid","MEDIUM - Short Paid","OK"))</f>
        <v>OK</v>
      </c>
    </row>
    <row r="289" customFormat="false" ht="15" hidden="false" customHeight="false" outlineLevel="0" collapsed="false">
      <c r="A289" s="16" t="str">
        <f aca="false">AR_Aging!A289</f>
        <v>ARI60285</v>
      </c>
      <c r="B289" s="16" t="str">
        <f aca="false">AR_Aging!C289</f>
        <v>Wright and Sons</v>
      </c>
      <c r="C289" s="18" t="n">
        <f aca="false">AR_Aging!F289</f>
        <v>2350.26</v>
      </c>
      <c r="D289" s="18" t="n">
        <f aca="false">AR_Aging!G289</f>
        <v>2350.26</v>
      </c>
      <c r="E289" s="18" t="n">
        <f aca="false">AR_Aging!H289</f>
        <v>0</v>
      </c>
      <c r="F289" s="16" t="n">
        <f aca="false">AR_Aging!I289</f>
        <v>0</v>
      </c>
      <c r="G289" s="16" t="str">
        <f aca="false">AR_Aging!K289</f>
        <v>Paid</v>
      </c>
      <c r="H289" s="16" t="str">
        <f aca="false">IF(AND(G289="Unpaid",F289&gt;90),"HIGH - Fully Overdue 90+ Days",IF(G289="Partially Paid","MEDIUM - Short Paid","OK"))</f>
        <v>OK</v>
      </c>
    </row>
    <row r="290" customFormat="false" ht="15" hidden="false" customHeight="false" outlineLevel="0" collapsed="false">
      <c r="A290" s="16" t="str">
        <f aca="false">AR_Aging!A290</f>
        <v>ARI60286</v>
      </c>
      <c r="B290" s="16" t="str">
        <f aca="false">AR_Aging!C290</f>
        <v>Sanchez, Wheeler and Harvey</v>
      </c>
      <c r="C290" s="18" t="n">
        <f aca="false">AR_Aging!F290</f>
        <v>2018.8</v>
      </c>
      <c r="D290" s="18" t="n">
        <f aca="false">AR_Aging!G290</f>
        <v>0</v>
      </c>
      <c r="E290" s="18" t="n">
        <f aca="false">AR_Aging!H290</f>
        <v>2018.8</v>
      </c>
      <c r="F290" s="16" t="n">
        <f aca="false">AR_Aging!I290</f>
        <v>543</v>
      </c>
      <c r="G290" s="16" t="str">
        <f aca="false">AR_Aging!K290</f>
        <v>Unpaid</v>
      </c>
      <c r="H290" s="16" t="str">
        <f aca="false">IF(AND(G290="Unpaid",F290&gt;90),"HIGH - Fully Overdue 90+ Days",IF(G290="Partially Paid","MEDIUM - Short Paid","OK"))</f>
        <v>HIGH - Fully Overdue 90+ Days</v>
      </c>
    </row>
    <row r="291" customFormat="false" ht="15" hidden="false" customHeight="false" outlineLevel="0" collapsed="false">
      <c r="A291" s="16" t="str">
        <f aca="false">AR_Aging!A291</f>
        <v>ARI60287</v>
      </c>
      <c r="B291" s="16" t="str">
        <f aca="false">AR_Aging!C291</f>
        <v>Yu Inc</v>
      </c>
      <c r="C291" s="18" t="n">
        <f aca="false">AR_Aging!F291</f>
        <v>15670.91</v>
      </c>
      <c r="D291" s="18" t="n">
        <f aca="false">AR_Aging!G291</f>
        <v>8795.14</v>
      </c>
      <c r="E291" s="18" t="n">
        <f aca="false">AR_Aging!H291</f>
        <v>6875.77</v>
      </c>
      <c r="F291" s="16" t="n">
        <f aca="false">AR_Aging!I291</f>
        <v>480</v>
      </c>
      <c r="G291" s="16" t="str">
        <f aca="false">AR_Aging!K291</f>
        <v>Partially Paid</v>
      </c>
      <c r="H291" s="16" t="str">
        <f aca="false">IF(AND(G291="Unpaid",F291&gt;90),"HIGH - Fully Overdue 90+ Days",IF(G291="Partially Paid","MEDIUM - Short Paid","OK"))</f>
        <v>MEDIUM - Short Paid</v>
      </c>
    </row>
    <row r="292" customFormat="false" ht="15" hidden="false" customHeight="false" outlineLevel="0" collapsed="false">
      <c r="A292" s="16" t="str">
        <f aca="false">AR_Aging!A292</f>
        <v>ARI60288</v>
      </c>
      <c r="B292" s="16" t="str">
        <f aca="false">AR_Aging!C292</f>
        <v>Robinson, Jones and Welch</v>
      </c>
      <c r="C292" s="18" t="n">
        <f aca="false">AR_Aging!F292</f>
        <v>1067.02</v>
      </c>
      <c r="D292" s="18" t="n">
        <f aca="false">AR_Aging!G292</f>
        <v>1067.02</v>
      </c>
      <c r="E292" s="18" t="n">
        <f aca="false">AR_Aging!H292</f>
        <v>0</v>
      </c>
      <c r="F292" s="16" t="n">
        <f aca="false">AR_Aging!I292</f>
        <v>0</v>
      </c>
      <c r="G292" s="16" t="str">
        <f aca="false">AR_Aging!K292</f>
        <v>Paid</v>
      </c>
      <c r="H292" s="16" t="str">
        <f aca="false">IF(AND(G292="Unpaid",F292&gt;90),"HIGH - Fully Overdue 90+ Days",IF(G292="Partially Paid","MEDIUM - Short Paid","OK"))</f>
        <v>OK</v>
      </c>
    </row>
    <row r="293" customFormat="false" ht="15" hidden="false" customHeight="false" outlineLevel="0" collapsed="false">
      <c r="A293" s="16" t="str">
        <f aca="false">AR_Aging!A293</f>
        <v>ARI60289</v>
      </c>
      <c r="B293" s="16" t="str">
        <f aca="false">AR_Aging!C293</f>
        <v>Hensley, Powell and David</v>
      </c>
      <c r="C293" s="18" t="n">
        <f aca="false">AR_Aging!F293</f>
        <v>606.08</v>
      </c>
      <c r="D293" s="18" t="n">
        <f aca="false">AR_Aging!G293</f>
        <v>606.08</v>
      </c>
      <c r="E293" s="18" t="n">
        <f aca="false">AR_Aging!H293</f>
        <v>0</v>
      </c>
      <c r="F293" s="16" t="n">
        <f aca="false">AR_Aging!I293</f>
        <v>0</v>
      </c>
      <c r="G293" s="16" t="str">
        <f aca="false">AR_Aging!K293</f>
        <v>Paid</v>
      </c>
      <c r="H293" s="16" t="str">
        <f aca="false">IF(AND(G293="Unpaid",F293&gt;90),"HIGH - Fully Overdue 90+ Days",IF(G293="Partially Paid","MEDIUM - Short Paid","OK"))</f>
        <v>OK</v>
      </c>
    </row>
    <row r="294" customFormat="false" ht="15" hidden="false" customHeight="false" outlineLevel="0" collapsed="false">
      <c r="A294" s="16" t="str">
        <f aca="false">AR_Aging!A294</f>
        <v>ARI60290</v>
      </c>
      <c r="B294" s="16" t="str">
        <f aca="false">AR_Aging!C294</f>
        <v>Powell LLC</v>
      </c>
      <c r="C294" s="18" t="n">
        <f aca="false">AR_Aging!F294</f>
        <v>1284.72</v>
      </c>
      <c r="D294" s="18" t="n">
        <f aca="false">AR_Aging!G294</f>
        <v>1284.72</v>
      </c>
      <c r="E294" s="18" t="n">
        <f aca="false">AR_Aging!H294</f>
        <v>0</v>
      </c>
      <c r="F294" s="16" t="n">
        <f aca="false">AR_Aging!I294</f>
        <v>0</v>
      </c>
      <c r="G294" s="16" t="str">
        <f aca="false">AR_Aging!K294</f>
        <v>Paid</v>
      </c>
      <c r="H294" s="16" t="str">
        <f aca="false">IF(AND(G294="Unpaid",F294&gt;90),"HIGH - Fully Overdue 90+ Days",IF(G294="Partially Paid","MEDIUM - Short Paid","OK"))</f>
        <v>OK</v>
      </c>
    </row>
    <row r="295" customFormat="false" ht="15" hidden="false" customHeight="false" outlineLevel="0" collapsed="false">
      <c r="A295" s="16" t="str">
        <f aca="false">AR_Aging!A295</f>
        <v>ARI60291</v>
      </c>
      <c r="B295" s="16" t="str">
        <f aca="false">AR_Aging!C295</f>
        <v>Yu Inc</v>
      </c>
      <c r="C295" s="18" t="n">
        <f aca="false">AR_Aging!F295</f>
        <v>568.24</v>
      </c>
      <c r="D295" s="18" t="n">
        <f aca="false">AR_Aging!G295</f>
        <v>568.24</v>
      </c>
      <c r="E295" s="18" t="n">
        <f aca="false">AR_Aging!H295</f>
        <v>0</v>
      </c>
      <c r="F295" s="16" t="n">
        <f aca="false">AR_Aging!I295</f>
        <v>0</v>
      </c>
      <c r="G295" s="16" t="str">
        <f aca="false">AR_Aging!K295</f>
        <v>Paid</v>
      </c>
      <c r="H295" s="16" t="str">
        <f aca="false">IF(AND(G295="Unpaid",F295&gt;90),"HIGH - Fully Overdue 90+ Days",IF(G295="Partially Paid","MEDIUM - Short Paid","OK"))</f>
        <v>OK</v>
      </c>
    </row>
    <row r="296" customFormat="false" ht="15" hidden="false" customHeight="false" outlineLevel="0" collapsed="false">
      <c r="A296" s="16" t="str">
        <f aca="false">AR_Aging!A296</f>
        <v>ARI60292</v>
      </c>
      <c r="B296" s="16" t="str">
        <f aca="false">AR_Aging!C296</f>
        <v>Jones Inc</v>
      </c>
      <c r="C296" s="18" t="n">
        <f aca="false">AR_Aging!F296</f>
        <v>2529.28</v>
      </c>
      <c r="D296" s="18" t="n">
        <f aca="false">AR_Aging!G296</f>
        <v>0</v>
      </c>
      <c r="E296" s="18" t="n">
        <f aca="false">AR_Aging!H296</f>
        <v>2529.28</v>
      </c>
      <c r="F296" s="16" t="n">
        <f aca="false">AR_Aging!I296</f>
        <v>232</v>
      </c>
      <c r="G296" s="16" t="str">
        <f aca="false">AR_Aging!K296</f>
        <v>Unpaid</v>
      </c>
      <c r="H296" s="16" t="str">
        <f aca="false">IF(AND(G296="Unpaid",F296&gt;90),"HIGH - Fully Overdue 90+ Days",IF(G296="Partially Paid","MEDIUM - Short Paid","OK"))</f>
        <v>HIGH - Fully Overdue 90+ Days</v>
      </c>
    </row>
    <row r="297" customFormat="false" ht="15" hidden="false" customHeight="false" outlineLevel="0" collapsed="false">
      <c r="A297" s="16" t="str">
        <f aca="false">AR_Aging!A297</f>
        <v>ARI60293</v>
      </c>
      <c r="B297" s="16" t="str">
        <f aca="false">AR_Aging!C297</f>
        <v>Woods, Calhoun and Schmidt</v>
      </c>
      <c r="C297" s="18" t="n">
        <f aca="false">AR_Aging!F297</f>
        <v>4574.28</v>
      </c>
      <c r="D297" s="18" t="n">
        <f aca="false">AR_Aging!G297</f>
        <v>4574.28</v>
      </c>
      <c r="E297" s="18" t="n">
        <f aca="false">AR_Aging!H297</f>
        <v>0</v>
      </c>
      <c r="F297" s="16" t="n">
        <f aca="false">AR_Aging!I297</f>
        <v>0</v>
      </c>
      <c r="G297" s="16" t="str">
        <f aca="false">AR_Aging!K297</f>
        <v>Paid</v>
      </c>
      <c r="H297" s="16" t="str">
        <f aca="false">IF(AND(G297="Unpaid",F297&gt;90),"HIGH - Fully Overdue 90+ Days",IF(G297="Partially Paid","MEDIUM - Short Paid","OK"))</f>
        <v>OK</v>
      </c>
    </row>
    <row r="298" customFormat="false" ht="15" hidden="false" customHeight="false" outlineLevel="0" collapsed="false">
      <c r="A298" s="16" t="str">
        <f aca="false">AR_Aging!A298</f>
        <v>ARI60294</v>
      </c>
      <c r="B298" s="16" t="str">
        <f aca="false">AR_Aging!C298</f>
        <v>Williams PLC</v>
      </c>
      <c r="C298" s="18" t="n">
        <f aca="false">AR_Aging!F298</f>
        <v>3028.37</v>
      </c>
      <c r="D298" s="18" t="n">
        <f aca="false">AR_Aging!G298</f>
        <v>3028.37</v>
      </c>
      <c r="E298" s="18" t="n">
        <f aca="false">AR_Aging!H298</f>
        <v>0</v>
      </c>
      <c r="F298" s="16" t="n">
        <f aca="false">AR_Aging!I298</f>
        <v>0</v>
      </c>
      <c r="G298" s="16" t="str">
        <f aca="false">AR_Aging!K298</f>
        <v>Paid</v>
      </c>
      <c r="H298" s="16" t="str">
        <f aca="false">IF(AND(G298="Unpaid",F298&gt;90),"HIGH - Fully Overdue 90+ Days",IF(G298="Partially Paid","MEDIUM - Short Paid","OK"))</f>
        <v>OK</v>
      </c>
    </row>
    <row r="299" customFormat="false" ht="15" hidden="false" customHeight="false" outlineLevel="0" collapsed="false">
      <c r="A299" s="16" t="str">
        <f aca="false">AR_Aging!A299</f>
        <v>ARI60295</v>
      </c>
      <c r="B299" s="16" t="str">
        <f aca="false">AR_Aging!C299</f>
        <v>Jones Inc</v>
      </c>
      <c r="C299" s="18" t="n">
        <f aca="false">AR_Aging!F299</f>
        <v>1302.49</v>
      </c>
      <c r="D299" s="18" t="n">
        <f aca="false">AR_Aging!G299</f>
        <v>1302.49</v>
      </c>
      <c r="E299" s="18" t="n">
        <f aca="false">AR_Aging!H299</f>
        <v>0</v>
      </c>
      <c r="F299" s="16" t="n">
        <f aca="false">AR_Aging!I299</f>
        <v>0</v>
      </c>
      <c r="G299" s="16" t="str">
        <f aca="false">AR_Aging!K299</f>
        <v>Paid</v>
      </c>
      <c r="H299" s="16" t="str">
        <f aca="false">IF(AND(G299="Unpaid",F299&gt;90),"HIGH - Fully Overdue 90+ Days",IF(G299="Partially Paid","MEDIUM - Short Paid","OK"))</f>
        <v>OK</v>
      </c>
    </row>
    <row r="300" customFormat="false" ht="15" hidden="false" customHeight="false" outlineLevel="0" collapsed="false">
      <c r="A300" s="16" t="str">
        <f aca="false">AR_Aging!A300</f>
        <v>ARI60296</v>
      </c>
      <c r="B300" s="16" t="str">
        <f aca="false">AR_Aging!C300</f>
        <v>West, Henderson and Ramirez</v>
      </c>
      <c r="C300" s="18" t="n">
        <f aca="false">AR_Aging!F300</f>
        <v>4414.93</v>
      </c>
      <c r="D300" s="18" t="n">
        <f aca="false">AR_Aging!G300</f>
        <v>0</v>
      </c>
      <c r="E300" s="18" t="n">
        <f aca="false">AR_Aging!H300</f>
        <v>4414.93</v>
      </c>
      <c r="F300" s="16" t="n">
        <f aca="false">AR_Aging!I300</f>
        <v>101</v>
      </c>
      <c r="G300" s="16" t="str">
        <f aca="false">AR_Aging!K300</f>
        <v>Unpaid</v>
      </c>
      <c r="H300" s="16" t="str">
        <f aca="false">IF(AND(G300="Unpaid",F300&gt;90),"HIGH - Fully Overdue 90+ Days",IF(G300="Partially Paid","MEDIUM - Short Paid","OK"))</f>
        <v>HIGH - Fully Overdue 90+ Days</v>
      </c>
    </row>
    <row r="301" customFormat="false" ht="15" hidden="false" customHeight="false" outlineLevel="0" collapsed="false">
      <c r="A301" s="16" t="str">
        <f aca="false">AR_Aging!A301</f>
        <v>ARI60297</v>
      </c>
      <c r="B301" s="16" t="str">
        <f aca="false">AR_Aging!C301</f>
        <v>House-Glover</v>
      </c>
      <c r="C301" s="18" t="n">
        <f aca="false">AR_Aging!F301</f>
        <v>353.93</v>
      </c>
      <c r="D301" s="18" t="n">
        <f aca="false">AR_Aging!G301</f>
        <v>135.24</v>
      </c>
      <c r="E301" s="18" t="n">
        <f aca="false">AR_Aging!H301</f>
        <v>218.69</v>
      </c>
      <c r="F301" s="16" t="n">
        <f aca="false">AR_Aging!I301</f>
        <v>204</v>
      </c>
      <c r="G301" s="16" t="str">
        <f aca="false">AR_Aging!K301</f>
        <v>Partially Paid</v>
      </c>
      <c r="H301" s="16" t="str">
        <f aca="false">IF(AND(G301="Unpaid",F301&gt;90),"HIGH - Fully Overdue 90+ Days",IF(G301="Partially Paid","MEDIUM - Short Paid","OK"))</f>
        <v>MEDIUM - Short Paid</v>
      </c>
    </row>
    <row r="302" customFormat="false" ht="15" hidden="false" customHeight="false" outlineLevel="0" collapsed="false">
      <c r="A302" s="16" t="str">
        <f aca="false">AR_Aging!A302</f>
        <v>ARI60298</v>
      </c>
      <c r="B302" s="16" t="str">
        <f aca="false">AR_Aging!C302</f>
        <v>Wright Inc</v>
      </c>
      <c r="C302" s="18" t="n">
        <f aca="false">AR_Aging!F302</f>
        <v>3971.65</v>
      </c>
      <c r="D302" s="18" t="n">
        <f aca="false">AR_Aging!G302</f>
        <v>1211</v>
      </c>
      <c r="E302" s="18" t="n">
        <f aca="false">AR_Aging!H302</f>
        <v>2760.65</v>
      </c>
      <c r="F302" s="16" t="n">
        <f aca="false">AR_Aging!I302</f>
        <v>243</v>
      </c>
      <c r="G302" s="16" t="str">
        <f aca="false">AR_Aging!K302</f>
        <v>Partially Paid</v>
      </c>
      <c r="H302" s="16" t="str">
        <f aca="false">IF(AND(G302="Unpaid",F302&gt;90),"HIGH - Fully Overdue 90+ Days",IF(G302="Partially Paid","MEDIUM - Short Paid","OK"))</f>
        <v>MEDIUM - Short Paid</v>
      </c>
    </row>
    <row r="303" customFormat="false" ht="15" hidden="false" customHeight="false" outlineLevel="0" collapsed="false">
      <c r="A303" s="16" t="str">
        <f aca="false">AR_Aging!A303</f>
        <v>ARI60299</v>
      </c>
      <c r="B303" s="16" t="str">
        <f aca="false">AR_Aging!C303</f>
        <v>Wright Inc</v>
      </c>
      <c r="C303" s="18" t="n">
        <f aca="false">AR_Aging!F303</f>
        <v>977.25</v>
      </c>
      <c r="D303" s="18" t="n">
        <f aca="false">AR_Aging!G303</f>
        <v>977.25</v>
      </c>
      <c r="E303" s="18" t="n">
        <f aca="false">AR_Aging!H303</f>
        <v>0</v>
      </c>
      <c r="F303" s="16" t="n">
        <f aca="false">AR_Aging!I303</f>
        <v>0</v>
      </c>
      <c r="G303" s="16" t="str">
        <f aca="false">AR_Aging!K303</f>
        <v>Paid</v>
      </c>
      <c r="H303" s="16" t="str">
        <f aca="false">IF(AND(G303="Unpaid",F303&gt;90),"HIGH - Fully Overdue 90+ Days",IF(G303="Partially Paid","MEDIUM - Short Paid","OK"))</f>
        <v>OK</v>
      </c>
    </row>
    <row r="304" customFormat="false" ht="15" hidden="false" customHeight="false" outlineLevel="0" collapsed="false">
      <c r="A304" s="16" t="str">
        <f aca="false">AR_Aging!A304</f>
        <v>ARI60300</v>
      </c>
      <c r="B304" s="16" t="str">
        <f aca="false">AR_Aging!C304</f>
        <v>Gray Group</v>
      </c>
      <c r="C304" s="18" t="n">
        <f aca="false">AR_Aging!F304</f>
        <v>1244.94</v>
      </c>
      <c r="D304" s="18" t="n">
        <f aca="false">AR_Aging!G304</f>
        <v>1244.94</v>
      </c>
      <c r="E304" s="18" t="n">
        <f aca="false">AR_Aging!H304</f>
        <v>0</v>
      </c>
      <c r="F304" s="16" t="n">
        <f aca="false">AR_Aging!I304</f>
        <v>0</v>
      </c>
      <c r="G304" s="16" t="str">
        <f aca="false">AR_Aging!K304</f>
        <v>Paid</v>
      </c>
      <c r="H304" s="16" t="str">
        <f aca="false">IF(AND(G304="Unpaid",F304&gt;90),"HIGH - Fully Overdue 90+ Days",IF(G304="Partially Paid","MEDIUM - Short Paid","OK"))</f>
        <v>OK</v>
      </c>
    </row>
    <row r="305" customFormat="false" ht="15" hidden="false" customHeight="false" outlineLevel="0" collapsed="false">
      <c r="A305" s="16" t="str">
        <f aca="false">AR_Aging!A305</f>
        <v>ARI60301</v>
      </c>
      <c r="B305" s="16" t="str">
        <f aca="false">AR_Aging!C305</f>
        <v>Yu Inc</v>
      </c>
      <c r="C305" s="18" t="n">
        <f aca="false">AR_Aging!F305</f>
        <v>216.93</v>
      </c>
      <c r="D305" s="18" t="n">
        <f aca="false">AR_Aging!G305</f>
        <v>216.93</v>
      </c>
      <c r="E305" s="18" t="n">
        <f aca="false">AR_Aging!H305</f>
        <v>0</v>
      </c>
      <c r="F305" s="16" t="n">
        <f aca="false">AR_Aging!I305</f>
        <v>0</v>
      </c>
      <c r="G305" s="16" t="str">
        <f aca="false">AR_Aging!K305</f>
        <v>Paid</v>
      </c>
      <c r="H305" s="16" t="str">
        <f aca="false">IF(AND(G305="Unpaid",F305&gt;90),"HIGH - Fully Overdue 90+ Days",IF(G305="Partially Paid","MEDIUM - Short Paid","OK"))</f>
        <v>OK</v>
      </c>
    </row>
    <row r="306" customFormat="false" ht="15" hidden="false" customHeight="false" outlineLevel="0" collapsed="false">
      <c r="A306" s="16" t="str">
        <f aca="false">AR_Aging!A306</f>
        <v>ARI60302</v>
      </c>
      <c r="B306" s="16" t="str">
        <f aca="false">AR_Aging!C306</f>
        <v>Johnston, Sanchez and Kennedy</v>
      </c>
      <c r="C306" s="18" t="n">
        <f aca="false">AR_Aging!F306</f>
        <v>547.29</v>
      </c>
      <c r="D306" s="18" t="n">
        <f aca="false">AR_Aging!G306</f>
        <v>547.29</v>
      </c>
      <c r="E306" s="18" t="n">
        <f aca="false">AR_Aging!H306</f>
        <v>0</v>
      </c>
      <c r="F306" s="16" t="n">
        <f aca="false">AR_Aging!I306</f>
        <v>0</v>
      </c>
      <c r="G306" s="16" t="str">
        <f aca="false">AR_Aging!K306</f>
        <v>Paid</v>
      </c>
      <c r="H306" s="16" t="str">
        <f aca="false">IF(AND(G306="Unpaid",F306&gt;90),"HIGH - Fully Overdue 90+ Days",IF(G306="Partially Paid","MEDIUM - Short Paid","OK"))</f>
        <v>OK</v>
      </c>
    </row>
    <row r="307" customFormat="false" ht="15" hidden="false" customHeight="false" outlineLevel="0" collapsed="false">
      <c r="A307" s="16" t="str">
        <f aca="false">AR_Aging!A307</f>
        <v>ARI60303</v>
      </c>
      <c r="B307" s="16" t="str">
        <f aca="false">AR_Aging!C307</f>
        <v>Brown, Valdez and Lucas</v>
      </c>
      <c r="C307" s="18" t="n">
        <f aca="false">AR_Aging!F307</f>
        <v>3658.52</v>
      </c>
      <c r="D307" s="18" t="n">
        <f aca="false">AR_Aging!G307</f>
        <v>3658.52</v>
      </c>
      <c r="E307" s="18" t="n">
        <f aca="false">AR_Aging!H307</f>
        <v>0</v>
      </c>
      <c r="F307" s="16" t="n">
        <f aca="false">AR_Aging!I307</f>
        <v>0</v>
      </c>
      <c r="G307" s="16" t="str">
        <f aca="false">AR_Aging!K307</f>
        <v>Paid</v>
      </c>
      <c r="H307" s="16" t="str">
        <f aca="false">IF(AND(G307="Unpaid",F307&gt;90),"HIGH - Fully Overdue 90+ Days",IF(G307="Partially Paid","MEDIUM - Short Paid","OK"))</f>
        <v>OK</v>
      </c>
    </row>
    <row r="308" customFormat="false" ht="15" hidden="false" customHeight="false" outlineLevel="0" collapsed="false">
      <c r="A308" s="16" t="str">
        <f aca="false">AR_Aging!A308</f>
        <v>ARI60304</v>
      </c>
      <c r="B308" s="16" t="str">
        <f aca="false">AR_Aging!C308</f>
        <v>Brown, Valdez and Lucas</v>
      </c>
      <c r="C308" s="18" t="n">
        <f aca="false">AR_Aging!F308</f>
        <v>721.08</v>
      </c>
      <c r="D308" s="18" t="n">
        <f aca="false">AR_Aging!G308</f>
        <v>721.08</v>
      </c>
      <c r="E308" s="18" t="n">
        <f aca="false">AR_Aging!H308</f>
        <v>0</v>
      </c>
      <c r="F308" s="16" t="n">
        <f aca="false">AR_Aging!I308</f>
        <v>0</v>
      </c>
      <c r="G308" s="16" t="str">
        <f aca="false">AR_Aging!K308</f>
        <v>Paid</v>
      </c>
      <c r="H308" s="16" t="str">
        <f aca="false">IF(AND(G308="Unpaid",F308&gt;90),"HIGH - Fully Overdue 90+ Days",IF(G308="Partially Paid","MEDIUM - Short Paid","OK"))</f>
        <v>OK</v>
      </c>
    </row>
    <row r="309" customFormat="false" ht="15" hidden="false" customHeight="false" outlineLevel="0" collapsed="false">
      <c r="A309" s="16" t="str">
        <f aca="false">AR_Aging!A309</f>
        <v>ARI60305</v>
      </c>
      <c r="B309" s="16" t="str">
        <f aca="false">AR_Aging!C309</f>
        <v>West, Henderson and Ramirez</v>
      </c>
      <c r="C309" s="18" t="n">
        <f aca="false">AR_Aging!F309</f>
        <v>12262.46</v>
      </c>
      <c r="D309" s="18" t="n">
        <f aca="false">AR_Aging!G309</f>
        <v>12262.46</v>
      </c>
      <c r="E309" s="18" t="n">
        <f aca="false">AR_Aging!H309</f>
        <v>0</v>
      </c>
      <c r="F309" s="16" t="n">
        <f aca="false">AR_Aging!I309</f>
        <v>0</v>
      </c>
      <c r="G309" s="16" t="str">
        <f aca="false">AR_Aging!K309</f>
        <v>Paid</v>
      </c>
      <c r="H309" s="16" t="str">
        <f aca="false">IF(AND(G309="Unpaid",F309&gt;90),"HIGH - Fully Overdue 90+ Days",IF(G309="Partially Paid","MEDIUM - Short Paid","OK"))</f>
        <v>OK</v>
      </c>
    </row>
    <row r="310" customFormat="false" ht="15" hidden="false" customHeight="false" outlineLevel="0" collapsed="false">
      <c r="A310" s="16" t="str">
        <f aca="false">AR_Aging!A310</f>
        <v>ARI60306</v>
      </c>
      <c r="B310" s="16" t="str">
        <f aca="false">AR_Aging!C310</f>
        <v>West, Henderson and Ramirez</v>
      </c>
      <c r="C310" s="18" t="n">
        <f aca="false">AR_Aging!F310</f>
        <v>8063.35</v>
      </c>
      <c r="D310" s="18" t="n">
        <f aca="false">AR_Aging!G310</f>
        <v>8063.35</v>
      </c>
      <c r="E310" s="18" t="n">
        <f aca="false">AR_Aging!H310</f>
        <v>0</v>
      </c>
      <c r="F310" s="16" t="n">
        <f aca="false">AR_Aging!I310</f>
        <v>0</v>
      </c>
      <c r="G310" s="16" t="str">
        <f aca="false">AR_Aging!K310</f>
        <v>Paid</v>
      </c>
      <c r="H310" s="16" t="str">
        <f aca="false">IF(AND(G310="Unpaid",F310&gt;90),"HIGH - Fully Overdue 90+ Days",IF(G310="Partially Paid","MEDIUM - Short Paid","OK"))</f>
        <v>OK</v>
      </c>
    </row>
    <row r="311" customFormat="false" ht="15" hidden="false" customHeight="false" outlineLevel="0" collapsed="false">
      <c r="A311" s="16" t="str">
        <f aca="false">AR_Aging!A311</f>
        <v>ARI60307</v>
      </c>
      <c r="B311" s="16" t="str">
        <f aca="false">AR_Aging!C311</f>
        <v>West, Henderson and Ramirez</v>
      </c>
      <c r="C311" s="18" t="n">
        <f aca="false">AR_Aging!F311</f>
        <v>1103.36</v>
      </c>
      <c r="D311" s="18" t="n">
        <f aca="false">AR_Aging!G311</f>
        <v>1103.36</v>
      </c>
      <c r="E311" s="18" t="n">
        <f aca="false">AR_Aging!H311</f>
        <v>0</v>
      </c>
      <c r="F311" s="16" t="n">
        <f aca="false">AR_Aging!I311</f>
        <v>0</v>
      </c>
      <c r="G311" s="16" t="str">
        <f aca="false">AR_Aging!K311</f>
        <v>Paid</v>
      </c>
      <c r="H311" s="16" t="str">
        <f aca="false">IF(AND(G311="Unpaid",F311&gt;90),"HIGH - Fully Overdue 90+ Days",IF(G311="Partially Paid","MEDIUM - Short Paid","OK"))</f>
        <v>OK</v>
      </c>
    </row>
    <row r="312" customFormat="false" ht="15" hidden="false" customHeight="false" outlineLevel="0" collapsed="false">
      <c r="A312" s="16" t="str">
        <f aca="false">AR_Aging!A312</f>
        <v>ARI60308</v>
      </c>
      <c r="B312" s="16" t="str">
        <f aca="false">AR_Aging!C312</f>
        <v>Baxter Inc</v>
      </c>
      <c r="C312" s="18" t="n">
        <f aca="false">AR_Aging!F312</f>
        <v>8101.91</v>
      </c>
      <c r="D312" s="18" t="n">
        <f aca="false">AR_Aging!G312</f>
        <v>8101.91</v>
      </c>
      <c r="E312" s="18" t="n">
        <f aca="false">AR_Aging!H312</f>
        <v>0</v>
      </c>
      <c r="F312" s="16" t="n">
        <f aca="false">AR_Aging!I312</f>
        <v>0</v>
      </c>
      <c r="G312" s="16" t="str">
        <f aca="false">AR_Aging!K312</f>
        <v>Paid</v>
      </c>
      <c r="H312" s="16" t="str">
        <f aca="false">IF(AND(G312="Unpaid",F312&gt;90),"HIGH - Fully Overdue 90+ Days",IF(G312="Partially Paid","MEDIUM - Short Paid","OK"))</f>
        <v>OK</v>
      </c>
    </row>
    <row r="313" customFormat="false" ht="15" hidden="false" customHeight="false" outlineLevel="0" collapsed="false">
      <c r="A313" s="16" t="str">
        <f aca="false">AR_Aging!A313</f>
        <v>ARI60309</v>
      </c>
      <c r="B313" s="16" t="str">
        <f aca="false">AR_Aging!C313</f>
        <v>Baxter Inc</v>
      </c>
      <c r="C313" s="18" t="n">
        <f aca="false">AR_Aging!F313</f>
        <v>544.44</v>
      </c>
      <c r="D313" s="18" t="n">
        <f aca="false">AR_Aging!G313</f>
        <v>0</v>
      </c>
      <c r="E313" s="18" t="n">
        <f aca="false">AR_Aging!H313</f>
        <v>544.44</v>
      </c>
      <c r="F313" s="16" t="n">
        <f aca="false">AR_Aging!I313</f>
        <v>303</v>
      </c>
      <c r="G313" s="16" t="str">
        <f aca="false">AR_Aging!K313</f>
        <v>Unpaid</v>
      </c>
      <c r="H313" s="16" t="str">
        <f aca="false">IF(AND(G313="Unpaid",F313&gt;90),"HIGH - Fully Overdue 90+ Days",IF(G313="Partially Paid","MEDIUM - Short Paid","OK"))</f>
        <v>HIGH - Fully Overdue 90+ Days</v>
      </c>
    </row>
    <row r="314" customFormat="false" ht="15" hidden="false" customHeight="false" outlineLevel="0" collapsed="false">
      <c r="A314" s="16" t="str">
        <f aca="false">AR_Aging!A314</f>
        <v>ARI60310</v>
      </c>
      <c r="B314" s="16" t="str">
        <f aca="false">AR_Aging!C314</f>
        <v>Novak PLC</v>
      </c>
      <c r="C314" s="18" t="n">
        <f aca="false">AR_Aging!F314</f>
        <v>3180.96</v>
      </c>
      <c r="D314" s="18" t="n">
        <f aca="false">AR_Aging!G314</f>
        <v>0</v>
      </c>
      <c r="E314" s="18" t="n">
        <f aca="false">AR_Aging!H314</f>
        <v>3180.96</v>
      </c>
      <c r="F314" s="16" t="n">
        <f aca="false">AR_Aging!I314</f>
        <v>0</v>
      </c>
      <c r="G314" s="16" t="str">
        <f aca="false">AR_Aging!K314</f>
        <v>Unpaid</v>
      </c>
      <c r="H314" s="16" t="str">
        <f aca="false">IF(AND(G314="Unpaid",F314&gt;90),"HIGH - Fully Overdue 90+ Days",IF(G314="Partially Paid","MEDIUM - Short Paid","OK"))</f>
        <v>OK</v>
      </c>
    </row>
    <row r="315" customFormat="false" ht="15" hidden="false" customHeight="false" outlineLevel="0" collapsed="false">
      <c r="A315" s="16" t="str">
        <f aca="false">AR_Aging!A315</f>
        <v>ARI60311</v>
      </c>
      <c r="B315" s="16" t="str">
        <f aca="false">AR_Aging!C315</f>
        <v>Yu Inc</v>
      </c>
      <c r="C315" s="18" t="n">
        <f aca="false">AR_Aging!F315</f>
        <v>1127.3</v>
      </c>
      <c r="D315" s="18" t="n">
        <f aca="false">AR_Aging!G315</f>
        <v>1127.3</v>
      </c>
      <c r="E315" s="18" t="n">
        <f aca="false">AR_Aging!H315</f>
        <v>0</v>
      </c>
      <c r="F315" s="16" t="n">
        <f aca="false">AR_Aging!I315</f>
        <v>0</v>
      </c>
      <c r="G315" s="16" t="str">
        <f aca="false">AR_Aging!K315</f>
        <v>Paid</v>
      </c>
      <c r="H315" s="16" t="str">
        <f aca="false">IF(AND(G315="Unpaid",F315&gt;90),"HIGH - Fully Overdue 90+ Days",IF(G315="Partially Paid","MEDIUM - Short Paid","OK"))</f>
        <v>OK</v>
      </c>
    </row>
    <row r="316" customFormat="false" ht="15" hidden="false" customHeight="false" outlineLevel="0" collapsed="false">
      <c r="A316" s="16" t="str">
        <f aca="false">AR_Aging!A316</f>
        <v>ARI60312</v>
      </c>
      <c r="B316" s="16" t="str">
        <f aca="false">AR_Aging!C316</f>
        <v>Novak and Sons</v>
      </c>
      <c r="C316" s="18" t="n">
        <f aca="false">AR_Aging!F316</f>
        <v>1175</v>
      </c>
      <c r="D316" s="18" t="n">
        <f aca="false">AR_Aging!G316</f>
        <v>1175</v>
      </c>
      <c r="E316" s="18" t="n">
        <f aca="false">AR_Aging!H316</f>
        <v>0</v>
      </c>
      <c r="F316" s="16" t="n">
        <f aca="false">AR_Aging!I316</f>
        <v>0</v>
      </c>
      <c r="G316" s="16" t="str">
        <f aca="false">AR_Aging!K316</f>
        <v>Paid</v>
      </c>
      <c r="H316" s="16" t="str">
        <f aca="false">IF(AND(G316="Unpaid",F316&gt;90),"HIGH - Fully Overdue 90+ Days",IF(G316="Partially Paid","MEDIUM - Short Paid","OK"))</f>
        <v>OK</v>
      </c>
    </row>
    <row r="317" customFormat="false" ht="15" hidden="false" customHeight="false" outlineLevel="0" collapsed="false">
      <c r="A317" s="16" t="str">
        <f aca="false">AR_Aging!A317</f>
        <v>ARI60313</v>
      </c>
      <c r="B317" s="16" t="str">
        <f aca="false">AR_Aging!C317</f>
        <v>Johnston, Sanchez and Kennedy</v>
      </c>
      <c r="C317" s="18" t="n">
        <f aca="false">AR_Aging!F317</f>
        <v>3629</v>
      </c>
      <c r="D317" s="18" t="n">
        <f aca="false">AR_Aging!G317</f>
        <v>0</v>
      </c>
      <c r="E317" s="18" t="n">
        <f aca="false">AR_Aging!H317</f>
        <v>3629</v>
      </c>
      <c r="F317" s="16" t="n">
        <f aca="false">AR_Aging!I317</f>
        <v>279</v>
      </c>
      <c r="G317" s="16" t="str">
        <f aca="false">AR_Aging!K317</f>
        <v>Unpaid</v>
      </c>
      <c r="H317" s="16" t="str">
        <f aca="false">IF(AND(G317="Unpaid",F317&gt;90),"HIGH - Fully Overdue 90+ Days",IF(G317="Partially Paid","MEDIUM - Short Paid","OK"))</f>
        <v>HIGH - Fully Overdue 90+ Days</v>
      </c>
    </row>
    <row r="318" customFormat="false" ht="15" hidden="false" customHeight="false" outlineLevel="0" collapsed="false">
      <c r="A318" s="16" t="str">
        <f aca="false">AR_Aging!A318</f>
        <v>ARI60314</v>
      </c>
      <c r="B318" s="16" t="str">
        <f aca="false">AR_Aging!C318</f>
        <v>Stanley, Tucker and Lee</v>
      </c>
      <c r="C318" s="18" t="n">
        <f aca="false">AR_Aging!F318</f>
        <v>4613.92</v>
      </c>
      <c r="D318" s="18" t="n">
        <f aca="false">AR_Aging!G318</f>
        <v>4613.92</v>
      </c>
      <c r="E318" s="18" t="n">
        <f aca="false">AR_Aging!H318</f>
        <v>0</v>
      </c>
      <c r="F318" s="16" t="n">
        <f aca="false">AR_Aging!I318</f>
        <v>0</v>
      </c>
      <c r="G318" s="16" t="str">
        <f aca="false">AR_Aging!K318</f>
        <v>Paid</v>
      </c>
      <c r="H318" s="16" t="str">
        <f aca="false">IF(AND(G318="Unpaid",F318&gt;90),"HIGH - Fully Overdue 90+ Days",IF(G318="Partially Paid","MEDIUM - Short Paid","OK"))</f>
        <v>OK</v>
      </c>
    </row>
    <row r="319" customFormat="false" ht="15" hidden="false" customHeight="false" outlineLevel="0" collapsed="false">
      <c r="A319" s="16" t="str">
        <f aca="false">AR_Aging!A319</f>
        <v>ARI60315</v>
      </c>
      <c r="B319" s="16" t="str">
        <f aca="false">AR_Aging!C319</f>
        <v>Daniels, Adkins and Brown</v>
      </c>
      <c r="C319" s="18" t="n">
        <f aca="false">AR_Aging!F319</f>
        <v>4776.56</v>
      </c>
      <c r="D319" s="18" t="n">
        <f aca="false">AR_Aging!G319</f>
        <v>4776.56</v>
      </c>
      <c r="E319" s="18" t="n">
        <f aca="false">AR_Aging!H319</f>
        <v>0</v>
      </c>
      <c r="F319" s="16" t="n">
        <f aca="false">AR_Aging!I319</f>
        <v>0</v>
      </c>
      <c r="G319" s="16" t="str">
        <f aca="false">AR_Aging!K319</f>
        <v>Paid</v>
      </c>
      <c r="H319" s="16" t="str">
        <f aca="false">IF(AND(G319="Unpaid",F319&gt;90),"HIGH - Fully Overdue 90+ Days",IF(G319="Partially Paid","MEDIUM - Short Paid","OK"))</f>
        <v>OK</v>
      </c>
    </row>
    <row r="320" customFormat="false" ht="15" hidden="false" customHeight="false" outlineLevel="0" collapsed="false">
      <c r="A320" s="16" t="str">
        <f aca="false">AR_Aging!A320</f>
        <v>ARI60316</v>
      </c>
      <c r="B320" s="16" t="str">
        <f aca="false">AR_Aging!C320</f>
        <v>Jones-Young</v>
      </c>
      <c r="C320" s="18" t="n">
        <f aca="false">AR_Aging!F320</f>
        <v>2886.24</v>
      </c>
      <c r="D320" s="18" t="n">
        <f aca="false">AR_Aging!G320</f>
        <v>2886.24</v>
      </c>
      <c r="E320" s="18" t="n">
        <f aca="false">AR_Aging!H320</f>
        <v>0</v>
      </c>
      <c r="F320" s="16" t="n">
        <f aca="false">AR_Aging!I320</f>
        <v>0</v>
      </c>
      <c r="G320" s="16" t="str">
        <f aca="false">AR_Aging!K320</f>
        <v>Paid</v>
      </c>
      <c r="H320" s="16" t="str">
        <f aca="false">IF(AND(G320="Unpaid",F320&gt;90),"HIGH - Fully Overdue 90+ Days",IF(G320="Partially Paid","MEDIUM - Short Paid","OK"))</f>
        <v>OK</v>
      </c>
    </row>
    <row r="321" customFormat="false" ht="15" hidden="false" customHeight="false" outlineLevel="0" collapsed="false">
      <c r="A321" s="16" t="str">
        <f aca="false">AR_Aging!A321</f>
        <v>ARI60317</v>
      </c>
      <c r="B321" s="16" t="str">
        <f aca="false">AR_Aging!C321</f>
        <v>Powell LLC</v>
      </c>
      <c r="C321" s="18" t="n">
        <f aca="false">AR_Aging!F321</f>
        <v>12458.98</v>
      </c>
      <c r="D321" s="18" t="n">
        <f aca="false">AR_Aging!G321</f>
        <v>4848.57</v>
      </c>
      <c r="E321" s="18" t="n">
        <f aca="false">AR_Aging!H321</f>
        <v>7610.41</v>
      </c>
      <c r="F321" s="16" t="n">
        <f aca="false">AR_Aging!I321</f>
        <v>57</v>
      </c>
      <c r="G321" s="16" t="str">
        <f aca="false">AR_Aging!K321</f>
        <v>Partially Paid</v>
      </c>
      <c r="H321" s="16" t="str">
        <f aca="false">IF(AND(G321="Unpaid",F321&gt;90),"HIGH - Fully Overdue 90+ Days",IF(G321="Partially Paid","MEDIUM - Short Paid","OK"))</f>
        <v>MEDIUM - Short Paid</v>
      </c>
    </row>
    <row r="322" customFormat="false" ht="15" hidden="false" customHeight="false" outlineLevel="0" collapsed="false">
      <c r="A322" s="16" t="str">
        <f aca="false">AR_Aging!A322</f>
        <v>ARI60318</v>
      </c>
      <c r="B322" s="16" t="str">
        <f aca="false">AR_Aging!C322</f>
        <v>Hancock Inc</v>
      </c>
      <c r="C322" s="18" t="n">
        <f aca="false">AR_Aging!F322</f>
        <v>768.29</v>
      </c>
      <c r="D322" s="18" t="n">
        <f aca="false">AR_Aging!G322</f>
        <v>768.29</v>
      </c>
      <c r="E322" s="18" t="n">
        <f aca="false">AR_Aging!H322</f>
        <v>0</v>
      </c>
      <c r="F322" s="16" t="n">
        <f aca="false">AR_Aging!I322</f>
        <v>0</v>
      </c>
      <c r="G322" s="16" t="str">
        <f aca="false">AR_Aging!K322</f>
        <v>Paid</v>
      </c>
      <c r="H322" s="16" t="str">
        <f aca="false">IF(AND(G322="Unpaid",F322&gt;90),"HIGH - Fully Overdue 90+ Days",IF(G322="Partially Paid","MEDIUM - Short Paid","OK"))</f>
        <v>OK</v>
      </c>
    </row>
    <row r="323" customFormat="false" ht="15" hidden="false" customHeight="false" outlineLevel="0" collapsed="false">
      <c r="A323" s="16" t="str">
        <f aca="false">AR_Aging!A323</f>
        <v>ARI60319</v>
      </c>
      <c r="B323" s="16" t="str">
        <f aca="false">AR_Aging!C323</f>
        <v>Baxter Inc</v>
      </c>
      <c r="C323" s="18" t="n">
        <f aca="false">AR_Aging!F323</f>
        <v>26144.93</v>
      </c>
      <c r="D323" s="18" t="n">
        <f aca="false">AR_Aging!G323</f>
        <v>16273</v>
      </c>
      <c r="E323" s="18" t="n">
        <f aca="false">AR_Aging!H323</f>
        <v>9871.93</v>
      </c>
      <c r="F323" s="16" t="n">
        <f aca="false">AR_Aging!I323</f>
        <v>499</v>
      </c>
      <c r="G323" s="16" t="str">
        <f aca="false">AR_Aging!K323</f>
        <v>Partially Paid</v>
      </c>
      <c r="H323" s="16" t="str">
        <f aca="false">IF(AND(G323="Unpaid",F323&gt;90),"HIGH - Fully Overdue 90+ Days",IF(G323="Partially Paid","MEDIUM - Short Paid","OK"))</f>
        <v>MEDIUM - Short Paid</v>
      </c>
    </row>
    <row r="324" customFormat="false" ht="15" hidden="false" customHeight="false" outlineLevel="0" collapsed="false">
      <c r="A324" s="16" t="str">
        <f aca="false">AR_Aging!A324</f>
        <v>ARI60320</v>
      </c>
      <c r="B324" s="16" t="str">
        <f aca="false">AR_Aging!C324</f>
        <v>Jones Inc</v>
      </c>
      <c r="C324" s="18" t="n">
        <f aca="false">AR_Aging!F324</f>
        <v>3638.89</v>
      </c>
      <c r="D324" s="18" t="n">
        <f aca="false">AR_Aging!G324</f>
        <v>3638.89</v>
      </c>
      <c r="E324" s="18" t="n">
        <f aca="false">AR_Aging!H324</f>
        <v>0</v>
      </c>
      <c r="F324" s="16" t="n">
        <f aca="false">AR_Aging!I324</f>
        <v>0</v>
      </c>
      <c r="G324" s="16" t="str">
        <f aca="false">AR_Aging!K324</f>
        <v>Paid</v>
      </c>
      <c r="H324" s="16" t="str">
        <f aca="false">IF(AND(G324="Unpaid",F324&gt;90),"HIGH - Fully Overdue 90+ Days",IF(G324="Partially Paid","MEDIUM - Short Paid","OK"))</f>
        <v>OK</v>
      </c>
    </row>
    <row r="325" customFormat="false" ht="15" hidden="false" customHeight="false" outlineLevel="0" collapsed="false">
      <c r="A325" s="16" t="str">
        <f aca="false">AR_Aging!A325</f>
        <v>ARI60321</v>
      </c>
      <c r="B325" s="16" t="str">
        <f aca="false">AR_Aging!C325</f>
        <v>Russell Group</v>
      </c>
      <c r="C325" s="18" t="n">
        <f aca="false">AR_Aging!F325</f>
        <v>3830.77</v>
      </c>
      <c r="D325" s="18" t="n">
        <f aca="false">AR_Aging!G325</f>
        <v>2307.61</v>
      </c>
      <c r="E325" s="18" t="n">
        <f aca="false">AR_Aging!H325</f>
        <v>1523.16</v>
      </c>
      <c r="F325" s="16" t="n">
        <f aca="false">AR_Aging!I325</f>
        <v>101</v>
      </c>
      <c r="G325" s="16" t="str">
        <f aca="false">AR_Aging!K325</f>
        <v>Partially Paid</v>
      </c>
      <c r="H325" s="16" t="str">
        <f aca="false">IF(AND(G325="Unpaid",F325&gt;90),"HIGH - Fully Overdue 90+ Days",IF(G325="Partially Paid","MEDIUM - Short Paid","OK"))</f>
        <v>MEDIUM - Short Paid</v>
      </c>
    </row>
    <row r="326" customFormat="false" ht="15" hidden="false" customHeight="false" outlineLevel="0" collapsed="false">
      <c r="A326" s="16" t="str">
        <f aca="false">AR_Aging!A326</f>
        <v>ARI60322</v>
      </c>
      <c r="B326" s="16" t="str">
        <f aca="false">AR_Aging!C326</f>
        <v>House-Glover</v>
      </c>
      <c r="C326" s="18" t="n">
        <f aca="false">AR_Aging!F326</f>
        <v>1009.73</v>
      </c>
      <c r="D326" s="18" t="n">
        <f aca="false">AR_Aging!G326</f>
        <v>0</v>
      </c>
      <c r="E326" s="18" t="n">
        <f aca="false">AR_Aging!H326</f>
        <v>1009.73</v>
      </c>
      <c r="F326" s="16" t="n">
        <f aca="false">AR_Aging!I326</f>
        <v>342</v>
      </c>
      <c r="G326" s="16" t="str">
        <f aca="false">AR_Aging!K326</f>
        <v>Unpaid</v>
      </c>
      <c r="H326" s="16" t="str">
        <f aca="false">IF(AND(G326="Unpaid",F326&gt;90),"HIGH - Fully Overdue 90+ Days",IF(G326="Partially Paid","MEDIUM - Short Paid","OK"))</f>
        <v>HIGH - Fully Overdue 90+ Days</v>
      </c>
    </row>
    <row r="327" customFormat="false" ht="15" hidden="false" customHeight="false" outlineLevel="0" collapsed="false">
      <c r="A327" s="16" t="str">
        <f aca="false">AR_Aging!A327</f>
        <v>ARI60323</v>
      </c>
      <c r="B327" s="16" t="str">
        <f aca="false">AR_Aging!C327</f>
        <v>Brown, Valdez and Lucas</v>
      </c>
      <c r="C327" s="18" t="n">
        <f aca="false">AR_Aging!F327</f>
        <v>2672.66</v>
      </c>
      <c r="D327" s="18" t="n">
        <f aca="false">AR_Aging!G327</f>
        <v>1695.13</v>
      </c>
      <c r="E327" s="18" t="n">
        <f aca="false">AR_Aging!H327</f>
        <v>977.53</v>
      </c>
      <c r="F327" s="16" t="n">
        <f aca="false">AR_Aging!I327</f>
        <v>327</v>
      </c>
      <c r="G327" s="16" t="str">
        <f aca="false">AR_Aging!K327</f>
        <v>Partially Paid</v>
      </c>
      <c r="H327" s="16" t="str">
        <f aca="false">IF(AND(G327="Unpaid",F327&gt;90),"HIGH - Fully Overdue 90+ Days",IF(G327="Partially Paid","MEDIUM - Short Paid","OK"))</f>
        <v>MEDIUM - Short Paid</v>
      </c>
    </row>
    <row r="328" customFormat="false" ht="15" hidden="false" customHeight="false" outlineLevel="0" collapsed="false">
      <c r="A328" s="16" t="str">
        <f aca="false">AR_Aging!A328</f>
        <v>ARI60324</v>
      </c>
      <c r="B328" s="16" t="str">
        <f aca="false">AR_Aging!C328</f>
        <v>Gomez-Jenkins</v>
      </c>
      <c r="C328" s="18" t="n">
        <f aca="false">AR_Aging!F328</f>
        <v>1823.04</v>
      </c>
      <c r="D328" s="18" t="n">
        <f aca="false">AR_Aging!G328</f>
        <v>1823.04</v>
      </c>
      <c r="E328" s="18" t="n">
        <f aca="false">AR_Aging!H328</f>
        <v>0</v>
      </c>
      <c r="F328" s="16" t="n">
        <f aca="false">AR_Aging!I328</f>
        <v>0</v>
      </c>
      <c r="G328" s="16" t="str">
        <f aca="false">AR_Aging!K328</f>
        <v>Paid</v>
      </c>
      <c r="H328" s="16" t="str">
        <f aca="false">IF(AND(G328="Unpaid",F328&gt;90),"HIGH - Fully Overdue 90+ Days",IF(G328="Partially Paid","MEDIUM - Short Paid","OK"))</f>
        <v>OK</v>
      </c>
    </row>
    <row r="329" customFormat="false" ht="15" hidden="false" customHeight="false" outlineLevel="0" collapsed="false">
      <c r="A329" s="16" t="str">
        <f aca="false">AR_Aging!A329</f>
        <v>ARI60325</v>
      </c>
      <c r="B329" s="16" t="str">
        <f aca="false">AR_Aging!C329</f>
        <v>Lee-Davis</v>
      </c>
      <c r="C329" s="18" t="n">
        <f aca="false">AR_Aging!F329</f>
        <v>2034.77</v>
      </c>
      <c r="D329" s="18" t="n">
        <f aca="false">AR_Aging!G329</f>
        <v>2034.77</v>
      </c>
      <c r="E329" s="18" t="n">
        <f aca="false">AR_Aging!H329</f>
        <v>0</v>
      </c>
      <c r="F329" s="16" t="n">
        <f aca="false">AR_Aging!I329</f>
        <v>0</v>
      </c>
      <c r="G329" s="16" t="str">
        <f aca="false">AR_Aging!K329</f>
        <v>Paid</v>
      </c>
      <c r="H329" s="16" t="str">
        <f aca="false">IF(AND(G329="Unpaid",F329&gt;90),"HIGH - Fully Overdue 90+ Days",IF(G329="Partially Paid","MEDIUM - Short Paid","OK"))</f>
        <v>OK</v>
      </c>
    </row>
    <row r="330" customFormat="false" ht="15" hidden="false" customHeight="false" outlineLevel="0" collapsed="false">
      <c r="A330" s="16" t="str">
        <f aca="false">AR_Aging!A330</f>
        <v>ARI60326</v>
      </c>
      <c r="B330" s="16" t="str">
        <f aca="false">AR_Aging!C330</f>
        <v>Brown, Valdez and Lucas</v>
      </c>
      <c r="C330" s="18" t="n">
        <f aca="false">AR_Aging!F330</f>
        <v>458.78</v>
      </c>
      <c r="D330" s="18" t="n">
        <f aca="false">AR_Aging!G330</f>
        <v>0</v>
      </c>
      <c r="E330" s="18" t="n">
        <f aca="false">AR_Aging!H330</f>
        <v>458.78</v>
      </c>
      <c r="F330" s="16" t="n">
        <f aca="false">AR_Aging!I330</f>
        <v>31</v>
      </c>
      <c r="G330" s="16" t="str">
        <f aca="false">AR_Aging!K330</f>
        <v>Unpaid</v>
      </c>
      <c r="H330" s="16" t="str">
        <f aca="false">IF(AND(G330="Unpaid",F330&gt;90),"HIGH - Fully Overdue 90+ Days",IF(G330="Partially Paid","MEDIUM - Short Paid","OK"))</f>
        <v>OK</v>
      </c>
    </row>
    <row r="331" customFormat="false" ht="15" hidden="false" customHeight="false" outlineLevel="0" collapsed="false">
      <c r="A331" s="16" t="str">
        <f aca="false">AR_Aging!A331</f>
        <v>ARI60327</v>
      </c>
      <c r="B331" s="16" t="str">
        <f aca="false">AR_Aging!C331</f>
        <v>Baxter Inc</v>
      </c>
      <c r="C331" s="18" t="n">
        <f aca="false">AR_Aging!F331</f>
        <v>10173.75</v>
      </c>
      <c r="D331" s="18" t="n">
        <f aca="false">AR_Aging!G331</f>
        <v>10173.75</v>
      </c>
      <c r="E331" s="18" t="n">
        <f aca="false">AR_Aging!H331</f>
        <v>0</v>
      </c>
      <c r="F331" s="16" t="n">
        <f aca="false">AR_Aging!I331</f>
        <v>0</v>
      </c>
      <c r="G331" s="16" t="str">
        <f aca="false">AR_Aging!K331</f>
        <v>Paid</v>
      </c>
      <c r="H331" s="16" t="str">
        <f aca="false">IF(AND(G331="Unpaid",F331&gt;90),"HIGH - Fully Overdue 90+ Days",IF(G331="Partially Paid","MEDIUM - Short Paid","OK"))</f>
        <v>OK</v>
      </c>
    </row>
    <row r="332" customFormat="false" ht="15" hidden="false" customHeight="false" outlineLevel="0" collapsed="false">
      <c r="A332" s="16" t="str">
        <f aca="false">AR_Aging!A332</f>
        <v>ARI60328</v>
      </c>
      <c r="B332" s="16" t="str">
        <f aca="false">AR_Aging!C332</f>
        <v>Jones Inc</v>
      </c>
      <c r="C332" s="18" t="n">
        <f aca="false">AR_Aging!F332</f>
        <v>538.08</v>
      </c>
      <c r="D332" s="18" t="n">
        <f aca="false">AR_Aging!G332</f>
        <v>538.08</v>
      </c>
      <c r="E332" s="18" t="n">
        <f aca="false">AR_Aging!H332</f>
        <v>0</v>
      </c>
      <c r="F332" s="16" t="n">
        <f aca="false">AR_Aging!I332</f>
        <v>0</v>
      </c>
      <c r="G332" s="16" t="str">
        <f aca="false">AR_Aging!K332</f>
        <v>Paid</v>
      </c>
      <c r="H332" s="16" t="str">
        <f aca="false">IF(AND(G332="Unpaid",F332&gt;90),"HIGH - Fully Overdue 90+ Days",IF(G332="Partially Paid","MEDIUM - Short Paid","OK"))</f>
        <v>OK</v>
      </c>
    </row>
    <row r="333" customFormat="false" ht="15" hidden="false" customHeight="false" outlineLevel="0" collapsed="false">
      <c r="A333" s="16" t="str">
        <f aca="false">AR_Aging!A333</f>
        <v>ARI60329</v>
      </c>
      <c r="B333" s="16" t="str">
        <f aca="false">AR_Aging!C333</f>
        <v>Brown, Valdez and Lucas</v>
      </c>
      <c r="C333" s="18" t="n">
        <f aca="false">AR_Aging!F333</f>
        <v>1623.58</v>
      </c>
      <c r="D333" s="18" t="n">
        <f aca="false">AR_Aging!G333</f>
        <v>1623.58</v>
      </c>
      <c r="E333" s="18" t="n">
        <f aca="false">AR_Aging!H333</f>
        <v>0</v>
      </c>
      <c r="F333" s="16" t="n">
        <f aca="false">AR_Aging!I333</f>
        <v>0</v>
      </c>
      <c r="G333" s="16" t="str">
        <f aca="false">AR_Aging!K333</f>
        <v>Paid</v>
      </c>
      <c r="H333" s="16" t="str">
        <f aca="false">IF(AND(G333="Unpaid",F333&gt;90),"HIGH - Fully Overdue 90+ Days",IF(G333="Partially Paid","MEDIUM - Short Paid","OK"))</f>
        <v>OK</v>
      </c>
    </row>
    <row r="334" customFormat="false" ht="15" hidden="false" customHeight="false" outlineLevel="0" collapsed="false">
      <c r="A334" s="16" t="str">
        <f aca="false">AR_Aging!A334</f>
        <v>ARI60330</v>
      </c>
      <c r="B334" s="16" t="str">
        <f aca="false">AR_Aging!C334</f>
        <v>Jones-Young</v>
      </c>
      <c r="C334" s="18" t="n">
        <f aca="false">AR_Aging!F334</f>
        <v>5404.68</v>
      </c>
      <c r="D334" s="18" t="n">
        <f aca="false">AR_Aging!G334</f>
        <v>5404.68</v>
      </c>
      <c r="E334" s="18" t="n">
        <f aca="false">AR_Aging!H334</f>
        <v>0</v>
      </c>
      <c r="F334" s="16" t="n">
        <f aca="false">AR_Aging!I334</f>
        <v>0</v>
      </c>
      <c r="G334" s="16" t="str">
        <f aca="false">AR_Aging!K334</f>
        <v>Paid</v>
      </c>
      <c r="H334" s="16" t="str">
        <f aca="false">IF(AND(G334="Unpaid",F334&gt;90),"HIGH - Fully Overdue 90+ Days",IF(G334="Partially Paid","MEDIUM - Short Paid","OK"))</f>
        <v>OK</v>
      </c>
    </row>
    <row r="335" customFormat="false" ht="15" hidden="false" customHeight="false" outlineLevel="0" collapsed="false">
      <c r="A335" s="16" t="str">
        <f aca="false">AR_Aging!A335</f>
        <v>ARI60331</v>
      </c>
      <c r="B335" s="16" t="str">
        <f aca="false">AR_Aging!C335</f>
        <v>Baxter Inc</v>
      </c>
      <c r="C335" s="18" t="n">
        <f aca="false">AR_Aging!F335</f>
        <v>1687.83</v>
      </c>
      <c r="D335" s="18" t="n">
        <f aca="false">AR_Aging!G335</f>
        <v>1687.83</v>
      </c>
      <c r="E335" s="18" t="n">
        <f aca="false">AR_Aging!H335</f>
        <v>0</v>
      </c>
      <c r="F335" s="16" t="n">
        <f aca="false">AR_Aging!I335</f>
        <v>0</v>
      </c>
      <c r="G335" s="16" t="str">
        <f aca="false">AR_Aging!K335</f>
        <v>Paid</v>
      </c>
      <c r="H335" s="16" t="str">
        <f aca="false">IF(AND(G335="Unpaid",F335&gt;90),"HIGH - Fully Overdue 90+ Days",IF(G335="Partially Paid","MEDIUM - Short Paid","OK"))</f>
        <v>OK</v>
      </c>
    </row>
    <row r="336" customFormat="false" ht="15" hidden="false" customHeight="false" outlineLevel="0" collapsed="false">
      <c r="A336" s="16" t="str">
        <f aca="false">AR_Aging!A336</f>
        <v>ARI60332</v>
      </c>
      <c r="B336" s="16" t="str">
        <f aca="false">AR_Aging!C336</f>
        <v>Smith-Spencer</v>
      </c>
      <c r="C336" s="18" t="n">
        <f aca="false">AR_Aging!F336</f>
        <v>4149.56</v>
      </c>
      <c r="D336" s="18" t="n">
        <f aca="false">AR_Aging!G336</f>
        <v>4149.56</v>
      </c>
      <c r="E336" s="18" t="n">
        <f aca="false">AR_Aging!H336</f>
        <v>0</v>
      </c>
      <c r="F336" s="16" t="n">
        <f aca="false">AR_Aging!I336</f>
        <v>0</v>
      </c>
      <c r="G336" s="16" t="str">
        <f aca="false">AR_Aging!K336</f>
        <v>Paid</v>
      </c>
      <c r="H336" s="16" t="str">
        <f aca="false">IF(AND(G336="Unpaid",F336&gt;90),"HIGH - Fully Overdue 90+ Days",IF(G336="Partially Paid","MEDIUM - Short Paid","OK"))</f>
        <v>OK</v>
      </c>
    </row>
    <row r="337" customFormat="false" ht="15" hidden="false" customHeight="false" outlineLevel="0" collapsed="false">
      <c r="A337" s="16" t="str">
        <f aca="false">AR_Aging!A337</f>
        <v>ARI60333</v>
      </c>
      <c r="B337" s="16" t="str">
        <f aca="false">AR_Aging!C337</f>
        <v>Hensley, Powell and David</v>
      </c>
      <c r="C337" s="18" t="n">
        <f aca="false">AR_Aging!F337</f>
        <v>2864.37</v>
      </c>
      <c r="D337" s="18" t="n">
        <f aca="false">AR_Aging!G337</f>
        <v>2864.37</v>
      </c>
      <c r="E337" s="18" t="n">
        <f aca="false">AR_Aging!H337</f>
        <v>0</v>
      </c>
      <c r="F337" s="16" t="n">
        <f aca="false">AR_Aging!I337</f>
        <v>0</v>
      </c>
      <c r="G337" s="16" t="str">
        <f aca="false">AR_Aging!K337</f>
        <v>Paid</v>
      </c>
      <c r="H337" s="16" t="str">
        <f aca="false">IF(AND(G337="Unpaid",F337&gt;90),"HIGH - Fully Overdue 90+ Days",IF(G337="Partially Paid","MEDIUM - Short Paid","OK"))</f>
        <v>OK</v>
      </c>
    </row>
    <row r="338" customFormat="false" ht="15" hidden="false" customHeight="false" outlineLevel="0" collapsed="false">
      <c r="A338" s="16" t="str">
        <f aca="false">AR_Aging!A338</f>
        <v>ARI60334</v>
      </c>
      <c r="B338" s="16" t="str">
        <f aca="false">AR_Aging!C338</f>
        <v>Washington, Ryan and Cummings</v>
      </c>
      <c r="C338" s="18" t="n">
        <f aca="false">AR_Aging!F338</f>
        <v>2083.5</v>
      </c>
      <c r="D338" s="18" t="n">
        <f aca="false">AR_Aging!G338</f>
        <v>1208.58</v>
      </c>
      <c r="E338" s="18" t="n">
        <f aca="false">AR_Aging!H338</f>
        <v>874.92</v>
      </c>
      <c r="F338" s="16" t="n">
        <f aca="false">AR_Aging!I338</f>
        <v>452</v>
      </c>
      <c r="G338" s="16" t="str">
        <f aca="false">AR_Aging!K338</f>
        <v>Partially Paid</v>
      </c>
      <c r="H338" s="16" t="str">
        <f aca="false">IF(AND(G338="Unpaid",F338&gt;90),"HIGH - Fully Overdue 90+ Days",IF(G338="Partially Paid","MEDIUM - Short Paid","OK"))</f>
        <v>MEDIUM - Short Paid</v>
      </c>
    </row>
    <row r="339" customFormat="false" ht="15" hidden="false" customHeight="false" outlineLevel="0" collapsed="false">
      <c r="A339" s="16" t="str">
        <f aca="false">AR_Aging!A339</f>
        <v>ARI60335</v>
      </c>
      <c r="B339" s="16" t="str">
        <f aca="false">AR_Aging!C339</f>
        <v>Wright Inc</v>
      </c>
      <c r="C339" s="18" t="n">
        <f aca="false">AR_Aging!F339</f>
        <v>1137.04</v>
      </c>
      <c r="D339" s="18" t="n">
        <f aca="false">AR_Aging!G339</f>
        <v>1137.04</v>
      </c>
      <c r="E339" s="18" t="n">
        <f aca="false">AR_Aging!H339</f>
        <v>0</v>
      </c>
      <c r="F339" s="16" t="n">
        <f aca="false">AR_Aging!I339</f>
        <v>0</v>
      </c>
      <c r="G339" s="16" t="str">
        <f aca="false">AR_Aging!K339</f>
        <v>Paid</v>
      </c>
      <c r="H339" s="16" t="str">
        <f aca="false">IF(AND(G339="Unpaid",F339&gt;90),"HIGH - Fully Overdue 90+ Days",IF(G339="Partially Paid","MEDIUM - Short Paid","OK"))</f>
        <v>OK</v>
      </c>
    </row>
    <row r="340" customFormat="false" ht="15" hidden="false" customHeight="false" outlineLevel="0" collapsed="false">
      <c r="A340" s="16" t="str">
        <f aca="false">AR_Aging!A340</f>
        <v>ARI60336</v>
      </c>
      <c r="B340" s="16" t="str">
        <f aca="false">AR_Aging!C340</f>
        <v>Russell Group</v>
      </c>
      <c r="C340" s="18" t="n">
        <f aca="false">AR_Aging!F340</f>
        <v>912.05</v>
      </c>
      <c r="D340" s="18" t="n">
        <f aca="false">AR_Aging!G340</f>
        <v>415.79</v>
      </c>
      <c r="E340" s="18" t="n">
        <f aca="false">AR_Aging!H340</f>
        <v>496.26</v>
      </c>
      <c r="F340" s="16" t="n">
        <f aca="false">AR_Aging!I340</f>
        <v>131</v>
      </c>
      <c r="G340" s="16" t="str">
        <f aca="false">AR_Aging!K340</f>
        <v>Partially Paid</v>
      </c>
      <c r="H340" s="16" t="str">
        <f aca="false">IF(AND(G340="Unpaid",F340&gt;90),"HIGH - Fully Overdue 90+ Days",IF(G340="Partially Paid","MEDIUM - Short Paid","OK"))</f>
        <v>MEDIUM - Short Paid</v>
      </c>
    </row>
    <row r="341" customFormat="false" ht="15" hidden="false" customHeight="false" outlineLevel="0" collapsed="false">
      <c r="A341" s="16" t="str">
        <f aca="false">AR_Aging!A341</f>
        <v>ARI60337</v>
      </c>
      <c r="B341" s="16" t="str">
        <f aca="false">AR_Aging!C341</f>
        <v>Woods, Calhoun and Schmidt</v>
      </c>
      <c r="C341" s="18" t="n">
        <f aca="false">AR_Aging!F341</f>
        <v>8529.42</v>
      </c>
      <c r="D341" s="18" t="n">
        <f aca="false">AR_Aging!G341</f>
        <v>8529.42</v>
      </c>
      <c r="E341" s="18" t="n">
        <f aca="false">AR_Aging!H341</f>
        <v>0</v>
      </c>
      <c r="F341" s="16" t="n">
        <f aca="false">AR_Aging!I341</f>
        <v>0</v>
      </c>
      <c r="G341" s="16" t="str">
        <f aca="false">AR_Aging!K341</f>
        <v>Paid</v>
      </c>
      <c r="H341" s="16" t="str">
        <f aca="false">IF(AND(G341="Unpaid",F341&gt;90),"HIGH - Fully Overdue 90+ Days",IF(G341="Partially Paid","MEDIUM - Short Paid","OK"))</f>
        <v>OK</v>
      </c>
    </row>
    <row r="342" customFormat="false" ht="15" hidden="false" customHeight="false" outlineLevel="0" collapsed="false">
      <c r="A342" s="16" t="str">
        <f aca="false">AR_Aging!A342</f>
        <v>ARI60338</v>
      </c>
      <c r="B342" s="16" t="str">
        <f aca="false">AR_Aging!C342</f>
        <v>Novak PLC</v>
      </c>
      <c r="C342" s="18" t="n">
        <f aca="false">AR_Aging!F342</f>
        <v>2378.01</v>
      </c>
      <c r="D342" s="18" t="n">
        <f aca="false">AR_Aging!G342</f>
        <v>2378.01</v>
      </c>
      <c r="E342" s="18" t="n">
        <f aca="false">AR_Aging!H342</f>
        <v>0</v>
      </c>
      <c r="F342" s="16" t="n">
        <f aca="false">AR_Aging!I342</f>
        <v>0</v>
      </c>
      <c r="G342" s="16" t="str">
        <f aca="false">AR_Aging!K342</f>
        <v>Paid</v>
      </c>
      <c r="H342" s="16" t="str">
        <f aca="false">IF(AND(G342="Unpaid",F342&gt;90),"HIGH - Fully Overdue 90+ Days",IF(G342="Partially Paid","MEDIUM - Short Paid","OK"))</f>
        <v>OK</v>
      </c>
    </row>
    <row r="343" customFormat="false" ht="15" hidden="false" customHeight="false" outlineLevel="0" collapsed="false">
      <c r="A343" s="16" t="str">
        <f aca="false">AR_Aging!A343</f>
        <v>ARI60339</v>
      </c>
      <c r="B343" s="16" t="str">
        <f aca="false">AR_Aging!C343</f>
        <v>West, Henderson and Ramirez</v>
      </c>
      <c r="C343" s="18" t="n">
        <f aca="false">AR_Aging!F343</f>
        <v>6438.73</v>
      </c>
      <c r="D343" s="18" t="n">
        <f aca="false">AR_Aging!G343</f>
        <v>4975.5</v>
      </c>
      <c r="E343" s="18" t="n">
        <f aca="false">AR_Aging!H343</f>
        <v>1463.23</v>
      </c>
      <c r="F343" s="16" t="n">
        <f aca="false">AR_Aging!I343</f>
        <v>315</v>
      </c>
      <c r="G343" s="16" t="str">
        <f aca="false">AR_Aging!K343</f>
        <v>Partially Paid</v>
      </c>
      <c r="H343" s="16" t="str">
        <f aca="false">IF(AND(G343="Unpaid",F343&gt;90),"HIGH - Fully Overdue 90+ Days",IF(G343="Partially Paid","MEDIUM - Short Paid","OK"))</f>
        <v>MEDIUM - Short Paid</v>
      </c>
    </row>
    <row r="344" customFormat="false" ht="15" hidden="false" customHeight="false" outlineLevel="0" collapsed="false">
      <c r="A344" s="16" t="str">
        <f aca="false">AR_Aging!A344</f>
        <v>ARI60340</v>
      </c>
      <c r="B344" s="16" t="str">
        <f aca="false">AR_Aging!C344</f>
        <v>Robinson, Jones and Welch</v>
      </c>
      <c r="C344" s="18" t="n">
        <f aca="false">AR_Aging!F344</f>
        <v>991.15</v>
      </c>
      <c r="D344" s="18" t="n">
        <f aca="false">AR_Aging!G344</f>
        <v>713.57</v>
      </c>
      <c r="E344" s="18" t="n">
        <f aca="false">AR_Aging!H344</f>
        <v>277.58</v>
      </c>
      <c r="F344" s="16" t="n">
        <f aca="false">AR_Aging!I344</f>
        <v>94</v>
      </c>
      <c r="G344" s="16" t="str">
        <f aca="false">AR_Aging!K344</f>
        <v>Partially Paid</v>
      </c>
      <c r="H344" s="16" t="str">
        <f aca="false">IF(AND(G344="Unpaid",F344&gt;90),"HIGH - Fully Overdue 90+ Days",IF(G344="Partially Paid","MEDIUM - Short Paid","OK"))</f>
        <v>MEDIUM - Short Paid</v>
      </c>
    </row>
    <row r="345" customFormat="false" ht="15" hidden="false" customHeight="false" outlineLevel="0" collapsed="false">
      <c r="A345" s="16" t="str">
        <f aca="false">AR_Aging!A345</f>
        <v>ARI60341</v>
      </c>
      <c r="B345" s="16" t="str">
        <f aca="false">AR_Aging!C345</f>
        <v>Novak and Sons</v>
      </c>
      <c r="C345" s="18" t="n">
        <f aca="false">AR_Aging!F345</f>
        <v>3180.99</v>
      </c>
      <c r="D345" s="18" t="n">
        <f aca="false">AR_Aging!G345</f>
        <v>3180.99</v>
      </c>
      <c r="E345" s="18" t="n">
        <f aca="false">AR_Aging!H345</f>
        <v>0</v>
      </c>
      <c r="F345" s="16" t="n">
        <f aca="false">AR_Aging!I345</f>
        <v>0</v>
      </c>
      <c r="G345" s="16" t="str">
        <f aca="false">AR_Aging!K345</f>
        <v>Paid</v>
      </c>
      <c r="H345" s="16" t="str">
        <f aca="false">IF(AND(G345="Unpaid",F345&gt;90),"HIGH - Fully Overdue 90+ Days",IF(G345="Partially Paid","MEDIUM - Short Paid","OK"))</f>
        <v>OK</v>
      </c>
    </row>
    <row r="346" customFormat="false" ht="15" hidden="false" customHeight="false" outlineLevel="0" collapsed="false">
      <c r="A346" s="16" t="str">
        <f aca="false">AR_Aging!A346</f>
        <v>ARI60342</v>
      </c>
      <c r="B346" s="16" t="str">
        <f aca="false">AR_Aging!C346</f>
        <v>Daniels, Adkins and Brown</v>
      </c>
      <c r="C346" s="18" t="n">
        <f aca="false">AR_Aging!F346</f>
        <v>2689.98</v>
      </c>
      <c r="D346" s="18" t="n">
        <f aca="false">AR_Aging!G346</f>
        <v>2689.98</v>
      </c>
      <c r="E346" s="18" t="n">
        <f aca="false">AR_Aging!H346</f>
        <v>0</v>
      </c>
      <c r="F346" s="16" t="n">
        <f aca="false">AR_Aging!I346</f>
        <v>0</v>
      </c>
      <c r="G346" s="16" t="str">
        <f aca="false">AR_Aging!K346</f>
        <v>Paid</v>
      </c>
      <c r="H346" s="16" t="str">
        <f aca="false">IF(AND(G346="Unpaid",F346&gt;90),"HIGH - Fully Overdue 90+ Days",IF(G346="Partially Paid","MEDIUM - Short Paid","OK"))</f>
        <v>OK</v>
      </c>
    </row>
    <row r="347" customFormat="false" ht="15" hidden="false" customHeight="false" outlineLevel="0" collapsed="false">
      <c r="A347" s="16" t="str">
        <f aca="false">AR_Aging!A347</f>
        <v>ARI60343</v>
      </c>
      <c r="B347" s="16" t="str">
        <f aca="false">AR_Aging!C347</f>
        <v>Jones-Young</v>
      </c>
      <c r="C347" s="18" t="n">
        <f aca="false">AR_Aging!F347</f>
        <v>216.98</v>
      </c>
      <c r="D347" s="18" t="n">
        <f aca="false">AR_Aging!G347</f>
        <v>216.98</v>
      </c>
      <c r="E347" s="18" t="n">
        <f aca="false">AR_Aging!H347</f>
        <v>0</v>
      </c>
      <c r="F347" s="16" t="n">
        <f aca="false">AR_Aging!I347</f>
        <v>0</v>
      </c>
      <c r="G347" s="16" t="str">
        <f aca="false">AR_Aging!K347</f>
        <v>Paid</v>
      </c>
      <c r="H347" s="16" t="str">
        <f aca="false">IF(AND(G347="Unpaid",F347&gt;90),"HIGH - Fully Overdue 90+ Days",IF(G347="Partially Paid","MEDIUM - Short Paid","OK"))</f>
        <v>OK</v>
      </c>
    </row>
    <row r="348" customFormat="false" ht="15" hidden="false" customHeight="false" outlineLevel="0" collapsed="false">
      <c r="A348" s="16" t="str">
        <f aca="false">AR_Aging!A348</f>
        <v>ARI60344</v>
      </c>
      <c r="B348" s="16" t="str">
        <f aca="false">AR_Aging!C348</f>
        <v>Wright and Sons</v>
      </c>
      <c r="C348" s="18" t="n">
        <f aca="false">AR_Aging!F348</f>
        <v>1453.65</v>
      </c>
      <c r="D348" s="18" t="n">
        <f aca="false">AR_Aging!G348</f>
        <v>0</v>
      </c>
      <c r="E348" s="18" t="n">
        <f aca="false">AR_Aging!H348</f>
        <v>1453.65</v>
      </c>
      <c r="F348" s="16" t="n">
        <f aca="false">AR_Aging!I348</f>
        <v>363</v>
      </c>
      <c r="G348" s="16" t="str">
        <f aca="false">AR_Aging!K348</f>
        <v>Unpaid</v>
      </c>
      <c r="H348" s="16" t="str">
        <f aca="false">IF(AND(G348="Unpaid",F348&gt;90),"HIGH - Fully Overdue 90+ Days",IF(G348="Partially Paid","MEDIUM - Short Paid","OK"))</f>
        <v>HIGH - Fully Overdue 90+ Days</v>
      </c>
    </row>
    <row r="349" customFormat="false" ht="15" hidden="false" customHeight="false" outlineLevel="0" collapsed="false">
      <c r="A349" s="16" t="str">
        <f aca="false">AR_Aging!A349</f>
        <v>ARI60345</v>
      </c>
      <c r="B349" s="16" t="str">
        <f aca="false">AR_Aging!C349</f>
        <v>Novak and Sons</v>
      </c>
      <c r="C349" s="18" t="n">
        <f aca="false">AR_Aging!F349</f>
        <v>1299.82</v>
      </c>
      <c r="D349" s="18" t="n">
        <f aca="false">AR_Aging!G349</f>
        <v>0</v>
      </c>
      <c r="E349" s="18" t="n">
        <f aca="false">AR_Aging!H349</f>
        <v>1299.82</v>
      </c>
      <c r="F349" s="16" t="n">
        <f aca="false">AR_Aging!I349</f>
        <v>17</v>
      </c>
      <c r="G349" s="16" t="str">
        <f aca="false">AR_Aging!K349</f>
        <v>Unpaid</v>
      </c>
      <c r="H349" s="16" t="str">
        <f aca="false">IF(AND(G349="Unpaid",F349&gt;90),"HIGH - Fully Overdue 90+ Days",IF(G349="Partially Paid","MEDIUM - Short Paid","OK"))</f>
        <v>OK</v>
      </c>
    </row>
    <row r="350" customFormat="false" ht="15" hidden="false" customHeight="false" outlineLevel="0" collapsed="false">
      <c r="A350" s="16" t="str">
        <f aca="false">AR_Aging!A350</f>
        <v>ARI60346</v>
      </c>
      <c r="B350" s="16" t="str">
        <f aca="false">AR_Aging!C350</f>
        <v>Novak PLC</v>
      </c>
      <c r="C350" s="18" t="n">
        <f aca="false">AR_Aging!F350</f>
        <v>9614.09</v>
      </c>
      <c r="D350" s="18" t="n">
        <f aca="false">AR_Aging!G350</f>
        <v>9614.09</v>
      </c>
      <c r="E350" s="18" t="n">
        <f aca="false">AR_Aging!H350</f>
        <v>0</v>
      </c>
      <c r="F350" s="16" t="n">
        <f aca="false">AR_Aging!I350</f>
        <v>0</v>
      </c>
      <c r="G350" s="16" t="str">
        <f aca="false">AR_Aging!K350</f>
        <v>Paid</v>
      </c>
      <c r="H350" s="16" t="str">
        <f aca="false">IF(AND(G350="Unpaid",F350&gt;90),"HIGH - Fully Overdue 90+ Days",IF(G350="Partially Paid","MEDIUM - Short Paid","OK"))</f>
        <v>OK</v>
      </c>
    </row>
    <row r="351" customFormat="false" ht="15" hidden="false" customHeight="false" outlineLevel="0" collapsed="false">
      <c r="A351" s="16" t="str">
        <f aca="false">AR_Aging!A351</f>
        <v>ARI60347</v>
      </c>
      <c r="B351" s="16" t="str">
        <f aca="false">AR_Aging!C351</f>
        <v>Jones Inc</v>
      </c>
      <c r="C351" s="18" t="n">
        <f aca="false">AR_Aging!F351</f>
        <v>1915.6</v>
      </c>
      <c r="D351" s="18" t="n">
        <f aca="false">AR_Aging!G351</f>
        <v>0</v>
      </c>
      <c r="E351" s="18" t="n">
        <f aca="false">AR_Aging!H351</f>
        <v>1915.6</v>
      </c>
      <c r="F351" s="16" t="n">
        <f aca="false">AR_Aging!I351</f>
        <v>275</v>
      </c>
      <c r="G351" s="16" t="str">
        <f aca="false">AR_Aging!K351</f>
        <v>Unpaid</v>
      </c>
      <c r="H351" s="16" t="str">
        <f aca="false">IF(AND(G351="Unpaid",F351&gt;90),"HIGH - Fully Overdue 90+ Days",IF(G351="Partially Paid","MEDIUM - Short Paid","OK"))</f>
        <v>HIGH - Fully Overdue 90+ Days</v>
      </c>
    </row>
    <row r="352" customFormat="false" ht="15" hidden="false" customHeight="false" outlineLevel="0" collapsed="false">
      <c r="A352" s="16" t="str">
        <f aca="false">AR_Aging!A352</f>
        <v>ARI60348</v>
      </c>
      <c r="B352" s="16" t="str">
        <f aca="false">AR_Aging!C352</f>
        <v>Wright Inc</v>
      </c>
      <c r="C352" s="18" t="n">
        <f aca="false">AR_Aging!F352</f>
        <v>7128.51</v>
      </c>
      <c r="D352" s="18" t="n">
        <f aca="false">AR_Aging!G352</f>
        <v>4735.08</v>
      </c>
      <c r="E352" s="18" t="n">
        <f aca="false">AR_Aging!H352</f>
        <v>2393.43</v>
      </c>
      <c r="F352" s="16" t="n">
        <f aca="false">AR_Aging!I352</f>
        <v>112</v>
      </c>
      <c r="G352" s="16" t="str">
        <f aca="false">AR_Aging!K352</f>
        <v>Partially Paid</v>
      </c>
      <c r="H352" s="16" t="str">
        <f aca="false">IF(AND(G352="Unpaid",F352&gt;90),"HIGH - Fully Overdue 90+ Days",IF(G352="Partially Paid","MEDIUM - Short Paid","OK"))</f>
        <v>MEDIUM - Short Paid</v>
      </c>
    </row>
    <row r="353" customFormat="false" ht="15" hidden="false" customHeight="false" outlineLevel="0" collapsed="false">
      <c r="A353" s="16" t="str">
        <f aca="false">AR_Aging!A353</f>
        <v>ARI60349</v>
      </c>
      <c r="B353" s="16" t="str">
        <f aca="false">AR_Aging!C353</f>
        <v>Wright Inc</v>
      </c>
      <c r="C353" s="18" t="n">
        <f aca="false">AR_Aging!F353</f>
        <v>1845.14</v>
      </c>
      <c r="D353" s="18" t="n">
        <f aca="false">AR_Aging!G353</f>
        <v>1845.14</v>
      </c>
      <c r="E353" s="18" t="n">
        <f aca="false">AR_Aging!H353</f>
        <v>0</v>
      </c>
      <c r="F353" s="16" t="n">
        <f aca="false">AR_Aging!I353</f>
        <v>0</v>
      </c>
      <c r="G353" s="16" t="str">
        <f aca="false">AR_Aging!K353</f>
        <v>Paid</v>
      </c>
      <c r="H353" s="16" t="str">
        <f aca="false">IF(AND(G353="Unpaid",F353&gt;90),"HIGH - Fully Overdue 90+ Days",IF(G353="Partially Paid","MEDIUM - Short Paid","OK"))</f>
        <v>OK</v>
      </c>
    </row>
    <row r="354" customFormat="false" ht="15" hidden="false" customHeight="false" outlineLevel="0" collapsed="false">
      <c r="A354" s="16" t="str">
        <f aca="false">AR_Aging!A354</f>
        <v>ARI60350</v>
      </c>
      <c r="B354" s="16" t="str">
        <f aca="false">AR_Aging!C354</f>
        <v>Jones Inc</v>
      </c>
      <c r="C354" s="18" t="n">
        <f aca="false">AR_Aging!F354</f>
        <v>2037.36</v>
      </c>
      <c r="D354" s="18" t="n">
        <f aca="false">AR_Aging!G354</f>
        <v>0</v>
      </c>
      <c r="E354" s="18" t="n">
        <f aca="false">AR_Aging!H354</f>
        <v>2037.36</v>
      </c>
      <c r="F354" s="16" t="n">
        <f aca="false">AR_Aging!I354</f>
        <v>506</v>
      </c>
      <c r="G354" s="16" t="str">
        <f aca="false">AR_Aging!K354</f>
        <v>Unpaid</v>
      </c>
      <c r="H354" s="16" t="str">
        <f aca="false">IF(AND(G354="Unpaid",F354&gt;90),"HIGH - Fully Overdue 90+ Days",IF(G354="Partially Paid","MEDIUM - Short Paid","OK"))</f>
        <v>HIGH - Fully Overdue 90+ Days</v>
      </c>
    </row>
    <row r="355" customFormat="false" ht="15" hidden="false" customHeight="false" outlineLevel="0" collapsed="false">
      <c r="A355" s="16" t="str">
        <f aca="false">AR_Aging!A355</f>
        <v>ARI60351</v>
      </c>
      <c r="B355" s="16" t="str">
        <f aca="false">AR_Aging!C355</f>
        <v>Hensley, Powell and David</v>
      </c>
      <c r="C355" s="18" t="n">
        <f aca="false">AR_Aging!F355</f>
        <v>2330.46</v>
      </c>
      <c r="D355" s="18" t="n">
        <f aca="false">AR_Aging!G355</f>
        <v>0</v>
      </c>
      <c r="E355" s="18" t="n">
        <f aca="false">AR_Aging!H355</f>
        <v>2330.46</v>
      </c>
      <c r="F355" s="16" t="n">
        <f aca="false">AR_Aging!I355</f>
        <v>0</v>
      </c>
      <c r="G355" s="16" t="str">
        <f aca="false">AR_Aging!K355</f>
        <v>Unpaid</v>
      </c>
      <c r="H355" s="16" t="str">
        <f aca="false">IF(AND(G355="Unpaid",F355&gt;90),"HIGH - Fully Overdue 90+ Days",IF(G355="Partially Paid","MEDIUM - Short Paid","OK"))</f>
        <v>OK</v>
      </c>
    </row>
    <row r="356" customFormat="false" ht="15" hidden="false" customHeight="false" outlineLevel="0" collapsed="false">
      <c r="A356" s="16" t="str">
        <f aca="false">AR_Aging!A356</f>
        <v>ARI60352</v>
      </c>
      <c r="B356" s="16" t="str">
        <f aca="false">AR_Aging!C356</f>
        <v>Hancock Inc</v>
      </c>
      <c r="C356" s="18" t="n">
        <f aca="false">AR_Aging!F356</f>
        <v>1697.2</v>
      </c>
      <c r="D356" s="18" t="n">
        <f aca="false">AR_Aging!G356</f>
        <v>1697.2</v>
      </c>
      <c r="E356" s="18" t="n">
        <f aca="false">AR_Aging!H356</f>
        <v>0</v>
      </c>
      <c r="F356" s="16" t="n">
        <f aca="false">AR_Aging!I356</f>
        <v>0</v>
      </c>
      <c r="G356" s="16" t="str">
        <f aca="false">AR_Aging!K356</f>
        <v>Paid</v>
      </c>
      <c r="H356" s="16" t="str">
        <f aca="false">IF(AND(G356="Unpaid",F356&gt;90),"HIGH - Fully Overdue 90+ Days",IF(G356="Partially Paid","MEDIUM - Short Paid","OK"))</f>
        <v>OK</v>
      </c>
    </row>
    <row r="357" customFormat="false" ht="15" hidden="false" customHeight="false" outlineLevel="0" collapsed="false">
      <c r="A357" s="16" t="str">
        <f aca="false">AR_Aging!A357</f>
        <v>ARI60353</v>
      </c>
      <c r="B357" s="16" t="str">
        <f aca="false">AR_Aging!C357</f>
        <v>Robinson, Jones and Welch</v>
      </c>
      <c r="C357" s="18" t="n">
        <f aca="false">AR_Aging!F357</f>
        <v>2489.37</v>
      </c>
      <c r="D357" s="18" t="n">
        <f aca="false">AR_Aging!G357</f>
        <v>2489.37</v>
      </c>
      <c r="E357" s="18" t="n">
        <f aca="false">AR_Aging!H357</f>
        <v>0</v>
      </c>
      <c r="F357" s="16" t="n">
        <f aca="false">AR_Aging!I357</f>
        <v>0</v>
      </c>
      <c r="G357" s="16" t="str">
        <f aca="false">AR_Aging!K357</f>
        <v>Paid</v>
      </c>
      <c r="H357" s="16" t="str">
        <f aca="false">IF(AND(G357="Unpaid",F357&gt;90),"HIGH - Fully Overdue 90+ Days",IF(G357="Partially Paid","MEDIUM - Short Paid","OK"))</f>
        <v>OK</v>
      </c>
    </row>
    <row r="358" customFormat="false" ht="15" hidden="false" customHeight="false" outlineLevel="0" collapsed="false">
      <c r="A358" s="16" t="str">
        <f aca="false">AR_Aging!A358</f>
        <v>ARI60354</v>
      </c>
      <c r="B358" s="16" t="str">
        <f aca="false">AR_Aging!C358</f>
        <v>Gomez-Jenkins</v>
      </c>
      <c r="C358" s="18" t="n">
        <f aca="false">AR_Aging!F358</f>
        <v>4439.5</v>
      </c>
      <c r="D358" s="18" t="n">
        <f aca="false">AR_Aging!G358</f>
        <v>4439.5</v>
      </c>
      <c r="E358" s="18" t="n">
        <f aca="false">AR_Aging!H358</f>
        <v>0</v>
      </c>
      <c r="F358" s="16" t="n">
        <f aca="false">AR_Aging!I358</f>
        <v>0</v>
      </c>
      <c r="G358" s="16" t="str">
        <f aca="false">AR_Aging!K358</f>
        <v>Paid</v>
      </c>
      <c r="H358" s="16" t="str">
        <f aca="false">IF(AND(G358="Unpaid",F358&gt;90),"HIGH - Fully Overdue 90+ Days",IF(G358="Partially Paid","MEDIUM - Short Paid","OK"))</f>
        <v>OK</v>
      </c>
    </row>
    <row r="359" customFormat="false" ht="15" hidden="false" customHeight="false" outlineLevel="0" collapsed="false">
      <c r="A359" s="16" t="str">
        <f aca="false">AR_Aging!A359</f>
        <v>ARI60355</v>
      </c>
      <c r="B359" s="16" t="str">
        <f aca="false">AR_Aging!C359</f>
        <v>Hancock Inc</v>
      </c>
      <c r="C359" s="18" t="n">
        <f aca="false">AR_Aging!F359</f>
        <v>1233.51</v>
      </c>
      <c r="D359" s="18" t="n">
        <f aca="false">AR_Aging!G359</f>
        <v>1233.51</v>
      </c>
      <c r="E359" s="18" t="n">
        <f aca="false">AR_Aging!H359</f>
        <v>0</v>
      </c>
      <c r="F359" s="16" t="n">
        <f aca="false">AR_Aging!I359</f>
        <v>0</v>
      </c>
      <c r="G359" s="16" t="str">
        <f aca="false">AR_Aging!K359</f>
        <v>Paid</v>
      </c>
      <c r="H359" s="16" t="str">
        <f aca="false">IF(AND(G359="Unpaid",F359&gt;90),"HIGH - Fully Overdue 90+ Days",IF(G359="Partially Paid","MEDIUM - Short Paid","OK"))</f>
        <v>OK</v>
      </c>
    </row>
    <row r="360" customFormat="false" ht="15" hidden="false" customHeight="false" outlineLevel="0" collapsed="false">
      <c r="A360" s="16" t="str">
        <f aca="false">AR_Aging!A360</f>
        <v>ARI60356</v>
      </c>
      <c r="B360" s="16" t="str">
        <f aca="false">AR_Aging!C360</f>
        <v>Sanchez, Wheeler and Harvey</v>
      </c>
      <c r="C360" s="18" t="n">
        <f aca="false">AR_Aging!F360</f>
        <v>552.39</v>
      </c>
      <c r="D360" s="18" t="n">
        <f aca="false">AR_Aging!G360</f>
        <v>552.39</v>
      </c>
      <c r="E360" s="18" t="n">
        <f aca="false">AR_Aging!H360</f>
        <v>0</v>
      </c>
      <c r="F360" s="16" t="n">
        <f aca="false">AR_Aging!I360</f>
        <v>0</v>
      </c>
      <c r="G360" s="16" t="str">
        <f aca="false">AR_Aging!K360</f>
        <v>Paid</v>
      </c>
      <c r="H360" s="16" t="str">
        <f aca="false">IF(AND(G360="Unpaid",F360&gt;90),"HIGH - Fully Overdue 90+ Days",IF(G360="Partially Paid","MEDIUM - Short Paid","OK"))</f>
        <v>OK</v>
      </c>
    </row>
    <row r="361" customFormat="false" ht="15" hidden="false" customHeight="false" outlineLevel="0" collapsed="false">
      <c r="A361" s="16" t="str">
        <f aca="false">AR_Aging!A361</f>
        <v>ARI60357</v>
      </c>
      <c r="B361" s="16" t="str">
        <f aca="false">AR_Aging!C361</f>
        <v>Washington, Ryan and Cummings</v>
      </c>
      <c r="C361" s="18" t="n">
        <f aca="false">AR_Aging!F361</f>
        <v>3307.35</v>
      </c>
      <c r="D361" s="18" t="n">
        <f aca="false">AR_Aging!G361</f>
        <v>3307.35</v>
      </c>
      <c r="E361" s="18" t="n">
        <f aca="false">AR_Aging!H361</f>
        <v>0</v>
      </c>
      <c r="F361" s="16" t="n">
        <f aca="false">AR_Aging!I361</f>
        <v>0</v>
      </c>
      <c r="G361" s="16" t="str">
        <f aca="false">AR_Aging!K361</f>
        <v>Paid</v>
      </c>
      <c r="H361" s="16" t="str">
        <f aca="false">IF(AND(G361="Unpaid",F361&gt;90),"HIGH - Fully Overdue 90+ Days",IF(G361="Partially Paid","MEDIUM - Short Paid","OK"))</f>
        <v>OK</v>
      </c>
    </row>
    <row r="362" customFormat="false" ht="15" hidden="false" customHeight="false" outlineLevel="0" collapsed="false">
      <c r="A362" s="16" t="str">
        <f aca="false">AR_Aging!A362</f>
        <v>ARI60358</v>
      </c>
      <c r="B362" s="16" t="str">
        <f aca="false">AR_Aging!C362</f>
        <v>Novak and Sons</v>
      </c>
      <c r="C362" s="18" t="n">
        <f aca="false">AR_Aging!F362</f>
        <v>3350.46</v>
      </c>
      <c r="D362" s="18" t="n">
        <f aca="false">AR_Aging!G362</f>
        <v>0</v>
      </c>
      <c r="E362" s="18" t="n">
        <f aca="false">AR_Aging!H362</f>
        <v>3350.46</v>
      </c>
      <c r="F362" s="16" t="n">
        <f aca="false">AR_Aging!I362</f>
        <v>213</v>
      </c>
      <c r="G362" s="16" t="str">
        <f aca="false">AR_Aging!K362</f>
        <v>Unpaid</v>
      </c>
      <c r="H362" s="16" t="str">
        <f aca="false">IF(AND(G362="Unpaid",F362&gt;90),"HIGH - Fully Overdue 90+ Days",IF(G362="Partially Paid","MEDIUM - Short Paid","OK"))</f>
        <v>HIGH - Fully Overdue 90+ Days</v>
      </c>
    </row>
    <row r="363" customFormat="false" ht="15" hidden="false" customHeight="false" outlineLevel="0" collapsed="false">
      <c r="A363" s="16" t="str">
        <f aca="false">AR_Aging!A363</f>
        <v>ARI60359</v>
      </c>
      <c r="B363" s="16" t="str">
        <f aca="false">AR_Aging!C363</f>
        <v>Hancock Inc</v>
      </c>
      <c r="C363" s="18" t="n">
        <f aca="false">AR_Aging!F363</f>
        <v>7273.52</v>
      </c>
      <c r="D363" s="18" t="n">
        <f aca="false">AR_Aging!G363</f>
        <v>7273.52</v>
      </c>
      <c r="E363" s="18" t="n">
        <f aca="false">AR_Aging!H363</f>
        <v>0</v>
      </c>
      <c r="F363" s="16" t="n">
        <f aca="false">AR_Aging!I363</f>
        <v>0</v>
      </c>
      <c r="G363" s="16" t="str">
        <f aca="false">AR_Aging!K363</f>
        <v>Paid</v>
      </c>
      <c r="H363" s="16" t="str">
        <f aca="false">IF(AND(G363="Unpaid",F363&gt;90),"HIGH - Fully Overdue 90+ Days",IF(G363="Partially Paid","MEDIUM - Short Paid","OK"))</f>
        <v>OK</v>
      </c>
    </row>
    <row r="364" customFormat="false" ht="15" hidden="false" customHeight="false" outlineLevel="0" collapsed="false">
      <c r="A364" s="16" t="str">
        <f aca="false">AR_Aging!A364</f>
        <v>ARI60360</v>
      </c>
      <c r="B364" s="16" t="str">
        <f aca="false">AR_Aging!C364</f>
        <v>Johnston, Sanchez and Kennedy</v>
      </c>
      <c r="C364" s="18" t="n">
        <f aca="false">AR_Aging!F364</f>
        <v>263.38</v>
      </c>
      <c r="D364" s="18" t="n">
        <f aca="false">AR_Aging!G364</f>
        <v>263.38</v>
      </c>
      <c r="E364" s="18" t="n">
        <f aca="false">AR_Aging!H364</f>
        <v>0</v>
      </c>
      <c r="F364" s="16" t="n">
        <f aca="false">AR_Aging!I364</f>
        <v>0</v>
      </c>
      <c r="G364" s="16" t="str">
        <f aca="false">AR_Aging!K364</f>
        <v>Paid</v>
      </c>
      <c r="H364" s="16" t="str">
        <f aca="false">IF(AND(G364="Unpaid",F364&gt;90),"HIGH - Fully Overdue 90+ Days",IF(G364="Partially Paid","MEDIUM - Short Paid","OK"))</f>
        <v>OK</v>
      </c>
    </row>
    <row r="365" customFormat="false" ht="15" hidden="false" customHeight="false" outlineLevel="0" collapsed="false">
      <c r="A365" s="16" t="str">
        <f aca="false">AR_Aging!A365</f>
        <v>ARI60361</v>
      </c>
      <c r="B365" s="16" t="str">
        <f aca="false">AR_Aging!C365</f>
        <v>Robinson, Jones and Welch</v>
      </c>
      <c r="C365" s="18" t="n">
        <f aca="false">AR_Aging!F365</f>
        <v>1094.43</v>
      </c>
      <c r="D365" s="18" t="n">
        <f aca="false">AR_Aging!G365</f>
        <v>1094.43</v>
      </c>
      <c r="E365" s="18" t="n">
        <f aca="false">AR_Aging!H365</f>
        <v>0</v>
      </c>
      <c r="F365" s="16" t="n">
        <f aca="false">AR_Aging!I365</f>
        <v>0</v>
      </c>
      <c r="G365" s="16" t="str">
        <f aca="false">AR_Aging!K365</f>
        <v>Paid</v>
      </c>
      <c r="H365" s="16" t="str">
        <f aca="false">IF(AND(G365="Unpaid",F365&gt;90),"HIGH - Fully Overdue 90+ Days",IF(G365="Partially Paid","MEDIUM - Short Paid","OK"))</f>
        <v>OK</v>
      </c>
    </row>
    <row r="366" customFormat="false" ht="15" hidden="false" customHeight="false" outlineLevel="0" collapsed="false">
      <c r="A366" s="16" t="str">
        <f aca="false">AR_Aging!A366</f>
        <v>ARI60362</v>
      </c>
      <c r="B366" s="16" t="str">
        <f aca="false">AR_Aging!C366</f>
        <v>Daniels, Adkins and Brown</v>
      </c>
      <c r="C366" s="18" t="n">
        <f aca="false">AR_Aging!F366</f>
        <v>4195.73</v>
      </c>
      <c r="D366" s="18" t="n">
        <f aca="false">AR_Aging!G366</f>
        <v>4195.73</v>
      </c>
      <c r="E366" s="18" t="n">
        <f aca="false">AR_Aging!H366</f>
        <v>0</v>
      </c>
      <c r="F366" s="16" t="n">
        <f aca="false">AR_Aging!I366</f>
        <v>0</v>
      </c>
      <c r="G366" s="16" t="str">
        <f aca="false">AR_Aging!K366</f>
        <v>Paid</v>
      </c>
      <c r="H366" s="16" t="str">
        <f aca="false">IF(AND(G366="Unpaid",F366&gt;90),"HIGH - Fully Overdue 90+ Days",IF(G366="Partially Paid","MEDIUM - Short Paid","OK"))</f>
        <v>OK</v>
      </c>
    </row>
    <row r="367" customFormat="false" ht="15" hidden="false" customHeight="false" outlineLevel="0" collapsed="false">
      <c r="A367" s="16" t="str">
        <f aca="false">AR_Aging!A367</f>
        <v>ARI60363</v>
      </c>
      <c r="B367" s="16" t="str">
        <f aca="false">AR_Aging!C367</f>
        <v>House-Glover</v>
      </c>
      <c r="C367" s="18" t="n">
        <f aca="false">AR_Aging!F367</f>
        <v>2049.25</v>
      </c>
      <c r="D367" s="18" t="n">
        <f aca="false">AR_Aging!G367</f>
        <v>0</v>
      </c>
      <c r="E367" s="18" t="n">
        <f aca="false">AR_Aging!H367</f>
        <v>2049.25</v>
      </c>
      <c r="F367" s="16" t="n">
        <f aca="false">AR_Aging!I367</f>
        <v>486</v>
      </c>
      <c r="G367" s="16" t="str">
        <f aca="false">AR_Aging!K367</f>
        <v>Unpaid</v>
      </c>
      <c r="H367" s="16" t="str">
        <f aca="false">IF(AND(G367="Unpaid",F367&gt;90),"HIGH - Fully Overdue 90+ Days",IF(G367="Partially Paid","MEDIUM - Short Paid","OK"))</f>
        <v>HIGH - Fully Overdue 90+ Days</v>
      </c>
    </row>
    <row r="368" customFormat="false" ht="15" hidden="false" customHeight="false" outlineLevel="0" collapsed="false">
      <c r="A368" s="16" t="str">
        <f aca="false">AR_Aging!A368</f>
        <v>ARI60364</v>
      </c>
      <c r="B368" s="16" t="str">
        <f aca="false">AR_Aging!C368</f>
        <v>Lee-Davis</v>
      </c>
      <c r="C368" s="18" t="n">
        <f aca="false">AR_Aging!F368</f>
        <v>1063.51</v>
      </c>
      <c r="D368" s="18" t="n">
        <f aca="false">AR_Aging!G368</f>
        <v>651.54</v>
      </c>
      <c r="E368" s="18" t="n">
        <f aca="false">AR_Aging!H368</f>
        <v>411.97</v>
      </c>
      <c r="F368" s="16" t="n">
        <f aca="false">AR_Aging!I368</f>
        <v>449</v>
      </c>
      <c r="G368" s="16" t="str">
        <f aca="false">AR_Aging!K368</f>
        <v>Partially Paid</v>
      </c>
      <c r="H368" s="16" t="str">
        <f aca="false">IF(AND(G368="Unpaid",F368&gt;90),"HIGH - Fully Overdue 90+ Days",IF(G368="Partially Paid","MEDIUM - Short Paid","OK"))</f>
        <v>MEDIUM - Short Paid</v>
      </c>
    </row>
    <row r="369" customFormat="false" ht="15" hidden="false" customHeight="false" outlineLevel="0" collapsed="false">
      <c r="A369" s="16" t="str">
        <f aca="false">AR_Aging!A369</f>
        <v>ARI60365</v>
      </c>
      <c r="B369" s="16" t="str">
        <f aca="false">AR_Aging!C369</f>
        <v>Novak and Sons</v>
      </c>
      <c r="C369" s="18" t="n">
        <f aca="false">AR_Aging!F369</f>
        <v>477.15</v>
      </c>
      <c r="D369" s="18" t="n">
        <f aca="false">AR_Aging!G369</f>
        <v>0</v>
      </c>
      <c r="E369" s="18" t="n">
        <f aca="false">AR_Aging!H369</f>
        <v>477.15</v>
      </c>
      <c r="F369" s="16" t="n">
        <f aca="false">AR_Aging!I369</f>
        <v>478</v>
      </c>
      <c r="G369" s="16" t="str">
        <f aca="false">AR_Aging!K369</f>
        <v>Unpaid</v>
      </c>
      <c r="H369" s="16" t="str">
        <f aca="false">IF(AND(G369="Unpaid",F369&gt;90),"HIGH - Fully Overdue 90+ Days",IF(G369="Partially Paid","MEDIUM - Short Paid","OK"))</f>
        <v>HIGH - Fully Overdue 90+ Days</v>
      </c>
    </row>
    <row r="370" customFormat="false" ht="15" hidden="false" customHeight="false" outlineLevel="0" collapsed="false">
      <c r="A370" s="16" t="str">
        <f aca="false">AR_Aging!A370</f>
        <v>ARI60366</v>
      </c>
      <c r="B370" s="16" t="str">
        <f aca="false">AR_Aging!C370</f>
        <v>Gray Group</v>
      </c>
      <c r="C370" s="18" t="n">
        <f aca="false">AR_Aging!F370</f>
        <v>4928.3</v>
      </c>
      <c r="D370" s="18" t="n">
        <f aca="false">AR_Aging!G370</f>
        <v>3935.82</v>
      </c>
      <c r="E370" s="18" t="n">
        <f aca="false">AR_Aging!H370</f>
        <v>992.48</v>
      </c>
      <c r="F370" s="16" t="n">
        <f aca="false">AR_Aging!I370</f>
        <v>457</v>
      </c>
      <c r="G370" s="16" t="str">
        <f aca="false">AR_Aging!K370</f>
        <v>Partially Paid</v>
      </c>
      <c r="H370" s="16" t="str">
        <f aca="false">IF(AND(G370="Unpaid",F370&gt;90),"HIGH - Fully Overdue 90+ Days",IF(G370="Partially Paid","MEDIUM - Short Paid","OK"))</f>
        <v>MEDIUM - Short Paid</v>
      </c>
    </row>
    <row r="371" customFormat="false" ht="15" hidden="false" customHeight="false" outlineLevel="0" collapsed="false">
      <c r="A371" s="16" t="str">
        <f aca="false">AR_Aging!A371</f>
        <v>ARI60367</v>
      </c>
      <c r="B371" s="16" t="str">
        <f aca="false">AR_Aging!C371</f>
        <v>Lee-Davis</v>
      </c>
      <c r="C371" s="18" t="n">
        <f aca="false">AR_Aging!F371</f>
        <v>2514.47</v>
      </c>
      <c r="D371" s="18" t="n">
        <f aca="false">AR_Aging!G371</f>
        <v>2514.47</v>
      </c>
      <c r="E371" s="18" t="n">
        <f aca="false">AR_Aging!H371</f>
        <v>0</v>
      </c>
      <c r="F371" s="16" t="n">
        <f aca="false">AR_Aging!I371</f>
        <v>0</v>
      </c>
      <c r="G371" s="16" t="str">
        <f aca="false">AR_Aging!K371</f>
        <v>Paid</v>
      </c>
      <c r="H371" s="16" t="str">
        <f aca="false">IF(AND(G371="Unpaid",F371&gt;90),"HIGH - Fully Overdue 90+ Days",IF(G371="Partially Paid","MEDIUM - Short Paid","OK"))</f>
        <v>OK</v>
      </c>
    </row>
    <row r="372" customFormat="false" ht="15" hidden="false" customHeight="false" outlineLevel="0" collapsed="false">
      <c r="A372" s="16" t="str">
        <f aca="false">AR_Aging!A372</f>
        <v>ARI60368</v>
      </c>
      <c r="B372" s="16" t="str">
        <f aca="false">AR_Aging!C372</f>
        <v>Gomez-Jenkins</v>
      </c>
      <c r="C372" s="18" t="n">
        <f aca="false">AR_Aging!F372</f>
        <v>6810.57</v>
      </c>
      <c r="D372" s="18" t="n">
        <f aca="false">AR_Aging!G372</f>
        <v>6810.57</v>
      </c>
      <c r="E372" s="18" t="n">
        <f aca="false">AR_Aging!H372</f>
        <v>0</v>
      </c>
      <c r="F372" s="16" t="n">
        <f aca="false">AR_Aging!I372</f>
        <v>0</v>
      </c>
      <c r="G372" s="16" t="str">
        <f aca="false">AR_Aging!K372</f>
        <v>Paid</v>
      </c>
      <c r="H372" s="16" t="str">
        <f aca="false">IF(AND(G372="Unpaid",F372&gt;90),"HIGH - Fully Overdue 90+ Days",IF(G372="Partially Paid","MEDIUM - Short Paid","OK"))</f>
        <v>OK</v>
      </c>
    </row>
    <row r="373" customFormat="false" ht="15" hidden="false" customHeight="false" outlineLevel="0" collapsed="false">
      <c r="A373" s="16" t="str">
        <f aca="false">AR_Aging!A373</f>
        <v>ARI60369</v>
      </c>
      <c r="B373" s="16" t="str">
        <f aca="false">AR_Aging!C373</f>
        <v>Gray Group</v>
      </c>
      <c r="C373" s="18" t="n">
        <f aca="false">AR_Aging!F373</f>
        <v>2609.91</v>
      </c>
      <c r="D373" s="18" t="n">
        <f aca="false">AR_Aging!G373</f>
        <v>832.81</v>
      </c>
      <c r="E373" s="18" t="n">
        <f aca="false">AR_Aging!H373</f>
        <v>1777.1</v>
      </c>
      <c r="F373" s="16" t="n">
        <f aca="false">AR_Aging!I373</f>
        <v>358</v>
      </c>
      <c r="G373" s="16" t="str">
        <f aca="false">AR_Aging!K373</f>
        <v>Partially Paid</v>
      </c>
      <c r="H373" s="16" t="str">
        <f aca="false">IF(AND(G373="Unpaid",F373&gt;90),"HIGH - Fully Overdue 90+ Days",IF(G373="Partially Paid","MEDIUM - Short Paid","OK"))</f>
        <v>MEDIUM - Short Paid</v>
      </c>
    </row>
    <row r="374" customFormat="false" ht="15" hidden="false" customHeight="false" outlineLevel="0" collapsed="false">
      <c r="A374" s="16" t="str">
        <f aca="false">AR_Aging!A374</f>
        <v>ARI60370</v>
      </c>
      <c r="B374" s="16" t="str">
        <f aca="false">AR_Aging!C374</f>
        <v>Wright Inc</v>
      </c>
      <c r="C374" s="18" t="n">
        <f aca="false">AR_Aging!F374</f>
        <v>2581.91</v>
      </c>
      <c r="D374" s="18" t="n">
        <f aca="false">AR_Aging!G374</f>
        <v>0</v>
      </c>
      <c r="E374" s="18" t="n">
        <f aca="false">AR_Aging!H374</f>
        <v>2581.91</v>
      </c>
      <c r="F374" s="16" t="n">
        <f aca="false">AR_Aging!I374</f>
        <v>19</v>
      </c>
      <c r="G374" s="16" t="str">
        <f aca="false">AR_Aging!K374</f>
        <v>Unpaid</v>
      </c>
      <c r="H374" s="16" t="str">
        <f aca="false">IF(AND(G374="Unpaid",F374&gt;90),"HIGH - Fully Overdue 90+ Days",IF(G374="Partially Paid","MEDIUM - Short Paid","OK"))</f>
        <v>OK</v>
      </c>
    </row>
    <row r="375" customFormat="false" ht="15" hidden="false" customHeight="false" outlineLevel="0" collapsed="false">
      <c r="A375" s="16" t="str">
        <f aca="false">AR_Aging!A375</f>
        <v>ARI60371</v>
      </c>
      <c r="B375" s="16" t="str">
        <f aca="false">AR_Aging!C375</f>
        <v>Brown, Valdez and Lucas</v>
      </c>
      <c r="C375" s="18" t="n">
        <f aca="false">AR_Aging!F375</f>
        <v>7158.33</v>
      </c>
      <c r="D375" s="18" t="n">
        <f aca="false">AR_Aging!G375</f>
        <v>7158.33</v>
      </c>
      <c r="E375" s="18" t="n">
        <f aca="false">AR_Aging!H375</f>
        <v>0</v>
      </c>
      <c r="F375" s="16" t="n">
        <f aca="false">AR_Aging!I375</f>
        <v>0</v>
      </c>
      <c r="G375" s="16" t="str">
        <f aca="false">AR_Aging!K375</f>
        <v>Paid</v>
      </c>
      <c r="H375" s="16" t="str">
        <f aca="false">IF(AND(G375="Unpaid",F375&gt;90),"HIGH - Fully Overdue 90+ Days",IF(G375="Partially Paid","MEDIUM - Short Paid","OK"))</f>
        <v>OK</v>
      </c>
    </row>
    <row r="376" customFormat="false" ht="15" hidden="false" customHeight="false" outlineLevel="0" collapsed="false">
      <c r="A376" s="16" t="str">
        <f aca="false">AR_Aging!A376</f>
        <v>ARI60372</v>
      </c>
      <c r="B376" s="16" t="str">
        <f aca="false">AR_Aging!C376</f>
        <v>Novak and Sons</v>
      </c>
      <c r="C376" s="18" t="n">
        <f aca="false">AR_Aging!F376</f>
        <v>3765.89</v>
      </c>
      <c r="D376" s="18" t="n">
        <f aca="false">AR_Aging!G376</f>
        <v>0</v>
      </c>
      <c r="E376" s="18" t="n">
        <f aca="false">AR_Aging!H376</f>
        <v>3765.89</v>
      </c>
      <c r="F376" s="16" t="n">
        <f aca="false">AR_Aging!I376</f>
        <v>100</v>
      </c>
      <c r="G376" s="16" t="str">
        <f aca="false">AR_Aging!K376</f>
        <v>Unpaid</v>
      </c>
      <c r="H376" s="16" t="str">
        <f aca="false">IF(AND(G376="Unpaid",F376&gt;90),"HIGH - Fully Overdue 90+ Days",IF(G376="Partially Paid","MEDIUM - Short Paid","OK"))</f>
        <v>HIGH - Fully Overdue 90+ Days</v>
      </c>
    </row>
    <row r="377" customFormat="false" ht="15" hidden="false" customHeight="false" outlineLevel="0" collapsed="false">
      <c r="A377" s="16" t="str">
        <f aca="false">AR_Aging!A377</f>
        <v>ARI60373</v>
      </c>
      <c r="B377" s="16" t="str">
        <f aca="false">AR_Aging!C377</f>
        <v>Wright and Sons</v>
      </c>
      <c r="C377" s="18" t="n">
        <f aca="false">AR_Aging!F377</f>
        <v>2035.16</v>
      </c>
      <c r="D377" s="18" t="n">
        <f aca="false">AR_Aging!G377</f>
        <v>2035.16</v>
      </c>
      <c r="E377" s="18" t="n">
        <f aca="false">AR_Aging!H377</f>
        <v>0</v>
      </c>
      <c r="F377" s="16" t="n">
        <f aca="false">AR_Aging!I377</f>
        <v>0</v>
      </c>
      <c r="G377" s="16" t="str">
        <f aca="false">AR_Aging!K377</f>
        <v>Paid</v>
      </c>
      <c r="H377" s="16" t="str">
        <f aca="false">IF(AND(G377="Unpaid",F377&gt;90),"HIGH - Fully Overdue 90+ Days",IF(G377="Partially Paid","MEDIUM - Short Paid","OK"))</f>
        <v>OK</v>
      </c>
    </row>
    <row r="378" customFormat="false" ht="15" hidden="false" customHeight="false" outlineLevel="0" collapsed="false">
      <c r="A378" s="16" t="str">
        <f aca="false">AR_Aging!A378</f>
        <v>ARI60374</v>
      </c>
      <c r="B378" s="16" t="str">
        <f aca="false">AR_Aging!C378</f>
        <v>Williams PLC</v>
      </c>
      <c r="C378" s="18" t="n">
        <f aca="false">AR_Aging!F378</f>
        <v>609.74</v>
      </c>
      <c r="D378" s="18" t="n">
        <f aca="false">AR_Aging!G378</f>
        <v>200.01</v>
      </c>
      <c r="E378" s="18" t="n">
        <f aca="false">AR_Aging!H378</f>
        <v>409.73</v>
      </c>
      <c r="F378" s="16" t="n">
        <f aca="false">AR_Aging!I378</f>
        <v>200</v>
      </c>
      <c r="G378" s="16" t="str">
        <f aca="false">AR_Aging!K378</f>
        <v>Partially Paid</v>
      </c>
      <c r="H378" s="16" t="str">
        <f aca="false">IF(AND(G378="Unpaid",F378&gt;90),"HIGH - Fully Overdue 90+ Days",IF(G378="Partially Paid","MEDIUM - Short Paid","OK"))</f>
        <v>MEDIUM - Short Paid</v>
      </c>
    </row>
    <row r="379" customFormat="false" ht="15" hidden="false" customHeight="false" outlineLevel="0" collapsed="false">
      <c r="A379" s="16" t="str">
        <f aca="false">AR_Aging!A379</f>
        <v>ARI60375</v>
      </c>
      <c r="B379" s="16" t="str">
        <f aca="false">AR_Aging!C379</f>
        <v>Sanchez, Wheeler and Harvey</v>
      </c>
      <c r="C379" s="18" t="n">
        <f aca="false">AR_Aging!F379</f>
        <v>3178.96</v>
      </c>
      <c r="D379" s="18" t="n">
        <f aca="false">AR_Aging!G379</f>
        <v>3178.96</v>
      </c>
      <c r="E379" s="18" t="n">
        <f aca="false">AR_Aging!H379</f>
        <v>0</v>
      </c>
      <c r="F379" s="16" t="n">
        <f aca="false">AR_Aging!I379</f>
        <v>0</v>
      </c>
      <c r="G379" s="16" t="str">
        <f aca="false">AR_Aging!K379</f>
        <v>Paid</v>
      </c>
      <c r="H379" s="16" t="str">
        <f aca="false">IF(AND(G379="Unpaid",F379&gt;90),"HIGH - Fully Overdue 90+ Days",IF(G379="Partially Paid","MEDIUM - Short Paid","OK"))</f>
        <v>OK</v>
      </c>
    </row>
    <row r="380" customFormat="false" ht="15" hidden="false" customHeight="false" outlineLevel="0" collapsed="false">
      <c r="A380" s="16" t="str">
        <f aca="false">AR_Aging!A380</f>
        <v>ARI60376</v>
      </c>
      <c r="B380" s="16" t="str">
        <f aca="false">AR_Aging!C380</f>
        <v>Henderson-Bernard</v>
      </c>
      <c r="C380" s="18" t="n">
        <f aca="false">AR_Aging!F380</f>
        <v>758.25</v>
      </c>
      <c r="D380" s="18" t="n">
        <f aca="false">AR_Aging!G380</f>
        <v>758.25</v>
      </c>
      <c r="E380" s="18" t="n">
        <f aca="false">AR_Aging!H380</f>
        <v>0</v>
      </c>
      <c r="F380" s="16" t="n">
        <f aca="false">AR_Aging!I380</f>
        <v>0</v>
      </c>
      <c r="G380" s="16" t="str">
        <f aca="false">AR_Aging!K380</f>
        <v>Paid</v>
      </c>
      <c r="H380" s="16" t="str">
        <f aca="false">IF(AND(G380="Unpaid",F380&gt;90),"HIGH - Fully Overdue 90+ Days",IF(G380="Partially Paid","MEDIUM - Short Paid","OK"))</f>
        <v>OK</v>
      </c>
    </row>
    <row r="381" customFormat="false" ht="15" hidden="false" customHeight="false" outlineLevel="0" collapsed="false">
      <c r="A381" s="16" t="str">
        <f aca="false">AR_Aging!A381</f>
        <v>ARI60377</v>
      </c>
      <c r="B381" s="16" t="str">
        <f aca="false">AR_Aging!C381</f>
        <v>Novak and Sons</v>
      </c>
      <c r="C381" s="18" t="n">
        <f aca="false">AR_Aging!F381</f>
        <v>221.8</v>
      </c>
      <c r="D381" s="18" t="n">
        <f aca="false">AR_Aging!G381</f>
        <v>221.8</v>
      </c>
      <c r="E381" s="18" t="n">
        <f aca="false">AR_Aging!H381</f>
        <v>0</v>
      </c>
      <c r="F381" s="16" t="n">
        <f aca="false">AR_Aging!I381</f>
        <v>0</v>
      </c>
      <c r="G381" s="16" t="str">
        <f aca="false">AR_Aging!K381</f>
        <v>Paid</v>
      </c>
      <c r="H381" s="16" t="str">
        <f aca="false">IF(AND(G381="Unpaid",F381&gt;90),"HIGH - Fully Overdue 90+ Days",IF(G381="Partially Paid","MEDIUM - Short Paid","OK"))</f>
        <v>OK</v>
      </c>
    </row>
    <row r="382" customFormat="false" ht="15" hidden="false" customHeight="false" outlineLevel="0" collapsed="false">
      <c r="A382" s="16" t="str">
        <f aca="false">AR_Aging!A382</f>
        <v>ARI60378</v>
      </c>
      <c r="B382" s="16" t="str">
        <f aca="false">AR_Aging!C382</f>
        <v>Hensley, Powell and David</v>
      </c>
      <c r="C382" s="18" t="n">
        <f aca="false">AR_Aging!F382</f>
        <v>5256.82</v>
      </c>
      <c r="D382" s="18" t="n">
        <f aca="false">AR_Aging!G382</f>
        <v>5256.82</v>
      </c>
      <c r="E382" s="18" t="n">
        <f aca="false">AR_Aging!H382</f>
        <v>0</v>
      </c>
      <c r="F382" s="16" t="n">
        <f aca="false">AR_Aging!I382</f>
        <v>0</v>
      </c>
      <c r="G382" s="16" t="str">
        <f aca="false">AR_Aging!K382</f>
        <v>Paid</v>
      </c>
      <c r="H382" s="16" t="str">
        <f aca="false">IF(AND(G382="Unpaid",F382&gt;90),"HIGH - Fully Overdue 90+ Days",IF(G382="Partially Paid","MEDIUM - Short Paid","OK"))</f>
        <v>OK</v>
      </c>
    </row>
    <row r="383" customFormat="false" ht="15" hidden="false" customHeight="false" outlineLevel="0" collapsed="false">
      <c r="A383" s="16" t="str">
        <f aca="false">AR_Aging!A383</f>
        <v>ARI60379</v>
      </c>
      <c r="B383" s="16" t="str">
        <f aca="false">AR_Aging!C383</f>
        <v>Powell LLC</v>
      </c>
      <c r="C383" s="18" t="n">
        <f aca="false">AR_Aging!F383</f>
        <v>1450.9</v>
      </c>
      <c r="D383" s="18" t="n">
        <f aca="false">AR_Aging!G383</f>
        <v>1450.9</v>
      </c>
      <c r="E383" s="18" t="n">
        <f aca="false">AR_Aging!H383</f>
        <v>0</v>
      </c>
      <c r="F383" s="16" t="n">
        <f aca="false">AR_Aging!I383</f>
        <v>0</v>
      </c>
      <c r="G383" s="16" t="str">
        <f aca="false">AR_Aging!K383</f>
        <v>Paid</v>
      </c>
      <c r="H383" s="16" t="str">
        <f aca="false">IF(AND(G383="Unpaid",F383&gt;90),"HIGH - Fully Overdue 90+ Days",IF(G383="Partially Paid","MEDIUM - Short Paid","OK"))</f>
        <v>OK</v>
      </c>
    </row>
    <row r="384" customFormat="false" ht="15" hidden="false" customHeight="false" outlineLevel="0" collapsed="false">
      <c r="A384" s="16" t="str">
        <f aca="false">AR_Aging!A384</f>
        <v>ARI60380</v>
      </c>
      <c r="B384" s="16" t="str">
        <f aca="false">AR_Aging!C384</f>
        <v>Wright and Sons</v>
      </c>
      <c r="C384" s="18" t="n">
        <f aca="false">AR_Aging!F384</f>
        <v>654.91</v>
      </c>
      <c r="D384" s="18" t="n">
        <f aca="false">AR_Aging!G384</f>
        <v>490.44</v>
      </c>
      <c r="E384" s="18" t="n">
        <f aca="false">AR_Aging!H384</f>
        <v>164.47</v>
      </c>
      <c r="F384" s="16" t="n">
        <f aca="false">AR_Aging!I384</f>
        <v>440</v>
      </c>
      <c r="G384" s="16" t="str">
        <f aca="false">AR_Aging!K384</f>
        <v>Partially Paid</v>
      </c>
      <c r="H384" s="16" t="str">
        <f aca="false">IF(AND(G384="Unpaid",F384&gt;90),"HIGH - Fully Overdue 90+ Days",IF(G384="Partially Paid","MEDIUM - Short Paid","OK"))</f>
        <v>MEDIUM - Short Paid</v>
      </c>
    </row>
    <row r="385" customFormat="false" ht="15" hidden="false" customHeight="false" outlineLevel="0" collapsed="false">
      <c r="A385" s="16" t="str">
        <f aca="false">AR_Aging!A385</f>
        <v>ARI60381</v>
      </c>
      <c r="B385" s="16" t="str">
        <f aca="false">AR_Aging!C385</f>
        <v>Russell Group</v>
      </c>
      <c r="C385" s="18" t="n">
        <f aca="false">AR_Aging!F385</f>
        <v>4069.65</v>
      </c>
      <c r="D385" s="18" t="n">
        <f aca="false">AR_Aging!G385</f>
        <v>4069.65</v>
      </c>
      <c r="E385" s="18" t="n">
        <f aca="false">AR_Aging!H385</f>
        <v>0</v>
      </c>
      <c r="F385" s="16" t="n">
        <f aca="false">AR_Aging!I385</f>
        <v>0</v>
      </c>
      <c r="G385" s="16" t="str">
        <f aca="false">AR_Aging!K385</f>
        <v>Paid</v>
      </c>
      <c r="H385" s="16" t="str">
        <f aca="false">IF(AND(G385="Unpaid",F385&gt;90),"HIGH - Fully Overdue 90+ Days",IF(G385="Partially Paid","MEDIUM - Short Paid","OK"))</f>
        <v>OK</v>
      </c>
    </row>
    <row r="386" customFormat="false" ht="15" hidden="false" customHeight="false" outlineLevel="0" collapsed="false">
      <c r="A386" s="16" t="str">
        <f aca="false">AR_Aging!A386</f>
        <v>ARI60382</v>
      </c>
      <c r="B386" s="16" t="str">
        <f aca="false">AR_Aging!C386</f>
        <v>Jones-Young</v>
      </c>
      <c r="C386" s="18" t="n">
        <f aca="false">AR_Aging!F386</f>
        <v>4599.74</v>
      </c>
      <c r="D386" s="18" t="n">
        <f aca="false">AR_Aging!G386</f>
        <v>2567.44</v>
      </c>
      <c r="E386" s="18" t="n">
        <f aca="false">AR_Aging!H386</f>
        <v>2032.3</v>
      </c>
      <c r="F386" s="16" t="n">
        <f aca="false">AR_Aging!I386</f>
        <v>477</v>
      </c>
      <c r="G386" s="16" t="str">
        <f aca="false">AR_Aging!K386</f>
        <v>Partially Paid</v>
      </c>
      <c r="H386" s="16" t="str">
        <f aca="false">IF(AND(G386="Unpaid",F386&gt;90),"HIGH - Fully Overdue 90+ Days",IF(G386="Partially Paid","MEDIUM - Short Paid","OK"))</f>
        <v>MEDIUM - Short Paid</v>
      </c>
    </row>
    <row r="387" customFormat="false" ht="15" hidden="false" customHeight="false" outlineLevel="0" collapsed="false">
      <c r="A387" s="16" t="str">
        <f aca="false">AR_Aging!A387</f>
        <v>ARI60383</v>
      </c>
      <c r="B387" s="16" t="str">
        <f aca="false">AR_Aging!C387</f>
        <v>Lee-Davis</v>
      </c>
      <c r="C387" s="18" t="n">
        <f aca="false">AR_Aging!F387</f>
        <v>5029.08</v>
      </c>
      <c r="D387" s="18" t="n">
        <f aca="false">AR_Aging!G387</f>
        <v>0</v>
      </c>
      <c r="E387" s="18" t="n">
        <f aca="false">AR_Aging!H387</f>
        <v>5029.08</v>
      </c>
      <c r="F387" s="16" t="n">
        <f aca="false">AR_Aging!I387</f>
        <v>157</v>
      </c>
      <c r="G387" s="16" t="str">
        <f aca="false">AR_Aging!K387</f>
        <v>Unpaid</v>
      </c>
      <c r="H387" s="16" t="str">
        <f aca="false">IF(AND(G387="Unpaid",F387&gt;90),"HIGH - Fully Overdue 90+ Days",IF(G387="Partially Paid","MEDIUM - Short Paid","OK"))</f>
        <v>HIGH - Fully Overdue 90+ Days</v>
      </c>
    </row>
    <row r="388" customFormat="false" ht="15" hidden="false" customHeight="false" outlineLevel="0" collapsed="false">
      <c r="A388" s="16" t="str">
        <f aca="false">AR_Aging!A388</f>
        <v>ARI60384</v>
      </c>
      <c r="B388" s="16" t="str">
        <f aca="false">AR_Aging!C388</f>
        <v>Gray Group</v>
      </c>
      <c r="C388" s="18" t="n">
        <f aca="false">AR_Aging!F388</f>
        <v>898.57</v>
      </c>
      <c r="D388" s="18" t="n">
        <f aca="false">AR_Aging!G388</f>
        <v>898.57</v>
      </c>
      <c r="E388" s="18" t="n">
        <f aca="false">AR_Aging!H388</f>
        <v>0</v>
      </c>
      <c r="F388" s="16" t="n">
        <f aca="false">AR_Aging!I388</f>
        <v>0</v>
      </c>
      <c r="G388" s="16" t="str">
        <f aca="false">AR_Aging!K388</f>
        <v>Paid</v>
      </c>
      <c r="H388" s="16" t="str">
        <f aca="false">IF(AND(G388="Unpaid",F388&gt;90),"HIGH - Fully Overdue 90+ Days",IF(G388="Partially Paid","MEDIUM - Short Paid","OK"))</f>
        <v>OK</v>
      </c>
    </row>
    <row r="389" customFormat="false" ht="15" hidden="false" customHeight="false" outlineLevel="0" collapsed="false">
      <c r="A389" s="16" t="str">
        <f aca="false">AR_Aging!A389</f>
        <v>ARI60385</v>
      </c>
      <c r="B389" s="16" t="str">
        <f aca="false">AR_Aging!C389</f>
        <v>Powell LLC</v>
      </c>
      <c r="C389" s="18" t="n">
        <f aca="false">AR_Aging!F389</f>
        <v>4802.36</v>
      </c>
      <c r="D389" s="18" t="n">
        <f aca="false">AR_Aging!G389</f>
        <v>4802.36</v>
      </c>
      <c r="E389" s="18" t="n">
        <f aca="false">AR_Aging!H389</f>
        <v>0</v>
      </c>
      <c r="F389" s="16" t="n">
        <f aca="false">AR_Aging!I389</f>
        <v>0</v>
      </c>
      <c r="G389" s="16" t="str">
        <f aca="false">AR_Aging!K389</f>
        <v>Paid</v>
      </c>
      <c r="H389" s="16" t="str">
        <f aca="false">IF(AND(G389="Unpaid",F389&gt;90),"HIGH - Fully Overdue 90+ Days",IF(G389="Partially Paid","MEDIUM - Short Paid","OK"))</f>
        <v>OK</v>
      </c>
    </row>
    <row r="390" customFormat="false" ht="15" hidden="false" customHeight="false" outlineLevel="0" collapsed="false">
      <c r="A390" s="16" t="str">
        <f aca="false">AR_Aging!A390</f>
        <v>ARI60386</v>
      </c>
      <c r="B390" s="16" t="str">
        <f aca="false">AR_Aging!C390</f>
        <v>Jones-Young</v>
      </c>
      <c r="C390" s="18" t="n">
        <f aca="false">AR_Aging!F390</f>
        <v>14391.87</v>
      </c>
      <c r="D390" s="18" t="n">
        <f aca="false">AR_Aging!G390</f>
        <v>14391.87</v>
      </c>
      <c r="E390" s="18" t="n">
        <f aca="false">AR_Aging!H390</f>
        <v>0</v>
      </c>
      <c r="F390" s="16" t="n">
        <f aca="false">AR_Aging!I390</f>
        <v>0</v>
      </c>
      <c r="G390" s="16" t="str">
        <f aca="false">AR_Aging!K390</f>
        <v>Paid</v>
      </c>
      <c r="H390" s="16" t="str">
        <f aca="false">IF(AND(G390="Unpaid",F390&gt;90),"HIGH - Fully Overdue 90+ Days",IF(G390="Partially Paid","MEDIUM - Short Paid","OK"))</f>
        <v>OK</v>
      </c>
    </row>
    <row r="391" customFormat="false" ht="15" hidden="false" customHeight="false" outlineLevel="0" collapsed="false">
      <c r="A391" s="16" t="str">
        <f aca="false">AR_Aging!A391</f>
        <v>ARI60387</v>
      </c>
      <c r="B391" s="16" t="str">
        <f aca="false">AR_Aging!C391</f>
        <v>Hancock Inc</v>
      </c>
      <c r="C391" s="18" t="n">
        <f aca="false">AR_Aging!F391</f>
        <v>1054.66</v>
      </c>
      <c r="D391" s="18" t="n">
        <f aca="false">AR_Aging!G391</f>
        <v>1054.66</v>
      </c>
      <c r="E391" s="18" t="n">
        <f aca="false">AR_Aging!H391</f>
        <v>0</v>
      </c>
      <c r="F391" s="16" t="n">
        <f aca="false">AR_Aging!I391</f>
        <v>0</v>
      </c>
      <c r="G391" s="16" t="str">
        <f aca="false">AR_Aging!K391</f>
        <v>Paid</v>
      </c>
      <c r="H391" s="16" t="str">
        <f aca="false">IF(AND(G391="Unpaid",F391&gt;90),"HIGH - Fully Overdue 90+ Days",IF(G391="Partially Paid","MEDIUM - Short Paid","OK"))</f>
        <v>OK</v>
      </c>
    </row>
    <row r="392" customFormat="false" ht="15" hidden="false" customHeight="false" outlineLevel="0" collapsed="false">
      <c r="A392" s="16" t="str">
        <f aca="false">AR_Aging!A392</f>
        <v>ARI60388</v>
      </c>
      <c r="B392" s="16" t="str">
        <f aca="false">AR_Aging!C392</f>
        <v>Sanchez, Wheeler and Harvey</v>
      </c>
      <c r="C392" s="18" t="n">
        <f aca="false">AR_Aging!F392</f>
        <v>2334.44</v>
      </c>
      <c r="D392" s="18" t="n">
        <f aca="false">AR_Aging!G392</f>
        <v>2334.44</v>
      </c>
      <c r="E392" s="18" t="n">
        <f aca="false">AR_Aging!H392</f>
        <v>0</v>
      </c>
      <c r="F392" s="16" t="n">
        <f aca="false">AR_Aging!I392</f>
        <v>0</v>
      </c>
      <c r="G392" s="16" t="str">
        <f aca="false">AR_Aging!K392</f>
        <v>Paid</v>
      </c>
      <c r="H392" s="16" t="str">
        <f aca="false">IF(AND(G392="Unpaid",F392&gt;90),"HIGH - Fully Overdue 90+ Days",IF(G392="Partially Paid","MEDIUM - Short Paid","OK"))</f>
        <v>OK</v>
      </c>
    </row>
    <row r="393" customFormat="false" ht="15" hidden="false" customHeight="false" outlineLevel="0" collapsed="false">
      <c r="A393" s="16" t="str">
        <f aca="false">AR_Aging!A393</f>
        <v>ARI60389</v>
      </c>
      <c r="B393" s="16" t="str">
        <f aca="false">AR_Aging!C393</f>
        <v>Stanley, Tucker and Lee</v>
      </c>
      <c r="C393" s="18" t="n">
        <f aca="false">AR_Aging!F393</f>
        <v>1068.52</v>
      </c>
      <c r="D393" s="18" t="n">
        <f aca="false">AR_Aging!G393</f>
        <v>1068.52</v>
      </c>
      <c r="E393" s="18" t="n">
        <f aca="false">AR_Aging!H393</f>
        <v>0</v>
      </c>
      <c r="F393" s="16" t="n">
        <f aca="false">AR_Aging!I393</f>
        <v>0</v>
      </c>
      <c r="G393" s="16" t="str">
        <f aca="false">AR_Aging!K393</f>
        <v>Paid</v>
      </c>
      <c r="H393" s="16" t="str">
        <f aca="false">IF(AND(G393="Unpaid",F393&gt;90),"HIGH - Fully Overdue 90+ Days",IF(G393="Partially Paid","MEDIUM - Short Paid","OK"))</f>
        <v>OK</v>
      </c>
    </row>
    <row r="394" customFormat="false" ht="15" hidden="false" customHeight="false" outlineLevel="0" collapsed="false">
      <c r="A394" s="16" t="str">
        <f aca="false">AR_Aging!A394</f>
        <v>ARI60390</v>
      </c>
      <c r="B394" s="16" t="str">
        <f aca="false">AR_Aging!C394</f>
        <v>Gomez-Jenkins</v>
      </c>
      <c r="C394" s="18" t="n">
        <f aca="false">AR_Aging!F394</f>
        <v>4621.31</v>
      </c>
      <c r="D394" s="18" t="n">
        <f aca="false">AR_Aging!G394</f>
        <v>4621.31</v>
      </c>
      <c r="E394" s="18" t="n">
        <f aca="false">AR_Aging!H394</f>
        <v>0</v>
      </c>
      <c r="F394" s="16" t="n">
        <f aca="false">AR_Aging!I394</f>
        <v>0</v>
      </c>
      <c r="G394" s="16" t="str">
        <f aca="false">AR_Aging!K394</f>
        <v>Paid</v>
      </c>
      <c r="H394" s="16" t="str">
        <f aca="false">IF(AND(G394="Unpaid",F394&gt;90),"HIGH - Fully Overdue 90+ Days",IF(G394="Partially Paid","MEDIUM - Short Paid","OK"))</f>
        <v>OK</v>
      </c>
    </row>
    <row r="395" customFormat="false" ht="15" hidden="false" customHeight="false" outlineLevel="0" collapsed="false">
      <c r="A395" s="16" t="str">
        <f aca="false">AR_Aging!A395</f>
        <v>ARI60391</v>
      </c>
      <c r="B395" s="16" t="str">
        <f aca="false">AR_Aging!C395</f>
        <v>Stanley, Tucker and Lee</v>
      </c>
      <c r="C395" s="18" t="n">
        <f aca="false">AR_Aging!F395</f>
        <v>18174.41</v>
      </c>
      <c r="D395" s="18" t="n">
        <f aca="false">AR_Aging!G395</f>
        <v>18174.41</v>
      </c>
      <c r="E395" s="18" t="n">
        <f aca="false">AR_Aging!H395</f>
        <v>0</v>
      </c>
      <c r="F395" s="16" t="n">
        <f aca="false">AR_Aging!I395</f>
        <v>0</v>
      </c>
      <c r="G395" s="16" t="str">
        <f aca="false">AR_Aging!K395</f>
        <v>Paid</v>
      </c>
      <c r="H395" s="16" t="str">
        <f aca="false">IF(AND(G395="Unpaid",F395&gt;90),"HIGH - Fully Overdue 90+ Days",IF(G395="Partially Paid","MEDIUM - Short Paid","OK"))</f>
        <v>OK</v>
      </c>
    </row>
    <row r="396" customFormat="false" ht="15" hidden="false" customHeight="false" outlineLevel="0" collapsed="false">
      <c r="A396" s="16" t="str">
        <f aca="false">AR_Aging!A396</f>
        <v>ARI60392</v>
      </c>
      <c r="B396" s="16" t="str">
        <f aca="false">AR_Aging!C396</f>
        <v>Hensley, Powell and David</v>
      </c>
      <c r="C396" s="18" t="n">
        <f aca="false">AR_Aging!F396</f>
        <v>2812</v>
      </c>
      <c r="D396" s="18" t="n">
        <f aca="false">AR_Aging!G396</f>
        <v>1281.1</v>
      </c>
      <c r="E396" s="18" t="n">
        <f aca="false">AR_Aging!H396</f>
        <v>1530.9</v>
      </c>
      <c r="F396" s="16" t="n">
        <f aca="false">AR_Aging!I396</f>
        <v>202</v>
      </c>
      <c r="G396" s="16" t="str">
        <f aca="false">AR_Aging!K396</f>
        <v>Partially Paid</v>
      </c>
      <c r="H396" s="16" t="str">
        <f aca="false">IF(AND(G396="Unpaid",F396&gt;90),"HIGH - Fully Overdue 90+ Days",IF(G396="Partially Paid","MEDIUM - Short Paid","OK"))</f>
        <v>MEDIUM - Short Paid</v>
      </c>
    </row>
    <row r="397" customFormat="false" ht="15" hidden="false" customHeight="false" outlineLevel="0" collapsed="false">
      <c r="A397" s="16" t="str">
        <f aca="false">AR_Aging!A397</f>
        <v>ARI60393</v>
      </c>
      <c r="B397" s="16" t="str">
        <f aca="false">AR_Aging!C397</f>
        <v>Robinson, Jones and Welch</v>
      </c>
      <c r="C397" s="18" t="n">
        <f aca="false">AR_Aging!F397</f>
        <v>905.72</v>
      </c>
      <c r="D397" s="18" t="n">
        <f aca="false">AR_Aging!G397</f>
        <v>905.72</v>
      </c>
      <c r="E397" s="18" t="n">
        <f aca="false">AR_Aging!H397</f>
        <v>0</v>
      </c>
      <c r="F397" s="16" t="n">
        <f aca="false">AR_Aging!I397</f>
        <v>0</v>
      </c>
      <c r="G397" s="16" t="str">
        <f aca="false">AR_Aging!K397</f>
        <v>Paid</v>
      </c>
      <c r="H397" s="16" t="str">
        <f aca="false">IF(AND(G397="Unpaid",F397&gt;90),"HIGH - Fully Overdue 90+ Days",IF(G397="Partially Paid","MEDIUM - Short Paid","OK"))</f>
        <v>OK</v>
      </c>
    </row>
    <row r="398" customFormat="false" ht="15" hidden="false" customHeight="false" outlineLevel="0" collapsed="false">
      <c r="A398" s="16" t="str">
        <f aca="false">AR_Aging!A398</f>
        <v>ARI60394</v>
      </c>
      <c r="B398" s="16" t="str">
        <f aca="false">AR_Aging!C398</f>
        <v>Jones Inc</v>
      </c>
      <c r="C398" s="18" t="n">
        <f aca="false">AR_Aging!F398</f>
        <v>1535.87</v>
      </c>
      <c r="D398" s="18" t="n">
        <f aca="false">AR_Aging!G398</f>
        <v>1535.87</v>
      </c>
      <c r="E398" s="18" t="n">
        <f aca="false">AR_Aging!H398</f>
        <v>0</v>
      </c>
      <c r="F398" s="16" t="n">
        <f aca="false">AR_Aging!I398</f>
        <v>0</v>
      </c>
      <c r="G398" s="16" t="str">
        <f aca="false">AR_Aging!K398</f>
        <v>Paid</v>
      </c>
      <c r="H398" s="16" t="str">
        <f aca="false">IF(AND(G398="Unpaid",F398&gt;90),"HIGH - Fully Overdue 90+ Days",IF(G398="Partially Paid","MEDIUM - Short Paid","OK"))</f>
        <v>OK</v>
      </c>
    </row>
    <row r="399" customFormat="false" ht="15" hidden="false" customHeight="false" outlineLevel="0" collapsed="false">
      <c r="A399" s="16" t="str">
        <f aca="false">AR_Aging!A399</f>
        <v>ARI60395</v>
      </c>
      <c r="B399" s="16" t="str">
        <f aca="false">AR_Aging!C399</f>
        <v>House-Glover</v>
      </c>
      <c r="C399" s="18" t="n">
        <f aca="false">AR_Aging!F399</f>
        <v>1196.89</v>
      </c>
      <c r="D399" s="18" t="n">
        <f aca="false">AR_Aging!G399</f>
        <v>697.9</v>
      </c>
      <c r="E399" s="18" t="n">
        <f aca="false">AR_Aging!H399</f>
        <v>498.99</v>
      </c>
      <c r="F399" s="16" t="n">
        <f aca="false">AR_Aging!I399</f>
        <v>289</v>
      </c>
      <c r="G399" s="16" t="str">
        <f aca="false">AR_Aging!K399</f>
        <v>Partially Paid</v>
      </c>
      <c r="H399" s="16" t="str">
        <f aca="false">IF(AND(G399="Unpaid",F399&gt;90),"HIGH - Fully Overdue 90+ Days",IF(G399="Partially Paid","MEDIUM - Short Paid","OK"))</f>
        <v>MEDIUM - Short Paid</v>
      </c>
    </row>
    <row r="400" customFormat="false" ht="15" hidden="false" customHeight="false" outlineLevel="0" collapsed="false">
      <c r="A400" s="16" t="str">
        <f aca="false">AR_Aging!A400</f>
        <v>ARI60396</v>
      </c>
      <c r="B400" s="16" t="str">
        <f aca="false">AR_Aging!C400</f>
        <v>Daniels, Adkins and Brown</v>
      </c>
      <c r="C400" s="18" t="n">
        <f aca="false">AR_Aging!F400</f>
        <v>946.3</v>
      </c>
      <c r="D400" s="18" t="n">
        <f aca="false">AR_Aging!G400</f>
        <v>946.3</v>
      </c>
      <c r="E400" s="18" t="n">
        <f aca="false">AR_Aging!H400</f>
        <v>0</v>
      </c>
      <c r="F400" s="16" t="n">
        <f aca="false">AR_Aging!I400</f>
        <v>0</v>
      </c>
      <c r="G400" s="16" t="str">
        <f aca="false">AR_Aging!K400</f>
        <v>Paid</v>
      </c>
      <c r="H400" s="16" t="str">
        <f aca="false">IF(AND(G400="Unpaid",F400&gt;90),"HIGH - Fully Overdue 90+ Days",IF(G400="Partially Paid","MEDIUM - Short Paid","OK"))</f>
        <v>OK</v>
      </c>
    </row>
    <row r="401" customFormat="false" ht="15" hidden="false" customHeight="false" outlineLevel="0" collapsed="false">
      <c r="A401" s="16" t="str">
        <f aca="false">AR_Aging!A401</f>
        <v>ARI60397</v>
      </c>
      <c r="B401" s="16" t="str">
        <f aca="false">AR_Aging!C401</f>
        <v>House-Glover</v>
      </c>
      <c r="C401" s="18" t="n">
        <f aca="false">AR_Aging!F401</f>
        <v>732.62</v>
      </c>
      <c r="D401" s="18" t="n">
        <f aca="false">AR_Aging!G401</f>
        <v>0</v>
      </c>
      <c r="E401" s="18" t="n">
        <f aca="false">AR_Aging!H401</f>
        <v>732.62</v>
      </c>
      <c r="F401" s="16" t="n">
        <f aca="false">AR_Aging!I401</f>
        <v>245</v>
      </c>
      <c r="G401" s="16" t="str">
        <f aca="false">AR_Aging!K401</f>
        <v>Unpaid</v>
      </c>
      <c r="H401" s="16" t="str">
        <f aca="false">IF(AND(G401="Unpaid",F401&gt;90),"HIGH - Fully Overdue 90+ Days",IF(G401="Partially Paid","MEDIUM - Short Paid","OK"))</f>
        <v>HIGH - Fully Overdue 90+ Days</v>
      </c>
    </row>
    <row r="402" customFormat="false" ht="15" hidden="false" customHeight="false" outlineLevel="0" collapsed="false">
      <c r="A402" s="16" t="str">
        <f aca="false">AR_Aging!A402</f>
        <v>ARI60398</v>
      </c>
      <c r="B402" s="16" t="str">
        <f aca="false">AR_Aging!C402</f>
        <v>Robinson, Jones and Welch</v>
      </c>
      <c r="C402" s="18" t="n">
        <f aca="false">AR_Aging!F402</f>
        <v>4247.8</v>
      </c>
      <c r="D402" s="18" t="n">
        <f aca="false">AR_Aging!G402</f>
        <v>4247.8</v>
      </c>
      <c r="E402" s="18" t="n">
        <f aca="false">AR_Aging!H402</f>
        <v>0</v>
      </c>
      <c r="F402" s="16" t="n">
        <f aca="false">AR_Aging!I402</f>
        <v>0</v>
      </c>
      <c r="G402" s="16" t="str">
        <f aca="false">AR_Aging!K402</f>
        <v>Paid</v>
      </c>
      <c r="H402" s="16" t="str">
        <f aca="false">IF(AND(G402="Unpaid",F402&gt;90),"HIGH - Fully Overdue 90+ Days",IF(G402="Partially Paid","MEDIUM - Short Paid","OK"))</f>
        <v>OK</v>
      </c>
    </row>
    <row r="403" customFormat="false" ht="15" hidden="false" customHeight="false" outlineLevel="0" collapsed="false">
      <c r="A403" s="16" t="str">
        <f aca="false">AR_Aging!A403</f>
        <v>ARI60399</v>
      </c>
      <c r="B403" s="16" t="str">
        <f aca="false">AR_Aging!C403</f>
        <v>Gomez-Jenkins</v>
      </c>
      <c r="C403" s="18" t="n">
        <f aca="false">AR_Aging!F403</f>
        <v>997.52</v>
      </c>
      <c r="D403" s="18" t="n">
        <f aca="false">AR_Aging!G403</f>
        <v>997.52</v>
      </c>
      <c r="E403" s="18" t="n">
        <f aca="false">AR_Aging!H403</f>
        <v>0</v>
      </c>
      <c r="F403" s="16" t="n">
        <f aca="false">AR_Aging!I403</f>
        <v>0</v>
      </c>
      <c r="G403" s="16" t="str">
        <f aca="false">AR_Aging!K403</f>
        <v>Paid</v>
      </c>
      <c r="H403" s="16" t="str">
        <f aca="false">IF(AND(G403="Unpaid",F403&gt;90),"HIGH - Fully Overdue 90+ Days",IF(G403="Partially Paid","MEDIUM - Short Paid","OK"))</f>
        <v>OK</v>
      </c>
    </row>
    <row r="404" customFormat="false" ht="15" hidden="false" customHeight="false" outlineLevel="0" collapsed="false">
      <c r="A404" s="16" t="str">
        <f aca="false">AR_Aging!A404</f>
        <v>ARI60400</v>
      </c>
      <c r="B404" s="16" t="str">
        <f aca="false">AR_Aging!C404</f>
        <v>Brown, Valdez and Lucas</v>
      </c>
      <c r="C404" s="18" t="n">
        <f aca="false">AR_Aging!F404</f>
        <v>10413.39</v>
      </c>
      <c r="D404" s="18" t="n">
        <f aca="false">AR_Aging!G404</f>
        <v>10413.39</v>
      </c>
      <c r="E404" s="18" t="n">
        <f aca="false">AR_Aging!H404</f>
        <v>0</v>
      </c>
      <c r="F404" s="16" t="n">
        <f aca="false">AR_Aging!I404</f>
        <v>0</v>
      </c>
      <c r="G404" s="16" t="str">
        <f aca="false">AR_Aging!K404</f>
        <v>Paid</v>
      </c>
      <c r="H404" s="16" t="str">
        <f aca="false">IF(AND(G404="Unpaid",F404&gt;90),"HIGH - Fully Overdue 90+ Days",IF(G404="Partially Paid","MEDIUM - Short Paid","OK"))</f>
        <v>OK</v>
      </c>
    </row>
    <row r="405" customFormat="false" ht="15" hidden="false" customHeight="false" outlineLevel="0" collapsed="false">
      <c r="A405" s="16" t="str">
        <f aca="false">AR_Aging!A405</f>
        <v>ARI60401</v>
      </c>
      <c r="B405" s="16" t="str">
        <f aca="false">AR_Aging!C405</f>
        <v>Gomez-Jenkins</v>
      </c>
      <c r="C405" s="18" t="n">
        <f aca="false">AR_Aging!F405</f>
        <v>2307.22</v>
      </c>
      <c r="D405" s="18" t="n">
        <f aca="false">AR_Aging!G405</f>
        <v>943.11</v>
      </c>
      <c r="E405" s="18" t="n">
        <f aca="false">AR_Aging!H405</f>
        <v>1364.11</v>
      </c>
      <c r="F405" s="16" t="n">
        <f aca="false">AR_Aging!I405</f>
        <v>268</v>
      </c>
      <c r="G405" s="16" t="str">
        <f aca="false">AR_Aging!K405</f>
        <v>Partially Paid</v>
      </c>
      <c r="H405" s="16" t="str">
        <f aca="false">IF(AND(G405="Unpaid",F405&gt;90),"HIGH - Fully Overdue 90+ Days",IF(G405="Partially Paid","MEDIUM - Short Paid","OK"))</f>
        <v>MEDIUM - Short Paid</v>
      </c>
    </row>
    <row r="406" customFormat="false" ht="15" hidden="false" customHeight="false" outlineLevel="0" collapsed="false">
      <c r="A406" s="16" t="str">
        <f aca="false">AR_Aging!A406</f>
        <v>ARI60402</v>
      </c>
      <c r="B406" s="16" t="str">
        <f aca="false">AR_Aging!C406</f>
        <v>Novak PLC</v>
      </c>
      <c r="C406" s="18" t="n">
        <f aca="false">AR_Aging!F406</f>
        <v>5069.23</v>
      </c>
      <c r="D406" s="18" t="n">
        <f aca="false">AR_Aging!G406</f>
        <v>5069.23</v>
      </c>
      <c r="E406" s="18" t="n">
        <f aca="false">AR_Aging!H406</f>
        <v>0</v>
      </c>
      <c r="F406" s="16" t="n">
        <f aca="false">AR_Aging!I406</f>
        <v>0</v>
      </c>
      <c r="G406" s="16" t="str">
        <f aca="false">AR_Aging!K406</f>
        <v>Paid</v>
      </c>
      <c r="H406" s="16" t="str">
        <f aca="false">IF(AND(G406="Unpaid",F406&gt;90),"HIGH - Fully Overdue 90+ Days",IF(G406="Partially Paid","MEDIUM - Short Paid","OK"))</f>
        <v>OK</v>
      </c>
    </row>
    <row r="407" customFormat="false" ht="15" hidden="false" customHeight="false" outlineLevel="0" collapsed="false">
      <c r="A407" s="16" t="str">
        <f aca="false">AR_Aging!A407</f>
        <v>ARI60403</v>
      </c>
      <c r="B407" s="16" t="str">
        <f aca="false">AR_Aging!C407</f>
        <v>Hensley, Powell and David</v>
      </c>
      <c r="C407" s="18" t="n">
        <f aca="false">AR_Aging!F407</f>
        <v>1487.62</v>
      </c>
      <c r="D407" s="18" t="n">
        <f aca="false">AR_Aging!G407</f>
        <v>0</v>
      </c>
      <c r="E407" s="18" t="n">
        <f aca="false">AR_Aging!H407</f>
        <v>1487.62</v>
      </c>
      <c r="F407" s="16" t="n">
        <f aca="false">AR_Aging!I407</f>
        <v>143</v>
      </c>
      <c r="G407" s="16" t="str">
        <f aca="false">AR_Aging!K407</f>
        <v>Unpaid</v>
      </c>
      <c r="H407" s="16" t="str">
        <f aca="false">IF(AND(G407="Unpaid",F407&gt;90),"HIGH - Fully Overdue 90+ Days",IF(G407="Partially Paid","MEDIUM - Short Paid","OK"))</f>
        <v>HIGH - Fully Overdue 90+ Days</v>
      </c>
    </row>
    <row r="408" customFormat="false" ht="15" hidden="false" customHeight="false" outlineLevel="0" collapsed="false">
      <c r="A408" s="16" t="str">
        <f aca="false">AR_Aging!A408</f>
        <v>ARI60404</v>
      </c>
      <c r="B408" s="16" t="str">
        <f aca="false">AR_Aging!C408</f>
        <v>Jones Inc</v>
      </c>
      <c r="C408" s="18" t="n">
        <f aca="false">AR_Aging!F408</f>
        <v>1687.78</v>
      </c>
      <c r="D408" s="18" t="n">
        <f aca="false">AR_Aging!G408</f>
        <v>0</v>
      </c>
      <c r="E408" s="18" t="n">
        <f aca="false">AR_Aging!H408</f>
        <v>1687.78</v>
      </c>
      <c r="F408" s="16" t="n">
        <f aca="false">AR_Aging!I408</f>
        <v>399</v>
      </c>
      <c r="G408" s="16" t="str">
        <f aca="false">AR_Aging!K408</f>
        <v>Unpaid</v>
      </c>
      <c r="H408" s="16" t="str">
        <f aca="false">IF(AND(G408="Unpaid",F408&gt;90),"HIGH - Fully Overdue 90+ Days",IF(G408="Partially Paid","MEDIUM - Short Paid","OK"))</f>
        <v>HIGH - Fully Overdue 90+ Days</v>
      </c>
    </row>
    <row r="409" customFormat="false" ht="15" hidden="false" customHeight="false" outlineLevel="0" collapsed="false">
      <c r="A409" s="16" t="str">
        <f aca="false">AR_Aging!A409</f>
        <v>ARI60405</v>
      </c>
      <c r="B409" s="16" t="str">
        <f aca="false">AR_Aging!C409</f>
        <v>Novak PLC</v>
      </c>
      <c r="C409" s="18" t="n">
        <f aca="false">AR_Aging!F409</f>
        <v>4698.15</v>
      </c>
      <c r="D409" s="18" t="n">
        <f aca="false">AR_Aging!G409</f>
        <v>4698.15</v>
      </c>
      <c r="E409" s="18" t="n">
        <f aca="false">AR_Aging!H409</f>
        <v>0</v>
      </c>
      <c r="F409" s="16" t="n">
        <f aca="false">AR_Aging!I409</f>
        <v>0</v>
      </c>
      <c r="G409" s="16" t="str">
        <f aca="false">AR_Aging!K409</f>
        <v>Paid</v>
      </c>
      <c r="H409" s="16" t="str">
        <f aca="false">IF(AND(G409="Unpaid",F409&gt;90),"HIGH - Fully Overdue 90+ Days",IF(G409="Partially Paid","MEDIUM - Short Paid","OK"))</f>
        <v>OK</v>
      </c>
    </row>
    <row r="410" customFormat="false" ht="15" hidden="false" customHeight="false" outlineLevel="0" collapsed="false">
      <c r="A410" s="16" t="str">
        <f aca="false">AR_Aging!A410</f>
        <v>ARI60406</v>
      </c>
      <c r="B410" s="16" t="str">
        <f aca="false">AR_Aging!C410</f>
        <v>Washington, Ryan and Cummings</v>
      </c>
      <c r="C410" s="18" t="n">
        <f aca="false">AR_Aging!F410</f>
        <v>3813</v>
      </c>
      <c r="D410" s="18" t="n">
        <f aca="false">AR_Aging!G410</f>
        <v>3813</v>
      </c>
      <c r="E410" s="18" t="n">
        <f aca="false">AR_Aging!H410</f>
        <v>0</v>
      </c>
      <c r="F410" s="16" t="n">
        <f aca="false">AR_Aging!I410</f>
        <v>0</v>
      </c>
      <c r="G410" s="16" t="str">
        <f aca="false">AR_Aging!K410</f>
        <v>Paid</v>
      </c>
      <c r="H410" s="16" t="str">
        <f aca="false">IF(AND(G410="Unpaid",F410&gt;90),"HIGH - Fully Overdue 90+ Days",IF(G410="Partially Paid","MEDIUM - Short Paid","OK"))</f>
        <v>OK</v>
      </c>
    </row>
    <row r="411" customFormat="false" ht="15" hidden="false" customHeight="false" outlineLevel="0" collapsed="false">
      <c r="A411" s="16" t="str">
        <f aca="false">AR_Aging!A411</f>
        <v>ARI60407</v>
      </c>
      <c r="B411" s="16" t="str">
        <f aca="false">AR_Aging!C411</f>
        <v>Robinson, Jones and Welch</v>
      </c>
      <c r="C411" s="18" t="n">
        <f aca="false">AR_Aging!F411</f>
        <v>218.48</v>
      </c>
      <c r="D411" s="18" t="n">
        <f aca="false">AR_Aging!G411</f>
        <v>99.46</v>
      </c>
      <c r="E411" s="18" t="n">
        <f aca="false">AR_Aging!H411</f>
        <v>119.02</v>
      </c>
      <c r="F411" s="16" t="n">
        <f aca="false">AR_Aging!I411</f>
        <v>292</v>
      </c>
      <c r="G411" s="16" t="str">
        <f aca="false">AR_Aging!K411</f>
        <v>Partially Paid</v>
      </c>
      <c r="H411" s="16" t="str">
        <f aca="false">IF(AND(G411="Unpaid",F411&gt;90),"HIGH - Fully Overdue 90+ Days",IF(G411="Partially Paid","MEDIUM - Short Paid","OK"))</f>
        <v>MEDIUM - Short Paid</v>
      </c>
    </row>
    <row r="412" customFormat="false" ht="15" hidden="false" customHeight="false" outlineLevel="0" collapsed="false">
      <c r="A412" s="16" t="str">
        <f aca="false">AR_Aging!A412</f>
        <v>ARI60408</v>
      </c>
      <c r="B412" s="16" t="str">
        <f aca="false">AR_Aging!C412</f>
        <v>Sanchez, Wheeler and Harvey</v>
      </c>
      <c r="C412" s="18" t="n">
        <f aca="false">AR_Aging!F412</f>
        <v>3810.71</v>
      </c>
      <c r="D412" s="18" t="n">
        <f aca="false">AR_Aging!G412</f>
        <v>3810.71</v>
      </c>
      <c r="E412" s="18" t="n">
        <f aca="false">AR_Aging!H412</f>
        <v>0</v>
      </c>
      <c r="F412" s="16" t="n">
        <f aca="false">AR_Aging!I412</f>
        <v>0</v>
      </c>
      <c r="G412" s="16" t="str">
        <f aca="false">AR_Aging!K412</f>
        <v>Paid</v>
      </c>
      <c r="H412" s="16" t="str">
        <f aca="false">IF(AND(G412="Unpaid",F412&gt;90),"HIGH - Fully Overdue 90+ Days",IF(G412="Partially Paid","MEDIUM - Short Paid","OK"))</f>
        <v>OK</v>
      </c>
    </row>
    <row r="413" customFormat="false" ht="15" hidden="false" customHeight="false" outlineLevel="0" collapsed="false">
      <c r="A413" s="16" t="str">
        <f aca="false">AR_Aging!A413</f>
        <v>ARI60409</v>
      </c>
      <c r="B413" s="16" t="str">
        <f aca="false">AR_Aging!C413</f>
        <v>Gomez-Jenkins</v>
      </c>
      <c r="C413" s="18" t="n">
        <f aca="false">AR_Aging!F413</f>
        <v>565.3</v>
      </c>
      <c r="D413" s="18" t="n">
        <f aca="false">AR_Aging!G413</f>
        <v>565.3</v>
      </c>
      <c r="E413" s="18" t="n">
        <f aca="false">AR_Aging!H413</f>
        <v>0</v>
      </c>
      <c r="F413" s="16" t="n">
        <f aca="false">AR_Aging!I413</f>
        <v>0</v>
      </c>
      <c r="G413" s="16" t="str">
        <f aca="false">AR_Aging!K413</f>
        <v>Paid</v>
      </c>
      <c r="H413" s="16" t="str">
        <f aca="false">IF(AND(G413="Unpaid",F413&gt;90),"HIGH - Fully Overdue 90+ Days",IF(G413="Partially Paid","MEDIUM - Short Paid","OK"))</f>
        <v>OK</v>
      </c>
    </row>
    <row r="414" customFormat="false" ht="15" hidden="false" customHeight="false" outlineLevel="0" collapsed="false">
      <c r="A414" s="16" t="str">
        <f aca="false">AR_Aging!A414</f>
        <v>ARI60410</v>
      </c>
      <c r="B414" s="16" t="str">
        <f aca="false">AR_Aging!C414</f>
        <v>Powell LLC</v>
      </c>
      <c r="C414" s="18" t="n">
        <f aca="false">AR_Aging!F414</f>
        <v>2273.13</v>
      </c>
      <c r="D414" s="18" t="n">
        <f aca="false">AR_Aging!G414</f>
        <v>2273.13</v>
      </c>
      <c r="E414" s="18" t="n">
        <f aca="false">AR_Aging!H414</f>
        <v>0</v>
      </c>
      <c r="F414" s="16" t="n">
        <f aca="false">AR_Aging!I414</f>
        <v>0</v>
      </c>
      <c r="G414" s="16" t="str">
        <f aca="false">AR_Aging!K414</f>
        <v>Paid</v>
      </c>
      <c r="H414" s="16" t="str">
        <f aca="false">IF(AND(G414="Unpaid",F414&gt;90),"HIGH - Fully Overdue 90+ Days",IF(G414="Partially Paid","MEDIUM - Short Paid","OK"))</f>
        <v>OK</v>
      </c>
    </row>
    <row r="415" customFormat="false" ht="15" hidden="false" customHeight="false" outlineLevel="0" collapsed="false">
      <c r="A415" s="16" t="str">
        <f aca="false">AR_Aging!A415</f>
        <v>ARI60411</v>
      </c>
      <c r="B415" s="16" t="str">
        <f aca="false">AR_Aging!C415</f>
        <v>Sanchez, Wheeler and Harvey</v>
      </c>
      <c r="C415" s="18" t="n">
        <f aca="false">AR_Aging!F415</f>
        <v>4159.74</v>
      </c>
      <c r="D415" s="18" t="n">
        <f aca="false">AR_Aging!G415</f>
        <v>4159.74</v>
      </c>
      <c r="E415" s="18" t="n">
        <f aca="false">AR_Aging!H415</f>
        <v>0</v>
      </c>
      <c r="F415" s="16" t="n">
        <f aca="false">AR_Aging!I415</f>
        <v>0</v>
      </c>
      <c r="G415" s="16" t="str">
        <f aca="false">AR_Aging!K415</f>
        <v>Paid</v>
      </c>
      <c r="H415" s="16" t="str">
        <f aca="false">IF(AND(G415="Unpaid",F415&gt;90),"HIGH - Fully Overdue 90+ Days",IF(G415="Partially Paid","MEDIUM - Short Paid","OK"))</f>
        <v>OK</v>
      </c>
    </row>
    <row r="416" customFormat="false" ht="15" hidden="false" customHeight="false" outlineLevel="0" collapsed="false">
      <c r="A416" s="16" t="str">
        <f aca="false">AR_Aging!A416</f>
        <v>ARI60412</v>
      </c>
      <c r="B416" s="16" t="str">
        <f aca="false">AR_Aging!C416</f>
        <v>Novak and Sons</v>
      </c>
      <c r="C416" s="18" t="n">
        <f aca="false">AR_Aging!F416</f>
        <v>2037.81</v>
      </c>
      <c r="D416" s="18" t="n">
        <f aca="false">AR_Aging!G416</f>
        <v>2037.81</v>
      </c>
      <c r="E416" s="18" t="n">
        <f aca="false">AR_Aging!H416</f>
        <v>0</v>
      </c>
      <c r="F416" s="16" t="n">
        <f aca="false">AR_Aging!I416</f>
        <v>0</v>
      </c>
      <c r="G416" s="16" t="str">
        <f aca="false">AR_Aging!K416</f>
        <v>Paid</v>
      </c>
      <c r="H416" s="16" t="str">
        <f aca="false">IF(AND(G416="Unpaid",F416&gt;90),"HIGH - Fully Overdue 90+ Days",IF(G416="Partially Paid","MEDIUM - Short Paid","OK"))</f>
        <v>OK</v>
      </c>
    </row>
    <row r="417" customFormat="false" ht="15" hidden="false" customHeight="false" outlineLevel="0" collapsed="false">
      <c r="A417" s="16" t="str">
        <f aca="false">AR_Aging!A417</f>
        <v>ARI60413</v>
      </c>
      <c r="B417" s="16" t="str">
        <f aca="false">AR_Aging!C417</f>
        <v>Daniels, Adkins and Brown</v>
      </c>
      <c r="C417" s="18" t="n">
        <f aca="false">AR_Aging!F417</f>
        <v>3025</v>
      </c>
      <c r="D417" s="18" t="n">
        <f aca="false">AR_Aging!G417</f>
        <v>3025</v>
      </c>
      <c r="E417" s="18" t="n">
        <f aca="false">AR_Aging!H417</f>
        <v>0</v>
      </c>
      <c r="F417" s="16" t="n">
        <f aca="false">AR_Aging!I417</f>
        <v>0</v>
      </c>
      <c r="G417" s="16" t="str">
        <f aca="false">AR_Aging!K417</f>
        <v>Paid</v>
      </c>
      <c r="H417" s="16" t="str">
        <f aca="false">IF(AND(G417="Unpaid",F417&gt;90),"HIGH - Fully Overdue 90+ Days",IF(G417="Partially Paid","MEDIUM - Short Paid","OK"))</f>
        <v>OK</v>
      </c>
    </row>
    <row r="418" customFormat="false" ht="15" hidden="false" customHeight="false" outlineLevel="0" collapsed="false">
      <c r="A418" s="16" t="str">
        <f aca="false">AR_Aging!A418</f>
        <v>ARI60414</v>
      </c>
      <c r="B418" s="16" t="str">
        <f aca="false">AR_Aging!C418</f>
        <v>Gomez-Jenkins</v>
      </c>
      <c r="C418" s="18" t="n">
        <f aca="false">AR_Aging!F418</f>
        <v>5874.07</v>
      </c>
      <c r="D418" s="18" t="n">
        <f aca="false">AR_Aging!G418</f>
        <v>5874.07</v>
      </c>
      <c r="E418" s="18" t="n">
        <f aca="false">AR_Aging!H418</f>
        <v>0</v>
      </c>
      <c r="F418" s="16" t="n">
        <f aca="false">AR_Aging!I418</f>
        <v>0</v>
      </c>
      <c r="G418" s="16" t="str">
        <f aca="false">AR_Aging!K418</f>
        <v>Paid</v>
      </c>
      <c r="H418" s="16" t="str">
        <f aca="false">IF(AND(G418="Unpaid",F418&gt;90),"HIGH - Fully Overdue 90+ Days",IF(G418="Partially Paid","MEDIUM - Short Paid","OK"))</f>
        <v>OK</v>
      </c>
    </row>
    <row r="419" customFormat="false" ht="15" hidden="false" customHeight="false" outlineLevel="0" collapsed="false">
      <c r="A419" s="16" t="str">
        <f aca="false">AR_Aging!A419</f>
        <v>ARI60415</v>
      </c>
      <c r="B419" s="16" t="str">
        <f aca="false">AR_Aging!C419</f>
        <v>Novak PLC</v>
      </c>
      <c r="C419" s="18" t="n">
        <f aca="false">AR_Aging!F419</f>
        <v>348.56</v>
      </c>
      <c r="D419" s="18" t="n">
        <f aca="false">AR_Aging!G419</f>
        <v>0</v>
      </c>
      <c r="E419" s="18" t="n">
        <f aca="false">AR_Aging!H419</f>
        <v>348.56</v>
      </c>
      <c r="F419" s="16" t="n">
        <f aca="false">AR_Aging!I419</f>
        <v>0</v>
      </c>
      <c r="G419" s="16" t="str">
        <f aca="false">AR_Aging!K419</f>
        <v>Unpaid</v>
      </c>
      <c r="H419" s="16" t="str">
        <f aca="false">IF(AND(G419="Unpaid",F419&gt;90),"HIGH - Fully Overdue 90+ Days",IF(G419="Partially Paid","MEDIUM - Short Paid","OK"))</f>
        <v>OK</v>
      </c>
    </row>
    <row r="420" customFormat="false" ht="15" hidden="false" customHeight="false" outlineLevel="0" collapsed="false">
      <c r="A420" s="16" t="str">
        <f aca="false">AR_Aging!A420</f>
        <v>ARI60416</v>
      </c>
      <c r="B420" s="16" t="str">
        <f aca="false">AR_Aging!C420</f>
        <v>Wright and Sons</v>
      </c>
      <c r="C420" s="18" t="n">
        <f aca="false">AR_Aging!F420</f>
        <v>2423.09</v>
      </c>
      <c r="D420" s="18" t="n">
        <f aca="false">AR_Aging!G420</f>
        <v>2423.09</v>
      </c>
      <c r="E420" s="18" t="n">
        <f aca="false">AR_Aging!H420</f>
        <v>0</v>
      </c>
      <c r="F420" s="16" t="n">
        <f aca="false">AR_Aging!I420</f>
        <v>0</v>
      </c>
      <c r="G420" s="16" t="str">
        <f aca="false">AR_Aging!K420</f>
        <v>Paid</v>
      </c>
      <c r="H420" s="16" t="str">
        <f aca="false">IF(AND(G420="Unpaid",F420&gt;90),"HIGH - Fully Overdue 90+ Days",IF(G420="Partially Paid","MEDIUM - Short Paid","OK"))</f>
        <v>OK</v>
      </c>
    </row>
    <row r="421" customFormat="false" ht="15" hidden="false" customHeight="false" outlineLevel="0" collapsed="false">
      <c r="A421" s="16" t="str">
        <f aca="false">AR_Aging!A421</f>
        <v>ARI60417</v>
      </c>
      <c r="B421" s="16" t="str">
        <f aca="false">AR_Aging!C421</f>
        <v>House-Glover</v>
      </c>
      <c r="C421" s="18" t="n">
        <f aca="false">AR_Aging!F421</f>
        <v>9976.58</v>
      </c>
      <c r="D421" s="18" t="n">
        <f aca="false">AR_Aging!G421</f>
        <v>9976.58</v>
      </c>
      <c r="E421" s="18" t="n">
        <f aca="false">AR_Aging!H421</f>
        <v>0</v>
      </c>
      <c r="F421" s="16" t="n">
        <f aca="false">AR_Aging!I421</f>
        <v>0</v>
      </c>
      <c r="G421" s="16" t="str">
        <f aca="false">AR_Aging!K421</f>
        <v>Paid</v>
      </c>
      <c r="H421" s="16" t="str">
        <f aca="false">IF(AND(G421="Unpaid",F421&gt;90),"HIGH - Fully Overdue 90+ Days",IF(G421="Partially Paid","MEDIUM - Short Paid","OK"))</f>
        <v>OK</v>
      </c>
    </row>
    <row r="422" customFormat="false" ht="15" hidden="false" customHeight="false" outlineLevel="0" collapsed="false">
      <c r="A422" s="16" t="str">
        <f aca="false">AR_Aging!A422</f>
        <v>ARI60418</v>
      </c>
      <c r="B422" s="16" t="str">
        <f aca="false">AR_Aging!C422</f>
        <v>Novak and Sons</v>
      </c>
      <c r="C422" s="18" t="n">
        <f aca="false">AR_Aging!F422</f>
        <v>14623.85</v>
      </c>
      <c r="D422" s="18" t="n">
        <f aca="false">AR_Aging!G422</f>
        <v>14623.85</v>
      </c>
      <c r="E422" s="18" t="n">
        <f aca="false">AR_Aging!H422</f>
        <v>0</v>
      </c>
      <c r="F422" s="16" t="n">
        <f aca="false">AR_Aging!I422</f>
        <v>0</v>
      </c>
      <c r="G422" s="16" t="str">
        <f aca="false">AR_Aging!K422</f>
        <v>Paid</v>
      </c>
      <c r="H422" s="16" t="str">
        <f aca="false">IF(AND(G422="Unpaid",F422&gt;90),"HIGH - Fully Overdue 90+ Days",IF(G422="Partially Paid","MEDIUM - Short Paid","OK"))</f>
        <v>OK</v>
      </c>
    </row>
    <row r="423" customFormat="false" ht="15" hidden="false" customHeight="false" outlineLevel="0" collapsed="false">
      <c r="A423" s="16" t="str">
        <f aca="false">AR_Aging!A423</f>
        <v>ARI60419</v>
      </c>
      <c r="B423" s="16" t="str">
        <f aca="false">AR_Aging!C423</f>
        <v>Yu Inc</v>
      </c>
      <c r="C423" s="18" t="n">
        <f aca="false">AR_Aging!F423</f>
        <v>612.53</v>
      </c>
      <c r="D423" s="18" t="n">
        <f aca="false">AR_Aging!G423</f>
        <v>612.53</v>
      </c>
      <c r="E423" s="18" t="n">
        <f aca="false">AR_Aging!H423</f>
        <v>0</v>
      </c>
      <c r="F423" s="16" t="n">
        <f aca="false">AR_Aging!I423</f>
        <v>0</v>
      </c>
      <c r="G423" s="16" t="str">
        <f aca="false">AR_Aging!K423</f>
        <v>Paid</v>
      </c>
      <c r="H423" s="16" t="str">
        <f aca="false">IF(AND(G423="Unpaid",F423&gt;90),"HIGH - Fully Overdue 90+ Days",IF(G423="Partially Paid","MEDIUM - Short Paid","OK"))</f>
        <v>OK</v>
      </c>
    </row>
    <row r="424" customFormat="false" ht="15" hidden="false" customHeight="false" outlineLevel="0" collapsed="false">
      <c r="A424" s="16" t="str">
        <f aca="false">AR_Aging!A424</f>
        <v>ARI60420</v>
      </c>
      <c r="B424" s="16" t="str">
        <f aca="false">AR_Aging!C424</f>
        <v>Novak PLC</v>
      </c>
      <c r="C424" s="18" t="n">
        <f aca="false">AR_Aging!F424</f>
        <v>3336.09</v>
      </c>
      <c r="D424" s="18" t="n">
        <f aca="false">AR_Aging!G424</f>
        <v>3336.09</v>
      </c>
      <c r="E424" s="18" t="n">
        <f aca="false">AR_Aging!H424</f>
        <v>0</v>
      </c>
      <c r="F424" s="16" t="n">
        <f aca="false">AR_Aging!I424</f>
        <v>0</v>
      </c>
      <c r="G424" s="16" t="str">
        <f aca="false">AR_Aging!K424</f>
        <v>Paid</v>
      </c>
      <c r="H424" s="16" t="str">
        <f aca="false">IF(AND(G424="Unpaid",F424&gt;90),"HIGH - Fully Overdue 90+ Days",IF(G424="Partially Paid","MEDIUM - Short Paid","OK"))</f>
        <v>OK</v>
      </c>
    </row>
    <row r="425" customFormat="false" ht="15" hidden="false" customHeight="false" outlineLevel="0" collapsed="false">
      <c r="A425" s="16" t="str">
        <f aca="false">AR_Aging!A425</f>
        <v>ARI60421</v>
      </c>
      <c r="B425" s="16" t="str">
        <f aca="false">AR_Aging!C425</f>
        <v>West, Henderson and Ramirez</v>
      </c>
      <c r="C425" s="18" t="n">
        <f aca="false">AR_Aging!F425</f>
        <v>5667.34</v>
      </c>
      <c r="D425" s="18" t="n">
        <f aca="false">AR_Aging!G425</f>
        <v>5667.34</v>
      </c>
      <c r="E425" s="18" t="n">
        <f aca="false">AR_Aging!H425</f>
        <v>0</v>
      </c>
      <c r="F425" s="16" t="n">
        <f aca="false">AR_Aging!I425</f>
        <v>0</v>
      </c>
      <c r="G425" s="16" t="str">
        <f aca="false">AR_Aging!K425</f>
        <v>Paid</v>
      </c>
      <c r="H425" s="16" t="str">
        <f aca="false">IF(AND(G425="Unpaid",F425&gt;90),"HIGH - Fully Overdue 90+ Days",IF(G425="Partially Paid","MEDIUM - Short Paid","OK"))</f>
        <v>OK</v>
      </c>
    </row>
    <row r="426" customFormat="false" ht="15" hidden="false" customHeight="false" outlineLevel="0" collapsed="false">
      <c r="A426" s="16" t="str">
        <f aca="false">AR_Aging!A426</f>
        <v>ARI60422</v>
      </c>
      <c r="B426" s="16" t="str">
        <f aca="false">AR_Aging!C426</f>
        <v>Stanley, Tucker and Lee</v>
      </c>
      <c r="C426" s="18" t="n">
        <f aca="false">AR_Aging!F426</f>
        <v>2238.81</v>
      </c>
      <c r="D426" s="18" t="n">
        <f aca="false">AR_Aging!G426</f>
        <v>2238.81</v>
      </c>
      <c r="E426" s="18" t="n">
        <f aca="false">AR_Aging!H426</f>
        <v>0</v>
      </c>
      <c r="F426" s="16" t="n">
        <f aca="false">AR_Aging!I426</f>
        <v>0</v>
      </c>
      <c r="G426" s="16" t="str">
        <f aca="false">AR_Aging!K426</f>
        <v>Paid</v>
      </c>
      <c r="H426" s="16" t="str">
        <f aca="false">IF(AND(G426="Unpaid",F426&gt;90),"HIGH - Fully Overdue 90+ Days",IF(G426="Partially Paid","MEDIUM - Short Paid","OK"))</f>
        <v>OK</v>
      </c>
    </row>
    <row r="427" customFormat="false" ht="15" hidden="false" customHeight="false" outlineLevel="0" collapsed="false">
      <c r="A427" s="16" t="str">
        <f aca="false">AR_Aging!A427</f>
        <v>ARI60423</v>
      </c>
      <c r="B427" s="16" t="str">
        <f aca="false">AR_Aging!C427</f>
        <v>Williams PLC</v>
      </c>
      <c r="C427" s="18" t="n">
        <f aca="false">AR_Aging!F427</f>
        <v>2184.71</v>
      </c>
      <c r="D427" s="18" t="n">
        <f aca="false">AR_Aging!G427</f>
        <v>2184.71</v>
      </c>
      <c r="E427" s="18" t="n">
        <f aca="false">AR_Aging!H427</f>
        <v>0</v>
      </c>
      <c r="F427" s="16" t="n">
        <f aca="false">AR_Aging!I427</f>
        <v>0</v>
      </c>
      <c r="G427" s="16" t="str">
        <f aca="false">AR_Aging!K427</f>
        <v>Paid</v>
      </c>
      <c r="H427" s="16" t="str">
        <f aca="false">IF(AND(G427="Unpaid",F427&gt;90),"HIGH - Fully Overdue 90+ Days",IF(G427="Partially Paid","MEDIUM - Short Paid","OK"))</f>
        <v>OK</v>
      </c>
    </row>
    <row r="428" customFormat="false" ht="15" hidden="false" customHeight="false" outlineLevel="0" collapsed="false">
      <c r="A428" s="16" t="str">
        <f aca="false">AR_Aging!A428</f>
        <v>ARI60424</v>
      </c>
      <c r="B428" s="16" t="str">
        <f aca="false">AR_Aging!C428</f>
        <v>Hancock Inc</v>
      </c>
      <c r="C428" s="18" t="n">
        <f aca="false">AR_Aging!F428</f>
        <v>2617.73</v>
      </c>
      <c r="D428" s="18" t="n">
        <f aca="false">AR_Aging!G428</f>
        <v>1056.84</v>
      </c>
      <c r="E428" s="18" t="n">
        <f aca="false">AR_Aging!H428</f>
        <v>1560.89</v>
      </c>
      <c r="F428" s="16" t="n">
        <f aca="false">AR_Aging!I428</f>
        <v>403</v>
      </c>
      <c r="G428" s="16" t="str">
        <f aca="false">AR_Aging!K428</f>
        <v>Partially Paid</v>
      </c>
      <c r="H428" s="16" t="str">
        <f aca="false">IF(AND(G428="Unpaid",F428&gt;90),"HIGH - Fully Overdue 90+ Days",IF(G428="Partially Paid","MEDIUM - Short Paid","OK"))</f>
        <v>MEDIUM - Short Paid</v>
      </c>
    </row>
    <row r="429" customFormat="false" ht="15" hidden="false" customHeight="false" outlineLevel="0" collapsed="false">
      <c r="A429" s="16" t="str">
        <f aca="false">AR_Aging!A429</f>
        <v>ARI60425</v>
      </c>
      <c r="B429" s="16" t="str">
        <f aca="false">AR_Aging!C429</f>
        <v>Hancock Inc</v>
      </c>
      <c r="C429" s="18" t="n">
        <f aca="false">AR_Aging!F429</f>
        <v>6660.76</v>
      </c>
      <c r="D429" s="18" t="n">
        <f aca="false">AR_Aging!G429</f>
        <v>6660.76</v>
      </c>
      <c r="E429" s="18" t="n">
        <f aca="false">AR_Aging!H429</f>
        <v>0</v>
      </c>
      <c r="F429" s="16" t="n">
        <f aca="false">AR_Aging!I429</f>
        <v>0</v>
      </c>
      <c r="G429" s="16" t="str">
        <f aca="false">AR_Aging!K429</f>
        <v>Paid</v>
      </c>
      <c r="H429" s="16" t="str">
        <f aca="false">IF(AND(G429="Unpaid",F429&gt;90),"HIGH - Fully Overdue 90+ Days",IF(G429="Partially Paid","MEDIUM - Short Paid","OK"))</f>
        <v>OK</v>
      </c>
    </row>
    <row r="430" customFormat="false" ht="15" hidden="false" customHeight="false" outlineLevel="0" collapsed="false">
      <c r="A430" s="16" t="str">
        <f aca="false">AR_Aging!A430</f>
        <v>ARI60426</v>
      </c>
      <c r="B430" s="16" t="str">
        <f aca="false">AR_Aging!C430</f>
        <v>Morton-Chase</v>
      </c>
      <c r="C430" s="18" t="n">
        <f aca="false">AR_Aging!F430</f>
        <v>782.4</v>
      </c>
      <c r="D430" s="18" t="n">
        <f aca="false">AR_Aging!G430</f>
        <v>782.4</v>
      </c>
      <c r="E430" s="18" t="n">
        <f aca="false">AR_Aging!H430</f>
        <v>0</v>
      </c>
      <c r="F430" s="16" t="n">
        <f aca="false">AR_Aging!I430</f>
        <v>0</v>
      </c>
      <c r="G430" s="16" t="str">
        <f aca="false">AR_Aging!K430</f>
        <v>Paid</v>
      </c>
      <c r="H430" s="16" t="str">
        <f aca="false">IF(AND(G430="Unpaid",F430&gt;90),"HIGH - Fully Overdue 90+ Days",IF(G430="Partially Paid","MEDIUM - Short Paid","OK"))</f>
        <v>OK</v>
      </c>
    </row>
    <row r="431" customFormat="false" ht="15" hidden="false" customHeight="false" outlineLevel="0" collapsed="false">
      <c r="A431" s="16" t="str">
        <f aca="false">AR_Aging!A431</f>
        <v>ARI60427</v>
      </c>
      <c r="B431" s="16" t="str">
        <f aca="false">AR_Aging!C431</f>
        <v>Russell Group</v>
      </c>
      <c r="C431" s="18" t="n">
        <f aca="false">AR_Aging!F431</f>
        <v>881.21</v>
      </c>
      <c r="D431" s="18" t="n">
        <f aca="false">AR_Aging!G431</f>
        <v>881.21</v>
      </c>
      <c r="E431" s="18" t="n">
        <f aca="false">AR_Aging!H431</f>
        <v>0</v>
      </c>
      <c r="F431" s="16" t="n">
        <f aca="false">AR_Aging!I431</f>
        <v>0</v>
      </c>
      <c r="G431" s="16" t="str">
        <f aca="false">AR_Aging!K431</f>
        <v>Paid</v>
      </c>
      <c r="H431" s="16" t="str">
        <f aca="false">IF(AND(G431="Unpaid",F431&gt;90),"HIGH - Fully Overdue 90+ Days",IF(G431="Partially Paid","MEDIUM - Short Paid","OK"))</f>
        <v>OK</v>
      </c>
    </row>
    <row r="432" customFormat="false" ht="15" hidden="false" customHeight="false" outlineLevel="0" collapsed="false">
      <c r="A432" s="16" t="str">
        <f aca="false">AR_Aging!A432</f>
        <v>ARI60428</v>
      </c>
      <c r="B432" s="16" t="str">
        <f aca="false">AR_Aging!C432</f>
        <v>Williams PLC</v>
      </c>
      <c r="C432" s="18" t="n">
        <f aca="false">AR_Aging!F432</f>
        <v>3647.52</v>
      </c>
      <c r="D432" s="18" t="n">
        <f aca="false">AR_Aging!G432</f>
        <v>3647.52</v>
      </c>
      <c r="E432" s="18" t="n">
        <f aca="false">AR_Aging!H432</f>
        <v>0</v>
      </c>
      <c r="F432" s="16" t="n">
        <f aca="false">AR_Aging!I432</f>
        <v>0</v>
      </c>
      <c r="G432" s="16" t="str">
        <f aca="false">AR_Aging!K432</f>
        <v>Paid</v>
      </c>
      <c r="H432" s="16" t="str">
        <f aca="false">IF(AND(G432="Unpaid",F432&gt;90),"HIGH - Fully Overdue 90+ Days",IF(G432="Partially Paid","MEDIUM - Short Paid","OK"))</f>
        <v>OK</v>
      </c>
    </row>
    <row r="433" customFormat="false" ht="15" hidden="false" customHeight="false" outlineLevel="0" collapsed="false">
      <c r="A433" s="16" t="str">
        <f aca="false">AR_Aging!A433</f>
        <v>ARI60429</v>
      </c>
      <c r="B433" s="16" t="str">
        <f aca="false">AR_Aging!C433</f>
        <v>Daniels, Adkins and Brown</v>
      </c>
      <c r="C433" s="18" t="n">
        <f aca="false">AR_Aging!F433</f>
        <v>3313.04</v>
      </c>
      <c r="D433" s="18" t="n">
        <f aca="false">AR_Aging!G433</f>
        <v>3313.04</v>
      </c>
      <c r="E433" s="18" t="n">
        <f aca="false">AR_Aging!H433</f>
        <v>0</v>
      </c>
      <c r="F433" s="16" t="n">
        <f aca="false">AR_Aging!I433</f>
        <v>0</v>
      </c>
      <c r="G433" s="16" t="str">
        <f aca="false">AR_Aging!K433</f>
        <v>Paid</v>
      </c>
      <c r="H433" s="16" t="str">
        <f aca="false">IF(AND(G433="Unpaid",F433&gt;90),"HIGH - Fully Overdue 90+ Days",IF(G433="Partially Paid","MEDIUM - Short Paid","OK"))</f>
        <v>OK</v>
      </c>
    </row>
    <row r="434" customFormat="false" ht="15" hidden="false" customHeight="false" outlineLevel="0" collapsed="false">
      <c r="A434" s="16" t="str">
        <f aca="false">AR_Aging!A434</f>
        <v>ARI60430</v>
      </c>
      <c r="B434" s="16" t="str">
        <f aca="false">AR_Aging!C434</f>
        <v>Yu Inc</v>
      </c>
      <c r="C434" s="18" t="n">
        <f aca="false">AR_Aging!F434</f>
        <v>791.01</v>
      </c>
      <c r="D434" s="18" t="n">
        <f aca="false">AR_Aging!G434</f>
        <v>791.01</v>
      </c>
      <c r="E434" s="18" t="n">
        <f aca="false">AR_Aging!H434</f>
        <v>0</v>
      </c>
      <c r="F434" s="16" t="n">
        <f aca="false">AR_Aging!I434</f>
        <v>0</v>
      </c>
      <c r="G434" s="16" t="str">
        <f aca="false">AR_Aging!K434</f>
        <v>Paid</v>
      </c>
      <c r="H434" s="16" t="str">
        <f aca="false">IF(AND(G434="Unpaid",F434&gt;90),"HIGH - Fully Overdue 90+ Days",IF(G434="Partially Paid","MEDIUM - Short Paid","OK"))</f>
        <v>OK</v>
      </c>
    </row>
    <row r="435" customFormat="false" ht="15" hidden="false" customHeight="false" outlineLevel="0" collapsed="false">
      <c r="A435" s="16" t="str">
        <f aca="false">AR_Aging!A435</f>
        <v>ARI60431</v>
      </c>
      <c r="B435" s="16" t="str">
        <f aca="false">AR_Aging!C435</f>
        <v>Powell LLC</v>
      </c>
      <c r="C435" s="18" t="n">
        <f aca="false">AR_Aging!F435</f>
        <v>5446.66</v>
      </c>
      <c r="D435" s="18" t="n">
        <f aca="false">AR_Aging!G435</f>
        <v>5446.66</v>
      </c>
      <c r="E435" s="18" t="n">
        <f aca="false">AR_Aging!H435</f>
        <v>0</v>
      </c>
      <c r="F435" s="16" t="n">
        <f aca="false">AR_Aging!I435</f>
        <v>0</v>
      </c>
      <c r="G435" s="16" t="str">
        <f aca="false">AR_Aging!K435</f>
        <v>Paid</v>
      </c>
      <c r="H435" s="16" t="str">
        <f aca="false">IF(AND(G435="Unpaid",F435&gt;90),"HIGH - Fully Overdue 90+ Days",IF(G435="Partially Paid","MEDIUM - Short Paid","OK"))</f>
        <v>OK</v>
      </c>
    </row>
    <row r="436" customFormat="false" ht="15" hidden="false" customHeight="false" outlineLevel="0" collapsed="false">
      <c r="A436" s="16" t="str">
        <f aca="false">AR_Aging!A436</f>
        <v>ARI60432</v>
      </c>
      <c r="B436" s="16" t="str">
        <f aca="false">AR_Aging!C436</f>
        <v>Novak PLC</v>
      </c>
      <c r="C436" s="18" t="n">
        <f aca="false">AR_Aging!F436</f>
        <v>2078.1</v>
      </c>
      <c r="D436" s="18" t="n">
        <f aca="false">AR_Aging!G436</f>
        <v>2078.1</v>
      </c>
      <c r="E436" s="18" t="n">
        <f aca="false">AR_Aging!H436</f>
        <v>0</v>
      </c>
      <c r="F436" s="16" t="n">
        <f aca="false">AR_Aging!I436</f>
        <v>0</v>
      </c>
      <c r="G436" s="16" t="str">
        <f aca="false">AR_Aging!K436</f>
        <v>Paid</v>
      </c>
      <c r="H436" s="16" t="str">
        <f aca="false">IF(AND(G436="Unpaid",F436&gt;90),"HIGH - Fully Overdue 90+ Days",IF(G436="Partially Paid","MEDIUM - Short Paid","OK"))</f>
        <v>OK</v>
      </c>
    </row>
    <row r="437" customFormat="false" ht="15" hidden="false" customHeight="false" outlineLevel="0" collapsed="false">
      <c r="A437" s="16" t="str">
        <f aca="false">AR_Aging!A437</f>
        <v>ARI60433</v>
      </c>
      <c r="B437" s="16" t="str">
        <f aca="false">AR_Aging!C437</f>
        <v>Novak and Sons</v>
      </c>
      <c r="C437" s="18" t="n">
        <f aca="false">AR_Aging!F437</f>
        <v>22154.21</v>
      </c>
      <c r="D437" s="18" t="n">
        <f aca="false">AR_Aging!G437</f>
        <v>22154.21</v>
      </c>
      <c r="E437" s="18" t="n">
        <f aca="false">AR_Aging!H437</f>
        <v>0</v>
      </c>
      <c r="F437" s="16" t="n">
        <f aca="false">AR_Aging!I437</f>
        <v>0</v>
      </c>
      <c r="G437" s="16" t="str">
        <f aca="false">AR_Aging!K437</f>
        <v>Paid</v>
      </c>
      <c r="H437" s="16" t="str">
        <f aca="false">IF(AND(G437="Unpaid",F437&gt;90),"HIGH - Fully Overdue 90+ Days",IF(G437="Partially Paid","MEDIUM - Short Paid","OK"))</f>
        <v>OK</v>
      </c>
    </row>
    <row r="438" customFormat="false" ht="15" hidden="false" customHeight="false" outlineLevel="0" collapsed="false">
      <c r="A438" s="16" t="str">
        <f aca="false">AR_Aging!A438</f>
        <v>ARI60434</v>
      </c>
      <c r="B438" s="16" t="str">
        <f aca="false">AR_Aging!C438</f>
        <v>Daniels, Adkins and Brown</v>
      </c>
      <c r="C438" s="18" t="n">
        <f aca="false">AR_Aging!F438</f>
        <v>4300.32</v>
      </c>
      <c r="D438" s="18" t="n">
        <f aca="false">AR_Aging!G438</f>
        <v>4300.32</v>
      </c>
      <c r="E438" s="18" t="n">
        <f aca="false">AR_Aging!H438</f>
        <v>0</v>
      </c>
      <c r="F438" s="16" t="n">
        <f aca="false">AR_Aging!I438</f>
        <v>0</v>
      </c>
      <c r="G438" s="16" t="str">
        <f aca="false">AR_Aging!K438</f>
        <v>Paid</v>
      </c>
      <c r="H438" s="16" t="str">
        <f aca="false">IF(AND(G438="Unpaid",F438&gt;90),"HIGH - Fully Overdue 90+ Days",IF(G438="Partially Paid","MEDIUM - Short Paid","OK"))</f>
        <v>OK</v>
      </c>
    </row>
    <row r="439" customFormat="false" ht="15" hidden="false" customHeight="false" outlineLevel="0" collapsed="false">
      <c r="A439" s="16" t="str">
        <f aca="false">AR_Aging!A439</f>
        <v>ARI60435</v>
      </c>
      <c r="B439" s="16" t="str">
        <f aca="false">AR_Aging!C439</f>
        <v>Hancock Inc</v>
      </c>
      <c r="C439" s="18" t="n">
        <f aca="false">AR_Aging!F439</f>
        <v>1034.15</v>
      </c>
      <c r="D439" s="18" t="n">
        <f aca="false">AR_Aging!G439</f>
        <v>1034.15</v>
      </c>
      <c r="E439" s="18" t="n">
        <f aca="false">AR_Aging!H439</f>
        <v>0</v>
      </c>
      <c r="F439" s="16" t="n">
        <f aca="false">AR_Aging!I439</f>
        <v>0</v>
      </c>
      <c r="G439" s="16" t="str">
        <f aca="false">AR_Aging!K439</f>
        <v>Paid</v>
      </c>
      <c r="H439" s="16" t="str">
        <f aca="false">IF(AND(G439="Unpaid",F439&gt;90),"HIGH - Fully Overdue 90+ Days",IF(G439="Partially Paid","MEDIUM - Short Paid","OK"))</f>
        <v>OK</v>
      </c>
    </row>
    <row r="440" customFormat="false" ht="15" hidden="false" customHeight="false" outlineLevel="0" collapsed="false">
      <c r="A440" s="16" t="str">
        <f aca="false">AR_Aging!A440</f>
        <v>ARI60436</v>
      </c>
      <c r="B440" s="16" t="str">
        <f aca="false">AR_Aging!C440</f>
        <v>Wright Inc</v>
      </c>
      <c r="C440" s="18" t="n">
        <f aca="false">AR_Aging!F440</f>
        <v>13099.77</v>
      </c>
      <c r="D440" s="18" t="n">
        <f aca="false">AR_Aging!G440</f>
        <v>13099.77</v>
      </c>
      <c r="E440" s="18" t="n">
        <f aca="false">AR_Aging!H440</f>
        <v>0</v>
      </c>
      <c r="F440" s="16" t="n">
        <f aca="false">AR_Aging!I440</f>
        <v>0</v>
      </c>
      <c r="G440" s="16" t="str">
        <f aca="false">AR_Aging!K440</f>
        <v>Paid</v>
      </c>
      <c r="H440" s="16" t="str">
        <f aca="false">IF(AND(G440="Unpaid",F440&gt;90),"HIGH - Fully Overdue 90+ Days",IF(G440="Partially Paid","MEDIUM - Short Paid","OK"))</f>
        <v>OK</v>
      </c>
    </row>
    <row r="441" customFormat="false" ht="15" hidden="false" customHeight="false" outlineLevel="0" collapsed="false">
      <c r="A441" s="16" t="str">
        <f aca="false">AR_Aging!A441</f>
        <v>ARI60437</v>
      </c>
      <c r="B441" s="16" t="str">
        <f aca="false">AR_Aging!C441</f>
        <v>Sanchez, Wheeler and Harvey</v>
      </c>
      <c r="C441" s="18" t="n">
        <f aca="false">AR_Aging!F441</f>
        <v>1458.86</v>
      </c>
      <c r="D441" s="18" t="n">
        <f aca="false">AR_Aging!G441</f>
        <v>1458.86</v>
      </c>
      <c r="E441" s="18" t="n">
        <f aca="false">AR_Aging!H441</f>
        <v>0</v>
      </c>
      <c r="F441" s="16" t="n">
        <f aca="false">AR_Aging!I441</f>
        <v>0</v>
      </c>
      <c r="G441" s="16" t="str">
        <f aca="false">AR_Aging!K441</f>
        <v>Paid</v>
      </c>
      <c r="H441" s="16" t="str">
        <f aca="false">IF(AND(G441="Unpaid",F441&gt;90),"HIGH - Fully Overdue 90+ Days",IF(G441="Partially Paid","MEDIUM - Short Paid","OK"))</f>
        <v>OK</v>
      </c>
    </row>
    <row r="442" customFormat="false" ht="15" hidden="false" customHeight="false" outlineLevel="0" collapsed="false">
      <c r="A442" s="16" t="str">
        <f aca="false">AR_Aging!A442</f>
        <v>ARI60438</v>
      </c>
      <c r="B442" s="16" t="str">
        <f aca="false">AR_Aging!C442</f>
        <v>Robinson, Jones and Welch</v>
      </c>
      <c r="C442" s="18" t="n">
        <f aca="false">AR_Aging!F442</f>
        <v>972.77</v>
      </c>
      <c r="D442" s="18" t="n">
        <f aca="false">AR_Aging!G442</f>
        <v>972.77</v>
      </c>
      <c r="E442" s="18" t="n">
        <f aca="false">AR_Aging!H442</f>
        <v>0</v>
      </c>
      <c r="F442" s="16" t="n">
        <f aca="false">AR_Aging!I442</f>
        <v>0</v>
      </c>
      <c r="G442" s="16" t="str">
        <f aca="false">AR_Aging!K442</f>
        <v>Paid</v>
      </c>
      <c r="H442" s="16" t="str">
        <f aca="false">IF(AND(G442="Unpaid",F442&gt;90),"HIGH - Fully Overdue 90+ Days",IF(G442="Partially Paid","MEDIUM - Short Paid","OK"))</f>
        <v>OK</v>
      </c>
    </row>
    <row r="443" customFormat="false" ht="15" hidden="false" customHeight="false" outlineLevel="0" collapsed="false">
      <c r="A443" s="16" t="str">
        <f aca="false">AR_Aging!A443</f>
        <v>ARI60439</v>
      </c>
      <c r="B443" s="16" t="str">
        <f aca="false">AR_Aging!C443</f>
        <v>Hancock Inc</v>
      </c>
      <c r="C443" s="18" t="n">
        <f aca="false">AR_Aging!F443</f>
        <v>15147.09</v>
      </c>
      <c r="D443" s="18" t="n">
        <f aca="false">AR_Aging!G443</f>
        <v>0</v>
      </c>
      <c r="E443" s="18" t="n">
        <f aca="false">AR_Aging!H443</f>
        <v>15147.09</v>
      </c>
      <c r="F443" s="16" t="n">
        <f aca="false">AR_Aging!I443</f>
        <v>46</v>
      </c>
      <c r="G443" s="16" t="str">
        <f aca="false">AR_Aging!K443</f>
        <v>Unpaid</v>
      </c>
      <c r="H443" s="16" t="str">
        <f aca="false">IF(AND(G443="Unpaid",F443&gt;90),"HIGH - Fully Overdue 90+ Days",IF(G443="Partially Paid","MEDIUM - Short Paid","OK"))</f>
        <v>OK</v>
      </c>
    </row>
    <row r="444" customFormat="false" ht="15" hidden="false" customHeight="false" outlineLevel="0" collapsed="false">
      <c r="A444" s="16" t="str">
        <f aca="false">AR_Aging!A444</f>
        <v>ARI60440</v>
      </c>
      <c r="B444" s="16" t="str">
        <f aca="false">AR_Aging!C444</f>
        <v>Jones Inc</v>
      </c>
      <c r="C444" s="18" t="n">
        <f aca="false">AR_Aging!F444</f>
        <v>4774.51</v>
      </c>
      <c r="D444" s="18" t="n">
        <f aca="false">AR_Aging!G444</f>
        <v>4774.51</v>
      </c>
      <c r="E444" s="18" t="n">
        <f aca="false">AR_Aging!H444</f>
        <v>0</v>
      </c>
      <c r="F444" s="16" t="n">
        <f aca="false">AR_Aging!I444</f>
        <v>0</v>
      </c>
      <c r="G444" s="16" t="str">
        <f aca="false">AR_Aging!K444</f>
        <v>Paid</v>
      </c>
      <c r="H444" s="16" t="str">
        <f aca="false">IF(AND(G444="Unpaid",F444&gt;90),"HIGH - Fully Overdue 90+ Days",IF(G444="Partially Paid","MEDIUM - Short Paid","OK"))</f>
        <v>OK</v>
      </c>
    </row>
    <row r="445" customFormat="false" ht="15" hidden="false" customHeight="false" outlineLevel="0" collapsed="false">
      <c r="A445" s="16" t="str">
        <f aca="false">AR_Aging!A445</f>
        <v>ARI60441</v>
      </c>
      <c r="B445" s="16" t="str">
        <f aca="false">AR_Aging!C445</f>
        <v>Jones-Young</v>
      </c>
      <c r="C445" s="18" t="n">
        <f aca="false">AR_Aging!F445</f>
        <v>1827.71</v>
      </c>
      <c r="D445" s="18" t="n">
        <f aca="false">AR_Aging!G445</f>
        <v>0</v>
      </c>
      <c r="E445" s="18" t="n">
        <f aca="false">AR_Aging!H445</f>
        <v>1827.71</v>
      </c>
      <c r="F445" s="16" t="n">
        <f aca="false">AR_Aging!I445</f>
        <v>35</v>
      </c>
      <c r="G445" s="16" t="str">
        <f aca="false">AR_Aging!K445</f>
        <v>Unpaid</v>
      </c>
      <c r="H445" s="16" t="str">
        <f aca="false">IF(AND(G445="Unpaid",F445&gt;90),"HIGH - Fully Overdue 90+ Days",IF(G445="Partially Paid","MEDIUM - Short Paid","OK"))</f>
        <v>OK</v>
      </c>
    </row>
    <row r="446" customFormat="false" ht="15" hidden="false" customHeight="false" outlineLevel="0" collapsed="false">
      <c r="A446" s="16" t="str">
        <f aca="false">AR_Aging!A446</f>
        <v>ARI60442</v>
      </c>
      <c r="B446" s="16" t="str">
        <f aca="false">AR_Aging!C446</f>
        <v>Gray Group</v>
      </c>
      <c r="C446" s="18" t="n">
        <f aca="false">AR_Aging!F446</f>
        <v>1419.36</v>
      </c>
      <c r="D446" s="18" t="n">
        <f aca="false">AR_Aging!G446</f>
        <v>1419.36</v>
      </c>
      <c r="E446" s="18" t="n">
        <f aca="false">AR_Aging!H446</f>
        <v>0</v>
      </c>
      <c r="F446" s="16" t="n">
        <f aca="false">AR_Aging!I446</f>
        <v>0</v>
      </c>
      <c r="G446" s="16" t="str">
        <f aca="false">AR_Aging!K446</f>
        <v>Paid</v>
      </c>
      <c r="H446" s="16" t="str">
        <f aca="false">IF(AND(G446="Unpaid",F446&gt;90),"HIGH - Fully Overdue 90+ Days",IF(G446="Partially Paid","MEDIUM - Short Paid","OK"))</f>
        <v>OK</v>
      </c>
    </row>
    <row r="447" customFormat="false" ht="15" hidden="false" customHeight="false" outlineLevel="0" collapsed="false">
      <c r="A447" s="16" t="str">
        <f aca="false">AR_Aging!A447</f>
        <v>ARI60443</v>
      </c>
      <c r="B447" s="16" t="str">
        <f aca="false">AR_Aging!C447</f>
        <v>West, Henderson and Ramirez</v>
      </c>
      <c r="C447" s="18" t="n">
        <f aca="false">AR_Aging!F447</f>
        <v>3354.86</v>
      </c>
      <c r="D447" s="18" t="n">
        <f aca="false">AR_Aging!G447</f>
        <v>3354.86</v>
      </c>
      <c r="E447" s="18" t="n">
        <f aca="false">AR_Aging!H447</f>
        <v>0</v>
      </c>
      <c r="F447" s="16" t="n">
        <f aca="false">AR_Aging!I447</f>
        <v>0</v>
      </c>
      <c r="G447" s="16" t="str">
        <f aca="false">AR_Aging!K447</f>
        <v>Paid</v>
      </c>
      <c r="H447" s="16" t="str">
        <f aca="false">IF(AND(G447="Unpaid",F447&gt;90),"HIGH - Fully Overdue 90+ Days",IF(G447="Partially Paid","MEDIUM - Short Paid","OK"))</f>
        <v>OK</v>
      </c>
    </row>
    <row r="448" customFormat="false" ht="15" hidden="false" customHeight="false" outlineLevel="0" collapsed="false">
      <c r="A448" s="16" t="str">
        <f aca="false">AR_Aging!A448</f>
        <v>ARI60444</v>
      </c>
      <c r="B448" s="16" t="str">
        <f aca="false">AR_Aging!C448</f>
        <v>Henderson-Bernard</v>
      </c>
      <c r="C448" s="18" t="n">
        <f aca="false">AR_Aging!F448</f>
        <v>1948.8</v>
      </c>
      <c r="D448" s="18" t="n">
        <f aca="false">AR_Aging!G448</f>
        <v>1948.8</v>
      </c>
      <c r="E448" s="18" t="n">
        <f aca="false">AR_Aging!H448</f>
        <v>0</v>
      </c>
      <c r="F448" s="16" t="n">
        <f aca="false">AR_Aging!I448</f>
        <v>0</v>
      </c>
      <c r="G448" s="16" t="str">
        <f aca="false">AR_Aging!K448</f>
        <v>Paid</v>
      </c>
      <c r="H448" s="16" t="str">
        <f aca="false">IF(AND(G448="Unpaid",F448&gt;90),"HIGH - Fully Overdue 90+ Days",IF(G448="Partially Paid","MEDIUM - Short Paid","OK"))</f>
        <v>OK</v>
      </c>
    </row>
    <row r="449" customFormat="false" ht="15" hidden="false" customHeight="false" outlineLevel="0" collapsed="false">
      <c r="A449" s="16" t="str">
        <f aca="false">AR_Aging!A449</f>
        <v>ARI60445</v>
      </c>
      <c r="B449" s="16" t="str">
        <f aca="false">AR_Aging!C449</f>
        <v>Robinson, Jones and Welch</v>
      </c>
      <c r="C449" s="18" t="n">
        <f aca="false">AR_Aging!F449</f>
        <v>5733.44</v>
      </c>
      <c r="D449" s="18" t="n">
        <f aca="false">AR_Aging!G449</f>
        <v>5733.44</v>
      </c>
      <c r="E449" s="18" t="n">
        <f aca="false">AR_Aging!H449</f>
        <v>0</v>
      </c>
      <c r="F449" s="16" t="n">
        <f aca="false">AR_Aging!I449</f>
        <v>0</v>
      </c>
      <c r="G449" s="16" t="str">
        <f aca="false">AR_Aging!K449</f>
        <v>Paid</v>
      </c>
      <c r="H449" s="16" t="str">
        <f aca="false">IF(AND(G449="Unpaid",F449&gt;90),"HIGH - Fully Overdue 90+ Days",IF(G449="Partially Paid","MEDIUM - Short Paid","OK"))</f>
        <v>OK</v>
      </c>
    </row>
    <row r="450" customFormat="false" ht="15" hidden="false" customHeight="false" outlineLevel="0" collapsed="false">
      <c r="A450" s="16" t="str">
        <f aca="false">AR_Aging!A450</f>
        <v>ARI60446</v>
      </c>
      <c r="B450" s="16" t="str">
        <f aca="false">AR_Aging!C450</f>
        <v>Gray Group</v>
      </c>
      <c r="C450" s="18" t="n">
        <f aca="false">AR_Aging!F450</f>
        <v>3227.35</v>
      </c>
      <c r="D450" s="18" t="n">
        <f aca="false">AR_Aging!G450</f>
        <v>3227.35</v>
      </c>
      <c r="E450" s="18" t="n">
        <f aca="false">AR_Aging!H450</f>
        <v>0</v>
      </c>
      <c r="F450" s="16" t="n">
        <f aca="false">AR_Aging!I450</f>
        <v>0</v>
      </c>
      <c r="G450" s="16" t="str">
        <f aca="false">AR_Aging!K450</f>
        <v>Paid</v>
      </c>
      <c r="H450" s="16" t="str">
        <f aca="false">IF(AND(G450="Unpaid",F450&gt;90),"HIGH - Fully Overdue 90+ Days",IF(G450="Partially Paid","MEDIUM - Short Paid","OK"))</f>
        <v>OK</v>
      </c>
    </row>
    <row r="451" customFormat="false" ht="15" hidden="false" customHeight="false" outlineLevel="0" collapsed="false">
      <c r="A451" s="16" t="str">
        <f aca="false">AR_Aging!A451</f>
        <v>ARI60447</v>
      </c>
      <c r="B451" s="16" t="str">
        <f aca="false">AR_Aging!C451</f>
        <v>Powell LLC</v>
      </c>
      <c r="C451" s="18" t="n">
        <f aca="false">AR_Aging!F451</f>
        <v>1389.94</v>
      </c>
      <c r="D451" s="18" t="n">
        <f aca="false">AR_Aging!G451</f>
        <v>1389.94</v>
      </c>
      <c r="E451" s="18" t="n">
        <f aca="false">AR_Aging!H451</f>
        <v>0</v>
      </c>
      <c r="F451" s="16" t="n">
        <f aca="false">AR_Aging!I451</f>
        <v>0</v>
      </c>
      <c r="G451" s="16" t="str">
        <f aca="false">AR_Aging!K451</f>
        <v>Paid</v>
      </c>
      <c r="H451" s="16" t="str">
        <f aca="false">IF(AND(G451="Unpaid",F451&gt;90),"HIGH - Fully Overdue 90+ Days",IF(G451="Partially Paid","MEDIUM - Short Paid","OK"))</f>
        <v>OK</v>
      </c>
    </row>
    <row r="452" customFormat="false" ht="15" hidden="false" customHeight="false" outlineLevel="0" collapsed="false">
      <c r="A452" s="16" t="str">
        <f aca="false">AR_Aging!A452</f>
        <v>ARI60448</v>
      </c>
      <c r="B452" s="16" t="str">
        <f aca="false">AR_Aging!C452</f>
        <v>Wright Inc</v>
      </c>
      <c r="C452" s="18" t="n">
        <f aca="false">AR_Aging!F452</f>
        <v>4424.18</v>
      </c>
      <c r="D452" s="18" t="n">
        <f aca="false">AR_Aging!G452</f>
        <v>4424.18</v>
      </c>
      <c r="E452" s="18" t="n">
        <f aca="false">AR_Aging!H452</f>
        <v>0</v>
      </c>
      <c r="F452" s="16" t="n">
        <f aca="false">AR_Aging!I452</f>
        <v>0</v>
      </c>
      <c r="G452" s="16" t="str">
        <f aca="false">AR_Aging!K452</f>
        <v>Paid</v>
      </c>
      <c r="H452" s="16" t="str">
        <f aca="false">IF(AND(G452="Unpaid",F452&gt;90),"HIGH - Fully Overdue 90+ Days",IF(G452="Partially Paid","MEDIUM - Short Paid","OK"))</f>
        <v>OK</v>
      </c>
    </row>
    <row r="453" customFormat="false" ht="15" hidden="false" customHeight="false" outlineLevel="0" collapsed="false">
      <c r="A453" s="16" t="str">
        <f aca="false">AR_Aging!A453</f>
        <v>ARI60449</v>
      </c>
      <c r="B453" s="16" t="str">
        <f aca="false">AR_Aging!C453</f>
        <v>Henderson-Bernard</v>
      </c>
      <c r="C453" s="18" t="n">
        <f aca="false">AR_Aging!F453</f>
        <v>5939.73</v>
      </c>
      <c r="D453" s="18" t="n">
        <f aca="false">AR_Aging!G453</f>
        <v>5939.73</v>
      </c>
      <c r="E453" s="18" t="n">
        <f aca="false">AR_Aging!H453</f>
        <v>0</v>
      </c>
      <c r="F453" s="16" t="n">
        <f aca="false">AR_Aging!I453</f>
        <v>0</v>
      </c>
      <c r="G453" s="16" t="str">
        <f aca="false">AR_Aging!K453</f>
        <v>Paid</v>
      </c>
      <c r="H453" s="16" t="str">
        <f aca="false">IF(AND(G453="Unpaid",F453&gt;90),"HIGH - Fully Overdue 90+ Days",IF(G453="Partially Paid","MEDIUM - Short Paid","OK"))</f>
        <v>OK</v>
      </c>
    </row>
    <row r="454" customFormat="false" ht="15" hidden="false" customHeight="false" outlineLevel="0" collapsed="false">
      <c r="A454" s="16" t="str">
        <f aca="false">AR_Aging!A454</f>
        <v>ARI60450</v>
      </c>
      <c r="B454" s="16" t="str">
        <f aca="false">AR_Aging!C454</f>
        <v>Powell LLC</v>
      </c>
      <c r="C454" s="18" t="n">
        <f aca="false">AR_Aging!F454</f>
        <v>6534.13</v>
      </c>
      <c r="D454" s="18" t="n">
        <f aca="false">AR_Aging!G454</f>
        <v>6534.13</v>
      </c>
      <c r="E454" s="18" t="n">
        <f aca="false">AR_Aging!H454</f>
        <v>0</v>
      </c>
      <c r="F454" s="16" t="n">
        <f aca="false">AR_Aging!I454</f>
        <v>0</v>
      </c>
      <c r="G454" s="16" t="str">
        <f aca="false">AR_Aging!K454</f>
        <v>Paid</v>
      </c>
      <c r="H454" s="16" t="str">
        <f aca="false">IF(AND(G454="Unpaid",F454&gt;90),"HIGH - Fully Overdue 90+ Days",IF(G454="Partially Paid","MEDIUM - Short Paid","OK"))</f>
        <v>OK</v>
      </c>
    </row>
    <row r="455" customFormat="false" ht="15" hidden="false" customHeight="false" outlineLevel="0" collapsed="false">
      <c r="A455" s="16" t="str">
        <f aca="false">AR_Aging!A455</f>
        <v>ARI60451</v>
      </c>
      <c r="B455" s="16" t="str">
        <f aca="false">AR_Aging!C455</f>
        <v>Hancock Inc</v>
      </c>
      <c r="C455" s="18" t="n">
        <f aca="false">AR_Aging!F455</f>
        <v>905.65</v>
      </c>
      <c r="D455" s="18" t="n">
        <f aca="false">AR_Aging!G455</f>
        <v>320.53</v>
      </c>
      <c r="E455" s="18" t="n">
        <f aca="false">AR_Aging!H455</f>
        <v>585.12</v>
      </c>
      <c r="F455" s="16" t="n">
        <f aca="false">AR_Aging!I455</f>
        <v>327</v>
      </c>
      <c r="G455" s="16" t="str">
        <f aca="false">AR_Aging!K455</f>
        <v>Partially Paid</v>
      </c>
      <c r="H455" s="16" t="str">
        <f aca="false">IF(AND(G455="Unpaid",F455&gt;90),"HIGH - Fully Overdue 90+ Days",IF(G455="Partially Paid","MEDIUM - Short Paid","OK"))</f>
        <v>MEDIUM - Short Paid</v>
      </c>
    </row>
    <row r="456" customFormat="false" ht="15" hidden="false" customHeight="false" outlineLevel="0" collapsed="false">
      <c r="A456" s="16" t="str">
        <f aca="false">AR_Aging!A456</f>
        <v>ARI60452</v>
      </c>
      <c r="B456" s="16" t="str">
        <f aca="false">AR_Aging!C456</f>
        <v>Stanley, Tucker and Lee</v>
      </c>
      <c r="C456" s="18" t="n">
        <f aca="false">AR_Aging!F456</f>
        <v>3067.28</v>
      </c>
      <c r="D456" s="18" t="n">
        <f aca="false">AR_Aging!G456</f>
        <v>3067.28</v>
      </c>
      <c r="E456" s="18" t="n">
        <f aca="false">AR_Aging!H456</f>
        <v>0</v>
      </c>
      <c r="F456" s="16" t="n">
        <f aca="false">AR_Aging!I456</f>
        <v>0</v>
      </c>
      <c r="G456" s="16" t="str">
        <f aca="false">AR_Aging!K456</f>
        <v>Paid</v>
      </c>
      <c r="H456" s="16" t="str">
        <f aca="false">IF(AND(G456="Unpaid",F456&gt;90),"HIGH - Fully Overdue 90+ Days",IF(G456="Partially Paid","MEDIUM - Short Paid","OK"))</f>
        <v>OK</v>
      </c>
    </row>
    <row r="457" customFormat="false" ht="15" hidden="false" customHeight="false" outlineLevel="0" collapsed="false">
      <c r="A457" s="16" t="str">
        <f aca="false">AR_Aging!A457</f>
        <v>ARI60453</v>
      </c>
      <c r="B457" s="16" t="str">
        <f aca="false">AR_Aging!C457</f>
        <v>Smith-Spencer</v>
      </c>
      <c r="C457" s="18" t="n">
        <f aca="false">AR_Aging!F457</f>
        <v>1584.49</v>
      </c>
      <c r="D457" s="18" t="n">
        <f aca="false">AR_Aging!G457</f>
        <v>0</v>
      </c>
      <c r="E457" s="18" t="n">
        <f aca="false">AR_Aging!H457</f>
        <v>1584.49</v>
      </c>
      <c r="F457" s="16" t="n">
        <f aca="false">AR_Aging!I457</f>
        <v>165</v>
      </c>
      <c r="G457" s="16" t="str">
        <f aca="false">AR_Aging!K457</f>
        <v>Unpaid</v>
      </c>
      <c r="H457" s="16" t="str">
        <f aca="false">IF(AND(G457="Unpaid",F457&gt;90),"HIGH - Fully Overdue 90+ Days",IF(G457="Partially Paid","MEDIUM - Short Paid","OK"))</f>
        <v>HIGH - Fully Overdue 90+ Days</v>
      </c>
    </row>
    <row r="458" customFormat="false" ht="15" hidden="false" customHeight="false" outlineLevel="0" collapsed="false">
      <c r="A458" s="16" t="str">
        <f aca="false">AR_Aging!A458</f>
        <v>ARI60454</v>
      </c>
      <c r="B458" s="16" t="str">
        <f aca="false">AR_Aging!C458</f>
        <v>Russell Group</v>
      </c>
      <c r="C458" s="18" t="n">
        <f aca="false">AR_Aging!F458</f>
        <v>3317.36</v>
      </c>
      <c r="D458" s="18" t="n">
        <f aca="false">AR_Aging!G458</f>
        <v>3317.36</v>
      </c>
      <c r="E458" s="18" t="n">
        <f aca="false">AR_Aging!H458</f>
        <v>0</v>
      </c>
      <c r="F458" s="16" t="n">
        <f aca="false">AR_Aging!I458</f>
        <v>0</v>
      </c>
      <c r="G458" s="16" t="str">
        <f aca="false">AR_Aging!K458</f>
        <v>Paid</v>
      </c>
      <c r="H458" s="16" t="str">
        <f aca="false">IF(AND(G458="Unpaid",F458&gt;90),"HIGH - Fully Overdue 90+ Days",IF(G458="Partially Paid","MEDIUM - Short Paid","OK"))</f>
        <v>OK</v>
      </c>
    </row>
    <row r="459" customFormat="false" ht="15" hidden="false" customHeight="false" outlineLevel="0" collapsed="false">
      <c r="A459" s="16" t="str">
        <f aca="false">AR_Aging!A459</f>
        <v>ARI60455</v>
      </c>
      <c r="B459" s="16" t="str">
        <f aca="false">AR_Aging!C459</f>
        <v>Gray Group</v>
      </c>
      <c r="C459" s="18" t="n">
        <f aca="false">AR_Aging!F459</f>
        <v>8677.01</v>
      </c>
      <c r="D459" s="18" t="n">
        <f aca="false">AR_Aging!G459</f>
        <v>8677.01</v>
      </c>
      <c r="E459" s="18" t="n">
        <f aca="false">AR_Aging!H459</f>
        <v>0</v>
      </c>
      <c r="F459" s="16" t="n">
        <f aca="false">AR_Aging!I459</f>
        <v>0</v>
      </c>
      <c r="G459" s="16" t="str">
        <f aca="false">AR_Aging!K459</f>
        <v>Paid</v>
      </c>
      <c r="H459" s="16" t="str">
        <f aca="false">IF(AND(G459="Unpaid",F459&gt;90),"HIGH - Fully Overdue 90+ Days",IF(G459="Partially Paid","MEDIUM - Short Paid","OK"))</f>
        <v>OK</v>
      </c>
    </row>
    <row r="460" customFormat="false" ht="15" hidden="false" customHeight="false" outlineLevel="0" collapsed="false">
      <c r="A460" s="16" t="str">
        <f aca="false">AR_Aging!A460</f>
        <v>ARI60456</v>
      </c>
      <c r="B460" s="16" t="str">
        <f aca="false">AR_Aging!C460</f>
        <v>Williams PLC</v>
      </c>
      <c r="C460" s="18" t="n">
        <f aca="false">AR_Aging!F460</f>
        <v>325.4</v>
      </c>
      <c r="D460" s="18" t="n">
        <f aca="false">AR_Aging!G460</f>
        <v>0</v>
      </c>
      <c r="E460" s="18" t="n">
        <f aca="false">AR_Aging!H460</f>
        <v>325.4</v>
      </c>
      <c r="F460" s="16" t="n">
        <f aca="false">AR_Aging!I460</f>
        <v>328</v>
      </c>
      <c r="G460" s="16" t="str">
        <f aca="false">AR_Aging!K460</f>
        <v>Unpaid</v>
      </c>
      <c r="H460" s="16" t="str">
        <f aca="false">IF(AND(G460="Unpaid",F460&gt;90),"HIGH - Fully Overdue 90+ Days",IF(G460="Partially Paid","MEDIUM - Short Paid","OK"))</f>
        <v>HIGH - Fully Overdue 90+ Days</v>
      </c>
    </row>
    <row r="461" customFormat="false" ht="15" hidden="false" customHeight="false" outlineLevel="0" collapsed="false">
      <c r="A461" s="16" t="str">
        <f aca="false">AR_Aging!A461</f>
        <v>ARI60457</v>
      </c>
      <c r="B461" s="16" t="str">
        <f aca="false">AR_Aging!C461</f>
        <v>Washington, Ryan and Cummings</v>
      </c>
      <c r="C461" s="18" t="n">
        <f aca="false">AR_Aging!F461</f>
        <v>558.97</v>
      </c>
      <c r="D461" s="18" t="n">
        <f aca="false">AR_Aging!G461</f>
        <v>0</v>
      </c>
      <c r="E461" s="18" t="n">
        <f aca="false">AR_Aging!H461</f>
        <v>558.97</v>
      </c>
      <c r="F461" s="16" t="n">
        <f aca="false">AR_Aging!I461</f>
        <v>251</v>
      </c>
      <c r="G461" s="16" t="str">
        <f aca="false">AR_Aging!K461</f>
        <v>Unpaid</v>
      </c>
      <c r="H461" s="16" t="str">
        <f aca="false">IF(AND(G461="Unpaid",F461&gt;90),"HIGH - Fully Overdue 90+ Days",IF(G461="Partially Paid","MEDIUM - Short Paid","OK"))</f>
        <v>HIGH - Fully Overdue 90+ Days</v>
      </c>
    </row>
    <row r="462" customFormat="false" ht="15" hidden="false" customHeight="false" outlineLevel="0" collapsed="false">
      <c r="A462" s="16" t="str">
        <f aca="false">AR_Aging!A462</f>
        <v>ARI60458</v>
      </c>
      <c r="B462" s="16" t="str">
        <f aca="false">AR_Aging!C462</f>
        <v>Jones Inc</v>
      </c>
      <c r="C462" s="18" t="n">
        <f aca="false">AR_Aging!F462</f>
        <v>5328.41</v>
      </c>
      <c r="D462" s="18" t="n">
        <f aca="false">AR_Aging!G462</f>
        <v>0</v>
      </c>
      <c r="E462" s="18" t="n">
        <f aca="false">AR_Aging!H462</f>
        <v>5328.41</v>
      </c>
      <c r="F462" s="16" t="n">
        <f aca="false">AR_Aging!I462</f>
        <v>455</v>
      </c>
      <c r="G462" s="16" t="str">
        <f aca="false">AR_Aging!K462</f>
        <v>Unpaid</v>
      </c>
      <c r="H462" s="16" t="str">
        <f aca="false">IF(AND(G462="Unpaid",F462&gt;90),"HIGH - Fully Overdue 90+ Days",IF(G462="Partially Paid","MEDIUM - Short Paid","OK"))</f>
        <v>HIGH - Fully Overdue 90+ Days</v>
      </c>
    </row>
    <row r="463" customFormat="false" ht="15" hidden="false" customHeight="false" outlineLevel="0" collapsed="false">
      <c r="A463" s="16" t="str">
        <f aca="false">AR_Aging!A463</f>
        <v>ARI60459</v>
      </c>
      <c r="B463" s="16" t="str">
        <f aca="false">AR_Aging!C463</f>
        <v>Brown, Valdez and Lucas</v>
      </c>
      <c r="C463" s="18" t="n">
        <f aca="false">AR_Aging!F463</f>
        <v>870.84</v>
      </c>
      <c r="D463" s="18" t="n">
        <f aca="false">AR_Aging!G463</f>
        <v>0</v>
      </c>
      <c r="E463" s="18" t="n">
        <f aca="false">AR_Aging!H463</f>
        <v>870.84</v>
      </c>
      <c r="F463" s="16" t="n">
        <f aca="false">AR_Aging!I463</f>
        <v>215</v>
      </c>
      <c r="G463" s="16" t="str">
        <f aca="false">AR_Aging!K463</f>
        <v>Unpaid</v>
      </c>
      <c r="H463" s="16" t="str">
        <f aca="false">IF(AND(G463="Unpaid",F463&gt;90),"HIGH - Fully Overdue 90+ Days",IF(G463="Partially Paid","MEDIUM - Short Paid","OK"))</f>
        <v>HIGH - Fully Overdue 90+ Days</v>
      </c>
    </row>
    <row r="464" customFormat="false" ht="15" hidden="false" customHeight="false" outlineLevel="0" collapsed="false">
      <c r="A464" s="16" t="str">
        <f aca="false">AR_Aging!A464</f>
        <v>ARI60460</v>
      </c>
      <c r="B464" s="16" t="str">
        <f aca="false">AR_Aging!C464</f>
        <v>Baxter Inc</v>
      </c>
      <c r="C464" s="18" t="n">
        <f aca="false">AR_Aging!F464</f>
        <v>3688.77</v>
      </c>
      <c r="D464" s="18" t="n">
        <f aca="false">AR_Aging!G464</f>
        <v>3688.77</v>
      </c>
      <c r="E464" s="18" t="n">
        <f aca="false">AR_Aging!H464</f>
        <v>0</v>
      </c>
      <c r="F464" s="16" t="n">
        <f aca="false">AR_Aging!I464</f>
        <v>0</v>
      </c>
      <c r="G464" s="16" t="str">
        <f aca="false">AR_Aging!K464</f>
        <v>Paid</v>
      </c>
      <c r="H464" s="16" t="str">
        <f aca="false">IF(AND(G464="Unpaid",F464&gt;90),"HIGH - Fully Overdue 90+ Days",IF(G464="Partially Paid","MEDIUM - Short Paid","OK"))</f>
        <v>OK</v>
      </c>
    </row>
    <row r="465" customFormat="false" ht="15" hidden="false" customHeight="false" outlineLevel="0" collapsed="false">
      <c r="A465" s="16" t="str">
        <f aca="false">AR_Aging!A465</f>
        <v>ARI60461</v>
      </c>
      <c r="B465" s="16" t="str">
        <f aca="false">AR_Aging!C465</f>
        <v>Jones Inc</v>
      </c>
      <c r="C465" s="18" t="n">
        <f aca="false">AR_Aging!F465</f>
        <v>16714.6</v>
      </c>
      <c r="D465" s="18" t="n">
        <f aca="false">AR_Aging!G465</f>
        <v>10558.67</v>
      </c>
      <c r="E465" s="18" t="n">
        <f aca="false">AR_Aging!H465</f>
        <v>6155.93</v>
      </c>
      <c r="F465" s="16" t="n">
        <f aca="false">AR_Aging!I465</f>
        <v>287</v>
      </c>
      <c r="G465" s="16" t="str">
        <f aca="false">AR_Aging!K465</f>
        <v>Partially Paid</v>
      </c>
      <c r="H465" s="16" t="str">
        <f aca="false">IF(AND(G465="Unpaid",F465&gt;90),"HIGH - Fully Overdue 90+ Days",IF(G465="Partially Paid","MEDIUM - Short Paid","OK"))</f>
        <v>MEDIUM - Short Paid</v>
      </c>
    </row>
    <row r="466" customFormat="false" ht="15" hidden="false" customHeight="false" outlineLevel="0" collapsed="false">
      <c r="A466" s="16" t="str">
        <f aca="false">AR_Aging!A466</f>
        <v>ARI60462</v>
      </c>
      <c r="B466" s="16" t="str">
        <f aca="false">AR_Aging!C466</f>
        <v>House-Glover</v>
      </c>
      <c r="C466" s="18" t="n">
        <f aca="false">AR_Aging!F466</f>
        <v>6079.39</v>
      </c>
      <c r="D466" s="18" t="n">
        <f aca="false">AR_Aging!G466</f>
        <v>4773.31</v>
      </c>
      <c r="E466" s="18" t="n">
        <f aca="false">AR_Aging!H466</f>
        <v>1306.08</v>
      </c>
      <c r="F466" s="16" t="n">
        <f aca="false">AR_Aging!I466</f>
        <v>100</v>
      </c>
      <c r="G466" s="16" t="str">
        <f aca="false">AR_Aging!K466</f>
        <v>Partially Paid</v>
      </c>
      <c r="H466" s="16" t="str">
        <f aca="false">IF(AND(G466="Unpaid",F466&gt;90),"HIGH - Fully Overdue 90+ Days",IF(G466="Partially Paid","MEDIUM - Short Paid","OK"))</f>
        <v>MEDIUM - Short Paid</v>
      </c>
    </row>
    <row r="467" customFormat="false" ht="15" hidden="false" customHeight="false" outlineLevel="0" collapsed="false">
      <c r="A467" s="16" t="str">
        <f aca="false">AR_Aging!A467</f>
        <v>ARI60463</v>
      </c>
      <c r="B467" s="16" t="str">
        <f aca="false">AR_Aging!C467</f>
        <v>Jones Inc</v>
      </c>
      <c r="C467" s="18" t="n">
        <f aca="false">AR_Aging!F467</f>
        <v>2297.56</v>
      </c>
      <c r="D467" s="18" t="n">
        <f aca="false">AR_Aging!G467</f>
        <v>2297.56</v>
      </c>
      <c r="E467" s="18" t="n">
        <f aca="false">AR_Aging!H467</f>
        <v>0</v>
      </c>
      <c r="F467" s="16" t="n">
        <f aca="false">AR_Aging!I467</f>
        <v>0</v>
      </c>
      <c r="G467" s="16" t="str">
        <f aca="false">AR_Aging!K467</f>
        <v>Paid</v>
      </c>
      <c r="H467" s="16" t="str">
        <f aca="false">IF(AND(G467="Unpaid",F467&gt;90),"HIGH - Fully Overdue 90+ Days",IF(G467="Partially Paid","MEDIUM - Short Paid","OK"))</f>
        <v>OK</v>
      </c>
    </row>
    <row r="468" customFormat="false" ht="15" hidden="false" customHeight="false" outlineLevel="0" collapsed="false">
      <c r="A468" s="16" t="str">
        <f aca="false">AR_Aging!A468</f>
        <v>ARI60464</v>
      </c>
      <c r="B468" s="16" t="str">
        <f aca="false">AR_Aging!C468</f>
        <v>Gray Group</v>
      </c>
      <c r="C468" s="18" t="n">
        <f aca="false">AR_Aging!F468</f>
        <v>4197.23</v>
      </c>
      <c r="D468" s="18" t="n">
        <f aca="false">AR_Aging!G468</f>
        <v>0</v>
      </c>
      <c r="E468" s="18" t="n">
        <f aca="false">AR_Aging!H468</f>
        <v>4197.23</v>
      </c>
      <c r="F468" s="16" t="n">
        <f aca="false">AR_Aging!I468</f>
        <v>7</v>
      </c>
      <c r="G468" s="16" t="str">
        <f aca="false">AR_Aging!K468</f>
        <v>Unpaid</v>
      </c>
      <c r="H468" s="16" t="str">
        <f aca="false">IF(AND(G468="Unpaid",F468&gt;90),"HIGH - Fully Overdue 90+ Days",IF(G468="Partially Paid","MEDIUM - Short Paid","OK"))</f>
        <v>OK</v>
      </c>
    </row>
    <row r="469" customFormat="false" ht="15" hidden="false" customHeight="false" outlineLevel="0" collapsed="false">
      <c r="A469" s="16" t="str">
        <f aca="false">AR_Aging!A469</f>
        <v>ARI60465</v>
      </c>
      <c r="B469" s="16" t="str">
        <f aca="false">AR_Aging!C469</f>
        <v>West, Henderson and Ramirez</v>
      </c>
      <c r="C469" s="18" t="n">
        <f aca="false">AR_Aging!F469</f>
        <v>17482.96</v>
      </c>
      <c r="D469" s="18" t="n">
        <f aca="false">AR_Aging!G469</f>
        <v>17482.96</v>
      </c>
      <c r="E469" s="18" t="n">
        <f aca="false">AR_Aging!H469</f>
        <v>0</v>
      </c>
      <c r="F469" s="16" t="n">
        <f aca="false">AR_Aging!I469</f>
        <v>0</v>
      </c>
      <c r="G469" s="16" t="str">
        <f aca="false">AR_Aging!K469</f>
        <v>Paid</v>
      </c>
      <c r="H469" s="16" t="str">
        <f aca="false">IF(AND(G469="Unpaid",F469&gt;90),"HIGH - Fully Overdue 90+ Days",IF(G469="Partially Paid","MEDIUM - Short Paid","OK"))</f>
        <v>OK</v>
      </c>
    </row>
    <row r="470" customFormat="false" ht="15" hidden="false" customHeight="false" outlineLevel="0" collapsed="false">
      <c r="A470" s="16" t="str">
        <f aca="false">AR_Aging!A470</f>
        <v>ARI60466</v>
      </c>
      <c r="B470" s="16" t="str">
        <f aca="false">AR_Aging!C470</f>
        <v>Russell Group</v>
      </c>
      <c r="C470" s="18" t="n">
        <f aca="false">AR_Aging!F470</f>
        <v>39817.42</v>
      </c>
      <c r="D470" s="18" t="n">
        <f aca="false">AR_Aging!G470</f>
        <v>39817.42</v>
      </c>
      <c r="E470" s="18" t="n">
        <f aca="false">AR_Aging!H470</f>
        <v>0</v>
      </c>
      <c r="F470" s="16" t="n">
        <f aca="false">AR_Aging!I470</f>
        <v>0</v>
      </c>
      <c r="G470" s="16" t="str">
        <f aca="false">AR_Aging!K470</f>
        <v>Paid</v>
      </c>
      <c r="H470" s="16" t="str">
        <f aca="false">IF(AND(G470="Unpaid",F470&gt;90),"HIGH - Fully Overdue 90+ Days",IF(G470="Partially Paid","MEDIUM - Short Paid","OK"))</f>
        <v>OK</v>
      </c>
    </row>
    <row r="471" customFormat="false" ht="15" hidden="false" customHeight="false" outlineLevel="0" collapsed="false">
      <c r="A471" s="16" t="str">
        <f aca="false">AR_Aging!A471</f>
        <v>ARI60467</v>
      </c>
      <c r="B471" s="16" t="str">
        <f aca="false">AR_Aging!C471</f>
        <v>Brown, Valdez and Lucas</v>
      </c>
      <c r="C471" s="18" t="n">
        <f aca="false">AR_Aging!F471</f>
        <v>7642.64</v>
      </c>
      <c r="D471" s="18" t="n">
        <f aca="false">AR_Aging!G471</f>
        <v>7642.64</v>
      </c>
      <c r="E471" s="18" t="n">
        <f aca="false">AR_Aging!H471</f>
        <v>0</v>
      </c>
      <c r="F471" s="16" t="n">
        <f aca="false">AR_Aging!I471</f>
        <v>0</v>
      </c>
      <c r="G471" s="16" t="str">
        <f aca="false">AR_Aging!K471</f>
        <v>Paid</v>
      </c>
      <c r="H471" s="16" t="str">
        <f aca="false">IF(AND(G471="Unpaid",F471&gt;90),"HIGH - Fully Overdue 90+ Days",IF(G471="Partially Paid","MEDIUM - Short Paid","OK"))</f>
        <v>OK</v>
      </c>
    </row>
    <row r="472" customFormat="false" ht="15" hidden="false" customHeight="false" outlineLevel="0" collapsed="false">
      <c r="A472" s="16" t="str">
        <f aca="false">AR_Aging!A472</f>
        <v>ARI60468</v>
      </c>
      <c r="B472" s="16" t="str">
        <f aca="false">AR_Aging!C472</f>
        <v>Hensley, Powell and David</v>
      </c>
      <c r="C472" s="18" t="n">
        <f aca="false">AR_Aging!F472</f>
        <v>2491.07</v>
      </c>
      <c r="D472" s="18" t="n">
        <f aca="false">AR_Aging!G472</f>
        <v>2491.07</v>
      </c>
      <c r="E472" s="18" t="n">
        <f aca="false">AR_Aging!H472</f>
        <v>0</v>
      </c>
      <c r="F472" s="16" t="n">
        <f aca="false">AR_Aging!I472</f>
        <v>0</v>
      </c>
      <c r="G472" s="16" t="str">
        <f aca="false">AR_Aging!K472</f>
        <v>Paid</v>
      </c>
      <c r="H472" s="16" t="str">
        <f aca="false">IF(AND(G472="Unpaid",F472&gt;90),"HIGH - Fully Overdue 90+ Days",IF(G472="Partially Paid","MEDIUM - Short Paid","OK"))</f>
        <v>OK</v>
      </c>
    </row>
    <row r="473" customFormat="false" ht="15" hidden="false" customHeight="false" outlineLevel="0" collapsed="false">
      <c r="A473" s="16" t="str">
        <f aca="false">AR_Aging!A473</f>
        <v>ARI60469</v>
      </c>
      <c r="B473" s="16" t="str">
        <f aca="false">AR_Aging!C473</f>
        <v>Yu Inc</v>
      </c>
      <c r="C473" s="18" t="n">
        <f aca="false">AR_Aging!F473</f>
        <v>3222.71</v>
      </c>
      <c r="D473" s="18" t="n">
        <f aca="false">AR_Aging!G473</f>
        <v>3222.71</v>
      </c>
      <c r="E473" s="18" t="n">
        <f aca="false">AR_Aging!H473</f>
        <v>0</v>
      </c>
      <c r="F473" s="16" t="n">
        <f aca="false">AR_Aging!I473</f>
        <v>0</v>
      </c>
      <c r="G473" s="16" t="str">
        <f aca="false">AR_Aging!K473</f>
        <v>Paid</v>
      </c>
      <c r="H473" s="16" t="str">
        <f aca="false">IF(AND(G473="Unpaid",F473&gt;90),"HIGH - Fully Overdue 90+ Days",IF(G473="Partially Paid","MEDIUM - Short Paid","OK"))</f>
        <v>OK</v>
      </c>
    </row>
    <row r="474" customFormat="false" ht="15" hidden="false" customHeight="false" outlineLevel="0" collapsed="false">
      <c r="A474" s="16" t="str">
        <f aca="false">AR_Aging!A474</f>
        <v>ARI60470</v>
      </c>
      <c r="B474" s="16" t="str">
        <f aca="false">AR_Aging!C474</f>
        <v>Wright and Sons</v>
      </c>
      <c r="C474" s="18" t="n">
        <f aca="false">AR_Aging!F474</f>
        <v>1588.52</v>
      </c>
      <c r="D474" s="18" t="n">
        <f aca="false">AR_Aging!G474</f>
        <v>1588.52</v>
      </c>
      <c r="E474" s="18" t="n">
        <f aca="false">AR_Aging!H474</f>
        <v>0</v>
      </c>
      <c r="F474" s="16" t="n">
        <f aca="false">AR_Aging!I474</f>
        <v>0</v>
      </c>
      <c r="G474" s="16" t="str">
        <f aca="false">AR_Aging!K474</f>
        <v>Paid</v>
      </c>
      <c r="H474" s="16" t="str">
        <f aca="false">IF(AND(G474="Unpaid",F474&gt;90),"HIGH - Fully Overdue 90+ Days",IF(G474="Partially Paid","MEDIUM - Short Paid","OK"))</f>
        <v>OK</v>
      </c>
    </row>
    <row r="475" customFormat="false" ht="15" hidden="false" customHeight="false" outlineLevel="0" collapsed="false">
      <c r="A475" s="16" t="str">
        <f aca="false">AR_Aging!A475</f>
        <v>ARI60471</v>
      </c>
      <c r="B475" s="16" t="str">
        <f aca="false">AR_Aging!C475</f>
        <v>Woods, Calhoun and Schmidt</v>
      </c>
      <c r="C475" s="18" t="n">
        <f aca="false">AR_Aging!F475</f>
        <v>643.3</v>
      </c>
      <c r="D475" s="18" t="n">
        <f aca="false">AR_Aging!G475</f>
        <v>643.3</v>
      </c>
      <c r="E475" s="18" t="n">
        <f aca="false">AR_Aging!H475</f>
        <v>0</v>
      </c>
      <c r="F475" s="16" t="n">
        <f aca="false">AR_Aging!I475</f>
        <v>0</v>
      </c>
      <c r="G475" s="16" t="str">
        <f aca="false">AR_Aging!K475</f>
        <v>Paid</v>
      </c>
      <c r="H475" s="16" t="str">
        <f aca="false">IF(AND(G475="Unpaid",F475&gt;90),"HIGH - Fully Overdue 90+ Days",IF(G475="Partially Paid","MEDIUM - Short Paid","OK"))</f>
        <v>OK</v>
      </c>
    </row>
    <row r="476" customFormat="false" ht="15" hidden="false" customHeight="false" outlineLevel="0" collapsed="false">
      <c r="A476" s="16" t="str">
        <f aca="false">AR_Aging!A476</f>
        <v>ARI60472</v>
      </c>
      <c r="B476" s="16" t="str">
        <f aca="false">AR_Aging!C476</f>
        <v>Novak PLC</v>
      </c>
      <c r="C476" s="18" t="n">
        <f aca="false">AR_Aging!F476</f>
        <v>3234.7</v>
      </c>
      <c r="D476" s="18" t="n">
        <f aca="false">AR_Aging!G476</f>
        <v>978.41</v>
      </c>
      <c r="E476" s="18" t="n">
        <f aca="false">AR_Aging!H476</f>
        <v>2256.29</v>
      </c>
      <c r="F476" s="16" t="n">
        <f aca="false">AR_Aging!I476</f>
        <v>105</v>
      </c>
      <c r="G476" s="16" t="str">
        <f aca="false">AR_Aging!K476</f>
        <v>Partially Paid</v>
      </c>
      <c r="H476" s="16" t="str">
        <f aca="false">IF(AND(G476="Unpaid",F476&gt;90),"HIGH - Fully Overdue 90+ Days",IF(G476="Partially Paid","MEDIUM - Short Paid","OK"))</f>
        <v>MEDIUM - Short Paid</v>
      </c>
    </row>
    <row r="477" customFormat="false" ht="15" hidden="false" customHeight="false" outlineLevel="0" collapsed="false">
      <c r="A477" s="16" t="str">
        <f aca="false">AR_Aging!A477</f>
        <v>ARI60473</v>
      </c>
      <c r="B477" s="16" t="str">
        <f aca="false">AR_Aging!C477</f>
        <v>West, Henderson and Ramirez</v>
      </c>
      <c r="C477" s="18" t="n">
        <f aca="false">AR_Aging!F477</f>
        <v>406.73</v>
      </c>
      <c r="D477" s="18" t="n">
        <f aca="false">AR_Aging!G477</f>
        <v>406.73</v>
      </c>
      <c r="E477" s="18" t="n">
        <f aca="false">AR_Aging!H477</f>
        <v>0</v>
      </c>
      <c r="F477" s="16" t="n">
        <f aca="false">AR_Aging!I477</f>
        <v>0</v>
      </c>
      <c r="G477" s="16" t="str">
        <f aca="false">AR_Aging!K477</f>
        <v>Paid</v>
      </c>
      <c r="H477" s="16" t="str">
        <f aca="false">IF(AND(G477="Unpaid",F477&gt;90),"HIGH - Fully Overdue 90+ Days",IF(G477="Partially Paid","MEDIUM - Short Paid","OK"))</f>
        <v>OK</v>
      </c>
    </row>
    <row r="478" customFormat="false" ht="15" hidden="false" customHeight="false" outlineLevel="0" collapsed="false">
      <c r="A478" s="16" t="str">
        <f aca="false">AR_Aging!A478</f>
        <v>ARI60474</v>
      </c>
      <c r="B478" s="16" t="str">
        <f aca="false">AR_Aging!C478</f>
        <v>Henderson-Bernard</v>
      </c>
      <c r="C478" s="18" t="n">
        <f aca="false">AR_Aging!F478</f>
        <v>938.41</v>
      </c>
      <c r="D478" s="18" t="n">
        <f aca="false">AR_Aging!G478</f>
        <v>938.41</v>
      </c>
      <c r="E478" s="18" t="n">
        <f aca="false">AR_Aging!H478</f>
        <v>0</v>
      </c>
      <c r="F478" s="16" t="n">
        <f aca="false">AR_Aging!I478</f>
        <v>0</v>
      </c>
      <c r="G478" s="16" t="str">
        <f aca="false">AR_Aging!K478</f>
        <v>Paid</v>
      </c>
      <c r="H478" s="16" t="str">
        <f aca="false">IF(AND(G478="Unpaid",F478&gt;90),"HIGH - Fully Overdue 90+ Days",IF(G478="Partially Paid","MEDIUM - Short Paid","OK"))</f>
        <v>OK</v>
      </c>
    </row>
    <row r="479" customFormat="false" ht="15" hidden="false" customHeight="false" outlineLevel="0" collapsed="false">
      <c r="A479" s="16" t="str">
        <f aca="false">AR_Aging!A479</f>
        <v>ARI60475</v>
      </c>
      <c r="B479" s="16" t="str">
        <f aca="false">AR_Aging!C479</f>
        <v>Lee-Davis</v>
      </c>
      <c r="C479" s="18" t="n">
        <f aca="false">AR_Aging!F479</f>
        <v>1285.74</v>
      </c>
      <c r="D479" s="18" t="n">
        <f aca="false">AR_Aging!G479</f>
        <v>1285.74</v>
      </c>
      <c r="E479" s="18" t="n">
        <f aca="false">AR_Aging!H479</f>
        <v>0</v>
      </c>
      <c r="F479" s="16" t="n">
        <f aca="false">AR_Aging!I479</f>
        <v>0</v>
      </c>
      <c r="G479" s="16" t="str">
        <f aca="false">AR_Aging!K479</f>
        <v>Paid</v>
      </c>
      <c r="H479" s="16" t="str">
        <f aca="false">IF(AND(G479="Unpaid",F479&gt;90),"HIGH - Fully Overdue 90+ Days",IF(G479="Partially Paid","MEDIUM - Short Paid","OK"))</f>
        <v>OK</v>
      </c>
    </row>
    <row r="480" customFormat="false" ht="15" hidden="false" customHeight="false" outlineLevel="0" collapsed="false">
      <c r="A480" s="16" t="str">
        <f aca="false">AR_Aging!A480</f>
        <v>ARI60476</v>
      </c>
      <c r="B480" s="16" t="str">
        <f aca="false">AR_Aging!C480</f>
        <v>Lee-Davis</v>
      </c>
      <c r="C480" s="18" t="n">
        <f aca="false">AR_Aging!F480</f>
        <v>2673.13</v>
      </c>
      <c r="D480" s="18" t="n">
        <f aca="false">AR_Aging!G480</f>
        <v>0</v>
      </c>
      <c r="E480" s="18" t="n">
        <f aca="false">AR_Aging!H480</f>
        <v>2673.13</v>
      </c>
      <c r="F480" s="16" t="n">
        <f aca="false">AR_Aging!I480</f>
        <v>492</v>
      </c>
      <c r="G480" s="16" t="str">
        <f aca="false">AR_Aging!K480</f>
        <v>Unpaid</v>
      </c>
      <c r="H480" s="16" t="str">
        <f aca="false">IF(AND(G480="Unpaid",F480&gt;90),"HIGH - Fully Overdue 90+ Days",IF(G480="Partially Paid","MEDIUM - Short Paid","OK"))</f>
        <v>HIGH - Fully Overdue 90+ Days</v>
      </c>
    </row>
    <row r="481" customFormat="false" ht="15" hidden="false" customHeight="false" outlineLevel="0" collapsed="false">
      <c r="A481" s="16" t="str">
        <f aca="false">AR_Aging!A481</f>
        <v>ARI60477</v>
      </c>
      <c r="B481" s="16" t="str">
        <f aca="false">AR_Aging!C481</f>
        <v>Stanley, Tucker and Lee</v>
      </c>
      <c r="C481" s="18" t="n">
        <f aca="false">AR_Aging!F481</f>
        <v>9465.69</v>
      </c>
      <c r="D481" s="18" t="n">
        <f aca="false">AR_Aging!G481</f>
        <v>9465.69</v>
      </c>
      <c r="E481" s="18" t="n">
        <f aca="false">AR_Aging!H481</f>
        <v>0</v>
      </c>
      <c r="F481" s="16" t="n">
        <f aca="false">AR_Aging!I481</f>
        <v>0</v>
      </c>
      <c r="G481" s="16" t="str">
        <f aca="false">AR_Aging!K481</f>
        <v>Paid</v>
      </c>
      <c r="H481" s="16" t="str">
        <f aca="false">IF(AND(G481="Unpaid",F481&gt;90),"HIGH - Fully Overdue 90+ Days",IF(G481="Partially Paid","MEDIUM - Short Paid","OK"))</f>
        <v>OK</v>
      </c>
    </row>
    <row r="482" customFormat="false" ht="15" hidden="false" customHeight="false" outlineLevel="0" collapsed="false">
      <c r="A482" s="16" t="str">
        <f aca="false">AR_Aging!A482</f>
        <v>ARI60478</v>
      </c>
      <c r="B482" s="16" t="str">
        <f aca="false">AR_Aging!C482</f>
        <v>Powell LLC</v>
      </c>
      <c r="C482" s="18" t="n">
        <f aca="false">AR_Aging!F482</f>
        <v>2712.89</v>
      </c>
      <c r="D482" s="18" t="n">
        <f aca="false">AR_Aging!G482</f>
        <v>1339.59</v>
      </c>
      <c r="E482" s="18" t="n">
        <f aca="false">AR_Aging!H482</f>
        <v>1373.3</v>
      </c>
      <c r="F482" s="16" t="n">
        <f aca="false">AR_Aging!I482</f>
        <v>365</v>
      </c>
      <c r="G482" s="16" t="str">
        <f aca="false">AR_Aging!K482</f>
        <v>Partially Paid</v>
      </c>
      <c r="H482" s="16" t="str">
        <f aca="false">IF(AND(G482="Unpaid",F482&gt;90),"HIGH - Fully Overdue 90+ Days",IF(G482="Partially Paid","MEDIUM - Short Paid","OK"))</f>
        <v>MEDIUM - Short Paid</v>
      </c>
    </row>
    <row r="483" customFormat="false" ht="15" hidden="false" customHeight="false" outlineLevel="0" collapsed="false">
      <c r="A483" s="16" t="str">
        <f aca="false">AR_Aging!A483</f>
        <v>ARI60479</v>
      </c>
      <c r="B483" s="16" t="str">
        <f aca="false">AR_Aging!C483</f>
        <v>Baxter Inc</v>
      </c>
      <c r="C483" s="18" t="n">
        <f aca="false">AR_Aging!F483</f>
        <v>2354.48</v>
      </c>
      <c r="D483" s="18" t="n">
        <f aca="false">AR_Aging!G483</f>
        <v>2354.48</v>
      </c>
      <c r="E483" s="18" t="n">
        <f aca="false">AR_Aging!H483</f>
        <v>0</v>
      </c>
      <c r="F483" s="16" t="n">
        <f aca="false">AR_Aging!I483</f>
        <v>0</v>
      </c>
      <c r="G483" s="16" t="str">
        <f aca="false">AR_Aging!K483</f>
        <v>Paid</v>
      </c>
      <c r="H483" s="16" t="str">
        <f aca="false">IF(AND(G483="Unpaid",F483&gt;90),"HIGH - Fully Overdue 90+ Days",IF(G483="Partially Paid","MEDIUM - Short Paid","OK"))</f>
        <v>OK</v>
      </c>
    </row>
    <row r="484" customFormat="false" ht="15" hidden="false" customHeight="false" outlineLevel="0" collapsed="false">
      <c r="A484" s="16" t="str">
        <f aca="false">AR_Aging!A484</f>
        <v>ARI60480</v>
      </c>
      <c r="B484" s="16" t="str">
        <f aca="false">AR_Aging!C484</f>
        <v>Hensley, Powell and David</v>
      </c>
      <c r="C484" s="18" t="n">
        <f aca="false">AR_Aging!F484</f>
        <v>2268.9</v>
      </c>
      <c r="D484" s="18" t="n">
        <f aca="false">AR_Aging!G484</f>
        <v>2268.9</v>
      </c>
      <c r="E484" s="18" t="n">
        <f aca="false">AR_Aging!H484</f>
        <v>0</v>
      </c>
      <c r="F484" s="16" t="n">
        <f aca="false">AR_Aging!I484</f>
        <v>0</v>
      </c>
      <c r="G484" s="16" t="str">
        <f aca="false">AR_Aging!K484</f>
        <v>Paid</v>
      </c>
      <c r="H484" s="16" t="str">
        <f aca="false">IF(AND(G484="Unpaid",F484&gt;90),"HIGH - Fully Overdue 90+ Days",IF(G484="Partially Paid","MEDIUM - Short Paid","OK"))</f>
        <v>OK</v>
      </c>
    </row>
    <row r="485" customFormat="false" ht="15" hidden="false" customHeight="false" outlineLevel="0" collapsed="false">
      <c r="A485" s="16" t="str">
        <f aca="false">AR_Aging!A485</f>
        <v>ARI60481</v>
      </c>
      <c r="B485" s="16" t="str">
        <f aca="false">AR_Aging!C485</f>
        <v>Daniels, Adkins and Brown</v>
      </c>
      <c r="C485" s="18" t="n">
        <f aca="false">AR_Aging!F485</f>
        <v>2491.22</v>
      </c>
      <c r="D485" s="18" t="n">
        <f aca="false">AR_Aging!G485</f>
        <v>0</v>
      </c>
      <c r="E485" s="18" t="n">
        <f aca="false">AR_Aging!H485</f>
        <v>2491.22</v>
      </c>
      <c r="F485" s="16" t="n">
        <f aca="false">AR_Aging!I485</f>
        <v>231</v>
      </c>
      <c r="G485" s="16" t="str">
        <f aca="false">AR_Aging!K485</f>
        <v>Unpaid</v>
      </c>
      <c r="H485" s="16" t="str">
        <f aca="false">IF(AND(G485="Unpaid",F485&gt;90),"HIGH - Fully Overdue 90+ Days",IF(G485="Partially Paid","MEDIUM - Short Paid","OK"))</f>
        <v>HIGH - Fully Overdue 90+ Days</v>
      </c>
    </row>
    <row r="486" customFormat="false" ht="15" hidden="false" customHeight="false" outlineLevel="0" collapsed="false">
      <c r="A486" s="16" t="str">
        <f aca="false">AR_Aging!A486</f>
        <v>ARI60482</v>
      </c>
      <c r="B486" s="16" t="str">
        <f aca="false">AR_Aging!C486</f>
        <v>West, Henderson and Ramirez</v>
      </c>
      <c r="C486" s="18" t="n">
        <f aca="false">AR_Aging!F486</f>
        <v>2499.85</v>
      </c>
      <c r="D486" s="18" t="n">
        <f aca="false">AR_Aging!G486</f>
        <v>1496.08</v>
      </c>
      <c r="E486" s="18" t="n">
        <f aca="false">AR_Aging!H486</f>
        <v>1003.77</v>
      </c>
      <c r="F486" s="16" t="n">
        <f aca="false">AR_Aging!I486</f>
        <v>236</v>
      </c>
      <c r="G486" s="16" t="str">
        <f aca="false">AR_Aging!K486</f>
        <v>Partially Paid</v>
      </c>
      <c r="H486" s="16" t="str">
        <f aca="false">IF(AND(G486="Unpaid",F486&gt;90),"HIGH - Fully Overdue 90+ Days",IF(G486="Partially Paid","MEDIUM - Short Paid","OK"))</f>
        <v>MEDIUM - Short Paid</v>
      </c>
    </row>
    <row r="487" customFormat="false" ht="15" hidden="false" customHeight="false" outlineLevel="0" collapsed="false">
      <c r="A487" s="16" t="str">
        <f aca="false">AR_Aging!A487</f>
        <v>ARI60483</v>
      </c>
      <c r="B487" s="16" t="str">
        <f aca="false">AR_Aging!C487</f>
        <v>Brown, Valdez and Lucas</v>
      </c>
      <c r="C487" s="18" t="n">
        <f aca="false">AR_Aging!F487</f>
        <v>1468.71</v>
      </c>
      <c r="D487" s="18" t="n">
        <f aca="false">AR_Aging!G487</f>
        <v>1468.71</v>
      </c>
      <c r="E487" s="18" t="n">
        <f aca="false">AR_Aging!H487</f>
        <v>0</v>
      </c>
      <c r="F487" s="16" t="n">
        <f aca="false">AR_Aging!I487</f>
        <v>0</v>
      </c>
      <c r="G487" s="16" t="str">
        <f aca="false">AR_Aging!K487</f>
        <v>Paid</v>
      </c>
      <c r="H487" s="16" t="str">
        <f aca="false">IF(AND(G487="Unpaid",F487&gt;90),"HIGH - Fully Overdue 90+ Days",IF(G487="Partially Paid","MEDIUM - Short Paid","OK"))</f>
        <v>OK</v>
      </c>
    </row>
    <row r="488" customFormat="false" ht="15" hidden="false" customHeight="false" outlineLevel="0" collapsed="false">
      <c r="A488" s="16" t="str">
        <f aca="false">AR_Aging!A488</f>
        <v>ARI60484</v>
      </c>
      <c r="B488" s="16" t="str">
        <f aca="false">AR_Aging!C488</f>
        <v>Washington, Ryan and Cummings</v>
      </c>
      <c r="C488" s="18" t="n">
        <f aca="false">AR_Aging!F488</f>
        <v>1829.72</v>
      </c>
      <c r="D488" s="18" t="n">
        <f aca="false">AR_Aging!G488</f>
        <v>1829.72</v>
      </c>
      <c r="E488" s="18" t="n">
        <f aca="false">AR_Aging!H488</f>
        <v>0</v>
      </c>
      <c r="F488" s="16" t="n">
        <f aca="false">AR_Aging!I488</f>
        <v>0</v>
      </c>
      <c r="G488" s="16" t="str">
        <f aca="false">AR_Aging!K488</f>
        <v>Paid</v>
      </c>
      <c r="H488" s="16" t="str">
        <f aca="false">IF(AND(G488="Unpaid",F488&gt;90),"HIGH - Fully Overdue 90+ Days",IF(G488="Partially Paid","MEDIUM - Short Paid","OK"))</f>
        <v>OK</v>
      </c>
    </row>
    <row r="489" customFormat="false" ht="15" hidden="false" customHeight="false" outlineLevel="0" collapsed="false">
      <c r="A489" s="16" t="str">
        <f aca="false">AR_Aging!A489</f>
        <v>ARI60485</v>
      </c>
      <c r="B489" s="16" t="str">
        <f aca="false">AR_Aging!C489</f>
        <v>Jones Inc</v>
      </c>
      <c r="C489" s="18" t="n">
        <f aca="false">AR_Aging!F489</f>
        <v>3756.07</v>
      </c>
      <c r="D489" s="18" t="n">
        <f aca="false">AR_Aging!G489</f>
        <v>3756.07</v>
      </c>
      <c r="E489" s="18" t="n">
        <f aca="false">AR_Aging!H489</f>
        <v>0</v>
      </c>
      <c r="F489" s="16" t="n">
        <f aca="false">AR_Aging!I489</f>
        <v>0</v>
      </c>
      <c r="G489" s="16" t="str">
        <f aca="false">AR_Aging!K489</f>
        <v>Paid</v>
      </c>
      <c r="H489" s="16" t="str">
        <f aca="false">IF(AND(G489="Unpaid",F489&gt;90),"HIGH - Fully Overdue 90+ Days",IF(G489="Partially Paid","MEDIUM - Short Paid","OK"))</f>
        <v>OK</v>
      </c>
    </row>
    <row r="490" customFormat="false" ht="15" hidden="false" customHeight="false" outlineLevel="0" collapsed="false">
      <c r="A490" s="16" t="str">
        <f aca="false">AR_Aging!A490</f>
        <v>ARI60486</v>
      </c>
      <c r="B490" s="16" t="str">
        <f aca="false">AR_Aging!C490</f>
        <v>Wright Inc</v>
      </c>
      <c r="C490" s="18" t="n">
        <f aca="false">AR_Aging!F490</f>
        <v>5345.18</v>
      </c>
      <c r="D490" s="18" t="n">
        <f aca="false">AR_Aging!G490</f>
        <v>0</v>
      </c>
      <c r="E490" s="18" t="n">
        <f aca="false">AR_Aging!H490</f>
        <v>5345.18</v>
      </c>
      <c r="F490" s="16" t="n">
        <f aca="false">AR_Aging!I490</f>
        <v>0</v>
      </c>
      <c r="G490" s="16" t="str">
        <f aca="false">AR_Aging!K490</f>
        <v>Unpaid</v>
      </c>
      <c r="H490" s="16" t="str">
        <f aca="false">IF(AND(G490="Unpaid",F490&gt;90),"HIGH - Fully Overdue 90+ Days",IF(G490="Partially Paid","MEDIUM - Short Paid","OK"))</f>
        <v>OK</v>
      </c>
    </row>
    <row r="491" customFormat="false" ht="15" hidden="false" customHeight="false" outlineLevel="0" collapsed="false">
      <c r="A491" s="16" t="str">
        <f aca="false">AR_Aging!A491</f>
        <v>ARI60487</v>
      </c>
      <c r="B491" s="16" t="str">
        <f aca="false">AR_Aging!C491</f>
        <v>Jones Inc</v>
      </c>
      <c r="C491" s="18" t="n">
        <f aca="false">AR_Aging!F491</f>
        <v>11259.88</v>
      </c>
      <c r="D491" s="18" t="n">
        <f aca="false">AR_Aging!G491</f>
        <v>11259.88</v>
      </c>
      <c r="E491" s="18" t="n">
        <f aca="false">AR_Aging!H491</f>
        <v>0</v>
      </c>
      <c r="F491" s="16" t="n">
        <f aca="false">AR_Aging!I491</f>
        <v>0</v>
      </c>
      <c r="G491" s="16" t="str">
        <f aca="false">AR_Aging!K491</f>
        <v>Paid</v>
      </c>
      <c r="H491" s="16" t="str">
        <f aca="false">IF(AND(G491="Unpaid",F491&gt;90),"HIGH - Fully Overdue 90+ Days",IF(G491="Partially Paid","MEDIUM - Short Paid","OK"))</f>
        <v>OK</v>
      </c>
    </row>
    <row r="492" customFormat="false" ht="15" hidden="false" customHeight="false" outlineLevel="0" collapsed="false">
      <c r="A492" s="16" t="str">
        <f aca="false">AR_Aging!A492</f>
        <v>ARI60488</v>
      </c>
      <c r="B492" s="16" t="str">
        <f aca="false">AR_Aging!C492</f>
        <v>Jones-Young</v>
      </c>
      <c r="C492" s="18" t="n">
        <f aca="false">AR_Aging!F492</f>
        <v>2193.92</v>
      </c>
      <c r="D492" s="18" t="n">
        <f aca="false">AR_Aging!G492</f>
        <v>2193.92</v>
      </c>
      <c r="E492" s="18" t="n">
        <f aca="false">AR_Aging!H492</f>
        <v>0</v>
      </c>
      <c r="F492" s="16" t="n">
        <f aca="false">AR_Aging!I492</f>
        <v>0</v>
      </c>
      <c r="G492" s="16" t="str">
        <f aca="false">AR_Aging!K492</f>
        <v>Paid</v>
      </c>
      <c r="H492" s="16" t="str">
        <f aca="false">IF(AND(G492="Unpaid",F492&gt;90),"HIGH - Fully Overdue 90+ Days",IF(G492="Partially Paid","MEDIUM - Short Paid","OK"))</f>
        <v>OK</v>
      </c>
    </row>
    <row r="493" customFormat="false" ht="15" hidden="false" customHeight="false" outlineLevel="0" collapsed="false">
      <c r="A493" s="16" t="str">
        <f aca="false">AR_Aging!A493</f>
        <v>ARI60489</v>
      </c>
      <c r="B493" s="16" t="str">
        <f aca="false">AR_Aging!C493</f>
        <v>Baxter Inc</v>
      </c>
      <c r="C493" s="18" t="n">
        <f aca="false">AR_Aging!F493</f>
        <v>6920.26</v>
      </c>
      <c r="D493" s="18" t="n">
        <f aca="false">AR_Aging!G493</f>
        <v>6920.26</v>
      </c>
      <c r="E493" s="18" t="n">
        <f aca="false">AR_Aging!H493</f>
        <v>0</v>
      </c>
      <c r="F493" s="16" t="n">
        <f aca="false">AR_Aging!I493</f>
        <v>0</v>
      </c>
      <c r="G493" s="16" t="str">
        <f aca="false">AR_Aging!K493</f>
        <v>Paid</v>
      </c>
      <c r="H493" s="16" t="str">
        <f aca="false">IF(AND(G493="Unpaid",F493&gt;90),"HIGH - Fully Overdue 90+ Days",IF(G493="Partially Paid","MEDIUM - Short Paid","OK"))</f>
        <v>OK</v>
      </c>
    </row>
    <row r="494" customFormat="false" ht="15" hidden="false" customHeight="false" outlineLevel="0" collapsed="false">
      <c r="A494" s="16" t="str">
        <f aca="false">AR_Aging!A494</f>
        <v>ARI60490</v>
      </c>
      <c r="B494" s="16" t="str">
        <f aca="false">AR_Aging!C494</f>
        <v>Gomez-Jenkins</v>
      </c>
      <c r="C494" s="18" t="n">
        <f aca="false">AR_Aging!F494</f>
        <v>3268.34</v>
      </c>
      <c r="D494" s="18" t="n">
        <f aca="false">AR_Aging!G494</f>
        <v>0</v>
      </c>
      <c r="E494" s="18" t="n">
        <f aca="false">AR_Aging!H494</f>
        <v>3268.34</v>
      </c>
      <c r="F494" s="16" t="n">
        <f aca="false">AR_Aging!I494</f>
        <v>80</v>
      </c>
      <c r="G494" s="16" t="str">
        <f aca="false">AR_Aging!K494</f>
        <v>Unpaid</v>
      </c>
      <c r="H494" s="16" t="str">
        <f aca="false">IF(AND(G494="Unpaid",F494&gt;90),"HIGH - Fully Overdue 90+ Days",IF(G494="Partially Paid","MEDIUM - Short Paid","OK"))</f>
        <v>OK</v>
      </c>
    </row>
    <row r="495" customFormat="false" ht="15" hidden="false" customHeight="false" outlineLevel="0" collapsed="false">
      <c r="A495" s="16" t="str">
        <f aca="false">AR_Aging!A495</f>
        <v>ARI60491</v>
      </c>
      <c r="B495" s="16" t="str">
        <f aca="false">AR_Aging!C495</f>
        <v>Hancock Inc</v>
      </c>
      <c r="C495" s="18" t="n">
        <f aca="false">AR_Aging!F495</f>
        <v>1088.77</v>
      </c>
      <c r="D495" s="18" t="n">
        <f aca="false">AR_Aging!G495</f>
        <v>1088.77</v>
      </c>
      <c r="E495" s="18" t="n">
        <f aca="false">AR_Aging!H495</f>
        <v>0</v>
      </c>
      <c r="F495" s="16" t="n">
        <f aca="false">AR_Aging!I495</f>
        <v>0</v>
      </c>
      <c r="G495" s="16" t="str">
        <f aca="false">AR_Aging!K495</f>
        <v>Paid</v>
      </c>
      <c r="H495" s="16" t="str">
        <f aca="false">IF(AND(G495="Unpaid",F495&gt;90),"HIGH - Fully Overdue 90+ Days",IF(G495="Partially Paid","MEDIUM - Short Paid","OK"))</f>
        <v>OK</v>
      </c>
    </row>
    <row r="496" customFormat="false" ht="15" hidden="false" customHeight="false" outlineLevel="0" collapsed="false">
      <c r="A496" s="16" t="str">
        <f aca="false">AR_Aging!A496</f>
        <v>ARI60492</v>
      </c>
      <c r="B496" s="16" t="str">
        <f aca="false">AR_Aging!C496</f>
        <v>Gray Group</v>
      </c>
      <c r="C496" s="18" t="n">
        <f aca="false">AR_Aging!F496</f>
        <v>3388.92</v>
      </c>
      <c r="D496" s="18" t="n">
        <f aca="false">AR_Aging!G496</f>
        <v>3388.92</v>
      </c>
      <c r="E496" s="18" t="n">
        <f aca="false">AR_Aging!H496</f>
        <v>0</v>
      </c>
      <c r="F496" s="16" t="n">
        <f aca="false">AR_Aging!I496</f>
        <v>0</v>
      </c>
      <c r="G496" s="16" t="str">
        <f aca="false">AR_Aging!K496</f>
        <v>Paid</v>
      </c>
      <c r="H496" s="16" t="str">
        <f aca="false">IF(AND(G496="Unpaid",F496&gt;90),"HIGH - Fully Overdue 90+ Days",IF(G496="Partially Paid","MEDIUM - Short Paid","OK"))</f>
        <v>OK</v>
      </c>
    </row>
    <row r="497" customFormat="false" ht="15" hidden="false" customHeight="false" outlineLevel="0" collapsed="false">
      <c r="A497" s="16" t="str">
        <f aca="false">AR_Aging!A497</f>
        <v>ARI60493</v>
      </c>
      <c r="B497" s="16" t="str">
        <f aca="false">AR_Aging!C497</f>
        <v>Novak and Sons</v>
      </c>
      <c r="C497" s="18" t="n">
        <f aca="false">AR_Aging!F497</f>
        <v>1296.95</v>
      </c>
      <c r="D497" s="18" t="n">
        <f aca="false">AR_Aging!G497</f>
        <v>1296.95</v>
      </c>
      <c r="E497" s="18" t="n">
        <f aca="false">AR_Aging!H497</f>
        <v>0</v>
      </c>
      <c r="F497" s="16" t="n">
        <f aca="false">AR_Aging!I497</f>
        <v>0</v>
      </c>
      <c r="G497" s="16" t="str">
        <f aca="false">AR_Aging!K497</f>
        <v>Paid</v>
      </c>
      <c r="H497" s="16" t="str">
        <f aca="false">IF(AND(G497="Unpaid",F497&gt;90),"HIGH - Fully Overdue 90+ Days",IF(G497="Partially Paid","MEDIUM - Short Paid","OK"))</f>
        <v>OK</v>
      </c>
    </row>
    <row r="498" customFormat="false" ht="15" hidden="false" customHeight="false" outlineLevel="0" collapsed="false">
      <c r="A498" s="16" t="str">
        <f aca="false">AR_Aging!A498</f>
        <v>ARI60494</v>
      </c>
      <c r="B498" s="16" t="str">
        <f aca="false">AR_Aging!C498</f>
        <v>Baxter Inc</v>
      </c>
      <c r="C498" s="18" t="n">
        <f aca="false">AR_Aging!F498</f>
        <v>973.23</v>
      </c>
      <c r="D498" s="18" t="n">
        <f aca="false">AR_Aging!G498</f>
        <v>973.23</v>
      </c>
      <c r="E498" s="18" t="n">
        <f aca="false">AR_Aging!H498</f>
        <v>0</v>
      </c>
      <c r="F498" s="16" t="n">
        <f aca="false">AR_Aging!I498</f>
        <v>0</v>
      </c>
      <c r="G498" s="16" t="str">
        <f aca="false">AR_Aging!K498</f>
        <v>Paid</v>
      </c>
      <c r="H498" s="16" t="str">
        <f aca="false">IF(AND(G498="Unpaid",F498&gt;90),"HIGH - Fully Overdue 90+ Days",IF(G498="Partially Paid","MEDIUM - Short Paid","OK"))</f>
        <v>OK</v>
      </c>
    </row>
    <row r="499" customFormat="false" ht="15" hidden="false" customHeight="false" outlineLevel="0" collapsed="false">
      <c r="A499" s="16" t="str">
        <f aca="false">AR_Aging!A499</f>
        <v>ARI60495</v>
      </c>
      <c r="B499" s="16" t="str">
        <f aca="false">AR_Aging!C499</f>
        <v>Henderson-Bernard</v>
      </c>
      <c r="C499" s="18" t="n">
        <f aca="false">AR_Aging!F499</f>
        <v>3529.93</v>
      </c>
      <c r="D499" s="18" t="n">
        <f aca="false">AR_Aging!G499</f>
        <v>3529.93</v>
      </c>
      <c r="E499" s="18" t="n">
        <f aca="false">AR_Aging!H499</f>
        <v>0</v>
      </c>
      <c r="F499" s="16" t="n">
        <f aca="false">AR_Aging!I499</f>
        <v>0</v>
      </c>
      <c r="G499" s="16" t="str">
        <f aca="false">AR_Aging!K499</f>
        <v>Paid</v>
      </c>
      <c r="H499" s="16" t="str">
        <f aca="false">IF(AND(G499="Unpaid",F499&gt;90),"HIGH - Fully Overdue 90+ Days",IF(G499="Partially Paid","MEDIUM - Short Paid","OK"))</f>
        <v>OK</v>
      </c>
    </row>
    <row r="500" customFormat="false" ht="15" hidden="false" customHeight="false" outlineLevel="0" collapsed="false">
      <c r="A500" s="16" t="str">
        <f aca="false">AR_Aging!A500</f>
        <v>ARI60496</v>
      </c>
      <c r="B500" s="16" t="str">
        <f aca="false">AR_Aging!C500</f>
        <v>Baxter Inc</v>
      </c>
      <c r="C500" s="18" t="n">
        <f aca="false">AR_Aging!F500</f>
        <v>6608.86</v>
      </c>
      <c r="D500" s="18" t="n">
        <f aca="false">AR_Aging!G500</f>
        <v>6608.86</v>
      </c>
      <c r="E500" s="18" t="n">
        <f aca="false">AR_Aging!H500</f>
        <v>0</v>
      </c>
      <c r="F500" s="16" t="n">
        <f aca="false">AR_Aging!I500</f>
        <v>0</v>
      </c>
      <c r="G500" s="16" t="str">
        <f aca="false">AR_Aging!K500</f>
        <v>Paid</v>
      </c>
      <c r="H500" s="16" t="str">
        <f aca="false">IF(AND(G500="Unpaid",F500&gt;90),"HIGH - Fully Overdue 90+ Days",IF(G500="Partially Paid","MEDIUM - Short Paid","OK"))</f>
        <v>OK</v>
      </c>
    </row>
    <row r="501" customFormat="false" ht="15" hidden="false" customHeight="false" outlineLevel="0" collapsed="false">
      <c r="A501" s="16" t="str">
        <f aca="false">AR_Aging!A501</f>
        <v>ARI60497</v>
      </c>
      <c r="B501" s="16" t="str">
        <f aca="false">AR_Aging!C501</f>
        <v>Washington, Ryan and Cummings</v>
      </c>
      <c r="C501" s="18" t="n">
        <f aca="false">AR_Aging!F501</f>
        <v>1785.3</v>
      </c>
      <c r="D501" s="18" t="n">
        <f aca="false">AR_Aging!G501</f>
        <v>0</v>
      </c>
      <c r="E501" s="18" t="n">
        <f aca="false">AR_Aging!H501</f>
        <v>1785.3</v>
      </c>
      <c r="F501" s="16" t="n">
        <f aca="false">AR_Aging!I501</f>
        <v>27</v>
      </c>
      <c r="G501" s="16" t="str">
        <f aca="false">AR_Aging!K501</f>
        <v>Unpaid</v>
      </c>
      <c r="H501" s="16" t="str">
        <f aca="false">IF(AND(G501="Unpaid",F501&gt;90),"HIGH - Fully Overdue 90+ Days",IF(G501="Partially Paid","MEDIUM - Short Paid","OK"))</f>
        <v>OK</v>
      </c>
    </row>
    <row r="502" customFormat="false" ht="15" hidden="false" customHeight="false" outlineLevel="0" collapsed="false">
      <c r="A502" s="16" t="str">
        <f aca="false">AR_Aging!A502</f>
        <v>ARI60498</v>
      </c>
      <c r="B502" s="16" t="str">
        <f aca="false">AR_Aging!C502</f>
        <v>Stanley, Tucker and Lee</v>
      </c>
      <c r="C502" s="18" t="n">
        <f aca="false">AR_Aging!F502</f>
        <v>6888.72</v>
      </c>
      <c r="D502" s="18" t="n">
        <f aca="false">AR_Aging!G502</f>
        <v>6888.72</v>
      </c>
      <c r="E502" s="18" t="n">
        <f aca="false">AR_Aging!H502</f>
        <v>0</v>
      </c>
      <c r="F502" s="16" t="n">
        <f aca="false">AR_Aging!I502</f>
        <v>0</v>
      </c>
      <c r="G502" s="16" t="str">
        <f aca="false">AR_Aging!K502</f>
        <v>Paid</v>
      </c>
      <c r="H502" s="16" t="str">
        <f aca="false">IF(AND(G502="Unpaid",F502&gt;90),"HIGH - Fully Overdue 90+ Days",IF(G502="Partially Paid","MEDIUM - Short Paid","OK"))</f>
        <v>OK</v>
      </c>
    </row>
    <row r="503" customFormat="false" ht="15" hidden="false" customHeight="false" outlineLevel="0" collapsed="false">
      <c r="A503" s="16" t="str">
        <f aca="false">AR_Aging!A503</f>
        <v>ARI60499</v>
      </c>
      <c r="B503" s="16" t="str">
        <f aca="false">AR_Aging!C503</f>
        <v>Smith-Spencer</v>
      </c>
      <c r="C503" s="18" t="n">
        <f aca="false">AR_Aging!F503</f>
        <v>1431.17</v>
      </c>
      <c r="D503" s="18" t="n">
        <f aca="false">AR_Aging!G503</f>
        <v>1431.17</v>
      </c>
      <c r="E503" s="18" t="n">
        <f aca="false">AR_Aging!H503</f>
        <v>0</v>
      </c>
      <c r="F503" s="16" t="n">
        <f aca="false">AR_Aging!I503</f>
        <v>0</v>
      </c>
      <c r="G503" s="16" t="str">
        <f aca="false">AR_Aging!K503</f>
        <v>Paid</v>
      </c>
      <c r="H503" s="16" t="str">
        <f aca="false">IF(AND(G503="Unpaid",F503&gt;90),"HIGH - Fully Overdue 90+ Days",IF(G503="Partially Paid","MEDIUM - Short Paid","OK"))</f>
        <v>OK</v>
      </c>
    </row>
    <row r="504" customFormat="false" ht="15" hidden="false" customHeight="false" outlineLevel="0" collapsed="false">
      <c r="A504" s="16" t="str">
        <f aca="false">AR_Aging!A504</f>
        <v>ARI60500</v>
      </c>
      <c r="B504" s="16" t="str">
        <f aca="false">AR_Aging!C504</f>
        <v>Williams PLC</v>
      </c>
      <c r="C504" s="18" t="n">
        <f aca="false">AR_Aging!F504</f>
        <v>4410.67</v>
      </c>
      <c r="D504" s="18" t="n">
        <f aca="false">AR_Aging!G504</f>
        <v>4410.67</v>
      </c>
      <c r="E504" s="18" t="n">
        <f aca="false">AR_Aging!H504</f>
        <v>0</v>
      </c>
      <c r="F504" s="16" t="n">
        <f aca="false">AR_Aging!I504</f>
        <v>0</v>
      </c>
      <c r="G504" s="16" t="str">
        <f aca="false">AR_Aging!K504</f>
        <v>Paid</v>
      </c>
      <c r="H504" s="16" t="str">
        <f aca="false">IF(AND(G504="Unpaid",F504&gt;90),"HIGH - Fully Overdue 90+ Days",IF(G504="Partially Paid","MEDIUM - Short Paid","OK"))</f>
        <v>OK</v>
      </c>
    </row>
    <row r="505" customFormat="false" ht="15" hidden="false" customHeight="false" outlineLevel="0" collapsed="false">
      <c r="A505" s="16" t="str">
        <f aca="false">AR_Aging!A505</f>
        <v>ARI60501</v>
      </c>
      <c r="B505" s="16" t="str">
        <f aca="false">AR_Aging!C505</f>
        <v>Hensley, Powell and David</v>
      </c>
      <c r="C505" s="18" t="n">
        <f aca="false">AR_Aging!F505</f>
        <v>7357.21</v>
      </c>
      <c r="D505" s="18" t="n">
        <f aca="false">AR_Aging!G505</f>
        <v>7357.21</v>
      </c>
      <c r="E505" s="18" t="n">
        <f aca="false">AR_Aging!H505</f>
        <v>0</v>
      </c>
      <c r="F505" s="16" t="n">
        <f aca="false">AR_Aging!I505</f>
        <v>0</v>
      </c>
      <c r="G505" s="16" t="str">
        <f aca="false">AR_Aging!K505</f>
        <v>Paid</v>
      </c>
      <c r="H505" s="16" t="str">
        <f aca="false">IF(AND(G505="Unpaid",F505&gt;90),"HIGH - Fully Overdue 90+ Days",IF(G505="Partially Paid","MEDIUM - Short Paid","OK"))</f>
        <v>OK</v>
      </c>
    </row>
    <row r="506" customFormat="false" ht="15" hidden="false" customHeight="false" outlineLevel="0" collapsed="false">
      <c r="A506" s="16" t="str">
        <f aca="false">AR_Aging!A506</f>
        <v>ARI60502</v>
      </c>
      <c r="B506" s="16" t="str">
        <f aca="false">AR_Aging!C506</f>
        <v>Stanley, Tucker and Lee</v>
      </c>
      <c r="C506" s="18" t="n">
        <f aca="false">AR_Aging!F506</f>
        <v>3743.89</v>
      </c>
      <c r="D506" s="18" t="n">
        <f aca="false">AR_Aging!G506</f>
        <v>3743.89</v>
      </c>
      <c r="E506" s="18" t="n">
        <f aca="false">AR_Aging!H506</f>
        <v>0</v>
      </c>
      <c r="F506" s="16" t="n">
        <f aca="false">AR_Aging!I506</f>
        <v>0</v>
      </c>
      <c r="G506" s="16" t="str">
        <f aca="false">AR_Aging!K506</f>
        <v>Paid</v>
      </c>
      <c r="H506" s="16" t="str">
        <f aca="false">IF(AND(G506="Unpaid",F506&gt;90),"HIGH - Fully Overdue 90+ Days",IF(G506="Partially Paid","MEDIUM - Short Paid","OK"))</f>
        <v>OK</v>
      </c>
    </row>
    <row r="507" customFormat="false" ht="15" hidden="false" customHeight="false" outlineLevel="0" collapsed="false">
      <c r="A507" s="16" t="str">
        <f aca="false">AR_Aging!A507</f>
        <v>ARI60503</v>
      </c>
      <c r="B507" s="16" t="str">
        <f aca="false">AR_Aging!C507</f>
        <v>Lee-Davis</v>
      </c>
      <c r="C507" s="18" t="n">
        <f aca="false">AR_Aging!F507</f>
        <v>2235.8</v>
      </c>
      <c r="D507" s="18" t="n">
        <f aca="false">AR_Aging!G507</f>
        <v>2235.8</v>
      </c>
      <c r="E507" s="18" t="n">
        <f aca="false">AR_Aging!H507</f>
        <v>0</v>
      </c>
      <c r="F507" s="16" t="n">
        <f aca="false">AR_Aging!I507</f>
        <v>0</v>
      </c>
      <c r="G507" s="16" t="str">
        <f aca="false">AR_Aging!K507</f>
        <v>Paid</v>
      </c>
      <c r="H507" s="16" t="str">
        <f aca="false">IF(AND(G507="Unpaid",F507&gt;90),"HIGH - Fully Overdue 90+ Days",IF(G507="Partially Paid","MEDIUM - Short Paid","OK"))</f>
        <v>OK</v>
      </c>
    </row>
    <row r="508" customFormat="false" ht="15" hidden="false" customHeight="false" outlineLevel="0" collapsed="false">
      <c r="A508" s="16" t="str">
        <f aca="false">AR_Aging!A508</f>
        <v>ARI60504</v>
      </c>
      <c r="B508" s="16" t="str">
        <f aca="false">AR_Aging!C508</f>
        <v>Novak and Sons</v>
      </c>
      <c r="C508" s="18" t="n">
        <f aca="false">AR_Aging!F508</f>
        <v>2407.89</v>
      </c>
      <c r="D508" s="18" t="n">
        <f aca="false">AR_Aging!G508</f>
        <v>916.06</v>
      </c>
      <c r="E508" s="18" t="n">
        <f aca="false">AR_Aging!H508</f>
        <v>1491.83</v>
      </c>
      <c r="F508" s="16" t="n">
        <f aca="false">AR_Aging!I508</f>
        <v>34</v>
      </c>
      <c r="G508" s="16" t="str">
        <f aca="false">AR_Aging!K508</f>
        <v>Partially Paid</v>
      </c>
      <c r="H508" s="16" t="str">
        <f aca="false">IF(AND(G508="Unpaid",F508&gt;90),"HIGH - Fully Overdue 90+ Days",IF(G508="Partially Paid","MEDIUM - Short Paid","OK"))</f>
        <v>MEDIUM - Short Paid</v>
      </c>
    </row>
    <row r="509" customFormat="false" ht="15" hidden="false" customHeight="false" outlineLevel="0" collapsed="false">
      <c r="A509" s="16" t="str">
        <f aca="false">AR_Aging!A509</f>
        <v>ARI60505</v>
      </c>
      <c r="B509" s="16" t="str">
        <f aca="false">AR_Aging!C509</f>
        <v>Robinson, Jones and Welch</v>
      </c>
      <c r="C509" s="18" t="n">
        <f aca="false">AR_Aging!F509</f>
        <v>2778.74</v>
      </c>
      <c r="D509" s="18" t="n">
        <f aca="false">AR_Aging!G509</f>
        <v>2778.74</v>
      </c>
      <c r="E509" s="18" t="n">
        <f aca="false">AR_Aging!H509</f>
        <v>0</v>
      </c>
      <c r="F509" s="16" t="n">
        <f aca="false">AR_Aging!I509</f>
        <v>0</v>
      </c>
      <c r="G509" s="16" t="str">
        <f aca="false">AR_Aging!K509</f>
        <v>Paid</v>
      </c>
      <c r="H509" s="16" t="str">
        <f aca="false">IF(AND(G509="Unpaid",F509&gt;90),"HIGH - Fully Overdue 90+ Days",IF(G509="Partially Paid","MEDIUM - Short Paid","OK"))</f>
        <v>OK</v>
      </c>
    </row>
    <row r="510" customFormat="false" ht="15" hidden="false" customHeight="false" outlineLevel="0" collapsed="false">
      <c r="A510" s="16" t="str">
        <f aca="false">AR_Aging!A510</f>
        <v>ARI60506</v>
      </c>
      <c r="B510" s="16" t="str">
        <f aca="false">AR_Aging!C510</f>
        <v>Gomez-Jenkins</v>
      </c>
      <c r="C510" s="18" t="n">
        <f aca="false">AR_Aging!F510</f>
        <v>2994.41</v>
      </c>
      <c r="D510" s="18" t="n">
        <f aca="false">AR_Aging!G510</f>
        <v>2994.41</v>
      </c>
      <c r="E510" s="18" t="n">
        <f aca="false">AR_Aging!H510</f>
        <v>0</v>
      </c>
      <c r="F510" s="16" t="n">
        <f aca="false">AR_Aging!I510</f>
        <v>0</v>
      </c>
      <c r="G510" s="16" t="str">
        <f aca="false">AR_Aging!K510</f>
        <v>Paid</v>
      </c>
      <c r="H510" s="16" t="str">
        <f aca="false">IF(AND(G510="Unpaid",F510&gt;90),"HIGH - Fully Overdue 90+ Days",IF(G510="Partially Paid","MEDIUM - Short Paid","OK"))</f>
        <v>OK</v>
      </c>
    </row>
    <row r="511" customFormat="false" ht="15" hidden="false" customHeight="false" outlineLevel="0" collapsed="false">
      <c r="A511" s="16" t="str">
        <f aca="false">AR_Aging!A511</f>
        <v>ARI60507</v>
      </c>
      <c r="B511" s="16" t="str">
        <f aca="false">AR_Aging!C511</f>
        <v>Daniels, Adkins and Brown</v>
      </c>
      <c r="C511" s="18" t="n">
        <f aca="false">AR_Aging!F511</f>
        <v>15639.98</v>
      </c>
      <c r="D511" s="18" t="n">
        <f aca="false">AR_Aging!G511</f>
        <v>15639.98</v>
      </c>
      <c r="E511" s="18" t="n">
        <f aca="false">AR_Aging!H511</f>
        <v>0</v>
      </c>
      <c r="F511" s="16" t="n">
        <f aca="false">AR_Aging!I511</f>
        <v>0</v>
      </c>
      <c r="G511" s="16" t="str">
        <f aca="false">AR_Aging!K511</f>
        <v>Paid</v>
      </c>
      <c r="H511" s="16" t="str">
        <f aca="false">IF(AND(G511="Unpaid",F511&gt;90),"HIGH - Fully Overdue 90+ Days",IF(G511="Partially Paid","MEDIUM - Short Paid","OK"))</f>
        <v>OK</v>
      </c>
    </row>
    <row r="512" customFormat="false" ht="15" hidden="false" customHeight="false" outlineLevel="0" collapsed="false">
      <c r="A512" s="16" t="str">
        <f aca="false">AR_Aging!A512</f>
        <v>ARI60508</v>
      </c>
      <c r="B512" s="16" t="str">
        <f aca="false">AR_Aging!C512</f>
        <v>Robinson, Jones and Welch</v>
      </c>
      <c r="C512" s="18" t="n">
        <f aca="false">AR_Aging!F512</f>
        <v>5411.11</v>
      </c>
      <c r="D512" s="18" t="n">
        <f aca="false">AR_Aging!G512</f>
        <v>0</v>
      </c>
      <c r="E512" s="18" t="n">
        <f aca="false">AR_Aging!H512</f>
        <v>5411.11</v>
      </c>
      <c r="F512" s="16" t="n">
        <f aca="false">AR_Aging!I512</f>
        <v>138</v>
      </c>
      <c r="G512" s="16" t="str">
        <f aca="false">AR_Aging!K512</f>
        <v>Unpaid</v>
      </c>
      <c r="H512" s="16" t="str">
        <f aca="false">IF(AND(G512="Unpaid",F512&gt;90),"HIGH - Fully Overdue 90+ Days",IF(G512="Partially Paid","MEDIUM - Short Paid","OK"))</f>
        <v>HIGH - Fully Overdue 90+ Days</v>
      </c>
    </row>
    <row r="513" customFormat="false" ht="15" hidden="false" customHeight="false" outlineLevel="0" collapsed="false">
      <c r="A513" s="16" t="str">
        <f aca="false">AR_Aging!A513</f>
        <v>ARI60509</v>
      </c>
      <c r="B513" s="16" t="str">
        <f aca="false">AR_Aging!C513</f>
        <v>Wright and Sons</v>
      </c>
      <c r="C513" s="18" t="n">
        <f aca="false">AR_Aging!F513</f>
        <v>14179.43</v>
      </c>
      <c r="D513" s="18" t="n">
        <f aca="false">AR_Aging!G513</f>
        <v>14179.43</v>
      </c>
      <c r="E513" s="18" t="n">
        <f aca="false">AR_Aging!H513</f>
        <v>0</v>
      </c>
      <c r="F513" s="16" t="n">
        <f aca="false">AR_Aging!I513</f>
        <v>0</v>
      </c>
      <c r="G513" s="16" t="str">
        <f aca="false">AR_Aging!K513</f>
        <v>Paid</v>
      </c>
      <c r="H513" s="16" t="str">
        <f aca="false">IF(AND(G513="Unpaid",F513&gt;90),"HIGH - Fully Overdue 90+ Days",IF(G513="Partially Paid","MEDIUM - Short Paid","OK"))</f>
        <v>OK</v>
      </c>
    </row>
    <row r="514" customFormat="false" ht="15" hidden="false" customHeight="false" outlineLevel="0" collapsed="false">
      <c r="A514" s="16" t="str">
        <f aca="false">AR_Aging!A514</f>
        <v>ARI60510</v>
      </c>
      <c r="B514" s="16" t="str">
        <f aca="false">AR_Aging!C514</f>
        <v>Gomez-Jenkins</v>
      </c>
      <c r="C514" s="18" t="n">
        <f aca="false">AR_Aging!F514</f>
        <v>19992.01</v>
      </c>
      <c r="D514" s="18" t="n">
        <f aca="false">AR_Aging!G514</f>
        <v>19992.01</v>
      </c>
      <c r="E514" s="18" t="n">
        <f aca="false">AR_Aging!H514</f>
        <v>0</v>
      </c>
      <c r="F514" s="16" t="n">
        <f aca="false">AR_Aging!I514</f>
        <v>0</v>
      </c>
      <c r="G514" s="16" t="str">
        <f aca="false">AR_Aging!K514</f>
        <v>Paid</v>
      </c>
      <c r="H514" s="16" t="str">
        <f aca="false">IF(AND(G514="Unpaid",F514&gt;90),"HIGH - Fully Overdue 90+ Days",IF(G514="Partially Paid","MEDIUM - Short Paid","OK"))</f>
        <v>OK</v>
      </c>
    </row>
    <row r="515" customFormat="false" ht="15" hidden="false" customHeight="false" outlineLevel="0" collapsed="false">
      <c r="A515" s="16" t="str">
        <f aca="false">AR_Aging!A515</f>
        <v>ARI60511</v>
      </c>
      <c r="B515" s="16" t="str">
        <f aca="false">AR_Aging!C515</f>
        <v>Daniels, Adkins and Brown</v>
      </c>
      <c r="C515" s="18" t="n">
        <f aca="false">AR_Aging!F515</f>
        <v>413.39</v>
      </c>
      <c r="D515" s="18" t="n">
        <f aca="false">AR_Aging!G515</f>
        <v>248.79</v>
      </c>
      <c r="E515" s="18" t="n">
        <f aca="false">AR_Aging!H515</f>
        <v>164.6</v>
      </c>
      <c r="F515" s="16" t="n">
        <f aca="false">AR_Aging!I515</f>
        <v>219</v>
      </c>
      <c r="G515" s="16" t="str">
        <f aca="false">AR_Aging!K515</f>
        <v>Partially Paid</v>
      </c>
      <c r="H515" s="16" t="str">
        <f aca="false">IF(AND(G515="Unpaid",F515&gt;90),"HIGH - Fully Overdue 90+ Days",IF(G515="Partially Paid","MEDIUM - Short Paid","OK"))</f>
        <v>MEDIUM - Short Paid</v>
      </c>
    </row>
    <row r="516" customFormat="false" ht="15" hidden="false" customHeight="false" outlineLevel="0" collapsed="false">
      <c r="A516" s="16" t="str">
        <f aca="false">AR_Aging!A516</f>
        <v>ARI60512</v>
      </c>
      <c r="B516" s="16" t="str">
        <f aca="false">AR_Aging!C516</f>
        <v>Novak PLC</v>
      </c>
      <c r="C516" s="18" t="n">
        <f aca="false">AR_Aging!F516</f>
        <v>2170.88</v>
      </c>
      <c r="D516" s="18" t="n">
        <f aca="false">AR_Aging!G516</f>
        <v>1196.22</v>
      </c>
      <c r="E516" s="18" t="n">
        <f aca="false">AR_Aging!H516</f>
        <v>974.66</v>
      </c>
      <c r="F516" s="16" t="n">
        <f aca="false">AR_Aging!I516</f>
        <v>179</v>
      </c>
      <c r="G516" s="16" t="str">
        <f aca="false">AR_Aging!K516</f>
        <v>Partially Paid</v>
      </c>
      <c r="H516" s="16" t="str">
        <f aca="false">IF(AND(G516="Unpaid",F516&gt;90),"HIGH - Fully Overdue 90+ Days",IF(G516="Partially Paid","MEDIUM - Short Paid","OK"))</f>
        <v>MEDIUM - Short Paid</v>
      </c>
    </row>
    <row r="517" customFormat="false" ht="15" hidden="false" customHeight="false" outlineLevel="0" collapsed="false">
      <c r="A517" s="16" t="str">
        <f aca="false">AR_Aging!A517</f>
        <v>ARI60513</v>
      </c>
      <c r="B517" s="16" t="str">
        <f aca="false">AR_Aging!C517</f>
        <v>Woods, Calhoun and Schmidt</v>
      </c>
      <c r="C517" s="18" t="n">
        <f aca="false">AR_Aging!F517</f>
        <v>6596.62</v>
      </c>
      <c r="D517" s="18" t="n">
        <f aca="false">AR_Aging!G517</f>
        <v>4763.32</v>
      </c>
      <c r="E517" s="18" t="n">
        <f aca="false">AR_Aging!H517</f>
        <v>1833.3</v>
      </c>
      <c r="F517" s="16" t="n">
        <f aca="false">AR_Aging!I517</f>
        <v>58</v>
      </c>
      <c r="G517" s="16" t="str">
        <f aca="false">AR_Aging!K517</f>
        <v>Partially Paid</v>
      </c>
      <c r="H517" s="16" t="str">
        <f aca="false">IF(AND(G517="Unpaid",F517&gt;90),"HIGH - Fully Overdue 90+ Days",IF(G517="Partially Paid","MEDIUM - Short Paid","OK"))</f>
        <v>MEDIUM - Short Paid</v>
      </c>
    </row>
    <row r="518" customFormat="false" ht="15" hidden="false" customHeight="false" outlineLevel="0" collapsed="false">
      <c r="A518" s="16" t="str">
        <f aca="false">AR_Aging!A518</f>
        <v>ARI60514</v>
      </c>
      <c r="B518" s="16" t="str">
        <f aca="false">AR_Aging!C518</f>
        <v>Brown, Valdez and Lucas</v>
      </c>
      <c r="C518" s="18" t="n">
        <f aca="false">AR_Aging!F518</f>
        <v>739.89</v>
      </c>
      <c r="D518" s="18" t="n">
        <f aca="false">AR_Aging!G518</f>
        <v>0</v>
      </c>
      <c r="E518" s="18" t="n">
        <f aca="false">AR_Aging!H518</f>
        <v>739.89</v>
      </c>
      <c r="F518" s="16" t="n">
        <f aca="false">AR_Aging!I518</f>
        <v>436</v>
      </c>
      <c r="G518" s="16" t="str">
        <f aca="false">AR_Aging!K518</f>
        <v>Unpaid</v>
      </c>
      <c r="H518" s="16" t="str">
        <f aca="false">IF(AND(G518="Unpaid",F518&gt;90),"HIGH - Fully Overdue 90+ Days",IF(G518="Partially Paid","MEDIUM - Short Paid","OK"))</f>
        <v>HIGH - Fully Overdue 90+ Days</v>
      </c>
    </row>
    <row r="519" customFormat="false" ht="15" hidden="false" customHeight="false" outlineLevel="0" collapsed="false">
      <c r="A519" s="16" t="str">
        <f aca="false">AR_Aging!A519</f>
        <v>ARI60515</v>
      </c>
      <c r="B519" s="16" t="str">
        <f aca="false">AR_Aging!C519</f>
        <v>Williams PLC</v>
      </c>
      <c r="C519" s="18" t="n">
        <f aca="false">AR_Aging!F519</f>
        <v>2149.55</v>
      </c>
      <c r="D519" s="18" t="n">
        <f aca="false">AR_Aging!G519</f>
        <v>2149.55</v>
      </c>
      <c r="E519" s="18" t="n">
        <f aca="false">AR_Aging!H519</f>
        <v>0</v>
      </c>
      <c r="F519" s="16" t="n">
        <f aca="false">AR_Aging!I519</f>
        <v>0</v>
      </c>
      <c r="G519" s="16" t="str">
        <f aca="false">AR_Aging!K519</f>
        <v>Paid</v>
      </c>
      <c r="H519" s="16" t="str">
        <f aca="false">IF(AND(G519="Unpaid",F519&gt;90),"HIGH - Fully Overdue 90+ Days",IF(G519="Partially Paid","MEDIUM - Short Paid","OK"))</f>
        <v>OK</v>
      </c>
    </row>
    <row r="520" customFormat="false" ht="15" hidden="false" customHeight="false" outlineLevel="0" collapsed="false">
      <c r="A520" s="16" t="str">
        <f aca="false">AR_Aging!A520</f>
        <v>ARI60516</v>
      </c>
      <c r="B520" s="16" t="str">
        <f aca="false">AR_Aging!C520</f>
        <v>Yu Inc</v>
      </c>
      <c r="C520" s="18" t="n">
        <f aca="false">AR_Aging!F520</f>
        <v>7147.79</v>
      </c>
      <c r="D520" s="18" t="n">
        <f aca="false">AR_Aging!G520</f>
        <v>0</v>
      </c>
      <c r="E520" s="18" t="n">
        <f aca="false">AR_Aging!H520</f>
        <v>7147.79</v>
      </c>
      <c r="F520" s="16" t="n">
        <f aca="false">AR_Aging!I520</f>
        <v>499</v>
      </c>
      <c r="G520" s="16" t="str">
        <f aca="false">AR_Aging!K520</f>
        <v>Unpaid</v>
      </c>
      <c r="H520" s="16" t="str">
        <f aca="false">IF(AND(G520="Unpaid",F520&gt;90),"HIGH - Fully Overdue 90+ Days",IF(G520="Partially Paid","MEDIUM - Short Paid","OK"))</f>
        <v>HIGH - Fully Overdue 90+ Days</v>
      </c>
    </row>
    <row r="521" customFormat="false" ht="15" hidden="false" customHeight="false" outlineLevel="0" collapsed="false">
      <c r="A521" s="16" t="str">
        <f aca="false">AR_Aging!A521</f>
        <v>ARI60517</v>
      </c>
      <c r="B521" s="16" t="str">
        <f aca="false">AR_Aging!C521</f>
        <v>Sanchez, Wheeler and Harvey</v>
      </c>
      <c r="C521" s="18" t="n">
        <f aca="false">AR_Aging!F521</f>
        <v>12379.16</v>
      </c>
      <c r="D521" s="18" t="n">
        <f aca="false">AR_Aging!G521</f>
        <v>12379.16</v>
      </c>
      <c r="E521" s="18" t="n">
        <f aca="false">AR_Aging!H521</f>
        <v>0</v>
      </c>
      <c r="F521" s="16" t="n">
        <f aca="false">AR_Aging!I521</f>
        <v>0</v>
      </c>
      <c r="G521" s="16" t="str">
        <f aca="false">AR_Aging!K521</f>
        <v>Paid</v>
      </c>
      <c r="H521" s="16" t="str">
        <f aca="false">IF(AND(G521="Unpaid",F521&gt;90),"HIGH - Fully Overdue 90+ Days",IF(G521="Partially Paid","MEDIUM - Short Paid","OK"))</f>
        <v>OK</v>
      </c>
    </row>
    <row r="522" customFormat="false" ht="15" hidden="false" customHeight="false" outlineLevel="0" collapsed="false">
      <c r="A522" s="16" t="str">
        <f aca="false">AR_Aging!A522</f>
        <v>ARI60518</v>
      </c>
      <c r="B522" s="16" t="str">
        <f aca="false">AR_Aging!C522</f>
        <v>Baxter Inc</v>
      </c>
      <c r="C522" s="18" t="n">
        <f aca="false">AR_Aging!F522</f>
        <v>2026.69</v>
      </c>
      <c r="D522" s="18" t="n">
        <f aca="false">AR_Aging!G522</f>
        <v>0</v>
      </c>
      <c r="E522" s="18" t="n">
        <f aca="false">AR_Aging!H522</f>
        <v>2026.69</v>
      </c>
      <c r="F522" s="16" t="n">
        <f aca="false">AR_Aging!I522</f>
        <v>487</v>
      </c>
      <c r="G522" s="16" t="str">
        <f aca="false">AR_Aging!K522</f>
        <v>Unpaid</v>
      </c>
      <c r="H522" s="16" t="str">
        <f aca="false">IF(AND(G522="Unpaid",F522&gt;90),"HIGH - Fully Overdue 90+ Days",IF(G522="Partially Paid","MEDIUM - Short Paid","OK"))</f>
        <v>HIGH - Fully Overdue 90+ Days</v>
      </c>
    </row>
    <row r="523" customFormat="false" ht="15" hidden="false" customHeight="false" outlineLevel="0" collapsed="false">
      <c r="A523" s="16" t="str">
        <f aca="false">AR_Aging!A523</f>
        <v>ARI60519</v>
      </c>
      <c r="B523" s="16" t="str">
        <f aca="false">AR_Aging!C523</f>
        <v>Powell LLC</v>
      </c>
      <c r="C523" s="18" t="n">
        <f aca="false">AR_Aging!F523</f>
        <v>4188.51</v>
      </c>
      <c r="D523" s="18" t="n">
        <f aca="false">AR_Aging!G523</f>
        <v>4188.51</v>
      </c>
      <c r="E523" s="18" t="n">
        <f aca="false">AR_Aging!H523</f>
        <v>0</v>
      </c>
      <c r="F523" s="16" t="n">
        <f aca="false">AR_Aging!I523</f>
        <v>0</v>
      </c>
      <c r="G523" s="16" t="str">
        <f aca="false">AR_Aging!K523</f>
        <v>Paid</v>
      </c>
      <c r="H523" s="16" t="str">
        <f aca="false">IF(AND(G523="Unpaid",F523&gt;90),"HIGH - Fully Overdue 90+ Days",IF(G523="Partially Paid","MEDIUM - Short Paid","OK"))</f>
        <v>OK</v>
      </c>
    </row>
    <row r="524" customFormat="false" ht="15" hidden="false" customHeight="false" outlineLevel="0" collapsed="false">
      <c r="A524" s="16" t="str">
        <f aca="false">AR_Aging!A524</f>
        <v>ARI60520</v>
      </c>
      <c r="B524" s="16" t="str">
        <f aca="false">AR_Aging!C524</f>
        <v>Novak and Sons</v>
      </c>
      <c r="C524" s="18" t="n">
        <f aca="false">AR_Aging!F524</f>
        <v>1240.25</v>
      </c>
      <c r="D524" s="18" t="n">
        <f aca="false">AR_Aging!G524</f>
        <v>1240.25</v>
      </c>
      <c r="E524" s="18" t="n">
        <f aca="false">AR_Aging!H524</f>
        <v>0</v>
      </c>
      <c r="F524" s="16" t="n">
        <f aca="false">AR_Aging!I524</f>
        <v>0</v>
      </c>
      <c r="G524" s="16" t="str">
        <f aca="false">AR_Aging!K524</f>
        <v>Paid</v>
      </c>
      <c r="H524" s="16" t="str">
        <f aca="false">IF(AND(G524="Unpaid",F524&gt;90),"HIGH - Fully Overdue 90+ Days",IF(G524="Partially Paid","MEDIUM - Short Paid","OK"))</f>
        <v>OK</v>
      </c>
    </row>
    <row r="525" customFormat="false" ht="15" hidden="false" customHeight="false" outlineLevel="0" collapsed="false">
      <c r="A525" s="16" t="str">
        <f aca="false">AR_Aging!A525</f>
        <v>ARI60521</v>
      </c>
      <c r="B525" s="16" t="str">
        <f aca="false">AR_Aging!C525</f>
        <v>House-Glover</v>
      </c>
      <c r="C525" s="18" t="n">
        <f aca="false">AR_Aging!F525</f>
        <v>4141.83</v>
      </c>
      <c r="D525" s="18" t="n">
        <f aca="false">AR_Aging!G525</f>
        <v>4141.83</v>
      </c>
      <c r="E525" s="18" t="n">
        <f aca="false">AR_Aging!H525</f>
        <v>0</v>
      </c>
      <c r="F525" s="16" t="n">
        <f aca="false">AR_Aging!I525</f>
        <v>0</v>
      </c>
      <c r="G525" s="16" t="str">
        <f aca="false">AR_Aging!K525</f>
        <v>Paid</v>
      </c>
      <c r="H525" s="16" t="str">
        <f aca="false">IF(AND(G525="Unpaid",F525&gt;90),"HIGH - Fully Overdue 90+ Days",IF(G525="Partially Paid","MEDIUM - Short Paid","OK"))</f>
        <v>OK</v>
      </c>
    </row>
    <row r="526" customFormat="false" ht="15" hidden="false" customHeight="false" outlineLevel="0" collapsed="false">
      <c r="A526" s="16" t="str">
        <f aca="false">AR_Aging!A526</f>
        <v>ARI60522</v>
      </c>
      <c r="B526" s="16" t="str">
        <f aca="false">AR_Aging!C526</f>
        <v>Brown, Valdez and Lucas</v>
      </c>
      <c r="C526" s="18" t="n">
        <f aca="false">AR_Aging!F526</f>
        <v>1132.9</v>
      </c>
      <c r="D526" s="18" t="n">
        <f aca="false">AR_Aging!G526</f>
        <v>1132.9</v>
      </c>
      <c r="E526" s="18" t="n">
        <f aca="false">AR_Aging!H526</f>
        <v>0</v>
      </c>
      <c r="F526" s="16" t="n">
        <f aca="false">AR_Aging!I526</f>
        <v>0</v>
      </c>
      <c r="G526" s="16" t="str">
        <f aca="false">AR_Aging!K526</f>
        <v>Paid</v>
      </c>
      <c r="H526" s="16" t="str">
        <f aca="false">IF(AND(G526="Unpaid",F526&gt;90),"HIGH - Fully Overdue 90+ Days",IF(G526="Partially Paid","MEDIUM - Short Paid","OK"))</f>
        <v>OK</v>
      </c>
    </row>
    <row r="527" customFormat="false" ht="15" hidden="false" customHeight="false" outlineLevel="0" collapsed="false">
      <c r="A527" s="16" t="str">
        <f aca="false">AR_Aging!A527</f>
        <v>ARI60523</v>
      </c>
      <c r="B527" s="16" t="str">
        <f aca="false">AR_Aging!C527</f>
        <v>Novak and Sons</v>
      </c>
      <c r="C527" s="18" t="n">
        <f aca="false">AR_Aging!F527</f>
        <v>3358.08</v>
      </c>
      <c r="D527" s="18" t="n">
        <f aca="false">AR_Aging!G527</f>
        <v>1737.62</v>
      </c>
      <c r="E527" s="18" t="n">
        <f aca="false">AR_Aging!H527</f>
        <v>1620.46</v>
      </c>
      <c r="F527" s="16" t="n">
        <f aca="false">AR_Aging!I527</f>
        <v>338</v>
      </c>
      <c r="G527" s="16" t="str">
        <f aca="false">AR_Aging!K527</f>
        <v>Partially Paid</v>
      </c>
      <c r="H527" s="16" t="str">
        <f aca="false">IF(AND(G527="Unpaid",F527&gt;90),"HIGH - Fully Overdue 90+ Days",IF(G527="Partially Paid","MEDIUM - Short Paid","OK"))</f>
        <v>MEDIUM - Short Paid</v>
      </c>
    </row>
    <row r="528" customFormat="false" ht="15" hidden="false" customHeight="false" outlineLevel="0" collapsed="false">
      <c r="A528" s="16" t="str">
        <f aca="false">AR_Aging!A528</f>
        <v>ARI60524</v>
      </c>
      <c r="B528" s="16" t="str">
        <f aca="false">AR_Aging!C528</f>
        <v>House-Glover</v>
      </c>
      <c r="C528" s="18" t="n">
        <f aca="false">AR_Aging!F528</f>
        <v>5526.91</v>
      </c>
      <c r="D528" s="18" t="n">
        <f aca="false">AR_Aging!G528</f>
        <v>5526.91</v>
      </c>
      <c r="E528" s="18" t="n">
        <f aca="false">AR_Aging!H528</f>
        <v>0</v>
      </c>
      <c r="F528" s="16" t="n">
        <f aca="false">AR_Aging!I528</f>
        <v>0</v>
      </c>
      <c r="G528" s="16" t="str">
        <f aca="false">AR_Aging!K528</f>
        <v>Paid</v>
      </c>
      <c r="H528" s="16" t="str">
        <f aca="false">IF(AND(G528="Unpaid",F528&gt;90),"HIGH - Fully Overdue 90+ Days",IF(G528="Partially Paid","MEDIUM - Short Paid","OK"))</f>
        <v>OK</v>
      </c>
    </row>
    <row r="529" customFormat="false" ht="15" hidden="false" customHeight="false" outlineLevel="0" collapsed="false">
      <c r="A529" s="16" t="str">
        <f aca="false">AR_Aging!A529</f>
        <v>ARI60525</v>
      </c>
      <c r="B529" s="16" t="str">
        <f aca="false">AR_Aging!C529</f>
        <v>Wright and Sons</v>
      </c>
      <c r="C529" s="18" t="n">
        <f aca="false">AR_Aging!F529</f>
        <v>3293.29</v>
      </c>
      <c r="D529" s="18" t="n">
        <f aca="false">AR_Aging!G529</f>
        <v>3293.29</v>
      </c>
      <c r="E529" s="18" t="n">
        <f aca="false">AR_Aging!H529</f>
        <v>0</v>
      </c>
      <c r="F529" s="16" t="n">
        <f aca="false">AR_Aging!I529</f>
        <v>0</v>
      </c>
      <c r="G529" s="16" t="str">
        <f aca="false">AR_Aging!K529</f>
        <v>Paid</v>
      </c>
      <c r="H529" s="16" t="str">
        <f aca="false">IF(AND(G529="Unpaid",F529&gt;90),"HIGH - Fully Overdue 90+ Days",IF(G529="Partially Paid","MEDIUM - Short Paid","OK"))</f>
        <v>OK</v>
      </c>
    </row>
    <row r="530" customFormat="false" ht="15" hidden="false" customHeight="false" outlineLevel="0" collapsed="false">
      <c r="A530" s="16" t="str">
        <f aca="false">AR_Aging!A530</f>
        <v>ARI60526</v>
      </c>
      <c r="B530" s="16" t="str">
        <f aca="false">AR_Aging!C530</f>
        <v>Brown, Valdez and Lucas</v>
      </c>
      <c r="C530" s="18" t="n">
        <f aca="false">AR_Aging!F530</f>
        <v>5673.44</v>
      </c>
      <c r="D530" s="18" t="n">
        <f aca="false">AR_Aging!G530</f>
        <v>5673.44</v>
      </c>
      <c r="E530" s="18" t="n">
        <f aca="false">AR_Aging!H530</f>
        <v>0</v>
      </c>
      <c r="F530" s="16" t="n">
        <f aca="false">AR_Aging!I530</f>
        <v>0</v>
      </c>
      <c r="G530" s="16" t="str">
        <f aca="false">AR_Aging!K530</f>
        <v>Paid</v>
      </c>
      <c r="H530" s="16" t="str">
        <f aca="false">IF(AND(G530="Unpaid",F530&gt;90),"HIGH - Fully Overdue 90+ Days",IF(G530="Partially Paid","MEDIUM - Short Paid","OK"))</f>
        <v>OK</v>
      </c>
    </row>
    <row r="531" customFormat="false" ht="15" hidden="false" customHeight="false" outlineLevel="0" collapsed="false">
      <c r="A531" s="16" t="str">
        <f aca="false">AR_Aging!A531</f>
        <v>ARI60527</v>
      </c>
      <c r="B531" s="16" t="str">
        <f aca="false">AR_Aging!C531</f>
        <v>Wright and Sons</v>
      </c>
      <c r="C531" s="18" t="n">
        <f aca="false">AR_Aging!F531</f>
        <v>2578.69</v>
      </c>
      <c r="D531" s="18" t="n">
        <f aca="false">AR_Aging!G531</f>
        <v>0</v>
      </c>
      <c r="E531" s="18" t="n">
        <f aca="false">AR_Aging!H531</f>
        <v>2578.69</v>
      </c>
      <c r="F531" s="16" t="n">
        <f aca="false">AR_Aging!I531</f>
        <v>130</v>
      </c>
      <c r="G531" s="16" t="str">
        <f aca="false">AR_Aging!K531</f>
        <v>Unpaid</v>
      </c>
      <c r="H531" s="16" t="str">
        <f aca="false">IF(AND(G531="Unpaid",F531&gt;90),"HIGH - Fully Overdue 90+ Days",IF(G531="Partially Paid","MEDIUM - Short Paid","OK"))</f>
        <v>HIGH - Fully Overdue 90+ Days</v>
      </c>
    </row>
    <row r="532" customFormat="false" ht="15" hidden="false" customHeight="false" outlineLevel="0" collapsed="false">
      <c r="A532" s="16" t="str">
        <f aca="false">AR_Aging!A532</f>
        <v>ARI60528</v>
      </c>
      <c r="B532" s="16" t="str">
        <f aca="false">AR_Aging!C532</f>
        <v>Baxter Inc</v>
      </c>
      <c r="C532" s="18" t="n">
        <f aca="false">AR_Aging!F532</f>
        <v>167.65</v>
      </c>
      <c r="D532" s="18" t="n">
        <f aca="false">AR_Aging!G532</f>
        <v>167.65</v>
      </c>
      <c r="E532" s="18" t="n">
        <f aca="false">AR_Aging!H532</f>
        <v>0</v>
      </c>
      <c r="F532" s="16" t="n">
        <f aca="false">AR_Aging!I532</f>
        <v>0</v>
      </c>
      <c r="G532" s="16" t="str">
        <f aca="false">AR_Aging!K532</f>
        <v>Paid</v>
      </c>
      <c r="H532" s="16" t="str">
        <f aca="false">IF(AND(G532="Unpaid",F532&gt;90),"HIGH - Fully Overdue 90+ Days",IF(G532="Partially Paid","MEDIUM - Short Paid","OK"))</f>
        <v>OK</v>
      </c>
    </row>
    <row r="533" customFormat="false" ht="15" hidden="false" customHeight="false" outlineLevel="0" collapsed="false">
      <c r="A533" s="16" t="str">
        <f aca="false">AR_Aging!A533</f>
        <v>ARI60529</v>
      </c>
      <c r="B533" s="16" t="str">
        <f aca="false">AR_Aging!C533</f>
        <v>Sanchez, Wheeler and Harvey</v>
      </c>
      <c r="C533" s="18" t="n">
        <f aca="false">AR_Aging!F533</f>
        <v>8207.3</v>
      </c>
      <c r="D533" s="18" t="n">
        <f aca="false">AR_Aging!G533</f>
        <v>8207.3</v>
      </c>
      <c r="E533" s="18" t="n">
        <f aca="false">AR_Aging!H533</f>
        <v>0</v>
      </c>
      <c r="F533" s="16" t="n">
        <f aca="false">AR_Aging!I533</f>
        <v>0</v>
      </c>
      <c r="G533" s="16" t="str">
        <f aca="false">AR_Aging!K533</f>
        <v>Paid</v>
      </c>
      <c r="H533" s="16" t="str">
        <f aca="false">IF(AND(G533="Unpaid",F533&gt;90),"HIGH - Fully Overdue 90+ Days",IF(G533="Partially Paid","MEDIUM - Short Paid","OK"))</f>
        <v>OK</v>
      </c>
    </row>
    <row r="534" customFormat="false" ht="15" hidden="false" customHeight="false" outlineLevel="0" collapsed="false">
      <c r="A534" s="16" t="str">
        <f aca="false">AR_Aging!A534</f>
        <v>ARI60530</v>
      </c>
      <c r="B534" s="16" t="str">
        <f aca="false">AR_Aging!C534</f>
        <v>Sanchez, Wheeler and Harvey</v>
      </c>
      <c r="C534" s="18" t="n">
        <f aca="false">AR_Aging!F534</f>
        <v>10226.07</v>
      </c>
      <c r="D534" s="18" t="n">
        <f aca="false">AR_Aging!G534</f>
        <v>10226.07</v>
      </c>
      <c r="E534" s="18" t="n">
        <f aca="false">AR_Aging!H534</f>
        <v>0</v>
      </c>
      <c r="F534" s="16" t="n">
        <f aca="false">AR_Aging!I534</f>
        <v>0</v>
      </c>
      <c r="G534" s="16" t="str">
        <f aca="false">AR_Aging!K534</f>
        <v>Paid</v>
      </c>
      <c r="H534" s="16" t="str">
        <f aca="false">IF(AND(G534="Unpaid",F534&gt;90),"HIGH - Fully Overdue 90+ Days",IF(G534="Partially Paid","MEDIUM - Short Paid","OK"))</f>
        <v>OK</v>
      </c>
    </row>
    <row r="535" customFormat="false" ht="15" hidden="false" customHeight="false" outlineLevel="0" collapsed="false">
      <c r="A535" s="16" t="str">
        <f aca="false">AR_Aging!A535</f>
        <v>ARI60531</v>
      </c>
      <c r="B535" s="16" t="str">
        <f aca="false">AR_Aging!C535</f>
        <v>Jones-Young</v>
      </c>
      <c r="C535" s="18" t="n">
        <f aca="false">AR_Aging!F535</f>
        <v>920.76</v>
      </c>
      <c r="D535" s="18" t="n">
        <f aca="false">AR_Aging!G535</f>
        <v>920.76</v>
      </c>
      <c r="E535" s="18" t="n">
        <f aca="false">AR_Aging!H535</f>
        <v>0</v>
      </c>
      <c r="F535" s="16" t="n">
        <f aca="false">AR_Aging!I535</f>
        <v>0</v>
      </c>
      <c r="G535" s="16" t="str">
        <f aca="false">AR_Aging!K535</f>
        <v>Paid</v>
      </c>
      <c r="H535" s="16" t="str">
        <f aca="false">IF(AND(G535="Unpaid",F535&gt;90),"HIGH - Fully Overdue 90+ Days",IF(G535="Partially Paid","MEDIUM - Short Paid","OK"))</f>
        <v>OK</v>
      </c>
    </row>
    <row r="536" customFormat="false" ht="15" hidden="false" customHeight="false" outlineLevel="0" collapsed="false">
      <c r="A536" s="16" t="str">
        <f aca="false">AR_Aging!A536</f>
        <v>ARI60532</v>
      </c>
      <c r="B536" s="16" t="str">
        <f aca="false">AR_Aging!C536</f>
        <v>Powell LLC</v>
      </c>
      <c r="C536" s="18" t="n">
        <f aca="false">AR_Aging!F536</f>
        <v>1774.7</v>
      </c>
      <c r="D536" s="18" t="n">
        <f aca="false">AR_Aging!G536</f>
        <v>1774.7</v>
      </c>
      <c r="E536" s="18" t="n">
        <f aca="false">AR_Aging!H536</f>
        <v>0</v>
      </c>
      <c r="F536" s="16" t="n">
        <f aca="false">AR_Aging!I536</f>
        <v>0</v>
      </c>
      <c r="G536" s="16" t="str">
        <f aca="false">AR_Aging!K536</f>
        <v>Paid</v>
      </c>
      <c r="H536" s="16" t="str">
        <f aca="false">IF(AND(G536="Unpaid",F536&gt;90),"HIGH - Fully Overdue 90+ Days",IF(G536="Partially Paid","MEDIUM - Short Paid","OK"))</f>
        <v>OK</v>
      </c>
    </row>
    <row r="537" customFormat="false" ht="15" hidden="false" customHeight="false" outlineLevel="0" collapsed="false">
      <c r="A537" s="16" t="str">
        <f aca="false">AR_Aging!A537</f>
        <v>ARI60533</v>
      </c>
      <c r="B537" s="16" t="str">
        <f aca="false">AR_Aging!C537</f>
        <v>Woods, Calhoun and Schmidt</v>
      </c>
      <c r="C537" s="18" t="n">
        <f aca="false">AR_Aging!F537</f>
        <v>8116.89</v>
      </c>
      <c r="D537" s="18" t="n">
        <f aca="false">AR_Aging!G537</f>
        <v>8116.89</v>
      </c>
      <c r="E537" s="18" t="n">
        <f aca="false">AR_Aging!H537</f>
        <v>0</v>
      </c>
      <c r="F537" s="16" t="n">
        <f aca="false">AR_Aging!I537</f>
        <v>0</v>
      </c>
      <c r="G537" s="16" t="str">
        <f aca="false">AR_Aging!K537</f>
        <v>Paid</v>
      </c>
      <c r="H537" s="16" t="str">
        <f aca="false">IF(AND(G537="Unpaid",F537&gt;90),"HIGH - Fully Overdue 90+ Days",IF(G537="Partially Paid","MEDIUM - Short Paid","OK"))</f>
        <v>OK</v>
      </c>
    </row>
    <row r="538" customFormat="false" ht="15" hidden="false" customHeight="false" outlineLevel="0" collapsed="false">
      <c r="A538" s="16" t="str">
        <f aca="false">AR_Aging!A538</f>
        <v>ARI60534</v>
      </c>
      <c r="B538" s="16" t="str">
        <f aca="false">AR_Aging!C538</f>
        <v>House-Glover</v>
      </c>
      <c r="C538" s="18" t="n">
        <f aca="false">AR_Aging!F538</f>
        <v>1559.65</v>
      </c>
      <c r="D538" s="18" t="n">
        <f aca="false">AR_Aging!G538</f>
        <v>1559.65</v>
      </c>
      <c r="E538" s="18" t="n">
        <f aca="false">AR_Aging!H538</f>
        <v>0</v>
      </c>
      <c r="F538" s="16" t="n">
        <f aca="false">AR_Aging!I538</f>
        <v>0</v>
      </c>
      <c r="G538" s="16" t="str">
        <f aca="false">AR_Aging!K538</f>
        <v>Paid</v>
      </c>
      <c r="H538" s="16" t="str">
        <f aca="false">IF(AND(G538="Unpaid",F538&gt;90),"HIGH - Fully Overdue 90+ Days",IF(G538="Partially Paid","MEDIUM - Short Paid","OK"))</f>
        <v>OK</v>
      </c>
    </row>
    <row r="539" customFormat="false" ht="15" hidden="false" customHeight="false" outlineLevel="0" collapsed="false">
      <c r="A539" s="16" t="str">
        <f aca="false">AR_Aging!A539</f>
        <v>ARI60535</v>
      </c>
      <c r="B539" s="16" t="str">
        <f aca="false">AR_Aging!C539</f>
        <v>Wright Inc</v>
      </c>
      <c r="C539" s="18" t="n">
        <f aca="false">AR_Aging!F539</f>
        <v>9577.01</v>
      </c>
      <c r="D539" s="18" t="n">
        <f aca="false">AR_Aging!G539</f>
        <v>9577.01</v>
      </c>
      <c r="E539" s="18" t="n">
        <f aca="false">AR_Aging!H539</f>
        <v>0</v>
      </c>
      <c r="F539" s="16" t="n">
        <f aca="false">AR_Aging!I539</f>
        <v>0</v>
      </c>
      <c r="G539" s="16" t="str">
        <f aca="false">AR_Aging!K539</f>
        <v>Paid</v>
      </c>
      <c r="H539" s="16" t="str">
        <f aca="false">IF(AND(G539="Unpaid",F539&gt;90),"HIGH - Fully Overdue 90+ Days",IF(G539="Partially Paid","MEDIUM - Short Paid","OK"))</f>
        <v>OK</v>
      </c>
    </row>
    <row r="540" customFormat="false" ht="15" hidden="false" customHeight="false" outlineLevel="0" collapsed="false">
      <c r="A540" s="16" t="str">
        <f aca="false">AR_Aging!A540</f>
        <v>ARI60536</v>
      </c>
      <c r="B540" s="16" t="str">
        <f aca="false">AR_Aging!C540</f>
        <v>Hensley, Powell and David</v>
      </c>
      <c r="C540" s="18" t="n">
        <f aca="false">AR_Aging!F540</f>
        <v>4737.55</v>
      </c>
      <c r="D540" s="18" t="n">
        <f aca="false">AR_Aging!G540</f>
        <v>3171.03</v>
      </c>
      <c r="E540" s="18" t="n">
        <f aca="false">AR_Aging!H540</f>
        <v>1566.52</v>
      </c>
      <c r="F540" s="16" t="n">
        <f aca="false">AR_Aging!I540</f>
        <v>19</v>
      </c>
      <c r="G540" s="16" t="str">
        <f aca="false">AR_Aging!K540</f>
        <v>Partially Paid</v>
      </c>
      <c r="H540" s="16" t="str">
        <f aca="false">IF(AND(G540="Unpaid",F540&gt;90),"HIGH - Fully Overdue 90+ Days",IF(G540="Partially Paid","MEDIUM - Short Paid","OK"))</f>
        <v>MEDIUM - Short Paid</v>
      </c>
    </row>
    <row r="541" customFormat="false" ht="15" hidden="false" customHeight="false" outlineLevel="0" collapsed="false">
      <c r="A541" s="16" t="str">
        <f aca="false">AR_Aging!A541</f>
        <v>ARI60537</v>
      </c>
      <c r="B541" s="16" t="str">
        <f aca="false">AR_Aging!C541</f>
        <v>Robinson, Jones and Welch</v>
      </c>
      <c r="C541" s="18" t="n">
        <f aca="false">AR_Aging!F541</f>
        <v>706.76</v>
      </c>
      <c r="D541" s="18" t="n">
        <f aca="false">AR_Aging!G541</f>
        <v>706.76</v>
      </c>
      <c r="E541" s="18" t="n">
        <f aca="false">AR_Aging!H541</f>
        <v>0</v>
      </c>
      <c r="F541" s="16" t="n">
        <f aca="false">AR_Aging!I541</f>
        <v>0</v>
      </c>
      <c r="G541" s="16" t="str">
        <f aca="false">AR_Aging!K541</f>
        <v>Paid</v>
      </c>
      <c r="H541" s="16" t="str">
        <f aca="false">IF(AND(G541="Unpaid",F541&gt;90),"HIGH - Fully Overdue 90+ Days",IF(G541="Partially Paid","MEDIUM - Short Paid","OK"))</f>
        <v>OK</v>
      </c>
    </row>
    <row r="542" customFormat="false" ht="15" hidden="false" customHeight="false" outlineLevel="0" collapsed="false">
      <c r="A542" s="16" t="str">
        <f aca="false">AR_Aging!A542</f>
        <v>ARI60538</v>
      </c>
      <c r="B542" s="16" t="str">
        <f aca="false">AR_Aging!C542</f>
        <v>Sanchez, Wheeler and Harvey</v>
      </c>
      <c r="C542" s="18" t="n">
        <f aca="false">AR_Aging!F542</f>
        <v>4114.21</v>
      </c>
      <c r="D542" s="18" t="n">
        <f aca="false">AR_Aging!G542</f>
        <v>4114.21</v>
      </c>
      <c r="E542" s="18" t="n">
        <f aca="false">AR_Aging!H542</f>
        <v>0</v>
      </c>
      <c r="F542" s="16" t="n">
        <f aca="false">AR_Aging!I542</f>
        <v>0</v>
      </c>
      <c r="G542" s="16" t="str">
        <f aca="false">AR_Aging!K542</f>
        <v>Paid</v>
      </c>
      <c r="H542" s="16" t="str">
        <f aca="false">IF(AND(G542="Unpaid",F542&gt;90),"HIGH - Fully Overdue 90+ Days",IF(G542="Partially Paid","MEDIUM - Short Paid","OK"))</f>
        <v>OK</v>
      </c>
    </row>
    <row r="543" customFormat="false" ht="15" hidden="false" customHeight="false" outlineLevel="0" collapsed="false">
      <c r="A543" s="16" t="str">
        <f aca="false">AR_Aging!A543</f>
        <v>ARI60539</v>
      </c>
      <c r="B543" s="16" t="str">
        <f aca="false">AR_Aging!C543</f>
        <v>Smith-Spencer</v>
      </c>
      <c r="C543" s="18" t="n">
        <f aca="false">AR_Aging!F543</f>
        <v>4838.65</v>
      </c>
      <c r="D543" s="18" t="n">
        <f aca="false">AR_Aging!G543</f>
        <v>2645.41</v>
      </c>
      <c r="E543" s="18" t="n">
        <f aca="false">AR_Aging!H543</f>
        <v>2193.24</v>
      </c>
      <c r="F543" s="16" t="n">
        <f aca="false">AR_Aging!I543</f>
        <v>141</v>
      </c>
      <c r="G543" s="16" t="str">
        <f aca="false">AR_Aging!K543</f>
        <v>Partially Paid</v>
      </c>
      <c r="H543" s="16" t="str">
        <f aca="false">IF(AND(G543="Unpaid",F543&gt;90),"HIGH - Fully Overdue 90+ Days",IF(G543="Partially Paid","MEDIUM - Short Paid","OK"))</f>
        <v>MEDIUM - Short Paid</v>
      </c>
    </row>
    <row r="544" customFormat="false" ht="15" hidden="false" customHeight="false" outlineLevel="0" collapsed="false">
      <c r="A544" s="16" t="str">
        <f aca="false">AR_Aging!A544</f>
        <v>ARI60540</v>
      </c>
      <c r="B544" s="16" t="str">
        <f aca="false">AR_Aging!C544</f>
        <v>Wright Inc</v>
      </c>
      <c r="C544" s="18" t="n">
        <f aca="false">AR_Aging!F544</f>
        <v>6378.14</v>
      </c>
      <c r="D544" s="18" t="n">
        <f aca="false">AR_Aging!G544</f>
        <v>0</v>
      </c>
      <c r="E544" s="18" t="n">
        <f aca="false">AR_Aging!H544</f>
        <v>6378.14</v>
      </c>
      <c r="F544" s="16" t="n">
        <f aca="false">AR_Aging!I544</f>
        <v>139</v>
      </c>
      <c r="G544" s="16" t="str">
        <f aca="false">AR_Aging!K544</f>
        <v>Unpaid</v>
      </c>
      <c r="H544" s="16" t="str">
        <f aca="false">IF(AND(G544="Unpaid",F544&gt;90),"HIGH - Fully Overdue 90+ Days",IF(G544="Partially Paid","MEDIUM - Short Paid","OK"))</f>
        <v>HIGH - Fully Overdue 90+ Days</v>
      </c>
    </row>
    <row r="545" customFormat="false" ht="15" hidden="false" customHeight="false" outlineLevel="0" collapsed="false">
      <c r="A545" s="16" t="str">
        <f aca="false">AR_Aging!A545</f>
        <v>ARI60541</v>
      </c>
      <c r="B545" s="16" t="str">
        <f aca="false">AR_Aging!C545</f>
        <v>Yu Inc</v>
      </c>
      <c r="C545" s="18" t="n">
        <f aca="false">AR_Aging!F545</f>
        <v>3755.82</v>
      </c>
      <c r="D545" s="18" t="n">
        <f aca="false">AR_Aging!G545</f>
        <v>3755.82</v>
      </c>
      <c r="E545" s="18" t="n">
        <f aca="false">AR_Aging!H545</f>
        <v>0</v>
      </c>
      <c r="F545" s="16" t="n">
        <f aca="false">AR_Aging!I545</f>
        <v>0</v>
      </c>
      <c r="G545" s="16" t="str">
        <f aca="false">AR_Aging!K545</f>
        <v>Paid</v>
      </c>
      <c r="H545" s="16" t="str">
        <f aca="false">IF(AND(G545="Unpaid",F545&gt;90),"HIGH - Fully Overdue 90+ Days",IF(G545="Partially Paid","MEDIUM - Short Paid","OK"))</f>
        <v>OK</v>
      </c>
    </row>
    <row r="546" customFormat="false" ht="15" hidden="false" customHeight="false" outlineLevel="0" collapsed="false">
      <c r="A546" s="16" t="str">
        <f aca="false">AR_Aging!A546</f>
        <v>ARI60542</v>
      </c>
      <c r="B546" s="16" t="str">
        <f aca="false">AR_Aging!C546</f>
        <v>Jones Inc</v>
      </c>
      <c r="C546" s="18" t="n">
        <f aca="false">AR_Aging!F546</f>
        <v>1123.7</v>
      </c>
      <c r="D546" s="18" t="n">
        <f aca="false">AR_Aging!G546</f>
        <v>1123.7</v>
      </c>
      <c r="E546" s="18" t="n">
        <f aca="false">AR_Aging!H546</f>
        <v>0</v>
      </c>
      <c r="F546" s="16" t="n">
        <f aca="false">AR_Aging!I546</f>
        <v>0</v>
      </c>
      <c r="G546" s="16" t="str">
        <f aca="false">AR_Aging!K546</f>
        <v>Paid</v>
      </c>
      <c r="H546" s="16" t="str">
        <f aca="false">IF(AND(G546="Unpaid",F546&gt;90),"HIGH - Fully Overdue 90+ Days",IF(G546="Partially Paid","MEDIUM - Short Paid","OK"))</f>
        <v>OK</v>
      </c>
    </row>
    <row r="547" customFormat="false" ht="15" hidden="false" customHeight="false" outlineLevel="0" collapsed="false">
      <c r="A547" s="16" t="str">
        <f aca="false">AR_Aging!A547</f>
        <v>ARI60543</v>
      </c>
      <c r="B547" s="16" t="str">
        <f aca="false">AR_Aging!C547</f>
        <v>Smith-Spencer</v>
      </c>
      <c r="C547" s="18" t="n">
        <f aca="false">AR_Aging!F547</f>
        <v>3764.46</v>
      </c>
      <c r="D547" s="18" t="n">
        <f aca="false">AR_Aging!G547</f>
        <v>0</v>
      </c>
      <c r="E547" s="18" t="n">
        <f aca="false">AR_Aging!H547</f>
        <v>3764.46</v>
      </c>
      <c r="F547" s="16" t="n">
        <f aca="false">AR_Aging!I547</f>
        <v>229</v>
      </c>
      <c r="G547" s="16" t="str">
        <f aca="false">AR_Aging!K547</f>
        <v>Unpaid</v>
      </c>
      <c r="H547" s="16" t="str">
        <f aca="false">IF(AND(G547="Unpaid",F547&gt;90),"HIGH - Fully Overdue 90+ Days",IF(G547="Partially Paid","MEDIUM - Short Paid","OK"))</f>
        <v>HIGH - Fully Overdue 90+ Days</v>
      </c>
    </row>
    <row r="548" customFormat="false" ht="15" hidden="false" customHeight="false" outlineLevel="0" collapsed="false">
      <c r="A548" s="16" t="str">
        <f aca="false">AR_Aging!A548</f>
        <v>ARI60544</v>
      </c>
      <c r="B548" s="16" t="str">
        <f aca="false">AR_Aging!C548</f>
        <v>Yu Inc</v>
      </c>
      <c r="C548" s="18" t="n">
        <f aca="false">AR_Aging!F548</f>
        <v>2234.86</v>
      </c>
      <c r="D548" s="18" t="n">
        <f aca="false">AR_Aging!G548</f>
        <v>0</v>
      </c>
      <c r="E548" s="18" t="n">
        <f aca="false">AR_Aging!H548</f>
        <v>2234.86</v>
      </c>
      <c r="F548" s="16" t="n">
        <f aca="false">AR_Aging!I548</f>
        <v>412</v>
      </c>
      <c r="G548" s="16" t="str">
        <f aca="false">AR_Aging!K548</f>
        <v>Unpaid</v>
      </c>
      <c r="H548" s="16" t="str">
        <f aca="false">IF(AND(G548="Unpaid",F548&gt;90),"HIGH - Fully Overdue 90+ Days",IF(G548="Partially Paid","MEDIUM - Short Paid","OK"))</f>
        <v>HIGH - Fully Overdue 90+ Days</v>
      </c>
    </row>
    <row r="549" customFormat="false" ht="15" hidden="false" customHeight="false" outlineLevel="0" collapsed="false">
      <c r="A549" s="16" t="str">
        <f aca="false">AR_Aging!A549</f>
        <v>ARI60545</v>
      </c>
      <c r="B549" s="16" t="str">
        <f aca="false">AR_Aging!C549</f>
        <v>Hensley, Powell and David</v>
      </c>
      <c r="C549" s="18" t="n">
        <f aca="false">AR_Aging!F549</f>
        <v>4226.05</v>
      </c>
      <c r="D549" s="18" t="n">
        <f aca="false">AR_Aging!G549</f>
        <v>0</v>
      </c>
      <c r="E549" s="18" t="n">
        <f aca="false">AR_Aging!H549</f>
        <v>4226.05</v>
      </c>
      <c r="F549" s="16" t="n">
        <f aca="false">AR_Aging!I549</f>
        <v>382</v>
      </c>
      <c r="G549" s="16" t="str">
        <f aca="false">AR_Aging!K549</f>
        <v>Unpaid</v>
      </c>
      <c r="H549" s="16" t="str">
        <f aca="false">IF(AND(G549="Unpaid",F549&gt;90),"HIGH - Fully Overdue 90+ Days",IF(G549="Partially Paid","MEDIUM - Short Paid","OK"))</f>
        <v>HIGH - Fully Overdue 90+ Days</v>
      </c>
    </row>
    <row r="550" customFormat="false" ht="15" hidden="false" customHeight="false" outlineLevel="0" collapsed="false">
      <c r="A550" s="16" t="str">
        <f aca="false">AR_Aging!A550</f>
        <v>ARI60546</v>
      </c>
      <c r="B550" s="16" t="str">
        <f aca="false">AR_Aging!C550</f>
        <v>Wright Inc</v>
      </c>
      <c r="C550" s="18" t="n">
        <f aca="false">AR_Aging!F550</f>
        <v>4407.52</v>
      </c>
      <c r="D550" s="18" t="n">
        <f aca="false">AR_Aging!G550</f>
        <v>2332.5</v>
      </c>
      <c r="E550" s="18" t="n">
        <f aca="false">AR_Aging!H550</f>
        <v>2075.02</v>
      </c>
      <c r="F550" s="16" t="n">
        <f aca="false">AR_Aging!I550</f>
        <v>227</v>
      </c>
      <c r="G550" s="16" t="str">
        <f aca="false">AR_Aging!K550</f>
        <v>Partially Paid</v>
      </c>
      <c r="H550" s="16" t="str">
        <f aca="false">IF(AND(G550="Unpaid",F550&gt;90),"HIGH - Fully Overdue 90+ Days",IF(G550="Partially Paid","MEDIUM - Short Paid","OK"))</f>
        <v>MEDIUM - Short Paid</v>
      </c>
    </row>
    <row r="551" customFormat="false" ht="15" hidden="false" customHeight="false" outlineLevel="0" collapsed="false">
      <c r="A551" s="16" t="str">
        <f aca="false">AR_Aging!A551</f>
        <v>ARI60547</v>
      </c>
      <c r="B551" s="16" t="str">
        <f aca="false">AR_Aging!C551</f>
        <v>Morton-Chase</v>
      </c>
      <c r="C551" s="18" t="n">
        <f aca="false">AR_Aging!F551</f>
        <v>1869.4</v>
      </c>
      <c r="D551" s="18" t="n">
        <f aca="false">AR_Aging!G551</f>
        <v>1869.4</v>
      </c>
      <c r="E551" s="18" t="n">
        <f aca="false">AR_Aging!H551</f>
        <v>0</v>
      </c>
      <c r="F551" s="16" t="n">
        <f aca="false">AR_Aging!I551</f>
        <v>0</v>
      </c>
      <c r="G551" s="16" t="str">
        <f aca="false">AR_Aging!K551</f>
        <v>Paid</v>
      </c>
      <c r="H551" s="16" t="str">
        <f aca="false">IF(AND(G551="Unpaid",F551&gt;90),"HIGH - Fully Overdue 90+ Days",IF(G551="Partially Paid","MEDIUM - Short Paid","OK"))</f>
        <v>OK</v>
      </c>
    </row>
    <row r="552" customFormat="false" ht="15" hidden="false" customHeight="false" outlineLevel="0" collapsed="false">
      <c r="A552" s="16" t="str">
        <f aca="false">AR_Aging!A552</f>
        <v>ARI60548</v>
      </c>
      <c r="B552" s="16" t="str">
        <f aca="false">AR_Aging!C552</f>
        <v>Daniels, Adkins and Brown</v>
      </c>
      <c r="C552" s="18" t="n">
        <f aca="false">AR_Aging!F552</f>
        <v>1558.3</v>
      </c>
      <c r="D552" s="18" t="n">
        <f aca="false">AR_Aging!G552</f>
        <v>0</v>
      </c>
      <c r="E552" s="18" t="n">
        <f aca="false">AR_Aging!H552</f>
        <v>1558.3</v>
      </c>
      <c r="F552" s="16" t="n">
        <f aca="false">AR_Aging!I552</f>
        <v>31</v>
      </c>
      <c r="G552" s="16" t="str">
        <f aca="false">AR_Aging!K552</f>
        <v>Unpaid</v>
      </c>
      <c r="H552" s="16" t="str">
        <f aca="false">IF(AND(G552="Unpaid",F552&gt;90),"HIGH - Fully Overdue 90+ Days",IF(G552="Partially Paid","MEDIUM - Short Paid","OK"))</f>
        <v>OK</v>
      </c>
    </row>
    <row r="553" customFormat="false" ht="15" hidden="false" customHeight="false" outlineLevel="0" collapsed="false">
      <c r="A553" s="16" t="str">
        <f aca="false">AR_Aging!A553</f>
        <v>ARI60549</v>
      </c>
      <c r="B553" s="16" t="str">
        <f aca="false">AR_Aging!C553</f>
        <v>Washington, Ryan and Cummings</v>
      </c>
      <c r="C553" s="18" t="n">
        <f aca="false">AR_Aging!F553</f>
        <v>986.91</v>
      </c>
      <c r="D553" s="18" t="n">
        <f aca="false">AR_Aging!G553</f>
        <v>0</v>
      </c>
      <c r="E553" s="18" t="n">
        <f aca="false">AR_Aging!H553</f>
        <v>986.91</v>
      </c>
      <c r="F553" s="16" t="n">
        <f aca="false">AR_Aging!I553</f>
        <v>399</v>
      </c>
      <c r="G553" s="16" t="str">
        <f aca="false">AR_Aging!K553</f>
        <v>Unpaid</v>
      </c>
      <c r="H553" s="16" t="str">
        <f aca="false">IF(AND(G553="Unpaid",F553&gt;90),"HIGH - Fully Overdue 90+ Days",IF(G553="Partially Paid","MEDIUM - Short Paid","OK"))</f>
        <v>HIGH - Fully Overdue 90+ Days</v>
      </c>
    </row>
    <row r="554" customFormat="false" ht="15" hidden="false" customHeight="false" outlineLevel="0" collapsed="false">
      <c r="A554" s="16" t="str">
        <f aca="false">AR_Aging!A554</f>
        <v>ARI60550</v>
      </c>
      <c r="B554" s="16" t="str">
        <f aca="false">AR_Aging!C554</f>
        <v>Yu Inc</v>
      </c>
      <c r="C554" s="18" t="n">
        <f aca="false">AR_Aging!F554</f>
        <v>533.42</v>
      </c>
      <c r="D554" s="18" t="n">
        <f aca="false">AR_Aging!G554</f>
        <v>533.42</v>
      </c>
      <c r="E554" s="18" t="n">
        <f aca="false">AR_Aging!H554</f>
        <v>0</v>
      </c>
      <c r="F554" s="16" t="n">
        <f aca="false">AR_Aging!I554</f>
        <v>0</v>
      </c>
      <c r="G554" s="16" t="str">
        <f aca="false">AR_Aging!K554</f>
        <v>Paid</v>
      </c>
      <c r="H554" s="16" t="str">
        <f aca="false">IF(AND(G554="Unpaid",F554&gt;90),"HIGH - Fully Overdue 90+ Days",IF(G554="Partially Paid","MEDIUM - Short Paid","OK"))</f>
        <v>OK</v>
      </c>
    </row>
    <row r="555" customFormat="false" ht="15" hidden="false" customHeight="false" outlineLevel="0" collapsed="false">
      <c r="A555" s="16" t="str">
        <f aca="false">AR_Aging!A555</f>
        <v>ARI60551</v>
      </c>
      <c r="B555" s="16" t="str">
        <f aca="false">AR_Aging!C555</f>
        <v>Jones Inc</v>
      </c>
      <c r="C555" s="18" t="n">
        <f aca="false">AR_Aging!F555</f>
        <v>1235.59</v>
      </c>
      <c r="D555" s="18" t="n">
        <f aca="false">AR_Aging!G555</f>
        <v>1235.59</v>
      </c>
      <c r="E555" s="18" t="n">
        <f aca="false">AR_Aging!H555</f>
        <v>0</v>
      </c>
      <c r="F555" s="16" t="n">
        <f aca="false">AR_Aging!I555</f>
        <v>0</v>
      </c>
      <c r="G555" s="16" t="str">
        <f aca="false">AR_Aging!K555</f>
        <v>Paid</v>
      </c>
      <c r="H555" s="16" t="str">
        <f aca="false">IF(AND(G555="Unpaid",F555&gt;90),"HIGH - Fully Overdue 90+ Days",IF(G555="Partially Paid","MEDIUM - Short Paid","OK"))</f>
        <v>OK</v>
      </c>
    </row>
    <row r="556" customFormat="false" ht="15" hidden="false" customHeight="false" outlineLevel="0" collapsed="false">
      <c r="A556" s="16" t="str">
        <f aca="false">AR_Aging!A556</f>
        <v>ARI60552</v>
      </c>
      <c r="B556" s="16" t="str">
        <f aca="false">AR_Aging!C556</f>
        <v>Smith-Spencer</v>
      </c>
      <c r="C556" s="18" t="n">
        <f aca="false">AR_Aging!F556</f>
        <v>3621.75</v>
      </c>
      <c r="D556" s="18" t="n">
        <f aca="false">AR_Aging!G556</f>
        <v>3621.75</v>
      </c>
      <c r="E556" s="18" t="n">
        <f aca="false">AR_Aging!H556</f>
        <v>0</v>
      </c>
      <c r="F556" s="16" t="n">
        <f aca="false">AR_Aging!I556</f>
        <v>0</v>
      </c>
      <c r="G556" s="16" t="str">
        <f aca="false">AR_Aging!K556</f>
        <v>Paid</v>
      </c>
      <c r="H556" s="16" t="str">
        <f aca="false">IF(AND(G556="Unpaid",F556&gt;90),"HIGH - Fully Overdue 90+ Days",IF(G556="Partially Paid","MEDIUM - Short Paid","OK"))</f>
        <v>OK</v>
      </c>
    </row>
    <row r="557" customFormat="false" ht="15" hidden="false" customHeight="false" outlineLevel="0" collapsed="false">
      <c r="A557" s="16" t="str">
        <f aca="false">AR_Aging!A557</f>
        <v>ARI60553</v>
      </c>
      <c r="B557" s="16" t="str">
        <f aca="false">AR_Aging!C557</f>
        <v>Brown, Valdez and Lucas</v>
      </c>
      <c r="C557" s="18" t="n">
        <f aca="false">AR_Aging!F557</f>
        <v>621.35</v>
      </c>
      <c r="D557" s="18" t="n">
        <f aca="false">AR_Aging!G557</f>
        <v>310.9</v>
      </c>
      <c r="E557" s="18" t="n">
        <f aca="false">AR_Aging!H557</f>
        <v>310.45</v>
      </c>
      <c r="F557" s="16" t="n">
        <f aca="false">AR_Aging!I557</f>
        <v>344</v>
      </c>
      <c r="G557" s="16" t="str">
        <f aca="false">AR_Aging!K557</f>
        <v>Partially Paid</v>
      </c>
      <c r="H557" s="16" t="str">
        <f aca="false">IF(AND(G557="Unpaid",F557&gt;90),"HIGH - Fully Overdue 90+ Days",IF(G557="Partially Paid","MEDIUM - Short Paid","OK"))</f>
        <v>MEDIUM - Short Paid</v>
      </c>
    </row>
    <row r="558" customFormat="false" ht="15" hidden="false" customHeight="false" outlineLevel="0" collapsed="false">
      <c r="A558" s="16" t="str">
        <f aca="false">AR_Aging!A558</f>
        <v>ARI60554</v>
      </c>
      <c r="B558" s="16" t="str">
        <f aca="false">AR_Aging!C558</f>
        <v>Baxter Inc</v>
      </c>
      <c r="C558" s="18" t="n">
        <f aca="false">AR_Aging!F558</f>
        <v>434.92</v>
      </c>
      <c r="D558" s="18" t="n">
        <f aca="false">AR_Aging!G558</f>
        <v>434.92</v>
      </c>
      <c r="E558" s="18" t="n">
        <f aca="false">AR_Aging!H558</f>
        <v>0</v>
      </c>
      <c r="F558" s="16" t="n">
        <f aca="false">AR_Aging!I558</f>
        <v>0</v>
      </c>
      <c r="G558" s="16" t="str">
        <f aca="false">AR_Aging!K558</f>
        <v>Paid</v>
      </c>
      <c r="H558" s="16" t="str">
        <f aca="false">IF(AND(G558="Unpaid",F558&gt;90),"HIGH - Fully Overdue 90+ Days",IF(G558="Partially Paid","MEDIUM - Short Paid","OK"))</f>
        <v>OK</v>
      </c>
    </row>
    <row r="559" customFormat="false" ht="15" hidden="false" customHeight="false" outlineLevel="0" collapsed="false">
      <c r="A559" s="16" t="str">
        <f aca="false">AR_Aging!A559</f>
        <v>ARI60555</v>
      </c>
      <c r="B559" s="16" t="str">
        <f aca="false">AR_Aging!C559</f>
        <v>Russell Group</v>
      </c>
      <c r="C559" s="18" t="n">
        <f aca="false">AR_Aging!F559</f>
        <v>2192.72</v>
      </c>
      <c r="D559" s="18" t="n">
        <f aca="false">AR_Aging!G559</f>
        <v>1575.31</v>
      </c>
      <c r="E559" s="18" t="n">
        <f aca="false">AR_Aging!H559</f>
        <v>617.41</v>
      </c>
      <c r="F559" s="16" t="n">
        <f aca="false">AR_Aging!I559</f>
        <v>53</v>
      </c>
      <c r="G559" s="16" t="str">
        <f aca="false">AR_Aging!K559</f>
        <v>Partially Paid</v>
      </c>
      <c r="H559" s="16" t="str">
        <f aca="false">IF(AND(G559="Unpaid",F559&gt;90),"HIGH - Fully Overdue 90+ Days",IF(G559="Partially Paid","MEDIUM - Short Paid","OK"))</f>
        <v>MEDIUM - Short Paid</v>
      </c>
    </row>
    <row r="560" customFormat="false" ht="15" hidden="false" customHeight="false" outlineLevel="0" collapsed="false">
      <c r="A560" s="16" t="str">
        <f aca="false">AR_Aging!A560</f>
        <v>ARI60556</v>
      </c>
      <c r="B560" s="16" t="str">
        <f aca="false">AR_Aging!C560</f>
        <v>Washington, Ryan and Cummings</v>
      </c>
      <c r="C560" s="18" t="n">
        <f aca="false">AR_Aging!F560</f>
        <v>4060.23</v>
      </c>
      <c r="D560" s="18" t="n">
        <f aca="false">AR_Aging!G560</f>
        <v>4060.23</v>
      </c>
      <c r="E560" s="18" t="n">
        <f aca="false">AR_Aging!H560</f>
        <v>0</v>
      </c>
      <c r="F560" s="16" t="n">
        <f aca="false">AR_Aging!I560</f>
        <v>0</v>
      </c>
      <c r="G560" s="16" t="str">
        <f aca="false">AR_Aging!K560</f>
        <v>Paid</v>
      </c>
      <c r="H560" s="16" t="str">
        <f aca="false">IF(AND(G560="Unpaid",F560&gt;90),"HIGH - Fully Overdue 90+ Days",IF(G560="Partially Paid","MEDIUM - Short Paid","OK"))</f>
        <v>OK</v>
      </c>
    </row>
    <row r="561" customFormat="false" ht="15" hidden="false" customHeight="false" outlineLevel="0" collapsed="false">
      <c r="A561" s="16" t="str">
        <f aca="false">AR_Aging!A561</f>
        <v>ARI60557</v>
      </c>
      <c r="B561" s="16" t="str">
        <f aca="false">AR_Aging!C561</f>
        <v>Washington, Ryan and Cummings</v>
      </c>
      <c r="C561" s="18" t="n">
        <f aca="false">AR_Aging!F561</f>
        <v>1038.25</v>
      </c>
      <c r="D561" s="18" t="n">
        <f aca="false">AR_Aging!G561</f>
        <v>446.95</v>
      </c>
      <c r="E561" s="18" t="n">
        <f aca="false">AR_Aging!H561</f>
        <v>591.3</v>
      </c>
      <c r="F561" s="16" t="n">
        <f aca="false">AR_Aging!I561</f>
        <v>412</v>
      </c>
      <c r="G561" s="16" t="str">
        <f aca="false">AR_Aging!K561</f>
        <v>Partially Paid</v>
      </c>
      <c r="H561" s="16" t="str">
        <f aca="false">IF(AND(G561="Unpaid",F561&gt;90),"HIGH - Fully Overdue 90+ Days",IF(G561="Partially Paid","MEDIUM - Short Paid","OK"))</f>
        <v>MEDIUM - Short Paid</v>
      </c>
    </row>
    <row r="562" customFormat="false" ht="15" hidden="false" customHeight="false" outlineLevel="0" collapsed="false">
      <c r="A562" s="16" t="str">
        <f aca="false">AR_Aging!A562</f>
        <v>ARI60558</v>
      </c>
      <c r="B562" s="16" t="str">
        <f aca="false">AR_Aging!C562</f>
        <v>Daniels, Adkins and Brown</v>
      </c>
      <c r="C562" s="18" t="n">
        <f aca="false">AR_Aging!F562</f>
        <v>769.32</v>
      </c>
      <c r="D562" s="18" t="n">
        <f aca="false">AR_Aging!G562</f>
        <v>769.32</v>
      </c>
      <c r="E562" s="18" t="n">
        <f aca="false">AR_Aging!H562</f>
        <v>0</v>
      </c>
      <c r="F562" s="16" t="n">
        <f aca="false">AR_Aging!I562</f>
        <v>0</v>
      </c>
      <c r="G562" s="16" t="str">
        <f aca="false">AR_Aging!K562</f>
        <v>Paid</v>
      </c>
      <c r="H562" s="16" t="str">
        <f aca="false">IF(AND(G562="Unpaid",F562&gt;90),"HIGH - Fully Overdue 90+ Days",IF(G562="Partially Paid","MEDIUM - Short Paid","OK"))</f>
        <v>OK</v>
      </c>
    </row>
    <row r="563" customFormat="false" ht="15" hidden="false" customHeight="false" outlineLevel="0" collapsed="false">
      <c r="A563" s="16" t="str">
        <f aca="false">AR_Aging!A563</f>
        <v>ARI60559</v>
      </c>
      <c r="B563" s="16" t="str">
        <f aca="false">AR_Aging!C563</f>
        <v>Henderson-Bernard</v>
      </c>
      <c r="C563" s="18" t="n">
        <f aca="false">AR_Aging!F563</f>
        <v>1309.37</v>
      </c>
      <c r="D563" s="18" t="n">
        <f aca="false">AR_Aging!G563</f>
        <v>1309.37</v>
      </c>
      <c r="E563" s="18" t="n">
        <f aca="false">AR_Aging!H563</f>
        <v>0</v>
      </c>
      <c r="F563" s="16" t="n">
        <f aca="false">AR_Aging!I563</f>
        <v>0</v>
      </c>
      <c r="G563" s="16" t="str">
        <f aca="false">AR_Aging!K563</f>
        <v>Paid</v>
      </c>
      <c r="H563" s="16" t="str">
        <f aca="false">IF(AND(G563="Unpaid",F563&gt;90),"HIGH - Fully Overdue 90+ Days",IF(G563="Partially Paid","MEDIUM - Short Paid","OK"))</f>
        <v>OK</v>
      </c>
    </row>
    <row r="564" customFormat="false" ht="15" hidden="false" customHeight="false" outlineLevel="0" collapsed="false">
      <c r="A564" s="16" t="str">
        <f aca="false">AR_Aging!A564</f>
        <v>ARI60560</v>
      </c>
      <c r="B564" s="16" t="str">
        <f aca="false">AR_Aging!C564</f>
        <v>Daniels, Adkins and Brown</v>
      </c>
      <c r="C564" s="18" t="n">
        <f aca="false">AR_Aging!F564</f>
        <v>936.39</v>
      </c>
      <c r="D564" s="18" t="n">
        <f aca="false">AR_Aging!G564</f>
        <v>936.39</v>
      </c>
      <c r="E564" s="18" t="n">
        <f aca="false">AR_Aging!H564</f>
        <v>0</v>
      </c>
      <c r="F564" s="16" t="n">
        <f aca="false">AR_Aging!I564</f>
        <v>0</v>
      </c>
      <c r="G564" s="16" t="str">
        <f aca="false">AR_Aging!K564</f>
        <v>Paid</v>
      </c>
      <c r="H564" s="16" t="str">
        <f aca="false">IF(AND(G564="Unpaid",F564&gt;90),"HIGH - Fully Overdue 90+ Days",IF(G564="Partially Paid","MEDIUM - Short Paid","OK"))</f>
        <v>OK</v>
      </c>
    </row>
    <row r="565" customFormat="false" ht="15" hidden="false" customHeight="false" outlineLevel="0" collapsed="false">
      <c r="A565" s="16" t="str">
        <f aca="false">AR_Aging!A565</f>
        <v>ARI60561</v>
      </c>
      <c r="B565" s="16" t="str">
        <f aca="false">AR_Aging!C565</f>
        <v>Stanley, Tucker and Lee</v>
      </c>
      <c r="C565" s="18" t="n">
        <f aca="false">AR_Aging!F565</f>
        <v>1399.11</v>
      </c>
      <c r="D565" s="18" t="n">
        <f aca="false">AR_Aging!G565</f>
        <v>0</v>
      </c>
      <c r="E565" s="18" t="n">
        <f aca="false">AR_Aging!H565</f>
        <v>1399.11</v>
      </c>
      <c r="F565" s="16" t="n">
        <f aca="false">AR_Aging!I565</f>
        <v>0</v>
      </c>
      <c r="G565" s="16" t="str">
        <f aca="false">AR_Aging!K565</f>
        <v>Unpaid</v>
      </c>
      <c r="H565" s="16" t="str">
        <f aca="false">IF(AND(G565="Unpaid",F565&gt;90),"HIGH - Fully Overdue 90+ Days",IF(G565="Partially Paid","MEDIUM - Short Paid","OK"))</f>
        <v>OK</v>
      </c>
    </row>
    <row r="566" customFormat="false" ht="15" hidden="false" customHeight="false" outlineLevel="0" collapsed="false">
      <c r="A566" s="16" t="str">
        <f aca="false">AR_Aging!A566</f>
        <v>ARI60562</v>
      </c>
      <c r="B566" s="16" t="str">
        <f aca="false">AR_Aging!C566</f>
        <v>West, Henderson and Ramirez</v>
      </c>
      <c r="C566" s="18" t="n">
        <f aca="false">AR_Aging!F566</f>
        <v>685.41</v>
      </c>
      <c r="D566" s="18" t="n">
        <f aca="false">AR_Aging!G566</f>
        <v>685.41</v>
      </c>
      <c r="E566" s="18" t="n">
        <f aca="false">AR_Aging!H566</f>
        <v>0</v>
      </c>
      <c r="F566" s="16" t="n">
        <f aca="false">AR_Aging!I566</f>
        <v>0</v>
      </c>
      <c r="G566" s="16" t="str">
        <f aca="false">AR_Aging!K566</f>
        <v>Paid</v>
      </c>
      <c r="H566" s="16" t="str">
        <f aca="false">IF(AND(G566="Unpaid",F566&gt;90),"HIGH - Fully Overdue 90+ Days",IF(G566="Partially Paid","MEDIUM - Short Paid","OK"))</f>
        <v>OK</v>
      </c>
    </row>
    <row r="567" customFormat="false" ht="15" hidden="false" customHeight="false" outlineLevel="0" collapsed="false">
      <c r="A567" s="16" t="str">
        <f aca="false">AR_Aging!A567</f>
        <v>ARI60563</v>
      </c>
      <c r="B567" s="16" t="str">
        <f aca="false">AR_Aging!C567</f>
        <v>House-Glover</v>
      </c>
      <c r="C567" s="18" t="n">
        <f aca="false">AR_Aging!F567</f>
        <v>2090.4</v>
      </c>
      <c r="D567" s="18" t="n">
        <f aca="false">AR_Aging!G567</f>
        <v>0</v>
      </c>
      <c r="E567" s="18" t="n">
        <f aca="false">AR_Aging!H567</f>
        <v>2090.4</v>
      </c>
      <c r="F567" s="16" t="n">
        <f aca="false">AR_Aging!I567</f>
        <v>0</v>
      </c>
      <c r="G567" s="16" t="str">
        <f aca="false">AR_Aging!K567</f>
        <v>Unpaid</v>
      </c>
      <c r="H567" s="16" t="str">
        <f aca="false">IF(AND(G567="Unpaid",F567&gt;90),"HIGH - Fully Overdue 90+ Days",IF(G567="Partially Paid","MEDIUM - Short Paid","OK"))</f>
        <v>OK</v>
      </c>
    </row>
    <row r="568" customFormat="false" ht="15" hidden="false" customHeight="false" outlineLevel="0" collapsed="false">
      <c r="A568" s="16" t="str">
        <f aca="false">AR_Aging!A568</f>
        <v>ARI60564</v>
      </c>
      <c r="B568" s="16" t="str">
        <f aca="false">AR_Aging!C568</f>
        <v>Smith-Spencer</v>
      </c>
      <c r="C568" s="18" t="n">
        <f aca="false">AR_Aging!F568</f>
        <v>4359.06</v>
      </c>
      <c r="D568" s="18" t="n">
        <f aca="false">AR_Aging!G568</f>
        <v>2400.89</v>
      </c>
      <c r="E568" s="18" t="n">
        <f aca="false">AR_Aging!H568</f>
        <v>1958.17</v>
      </c>
      <c r="F568" s="16" t="n">
        <f aca="false">AR_Aging!I568</f>
        <v>123</v>
      </c>
      <c r="G568" s="16" t="str">
        <f aca="false">AR_Aging!K568</f>
        <v>Partially Paid</v>
      </c>
      <c r="H568" s="16" t="str">
        <f aca="false">IF(AND(G568="Unpaid",F568&gt;90),"HIGH - Fully Overdue 90+ Days",IF(G568="Partially Paid","MEDIUM - Short Paid","OK"))</f>
        <v>MEDIUM - Short Paid</v>
      </c>
    </row>
    <row r="569" customFormat="false" ht="15" hidden="false" customHeight="false" outlineLevel="0" collapsed="false">
      <c r="A569" s="16" t="str">
        <f aca="false">AR_Aging!A569</f>
        <v>ARI60565</v>
      </c>
      <c r="B569" s="16" t="str">
        <f aca="false">AR_Aging!C569</f>
        <v>Woods, Calhoun and Schmidt</v>
      </c>
      <c r="C569" s="18" t="n">
        <f aca="false">AR_Aging!F569</f>
        <v>19038.18</v>
      </c>
      <c r="D569" s="18" t="n">
        <f aca="false">AR_Aging!G569</f>
        <v>19038.18</v>
      </c>
      <c r="E569" s="18" t="n">
        <f aca="false">AR_Aging!H569</f>
        <v>0</v>
      </c>
      <c r="F569" s="16" t="n">
        <f aca="false">AR_Aging!I569</f>
        <v>0</v>
      </c>
      <c r="G569" s="16" t="str">
        <f aca="false">AR_Aging!K569</f>
        <v>Paid</v>
      </c>
      <c r="H569" s="16" t="str">
        <f aca="false">IF(AND(G569="Unpaid",F569&gt;90),"HIGH - Fully Overdue 90+ Days",IF(G569="Partially Paid","MEDIUM - Short Paid","OK"))</f>
        <v>OK</v>
      </c>
    </row>
    <row r="570" customFormat="false" ht="15" hidden="false" customHeight="false" outlineLevel="0" collapsed="false">
      <c r="A570" s="16" t="str">
        <f aca="false">AR_Aging!A570</f>
        <v>ARI60566</v>
      </c>
      <c r="B570" s="16" t="str">
        <f aca="false">AR_Aging!C570</f>
        <v>Yu Inc</v>
      </c>
      <c r="C570" s="18" t="n">
        <f aca="false">AR_Aging!F570</f>
        <v>1340.55</v>
      </c>
      <c r="D570" s="18" t="n">
        <f aca="false">AR_Aging!G570</f>
        <v>0</v>
      </c>
      <c r="E570" s="18" t="n">
        <f aca="false">AR_Aging!H570</f>
        <v>1340.55</v>
      </c>
      <c r="F570" s="16" t="n">
        <f aca="false">AR_Aging!I570</f>
        <v>360</v>
      </c>
      <c r="G570" s="16" t="str">
        <f aca="false">AR_Aging!K570</f>
        <v>Unpaid</v>
      </c>
      <c r="H570" s="16" t="str">
        <f aca="false">IF(AND(G570="Unpaid",F570&gt;90),"HIGH - Fully Overdue 90+ Days",IF(G570="Partially Paid","MEDIUM - Short Paid","OK"))</f>
        <v>HIGH - Fully Overdue 90+ Days</v>
      </c>
    </row>
    <row r="571" customFormat="false" ht="15" hidden="false" customHeight="false" outlineLevel="0" collapsed="false">
      <c r="A571" s="16" t="str">
        <f aca="false">AR_Aging!A571</f>
        <v>ARI60567</v>
      </c>
      <c r="B571" s="16" t="str">
        <f aca="false">AR_Aging!C571</f>
        <v>Daniels, Adkins and Brown</v>
      </c>
      <c r="C571" s="18" t="n">
        <f aca="false">AR_Aging!F571</f>
        <v>2291.28</v>
      </c>
      <c r="D571" s="18" t="n">
        <f aca="false">AR_Aging!G571</f>
        <v>2291.28</v>
      </c>
      <c r="E571" s="18" t="n">
        <f aca="false">AR_Aging!H571</f>
        <v>0</v>
      </c>
      <c r="F571" s="16" t="n">
        <f aca="false">AR_Aging!I571</f>
        <v>0</v>
      </c>
      <c r="G571" s="16" t="str">
        <f aca="false">AR_Aging!K571</f>
        <v>Paid</v>
      </c>
      <c r="H571" s="16" t="str">
        <f aca="false">IF(AND(G571="Unpaid",F571&gt;90),"HIGH - Fully Overdue 90+ Days",IF(G571="Partially Paid","MEDIUM - Short Paid","OK"))</f>
        <v>OK</v>
      </c>
    </row>
    <row r="572" customFormat="false" ht="15" hidden="false" customHeight="false" outlineLevel="0" collapsed="false">
      <c r="A572" s="16" t="str">
        <f aca="false">AR_Aging!A572</f>
        <v>ARI60568</v>
      </c>
      <c r="B572" s="16" t="str">
        <f aca="false">AR_Aging!C572</f>
        <v>West, Henderson and Ramirez</v>
      </c>
      <c r="C572" s="18" t="n">
        <f aca="false">AR_Aging!F572</f>
        <v>249.31</v>
      </c>
      <c r="D572" s="18" t="n">
        <f aca="false">AR_Aging!G572</f>
        <v>249.31</v>
      </c>
      <c r="E572" s="18" t="n">
        <f aca="false">AR_Aging!H572</f>
        <v>0</v>
      </c>
      <c r="F572" s="16" t="n">
        <f aca="false">AR_Aging!I572</f>
        <v>0</v>
      </c>
      <c r="G572" s="16" t="str">
        <f aca="false">AR_Aging!K572</f>
        <v>Paid</v>
      </c>
      <c r="H572" s="16" t="str">
        <f aca="false">IF(AND(G572="Unpaid",F572&gt;90),"HIGH - Fully Overdue 90+ Days",IF(G572="Partially Paid","MEDIUM - Short Paid","OK"))</f>
        <v>OK</v>
      </c>
    </row>
    <row r="573" customFormat="false" ht="15" hidden="false" customHeight="false" outlineLevel="0" collapsed="false">
      <c r="A573" s="16" t="str">
        <f aca="false">AR_Aging!A573</f>
        <v>ARI60569</v>
      </c>
      <c r="B573" s="16" t="str">
        <f aca="false">AR_Aging!C573</f>
        <v>Yu Inc</v>
      </c>
      <c r="C573" s="18" t="n">
        <f aca="false">AR_Aging!F573</f>
        <v>1973.38</v>
      </c>
      <c r="D573" s="18" t="n">
        <f aca="false">AR_Aging!G573</f>
        <v>1973.38</v>
      </c>
      <c r="E573" s="18" t="n">
        <f aca="false">AR_Aging!H573</f>
        <v>0</v>
      </c>
      <c r="F573" s="16" t="n">
        <f aca="false">AR_Aging!I573</f>
        <v>0</v>
      </c>
      <c r="G573" s="16" t="str">
        <f aca="false">AR_Aging!K573</f>
        <v>Paid</v>
      </c>
      <c r="H573" s="16" t="str">
        <f aca="false">IF(AND(G573="Unpaid",F573&gt;90),"HIGH - Fully Overdue 90+ Days",IF(G573="Partially Paid","MEDIUM - Short Paid","OK"))</f>
        <v>OK</v>
      </c>
    </row>
    <row r="574" customFormat="false" ht="15" hidden="false" customHeight="false" outlineLevel="0" collapsed="false">
      <c r="A574" s="16" t="str">
        <f aca="false">AR_Aging!A574</f>
        <v>ARI60570</v>
      </c>
      <c r="B574" s="16" t="str">
        <f aca="false">AR_Aging!C574</f>
        <v>Gomez-Jenkins</v>
      </c>
      <c r="C574" s="18" t="n">
        <f aca="false">AR_Aging!F574</f>
        <v>1252.42</v>
      </c>
      <c r="D574" s="18" t="n">
        <f aca="false">AR_Aging!G574</f>
        <v>1252.42</v>
      </c>
      <c r="E574" s="18" t="n">
        <f aca="false">AR_Aging!H574</f>
        <v>0</v>
      </c>
      <c r="F574" s="16" t="n">
        <f aca="false">AR_Aging!I574</f>
        <v>0</v>
      </c>
      <c r="G574" s="16" t="str">
        <f aca="false">AR_Aging!K574</f>
        <v>Paid</v>
      </c>
      <c r="H574" s="16" t="str">
        <f aca="false">IF(AND(G574="Unpaid",F574&gt;90),"HIGH - Fully Overdue 90+ Days",IF(G574="Partially Paid","MEDIUM - Short Paid","OK"))</f>
        <v>OK</v>
      </c>
    </row>
    <row r="575" customFormat="false" ht="15" hidden="false" customHeight="false" outlineLevel="0" collapsed="false">
      <c r="A575" s="16" t="str">
        <f aca="false">AR_Aging!A575</f>
        <v>ARI60571</v>
      </c>
      <c r="B575" s="16" t="str">
        <f aca="false">AR_Aging!C575</f>
        <v>Jones Inc</v>
      </c>
      <c r="C575" s="18" t="n">
        <f aca="false">AR_Aging!F575</f>
        <v>304.24</v>
      </c>
      <c r="D575" s="18" t="n">
        <f aca="false">AR_Aging!G575</f>
        <v>304.24</v>
      </c>
      <c r="E575" s="18" t="n">
        <f aca="false">AR_Aging!H575</f>
        <v>0</v>
      </c>
      <c r="F575" s="16" t="n">
        <f aca="false">AR_Aging!I575</f>
        <v>0</v>
      </c>
      <c r="G575" s="16" t="str">
        <f aca="false">AR_Aging!K575</f>
        <v>Paid</v>
      </c>
      <c r="H575" s="16" t="str">
        <f aca="false">IF(AND(G575="Unpaid",F575&gt;90),"HIGH - Fully Overdue 90+ Days",IF(G575="Partially Paid","MEDIUM - Short Paid","OK"))</f>
        <v>OK</v>
      </c>
    </row>
    <row r="576" customFormat="false" ht="15" hidden="false" customHeight="false" outlineLevel="0" collapsed="false">
      <c r="A576" s="16" t="str">
        <f aca="false">AR_Aging!A576</f>
        <v>ARI60572</v>
      </c>
      <c r="B576" s="16" t="str">
        <f aca="false">AR_Aging!C576</f>
        <v>Yu Inc</v>
      </c>
      <c r="C576" s="18" t="n">
        <f aca="false">AR_Aging!F576</f>
        <v>3223.74</v>
      </c>
      <c r="D576" s="18" t="n">
        <f aca="false">AR_Aging!G576</f>
        <v>1479.95</v>
      </c>
      <c r="E576" s="18" t="n">
        <f aca="false">AR_Aging!H576</f>
        <v>1743.79</v>
      </c>
      <c r="F576" s="16" t="n">
        <f aca="false">AR_Aging!I576</f>
        <v>406</v>
      </c>
      <c r="G576" s="16" t="str">
        <f aca="false">AR_Aging!K576</f>
        <v>Partially Paid</v>
      </c>
      <c r="H576" s="16" t="str">
        <f aca="false">IF(AND(G576="Unpaid",F576&gt;90),"HIGH - Fully Overdue 90+ Days",IF(G576="Partially Paid","MEDIUM - Short Paid","OK"))</f>
        <v>MEDIUM - Short Paid</v>
      </c>
    </row>
    <row r="577" customFormat="false" ht="15" hidden="false" customHeight="false" outlineLevel="0" collapsed="false">
      <c r="A577" s="16" t="str">
        <f aca="false">AR_Aging!A577</f>
        <v>ARI60573</v>
      </c>
      <c r="B577" s="16" t="str">
        <f aca="false">AR_Aging!C577</f>
        <v>Sanchez, Wheeler and Harvey</v>
      </c>
      <c r="C577" s="18" t="n">
        <f aca="false">AR_Aging!F577</f>
        <v>3207.98</v>
      </c>
      <c r="D577" s="18" t="n">
        <f aca="false">AR_Aging!G577</f>
        <v>3207.98</v>
      </c>
      <c r="E577" s="18" t="n">
        <f aca="false">AR_Aging!H577</f>
        <v>0</v>
      </c>
      <c r="F577" s="16" t="n">
        <f aca="false">AR_Aging!I577</f>
        <v>0</v>
      </c>
      <c r="G577" s="16" t="str">
        <f aca="false">AR_Aging!K577</f>
        <v>Paid</v>
      </c>
      <c r="H577" s="16" t="str">
        <f aca="false">IF(AND(G577="Unpaid",F577&gt;90),"HIGH - Fully Overdue 90+ Days",IF(G577="Partially Paid","MEDIUM - Short Paid","OK"))</f>
        <v>OK</v>
      </c>
    </row>
    <row r="578" customFormat="false" ht="15" hidden="false" customHeight="false" outlineLevel="0" collapsed="false">
      <c r="A578" s="16" t="str">
        <f aca="false">AR_Aging!A578</f>
        <v>ARI60574</v>
      </c>
      <c r="B578" s="16" t="str">
        <f aca="false">AR_Aging!C578</f>
        <v>Johnston, Sanchez and Kennedy</v>
      </c>
      <c r="C578" s="18" t="n">
        <f aca="false">AR_Aging!F578</f>
        <v>2634.36</v>
      </c>
      <c r="D578" s="18" t="n">
        <f aca="false">AR_Aging!G578</f>
        <v>874.24</v>
      </c>
      <c r="E578" s="18" t="n">
        <f aca="false">AR_Aging!H578</f>
        <v>1760.12</v>
      </c>
      <c r="F578" s="16" t="n">
        <f aca="false">AR_Aging!I578</f>
        <v>38</v>
      </c>
      <c r="G578" s="16" t="str">
        <f aca="false">AR_Aging!K578</f>
        <v>Partially Paid</v>
      </c>
      <c r="H578" s="16" t="str">
        <f aca="false">IF(AND(G578="Unpaid",F578&gt;90),"HIGH - Fully Overdue 90+ Days",IF(G578="Partially Paid","MEDIUM - Short Paid","OK"))</f>
        <v>MEDIUM - Short Paid</v>
      </c>
    </row>
    <row r="579" customFormat="false" ht="15" hidden="false" customHeight="false" outlineLevel="0" collapsed="false">
      <c r="A579" s="16" t="str">
        <f aca="false">AR_Aging!A579</f>
        <v>ARI60575</v>
      </c>
      <c r="B579" s="16" t="str">
        <f aca="false">AR_Aging!C579</f>
        <v>House-Glover</v>
      </c>
      <c r="C579" s="18" t="n">
        <f aca="false">AR_Aging!F579</f>
        <v>433.9</v>
      </c>
      <c r="D579" s="18" t="n">
        <f aca="false">AR_Aging!G579</f>
        <v>433.9</v>
      </c>
      <c r="E579" s="18" t="n">
        <f aca="false">AR_Aging!H579</f>
        <v>0</v>
      </c>
      <c r="F579" s="16" t="n">
        <f aca="false">AR_Aging!I579</f>
        <v>0</v>
      </c>
      <c r="G579" s="16" t="str">
        <f aca="false">AR_Aging!K579</f>
        <v>Paid</v>
      </c>
      <c r="H579" s="16" t="str">
        <f aca="false">IF(AND(G579="Unpaid",F579&gt;90),"HIGH - Fully Overdue 90+ Days",IF(G579="Partially Paid","MEDIUM - Short Paid","OK"))</f>
        <v>OK</v>
      </c>
    </row>
    <row r="580" customFormat="false" ht="15" hidden="false" customHeight="false" outlineLevel="0" collapsed="false">
      <c r="A580" s="16" t="str">
        <f aca="false">AR_Aging!A580</f>
        <v>ARI60576</v>
      </c>
      <c r="B580" s="16" t="str">
        <f aca="false">AR_Aging!C580</f>
        <v>Hancock Inc</v>
      </c>
      <c r="C580" s="18" t="n">
        <f aca="false">AR_Aging!F580</f>
        <v>7401.16</v>
      </c>
      <c r="D580" s="18" t="n">
        <f aca="false">AR_Aging!G580</f>
        <v>7401.16</v>
      </c>
      <c r="E580" s="18" t="n">
        <f aca="false">AR_Aging!H580</f>
        <v>0</v>
      </c>
      <c r="F580" s="16" t="n">
        <f aca="false">AR_Aging!I580</f>
        <v>0</v>
      </c>
      <c r="G580" s="16" t="str">
        <f aca="false">AR_Aging!K580</f>
        <v>Paid</v>
      </c>
      <c r="H580" s="16" t="str">
        <f aca="false">IF(AND(G580="Unpaid",F580&gt;90),"HIGH - Fully Overdue 90+ Days",IF(G580="Partially Paid","MEDIUM - Short Paid","OK"))</f>
        <v>OK</v>
      </c>
    </row>
    <row r="581" customFormat="false" ht="15" hidden="false" customHeight="false" outlineLevel="0" collapsed="false">
      <c r="A581" s="16" t="str">
        <f aca="false">AR_Aging!A581</f>
        <v>ARI60577</v>
      </c>
      <c r="B581" s="16" t="str">
        <f aca="false">AR_Aging!C581</f>
        <v>Hancock Inc</v>
      </c>
      <c r="C581" s="18" t="n">
        <f aca="false">AR_Aging!F581</f>
        <v>4832.02</v>
      </c>
      <c r="D581" s="18" t="n">
        <f aca="false">AR_Aging!G581</f>
        <v>4832.02</v>
      </c>
      <c r="E581" s="18" t="n">
        <f aca="false">AR_Aging!H581</f>
        <v>0</v>
      </c>
      <c r="F581" s="16" t="n">
        <f aca="false">AR_Aging!I581</f>
        <v>0</v>
      </c>
      <c r="G581" s="16" t="str">
        <f aca="false">AR_Aging!K581</f>
        <v>Paid</v>
      </c>
      <c r="H581" s="16" t="str">
        <f aca="false">IF(AND(G581="Unpaid",F581&gt;90),"HIGH - Fully Overdue 90+ Days",IF(G581="Partially Paid","MEDIUM - Short Paid","OK"))</f>
        <v>OK</v>
      </c>
    </row>
    <row r="582" customFormat="false" ht="15" hidden="false" customHeight="false" outlineLevel="0" collapsed="false">
      <c r="A582" s="16" t="str">
        <f aca="false">AR_Aging!A582</f>
        <v>ARI60578</v>
      </c>
      <c r="B582" s="16" t="str">
        <f aca="false">AR_Aging!C582</f>
        <v>House-Glover</v>
      </c>
      <c r="C582" s="18" t="n">
        <f aca="false">AR_Aging!F582</f>
        <v>2365.49</v>
      </c>
      <c r="D582" s="18" t="n">
        <f aca="false">AR_Aging!G582</f>
        <v>2365.49</v>
      </c>
      <c r="E582" s="18" t="n">
        <f aca="false">AR_Aging!H582</f>
        <v>0</v>
      </c>
      <c r="F582" s="16" t="n">
        <f aca="false">AR_Aging!I582</f>
        <v>0</v>
      </c>
      <c r="G582" s="16" t="str">
        <f aca="false">AR_Aging!K582</f>
        <v>Paid</v>
      </c>
      <c r="H582" s="16" t="str">
        <f aca="false">IF(AND(G582="Unpaid",F582&gt;90),"HIGH - Fully Overdue 90+ Days",IF(G582="Partially Paid","MEDIUM - Short Paid","OK"))</f>
        <v>OK</v>
      </c>
    </row>
    <row r="583" customFormat="false" ht="15" hidden="false" customHeight="false" outlineLevel="0" collapsed="false">
      <c r="A583" s="16" t="str">
        <f aca="false">AR_Aging!A583</f>
        <v>ARI60579</v>
      </c>
      <c r="B583" s="16" t="str">
        <f aca="false">AR_Aging!C583</f>
        <v>Johnston, Sanchez and Kennedy</v>
      </c>
      <c r="C583" s="18" t="n">
        <f aca="false">AR_Aging!F583</f>
        <v>1800.86</v>
      </c>
      <c r="D583" s="18" t="n">
        <f aca="false">AR_Aging!G583</f>
        <v>1800.86</v>
      </c>
      <c r="E583" s="18" t="n">
        <f aca="false">AR_Aging!H583</f>
        <v>0</v>
      </c>
      <c r="F583" s="16" t="n">
        <f aca="false">AR_Aging!I583</f>
        <v>0</v>
      </c>
      <c r="G583" s="16" t="str">
        <f aca="false">AR_Aging!K583</f>
        <v>Paid</v>
      </c>
      <c r="H583" s="16" t="str">
        <f aca="false">IF(AND(G583="Unpaid",F583&gt;90),"HIGH - Fully Overdue 90+ Days",IF(G583="Partially Paid","MEDIUM - Short Paid","OK"))</f>
        <v>OK</v>
      </c>
    </row>
    <row r="584" customFormat="false" ht="15" hidden="false" customHeight="false" outlineLevel="0" collapsed="false">
      <c r="A584" s="16" t="str">
        <f aca="false">AR_Aging!A584</f>
        <v>ARI60580</v>
      </c>
      <c r="B584" s="16" t="str">
        <f aca="false">AR_Aging!C584</f>
        <v>Morton-Chase</v>
      </c>
      <c r="C584" s="18" t="n">
        <f aca="false">AR_Aging!F584</f>
        <v>20829.97</v>
      </c>
      <c r="D584" s="18" t="n">
        <f aca="false">AR_Aging!G584</f>
        <v>20829.97</v>
      </c>
      <c r="E584" s="18" t="n">
        <f aca="false">AR_Aging!H584</f>
        <v>0</v>
      </c>
      <c r="F584" s="16" t="n">
        <f aca="false">AR_Aging!I584</f>
        <v>0</v>
      </c>
      <c r="G584" s="16" t="str">
        <f aca="false">AR_Aging!K584</f>
        <v>Paid</v>
      </c>
      <c r="H584" s="16" t="str">
        <f aca="false">IF(AND(G584="Unpaid",F584&gt;90),"HIGH - Fully Overdue 90+ Days",IF(G584="Partially Paid","MEDIUM - Short Paid","OK"))</f>
        <v>OK</v>
      </c>
    </row>
    <row r="585" customFormat="false" ht="15" hidden="false" customHeight="false" outlineLevel="0" collapsed="false">
      <c r="A585" s="16" t="str">
        <f aca="false">AR_Aging!A585</f>
        <v>ARI60581</v>
      </c>
      <c r="B585" s="16" t="str">
        <f aca="false">AR_Aging!C585</f>
        <v>Baxter Inc</v>
      </c>
      <c r="C585" s="18" t="n">
        <f aca="false">AR_Aging!F585</f>
        <v>308.07</v>
      </c>
      <c r="D585" s="18" t="n">
        <f aca="false">AR_Aging!G585</f>
        <v>308.07</v>
      </c>
      <c r="E585" s="18" t="n">
        <f aca="false">AR_Aging!H585</f>
        <v>0</v>
      </c>
      <c r="F585" s="16" t="n">
        <f aca="false">AR_Aging!I585</f>
        <v>0</v>
      </c>
      <c r="G585" s="16" t="str">
        <f aca="false">AR_Aging!K585</f>
        <v>Paid</v>
      </c>
      <c r="H585" s="16" t="str">
        <f aca="false">IF(AND(G585="Unpaid",F585&gt;90),"HIGH - Fully Overdue 90+ Days",IF(G585="Partially Paid","MEDIUM - Short Paid","OK"))</f>
        <v>OK</v>
      </c>
    </row>
    <row r="586" customFormat="false" ht="15" hidden="false" customHeight="false" outlineLevel="0" collapsed="false">
      <c r="A586" s="16" t="str">
        <f aca="false">AR_Aging!A586</f>
        <v>ARI60582</v>
      </c>
      <c r="B586" s="16" t="str">
        <f aca="false">AR_Aging!C586</f>
        <v>Williams PLC</v>
      </c>
      <c r="C586" s="18" t="n">
        <f aca="false">AR_Aging!F586</f>
        <v>2509.92</v>
      </c>
      <c r="D586" s="18" t="n">
        <f aca="false">AR_Aging!G586</f>
        <v>2509.92</v>
      </c>
      <c r="E586" s="18" t="n">
        <f aca="false">AR_Aging!H586</f>
        <v>0</v>
      </c>
      <c r="F586" s="16" t="n">
        <f aca="false">AR_Aging!I586</f>
        <v>0</v>
      </c>
      <c r="G586" s="16" t="str">
        <f aca="false">AR_Aging!K586</f>
        <v>Paid</v>
      </c>
      <c r="H586" s="16" t="str">
        <f aca="false">IF(AND(G586="Unpaid",F586&gt;90),"HIGH - Fully Overdue 90+ Days",IF(G586="Partially Paid","MEDIUM - Short Paid","OK"))</f>
        <v>OK</v>
      </c>
    </row>
    <row r="587" customFormat="false" ht="15" hidden="false" customHeight="false" outlineLevel="0" collapsed="false">
      <c r="A587" s="16" t="str">
        <f aca="false">AR_Aging!A587</f>
        <v>ARI60583</v>
      </c>
      <c r="B587" s="16" t="str">
        <f aca="false">AR_Aging!C587</f>
        <v>Novak and Sons</v>
      </c>
      <c r="C587" s="18" t="n">
        <f aca="false">AR_Aging!F587</f>
        <v>13746.34</v>
      </c>
      <c r="D587" s="18" t="n">
        <f aca="false">AR_Aging!G587</f>
        <v>13746.34</v>
      </c>
      <c r="E587" s="18" t="n">
        <f aca="false">AR_Aging!H587</f>
        <v>0</v>
      </c>
      <c r="F587" s="16" t="n">
        <f aca="false">AR_Aging!I587</f>
        <v>0</v>
      </c>
      <c r="G587" s="16" t="str">
        <f aca="false">AR_Aging!K587</f>
        <v>Paid</v>
      </c>
      <c r="H587" s="16" t="str">
        <f aca="false">IF(AND(G587="Unpaid",F587&gt;90),"HIGH - Fully Overdue 90+ Days",IF(G587="Partially Paid","MEDIUM - Short Paid","OK"))</f>
        <v>OK</v>
      </c>
    </row>
    <row r="588" customFormat="false" ht="15" hidden="false" customHeight="false" outlineLevel="0" collapsed="false">
      <c r="A588" s="16" t="str">
        <f aca="false">AR_Aging!A588</f>
        <v>ARI60584</v>
      </c>
      <c r="B588" s="16" t="str">
        <f aca="false">AR_Aging!C588</f>
        <v>Baxter Inc</v>
      </c>
      <c r="C588" s="18" t="n">
        <f aca="false">AR_Aging!F588</f>
        <v>2328.05</v>
      </c>
      <c r="D588" s="18" t="n">
        <f aca="false">AR_Aging!G588</f>
        <v>2328.05</v>
      </c>
      <c r="E588" s="18" t="n">
        <f aca="false">AR_Aging!H588</f>
        <v>0</v>
      </c>
      <c r="F588" s="16" t="n">
        <f aca="false">AR_Aging!I588</f>
        <v>0</v>
      </c>
      <c r="G588" s="16" t="str">
        <f aca="false">AR_Aging!K588</f>
        <v>Paid</v>
      </c>
      <c r="H588" s="16" t="str">
        <f aca="false">IF(AND(G588="Unpaid",F588&gt;90),"HIGH - Fully Overdue 90+ Days",IF(G588="Partially Paid","MEDIUM - Short Paid","OK"))</f>
        <v>OK</v>
      </c>
    </row>
    <row r="589" customFormat="false" ht="15" hidden="false" customHeight="false" outlineLevel="0" collapsed="false">
      <c r="A589" s="16" t="str">
        <f aca="false">AR_Aging!A589</f>
        <v>ARI60585</v>
      </c>
      <c r="B589" s="16" t="str">
        <f aca="false">AR_Aging!C589</f>
        <v>Williams PLC</v>
      </c>
      <c r="C589" s="18" t="n">
        <f aca="false">AR_Aging!F589</f>
        <v>700.59</v>
      </c>
      <c r="D589" s="18" t="n">
        <f aca="false">AR_Aging!G589</f>
        <v>700.59</v>
      </c>
      <c r="E589" s="18" t="n">
        <f aca="false">AR_Aging!H589</f>
        <v>0</v>
      </c>
      <c r="F589" s="16" t="n">
        <f aca="false">AR_Aging!I589</f>
        <v>0</v>
      </c>
      <c r="G589" s="16" t="str">
        <f aca="false">AR_Aging!K589</f>
        <v>Paid</v>
      </c>
      <c r="H589" s="16" t="str">
        <f aca="false">IF(AND(G589="Unpaid",F589&gt;90),"HIGH - Fully Overdue 90+ Days",IF(G589="Partially Paid","MEDIUM - Short Paid","OK"))</f>
        <v>OK</v>
      </c>
    </row>
    <row r="590" customFormat="false" ht="15" hidden="false" customHeight="false" outlineLevel="0" collapsed="false">
      <c r="A590" s="16" t="str">
        <f aca="false">AR_Aging!A590</f>
        <v>ARI60586</v>
      </c>
      <c r="B590" s="16" t="str">
        <f aca="false">AR_Aging!C590</f>
        <v>Woods, Calhoun and Schmidt</v>
      </c>
      <c r="C590" s="18" t="n">
        <f aca="false">AR_Aging!F590</f>
        <v>1796.89</v>
      </c>
      <c r="D590" s="18" t="n">
        <f aca="false">AR_Aging!G590</f>
        <v>1796.89</v>
      </c>
      <c r="E590" s="18" t="n">
        <f aca="false">AR_Aging!H590</f>
        <v>0</v>
      </c>
      <c r="F590" s="16" t="n">
        <f aca="false">AR_Aging!I590</f>
        <v>0</v>
      </c>
      <c r="G590" s="16" t="str">
        <f aca="false">AR_Aging!K590</f>
        <v>Paid</v>
      </c>
      <c r="H590" s="16" t="str">
        <f aca="false">IF(AND(G590="Unpaid",F590&gt;90),"HIGH - Fully Overdue 90+ Days",IF(G590="Partially Paid","MEDIUM - Short Paid","OK"))</f>
        <v>OK</v>
      </c>
    </row>
    <row r="591" customFormat="false" ht="15" hidden="false" customHeight="false" outlineLevel="0" collapsed="false">
      <c r="A591" s="16" t="str">
        <f aca="false">AR_Aging!A591</f>
        <v>ARI60587</v>
      </c>
      <c r="B591" s="16" t="str">
        <f aca="false">AR_Aging!C591</f>
        <v>Gomez-Jenkins</v>
      </c>
      <c r="C591" s="18" t="n">
        <f aca="false">AR_Aging!F591</f>
        <v>9197.58</v>
      </c>
      <c r="D591" s="18" t="n">
        <f aca="false">AR_Aging!G591</f>
        <v>0</v>
      </c>
      <c r="E591" s="18" t="n">
        <f aca="false">AR_Aging!H591</f>
        <v>9197.58</v>
      </c>
      <c r="F591" s="16" t="n">
        <f aca="false">AR_Aging!I591</f>
        <v>111</v>
      </c>
      <c r="G591" s="16" t="str">
        <f aca="false">AR_Aging!K591</f>
        <v>Unpaid</v>
      </c>
      <c r="H591" s="16" t="str">
        <f aca="false">IF(AND(G591="Unpaid",F591&gt;90),"HIGH - Fully Overdue 90+ Days",IF(G591="Partially Paid","MEDIUM - Short Paid","OK"))</f>
        <v>HIGH - Fully Overdue 90+ Days</v>
      </c>
    </row>
    <row r="592" customFormat="false" ht="15" hidden="false" customHeight="false" outlineLevel="0" collapsed="false">
      <c r="A592" s="16" t="str">
        <f aca="false">AR_Aging!A592</f>
        <v>ARI60588</v>
      </c>
      <c r="B592" s="16" t="str">
        <f aca="false">AR_Aging!C592</f>
        <v>Jones Inc</v>
      </c>
      <c r="C592" s="18" t="n">
        <f aca="false">AR_Aging!F592</f>
        <v>4661.09</v>
      </c>
      <c r="D592" s="18" t="n">
        <f aca="false">AR_Aging!G592</f>
        <v>4661.09</v>
      </c>
      <c r="E592" s="18" t="n">
        <f aca="false">AR_Aging!H592</f>
        <v>0</v>
      </c>
      <c r="F592" s="16" t="n">
        <f aca="false">AR_Aging!I592</f>
        <v>0</v>
      </c>
      <c r="G592" s="16" t="str">
        <f aca="false">AR_Aging!K592</f>
        <v>Paid</v>
      </c>
      <c r="H592" s="16" t="str">
        <f aca="false">IF(AND(G592="Unpaid",F592&gt;90),"HIGH - Fully Overdue 90+ Days",IF(G592="Partially Paid","MEDIUM - Short Paid","OK"))</f>
        <v>OK</v>
      </c>
    </row>
    <row r="593" customFormat="false" ht="15" hidden="false" customHeight="false" outlineLevel="0" collapsed="false">
      <c r="A593" s="16" t="str">
        <f aca="false">AR_Aging!A593</f>
        <v>ARI60589</v>
      </c>
      <c r="B593" s="16" t="str">
        <f aca="false">AR_Aging!C593</f>
        <v>Gomez-Jenkins</v>
      </c>
      <c r="C593" s="18" t="n">
        <f aca="false">AR_Aging!F593</f>
        <v>2712.95</v>
      </c>
      <c r="D593" s="18" t="n">
        <f aca="false">AR_Aging!G593</f>
        <v>0</v>
      </c>
      <c r="E593" s="18" t="n">
        <f aca="false">AR_Aging!H593</f>
        <v>2712.95</v>
      </c>
      <c r="F593" s="16" t="n">
        <f aca="false">AR_Aging!I593</f>
        <v>232</v>
      </c>
      <c r="G593" s="16" t="str">
        <f aca="false">AR_Aging!K593</f>
        <v>Unpaid</v>
      </c>
      <c r="H593" s="16" t="str">
        <f aca="false">IF(AND(G593="Unpaid",F593&gt;90),"HIGH - Fully Overdue 90+ Days",IF(G593="Partially Paid","MEDIUM - Short Paid","OK"))</f>
        <v>HIGH - Fully Overdue 90+ Days</v>
      </c>
    </row>
    <row r="594" customFormat="false" ht="15" hidden="false" customHeight="false" outlineLevel="0" collapsed="false">
      <c r="A594" s="16" t="str">
        <f aca="false">AR_Aging!A594</f>
        <v>ARI60590</v>
      </c>
      <c r="B594" s="16" t="str">
        <f aca="false">AR_Aging!C594</f>
        <v>Powell LLC</v>
      </c>
      <c r="C594" s="18" t="n">
        <f aca="false">AR_Aging!F594</f>
        <v>11680.95</v>
      </c>
      <c r="D594" s="18" t="n">
        <f aca="false">AR_Aging!G594</f>
        <v>11680.95</v>
      </c>
      <c r="E594" s="18" t="n">
        <f aca="false">AR_Aging!H594</f>
        <v>0</v>
      </c>
      <c r="F594" s="16" t="n">
        <f aca="false">AR_Aging!I594</f>
        <v>0</v>
      </c>
      <c r="G594" s="16" t="str">
        <f aca="false">AR_Aging!K594</f>
        <v>Paid</v>
      </c>
      <c r="H594" s="16" t="str">
        <f aca="false">IF(AND(G594="Unpaid",F594&gt;90),"HIGH - Fully Overdue 90+ Days",IF(G594="Partially Paid","MEDIUM - Short Paid","OK"))</f>
        <v>OK</v>
      </c>
    </row>
    <row r="595" customFormat="false" ht="15" hidden="false" customHeight="false" outlineLevel="0" collapsed="false">
      <c r="A595" s="16" t="str">
        <f aca="false">AR_Aging!A595</f>
        <v>ARI60591</v>
      </c>
      <c r="B595" s="16" t="str">
        <f aca="false">AR_Aging!C595</f>
        <v>Hensley, Powell and David</v>
      </c>
      <c r="C595" s="18" t="n">
        <f aca="false">AR_Aging!F595</f>
        <v>2499.07</v>
      </c>
      <c r="D595" s="18" t="n">
        <f aca="false">AR_Aging!G595</f>
        <v>2499.07</v>
      </c>
      <c r="E595" s="18" t="n">
        <f aca="false">AR_Aging!H595</f>
        <v>0</v>
      </c>
      <c r="F595" s="16" t="n">
        <f aca="false">AR_Aging!I595</f>
        <v>0</v>
      </c>
      <c r="G595" s="16" t="str">
        <f aca="false">AR_Aging!K595</f>
        <v>Paid</v>
      </c>
      <c r="H595" s="16" t="str">
        <f aca="false">IF(AND(G595="Unpaid",F595&gt;90),"HIGH - Fully Overdue 90+ Days",IF(G595="Partially Paid","MEDIUM - Short Paid","OK"))</f>
        <v>OK</v>
      </c>
    </row>
    <row r="596" customFormat="false" ht="15" hidden="false" customHeight="false" outlineLevel="0" collapsed="false">
      <c r="A596" s="16" t="str">
        <f aca="false">AR_Aging!A596</f>
        <v>ARI60592</v>
      </c>
      <c r="B596" s="16" t="str">
        <f aca="false">AR_Aging!C596</f>
        <v>Gomez-Jenkins</v>
      </c>
      <c r="C596" s="18" t="n">
        <f aca="false">AR_Aging!F596</f>
        <v>2710.15</v>
      </c>
      <c r="D596" s="18" t="n">
        <f aca="false">AR_Aging!G596</f>
        <v>1727.04</v>
      </c>
      <c r="E596" s="18" t="n">
        <f aca="false">AR_Aging!H596</f>
        <v>983.11</v>
      </c>
      <c r="F596" s="16" t="n">
        <f aca="false">AR_Aging!I596</f>
        <v>22</v>
      </c>
      <c r="G596" s="16" t="str">
        <f aca="false">AR_Aging!K596</f>
        <v>Partially Paid</v>
      </c>
      <c r="H596" s="16" t="str">
        <f aca="false">IF(AND(G596="Unpaid",F596&gt;90),"HIGH - Fully Overdue 90+ Days",IF(G596="Partially Paid","MEDIUM - Short Paid","OK"))</f>
        <v>MEDIUM - Short Paid</v>
      </c>
    </row>
    <row r="597" customFormat="false" ht="15" hidden="false" customHeight="false" outlineLevel="0" collapsed="false">
      <c r="A597" s="16" t="str">
        <f aca="false">AR_Aging!A597</f>
        <v>ARI60593</v>
      </c>
      <c r="B597" s="16" t="str">
        <f aca="false">AR_Aging!C597</f>
        <v>Johnston, Sanchez and Kennedy</v>
      </c>
      <c r="C597" s="18" t="n">
        <f aca="false">AR_Aging!F597</f>
        <v>4942.64</v>
      </c>
      <c r="D597" s="18" t="n">
        <f aca="false">AR_Aging!G597</f>
        <v>4942.64</v>
      </c>
      <c r="E597" s="18" t="n">
        <f aca="false">AR_Aging!H597</f>
        <v>0</v>
      </c>
      <c r="F597" s="16" t="n">
        <f aca="false">AR_Aging!I597</f>
        <v>0</v>
      </c>
      <c r="G597" s="16" t="str">
        <f aca="false">AR_Aging!K597</f>
        <v>Paid</v>
      </c>
      <c r="H597" s="16" t="str">
        <f aca="false">IF(AND(G597="Unpaid",F597&gt;90),"HIGH - Fully Overdue 90+ Days",IF(G597="Partially Paid","MEDIUM - Short Paid","OK"))</f>
        <v>OK</v>
      </c>
    </row>
    <row r="598" customFormat="false" ht="15" hidden="false" customHeight="false" outlineLevel="0" collapsed="false">
      <c r="A598" s="16" t="str">
        <f aca="false">AR_Aging!A598</f>
        <v>ARI60594</v>
      </c>
      <c r="B598" s="16" t="str">
        <f aca="false">AR_Aging!C598</f>
        <v>Wright Inc</v>
      </c>
      <c r="C598" s="18" t="n">
        <f aca="false">AR_Aging!F598</f>
        <v>2782.84</v>
      </c>
      <c r="D598" s="18" t="n">
        <f aca="false">AR_Aging!G598</f>
        <v>2782.84</v>
      </c>
      <c r="E598" s="18" t="n">
        <f aca="false">AR_Aging!H598</f>
        <v>0</v>
      </c>
      <c r="F598" s="16" t="n">
        <f aca="false">AR_Aging!I598</f>
        <v>0</v>
      </c>
      <c r="G598" s="16" t="str">
        <f aca="false">AR_Aging!K598</f>
        <v>Paid</v>
      </c>
      <c r="H598" s="16" t="str">
        <f aca="false">IF(AND(G598="Unpaid",F598&gt;90),"HIGH - Fully Overdue 90+ Days",IF(G598="Partially Paid","MEDIUM - Short Paid","OK"))</f>
        <v>OK</v>
      </c>
    </row>
    <row r="599" customFormat="false" ht="15" hidden="false" customHeight="false" outlineLevel="0" collapsed="false">
      <c r="A599" s="16" t="str">
        <f aca="false">AR_Aging!A599</f>
        <v>ARI60595</v>
      </c>
      <c r="B599" s="16" t="str">
        <f aca="false">AR_Aging!C599</f>
        <v>Novak and Sons</v>
      </c>
      <c r="C599" s="18" t="n">
        <f aca="false">AR_Aging!F599</f>
        <v>11817.42</v>
      </c>
      <c r="D599" s="18" t="n">
        <f aca="false">AR_Aging!G599</f>
        <v>11817.42</v>
      </c>
      <c r="E599" s="18" t="n">
        <f aca="false">AR_Aging!H599</f>
        <v>0</v>
      </c>
      <c r="F599" s="16" t="n">
        <f aca="false">AR_Aging!I599</f>
        <v>0</v>
      </c>
      <c r="G599" s="16" t="str">
        <f aca="false">AR_Aging!K599</f>
        <v>Paid</v>
      </c>
      <c r="H599" s="16" t="str">
        <f aca="false">IF(AND(G599="Unpaid",F599&gt;90),"HIGH - Fully Overdue 90+ Days",IF(G599="Partially Paid","MEDIUM - Short Paid","OK"))</f>
        <v>OK</v>
      </c>
    </row>
    <row r="600" customFormat="false" ht="15" hidden="false" customHeight="false" outlineLevel="0" collapsed="false">
      <c r="A600" s="16" t="str">
        <f aca="false">AR_Aging!A600</f>
        <v>ARI60596</v>
      </c>
      <c r="B600" s="16" t="str">
        <f aca="false">AR_Aging!C600</f>
        <v>Sanchez, Wheeler and Harvey</v>
      </c>
      <c r="C600" s="18" t="n">
        <f aca="false">AR_Aging!F600</f>
        <v>703.13</v>
      </c>
      <c r="D600" s="18" t="n">
        <f aca="false">AR_Aging!G600</f>
        <v>703.13</v>
      </c>
      <c r="E600" s="18" t="n">
        <f aca="false">AR_Aging!H600</f>
        <v>0</v>
      </c>
      <c r="F600" s="16" t="n">
        <f aca="false">AR_Aging!I600</f>
        <v>0</v>
      </c>
      <c r="G600" s="16" t="str">
        <f aca="false">AR_Aging!K600</f>
        <v>Paid</v>
      </c>
      <c r="H600" s="16" t="str">
        <f aca="false">IF(AND(G600="Unpaid",F600&gt;90),"HIGH - Fully Overdue 90+ Days",IF(G600="Partially Paid","MEDIUM - Short Paid","OK"))</f>
        <v>OK</v>
      </c>
    </row>
    <row r="601" customFormat="false" ht="15" hidden="false" customHeight="false" outlineLevel="0" collapsed="false">
      <c r="A601" s="16" t="str">
        <f aca="false">AR_Aging!A601</f>
        <v>ARI60597</v>
      </c>
      <c r="B601" s="16" t="str">
        <f aca="false">AR_Aging!C601</f>
        <v>Smith-Spencer</v>
      </c>
      <c r="C601" s="18" t="n">
        <f aca="false">AR_Aging!F601</f>
        <v>1810.18</v>
      </c>
      <c r="D601" s="18" t="n">
        <f aca="false">AR_Aging!G601</f>
        <v>1046.68</v>
      </c>
      <c r="E601" s="18" t="n">
        <f aca="false">AR_Aging!H601</f>
        <v>763.5</v>
      </c>
      <c r="F601" s="16" t="n">
        <f aca="false">AR_Aging!I601</f>
        <v>386</v>
      </c>
      <c r="G601" s="16" t="str">
        <f aca="false">AR_Aging!K601</f>
        <v>Partially Paid</v>
      </c>
      <c r="H601" s="16" t="str">
        <f aca="false">IF(AND(G601="Unpaid",F601&gt;90),"HIGH - Fully Overdue 90+ Days",IF(G601="Partially Paid","MEDIUM - Short Paid","OK"))</f>
        <v>MEDIUM - Short Paid</v>
      </c>
    </row>
    <row r="602" customFormat="false" ht="15" hidden="false" customHeight="false" outlineLevel="0" collapsed="false">
      <c r="A602" s="16" t="str">
        <f aca="false">AR_Aging!A602</f>
        <v>ARI60598</v>
      </c>
      <c r="B602" s="16" t="str">
        <f aca="false">AR_Aging!C602</f>
        <v>Novak PLC</v>
      </c>
      <c r="C602" s="18" t="n">
        <f aca="false">AR_Aging!F602</f>
        <v>1573.73</v>
      </c>
      <c r="D602" s="18" t="n">
        <f aca="false">AR_Aging!G602</f>
        <v>1573.73</v>
      </c>
      <c r="E602" s="18" t="n">
        <f aca="false">AR_Aging!H602</f>
        <v>0</v>
      </c>
      <c r="F602" s="16" t="n">
        <f aca="false">AR_Aging!I602</f>
        <v>0</v>
      </c>
      <c r="G602" s="16" t="str">
        <f aca="false">AR_Aging!K602</f>
        <v>Paid</v>
      </c>
      <c r="H602" s="16" t="str">
        <f aca="false">IF(AND(G602="Unpaid",F602&gt;90),"HIGH - Fully Overdue 90+ Days",IF(G602="Partially Paid","MEDIUM - Short Paid","OK"))</f>
        <v>OK</v>
      </c>
    </row>
    <row r="603" customFormat="false" ht="15" hidden="false" customHeight="false" outlineLevel="0" collapsed="false">
      <c r="A603" s="16" t="str">
        <f aca="false">AR_Aging!A603</f>
        <v>ARI60599</v>
      </c>
      <c r="B603" s="16" t="str">
        <f aca="false">AR_Aging!C603</f>
        <v>Robinson, Jones and Welch</v>
      </c>
      <c r="C603" s="18" t="n">
        <f aca="false">AR_Aging!F603</f>
        <v>1461.81</v>
      </c>
      <c r="D603" s="18" t="n">
        <f aca="false">AR_Aging!G603</f>
        <v>1461.81</v>
      </c>
      <c r="E603" s="18" t="n">
        <f aca="false">AR_Aging!H603</f>
        <v>0</v>
      </c>
      <c r="F603" s="16" t="n">
        <f aca="false">AR_Aging!I603</f>
        <v>0</v>
      </c>
      <c r="G603" s="16" t="str">
        <f aca="false">AR_Aging!K603</f>
        <v>Paid</v>
      </c>
      <c r="H603" s="16" t="str">
        <f aca="false">IF(AND(G603="Unpaid",F603&gt;90),"HIGH - Fully Overdue 90+ Days",IF(G603="Partially Paid","MEDIUM - Short Paid","OK"))</f>
        <v>OK</v>
      </c>
    </row>
    <row r="604" customFormat="false" ht="15" hidden="false" customHeight="false" outlineLevel="0" collapsed="false">
      <c r="A604" s="16" t="str">
        <f aca="false">AR_Aging!A604</f>
        <v>ARI60600</v>
      </c>
      <c r="B604" s="16" t="str">
        <f aca="false">AR_Aging!C604</f>
        <v>House-Glover</v>
      </c>
      <c r="C604" s="18" t="n">
        <f aca="false">AR_Aging!F604</f>
        <v>3855.14</v>
      </c>
      <c r="D604" s="18" t="n">
        <f aca="false">AR_Aging!G604</f>
        <v>3855.14</v>
      </c>
      <c r="E604" s="18" t="n">
        <f aca="false">AR_Aging!H604</f>
        <v>0</v>
      </c>
      <c r="F604" s="16" t="n">
        <f aca="false">AR_Aging!I604</f>
        <v>0</v>
      </c>
      <c r="G604" s="16" t="str">
        <f aca="false">AR_Aging!K604</f>
        <v>Paid</v>
      </c>
      <c r="H604" s="16" t="str">
        <f aca="false">IF(AND(G604="Unpaid",F604&gt;90),"HIGH - Fully Overdue 90+ Days",IF(G604="Partially Paid","MEDIUM - Short Paid","OK"))</f>
        <v>OK</v>
      </c>
    </row>
  </sheetData>
  <autoFilter ref="A4:H6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5590</v>
      </c>
    </row>
    <row r="2" customFormat="false" ht="15" hidden="false" customHeight="false" outlineLevel="0" collapsed="false">
      <c r="A2" s="2" t="s">
        <v>5591</v>
      </c>
    </row>
    <row r="4" customFormat="false" ht="27.75" hidden="false" customHeight="true" outlineLevel="0" collapsed="false">
      <c r="A4" s="7" t="s">
        <v>5025</v>
      </c>
      <c r="B4" s="7" t="s">
        <v>204</v>
      </c>
      <c r="C4" s="7" t="s">
        <v>4423</v>
      </c>
      <c r="D4" s="7" t="s">
        <v>1161</v>
      </c>
      <c r="E4" s="7" t="s">
        <v>5026</v>
      </c>
      <c r="F4" s="7" t="s">
        <v>4424</v>
      </c>
      <c r="G4" s="7" t="s">
        <v>5592</v>
      </c>
      <c r="H4" s="7" t="s">
        <v>5570</v>
      </c>
    </row>
    <row r="5" customFormat="false" ht="15" hidden="false" customHeight="false" outlineLevel="0" collapsed="false">
      <c r="A5" s="16" t="str">
        <f aca="false">Cash_Receipts_AR!A2</f>
        <v>ARR70001</v>
      </c>
      <c r="B5" s="16" t="str">
        <f aca="false">Cash_Receipts_AR!C2</f>
        <v>C2014</v>
      </c>
      <c r="C5" s="16" t="str">
        <f aca="false">Cash_Receipts_AR!B2</f>
        <v>ARI60002</v>
      </c>
      <c r="D5" s="17" t="n">
        <f aca="false">Cash_Receipts_AR!D2</f>
        <v>46095</v>
      </c>
      <c r="E5" s="18" t="n">
        <f aca="false">Cash_Receipts_AR!E2</f>
        <v>1523.91</v>
      </c>
      <c r="F5" s="17" t="n">
        <f aca="false">IFERROR(INDEX(Customer_Invoices_AR!$C$2:$C$601,MATCH(C5,Customer_Invoices_AR!$A$2:$A$601,0)),"")</f>
        <v>46072</v>
      </c>
      <c r="G5" s="16" t="n">
        <f aca="false">IF(F5="","",D5-F5)</f>
        <v>23</v>
      </c>
      <c r="H5" s="21" t="n">
        <f aca="false">IF(F5="","",DATE(YEAR(D5),MONTH(D5),1))</f>
        <v>46082</v>
      </c>
    </row>
    <row r="6" customFormat="false" ht="15" hidden="false" customHeight="false" outlineLevel="0" collapsed="false">
      <c r="A6" s="16" t="str">
        <f aca="false">Cash_Receipts_AR!A3</f>
        <v>ARR70002</v>
      </c>
      <c r="B6" s="16" t="str">
        <f aca="false">Cash_Receipts_AR!C3</f>
        <v>C2010</v>
      </c>
      <c r="C6" s="16" t="str">
        <f aca="false">Cash_Receipts_AR!B3</f>
        <v>ARI60003</v>
      </c>
      <c r="D6" s="17" t="n">
        <f aca="false">Cash_Receipts_AR!D3</f>
        <v>46049</v>
      </c>
      <c r="E6" s="18" t="n">
        <f aca="false">Cash_Receipts_AR!E3</f>
        <v>715.25</v>
      </c>
      <c r="F6" s="17" t="n">
        <f aca="false">IFERROR(INDEX(Customer_Invoices_AR!$C$2:$C$601,MATCH(C6,Customer_Invoices_AR!$A$2:$A$601,0)),"")</f>
        <v>46015</v>
      </c>
      <c r="G6" s="16" t="n">
        <f aca="false">IF(F6="","",D6-F6)</f>
        <v>34</v>
      </c>
      <c r="H6" s="21" t="n">
        <f aca="false">IF(F6="","",DATE(YEAR(D6),MONTH(D6),1))</f>
        <v>46023</v>
      </c>
    </row>
    <row r="7" customFormat="false" ht="15" hidden="false" customHeight="false" outlineLevel="0" collapsed="false">
      <c r="A7" s="16" t="str">
        <f aca="false">Cash_Receipts_AR!A4</f>
        <v>ARR70003</v>
      </c>
      <c r="B7" s="16" t="str">
        <f aca="false">Cash_Receipts_AR!C4</f>
        <v>C2030</v>
      </c>
      <c r="C7" s="16" t="str">
        <f aca="false">Cash_Receipts_AR!B4</f>
        <v>ARI60004</v>
      </c>
      <c r="D7" s="17" t="n">
        <f aca="false">Cash_Receipts_AR!D4</f>
        <v>45766</v>
      </c>
      <c r="E7" s="18" t="n">
        <f aca="false">Cash_Receipts_AR!E4</f>
        <v>3252.02</v>
      </c>
      <c r="F7" s="17" t="n">
        <f aca="false">IFERROR(INDEX(Customer_Invoices_AR!$C$2:$C$601,MATCH(C7,Customer_Invoices_AR!$A$2:$A$601,0)),"")</f>
        <v>45754</v>
      </c>
      <c r="G7" s="16" t="n">
        <f aca="false">IF(F7="","",D7-F7)</f>
        <v>12</v>
      </c>
      <c r="H7" s="21" t="n">
        <f aca="false">IF(F7="","",DATE(YEAR(D7),MONTH(D7),1))</f>
        <v>45748</v>
      </c>
    </row>
    <row r="8" customFormat="false" ht="15" hidden="false" customHeight="false" outlineLevel="0" collapsed="false">
      <c r="A8" s="16" t="str">
        <f aca="false">Cash_Receipts_AR!A5</f>
        <v>ARR70004</v>
      </c>
      <c r="B8" s="16" t="str">
        <f aca="false">Cash_Receipts_AR!C5</f>
        <v>C2014</v>
      </c>
      <c r="C8" s="16" t="str">
        <f aca="false">Cash_Receipts_AR!B5</f>
        <v>ARI60005</v>
      </c>
      <c r="D8" s="17" t="n">
        <f aca="false">Cash_Receipts_AR!D5</f>
        <v>46115</v>
      </c>
      <c r="E8" s="18" t="n">
        <f aca="false">Cash_Receipts_AR!E5</f>
        <v>6622.57</v>
      </c>
      <c r="F8" s="17" t="n">
        <f aca="false">IFERROR(INDEX(Customer_Invoices_AR!$C$2:$C$601,MATCH(C8,Customer_Invoices_AR!$A$2:$A$601,0)),"")</f>
        <v>46079</v>
      </c>
      <c r="G8" s="16" t="n">
        <f aca="false">IF(F8="","",D8-F8)</f>
        <v>36</v>
      </c>
      <c r="H8" s="21" t="n">
        <f aca="false">IF(F8="","",DATE(YEAR(D8),MONTH(D8),1))</f>
        <v>46113</v>
      </c>
    </row>
    <row r="9" customFormat="false" ht="15" hidden="false" customHeight="false" outlineLevel="0" collapsed="false">
      <c r="A9" s="16" t="str">
        <f aca="false">Cash_Receipts_AR!A6</f>
        <v>ARR70005</v>
      </c>
      <c r="B9" s="16" t="str">
        <f aca="false">Cash_Receipts_AR!C6</f>
        <v>C2004</v>
      </c>
      <c r="C9" s="16" t="str">
        <f aca="false">Cash_Receipts_AR!B6</f>
        <v>ARI60006</v>
      </c>
      <c r="D9" s="17" t="n">
        <f aca="false">Cash_Receipts_AR!D6</f>
        <v>45970</v>
      </c>
      <c r="E9" s="18" t="n">
        <f aca="false">Cash_Receipts_AR!E6</f>
        <v>2625.84</v>
      </c>
      <c r="F9" s="17" t="n">
        <f aca="false">IFERROR(INDEX(Customer_Invoices_AR!$C$2:$C$601,MATCH(C9,Customer_Invoices_AR!$A$2:$A$601,0)),"")</f>
        <v>45927</v>
      </c>
      <c r="G9" s="16" t="n">
        <f aca="false">IF(F9="","",D9-F9)</f>
        <v>43</v>
      </c>
      <c r="H9" s="21" t="n">
        <f aca="false">IF(F9="","",DATE(YEAR(D9),MONTH(D9),1))</f>
        <v>45962</v>
      </c>
    </row>
    <row r="10" customFormat="false" ht="15" hidden="false" customHeight="false" outlineLevel="0" collapsed="false">
      <c r="A10" s="16" t="str">
        <f aca="false">Cash_Receipts_AR!A7</f>
        <v>ARR70006</v>
      </c>
      <c r="B10" s="16" t="str">
        <f aca="false">Cash_Receipts_AR!C7</f>
        <v>C2027</v>
      </c>
      <c r="C10" s="16" t="str">
        <f aca="false">Cash_Receipts_AR!B7</f>
        <v>ARI60007</v>
      </c>
      <c r="D10" s="17" t="n">
        <f aca="false">Cash_Receipts_AR!D7</f>
        <v>46106</v>
      </c>
      <c r="E10" s="18" t="n">
        <f aca="false">Cash_Receipts_AR!E7</f>
        <v>4091.62</v>
      </c>
      <c r="F10" s="17" t="n">
        <f aca="false">IFERROR(INDEX(Customer_Invoices_AR!$C$2:$C$601,MATCH(C10,Customer_Invoices_AR!$A$2:$A$601,0)),"")</f>
        <v>46069</v>
      </c>
      <c r="G10" s="16" t="n">
        <f aca="false">IF(F10="","",D10-F10)</f>
        <v>37</v>
      </c>
      <c r="H10" s="21" t="n">
        <f aca="false">IF(F10="","",DATE(YEAR(D10),MONTH(D10),1))</f>
        <v>46082</v>
      </c>
    </row>
    <row r="11" customFormat="false" ht="15" hidden="false" customHeight="false" outlineLevel="0" collapsed="false">
      <c r="A11" s="16" t="str">
        <f aca="false">Cash_Receipts_AR!A8</f>
        <v>ARR70007</v>
      </c>
      <c r="B11" s="16" t="str">
        <f aca="false">Cash_Receipts_AR!C8</f>
        <v>C2009</v>
      </c>
      <c r="C11" s="16" t="str">
        <f aca="false">Cash_Receipts_AR!B8</f>
        <v>ARI60008</v>
      </c>
      <c r="D11" s="17" t="n">
        <f aca="false">Cash_Receipts_AR!D8</f>
        <v>46083</v>
      </c>
      <c r="E11" s="18" t="n">
        <f aca="false">Cash_Receipts_AR!E8</f>
        <v>673.49</v>
      </c>
      <c r="F11" s="17" t="n">
        <f aca="false">IFERROR(INDEX(Customer_Invoices_AR!$C$2:$C$601,MATCH(C11,Customer_Invoices_AR!$A$2:$A$601,0)),"")</f>
        <v>46072</v>
      </c>
      <c r="G11" s="16" t="n">
        <f aca="false">IF(F11="","",D11-F11)</f>
        <v>11</v>
      </c>
      <c r="H11" s="21" t="n">
        <f aca="false">IF(F11="","",DATE(YEAR(D11),MONTH(D11),1))</f>
        <v>46082</v>
      </c>
    </row>
    <row r="12" customFormat="false" ht="15" hidden="false" customHeight="false" outlineLevel="0" collapsed="false">
      <c r="A12" s="16" t="str">
        <f aca="false">Cash_Receipts_AR!A9</f>
        <v>ARR70008</v>
      </c>
      <c r="B12" s="16" t="str">
        <f aca="false">Cash_Receipts_AR!C9</f>
        <v>C2027</v>
      </c>
      <c r="C12" s="16" t="str">
        <f aca="false">Cash_Receipts_AR!B9</f>
        <v>ARI60009</v>
      </c>
      <c r="D12" s="17" t="n">
        <f aca="false">Cash_Receipts_AR!D9</f>
        <v>45935</v>
      </c>
      <c r="E12" s="18" t="n">
        <f aca="false">Cash_Receipts_AR!E9</f>
        <v>2365.68</v>
      </c>
      <c r="F12" s="17" t="n">
        <f aca="false">IFERROR(INDEX(Customer_Invoices_AR!$C$2:$C$601,MATCH(C12,Customer_Invoices_AR!$A$2:$A$601,0)),"")</f>
        <v>45902</v>
      </c>
      <c r="G12" s="16" t="n">
        <f aca="false">IF(F12="","",D12-F12)</f>
        <v>33</v>
      </c>
      <c r="H12" s="21" t="n">
        <f aca="false">IF(F12="","",DATE(YEAR(D12),MONTH(D12),1))</f>
        <v>45931</v>
      </c>
    </row>
    <row r="13" customFormat="false" ht="15" hidden="false" customHeight="false" outlineLevel="0" collapsed="false">
      <c r="A13" s="16" t="str">
        <f aca="false">Cash_Receipts_AR!A10</f>
        <v>ARR70009</v>
      </c>
      <c r="B13" s="16" t="str">
        <f aca="false">Cash_Receipts_AR!C10</f>
        <v>C2008</v>
      </c>
      <c r="C13" s="16" t="str">
        <f aca="false">Cash_Receipts_AR!B10</f>
        <v>ARI60010</v>
      </c>
      <c r="D13" s="17" t="n">
        <f aca="false">Cash_Receipts_AR!D10</f>
        <v>46185</v>
      </c>
      <c r="E13" s="18" t="n">
        <f aca="false">Cash_Receipts_AR!E10</f>
        <v>6127.03</v>
      </c>
      <c r="F13" s="17" t="n">
        <f aca="false">IFERROR(INDEX(Customer_Invoices_AR!$C$2:$C$601,MATCH(C13,Customer_Invoices_AR!$A$2:$A$601,0)),"")</f>
        <v>46161</v>
      </c>
      <c r="G13" s="16" t="n">
        <f aca="false">IF(F13="","",D13-F13)</f>
        <v>24</v>
      </c>
      <c r="H13" s="21" t="n">
        <f aca="false">IF(F13="","",DATE(YEAR(D13),MONTH(D13),1))</f>
        <v>46174</v>
      </c>
    </row>
    <row r="14" customFormat="false" ht="15" hidden="false" customHeight="false" outlineLevel="0" collapsed="false">
      <c r="A14" s="16" t="str">
        <f aca="false">Cash_Receipts_AR!A11</f>
        <v>ARR70010</v>
      </c>
      <c r="B14" s="16" t="str">
        <f aca="false">Cash_Receipts_AR!C11</f>
        <v>C2001</v>
      </c>
      <c r="C14" s="16" t="str">
        <f aca="false">Cash_Receipts_AR!B11</f>
        <v>ARI60011</v>
      </c>
      <c r="D14" s="17" t="n">
        <f aca="false">Cash_Receipts_AR!D11</f>
        <v>45982</v>
      </c>
      <c r="E14" s="18" t="n">
        <f aca="false">Cash_Receipts_AR!E11</f>
        <v>3666.96</v>
      </c>
      <c r="F14" s="17" t="n">
        <f aca="false">IFERROR(INDEX(Customer_Invoices_AR!$C$2:$C$601,MATCH(C14,Customer_Invoices_AR!$A$2:$A$601,0)),"")</f>
        <v>45965</v>
      </c>
      <c r="G14" s="16" t="n">
        <f aca="false">IF(F14="","",D14-F14)</f>
        <v>17</v>
      </c>
      <c r="H14" s="21" t="n">
        <f aca="false">IF(F14="","",DATE(YEAR(D14),MONTH(D14),1))</f>
        <v>45962</v>
      </c>
    </row>
    <row r="15" customFormat="false" ht="15" hidden="false" customHeight="false" outlineLevel="0" collapsed="false">
      <c r="A15" s="16" t="str">
        <f aca="false">Cash_Receipts_AR!A12</f>
        <v>ARR70011</v>
      </c>
      <c r="B15" s="16" t="str">
        <f aca="false">Cash_Receipts_AR!C12</f>
        <v>C2016</v>
      </c>
      <c r="C15" s="16" t="str">
        <f aca="false">Cash_Receipts_AR!B12</f>
        <v>ARI60012</v>
      </c>
      <c r="D15" s="17" t="n">
        <f aca="false">Cash_Receipts_AR!D12</f>
        <v>46034</v>
      </c>
      <c r="E15" s="18" t="n">
        <f aca="false">Cash_Receipts_AR!E12</f>
        <v>8288.62</v>
      </c>
      <c r="F15" s="17" t="n">
        <f aca="false">IFERROR(INDEX(Customer_Invoices_AR!$C$2:$C$601,MATCH(C15,Customer_Invoices_AR!$A$2:$A$601,0)),"")</f>
        <v>46004</v>
      </c>
      <c r="G15" s="16" t="n">
        <f aca="false">IF(F15="","",D15-F15)</f>
        <v>30</v>
      </c>
      <c r="H15" s="21" t="n">
        <f aca="false">IF(F15="","",DATE(YEAR(D15),MONTH(D15),1))</f>
        <v>46023</v>
      </c>
    </row>
    <row r="16" customFormat="false" ht="15" hidden="false" customHeight="false" outlineLevel="0" collapsed="false">
      <c r="A16" s="16" t="str">
        <f aca="false">Cash_Receipts_AR!A13</f>
        <v>ARR70012</v>
      </c>
      <c r="B16" s="16" t="str">
        <f aca="false">Cash_Receipts_AR!C13</f>
        <v>C2025</v>
      </c>
      <c r="C16" s="16" t="str">
        <f aca="false">Cash_Receipts_AR!B13</f>
        <v>ARI60013</v>
      </c>
      <c r="D16" s="17" t="n">
        <f aca="false">Cash_Receipts_AR!D13</f>
        <v>45999</v>
      </c>
      <c r="E16" s="18" t="n">
        <f aca="false">Cash_Receipts_AR!E13</f>
        <v>1708.27</v>
      </c>
      <c r="F16" s="17" t="n">
        <f aca="false">IFERROR(INDEX(Customer_Invoices_AR!$C$2:$C$601,MATCH(C16,Customer_Invoices_AR!$A$2:$A$601,0)),"")</f>
        <v>45998</v>
      </c>
      <c r="G16" s="16" t="n">
        <f aca="false">IF(F16="","",D16-F16)</f>
        <v>1</v>
      </c>
      <c r="H16" s="21" t="n">
        <f aca="false">IF(F16="","",DATE(YEAR(D16),MONTH(D16),1))</f>
        <v>45992</v>
      </c>
    </row>
    <row r="17" customFormat="false" ht="15" hidden="false" customHeight="false" outlineLevel="0" collapsed="false">
      <c r="A17" s="16" t="str">
        <f aca="false">Cash_Receipts_AR!A14</f>
        <v>ARR70013</v>
      </c>
      <c r="B17" s="16" t="str">
        <f aca="false">Cash_Receipts_AR!C14</f>
        <v>C2016</v>
      </c>
      <c r="C17" s="16" t="str">
        <f aca="false">Cash_Receipts_AR!B14</f>
        <v>ARI60014</v>
      </c>
      <c r="D17" s="17" t="n">
        <f aca="false">Cash_Receipts_AR!D14</f>
        <v>46130</v>
      </c>
      <c r="E17" s="18" t="n">
        <f aca="false">Cash_Receipts_AR!E14</f>
        <v>10942.48</v>
      </c>
      <c r="F17" s="17" t="n">
        <f aca="false">IFERROR(INDEX(Customer_Invoices_AR!$C$2:$C$601,MATCH(C17,Customer_Invoices_AR!$A$2:$A$601,0)),"")</f>
        <v>46129</v>
      </c>
      <c r="G17" s="16" t="n">
        <f aca="false">IF(F17="","",D17-F17)</f>
        <v>1</v>
      </c>
      <c r="H17" s="21" t="n">
        <f aca="false">IF(F17="","",DATE(YEAR(D17),MONTH(D17),1))</f>
        <v>46113</v>
      </c>
    </row>
    <row r="18" customFormat="false" ht="15" hidden="false" customHeight="false" outlineLevel="0" collapsed="false">
      <c r="A18" s="16" t="str">
        <f aca="false">Cash_Receipts_AR!A15</f>
        <v>ARR70014</v>
      </c>
      <c r="B18" s="16" t="str">
        <f aca="false">Cash_Receipts_AR!C15</f>
        <v>C2017</v>
      </c>
      <c r="C18" s="16" t="str">
        <f aca="false">Cash_Receipts_AR!B15</f>
        <v>ARI60015</v>
      </c>
      <c r="D18" s="17" t="n">
        <f aca="false">Cash_Receipts_AR!D15</f>
        <v>46033</v>
      </c>
      <c r="E18" s="18" t="n">
        <f aca="false">Cash_Receipts_AR!E15</f>
        <v>1415.72</v>
      </c>
      <c r="F18" s="17" t="n">
        <f aca="false">IFERROR(INDEX(Customer_Invoices_AR!$C$2:$C$601,MATCH(C18,Customer_Invoices_AR!$A$2:$A$601,0)),"")</f>
        <v>45999</v>
      </c>
      <c r="G18" s="16" t="n">
        <f aca="false">IF(F18="","",D18-F18)</f>
        <v>34</v>
      </c>
      <c r="H18" s="21" t="n">
        <f aca="false">IF(F18="","",DATE(YEAR(D18),MONTH(D18),1))</f>
        <v>46023</v>
      </c>
    </row>
    <row r="19" customFormat="false" ht="15" hidden="false" customHeight="false" outlineLevel="0" collapsed="false">
      <c r="A19" s="16" t="str">
        <f aca="false">Cash_Receipts_AR!A16</f>
        <v>ARR70015</v>
      </c>
      <c r="B19" s="16" t="str">
        <f aca="false">Cash_Receipts_AR!C16</f>
        <v>C2016</v>
      </c>
      <c r="C19" s="16" t="str">
        <f aca="false">Cash_Receipts_AR!B16</f>
        <v>ARI60016</v>
      </c>
      <c r="D19" s="17" t="n">
        <f aca="false">Cash_Receipts_AR!D16</f>
        <v>45741</v>
      </c>
      <c r="E19" s="18" t="n">
        <f aca="false">Cash_Receipts_AR!E16</f>
        <v>2952.16</v>
      </c>
      <c r="F19" s="17" t="n">
        <f aca="false">IFERROR(INDEX(Customer_Invoices_AR!$C$2:$C$601,MATCH(C19,Customer_Invoices_AR!$A$2:$A$601,0)),"")</f>
        <v>45740</v>
      </c>
      <c r="G19" s="16" t="n">
        <f aca="false">IF(F19="","",D19-F19)</f>
        <v>1</v>
      </c>
      <c r="H19" s="21" t="n">
        <f aca="false">IF(F19="","",DATE(YEAR(D19),MONTH(D19),1))</f>
        <v>45717</v>
      </c>
    </row>
    <row r="20" customFormat="false" ht="15" hidden="false" customHeight="false" outlineLevel="0" collapsed="false">
      <c r="A20" s="16" t="str">
        <f aca="false">Cash_Receipts_AR!A17</f>
        <v>ARR70016</v>
      </c>
      <c r="B20" s="16" t="str">
        <f aca="false">Cash_Receipts_AR!C17</f>
        <v>C2015</v>
      </c>
      <c r="C20" s="16" t="str">
        <f aca="false">Cash_Receipts_AR!B17</f>
        <v>ARI60017</v>
      </c>
      <c r="D20" s="17" t="n">
        <f aca="false">Cash_Receipts_AR!D17</f>
        <v>45706</v>
      </c>
      <c r="E20" s="18" t="n">
        <f aca="false">Cash_Receipts_AR!E17</f>
        <v>3137.15</v>
      </c>
      <c r="F20" s="17" t="n">
        <f aca="false">IFERROR(INDEX(Customer_Invoices_AR!$C$2:$C$601,MATCH(C20,Customer_Invoices_AR!$A$2:$A$601,0)),"")</f>
        <v>45695</v>
      </c>
      <c r="G20" s="16" t="n">
        <f aca="false">IF(F20="","",D20-F20)</f>
        <v>11</v>
      </c>
      <c r="H20" s="21" t="n">
        <f aca="false">IF(F20="","",DATE(YEAR(D20),MONTH(D20),1))</f>
        <v>45689</v>
      </c>
    </row>
    <row r="21" customFormat="false" ht="15" hidden="false" customHeight="false" outlineLevel="0" collapsed="false">
      <c r="A21" s="16" t="str">
        <f aca="false">Cash_Receipts_AR!A18</f>
        <v>ARR70017</v>
      </c>
      <c r="B21" s="16" t="str">
        <f aca="false">Cash_Receipts_AR!C18</f>
        <v>C2001</v>
      </c>
      <c r="C21" s="16" t="str">
        <f aca="false">Cash_Receipts_AR!B18</f>
        <v>ARI60018</v>
      </c>
      <c r="D21" s="17" t="n">
        <f aca="false">Cash_Receipts_AR!D18</f>
        <v>45921</v>
      </c>
      <c r="E21" s="18" t="n">
        <f aca="false">Cash_Receipts_AR!E18</f>
        <v>468.78</v>
      </c>
      <c r="F21" s="17" t="n">
        <f aca="false">IFERROR(INDEX(Customer_Invoices_AR!$C$2:$C$601,MATCH(C21,Customer_Invoices_AR!$A$2:$A$601,0)),"")</f>
        <v>45899</v>
      </c>
      <c r="G21" s="16" t="n">
        <f aca="false">IF(F21="","",D21-F21)</f>
        <v>22</v>
      </c>
      <c r="H21" s="21" t="n">
        <f aca="false">IF(F21="","",DATE(YEAR(D21),MONTH(D21),1))</f>
        <v>45901</v>
      </c>
    </row>
    <row r="22" customFormat="false" ht="15" hidden="false" customHeight="false" outlineLevel="0" collapsed="false">
      <c r="A22" s="16" t="str">
        <f aca="false">Cash_Receipts_AR!A19</f>
        <v>ARR70018</v>
      </c>
      <c r="B22" s="16" t="str">
        <f aca="false">Cash_Receipts_AR!C19</f>
        <v>C2012</v>
      </c>
      <c r="C22" s="16" t="str">
        <f aca="false">Cash_Receipts_AR!B19</f>
        <v>ARI60019</v>
      </c>
      <c r="D22" s="17" t="n">
        <f aca="false">Cash_Receipts_AR!D19</f>
        <v>45832</v>
      </c>
      <c r="E22" s="18" t="n">
        <f aca="false">Cash_Receipts_AR!E19</f>
        <v>1542.98</v>
      </c>
      <c r="F22" s="17" t="n">
        <f aca="false">IFERROR(INDEX(Customer_Invoices_AR!$C$2:$C$601,MATCH(C22,Customer_Invoices_AR!$A$2:$A$601,0)),"")</f>
        <v>45823</v>
      </c>
      <c r="G22" s="16" t="n">
        <f aca="false">IF(F22="","",D22-F22)</f>
        <v>9</v>
      </c>
      <c r="H22" s="21" t="n">
        <f aca="false">IF(F22="","",DATE(YEAR(D22),MONTH(D22),1))</f>
        <v>45809</v>
      </c>
    </row>
    <row r="23" customFormat="false" ht="15" hidden="false" customHeight="false" outlineLevel="0" collapsed="false">
      <c r="A23" s="16" t="str">
        <f aca="false">Cash_Receipts_AR!A20</f>
        <v>ARR70019</v>
      </c>
      <c r="B23" s="16" t="str">
        <f aca="false">Cash_Receipts_AR!C20</f>
        <v>C2025</v>
      </c>
      <c r="C23" s="16" t="str">
        <f aca="false">Cash_Receipts_AR!B20</f>
        <v>ARI60020</v>
      </c>
      <c r="D23" s="17" t="n">
        <f aca="false">Cash_Receipts_AR!D20</f>
        <v>45811</v>
      </c>
      <c r="E23" s="18" t="n">
        <f aca="false">Cash_Receipts_AR!E20</f>
        <v>4945.6</v>
      </c>
      <c r="F23" s="17" t="n">
        <f aca="false">IFERROR(INDEX(Customer_Invoices_AR!$C$2:$C$601,MATCH(C23,Customer_Invoices_AR!$A$2:$A$601,0)),"")</f>
        <v>45807</v>
      </c>
      <c r="G23" s="16" t="n">
        <f aca="false">IF(F23="","",D23-F23)</f>
        <v>4</v>
      </c>
      <c r="H23" s="21" t="n">
        <f aca="false">IF(F23="","",DATE(YEAR(D23),MONTH(D23),1))</f>
        <v>45809</v>
      </c>
    </row>
    <row r="24" customFormat="false" ht="15" hidden="false" customHeight="false" outlineLevel="0" collapsed="false">
      <c r="A24" s="16" t="str">
        <f aca="false">Cash_Receipts_AR!A21</f>
        <v>ARR70020</v>
      </c>
      <c r="B24" s="16" t="str">
        <f aca="false">Cash_Receipts_AR!C21</f>
        <v>C2009</v>
      </c>
      <c r="C24" s="16" t="str">
        <f aca="false">Cash_Receipts_AR!B21</f>
        <v>ARI60022</v>
      </c>
      <c r="D24" s="17" t="n">
        <f aca="false">Cash_Receipts_AR!D21</f>
        <v>45943</v>
      </c>
      <c r="E24" s="18" t="n">
        <f aca="false">Cash_Receipts_AR!E21</f>
        <v>10752.52</v>
      </c>
      <c r="F24" s="17" t="n">
        <f aca="false">IFERROR(INDEX(Customer_Invoices_AR!$C$2:$C$601,MATCH(C24,Customer_Invoices_AR!$A$2:$A$601,0)),"")</f>
        <v>45934</v>
      </c>
      <c r="G24" s="16" t="n">
        <f aca="false">IF(F24="","",D24-F24)</f>
        <v>9</v>
      </c>
      <c r="H24" s="21" t="n">
        <f aca="false">IF(F24="","",DATE(YEAR(D24),MONTH(D24),1))</f>
        <v>45931</v>
      </c>
    </row>
    <row r="25" customFormat="false" ht="15" hidden="false" customHeight="false" outlineLevel="0" collapsed="false">
      <c r="A25" s="16" t="str">
        <f aca="false">Cash_Receipts_AR!A22</f>
        <v>ARR70021</v>
      </c>
      <c r="B25" s="16" t="str">
        <f aca="false">Cash_Receipts_AR!C22</f>
        <v>C2026</v>
      </c>
      <c r="C25" s="16" t="str">
        <f aca="false">Cash_Receipts_AR!B22</f>
        <v>ARI60023</v>
      </c>
      <c r="D25" s="17" t="n">
        <f aca="false">Cash_Receipts_AR!D22</f>
        <v>45828</v>
      </c>
      <c r="E25" s="18" t="n">
        <f aca="false">Cash_Receipts_AR!E22</f>
        <v>738.73</v>
      </c>
      <c r="F25" s="17" t="n">
        <f aca="false">IFERROR(INDEX(Customer_Invoices_AR!$C$2:$C$601,MATCH(C25,Customer_Invoices_AR!$A$2:$A$601,0)),"")</f>
        <v>45827</v>
      </c>
      <c r="G25" s="16" t="n">
        <f aca="false">IF(F25="","",D25-F25)</f>
        <v>1</v>
      </c>
      <c r="H25" s="21" t="n">
        <f aca="false">IF(F25="","",DATE(YEAR(D25),MONTH(D25),1))</f>
        <v>45809</v>
      </c>
    </row>
    <row r="26" customFormat="false" ht="15" hidden="false" customHeight="false" outlineLevel="0" collapsed="false">
      <c r="A26" s="16" t="str">
        <f aca="false">Cash_Receipts_AR!A23</f>
        <v>ARR70022</v>
      </c>
      <c r="B26" s="16" t="str">
        <f aca="false">Cash_Receipts_AR!C23</f>
        <v>C2008</v>
      </c>
      <c r="C26" s="16" t="str">
        <f aca="false">Cash_Receipts_AR!B23</f>
        <v>ARI60024</v>
      </c>
      <c r="D26" s="17" t="n">
        <f aca="false">Cash_Receipts_AR!D23</f>
        <v>45931</v>
      </c>
      <c r="E26" s="18" t="n">
        <f aca="false">Cash_Receipts_AR!E23</f>
        <v>2574.77</v>
      </c>
      <c r="F26" s="17" t="n">
        <f aca="false">IFERROR(INDEX(Customer_Invoices_AR!$C$2:$C$601,MATCH(C26,Customer_Invoices_AR!$A$2:$A$601,0)),"")</f>
        <v>45904</v>
      </c>
      <c r="G26" s="16" t="n">
        <f aca="false">IF(F26="","",D26-F26)</f>
        <v>27</v>
      </c>
      <c r="H26" s="21" t="n">
        <f aca="false">IF(F26="","",DATE(YEAR(D26),MONTH(D26),1))</f>
        <v>45931</v>
      </c>
    </row>
    <row r="27" customFormat="false" ht="15" hidden="false" customHeight="false" outlineLevel="0" collapsed="false">
      <c r="A27" s="16" t="str">
        <f aca="false">Cash_Receipts_AR!A24</f>
        <v>ARR70023</v>
      </c>
      <c r="B27" s="16" t="str">
        <f aca="false">Cash_Receipts_AR!C24</f>
        <v>C2012</v>
      </c>
      <c r="C27" s="16" t="str">
        <f aca="false">Cash_Receipts_AR!B24</f>
        <v>ARI60026</v>
      </c>
      <c r="D27" s="17" t="n">
        <f aca="false">Cash_Receipts_AR!D24</f>
        <v>46112</v>
      </c>
      <c r="E27" s="18" t="n">
        <f aca="false">Cash_Receipts_AR!E24</f>
        <v>419.87</v>
      </c>
      <c r="F27" s="17" t="n">
        <f aca="false">IFERROR(INDEX(Customer_Invoices_AR!$C$2:$C$601,MATCH(C27,Customer_Invoices_AR!$A$2:$A$601,0)),"")</f>
        <v>46111</v>
      </c>
      <c r="G27" s="16" t="n">
        <f aca="false">IF(F27="","",D27-F27)</f>
        <v>1</v>
      </c>
      <c r="H27" s="21" t="n">
        <f aca="false">IF(F27="","",DATE(YEAR(D27),MONTH(D27),1))</f>
        <v>46082</v>
      </c>
    </row>
    <row r="28" customFormat="false" ht="15" hidden="false" customHeight="false" outlineLevel="0" collapsed="false">
      <c r="A28" s="16" t="str">
        <f aca="false">Cash_Receipts_AR!A25</f>
        <v>ARR70024</v>
      </c>
      <c r="B28" s="16" t="str">
        <f aca="false">Cash_Receipts_AR!C25</f>
        <v>C2024</v>
      </c>
      <c r="C28" s="16" t="str">
        <f aca="false">Cash_Receipts_AR!B25</f>
        <v>ARI60027</v>
      </c>
      <c r="D28" s="17" t="n">
        <f aca="false">Cash_Receipts_AR!D25</f>
        <v>45708</v>
      </c>
      <c r="E28" s="18" t="n">
        <f aca="false">Cash_Receipts_AR!E25</f>
        <v>1097.71</v>
      </c>
      <c r="F28" s="17" t="n">
        <f aca="false">IFERROR(INDEX(Customer_Invoices_AR!$C$2:$C$601,MATCH(C28,Customer_Invoices_AR!$A$2:$A$601,0)),"")</f>
        <v>45699</v>
      </c>
      <c r="G28" s="16" t="n">
        <f aca="false">IF(F28="","",D28-F28)</f>
        <v>9</v>
      </c>
      <c r="H28" s="21" t="n">
        <f aca="false">IF(F28="","",DATE(YEAR(D28),MONTH(D28),1))</f>
        <v>45689</v>
      </c>
    </row>
    <row r="29" customFormat="false" ht="15" hidden="false" customHeight="false" outlineLevel="0" collapsed="false">
      <c r="A29" s="16" t="str">
        <f aca="false">Cash_Receipts_AR!A26</f>
        <v>ARR70025</v>
      </c>
      <c r="B29" s="16" t="str">
        <f aca="false">Cash_Receipts_AR!C26</f>
        <v>C2029</v>
      </c>
      <c r="C29" s="16" t="str">
        <f aca="false">Cash_Receipts_AR!B26</f>
        <v>ARI60028</v>
      </c>
      <c r="D29" s="17" t="n">
        <f aca="false">Cash_Receipts_AR!D26</f>
        <v>46169</v>
      </c>
      <c r="E29" s="18" t="n">
        <f aca="false">Cash_Receipts_AR!E26</f>
        <v>3200.16</v>
      </c>
      <c r="F29" s="17" t="n">
        <f aca="false">IFERROR(INDEX(Customer_Invoices_AR!$C$2:$C$601,MATCH(C29,Customer_Invoices_AR!$A$2:$A$601,0)),"")</f>
        <v>46129</v>
      </c>
      <c r="G29" s="16" t="n">
        <f aca="false">IF(F29="","",D29-F29)</f>
        <v>40</v>
      </c>
      <c r="H29" s="21" t="n">
        <f aca="false">IF(F29="","",DATE(YEAR(D29),MONTH(D29),1))</f>
        <v>46143</v>
      </c>
    </row>
    <row r="30" customFormat="false" ht="15" hidden="false" customHeight="false" outlineLevel="0" collapsed="false">
      <c r="A30" s="16" t="str">
        <f aca="false">Cash_Receipts_AR!A27</f>
        <v>ARR70026</v>
      </c>
      <c r="B30" s="16" t="str">
        <f aca="false">Cash_Receipts_AR!C27</f>
        <v>C2028</v>
      </c>
      <c r="C30" s="16" t="str">
        <f aca="false">Cash_Receipts_AR!B27</f>
        <v>ARI60031</v>
      </c>
      <c r="D30" s="17" t="n">
        <f aca="false">Cash_Receipts_AR!D27</f>
        <v>45951</v>
      </c>
      <c r="E30" s="18" t="n">
        <f aca="false">Cash_Receipts_AR!E27</f>
        <v>3581.88</v>
      </c>
      <c r="F30" s="17" t="n">
        <f aca="false">IFERROR(INDEX(Customer_Invoices_AR!$C$2:$C$601,MATCH(C30,Customer_Invoices_AR!$A$2:$A$601,0)),"")</f>
        <v>45934</v>
      </c>
      <c r="G30" s="16" t="n">
        <f aca="false">IF(F30="","",D30-F30)</f>
        <v>17</v>
      </c>
      <c r="H30" s="21" t="n">
        <f aca="false">IF(F30="","",DATE(YEAR(D30),MONTH(D30),1))</f>
        <v>45931</v>
      </c>
    </row>
    <row r="31" customFormat="false" ht="15" hidden="false" customHeight="false" outlineLevel="0" collapsed="false">
      <c r="A31" s="16" t="str">
        <f aca="false">Cash_Receipts_AR!A28</f>
        <v>ARR70027</v>
      </c>
      <c r="B31" s="16" t="str">
        <f aca="false">Cash_Receipts_AR!C28</f>
        <v>C2027</v>
      </c>
      <c r="C31" s="16" t="str">
        <f aca="false">Cash_Receipts_AR!B28</f>
        <v>ARI60032</v>
      </c>
      <c r="D31" s="17" t="n">
        <f aca="false">Cash_Receipts_AR!D28</f>
        <v>45911</v>
      </c>
      <c r="E31" s="18" t="n">
        <f aca="false">Cash_Receipts_AR!E28</f>
        <v>2165.8</v>
      </c>
      <c r="F31" s="17" t="n">
        <f aca="false">IFERROR(INDEX(Customer_Invoices_AR!$C$2:$C$601,MATCH(C31,Customer_Invoices_AR!$A$2:$A$601,0)),"")</f>
        <v>45910</v>
      </c>
      <c r="G31" s="16" t="n">
        <f aca="false">IF(F31="","",D31-F31)</f>
        <v>1</v>
      </c>
      <c r="H31" s="21" t="n">
        <f aca="false">IF(F31="","",DATE(YEAR(D31),MONTH(D31),1))</f>
        <v>45901</v>
      </c>
    </row>
    <row r="32" customFormat="false" ht="15" hidden="false" customHeight="false" outlineLevel="0" collapsed="false">
      <c r="A32" s="16" t="str">
        <f aca="false">Cash_Receipts_AR!A29</f>
        <v>ARR70028</v>
      </c>
      <c r="B32" s="16" t="str">
        <f aca="false">Cash_Receipts_AR!C29</f>
        <v>C2018</v>
      </c>
      <c r="C32" s="16" t="str">
        <f aca="false">Cash_Receipts_AR!B29</f>
        <v>ARI60033</v>
      </c>
      <c r="D32" s="17" t="n">
        <f aca="false">Cash_Receipts_AR!D29</f>
        <v>45977</v>
      </c>
      <c r="E32" s="18" t="n">
        <f aca="false">Cash_Receipts_AR!E29</f>
        <v>1078.27</v>
      </c>
      <c r="F32" s="17" t="n">
        <f aca="false">IFERROR(INDEX(Customer_Invoices_AR!$C$2:$C$601,MATCH(C32,Customer_Invoices_AR!$A$2:$A$601,0)),"")</f>
        <v>45960</v>
      </c>
      <c r="G32" s="16" t="n">
        <f aca="false">IF(F32="","",D32-F32)</f>
        <v>17</v>
      </c>
      <c r="H32" s="21" t="n">
        <f aca="false">IF(F32="","",DATE(YEAR(D32),MONTH(D32),1))</f>
        <v>45962</v>
      </c>
    </row>
    <row r="33" customFormat="false" ht="15" hidden="false" customHeight="false" outlineLevel="0" collapsed="false">
      <c r="A33" s="16" t="str">
        <f aca="false">Cash_Receipts_AR!A30</f>
        <v>ARR70029</v>
      </c>
      <c r="B33" s="16" t="str">
        <f aca="false">Cash_Receipts_AR!C30</f>
        <v>C2018</v>
      </c>
      <c r="C33" s="16" t="str">
        <f aca="false">Cash_Receipts_AR!B30</f>
        <v>ARI60034</v>
      </c>
      <c r="D33" s="17" t="n">
        <f aca="false">Cash_Receipts_AR!D30</f>
        <v>46116</v>
      </c>
      <c r="E33" s="18" t="n">
        <f aca="false">Cash_Receipts_AR!E30</f>
        <v>4109.52</v>
      </c>
      <c r="F33" s="17" t="n">
        <f aca="false">IFERROR(INDEX(Customer_Invoices_AR!$C$2:$C$601,MATCH(C33,Customer_Invoices_AR!$A$2:$A$601,0)),"")</f>
        <v>46089</v>
      </c>
      <c r="G33" s="16" t="n">
        <f aca="false">IF(F33="","",D33-F33)</f>
        <v>27</v>
      </c>
      <c r="H33" s="21" t="n">
        <f aca="false">IF(F33="","",DATE(YEAR(D33),MONTH(D33),1))</f>
        <v>46113</v>
      </c>
    </row>
    <row r="34" customFormat="false" ht="15" hidden="false" customHeight="false" outlineLevel="0" collapsed="false">
      <c r="A34" s="16" t="str">
        <f aca="false">Cash_Receipts_AR!A31</f>
        <v>ARR70030</v>
      </c>
      <c r="B34" s="16" t="str">
        <f aca="false">Cash_Receipts_AR!C31</f>
        <v>C2021</v>
      </c>
      <c r="C34" s="16" t="str">
        <f aca="false">Cash_Receipts_AR!B31</f>
        <v>ARI60035</v>
      </c>
      <c r="D34" s="17" t="n">
        <f aca="false">Cash_Receipts_AR!D31</f>
        <v>46173</v>
      </c>
      <c r="E34" s="18" t="n">
        <f aca="false">Cash_Receipts_AR!E31</f>
        <v>2519.07</v>
      </c>
      <c r="F34" s="17" t="n">
        <f aca="false">IFERROR(INDEX(Customer_Invoices_AR!$C$2:$C$601,MATCH(C34,Customer_Invoices_AR!$A$2:$A$601,0)),"")</f>
        <v>46146</v>
      </c>
      <c r="G34" s="16" t="n">
        <f aca="false">IF(F34="","",D34-F34)</f>
        <v>27</v>
      </c>
      <c r="H34" s="21" t="n">
        <f aca="false">IF(F34="","",DATE(YEAR(D34),MONTH(D34),1))</f>
        <v>46143</v>
      </c>
    </row>
    <row r="35" customFormat="false" ht="15" hidden="false" customHeight="false" outlineLevel="0" collapsed="false">
      <c r="A35" s="16" t="str">
        <f aca="false">Cash_Receipts_AR!A32</f>
        <v>ARR70031</v>
      </c>
      <c r="B35" s="16" t="str">
        <f aca="false">Cash_Receipts_AR!C32</f>
        <v>C2001</v>
      </c>
      <c r="C35" s="16" t="str">
        <f aca="false">Cash_Receipts_AR!B32</f>
        <v>ARI60036</v>
      </c>
      <c r="D35" s="17" t="n">
        <f aca="false">Cash_Receipts_AR!D32</f>
        <v>45911</v>
      </c>
      <c r="E35" s="18" t="n">
        <f aca="false">Cash_Receipts_AR!E32</f>
        <v>5268.62</v>
      </c>
      <c r="F35" s="17" t="n">
        <f aca="false">IFERROR(INDEX(Customer_Invoices_AR!$C$2:$C$601,MATCH(C35,Customer_Invoices_AR!$A$2:$A$601,0)),"")</f>
        <v>45903</v>
      </c>
      <c r="G35" s="16" t="n">
        <f aca="false">IF(F35="","",D35-F35)</f>
        <v>8</v>
      </c>
      <c r="H35" s="21" t="n">
        <f aca="false">IF(F35="","",DATE(YEAR(D35),MONTH(D35),1))</f>
        <v>45901</v>
      </c>
    </row>
    <row r="36" customFormat="false" ht="15" hidden="false" customHeight="false" outlineLevel="0" collapsed="false">
      <c r="A36" s="16" t="str">
        <f aca="false">Cash_Receipts_AR!A33</f>
        <v>ARR70032</v>
      </c>
      <c r="B36" s="16" t="str">
        <f aca="false">Cash_Receipts_AR!C33</f>
        <v>C2027</v>
      </c>
      <c r="C36" s="16" t="str">
        <f aca="false">Cash_Receipts_AR!B33</f>
        <v>ARI60037</v>
      </c>
      <c r="D36" s="17" t="n">
        <f aca="false">Cash_Receipts_AR!D33</f>
        <v>46117</v>
      </c>
      <c r="E36" s="18" t="n">
        <f aca="false">Cash_Receipts_AR!E33</f>
        <v>1149.12</v>
      </c>
      <c r="F36" s="17" t="n">
        <f aca="false">IFERROR(INDEX(Customer_Invoices_AR!$C$2:$C$601,MATCH(C36,Customer_Invoices_AR!$A$2:$A$601,0)),"")</f>
        <v>46099</v>
      </c>
      <c r="G36" s="16" t="n">
        <f aca="false">IF(F36="","",D36-F36)</f>
        <v>18</v>
      </c>
      <c r="H36" s="21" t="n">
        <f aca="false">IF(F36="","",DATE(YEAR(D36),MONTH(D36),1))</f>
        <v>46113</v>
      </c>
    </row>
    <row r="37" customFormat="false" ht="15" hidden="false" customHeight="false" outlineLevel="0" collapsed="false">
      <c r="A37" s="16" t="str">
        <f aca="false">Cash_Receipts_AR!A34</f>
        <v>ARR70033</v>
      </c>
      <c r="B37" s="16" t="str">
        <f aca="false">Cash_Receipts_AR!C34</f>
        <v>C2011</v>
      </c>
      <c r="C37" s="16" t="str">
        <f aca="false">Cash_Receipts_AR!B34</f>
        <v>ARI60038</v>
      </c>
      <c r="D37" s="17" t="n">
        <f aca="false">Cash_Receipts_AR!D34</f>
        <v>46044</v>
      </c>
      <c r="E37" s="18" t="n">
        <f aca="false">Cash_Receipts_AR!E34</f>
        <v>183.38</v>
      </c>
      <c r="F37" s="17" t="n">
        <f aca="false">IFERROR(INDEX(Customer_Invoices_AR!$C$2:$C$601,MATCH(C37,Customer_Invoices_AR!$A$2:$A$601,0)),"")</f>
        <v>46013</v>
      </c>
      <c r="G37" s="16" t="n">
        <f aca="false">IF(F37="","",D37-F37)</f>
        <v>31</v>
      </c>
      <c r="H37" s="21" t="n">
        <f aca="false">IF(F37="","",DATE(YEAR(D37),MONTH(D37),1))</f>
        <v>46023</v>
      </c>
    </row>
    <row r="38" customFormat="false" ht="15" hidden="false" customHeight="false" outlineLevel="0" collapsed="false">
      <c r="A38" s="16" t="str">
        <f aca="false">Cash_Receipts_AR!A35</f>
        <v>ARR70034</v>
      </c>
      <c r="B38" s="16" t="str">
        <f aca="false">Cash_Receipts_AR!C35</f>
        <v>C2001</v>
      </c>
      <c r="C38" s="16" t="str">
        <f aca="false">Cash_Receipts_AR!B35</f>
        <v>ARI60039</v>
      </c>
      <c r="D38" s="17" t="n">
        <f aca="false">Cash_Receipts_AR!D35</f>
        <v>45846</v>
      </c>
      <c r="E38" s="18" t="n">
        <f aca="false">Cash_Receipts_AR!E35</f>
        <v>5425.91</v>
      </c>
      <c r="F38" s="17" t="n">
        <f aca="false">IFERROR(INDEX(Customer_Invoices_AR!$C$2:$C$601,MATCH(C38,Customer_Invoices_AR!$A$2:$A$601,0)),"")</f>
        <v>45833</v>
      </c>
      <c r="G38" s="16" t="n">
        <f aca="false">IF(F38="","",D38-F38)</f>
        <v>13</v>
      </c>
      <c r="H38" s="21" t="n">
        <f aca="false">IF(F38="","",DATE(YEAR(D38),MONTH(D38),1))</f>
        <v>45839</v>
      </c>
    </row>
    <row r="39" customFormat="false" ht="15" hidden="false" customHeight="false" outlineLevel="0" collapsed="false">
      <c r="A39" s="16" t="str">
        <f aca="false">Cash_Receipts_AR!A36</f>
        <v>ARR70035</v>
      </c>
      <c r="B39" s="16" t="str">
        <f aca="false">Cash_Receipts_AR!C36</f>
        <v>C2017</v>
      </c>
      <c r="C39" s="16" t="str">
        <f aca="false">Cash_Receipts_AR!B36</f>
        <v>ARI60040</v>
      </c>
      <c r="D39" s="17" t="n">
        <f aca="false">Cash_Receipts_AR!D36</f>
        <v>45932</v>
      </c>
      <c r="E39" s="18" t="n">
        <f aca="false">Cash_Receipts_AR!E36</f>
        <v>2859.95</v>
      </c>
      <c r="F39" s="17" t="n">
        <f aca="false">IFERROR(INDEX(Customer_Invoices_AR!$C$2:$C$601,MATCH(C39,Customer_Invoices_AR!$A$2:$A$601,0)),"")</f>
        <v>45917</v>
      </c>
      <c r="G39" s="16" t="n">
        <f aca="false">IF(F39="","",D39-F39)</f>
        <v>15</v>
      </c>
      <c r="H39" s="21" t="n">
        <f aca="false">IF(F39="","",DATE(YEAR(D39),MONTH(D39),1))</f>
        <v>45931</v>
      </c>
    </row>
    <row r="40" customFormat="false" ht="15" hidden="false" customHeight="false" outlineLevel="0" collapsed="false">
      <c r="A40" s="16" t="str">
        <f aca="false">Cash_Receipts_AR!A37</f>
        <v>ARR70036</v>
      </c>
      <c r="B40" s="16" t="str">
        <f aca="false">Cash_Receipts_AR!C37</f>
        <v>C2013</v>
      </c>
      <c r="C40" s="16" t="str">
        <f aca="false">Cash_Receipts_AR!B37</f>
        <v>ARI60041</v>
      </c>
      <c r="D40" s="17" t="n">
        <f aca="false">Cash_Receipts_AR!D37</f>
        <v>45758</v>
      </c>
      <c r="E40" s="18" t="n">
        <f aca="false">Cash_Receipts_AR!E37</f>
        <v>8209.38</v>
      </c>
      <c r="F40" s="17" t="n">
        <f aca="false">IFERROR(INDEX(Customer_Invoices_AR!$C$2:$C$601,MATCH(C40,Customer_Invoices_AR!$A$2:$A$601,0)),"")</f>
        <v>45740</v>
      </c>
      <c r="G40" s="16" t="n">
        <f aca="false">IF(F40="","",D40-F40)</f>
        <v>18</v>
      </c>
      <c r="H40" s="21" t="n">
        <f aca="false">IF(F40="","",DATE(YEAR(D40),MONTH(D40),1))</f>
        <v>45748</v>
      </c>
    </row>
    <row r="41" customFormat="false" ht="15" hidden="false" customHeight="false" outlineLevel="0" collapsed="false">
      <c r="A41" s="16" t="str">
        <f aca="false">Cash_Receipts_AR!A38</f>
        <v>ARR70037</v>
      </c>
      <c r="B41" s="16" t="str">
        <f aca="false">Cash_Receipts_AR!C38</f>
        <v>C2010</v>
      </c>
      <c r="C41" s="16" t="str">
        <f aca="false">Cash_Receipts_AR!B38</f>
        <v>ARI60042</v>
      </c>
      <c r="D41" s="17" t="n">
        <f aca="false">Cash_Receipts_AR!D38</f>
        <v>45712</v>
      </c>
      <c r="E41" s="18" t="n">
        <f aca="false">Cash_Receipts_AR!E38</f>
        <v>2699.15</v>
      </c>
      <c r="F41" s="17" t="n">
        <f aca="false">IFERROR(INDEX(Customer_Invoices_AR!$C$2:$C$601,MATCH(C41,Customer_Invoices_AR!$A$2:$A$601,0)),"")</f>
        <v>45691</v>
      </c>
      <c r="G41" s="16" t="n">
        <f aca="false">IF(F41="","",D41-F41)</f>
        <v>21</v>
      </c>
      <c r="H41" s="21" t="n">
        <f aca="false">IF(F41="","",DATE(YEAR(D41),MONTH(D41),1))</f>
        <v>45689</v>
      </c>
    </row>
    <row r="42" customFormat="false" ht="15" hidden="false" customHeight="false" outlineLevel="0" collapsed="false">
      <c r="A42" s="16" t="str">
        <f aca="false">Cash_Receipts_AR!A39</f>
        <v>ARR70038</v>
      </c>
      <c r="B42" s="16" t="str">
        <f aca="false">Cash_Receipts_AR!C39</f>
        <v>C2008</v>
      </c>
      <c r="C42" s="16" t="str">
        <f aca="false">Cash_Receipts_AR!B39</f>
        <v>ARI60044</v>
      </c>
      <c r="D42" s="17" t="n">
        <f aca="false">Cash_Receipts_AR!D39</f>
        <v>46161</v>
      </c>
      <c r="E42" s="18" t="n">
        <f aca="false">Cash_Receipts_AR!E39</f>
        <v>1354.65</v>
      </c>
      <c r="F42" s="17" t="n">
        <f aca="false">IFERROR(INDEX(Customer_Invoices_AR!$C$2:$C$601,MATCH(C42,Customer_Invoices_AR!$A$2:$A$601,0)),"")</f>
        <v>46148</v>
      </c>
      <c r="G42" s="16" t="n">
        <f aca="false">IF(F42="","",D42-F42)</f>
        <v>13</v>
      </c>
      <c r="H42" s="21" t="n">
        <f aca="false">IF(F42="","",DATE(YEAR(D42),MONTH(D42),1))</f>
        <v>46143</v>
      </c>
    </row>
    <row r="43" customFormat="false" ht="15" hidden="false" customHeight="false" outlineLevel="0" collapsed="false">
      <c r="A43" s="16" t="str">
        <f aca="false">Cash_Receipts_AR!A40</f>
        <v>ARR70039</v>
      </c>
      <c r="B43" s="16" t="str">
        <f aca="false">Cash_Receipts_AR!C40</f>
        <v>C2015</v>
      </c>
      <c r="C43" s="16" t="str">
        <f aca="false">Cash_Receipts_AR!B40</f>
        <v>ARI60045</v>
      </c>
      <c r="D43" s="17" t="n">
        <f aca="false">Cash_Receipts_AR!D40</f>
        <v>45850</v>
      </c>
      <c r="E43" s="18" t="n">
        <f aca="false">Cash_Receipts_AR!E40</f>
        <v>2443.44</v>
      </c>
      <c r="F43" s="17" t="n">
        <f aca="false">IFERROR(INDEX(Customer_Invoices_AR!$C$2:$C$601,MATCH(C43,Customer_Invoices_AR!$A$2:$A$601,0)),"")</f>
        <v>45845</v>
      </c>
      <c r="G43" s="16" t="n">
        <f aca="false">IF(F43="","",D43-F43)</f>
        <v>5</v>
      </c>
      <c r="H43" s="21" t="n">
        <f aca="false">IF(F43="","",DATE(YEAR(D43),MONTH(D43),1))</f>
        <v>45839</v>
      </c>
    </row>
    <row r="44" customFormat="false" ht="15" hidden="false" customHeight="false" outlineLevel="0" collapsed="false">
      <c r="A44" s="16" t="str">
        <f aca="false">Cash_Receipts_AR!A41</f>
        <v>ARR70040</v>
      </c>
      <c r="B44" s="16" t="str">
        <f aca="false">Cash_Receipts_AR!C41</f>
        <v>C2016</v>
      </c>
      <c r="C44" s="16" t="str">
        <f aca="false">Cash_Receipts_AR!B41</f>
        <v>ARI60046</v>
      </c>
      <c r="D44" s="17" t="n">
        <f aca="false">Cash_Receipts_AR!D41</f>
        <v>46060</v>
      </c>
      <c r="E44" s="18" t="n">
        <f aca="false">Cash_Receipts_AR!E41</f>
        <v>4874.17</v>
      </c>
      <c r="F44" s="17" t="n">
        <f aca="false">IFERROR(INDEX(Customer_Invoices_AR!$C$2:$C$601,MATCH(C44,Customer_Invoices_AR!$A$2:$A$601,0)),"")</f>
        <v>46047</v>
      </c>
      <c r="G44" s="16" t="n">
        <f aca="false">IF(F44="","",D44-F44)</f>
        <v>13</v>
      </c>
      <c r="H44" s="21" t="n">
        <f aca="false">IF(F44="","",DATE(YEAR(D44),MONTH(D44),1))</f>
        <v>46054</v>
      </c>
    </row>
    <row r="45" customFormat="false" ht="15" hidden="false" customHeight="false" outlineLevel="0" collapsed="false">
      <c r="A45" s="16" t="str">
        <f aca="false">Cash_Receipts_AR!A42</f>
        <v>ARR70041</v>
      </c>
      <c r="B45" s="16" t="str">
        <f aca="false">Cash_Receipts_AR!C42</f>
        <v>C2011</v>
      </c>
      <c r="C45" s="16" t="str">
        <f aca="false">Cash_Receipts_AR!B42</f>
        <v>ARI60049</v>
      </c>
      <c r="D45" s="17" t="n">
        <f aca="false">Cash_Receipts_AR!D42</f>
        <v>45826</v>
      </c>
      <c r="E45" s="18" t="n">
        <f aca="false">Cash_Receipts_AR!E42</f>
        <v>3700.7</v>
      </c>
      <c r="F45" s="17" t="n">
        <f aca="false">IFERROR(INDEX(Customer_Invoices_AR!$C$2:$C$601,MATCH(C45,Customer_Invoices_AR!$A$2:$A$601,0)),"")</f>
        <v>45793</v>
      </c>
      <c r="G45" s="16" t="n">
        <f aca="false">IF(F45="","",D45-F45)</f>
        <v>33</v>
      </c>
      <c r="H45" s="21" t="n">
        <f aca="false">IF(F45="","",DATE(YEAR(D45),MONTH(D45),1))</f>
        <v>45809</v>
      </c>
    </row>
    <row r="46" customFormat="false" ht="15" hidden="false" customHeight="false" outlineLevel="0" collapsed="false">
      <c r="A46" s="16" t="str">
        <f aca="false">Cash_Receipts_AR!A43</f>
        <v>ARR70042</v>
      </c>
      <c r="B46" s="16" t="str">
        <f aca="false">Cash_Receipts_AR!C43</f>
        <v>C2028</v>
      </c>
      <c r="C46" s="16" t="str">
        <f aca="false">Cash_Receipts_AR!B43</f>
        <v>ARI60050</v>
      </c>
      <c r="D46" s="17" t="n">
        <f aca="false">Cash_Receipts_AR!D43</f>
        <v>45911</v>
      </c>
      <c r="E46" s="18" t="n">
        <f aca="false">Cash_Receipts_AR!E43</f>
        <v>1168.97</v>
      </c>
      <c r="F46" s="17" t="n">
        <f aca="false">IFERROR(INDEX(Customer_Invoices_AR!$C$2:$C$601,MATCH(C46,Customer_Invoices_AR!$A$2:$A$601,0)),"")</f>
        <v>45896</v>
      </c>
      <c r="G46" s="16" t="n">
        <f aca="false">IF(F46="","",D46-F46)</f>
        <v>15</v>
      </c>
      <c r="H46" s="21" t="n">
        <f aca="false">IF(F46="","",DATE(YEAR(D46),MONTH(D46),1))</f>
        <v>45901</v>
      </c>
    </row>
    <row r="47" customFormat="false" ht="15" hidden="false" customHeight="false" outlineLevel="0" collapsed="false">
      <c r="A47" s="16" t="str">
        <f aca="false">Cash_Receipts_AR!A44</f>
        <v>ARR70043</v>
      </c>
      <c r="B47" s="16" t="str">
        <f aca="false">Cash_Receipts_AR!C44</f>
        <v>C2009</v>
      </c>
      <c r="C47" s="16" t="str">
        <f aca="false">Cash_Receipts_AR!B44</f>
        <v>ARI60051</v>
      </c>
      <c r="D47" s="17" t="n">
        <f aca="false">Cash_Receipts_AR!D44</f>
        <v>45924</v>
      </c>
      <c r="E47" s="18" t="n">
        <f aca="false">Cash_Receipts_AR!E44</f>
        <v>1984.44</v>
      </c>
      <c r="F47" s="17" t="n">
        <f aca="false">IFERROR(INDEX(Customer_Invoices_AR!$C$2:$C$601,MATCH(C47,Customer_Invoices_AR!$A$2:$A$601,0)),"")</f>
        <v>45897</v>
      </c>
      <c r="G47" s="16" t="n">
        <f aca="false">IF(F47="","",D47-F47)</f>
        <v>27</v>
      </c>
      <c r="H47" s="21" t="n">
        <f aca="false">IF(F47="","",DATE(YEAR(D47),MONTH(D47),1))</f>
        <v>45901</v>
      </c>
    </row>
    <row r="48" customFormat="false" ht="15" hidden="false" customHeight="false" outlineLevel="0" collapsed="false">
      <c r="A48" s="16" t="str">
        <f aca="false">Cash_Receipts_AR!A45</f>
        <v>ARR70044</v>
      </c>
      <c r="B48" s="16" t="str">
        <f aca="false">Cash_Receipts_AR!C45</f>
        <v>C2019</v>
      </c>
      <c r="C48" s="16" t="str">
        <f aca="false">Cash_Receipts_AR!B45</f>
        <v>ARI60052</v>
      </c>
      <c r="D48" s="17" t="n">
        <f aca="false">Cash_Receipts_AR!D45</f>
        <v>45969</v>
      </c>
      <c r="E48" s="18" t="n">
        <f aca="false">Cash_Receipts_AR!E45</f>
        <v>918.62</v>
      </c>
      <c r="F48" s="17" t="n">
        <f aca="false">IFERROR(INDEX(Customer_Invoices_AR!$C$2:$C$601,MATCH(C48,Customer_Invoices_AR!$A$2:$A$601,0)),"")</f>
        <v>45942</v>
      </c>
      <c r="G48" s="16" t="n">
        <f aca="false">IF(F48="","",D48-F48)</f>
        <v>27</v>
      </c>
      <c r="H48" s="21" t="n">
        <f aca="false">IF(F48="","",DATE(YEAR(D48),MONTH(D48),1))</f>
        <v>45962</v>
      </c>
    </row>
    <row r="49" customFormat="false" ht="15" hidden="false" customHeight="false" outlineLevel="0" collapsed="false">
      <c r="A49" s="16" t="str">
        <f aca="false">Cash_Receipts_AR!A46</f>
        <v>ARR70045</v>
      </c>
      <c r="B49" s="16" t="str">
        <f aca="false">Cash_Receipts_AR!C46</f>
        <v>C2001</v>
      </c>
      <c r="C49" s="16" t="str">
        <f aca="false">Cash_Receipts_AR!B46</f>
        <v>ARI60053</v>
      </c>
      <c r="D49" s="17" t="n">
        <f aca="false">Cash_Receipts_AR!D46</f>
        <v>45776</v>
      </c>
      <c r="E49" s="18" t="n">
        <f aca="false">Cash_Receipts_AR!E46</f>
        <v>1358.01</v>
      </c>
      <c r="F49" s="17" t="n">
        <f aca="false">IFERROR(INDEX(Customer_Invoices_AR!$C$2:$C$601,MATCH(C49,Customer_Invoices_AR!$A$2:$A$601,0)),"")</f>
        <v>45744</v>
      </c>
      <c r="G49" s="16" t="n">
        <f aca="false">IF(F49="","",D49-F49)</f>
        <v>32</v>
      </c>
      <c r="H49" s="21" t="n">
        <f aca="false">IF(F49="","",DATE(YEAR(D49),MONTH(D49),1))</f>
        <v>45748</v>
      </c>
    </row>
    <row r="50" customFormat="false" ht="15" hidden="false" customHeight="false" outlineLevel="0" collapsed="false">
      <c r="A50" s="16" t="str">
        <f aca="false">Cash_Receipts_AR!A47</f>
        <v>ARR70046</v>
      </c>
      <c r="B50" s="16" t="str">
        <f aca="false">Cash_Receipts_AR!C47</f>
        <v>C2005</v>
      </c>
      <c r="C50" s="16" t="str">
        <f aca="false">Cash_Receipts_AR!B47</f>
        <v>ARI60054</v>
      </c>
      <c r="D50" s="17" t="n">
        <f aca="false">Cash_Receipts_AR!D47</f>
        <v>45865</v>
      </c>
      <c r="E50" s="18" t="n">
        <f aca="false">Cash_Receipts_AR!E47</f>
        <v>857.18</v>
      </c>
      <c r="F50" s="17" t="n">
        <f aca="false">IFERROR(INDEX(Customer_Invoices_AR!$C$2:$C$601,MATCH(C50,Customer_Invoices_AR!$A$2:$A$601,0)),"")</f>
        <v>45861</v>
      </c>
      <c r="G50" s="16" t="n">
        <f aca="false">IF(F50="","",D50-F50)</f>
        <v>4</v>
      </c>
      <c r="H50" s="21" t="n">
        <f aca="false">IF(F50="","",DATE(YEAR(D50),MONTH(D50),1))</f>
        <v>45839</v>
      </c>
    </row>
    <row r="51" customFormat="false" ht="15" hidden="false" customHeight="false" outlineLevel="0" collapsed="false">
      <c r="A51" s="16" t="str">
        <f aca="false">Cash_Receipts_AR!A48</f>
        <v>ARR70047</v>
      </c>
      <c r="B51" s="16" t="str">
        <f aca="false">Cash_Receipts_AR!C48</f>
        <v>C2011</v>
      </c>
      <c r="C51" s="16" t="str">
        <f aca="false">Cash_Receipts_AR!B48</f>
        <v>ARI60055</v>
      </c>
      <c r="D51" s="17" t="n">
        <f aca="false">Cash_Receipts_AR!D48</f>
        <v>45848</v>
      </c>
      <c r="E51" s="18" t="n">
        <f aca="false">Cash_Receipts_AR!E48</f>
        <v>2386.51</v>
      </c>
      <c r="F51" s="17" t="n">
        <f aca="false">IFERROR(INDEX(Customer_Invoices_AR!$C$2:$C$601,MATCH(C51,Customer_Invoices_AR!$A$2:$A$601,0)),"")</f>
        <v>45812</v>
      </c>
      <c r="G51" s="16" t="n">
        <f aca="false">IF(F51="","",D51-F51)</f>
        <v>36</v>
      </c>
      <c r="H51" s="21" t="n">
        <f aca="false">IF(F51="","",DATE(YEAR(D51),MONTH(D51),1))</f>
        <v>45839</v>
      </c>
    </row>
    <row r="52" customFormat="false" ht="15" hidden="false" customHeight="false" outlineLevel="0" collapsed="false">
      <c r="A52" s="16" t="str">
        <f aca="false">Cash_Receipts_AR!A49</f>
        <v>ARR70048</v>
      </c>
      <c r="B52" s="16" t="str">
        <f aca="false">Cash_Receipts_AR!C49</f>
        <v>C2019</v>
      </c>
      <c r="C52" s="16" t="str">
        <f aca="false">Cash_Receipts_AR!B49</f>
        <v>ARI60056</v>
      </c>
      <c r="D52" s="17" t="n">
        <f aca="false">Cash_Receipts_AR!D49</f>
        <v>45881</v>
      </c>
      <c r="E52" s="18" t="n">
        <f aca="false">Cash_Receipts_AR!E49</f>
        <v>1552.87</v>
      </c>
      <c r="F52" s="17" t="n">
        <f aca="false">IFERROR(INDEX(Customer_Invoices_AR!$C$2:$C$601,MATCH(C52,Customer_Invoices_AR!$A$2:$A$601,0)),"")</f>
        <v>45880</v>
      </c>
      <c r="G52" s="16" t="n">
        <f aca="false">IF(F52="","",D52-F52)</f>
        <v>1</v>
      </c>
      <c r="H52" s="21" t="n">
        <f aca="false">IF(F52="","",DATE(YEAR(D52),MONTH(D52),1))</f>
        <v>45870</v>
      </c>
    </row>
    <row r="53" customFormat="false" ht="15" hidden="false" customHeight="false" outlineLevel="0" collapsed="false">
      <c r="A53" s="16" t="str">
        <f aca="false">Cash_Receipts_AR!A50</f>
        <v>ARR70049</v>
      </c>
      <c r="B53" s="16" t="str">
        <f aca="false">Cash_Receipts_AR!C50</f>
        <v>C2021</v>
      </c>
      <c r="C53" s="16" t="str">
        <f aca="false">Cash_Receipts_AR!B50</f>
        <v>ARI60059</v>
      </c>
      <c r="D53" s="17" t="n">
        <f aca="false">Cash_Receipts_AR!D50</f>
        <v>46119</v>
      </c>
      <c r="E53" s="18" t="n">
        <f aca="false">Cash_Receipts_AR!E50</f>
        <v>1143.06</v>
      </c>
      <c r="F53" s="17" t="n">
        <f aca="false">IFERROR(INDEX(Customer_Invoices_AR!$C$2:$C$601,MATCH(C53,Customer_Invoices_AR!$A$2:$A$601,0)),"")</f>
        <v>46088</v>
      </c>
      <c r="G53" s="16" t="n">
        <f aca="false">IF(F53="","",D53-F53)</f>
        <v>31</v>
      </c>
      <c r="H53" s="21" t="n">
        <f aca="false">IF(F53="","",DATE(YEAR(D53),MONTH(D53),1))</f>
        <v>46113</v>
      </c>
    </row>
    <row r="54" customFormat="false" ht="15" hidden="false" customHeight="false" outlineLevel="0" collapsed="false">
      <c r="A54" s="16" t="str">
        <f aca="false">Cash_Receipts_AR!A51</f>
        <v>ARR70050</v>
      </c>
      <c r="B54" s="16" t="str">
        <f aca="false">Cash_Receipts_AR!C51</f>
        <v>C2014</v>
      </c>
      <c r="C54" s="16" t="str">
        <f aca="false">Cash_Receipts_AR!B51</f>
        <v>ARI60060</v>
      </c>
      <c r="D54" s="17" t="n">
        <f aca="false">Cash_Receipts_AR!D51</f>
        <v>46031</v>
      </c>
      <c r="E54" s="18" t="n">
        <f aca="false">Cash_Receipts_AR!E51</f>
        <v>139.79</v>
      </c>
      <c r="F54" s="17" t="n">
        <f aca="false">IFERROR(INDEX(Customer_Invoices_AR!$C$2:$C$601,MATCH(C54,Customer_Invoices_AR!$A$2:$A$601,0)),"")</f>
        <v>46010</v>
      </c>
      <c r="G54" s="16" t="n">
        <f aca="false">IF(F54="","",D54-F54)</f>
        <v>21</v>
      </c>
      <c r="H54" s="21" t="n">
        <f aca="false">IF(F54="","",DATE(YEAR(D54),MONTH(D54),1))</f>
        <v>46023</v>
      </c>
    </row>
    <row r="55" customFormat="false" ht="15" hidden="false" customHeight="false" outlineLevel="0" collapsed="false">
      <c r="A55" s="16" t="str">
        <f aca="false">Cash_Receipts_AR!A52</f>
        <v>ARR70051</v>
      </c>
      <c r="B55" s="16" t="str">
        <f aca="false">Cash_Receipts_AR!C52</f>
        <v>C2005</v>
      </c>
      <c r="C55" s="16" t="str">
        <f aca="false">Cash_Receipts_AR!B52</f>
        <v>ARI60061</v>
      </c>
      <c r="D55" s="17" t="n">
        <f aca="false">Cash_Receipts_AR!D52</f>
        <v>45695</v>
      </c>
      <c r="E55" s="18" t="n">
        <f aca="false">Cash_Receipts_AR!E52</f>
        <v>1962</v>
      </c>
      <c r="F55" s="17" t="n">
        <f aca="false">IFERROR(INDEX(Customer_Invoices_AR!$C$2:$C$601,MATCH(C55,Customer_Invoices_AR!$A$2:$A$601,0)),"")</f>
        <v>45693</v>
      </c>
      <c r="G55" s="16" t="n">
        <f aca="false">IF(F55="","",D55-F55)</f>
        <v>2</v>
      </c>
      <c r="H55" s="21" t="n">
        <f aca="false">IF(F55="","",DATE(YEAR(D55),MONTH(D55),1))</f>
        <v>45689</v>
      </c>
    </row>
    <row r="56" customFormat="false" ht="15" hidden="false" customHeight="false" outlineLevel="0" collapsed="false">
      <c r="A56" s="16" t="str">
        <f aca="false">Cash_Receipts_AR!A53</f>
        <v>ARR70052</v>
      </c>
      <c r="B56" s="16" t="str">
        <f aca="false">Cash_Receipts_AR!C53</f>
        <v>C2029</v>
      </c>
      <c r="C56" s="16" t="str">
        <f aca="false">Cash_Receipts_AR!B53</f>
        <v>ARI60062</v>
      </c>
      <c r="D56" s="17" t="n">
        <f aca="false">Cash_Receipts_AR!D53</f>
        <v>45747</v>
      </c>
      <c r="E56" s="18" t="n">
        <f aca="false">Cash_Receipts_AR!E53</f>
        <v>1022.35</v>
      </c>
      <c r="F56" s="17" t="n">
        <f aca="false">IFERROR(INDEX(Customer_Invoices_AR!$C$2:$C$601,MATCH(C56,Customer_Invoices_AR!$A$2:$A$601,0)),"")</f>
        <v>45709</v>
      </c>
      <c r="G56" s="16" t="n">
        <f aca="false">IF(F56="","",D56-F56)</f>
        <v>38</v>
      </c>
      <c r="H56" s="21" t="n">
        <f aca="false">IF(F56="","",DATE(YEAR(D56),MONTH(D56),1))</f>
        <v>45717</v>
      </c>
    </row>
    <row r="57" customFormat="false" ht="15" hidden="false" customHeight="false" outlineLevel="0" collapsed="false">
      <c r="A57" s="16" t="str">
        <f aca="false">Cash_Receipts_AR!A54</f>
        <v>ARR70053</v>
      </c>
      <c r="B57" s="16" t="str">
        <f aca="false">Cash_Receipts_AR!C54</f>
        <v>C2026</v>
      </c>
      <c r="C57" s="16" t="str">
        <f aca="false">Cash_Receipts_AR!B54</f>
        <v>ARI60063</v>
      </c>
      <c r="D57" s="17" t="n">
        <f aca="false">Cash_Receipts_AR!D54</f>
        <v>46064</v>
      </c>
      <c r="E57" s="18" t="n">
        <f aca="false">Cash_Receipts_AR!E54</f>
        <v>1069.79</v>
      </c>
      <c r="F57" s="17" t="n">
        <f aca="false">IFERROR(INDEX(Customer_Invoices_AR!$C$2:$C$601,MATCH(C57,Customer_Invoices_AR!$A$2:$A$601,0)),"")</f>
        <v>46027</v>
      </c>
      <c r="G57" s="16" t="n">
        <f aca="false">IF(F57="","",D57-F57)</f>
        <v>37</v>
      </c>
      <c r="H57" s="21" t="n">
        <f aca="false">IF(F57="","",DATE(YEAR(D57),MONTH(D57),1))</f>
        <v>46054</v>
      </c>
    </row>
    <row r="58" customFormat="false" ht="15" hidden="false" customHeight="false" outlineLevel="0" collapsed="false">
      <c r="A58" s="16" t="str">
        <f aca="false">Cash_Receipts_AR!A55</f>
        <v>ARR70054</v>
      </c>
      <c r="B58" s="16" t="str">
        <f aca="false">Cash_Receipts_AR!C55</f>
        <v>C2013</v>
      </c>
      <c r="C58" s="16" t="str">
        <f aca="false">Cash_Receipts_AR!B55</f>
        <v>ARI60064</v>
      </c>
      <c r="D58" s="17" t="n">
        <f aca="false">Cash_Receipts_AR!D55</f>
        <v>45835</v>
      </c>
      <c r="E58" s="18" t="n">
        <f aca="false">Cash_Receipts_AR!E55</f>
        <v>5778.66</v>
      </c>
      <c r="F58" s="17" t="n">
        <f aca="false">IFERROR(INDEX(Customer_Invoices_AR!$C$2:$C$601,MATCH(C58,Customer_Invoices_AR!$A$2:$A$601,0)),"")</f>
        <v>45812</v>
      </c>
      <c r="G58" s="16" t="n">
        <f aca="false">IF(F58="","",D58-F58)</f>
        <v>23</v>
      </c>
      <c r="H58" s="21" t="n">
        <f aca="false">IF(F58="","",DATE(YEAR(D58),MONTH(D58),1))</f>
        <v>45809</v>
      </c>
    </row>
    <row r="59" customFormat="false" ht="15" hidden="false" customHeight="false" outlineLevel="0" collapsed="false">
      <c r="A59" s="16" t="str">
        <f aca="false">Cash_Receipts_AR!A56</f>
        <v>ARR70055</v>
      </c>
      <c r="B59" s="16" t="str">
        <f aca="false">Cash_Receipts_AR!C56</f>
        <v>C2016</v>
      </c>
      <c r="C59" s="16" t="str">
        <f aca="false">Cash_Receipts_AR!B56</f>
        <v>ARI60065</v>
      </c>
      <c r="D59" s="17" t="n">
        <f aca="false">Cash_Receipts_AR!D56</f>
        <v>46059</v>
      </c>
      <c r="E59" s="18" t="n">
        <f aca="false">Cash_Receipts_AR!E56</f>
        <v>2296.31</v>
      </c>
      <c r="F59" s="17" t="n">
        <f aca="false">IFERROR(INDEX(Customer_Invoices_AR!$C$2:$C$601,MATCH(C59,Customer_Invoices_AR!$A$2:$A$601,0)),"")</f>
        <v>46052</v>
      </c>
      <c r="G59" s="16" t="n">
        <f aca="false">IF(F59="","",D59-F59)</f>
        <v>7</v>
      </c>
      <c r="H59" s="21" t="n">
        <f aca="false">IF(F59="","",DATE(YEAR(D59),MONTH(D59),1))</f>
        <v>46054</v>
      </c>
    </row>
    <row r="60" customFormat="false" ht="15" hidden="false" customHeight="false" outlineLevel="0" collapsed="false">
      <c r="A60" s="16" t="str">
        <f aca="false">Cash_Receipts_AR!A57</f>
        <v>ARR70056</v>
      </c>
      <c r="B60" s="16" t="str">
        <f aca="false">Cash_Receipts_AR!C57</f>
        <v>C2009</v>
      </c>
      <c r="C60" s="16" t="str">
        <f aca="false">Cash_Receipts_AR!B57</f>
        <v>ARI60066</v>
      </c>
      <c r="D60" s="17" t="n">
        <f aca="false">Cash_Receipts_AR!D57</f>
        <v>46038</v>
      </c>
      <c r="E60" s="18" t="n">
        <f aca="false">Cash_Receipts_AR!E57</f>
        <v>5980.79</v>
      </c>
      <c r="F60" s="17" t="n">
        <f aca="false">IFERROR(INDEX(Customer_Invoices_AR!$C$2:$C$601,MATCH(C60,Customer_Invoices_AR!$A$2:$A$601,0)),"")</f>
        <v>46015</v>
      </c>
      <c r="G60" s="16" t="n">
        <f aca="false">IF(F60="","",D60-F60)</f>
        <v>23</v>
      </c>
      <c r="H60" s="21" t="n">
        <f aca="false">IF(F60="","",DATE(YEAR(D60),MONTH(D60),1))</f>
        <v>46023</v>
      </c>
    </row>
    <row r="61" customFormat="false" ht="15" hidden="false" customHeight="false" outlineLevel="0" collapsed="false">
      <c r="A61" s="16" t="str">
        <f aca="false">Cash_Receipts_AR!A58</f>
        <v>ARR70057</v>
      </c>
      <c r="B61" s="16" t="str">
        <f aca="false">Cash_Receipts_AR!C58</f>
        <v>C2006</v>
      </c>
      <c r="C61" s="16" t="str">
        <f aca="false">Cash_Receipts_AR!B58</f>
        <v>ARI60067</v>
      </c>
      <c r="D61" s="17" t="n">
        <f aca="false">Cash_Receipts_AR!D58</f>
        <v>46169</v>
      </c>
      <c r="E61" s="18" t="n">
        <f aca="false">Cash_Receipts_AR!E58</f>
        <v>2115.58</v>
      </c>
      <c r="F61" s="17" t="n">
        <f aca="false">IFERROR(INDEX(Customer_Invoices_AR!$C$2:$C$601,MATCH(C61,Customer_Invoices_AR!$A$2:$A$601,0)),"")</f>
        <v>46151</v>
      </c>
      <c r="G61" s="16" t="n">
        <f aca="false">IF(F61="","",D61-F61)</f>
        <v>18</v>
      </c>
      <c r="H61" s="21" t="n">
        <f aca="false">IF(F61="","",DATE(YEAR(D61),MONTH(D61),1))</f>
        <v>46143</v>
      </c>
    </row>
    <row r="62" customFormat="false" ht="15" hidden="false" customHeight="false" outlineLevel="0" collapsed="false">
      <c r="A62" s="16" t="str">
        <f aca="false">Cash_Receipts_AR!A59</f>
        <v>ARR70058</v>
      </c>
      <c r="B62" s="16" t="str">
        <f aca="false">Cash_Receipts_AR!C59</f>
        <v>C2012</v>
      </c>
      <c r="C62" s="16" t="str">
        <f aca="false">Cash_Receipts_AR!B59</f>
        <v>ARI60068</v>
      </c>
      <c r="D62" s="17" t="n">
        <f aca="false">Cash_Receipts_AR!D59</f>
        <v>46148</v>
      </c>
      <c r="E62" s="18" t="n">
        <f aca="false">Cash_Receipts_AR!E59</f>
        <v>1470.85</v>
      </c>
      <c r="F62" s="17" t="n">
        <f aca="false">IFERROR(INDEX(Customer_Invoices_AR!$C$2:$C$601,MATCH(C62,Customer_Invoices_AR!$A$2:$A$601,0)),"")</f>
        <v>46133</v>
      </c>
      <c r="G62" s="16" t="n">
        <f aca="false">IF(F62="","",D62-F62)</f>
        <v>15</v>
      </c>
      <c r="H62" s="21" t="n">
        <f aca="false">IF(F62="","",DATE(YEAR(D62),MONTH(D62),1))</f>
        <v>46143</v>
      </c>
    </row>
    <row r="63" customFormat="false" ht="15" hidden="false" customHeight="false" outlineLevel="0" collapsed="false">
      <c r="A63" s="16" t="str">
        <f aca="false">Cash_Receipts_AR!A60</f>
        <v>ARR70059</v>
      </c>
      <c r="B63" s="16" t="str">
        <f aca="false">Cash_Receipts_AR!C60</f>
        <v>C2006</v>
      </c>
      <c r="C63" s="16" t="str">
        <f aca="false">Cash_Receipts_AR!B60</f>
        <v>ARI60069</v>
      </c>
      <c r="D63" s="17" t="n">
        <f aca="false">Cash_Receipts_AR!D60</f>
        <v>45851</v>
      </c>
      <c r="E63" s="18" t="n">
        <f aca="false">Cash_Receipts_AR!E60</f>
        <v>1230.79</v>
      </c>
      <c r="F63" s="17" t="n">
        <f aca="false">IFERROR(INDEX(Customer_Invoices_AR!$C$2:$C$601,MATCH(C63,Customer_Invoices_AR!$A$2:$A$601,0)),"")</f>
        <v>45839</v>
      </c>
      <c r="G63" s="16" t="n">
        <f aca="false">IF(F63="","",D63-F63)</f>
        <v>12</v>
      </c>
      <c r="H63" s="21" t="n">
        <f aca="false">IF(F63="","",DATE(YEAR(D63),MONTH(D63),1))</f>
        <v>45839</v>
      </c>
    </row>
    <row r="64" customFormat="false" ht="15" hidden="false" customHeight="false" outlineLevel="0" collapsed="false">
      <c r="A64" s="16" t="str">
        <f aca="false">Cash_Receipts_AR!A61</f>
        <v>ARR70060</v>
      </c>
      <c r="B64" s="16" t="str">
        <f aca="false">Cash_Receipts_AR!C61</f>
        <v>C2016</v>
      </c>
      <c r="C64" s="16" t="str">
        <f aca="false">Cash_Receipts_AR!B61</f>
        <v>ARI60070</v>
      </c>
      <c r="D64" s="17" t="n">
        <f aca="false">Cash_Receipts_AR!D61</f>
        <v>45996</v>
      </c>
      <c r="E64" s="18" t="n">
        <f aca="false">Cash_Receipts_AR!E61</f>
        <v>11396.88</v>
      </c>
      <c r="F64" s="17" t="n">
        <f aca="false">IFERROR(INDEX(Customer_Invoices_AR!$C$2:$C$601,MATCH(C64,Customer_Invoices_AR!$A$2:$A$601,0)),"")</f>
        <v>45975</v>
      </c>
      <c r="G64" s="16" t="n">
        <f aca="false">IF(F64="","",D64-F64)</f>
        <v>21</v>
      </c>
      <c r="H64" s="21" t="n">
        <f aca="false">IF(F64="","",DATE(YEAR(D64),MONTH(D64),1))</f>
        <v>45992</v>
      </c>
    </row>
    <row r="65" customFormat="false" ht="15" hidden="false" customHeight="false" outlineLevel="0" collapsed="false">
      <c r="A65" s="16" t="str">
        <f aca="false">Cash_Receipts_AR!A62</f>
        <v>ARR70061</v>
      </c>
      <c r="B65" s="16" t="str">
        <f aca="false">Cash_Receipts_AR!C62</f>
        <v>C2017</v>
      </c>
      <c r="C65" s="16" t="str">
        <f aca="false">Cash_Receipts_AR!B62</f>
        <v>ARI60071</v>
      </c>
      <c r="D65" s="17" t="n">
        <f aca="false">Cash_Receipts_AR!D62</f>
        <v>45752</v>
      </c>
      <c r="E65" s="18" t="n">
        <f aca="false">Cash_Receipts_AR!E62</f>
        <v>2362.28</v>
      </c>
      <c r="F65" s="17" t="n">
        <f aca="false">IFERROR(INDEX(Customer_Invoices_AR!$C$2:$C$601,MATCH(C65,Customer_Invoices_AR!$A$2:$A$601,0)),"")</f>
        <v>45735</v>
      </c>
      <c r="G65" s="16" t="n">
        <f aca="false">IF(F65="","",D65-F65)</f>
        <v>17</v>
      </c>
      <c r="H65" s="21" t="n">
        <f aca="false">IF(F65="","",DATE(YEAR(D65),MONTH(D65),1))</f>
        <v>45748</v>
      </c>
    </row>
    <row r="66" customFormat="false" ht="15" hidden="false" customHeight="false" outlineLevel="0" collapsed="false">
      <c r="A66" s="16" t="str">
        <f aca="false">Cash_Receipts_AR!A63</f>
        <v>ARR70062</v>
      </c>
      <c r="B66" s="16" t="str">
        <f aca="false">Cash_Receipts_AR!C63</f>
        <v>C2030</v>
      </c>
      <c r="C66" s="16" t="str">
        <f aca="false">Cash_Receipts_AR!B63</f>
        <v>ARI60072</v>
      </c>
      <c r="D66" s="17" t="n">
        <f aca="false">Cash_Receipts_AR!D63</f>
        <v>45849</v>
      </c>
      <c r="E66" s="18" t="n">
        <f aca="false">Cash_Receipts_AR!E63</f>
        <v>19405.86</v>
      </c>
      <c r="F66" s="17" t="n">
        <f aca="false">IFERROR(INDEX(Customer_Invoices_AR!$C$2:$C$601,MATCH(C66,Customer_Invoices_AR!$A$2:$A$601,0)),"")</f>
        <v>45848</v>
      </c>
      <c r="G66" s="16" t="n">
        <f aca="false">IF(F66="","",D66-F66)</f>
        <v>1</v>
      </c>
      <c r="H66" s="21" t="n">
        <f aca="false">IF(F66="","",DATE(YEAR(D66),MONTH(D66),1))</f>
        <v>45839</v>
      </c>
    </row>
    <row r="67" customFormat="false" ht="15" hidden="false" customHeight="false" outlineLevel="0" collapsed="false">
      <c r="A67" s="16" t="str">
        <f aca="false">Cash_Receipts_AR!A64</f>
        <v>ARR70063</v>
      </c>
      <c r="B67" s="16" t="str">
        <f aca="false">Cash_Receipts_AR!C64</f>
        <v>C2030</v>
      </c>
      <c r="C67" s="16" t="str">
        <f aca="false">Cash_Receipts_AR!B64</f>
        <v>ARI60074</v>
      </c>
      <c r="D67" s="17" t="n">
        <f aca="false">Cash_Receipts_AR!D64</f>
        <v>46071</v>
      </c>
      <c r="E67" s="18" t="n">
        <f aca="false">Cash_Receipts_AR!E64</f>
        <v>422.1</v>
      </c>
      <c r="F67" s="17" t="n">
        <f aca="false">IFERROR(INDEX(Customer_Invoices_AR!$C$2:$C$601,MATCH(C67,Customer_Invoices_AR!$A$2:$A$601,0)),"")</f>
        <v>46038</v>
      </c>
      <c r="G67" s="16" t="n">
        <f aca="false">IF(F67="","",D67-F67)</f>
        <v>33</v>
      </c>
      <c r="H67" s="21" t="n">
        <f aca="false">IF(F67="","",DATE(YEAR(D67),MONTH(D67),1))</f>
        <v>46054</v>
      </c>
    </row>
    <row r="68" customFormat="false" ht="15" hidden="false" customHeight="false" outlineLevel="0" collapsed="false">
      <c r="A68" s="16" t="str">
        <f aca="false">Cash_Receipts_AR!A65</f>
        <v>ARR70064</v>
      </c>
      <c r="B68" s="16" t="str">
        <f aca="false">Cash_Receipts_AR!C65</f>
        <v>C2015</v>
      </c>
      <c r="C68" s="16" t="str">
        <f aca="false">Cash_Receipts_AR!B65</f>
        <v>ARI60075</v>
      </c>
      <c r="D68" s="17" t="n">
        <f aca="false">Cash_Receipts_AR!D65</f>
        <v>45892</v>
      </c>
      <c r="E68" s="18" t="n">
        <f aca="false">Cash_Receipts_AR!E65</f>
        <v>3092.13</v>
      </c>
      <c r="F68" s="17" t="n">
        <f aca="false">IFERROR(INDEX(Customer_Invoices_AR!$C$2:$C$601,MATCH(C68,Customer_Invoices_AR!$A$2:$A$601,0)),"")</f>
        <v>45871</v>
      </c>
      <c r="G68" s="16" t="n">
        <f aca="false">IF(F68="","",D68-F68)</f>
        <v>21</v>
      </c>
      <c r="H68" s="21" t="n">
        <f aca="false">IF(F68="","",DATE(YEAR(D68),MONTH(D68),1))</f>
        <v>45870</v>
      </c>
    </row>
    <row r="69" customFormat="false" ht="15" hidden="false" customHeight="false" outlineLevel="0" collapsed="false">
      <c r="A69" s="16" t="str">
        <f aca="false">Cash_Receipts_AR!A66</f>
        <v>ARR70065</v>
      </c>
      <c r="B69" s="16" t="str">
        <f aca="false">Cash_Receipts_AR!C66</f>
        <v>C2022</v>
      </c>
      <c r="C69" s="16" t="str">
        <f aca="false">Cash_Receipts_AR!B66</f>
        <v>ARI60076</v>
      </c>
      <c r="D69" s="17" t="n">
        <f aca="false">Cash_Receipts_AR!D66</f>
        <v>45985</v>
      </c>
      <c r="E69" s="18" t="n">
        <f aca="false">Cash_Receipts_AR!E66</f>
        <v>4650.25</v>
      </c>
      <c r="F69" s="17" t="n">
        <f aca="false">IFERROR(INDEX(Customer_Invoices_AR!$C$2:$C$601,MATCH(C69,Customer_Invoices_AR!$A$2:$A$601,0)),"")</f>
        <v>45982</v>
      </c>
      <c r="G69" s="16" t="n">
        <f aca="false">IF(F69="","",D69-F69)</f>
        <v>3</v>
      </c>
      <c r="H69" s="21" t="n">
        <f aca="false">IF(F69="","",DATE(YEAR(D69),MONTH(D69),1))</f>
        <v>45962</v>
      </c>
    </row>
    <row r="70" customFormat="false" ht="15" hidden="false" customHeight="false" outlineLevel="0" collapsed="false">
      <c r="A70" s="16" t="str">
        <f aca="false">Cash_Receipts_AR!A67</f>
        <v>ARR70066</v>
      </c>
      <c r="B70" s="16" t="str">
        <f aca="false">Cash_Receipts_AR!C67</f>
        <v>C2002</v>
      </c>
      <c r="C70" s="16" t="str">
        <f aca="false">Cash_Receipts_AR!B67</f>
        <v>ARI60078</v>
      </c>
      <c r="D70" s="17" t="n">
        <f aca="false">Cash_Receipts_AR!D67</f>
        <v>45847</v>
      </c>
      <c r="E70" s="18" t="n">
        <f aca="false">Cash_Receipts_AR!E67</f>
        <v>2761.96</v>
      </c>
      <c r="F70" s="17" t="n">
        <f aca="false">IFERROR(INDEX(Customer_Invoices_AR!$C$2:$C$601,MATCH(C70,Customer_Invoices_AR!$A$2:$A$601,0)),"")</f>
        <v>45826</v>
      </c>
      <c r="G70" s="16" t="n">
        <f aca="false">IF(F70="","",D70-F70)</f>
        <v>21</v>
      </c>
      <c r="H70" s="21" t="n">
        <f aca="false">IF(F70="","",DATE(YEAR(D70),MONTH(D70),1))</f>
        <v>45839</v>
      </c>
    </row>
    <row r="71" customFormat="false" ht="15" hidden="false" customHeight="false" outlineLevel="0" collapsed="false">
      <c r="A71" s="16" t="str">
        <f aca="false">Cash_Receipts_AR!A68</f>
        <v>ARR70067</v>
      </c>
      <c r="B71" s="16" t="str">
        <f aca="false">Cash_Receipts_AR!C68</f>
        <v>C2013</v>
      </c>
      <c r="C71" s="16" t="str">
        <f aca="false">Cash_Receipts_AR!B68</f>
        <v>ARI60079</v>
      </c>
      <c r="D71" s="17" t="n">
        <f aca="false">Cash_Receipts_AR!D68</f>
        <v>45900</v>
      </c>
      <c r="E71" s="18" t="n">
        <f aca="false">Cash_Receipts_AR!E68</f>
        <v>2517.6</v>
      </c>
      <c r="F71" s="17" t="n">
        <f aca="false">IFERROR(INDEX(Customer_Invoices_AR!$C$2:$C$601,MATCH(C71,Customer_Invoices_AR!$A$2:$A$601,0)),"")</f>
        <v>45863</v>
      </c>
      <c r="G71" s="16" t="n">
        <f aca="false">IF(F71="","",D71-F71)</f>
        <v>37</v>
      </c>
      <c r="H71" s="21" t="n">
        <f aca="false">IF(F71="","",DATE(YEAR(D71),MONTH(D71),1))</f>
        <v>45870</v>
      </c>
    </row>
    <row r="72" customFormat="false" ht="15" hidden="false" customHeight="false" outlineLevel="0" collapsed="false">
      <c r="A72" s="16" t="str">
        <f aca="false">Cash_Receipts_AR!A69</f>
        <v>ARR70068</v>
      </c>
      <c r="B72" s="16" t="str">
        <f aca="false">Cash_Receipts_AR!C69</f>
        <v>C2008</v>
      </c>
      <c r="C72" s="16" t="str">
        <f aca="false">Cash_Receipts_AR!B69</f>
        <v>ARI60080</v>
      </c>
      <c r="D72" s="17" t="n">
        <f aca="false">Cash_Receipts_AR!D69</f>
        <v>46100</v>
      </c>
      <c r="E72" s="18" t="n">
        <f aca="false">Cash_Receipts_AR!E69</f>
        <v>2398.54</v>
      </c>
      <c r="F72" s="17" t="n">
        <f aca="false">IFERROR(INDEX(Customer_Invoices_AR!$C$2:$C$601,MATCH(C72,Customer_Invoices_AR!$A$2:$A$601,0)),"")</f>
        <v>46089</v>
      </c>
      <c r="G72" s="16" t="n">
        <f aca="false">IF(F72="","",D72-F72)</f>
        <v>11</v>
      </c>
      <c r="H72" s="21" t="n">
        <f aca="false">IF(F72="","",DATE(YEAR(D72),MONTH(D72),1))</f>
        <v>46082</v>
      </c>
    </row>
    <row r="73" customFormat="false" ht="15" hidden="false" customHeight="false" outlineLevel="0" collapsed="false">
      <c r="A73" s="16" t="str">
        <f aca="false">Cash_Receipts_AR!A70</f>
        <v>ARR70069</v>
      </c>
      <c r="B73" s="16" t="str">
        <f aca="false">Cash_Receipts_AR!C70</f>
        <v>C2024</v>
      </c>
      <c r="C73" s="16" t="str">
        <f aca="false">Cash_Receipts_AR!B70</f>
        <v>ARI60081</v>
      </c>
      <c r="D73" s="17" t="n">
        <f aca="false">Cash_Receipts_AR!D70</f>
        <v>46127</v>
      </c>
      <c r="E73" s="18" t="n">
        <f aca="false">Cash_Receipts_AR!E70</f>
        <v>648.33</v>
      </c>
      <c r="F73" s="17" t="n">
        <f aca="false">IFERROR(INDEX(Customer_Invoices_AR!$C$2:$C$601,MATCH(C73,Customer_Invoices_AR!$A$2:$A$601,0)),"")</f>
        <v>46101</v>
      </c>
      <c r="G73" s="16" t="n">
        <f aca="false">IF(F73="","",D73-F73)</f>
        <v>26</v>
      </c>
      <c r="H73" s="21" t="n">
        <f aca="false">IF(F73="","",DATE(YEAR(D73),MONTH(D73),1))</f>
        <v>46113</v>
      </c>
    </row>
    <row r="74" customFormat="false" ht="15" hidden="false" customHeight="false" outlineLevel="0" collapsed="false">
      <c r="A74" s="16" t="str">
        <f aca="false">Cash_Receipts_AR!A71</f>
        <v>ARR70070</v>
      </c>
      <c r="B74" s="16" t="str">
        <f aca="false">Cash_Receipts_AR!C71</f>
        <v>C2007</v>
      </c>
      <c r="C74" s="16" t="str">
        <f aca="false">Cash_Receipts_AR!B71</f>
        <v>ARI60082</v>
      </c>
      <c r="D74" s="17" t="n">
        <f aca="false">Cash_Receipts_AR!D71</f>
        <v>46044</v>
      </c>
      <c r="E74" s="18" t="n">
        <f aca="false">Cash_Receipts_AR!E71</f>
        <v>2710.4</v>
      </c>
      <c r="F74" s="17" t="n">
        <f aca="false">IFERROR(INDEX(Customer_Invoices_AR!$C$2:$C$601,MATCH(C74,Customer_Invoices_AR!$A$2:$A$601,0)),"")</f>
        <v>46023</v>
      </c>
      <c r="G74" s="16" t="n">
        <f aca="false">IF(F74="","",D74-F74)</f>
        <v>21</v>
      </c>
      <c r="H74" s="21" t="n">
        <f aca="false">IF(F74="","",DATE(YEAR(D74),MONTH(D74),1))</f>
        <v>46023</v>
      </c>
    </row>
    <row r="75" customFormat="false" ht="15" hidden="false" customHeight="false" outlineLevel="0" collapsed="false">
      <c r="A75" s="16" t="str">
        <f aca="false">Cash_Receipts_AR!A72</f>
        <v>ARR70071</v>
      </c>
      <c r="B75" s="16" t="str">
        <f aca="false">Cash_Receipts_AR!C72</f>
        <v>C2005</v>
      </c>
      <c r="C75" s="16" t="str">
        <f aca="false">Cash_Receipts_AR!B72</f>
        <v>ARI60083</v>
      </c>
      <c r="D75" s="17" t="n">
        <f aca="false">Cash_Receipts_AR!D72</f>
        <v>46113</v>
      </c>
      <c r="E75" s="18" t="n">
        <f aca="false">Cash_Receipts_AR!E72</f>
        <v>3607.75</v>
      </c>
      <c r="F75" s="17" t="n">
        <f aca="false">IFERROR(INDEX(Customer_Invoices_AR!$C$2:$C$601,MATCH(C75,Customer_Invoices_AR!$A$2:$A$601,0)),"")</f>
        <v>46109</v>
      </c>
      <c r="G75" s="16" t="n">
        <f aca="false">IF(F75="","",D75-F75)</f>
        <v>4</v>
      </c>
      <c r="H75" s="21" t="n">
        <f aca="false">IF(F75="","",DATE(YEAR(D75),MONTH(D75),1))</f>
        <v>46113</v>
      </c>
    </row>
    <row r="76" customFormat="false" ht="15" hidden="false" customHeight="false" outlineLevel="0" collapsed="false">
      <c r="A76" s="16" t="str">
        <f aca="false">Cash_Receipts_AR!A73</f>
        <v>ARR70072</v>
      </c>
      <c r="B76" s="16" t="str">
        <f aca="false">Cash_Receipts_AR!C73</f>
        <v>C2017</v>
      </c>
      <c r="C76" s="16" t="str">
        <f aca="false">Cash_Receipts_AR!B73</f>
        <v>ARI60084</v>
      </c>
      <c r="D76" s="17" t="n">
        <f aca="false">Cash_Receipts_AR!D73</f>
        <v>46095</v>
      </c>
      <c r="E76" s="18" t="n">
        <f aca="false">Cash_Receipts_AR!E73</f>
        <v>855.89</v>
      </c>
      <c r="F76" s="17" t="n">
        <f aca="false">IFERROR(INDEX(Customer_Invoices_AR!$C$2:$C$601,MATCH(C76,Customer_Invoices_AR!$A$2:$A$601,0)),"")</f>
        <v>46060</v>
      </c>
      <c r="G76" s="16" t="n">
        <f aca="false">IF(F76="","",D76-F76)</f>
        <v>35</v>
      </c>
      <c r="H76" s="21" t="n">
        <f aca="false">IF(F76="","",DATE(YEAR(D76),MONTH(D76),1))</f>
        <v>46082</v>
      </c>
    </row>
    <row r="77" customFormat="false" ht="15" hidden="false" customHeight="false" outlineLevel="0" collapsed="false">
      <c r="A77" s="16" t="str">
        <f aca="false">Cash_Receipts_AR!A74</f>
        <v>ARR70073</v>
      </c>
      <c r="B77" s="16" t="str">
        <f aca="false">Cash_Receipts_AR!C74</f>
        <v>C2021</v>
      </c>
      <c r="C77" s="16" t="str">
        <f aca="false">Cash_Receipts_AR!B74</f>
        <v>ARI60086</v>
      </c>
      <c r="D77" s="17" t="n">
        <f aca="false">Cash_Receipts_AR!D74</f>
        <v>45950</v>
      </c>
      <c r="E77" s="18" t="n">
        <f aca="false">Cash_Receipts_AR!E74</f>
        <v>1236.06</v>
      </c>
      <c r="F77" s="17" t="n">
        <f aca="false">IFERROR(INDEX(Customer_Invoices_AR!$C$2:$C$601,MATCH(C77,Customer_Invoices_AR!$A$2:$A$601,0)),"")</f>
        <v>45944</v>
      </c>
      <c r="G77" s="16" t="n">
        <f aca="false">IF(F77="","",D77-F77)</f>
        <v>6</v>
      </c>
      <c r="H77" s="21" t="n">
        <f aca="false">IF(F77="","",DATE(YEAR(D77),MONTH(D77),1))</f>
        <v>45931</v>
      </c>
    </row>
    <row r="78" customFormat="false" ht="15" hidden="false" customHeight="false" outlineLevel="0" collapsed="false">
      <c r="A78" s="16" t="str">
        <f aca="false">Cash_Receipts_AR!A75</f>
        <v>ARR70074</v>
      </c>
      <c r="B78" s="16" t="str">
        <f aca="false">Cash_Receipts_AR!C75</f>
        <v>C2006</v>
      </c>
      <c r="C78" s="16" t="str">
        <f aca="false">Cash_Receipts_AR!B75</f>
        <v>ARI60088</v>
      </c>
      <c r="D78" s="17" t="n">
        <f aca="false">Cash_Receipts_AR!D75</f>
        <v>45890</v>
      </c>
      <c r="E78" s="18" t="n">
        <f aca="false">Cash_Receipts_AR!E75</f>
        <v>7933.14</v>
      </c>
      <c r="F78" s="17" t="n">
        <f aca="false">IFERROR(INDEX(Customer_Invoices_AR!$C$2:$C$601,MATCH(C78,Customer_Invoices_AR!$A$2:$A$601,0)),"")</f>
        <v>45888</v>
      </c>
      <c r="G78" s="16" t="n">
        <f aca="false">IF(F78="","",D78-F78)</f>
        <v>2</v>
      </c>
      <c r="H78" s="21" t="n">
        <f aca="false">IF(F78="","",DATE(YEAR(D78),MONTH(D78),1))</f>
        <v>45870</v>
      </c>
    </row>
    <row r="79" customFormat="false" ht="15" hidden="false" customHeight="false" outlineLevel="0" collapsed="false">
      <c r="A79" s="16" t="str">
        <f aca="false">Cash_Receipts_AR!A76</f>
        <v>ARR70075</v>
      </c>
      <c r="B79" s="16" t="str">
        <f aca="false">Cash_Receipts_AR!C76</f>
        <v>C2021</v>
      </c>
      <c r="C79" s="16" t="str">
        <f aca="false">Cash_Receipts_AR!B76</f>
        <v>ARI60089</v>
      </c>
      <c r="D79" s="17" t="n">
        <f aca="false">Cash_Receipts_AR!D76</f>
        <v>45885</v>
      </c>
      <c r="E79" s="18" t="n">
        <f aca="false">Cash_Receipts_AR!E76</f>
        <v>8308.55</v>
      </c>
      <c r="F79" s="17" t="n">
        <f aca="false">IFERROR(INDEX(Customer_Invoices_AR!$C$2:$C$601,MATCH(C79,Customer_Invoices_AR!$A$2:$A$601,0)),"")</f>
        <v>45855</v>
      </c>
      <c r="G79" s="16" t="n">
        <f aca="false">IF(F79="","",D79-F79)</f>
        <v>30</v>
      </c>
      <c r="H79" s="21" t="n">
        <f aca="false">IF(F79="","",DATE(YEAR(D79),MONTH(D79),1))</f>
        <v>45870</v>
      </c>
    </row>
    <row r="80" customFormat="false" ht="15" hidden="false" customHeight="false" outlineLevel="0" collapsed="false">
      <c r="A80" s="16" t="str">
        <f aca="false">Cash_Receipts_AR!A77</f>
        <v>ARR70076</v>
      </c>
      <c r="B80" s="16" t="str">
        <f aca="false">Cash_Receipts_AR!C77</f>
        <v>C2009</v>
      </c>
      <c r="C80" s="16" t="str">
        <f aca="false">Cash_Receipts_AR!B77</f>
        <v>ARI60090</v>
      </c>
      <c r="D80" s="17" t="n">
        <f aca="false">Cash_Receipts_AR!D77</f>
        <v>45890</v>
      </c>
      <c r="E80" s="18" t="n">
        <f aca="false">Cash_Receipts_AR!E77</f>
        <v>7599.94</v>
      </c>
      <c r="F80" s="17" t="n">
        <f aca="false">IFERROR(INDEX(Customer_Invoices_AR!$C$2:$C$601,MATCH(C80,Customer_Invoices_AR!$A$2:$A$601,0)),"")</f>
        <v>45855</v>
      </c>
      <c r="G80" s="16" t="n">
        <f aca="false">IF(F80="","",D80-F80)</f>
        <v>35</v>
      </c>
      <c r="H80" s="21" t="n">
        <f aca="false">IF(F80="","",DATE(YEAR(D80),MONTH(D80),1))</f>
        <v>45870</v>
      </c>
    </row>
    <row r="81" customFormat="false" ht="15" hidden="false" customHeight="false" outlineLevel="0" collapsed="false">
      <c r="A81" s="16" t="str">
        <f aca="false">Cash_Receipts_AR!A78</f>
        <v>ARR70077</v>
      </c>
      <c r="B81" s="16" t="str">
        <f aca="false">Cash_Receipts_AR!C78</f>
        <v>C2026</v>
      </c>
      <c r="C81" s="16" t="str">
        <f aca="false">Cash_Receipts_AR!B78</f>
        <v>ARI60091</v>
      </c>
      <c r="D81" s="17" t="n">
        <f aca="false">Cash_Receipts_AR!D78</f>
        <v>45757</v>
      </c>
      <c r="E81" s="18" t="n">
        <f aca="false">Cash_Receipts_AR!E78</f>
        <v>3436.09</v>
      </c>
      <c r="F81" s="17" t="n">
        <f aca="false">IFERROR(INDEX(Customer_Invoices_AR!$C$2:$C$601,MATCH(C81,Customer_Invoices_AR!$A$2:$A$601,0)),"")</f>
        <v>45756</v>
      </c>
      <c r="G81" s="16" t="n">
        <f aca="false">IF(F81="","",D81-F81)</f>
        <v>1</v>
      </c>
      <c r="H81" s="21" t="n">
        <f aca="false">IF(F81="","",DATE(YEAR(D81),MONTH(D81),1))</f>
        <v>45748</v>
      </c>
    </row>
    <row r="82" customFormat="false" ht="15" hidden="false" customHeight="false" outlineLevel="0" collapsed="false">
      <c r="A82" s="16" t="str">
        <f aca="false">Cash_Receipts_AR!A79</f>
        <v>ARR70078</v>
      </c>
      <c r="B82" s="16" t="str">
        <f aca="false">Cash_Receipts_AR!C79</f>
        <v>C2008</v>
      </c>
      <c r="C82" s="16" t="str">
        <f aca="false">Cash_Receipts_AR!B79</f>
        <v>ARI60092</v>
      </c>
      <c r="D82" s="17" t="n">
        <f aca="false">Cash_Receipts_AR!D79</f>
        <v>45780</v>
      </c>
      <c r="E82" s="18" t="n">
        <f aca="false">Cash_Receipts_AR!E79</f>
        <v>4377.95</v>
      </c>
      <c r="F82" s="17" t="n">
        <f aca="false">IFERROR(INDEX(Customer_Invoices_AR!$C$2:$C$601,MATCH(C82,Customer_Invoices_AR!$A$2:$A$601,0)),"")</f>
        <v>45774</v>
      </c>
      <c r="G82" s="16" t="n">
        <f aca="false">IF(F82="","",D82-F82)</f>
        <v>6</v>
      </c>
      <c r="H82" s="21" t="n">
        <f aca="false">IF(F82="","",DATE(YEAR(D82),MONTH(D82),1))</f>
        <v>45778</v>
      </c>
    </row>
    <row r="83" customFormat="false" ht="15" hidden="false" customHeight="false" outlineLevel="0" collapsed="false">
      <c r="A83" s="16" t="str">
        <f aca="false">Cash_Receipts_AR!A80</f>
        <v>ARR70079</v>
      </c>
      <c r="B83" s="16" t="str">
        <f aca="false">Cash_Receipts_AR!C80</f>
        <v>C2006</v>
      </c>
      <c r="C83" s="16" t="str">
        <f aca="false">Cash_Receipts_AR!B80</f>
        <v>ARI60094</v>
      </c>
      <c r="D83" s="17" t="n">
        <f aca="false">Cash_Receipts_AR!D80</f>
        <v>45951</v>
      </c>
      <c r="E83" s="18" t="n">
        <f aca="false">Cash_Receipts_AR!E80</f>
        <v>5089.83</v>
      </c>
      <c r="F83" s="17" t="n">
        <f aca="false">IFERROR(INDEX(Customer_Invoices_AR!$C$2:$C$601,MATCH(C83,Customer_Invoices_AR!$A$2:$A$601,0)),"")</f>
        <v>45923</v>
      </c>
      <c r="G83" s="16" t="n">
        <f aca="false">IF(F83="","",D83-F83)</f>
        <v>28</v>
      </c>
      <c r="H83" s="21" t="n">
        <f aca="false">IF(F83="","",DATE(YEAR(D83),MONTH(D83),1))</f>
        <v>45931</v>
      </c>
    </row>
    <row r="84" customFormat="false" ht="15" hidden="false" customHeight="false" outlineLevel="0" collapsed="false">
      <c r="A84" s="16" t="str">
        <f aca="false">Cash_Receipts_AR!A81</f>
        <v>ARR70080</v>
      </c>
      <c r="B84" s="16" t="str">
        <f aca="false">Cash_Receipts_AR!C81</f>
        <v>C2016</v>
      </c>
      <c r="C84" s="16" t="str">
        <f aca="false">Cash_Receipts_AR!B81</f>
        <v>ARI60097</v>
      </c>
      <c r="D84" s="17" t="n">
        <f aca="false">Cash_Receipts_AR!D81</f>
        <v>45720</v>
      </c>
      <c r="E84" s="18" t="n">
        <f aca="false">Cash_Receipts_AR!E81</f>
        <v>1932.03</v>
      </c>
      <c r="F84" s="17" t="n">
        <f aca="false">IFERROR(INDEX(Customer_Invoices_AR!$C$2:$C$601,MATCH(C84,Customer_Invoices_AR!$A$2:$A$601,0)),"")</f>
        <v>45700</v>
      </c>
      <c r="G84" s="16" t="n">
        <f aca="false">IF(F84="","",D84-F84)</f>
        <v>20</v>
      </c>
      <c r="H84" s="21" t="n">
        <f aca="false">IF(F84="","",DATE(YEAR(D84),MONTH(D84),1))</f>
        <v>45717</v>
      </c>
    </row>
    <row r="85" customFormat="false" ht="15" hidden="false" customHeight="false" outlineLevel="0" collapsed="false">
      <c r="A85" s="16" t="str">
        <f aca="false">Cash_Receipts_AR!A82</f>
        <v>ARR70081</v>
      </c>
      <c r="B85" s="16" t="str">
        <f aca="false">Cash_Receipts_AR!C82</f>
        <v>C2022</v>
      </c>
      <c r="C85" s="16" t="str">
        <f aca="false">Cash_Receipts_AR!B82</f>
        <v>ARI60098</v>
      </c>
      <c r="D85" s="17" t="n">
        <f aca="false">Cash_Receipts_AR!D82</f>
        <v>46128</v>
      </c>
      <c r="E85" s="18" t="n">
        <f aca="false">Cash_Receipts_AR!E82</f>
        <v>7159.38</v>
      </c>
      <c r="F85" s="17" t="n">
        <f aca="false">IFERROR(INDEX(Customer_Invoices_AR!$C$2:$C$601,MATCH(C85,Customer_Invoices_AR!$A$2:$A$601,0)),"")</f>
        <v>46118</v>
      </c>
      <c r="G85" s="16" t="n">
        <f aca="false">IF(F85="","",D85-F85)</f>
        <v>10</v>
      </c>
      <c r="H85" s="21" t="n">
        <f aca="false">IF(F85="","",DATE(YEAR(D85),MONTH(D85),1))</f>
        <v>46113</v>
      </c>
    </row>
    <row r="86" customFormat="false" ht="15" hidden="false" customHeight="false" outlineLevel="0" collapsed="false">
      <c r="A86" s="16" t="str">
        <f aca="false">Cash_Receipts_AR!A83</f>
        <v>ARR70082</v>
      </c>
      <c r="B86" s="16" t="str">
        <f aca="false">Cash_Receipts_AR!C83</f>
        <v>C2024</v>
      </c>
      <c r="C86" s="16" t="str">
        <f aca="false">Cash_Receipts_AR!B83</f>
        <v>ARI60099</v>
      </c>
      <c r="D86" s="17" t="n">
        <f aca="false">Cash_Receipts_AR!D83</f>
        <v>45725</v>
      </c>
      <c r="E86" s="18" t="n">
        <f aca="false">Cash_Receipts_AR!E83</f>
        <v>904.34</v>
      </c>
      <c r="F86" s="17" t="n">
        <f aca="false">IFERROR(INDEX(Customer_Invoices_AR!$C$2:$C$601,MATCH(C86,Customer_Invoices_AR!$A$2:$A$601,0)),"")</f>
        <v>45713</v>
      </c>
      <c r="G86" s="16" t="n">
        <f aca="false">IF(F86="","",D86-F86)</f>
        <v>12</v>
      </c>
      <c r="H86" s="21" t="n">
        <f aca="false">IF(F86="","",DATE(YEAR(D86),MONTH(D86),1))</f>
        <v>45717</v>
      </c>
    </row>
    <row r="87" customFormat="false" ht="15" hidden="false" customHeight="false" outlineLevel="0" collapsed="false">
      <c r="A87" s="16" t="str">
        <f aca="false">Cash_Receipts_AR!A84</f>
        <v>ARR70083</v>
      </c>
      <c r="B87" s="16" t="str">
        <f aca="false">Cash_Receipts_AR!C84</f>
        <v>C2006</v>
      </c>
      <c r="C87" s="16" t="str">
        <f aca="false">Cash_Receipts_AR!B84</f>
        <v>ARI60100</v>
      </c>
      <c r="D87" s="17" t="n">
        <f aca="false">Cash_Receipts_AR!D84</f>
        <v>46104</v>
      </c>
      <c r="E87" s="18" t="n">
        <f aca="false">Cash_Receipts_AR!E84</f>
        <v>825.54</v>
      </c>
      <c r="F87" s="17" t="n">
        <f aca="false">IFERROR(INDEX(Customer_Invoices_AR!$C$2:$C$601,MATCH(C87,Customer_Invoices_AR!$A$2:$A$601,0)),"")</f>
        <v>46078</v>
      </c>
      <c r="G87" s="16" t="n">
        <f aca="false">IF(F87="","",D87-F87)</f>
        <v>26</v>
      </c>
      <c r="H87" s="21" t="n">
        <f aca="false">IF(F87="","",DATE(YEAR(D87),MONTH(D87),1))</f>
        <v>46082</v>
      </c>
    </row>
    <row r="88" customFormat="false" ht="15" hidden="false" customHeight="false" outlineLevel="0" collapsed="false">
      <c r="A88" s="16" t="str">
        <f aca="false">Cash_Receipts_AR!A85</f>
        <v>ARR70084</v>
      </c>
      <c r="B88" s="16" t="str">
        <f aca="false">Cash_Receipts_AR!C85</f>
        <v>C2004</v>
      </c>
      <c r="C88" s="16" t="str">
        <f aca="false">Cash_Receipts_AR!B85</f>
        <v>ARI60101</v>
      </c>
      <c r="D88" s="17" t="n">
        <f aca="false">Cash_Receipts_AR!D85</f>
        <v>46114</v>
      </c>
      <c r="E88" s="18" t="n">
        <f aca="false">Cash_Receipts_AR!E85</f>
        <v>1466.44</v>
      </c>
      <c r="F88" s="17" t="n">
        <f aca="false">IFERROR(INDEX(Customer_Invoices_AR!$C$2:$C$601,MATCH(C88,Customer_Invoices_AR!$A$2:$A$601,0)),"")</f>
        <v>46113</v>
      </c>
      <c r="G88" s="16" t="n">
        <f aca="false">IF(F88="","",D88-F88)</f>
        <v>1</v>
      </c>
      <c r="H88" s="21" t="n">
        <f aca="false">IF(F88="","",DATE(YEAR(D88),MONTH(D88),1))</f>
        <v>46113</v>
      </c>
    </row>
    <row r="89" customFormat="false" ht="15" hidden="false" customHeight="false" outlineLevel="0" collapsed="false">
      <c r="A89" s="16" t="str">
        <f aca="false">Cash_Receipts_AR!A86</f>
        <v>ARR70085</v>
      </c>
      <c r="B89" s="16" t="str">
        <f aca="false">Cash_Receipts_AR!C86</f>
        <v>C2028</v>
      </c>
      <c r="C89" s="16" t="str">
        <f aca="false">Cash_Receipts_AR!B86</f>
        <v>ARI60102</v>
      </c>
      <c r="D89" s="17" t="n">
        <f aca="false">Cash_Receipts_AR!D86</f>
        <v>46156</v>
      </c>
      <c r="E89" s="18" t="n">
        <f aca="false">Cash_Receipts_AR!E86</f>
        <v>2761.43</v>
      </c>
      <c r="F89" s="17" t="n">
        <f aca="false">IFERROR(INDEX(Customer_Invoices_AR!$C$2:$C$601,MATCH(C89,Customer_Invoices_AR!$A$2:$A$601,0)),"")</f>
        <v>46139</v>
      </c>
      <c r="G89" s="16" t="n">
        <f aca="false">IF(F89="","",D89-F89)</f>
        <v>17</v>
      </c>
      <c r="H89" s="21" t="n">
        <f aca="false">IF(F89="","",DATE(YEAR(D89),MONTH(D89),1))</f>
        <v>46143</v>
      </c>
    </row>
    <row r="90" customFormat="false" ht="15" hidden="false" customHeight="false" outlineLevel="0" collapsed="false">
      <c r="A90" s="16" t="str">
        <f aca="false">Cash_Receipts_AR!A87</f>
        <v>ARR70086</v>
      </c>
      <c r="B90" s="16" t="str">
        <f aca="false">Cash_Receipts_AR!C87</f>
        <v>C2022</v>
      </c>
      <c r="C90" s="16" t="str">
        <f aca="false">Cash_Receipts_AR!B87</f>
        <v>ARI60105</v>
      </c>
      <c r="D90" s="17" t="n">
        <f aca="false">Cash_Receipts_AR!D87</f>
        <v>46097</v>
      </c>
      <c r="E90" s="18" t="n">
        <f aca="false">Cash_Receipts_AR!E87</f>
        <v>1991.17</v>
      </c>
      <c r="F90" s="17" t="n">
        <f aca="false">IFERROR(INDEX(Customer_Invoices_AR!$C$2:$C$601,MATCH(C90,Customer_Invoices_AR!$A$2:$A$601,0)),"")</f>
        <v>46075</v>
      </c>
      <c r="G90" s="16" t="n">
        <f aca="false">IF(F90="","",D90-F90)</f>
        <v>22</v>
      </c>
      <c r="H90" s="21" t="n">
        <f aca="false">IF(F90="","",DATE(YEAR(D90),MONTH(D90),1))</f>
        <v>46082</v>
      </c>
    </row>
    <row r="91" customFormat="false" ht="15" hidden="false" customHeight="false" outlineLevel="0" collapsed="false">
      <c r="A91" s="16" t="str">
        <f aca="false">Cash_Receipts_AR!A88</f>
        <v>ARR70087</v>
      </c>
      <c r="B91" s="16" t="str">
        <f aca="false">Cash_Receipts_AR!C88</f>
        <v>C2024</v>
      </c>
      <c r="C91" s="16" t="str">
        <f aca="false">Cash_Receipts_AR!B88</f>
        <v>ARI60106</v>
      </c>
      <c r="D91" s="17" t="n">
        <f aca="false">Cash_Receipts_AR!D88</f>
        <v>45754</v>
      </c>
      <c r="E91" s="18" t="n">
        <f aca="false">Cash_Receipts_AR!E88</f>
        <v>7900.96</v>
      </c>
      <c r="F91" s="17" t="n">
        <f aca="false">IFERROR(INDEX(Customer_Invoices_AR!$C$2:$C$601,MATCH(C91,Customer_Invoices_AR!$A$2:$A$601,0)),"")</f>
        <v>45729</v>
      </c>
      <c r="G91" s="16" t="n">
        <f aca="false">IF(F91="","",D91-F91)</f>
        <v>25</v>
      </c>
      <c r="H91" s="21" t="n">
        <f aca="false">IF(F91="","",DATE(YEAR(D91),MONTH(D91),1))</f>
        <v>45748</v>
      </c>
    </row>
    <row r="92" customFormat="false" ht="15" hidden="false" customHeight="false" outlineLevel="0" collapsed="false">
      <c r="A92" s="16" t="str">
        <f aca="false">Cash_Receipts_AR!A89</f>
        <v>ARR70088</v>
      </c>
      <c r="B92" s="16" t="str">
        <f aca="false">Cash_Receipts_AR!C89</f>
        <v>C2008</v>
      </c>
      <c r="C92" s="16" t="str">
        <f aca="false">Cash_Receipts_AR!B89</f>
        <v>ARI60107</v>
      </c>
      <c r="D92" s="17" t="n">
        <f aca="false">Cash_Receipts_AR!D89</f>
        <v>45879</v>
      </c>
      <c r="E92" s="18" t="n">
        <f aca="false">Cash_Receipts_AR!E89</f>
        <v>2385.35</v>
      </c>
      <c r="F92" s="17" t="n">
        <f aca="false">IFERROR(INDEX(Customer_Invoices_AR!$C$2:$C$601,MATCH(C92,Customer_Invoices_AR!$A$2:$A$601,0)),"")</f>
        <v>45863</v>
      </c>
      <c r="G92" s="16" t="n">
        <f aca="false">IF(F92="","",D92-F92)</f>
        <v>16</v>
      </c>
      <c r="H92" s="21" t="n">
        <f aca="false">IF(F92="","",DATE(YEAR(D92),MONTH(D92),1))</f>
        <v>45870</v>
      </c>
    </row>
    <row r="93" customFormat="false" ht="15" hidden="false" customHeight="false" outlineLevel="0" collapsed="false">
      <c r="A93" s="16" t="str">
        <f aca="false">Cash_Receipts_AR!A90</f>
        <v>ARR70089</v>
      </c>
      <c r="B93" s="16" t="str">
        <f aca="false">Cash_Receipts_AR!C90</f>
        <v>C2017</v>
      </c>
      <c r="C93" s="16" t="str">
        <f aca="false">Cash_Receipts_AR!B90</f>
        <v>ARI60108</v>
      </c>
      <c r="D93" s="17" t="n">
        <f aca="false">Cash_Receipts_AR!D90</f>
        <v>45773</v>
      </c>
      <c r="E93" s="18" t="n">
        <f aca="false">Cash_Receipts_AR!E90</f>
        <v>14838.59</v>
      </c>
      <c r="F93" s="17" t="n">
        <f aca="false">IFERROR(INDEX(Customer_Invoices_AR!$C$2:$C$601,MATCH(C93,Customer_Invoices_AR!$A$2:$A$601,0)),"")</f>
        <v>45746</v>
      </c>
      <c r="G93" s="16" t="n">
        <f aca="false">IF(F93="","",D93-F93)</f>
        <v>27</v>
      </c>
      <c r="H93" s="21" t="n">
        <f aca="false">IF(F93="","",DATE(YEAR(D93),MONTH(D93),1))</f>
        <v>45748</v>
      </c>
    </row>
    <row r="94" customFormat="false" ht="15" hidden="false" customHeight="false" outlineLevel="0" collapsed="false">
      <c r="A94" s="16" t="str">
        <f aca="false">Cash_Receipts_AR!A91</f>
        <v>ARR70090</v>
      </c>
      <c r="B94" s="16" t="str">
        <f aca="false">Cash_Receipts_AR!C91</f>
        <v>C2023</v>
      </c>
      <c r="C94" s="16" t="str">
        <f aca="false">Cash_Receipts_AR!B91</f>
        <v>ARI60109</v>
      </c>
      <c r="D94" s="17" t="n">
        <f aca="false">Cash_Receipts_AR!D91</f>
        <v>46112</v>
      </c>
      <c r="E94" s="18" t="n">
        <f aca="false">Cash_Receipts_AR!E91</f>
        <v>615.89</v>
      </c>
      <c r="F94" s="17" t="n">
        <f aca="false">IFERROR(INDEX(Customer_Invoices_AR!$C$2:$C$601,MATCH(C94,Customer_Invoices_AR!$A$2:$A$601,0)),"")</f>
        <v>46111</v>
      </c>
      <c r="G94" s="16" t="n">
        <f aca="false">IF(F94="","",D94-F94)</f>
        <v>1</v>
      </c>
      <c r="H94" s="21" t="n">
        <f aca="false">IF(F94="","",DATE(YEAR(D94),MONTH(D94),1))</f>
        <v>46082</v>
      </c>
    </row>
    <row r="95" customFormat="false" ht="15" hidden="false" customHeight="false" outlineLevel="0" collapsed="false">
      <c r="A95" s="16" t="str">
        <f aca="false">Cash_Receipts_AR!A92</f>
        <v>ARR70091</v>
      </c>
      <c r="B95" s="16" t="str">
        <f aca="false">Cash_Receipts_AR!C92</f>
        <v>C2001</v>
      </c>
      <c r="C95" s="16" t="str">
        <f aca="false">Cash_Receipts_AR!B92</f>
        <v>ARI60110</v>
      </c>
      <c r="D95" s="17" t="n">
        <f aca="false">Cash_Receipts_AR!D92</f>
        <v>46096</v>
      </c>
      <c r="E95" s="18" t="n">
        <f aca="false">Cash_Receipts_AR!E92</f>
        <v>614.16</v>
      </c>
      <c r="F95" s="17" t="n">
        <f aca="false">IFERROR(INDEX(Customer_Invoices_AR!$C$2:$C$601,MATCH(C95,Customer_Invoices_AR!$A$2:$A$601,0)),"")</f>
        <v>46078</v>
      </c>
      <c r="G95" s="16" t="n">
        <f aca="false">IF(F95="","",D95-F95)</f>
        <v>18</v>
      </c>
      <c r="H95" s="21" t="n">
        <f aca="false">IF(F95="","",DATE(YEAR(D95),MONTH(D95),1))</f>
        <v>46082</v>
      </c>
    </row>
    <row r="96" customFormat="false" ht="15" hidden="false" customHeight="false" outlineLevel="0" collapsed="false">
      <c r="A96" s="16" t="str">
        <f aca="false">Cash_Receipts_AR!A93</f>
        <v>ARR70092</v>
      </c>
      <c r="B96" s="16" t="str">
        <f aca="false">Cash_Receipts_AR!C93</f>
        <v>C2013</v>
      </c>
      <c r="C96" s="16" t="str">
        <f aca="false">Cash_Receipts_AR!B93</f>
        <v>ARI60111</v>
      </c>
      <c r="D96" s="17" t="n">
        <f aca="false">Cash_Receipts_AR!D93</f>
        <v>46122</v>
      </c>
      <c r="E96" s="18" t="n">
        <f aca="false">Cash_Receipts_AR!E93</f>
        <v>3085.97</v>
      </c>
      <c r="F96" s="17" t="n">
        <f aca="false">IFERROR(INDEX(Customer_Invoices_AR!$C$2:$C$601,MATCH(C96,Customer_Invoices_AR!$A$2:$A$601,0)),"")</f>
        <v>46098</v>
      </c>
      <c r="G96" s="16" t="n">
        <f aca="false">IF(F96="","",D96-F96)</f>
        <v>24</v>
      </c>
      <c r="H96" s="21" t="n">
        <f aca="false">IF(F96="","",DATE(YEAR(D96),MONTH(D96),1))</f>
        <v>46113</v>
      </c>
    </row>
    <row r="97" customFormat="false" ht="15" hidden="false" customHeight="false" outlineLevel="0" collapsed="false">
      <c r="A97" s="16" t="str">
        <f aca="false">Cash_Receipts_AR!A94</f>
        <v>ARR70093</v>
      </c>
      <c r="B97" s="16" t="str">
        <f aca="false">Cash_Receipts_AR!C94</f>
        <v>C2012</v>
      </c>
      <c r="C97" s="16" t="str">
        <f aca="false">Cash_Receipts_AR!B94</f>
        <v>ARI60112</v>
      </c>
      <c r="D97" s="17" t="n">
        <f aca="false">Cash_Receipts_AR!D94</f>
        <v>45771</v>
      </c>
      <c r="E97" s="18" t="n">
        <f aca="false">Cash_Receipts_AR!E94</f>
        <v>1494.36</v>
      </c>
      <c r="F97" s="17" t="n">
        <f aca="false">IFERROR(INDEX(Customer_Invoices_AR!$C$2:$C$601,MATCH(C97,Customer_Invoices_AR!$A$2:$A$601,0)),"")</f>
        <v>45748</v>
      </c>
      <c r="G97" s="16" t="n">
        <f aca="false">IF(F97="","",D97-F97)</f>
        <v>23</v>
      </c>
      <c r="H97" s="21" t="n">
        <f aca="false">IF(F97="","",DATE(YEAR(D97),MONTH(D97),1))</f>
        <v>45748</v>
      </c>
    </row>
    <row r="98" customFormat="false" ht="15" hidden="false" customHeight="false" outlineLevel="0" collapsed="false">
      <c r="A98" s="16" t="str">
        <f aca="false">Cash_Receipts_AR!A95</f>
        <v>ARR70094</v>
      </c>
      <c r="B98" s="16" t="str">
        <f aca="false">Cash_Receipts_AR!C95</f>
        <v>C2023</v>
      </c>
      <c r="C98" s="16" t="str">
        <f aca="false">Cash_Receipts_AR!B95</f>
        <v>ARI60113</v>
      </c>
      <c r="D98" s="17" t="n">
        <f aca="false">Cash_Receipts_AR!D95</f>
        <v>45928</v>
      </c>
      <c r="E98" s="18" t="n">
        <f aca="false">Cash_Receipts_AR!E95</f>
        <v>3555.91</v>
      </c>
      <c r="F98" s="17" t="n">
        <f aca="false">IFERROR(INDEX(Customer_Invoices_AR!$C$2:$C$601,MATCH(C98,Customer_Invoices_AR!$A$2:$A$601,0)),"")</f>
        <v>45896</v>
      </c>
      <c r="G98" s="16" t="n">
        <f aca="false">IF(F98="","",D98-F98)</f>
        <v>32</v>
      </c>
      <c r="H98" s="21" t="n">
        <f aca="false">IF(F98="","",DATE(YEAR(D98),MONTH(D98),1))</f>
        <v>45901</v>
      </c>
    </row>
    <row r="99" customFormat="false" ht="15" hidden="false" customHeight="false" outlineLevel="0" collapsed="false">
      <c r="A99" s="16" t="str">
        <f aca="false">Cash_Receipts_AR!A96</f>
        <v>ARR70095</v>
      </c>
      <c r="B99" s="16" t="str">
        <f aca="false">Cash_Receipts_AR!C96</f>
        <v>C2002</v>
      </c>
      <c r="C99" s="16" t="str">
        <f aca="false">Cash_Receipts_AR!B96</f>
        <v>ARI60114</v>
      </c>
      <c r="D99" s="17" t="n">
        <f aca="false">Cash_Receipts_AR!D96</f>
        <v>45882</v>
      </c>
      <c r="E99" s="18" t="n">
        <f aca="false">Cash_Receipts_AR!E96</f>
        <v>3592.42</v>
      </c>
      <c r="F99" s="17" t="n">
        <f aca="false">IFERROR(INDEX(Customer_Invoices_AR!$C$2:$C$601,MATCH(C99,Customer_Invoices_AR!$A$2:$A$601,0)),"")</f>
        <v>45881</v>
      </c>
      <c r="G99" s="16" t="n">
        <f aca="false">IF(F99="","",D99-F99)</f>
        <v>1</v>
      </c>
      <c r="H99" s="21" t="n">
        <f aca="false">IF(F99="","",DATE(YEAR(D99),MONTH(D99),1))</f>
        <v>45870</v>
      </c>
    </row>
    <row r="100" customFormat="false" ht="15" hidden="false" customHeight="false" outlineLevel="0" collapsed="false">
      <c r="A100" s="16" t="str">
        <f aca="false">Cash_Receipts_AR!A97</f>
        <v>ARR70096</v>
      </c>
      <c r="B100" s="16" t="str">
        <f aca="false">Cash_Receipts_AR!C97</f>
        <v>C2011</v>
      </c>
      <c r="C100" s="16" t="str">
        <f aca="false">Cash_Receipts_AR!B97</f>
        <v>ARI60115</v>
      </c>
      <c r="D100" s="17" t="n">
        <f aca="false">Cash_Receipts_AR!D97</f>
        <v>46052</v>
      </c>
      <c r="E100" s="18" t="n">
        <f aca="false">Cash_Receipts_AR!E97</f>
        <v>389.2</v>
      </c>
      <c r="F100" s="17" t="n">
        <f aca="false">IFERROR(INDEX(Customer_Invoices_AR!$C$2:$C$601,MATCH(C100,Customer_Invoices_AR!$A$2:$A$601,0)),"")</f>
        <v>46026</v>
      </c>
      <c r="G100" s="16" t="n">
        <f aca="false">IF(F100="","",D100-F100)</f>
        <v>26</v>
      </c>
      <c r="H100" s="21" t="n">
        <f aca="false">IF(F100="","",DATE(YEAR(D100),MONTH(D100),1))</f>
        <v>46023</v>
      </c>
    </row>
    <row r="101" customFormat="false" ht="15" hidden="false" customHeight="false" outlineLevel="0" collapsed="false">
      <c r="A101" s="16" t="str">
        <f aca="false">Cash_Receipts_AR!A98</f>
        <v>ARR70097</v>
      </c>
      <c r="B101" s="16" t="str">
        <f aca="false">Cash_Receipts_AR!C98</f>
        <v>C2011</v>
      </c>
      <c r="C101" s="16" t="str">
        <f aca="false">Cash_Receipts_AR!B98</f>
        <v>ARI60116</v>
      </c>
      <c r="D101" s="17" t="n">
        <f aca="false">Cash_Receipts_AR!D98</f>
        <v>45818</v>
      </c>
      <c r="E101" s="18" t="n">
        <f aca="false">Cash_Receipts_AR!E98</f>
        <v>394.94</v>
      </c>
      <c r="F101" s="17" t="n">
        <f aca="false">IFERROR(INDEX(Customer_Invoices_AR!$C$2:$C$601,MATCH(C101,Customer_Invoices_AR!$A$2:$A$601,0)),"")</f>
        <v>45787</v>
      </c>
      <c r="G101" s="16" t="n">
        <f aca="false">IF(F101="","",D101-F101)</f>
        <v>31</v>
      </c>
      <c r="H101" s="21" t="n">
        <f aca="false">IF(F101="","",DATE(YEAR(D101),MONTH(D101),1))</f>
        <v>45809</v>
      </c>
    </row>
    <row r="102" customFormat="false" ht="15" hidden="false" customHeight="false" outlineLevel="0" collapsed="false">
      <c r="A102" s="16" t="str">
        <f aca="false">Cash_Receipts_AR!A99</f>
        <v>ARR70098</v>
      </c>
      <c r="B102" s="16" t="str">
        <f aca="false">Cash_Receipts_AR!C99</f>
        <v>C2005</v>
      </c>
      <c r="C102" s="16" t="str">
        <f aca="false">Cash_Receipts_AR!B99</f>
        <v>ARI60117</v>
      </c>
      <c r="D102" s="17" t="n">
        <f aca="false">Cash_Receipts_AR!D99</f>
        <v>45928</v>
      </c>
      <c r="E102" s="18" t="n">
        <f aca="false">Cash_Receipts_AR!E99</f>
        <v>3529.53</v>
      </c>
      <c r="F102" s="17" t="n">
        <f aca="false">IFERROR(INDEX(Customer_Invoices_AR!$C$2:$C$601,MATCH(C102,Customer_Invoices_AR!$A$2:$A$601,0)),"")</f>
        <v>45900</v>
      </c>
      <c r="G102" s="16" t="n">
        <f aca="false">IF(F102="","",D102-F102)</f>
        <v>28</v>
      </c>
      <c r="H102" s="21" t="n">
        <f aca="false">IF(F102="","",DATE(YEAR(D102),MONTH(D102),1))</f>
        <v>45901</v>
      </c>
    </row>
    <row r="103" customFormat="false" ht="15" hidden="false" customHeight="false" outlineLevel="0" collapsed="false">
      <c r="A103" s="16" t="str">
        <f aca="false">Cash_Receipts_AR!A100</f>
        <v>ARR70099</v>
      </c>
      <c r="B103" s="16" t="str">
        <f aca="false">Cash_Receipts_AR!C100</f>
        <v>C2023</v>
      </c>
      <c r="C103" s="16" t="str">
        <f aca="false">Cash_Receipts_AR!B100</f>
        <v>ARI60118</v>
      </c>
      <c r="D103" s="17" t="n">
        <f aca="false">Cash_Receipts_AR!D100</f>
        <v>45835</v>
      </c>
      <c r="E103" s="18" t="n">
        <f aca="false">Cash_Receipts_AR!E100</f>
        <v>1344.49</v>
      </c>
      <c r="F103" s="17" t="n">
        <f aca="false">IFERROR(INDEX(Customer_Invoices_AR!$C$2:$C$601,MATCH(C103,Customer_Invoices_AR!$A$2:$A$601,0)),"")</f>
        <v>45813</v>
      </c>
      <c r="G103" s="16" t="n">
        <f aca="false">IF(F103="","",D103-F103)</f>
        <v>22</v>
      </c>
      <c r="H103" s="21" t="n">
        <f aca="false">IF(F103="","",DATE(YEAR(D103),MONTH(D103),1))</f>
        <v>45809</v>
      </c>
    </row>
    <row r="104" customFormat="false" ht="15" hidden="false" customHeight="false" outlineLevel="0" collapsed="false">
      <c r="A104" s="16" t="str">
        <f aca="false">Cash_Receipts_AR!A101</f>
        <v>ARR70100</v>
      </c>
      <c r="B104" s="16" t="str">
        <f aca="false">Cash_Receipts_AR!C101</f>
        <v>C2012</v>
      </c>
      <c r="C104" s="16" t="str">
        <f aca="false">Cash_Receipts_AR!B101</f>
        <v>ARI60119</v>
      </c>
      <c r="D104" s="17" t="n">
        <f aca="false">Cash_Receipts_AR!D101</f>
        <v>46084</v>
      </c>
      <c r="E104" s="18" t="n">
        <f aca="false">Cash_Receipts_AR!E101</f>
        <v>7154.52</v>
      </c>
      <c r="F104" s="17" t="n">
        <f aca="false">IFERROR(INDEX(Customer_Invoices_AR!$C$2:$C$601,MATCH(C104,Customer_Invoices_AR!$A$2:$A$601,0)),"")</f>
        <v>46065</v>
      </c>
      <c r="G104" s="16" t="n">
        <f aca="false">IF(F104="","",D104-F104)</f>
        <v>19</v>
      </c>
      <c r="H104" s="21" t="n">
        <f aca="false">IF(F104="","",DATE(YEAR(D104),MONTH(D104),1))</f>
        <v>46082</v>
      </c>
    </row>
    <row r="105" customFormat="false" ht="15" hidden="false" customHeight="false" outlineLevel="0" collapsed="false">
      <c r="A105" s="16" t="str">
        <f aca="false">Cash_Receipts_AR!A102</f>
        <v>ARR70101</v>
      </c>
      <c r="B105" s="16" t="str">
        <f aca="false">Cash_Receipts_AR!C102</f>
        <v>C2025</v>
      </c>
      <c r="C105" s="16" t="str">
        <f aca="false">Cash_Receipts_AR!B102</f>
        <v>ARI60120</v>
      </c>
      <c r="D105" s="17" t="n">
        <f aca="false">Cash_Receipts_AR!D102</f>
        <v>45908</v>
      </c>
      <c r="E105" s="18" t="n">
        <f aca="false">Cash_Receipts_AR!E102</f>
        <v>2756.04</v>
      </c>
      <c r="F105" s="17" t="n">
        <f aca="false">IFERROR(INDEX(Customer_Invoices_AR!$C$2:$C$601,MATCH(C105,Customer_Invoices_AR!$A$2:$A$601,0)),"")</f>
        <v>45902</v>
      </c>
      <c r="G105" s="16" t="n">
        <f aca="false">IF(F105="","",D105-F105)</f>
        <v>6</v>
      </c>
      <c r="H105" s="21" t="n">
        <f aca="false">IF(F105="","",DATE(YEAR(D105),MONTH(D105),1))</f>
        <v>45901</v>
      </c>
    </row>
    <row r="106" customFormat="false" ht="15" hidden="false" customHeight="false" outlineLevel="0" collapsed="false">
      <c r="A106" s="16" t="str">
        <f aca="false">Cash_Receipts_AR!A103</f>
        <v>ARR70102</v>
      </c>
      <c r="B106" s="16" t="str">
        <f aca="false">Cash_Receipts_AR!C103</f>
        <v>C2014</v>
      </c>
      <c r="C106" s="16" t="str">
        <f aca="false">Cash_Receipts_AR!B103</f>
        <v>ARI60122</v>
      </c>
      <c r="D106" s="17" t="n">
        <f aca="false">Cash_Receipts_AR!D103</f>
        <v>45834</v>
      </c>
      <c r="E106" s="18" t="n">
        <f aca="false">Cash_Receipts_AR!E103</f>
        <v>14970.09</v>
      </c>
      <c r="F106" s="17" t="n">
        <f aca="false">IFERROR(INDEX(Customer_Invoices_AR!$C$2:$C$601,MATCH(C106,Customer_Invoices_AR!$A$2:$A$601,0)),"")</f>
        <v>45826</v>
      </c>
      <c r="G106" s="16" t="n">
        <f aca="false">IF(F106="","",D106-F106)</f>
        <v>8</v>
      </c>
      <c r="H106" s="21" t="n">
        <f aca="false">IF(F106="","",DATE(YEAR(D106),MONTH(D106),1))</f>
        <v>45809</v>
      </c>
    </row>
    <row r="107" customFormat="false" ht="15" hidden="false" customHeight="false" outlineLevel="0" collapsed="false">
      <c r="A107" s="16" t="str">
        <f aca="false">Cash_Receipts_AR!A104</f>
        <v>ARR70103</v>
      </c>
      <c r="B107" s="16" t="str">
        <f aca="false">Cash_Receipts_AR!C104</f>
        <v>C2005</v>
      </c>
      <c r="C107" s="16" t="str">
        <f aca="false">Cash_Receipts_AR!B104</f>
        <v>ARI60123</v>
      </c>
      <c r="D107" s="17" t="n">
        <f aca="false">Cash_Receipts_AR!D104</f>
        <v>46110</v>
      </c>
      <c r="E107" s="18" t="n">
        <f aca="false">Cash_Receipts_AR!E104</f>
        <v>384.06</v>
      </c>
      <c r="F107" s="17" t="n">
        <f aca="false">IFERROR(INDEX(Customer_Invoices_AR!$C$2:$C$601,MATCH(C107,Customer_Invoices_AR!$A$2:$A$601,0)),"")</f>
        <v>46098</v>
      </c>
      <c r="G107" s="16" t="n">
        <f aca="false">IF(F107="","",D107-F107)</f>
        <v>12</v>
      </c>
      <c r="H107" s="21" t="n">
        <f aca="false">IF(F107="","",DATE(YEAR(D107),MONTH(D107),1))</f>
        <v>46082</v>
      </c>
    </row>
    <row r="108" customFormat="false" ht="15" hidden="false" customHeight="false" outlineLevel="0" collapsed="false">
      <c r="A108" s="16" t="str">
        <f aca="false">Cash_Receipts_AR!A105</f>
        <v>ARR70104</v>
      </c>
      <c r="B108" s="16" t="str">
        <f aca="false">Cash_Receipts_AR!C105</f>
        <v>C2024</v>
      </c>
      <c r="C108" s="16" t="str">
        <f aca="false">Cash_Receipts_AR!B105</f>
        <v>ARI60124</v>
      </c>
      <c r="D108" s="17" t="n">
        <f aca="false">Cash_Receipts_AR!D105</f>
        <v>45947</v>
      </c>
      <c r="E108" s="18" t="n">
        <f aca="false">Cash_Receipts_AR!E105</f>
        <v>1780.11</v>
      </c>
      <c r="F108" s="17" t="n">
        <f aca="false">IFERROR(INDEX(Customer_Invoices_AR!$C$2:$C$601,MATCH(C108,Customer_Invoices_AR!$A$2:$A$601,0)),"")</f>
        <v>45913</v>
      </c>
      <c r="G108" s="16" t="n">
        <f aca="false">IF(F108="","",D108-F108)</f>
        <v>34</v>
      </c>
      <c r="H108" s="21" t="n">
        <f aca="false">IF(F108="","",DATE(YEAR(D108),MONTH(D108),1))</f>
        <v>45931</v>
      </c>
    </row>
    <row r="109" customFormat="false" ht="15" hidden="false" customHeight="false" outlineLevel="0" collapsed="false">
      <c r="A109" s="16" t="str">
        <f aca="false">Cash_Receipts_AR!A106</f>
        <v>ARR70105</v>
      </c>
      <c r="B109" s="16" t="str">
        <f aca="false">Cash_Receipts_AR!C106</f>
        <v>C2011</v>
      </c>
      <c r="C109" s="16" t="str">
        <f aca="false">Cash_Receipts_AR!B106</f>
        <v>ARI60125</v>
      </c>
      <c r="D109" s="17" t="n">
        <f aca="false">Cash_Receipts_AR!D106</f>
        <v>46130</v>
      </c>
      <c r="E109" s="18" t="n">
        <f aca="false">Cash_Receipts_AR!E106</f>
        <v>1695.79</v>
      </c>
      <c r="F109" s="17" t="n">
        <f aca="false">IFERROR(INDEX(Customer_Invoices_AR!$C$2:$C$601,MATCH(C109,Customer_Invoices_AR!$A$2:$A$601,0)),"")</f>
        <v>46113</v>
      </c>
      <c r="G109" s="16" t="n">
        <f aca="false">IF(F109="","",D109-F109)</f>
        <v>17</v>
      </c>
      <c r="H109" s="21" t="n">
        <f aca="false">IF(F109="","",DATE(YEAR(D109),MONTH(D109),1))</f>
        <v>46113</v>
      </c>
    </row>
    <row r="110" customFormat="false" ht="15" hidden="false" customHeight="false" outlineLevel="0" collapsed="false">
      <c r="A110" s="16" t="str">
        <f aca="false">Cash_Receipts_AR!A107</f>
        <v>ARR70106</v>
      </c>
      <c r="B110" s="16" t="str">
        <f aca="false">Cash_Receipts_AR!C107</f>
        <v>C2029</v>
      </c>
      <c r="C110" s="16" t="str">
        <f aca="false">Cash_Receipts_AR!B107</f>
        <v>ARI60126</v>
      </c>
      <c r="D110" s="17" t="n">
        <f aca="false">Cash_Receipts_AR!D107</f>
        <v>45860</v>
      </c>
      <c r="E110" s="18" t="n">
        <f aca="false">Cash_Receipts_AR!E107</f>
        <v>2702</v>
      </c>
      <c r="F110" s="17" t="n">
        <f aca="false">IFERROR(INDEX(Customer_Invoices_AR!$C$2:$C$601,MATCH(C110,Customer_Invoices_AR!$A$2:$A$601,0)),"")</f>
        <v>45858</v>
      </c>
      <c r="G110" s="16" t="n">
        <f aca="false">IF(F110="","",D110-F110)</f>
        <v>2</v>
      </c>
      <c r="H110" s="21" t="n">
        <f aca="false">IF(F110="","",DATE(YEAR(D110),MONTH(D110),1))</f>
        <v>45839</v>
      </c>
    </row>
    <row r="111" customFormat="false" ht="15" hidden="false" customHeight="false" outlineLevel="0" collapsed="false">
      <c r="A111" s="16" t="str">
        <f aca="false">Cash_Receipts_AR!A108</f>
        <v>ARR70107</v>
      </c>
      <c r="B111" s="16" t="str">
        <f aca="false">Cash_Receipts_AR!C108</f>
        <v>C2006</v>
      </c>
      <c r="C111" s="16" t="str">
        <f aca="false">Cash_Receipts_AR!B108</f>
        <v>ARI60127</v>
      </c>
      <c r="D111" s="17" t="n">
        <f aca="false">Cash_Receipts_AR!D108</f>
        <v>46200</v>
      </c>
      <c r="E111" s="18" t="n">
        <f aca="false">Cash_Receipts_AR!E108</f>
        <v>6868.48</v>
      </c>
      <c r="F111" s="17" t="n">
        <f aca="false">IFERROR(INDEX(Customer_Invoices_AR!$C$2:$C$601,MATCH(C111,Customer_Invoices_AR!$A$2:$A$601,0)),"")</f>
        <v>46174</v>
      </c>
      <c r="G111" s="16" t="n">
        <f aca="false">IF(F111="","",D111-F111)</f>
        <v>26</v>
      </c>
      <c r="H111" s="21" t="n">
        <f aca="false">IF(F111="","",DATE(YEAR(D111),MONTH(D111),1))</f>
        <v>46174</v>
      </c>
    </row>
    <row r="112" customFormat="false" ht="15" hidden="false" customHeight="false" outlineLevel="0" collapsed="false">
      <c r="A112" s="16" t="str">
        <f aca="false">Cash_Receipts_AR!A109</f>
        <v>ARR70108</v>
      </c>
      <c r="B112" s="16" t="str">
        <f aca="false">Cash_Receipts_AR!C109</f>
        <v>C2011</v>
      </c>
      <c r="C112" s="16" t="str">
        <f aca="false">Cash_Receipts_AR!B109</f>
        <v>ARI60128</v>
      </c>
      <c r="D112" s="17" t="n">
        <f aca="false">Cash_Receipts_AR!D109</f>
        <v>46199</v>
      </c>
      <c r="E112" s="18" t="n">
        <f aca="false">Cash_Receipts_AR!E109</f>
        <v>6006.81</v>
      </c>
      <c r="F112" s="17" t="n">
        <f aca="false">IFERROR(INDEX(Customer_Invoices_AR!$C$2:$C$601,MATCH(C112,Customer_Invoices_AR!$A$2:$A$601,0)),"")</f>
        <v>46194</v>
      </c>
      <c r="G112" s="16" t="n">
        <f aca="false">IF(F112="","",D112-F112)</f>
        <v>5</v>
      </c>
      <c r="H112" s="21" t="n">
        <f aca="false">IF(F112="","",DATE(YEAR(D112),MONTH(D112),1))</f>
        <v>46174</v>
      </c>
    </row>
    <row r="113" customFormat="false" ht="15" hidden="false" customHeight="false" outlineLevel="0" collapsed="false">
      <c r="A113" s="16" t="str">
        <f aca="false">Cash_Receipts_AR!A110</f>
        <v>ARR70109</v>
      </c>
      <c r="B113" s="16" t="str">
        <f aca="false">Cash_Receipts_AR!C110</f>
        <v>C2012</v>
      </c>
      <c r="C113" s="16" t="str">
        <f aca="false">Cash_Receipts_AR!B110</f>
        <v>ARI60129</v>
      </c>
      <c r="D113" s="17" t="n">
        <f aca="false">Cash_Receipts_AR!D110</f>
        <v>45920</v>
      </c>
      <c r="E113" s="18" t="n">
        <f aca="false">Cash_Receipts_AR!E110</f>
        <v>1048.47</v>
      </c>
      <c r="F113" s="17" t="n">
        <f aca="false">IFERROR(INDEX(Customer_Invoices_AR!$C$2:$C$601,MATCH(C113,Customer_Invoices_AR!$A$2:$A$601,0)),"")</f>
        <v>45909</v>
      </c>
      <c r="G113" s="16" t="n">
        <f aca="false">IF(F113="","",D113-F113)</f>
        <v>11</v>
      </c>
      <c r="H113" s="21" t="n">
        <f aca="false">IF(F113="","",DATE(YEAR(D113),MONTH(D113),1))</f>
        <v>45901</v>
      </c>
    </row>
    <row r="114" customFormat="false" ht="15" hidden="false" customHeight="false" outlineLevel="0" collapsed="false">
      <c r="A114" s="16" t="str">
        <f aca="false">Cash_Receipts_AR!A111</f>
        <v>ARR70110</v>
      </c>
      <c r="B114" s="16" t="str">
        <f aca="false">Cash_Receipts_AR!C111</f>
        <v>C2017</v>
      </c>
      <c r="C114" s="16" t="str">
        <f aca="false">Cash_Receipts_AR!B111</f>
        <v>ARI60131</v>
      </c>
      <c r="D114" s="17" t="n">
        <f aca="false">Cash_Receipts_AR!D111</f>
        <v>45885</v>
      </c>
      <c r="E114" s="18" t="n">
        <f aca="false">Cash_Receipts_AR!E111</f>
        <v>7020.69</v>
      </c>
      <c r="F114" s="17" t="n">
        <f aca="false">IFERROR(INDEX(Customer_Invoices_AR!$C$2:$C$601,MATCH(C114,Customer_Invoices_AR!$A$2:$A$601,0)),"")</f>
        <v>45866</v>
      </c>
      <c r="G114" s="16" t="n">
        <f aca="false">IF(F114="","",D114-F114)</f>
        <v>19</v>
      </c>
      <c r="H114" s="21" t="n">
        <f aca="false">IF(F114="","",DATE(YEAR(D114),MONTH(D114),1))</f>
        <v>45870</v>
      </c>
    </row>
    <row r="115" customFormat="false" ht="15" hidden="false" customHeight="false" outlineLevel="0" collapsed="false">
      <c r="A115" s="16" t="str">
        <f aca="false">Cash_Receipts_AR!A112</f>
        <v>ARR70111</v>
      </c>
      <c r="B115" s="16" t="str">
        <f aca="false">Cash_Receipts_AR!C112</f>
        <v>C2005</v>
      </c>
      <c r="C115" s="16" t="str">
        <f aca="false">Cash_Receipts_AR!B112</f>
        <v>ARI60132</v>
      </c>
      <c r="D115" s="17" t="n">
        <f aca="false">Cash_Receipts_AR!D112</f>
        <v>45953</v>
      </c>
      <c r="E115" s="18" t="n">
        <f aca="false">Cash_Receipts_AR!E112</f>
        <v>1027.67</v>
      </c>
      <c r="F115" s="17" t="n">
        <f aca="false">IFERROR(INDEX(Customer_Invoices_AR!$C$2:$C$601,MATCH(C115,Customer_Invoices_AR!$A$2:$A$601,0)),"")</f>
        <v>45945</v>
      </c>
      <c r="G115" s="16" t="n">
        <f aca="false">IF(F115="","",D115-F115)</f>
        <v>8</v>
      </c>
      <c r="H115" s="21" t="n">
        <f aca="false">IF(F115="","",DATE(YEAR(D115),MONTH(D115),1))</f>
        <v>45931</v>
      </c>
    </row>
    <row r="116" customFormat="false" ht="15" hidden="false" customHeight="false" outlineLevel="0" collapsed="false">
      <c r="A116" s="16" t="str">
        <f aca="false">Cash_Receipts_AR!A113</f>
        <v>ARR70112</v>
      </c>
      <c r="B116" s="16" t="str">
        <f aca="false">Cash_Receipts_AR!C113</f>
        <v>C2026</v>
      </c>
      <c r="C116" s="16" t="str">
        <f aca="false">Cash_Receipts_AR!B113</f>
        <v>ARI60134</v>
      </c>
      <c r="D116" s="17" t="n">
        <f aca="false">Cash_Receipts_AR!D113</f>
        <v>46109</v>
      </c>
      <c r="E116" s="18" t="n">
        <f aca="false">Cash_Receipts_AR!E113</f>
        <v>1215.61</v>
      </c>
      <c r="F116" s="17" t="n">
        <f aca="false">IFERROR(INDEX(Customer_Invoices_AR!$C$2:$C$601,MATCH(C116,Customer_Invoices_AR!$A$2:$A$601,0)),"")</f>
        <v>46103</v>
      </c>
      <c r="G116" s="16" t="n">
        <f aca="false">IF(F116="","",D116-F116)</f>
        <v>6</v>
      </c>
      <c r="H116" s="21" t="n">
        <f aca="false">IF(F116="","",DATE(YEAR(D116),MONTH(D116),1))</f>
        <v>46082</v>
      </c>
    </row>
    <row r="117" customFormat="false" ht="15" hidden="false" customHeight="false" outlineLevel="0" collapsed="false">
      <c r="A117" s="16" t="str">
        <f aca="false">Cash_Receipts_AR!A114</f>
        <v>ARR70113</v>
      </c>
      <c r="B117" s="16" t="str">
        <f aca="false">Cash_Receipts_AR!C114</f>
        <v>C2012</v>
      </c>
      <c r="C117" s="16" t="str">
        <f aca="false">Cash_Receipts_AR!B114</f>
        <v>ARI60135</v>
      </c>
      <c r="D117" s="17" t="n">
        <f aca="false">Cash_Receipts_AR!D114</f>
        <v>46123</v>
      </c>
      <c r="E117" s="18" t="n">
        <f aca="false">Cash_Receipts_AR!E114</f>
        <v>6379.66</v>
      </c>
      <c r="F117" s="17" t="n">
        <f aca="false">IFERROR(INDEX(Customer_Invoices_AR!$C$2:$C$601,MATCH(C117,Customer_Invoices_AR!$A$2:$A$601,0)),"")</f>
        <v>46094</v>
      </c>
      <c r="G117" s="16" t="n">
        <f aca="false">IF(F117="","",D117-F117)</f>
        <v>29</v>
      </c>
      <c r="H117" s="21" t="n">
        <f aca="false">IF(F117="","",DATE(YEAR(D117),MONTH(D117),1))</f>
        <v>46113</v>
      </c>
    </row>
    <row r="118" customFormat="false" ht="15" hidden="false" customHeight="false" outlineLevel="0" collapsed="false">
      <c r="A118" s="16" t="str">
        <f aca="false">Cash_Receipts_AR!A115</f>
        <v>ARR70114</v>
      </c>
      <c r="B118" s="16" t="str">
        <f aca="false">Cash_Receipts_AR!C115</f>
        <v>C2023</v>
      </c>
      <c r="C118" s="16" t="str">
        <f aca="false">Cash_Receipts_AR!B115</f>
        <v>ARI60136</v>
      </c>
      <c r="D118" s="17" t="n">
        <f aca="false">Cash_Receipts_AR!D115</f>
        <v>45740</v>
      </c>
      <c r="E118" s="18" t="n">
        <f aca="false">Cash_Receipts_AR!E115</f>
        <v>2883.05</v>
      </c>
      <c r="F118" s="17" t="n">
        <f aca="false">IFERROR(INDEX(Customer_Invoices_AR!$C$2:$C$601,MATCH(C118,Customer_Invoices_AR!$A$2:$A$601,0)),"")</f>
        <v>45733</v>
      </c>
      <c r="G118" s="16" t="n">
        <f aca="false">IF(F118="","",D118-F118)</f>
        <v>7</v>
      </c>
      <c r="H118" s="21" t="n">
        <f aca="false">IF(F118="","",DATE(YEAR(D118),MONTH(D118),1))</f>
        <v>45717</v>
      </c>
    </row>
    <row r="119" customFormat="false" ht="15" hidden="false" customHeight="false" outlineLevel="0" collapsed="false">
      <c r="A119" s="16" t="str">
        <f aca="false">Cash_Receipts_AR!A116</f>
        <v>ARR70115</v>
      </c>
      <c r="B119" s="16" t="str">
        <f aca="false">Cash_Receipts_AR!C116</f>
        <v>C2008</v>
      </c>
      <c r="C119" s="16" t="str">
        <f aca="false">Cash_Receipts_AR!B116</f>
        <v>ARI60137</v>
      </c>
      <c r="D119" s="17" t="n">
        <f aca="false">Cash_Receipts_AR!D116</f>
        <v>45795</v>
      </c>
      <c r="E119" s="18" t="n">
        <f aca="false">Cash_Receipts_AR!E116</f>
        <v>880.8</v>
      </c>
      <c r="F119" s="17" t="n">
        <f aca="false">IFERROR(INDEX(Customer_Invoices_AR!$C$2:$C$601,MATCH(C119,Customer_Invoices_AR!$A$2:$A$601,0)),"")</f>
        <v>45794</v>
      </c>
      <c r="G119" s="16" t="n">
        <f aca="false">IF(F119="","",D119-F119)</f>
        <v>1</v>
      </c>
      <c r="H119" s="21" t="n">
        <f aca="false">IF(F119="","",DATE(YEAR(D119),MONTH(D119),1))</f>
        <v>45778</v>
      </c>
    </row>
    <row r="120" customFormat="false" ht="15" hidden="false" customHeight="false" outlineLevel="0" collapsed="false">
      <c r="A120" s="16" t="str">
        <f aca="false">Cash_Receipts_AR!A117</f>
        <v>ARR70116</v>
      </c>
      <c r="B120" s="16" t="str">
        <f aca="false">Cash_Receipts_AR!C117</f>
        <v>C2002</v>
      </c>
      <c r="C120" s="16" t="str">
        <f aca="false">Cash_Receipts_AR!B117</f>
        <v>ARI60138</v>
      </c>
      <c r="D120" s="17" t="n">
        <f aca="false">Cash_Receipts_AR!D117</f>
        <v>46020</v>
      </c>
      <c r="E120" s="18" t="n">
        <f aca="false">Cash_Receipts_AR!E117</f>
        <v>2834.41</v>
      </c>
      <c r="F120" s="17" t="n">
        <f aca="false">IFERROR(INDEX(Customer_Invoices_AR!$C$2:$C$601,MATCH(C120,Customer_Invoices_AR!$A$2:$A$601,0)),"")</f>
        <v>46007</v>
      </c>
      <c r="G120" s="16" t="n">
        <f aca="false">IF(F120="","",D120-F120)</f>
        <v>13</v>
      </c>
      <c r="H120" s="21" t="n">
        <f aca="false">IF(F120="","",DATE(YEAR(D120),MONTH(D120),1))</f>
        <v>45992</v>
      </c>
    </row>
    <row r="121" customFormat="false" ht="15" hidden="false" customHeight="false" outlineLevel="0" collapsed="false">
      <c r="A121" s="16" t="str">
        <f aca="false">Cash_Receipts_AR!A118</f>
        <v>ARR70117</v>
      </c>
      <c r="B121" s="16" t="str">
        <f aca="false">Cash_Receipts_AR!C118</f>
        <v>C2021</v>
      </c>
      <c r="C121" s="16" t="str">
        <f aca="false">Cash_Receipts_AR!B118</f>
        <v>ARI60140</v>
      </c>
      <c r="D121" s="17" t="n">
        <f aca="false">Cash_Receipts_AR!D118</f>
        <v>45983</v>
      </c>
      <c r="E121" s="18" t="n">
        <f aca="false">Cash_Receipts_AR!E118</f>
        <v>2962.83</v>
      </c>
      <c r="F121" s="17" t="n">
        <f aca="false">IFERROR(INDEX(Customer_Invoices_AR!$C$2:$C$601,MATCH(C121,Customer_Invoices_AR!$A$2:$A$601,0)),"")</f>
        <v>45960</v>
      </c>
      <c r="G121" s="16" t="n">
        <f aca="false">IF(F121="","",D121-F121)</f>
        <v>23</v>
      </c>
      <c r="H121" s="21" t="n">
        <f aca="false">IF(F121="","",DATE(YEAR(D121),MONTH(D121),1))</f>
        <v>45962</v>
      </c>
    </row>
    <row r="122" customFormat="false" ht="15" hidden="false" customHeight="false" outlineLevel="0" collapsed="false">
      <c r="A122" s="16" t="str">
        <f aca="false">Cash_Receipts_AR!A119</f>
        <v>ARR70118</v>
      </c>
      <c r="B122" s="16" t="str">
        <f aca="false">Cash_Receipts_AR!C119</f>
        <v>C2015</v>
      </c>
      <c r="C122" s="16" t="str">
        <f aca="false">Cash_Receipts_AR!B119</f>
        <v>ARI60141</v>
      </c>
      <c r="D122" s="17" t="n">
        <f aca="false">Cash_Receipts_AR!D119</f>
        <v>45737</v>
      </c>
      <c r="E122" s="18" t="n">
        <f aca="false">Cash_Receipts_AR!E119</f>
        <v>1642.39</v>
      </c>
      <c r="F122" s="17" t="n">
        <f aca="false">IFERROR(INDEX(Customer_Invoices_AR!$C$2:$C$601,MATCH(C122,Customer_Invoices_AR!$A$2:$A$601,0)),"")</f>
        <v>45713</v>
      </c>
      <c r="G122" s="16" t="n">
        <f aca="false">IF(F122="","",D122-F122)</f>
        <v>24</v>
      </c>
      <c r="H122" s="21" t="n">
        <f aca="false">IF(F122="","",DATE(YEAR(D122),MONTH(D122),1))</f>
        <v>45717</v>
      </c>
    </row>
    <row r="123" customFormat="false" ht="15" hidden="false" customHeight="false" outlineLevel="0" collapsed="false">
      <c r="A123" s="16" t="str">
        <f aca="false">Cash_Receipts_AR!A120</f>
        <v>ARR70119</v>
      </c>
      <c r="B123" s="16" t="str">
        <f aca="false">Cash_Receipts_AR!C120</f>
        <v>C2022</v>
      </c>
      <c r="C123" s="16" t="str">
        <f aca="false">Cash_Receipts_AR!B120</f>
        <v>ARI60142</v>
      </c>
      <c r="D123" s="17" t="n">
        <f aca="false">Cash_Receipts_AR!D120</f>
        <v>46121</v>
      </c>
      <c r="E123" s="18" t="n">
        <f aca="false">Cash_Receipts_AR!E120</f>
        <v>1076.31</v>
      </c>
      <c r="F123" s="17" t="n">
        <f aca="false">IFERROR(INDEX(Customer_Invoices_AR!$C$2:$C$601,MATCH(C123,Customer_Invoices_AR!$A$2:$A$601,0)),"")</f>
        <v>46119</v>
      </c>
      <c r="G123" s="16" t="n">
        <f aca="false">IF(F123="","",D123-F123)</f>
        <v>2</v>
      </c>
      <c r="H123" s="21" t="n">
        <f aca="false">IF(F123="","",DATE(YEAR(D123),MONTH(D123),1))</f>
        <v>46113</v>
      </c>
    </row>
    <row r="124" customFormat="false" ht="15" hidden="false" customHeight="false" outlineLevel="0" collapsed="false">
      <c r="A124" s="16" t="str">
        <f aca="false">Cash_Receipts_AR!A121</f>
        <v>ARR70120</v>
      </c>
      <c r="B124" s="16" t="str">
        <f aca="false">Cash_Receipts_AR!C121</f>
        <v>C2008</v>
      </c>
      <c r="C124" s="16" t="str">
        <f aca="false">Cash_Receipts_AR!B121</f>
        <v>ARI60143</v>
      </c>
      <c r="D124" s="17" t="n">
        <f aca="false">Cash_Receipts_AR!D121</f>
        <v>46133</v>
      </c>
      <c r="E124" s="18" t="n">
        <f aca="false">Cash_Receipts_AR!E121</f>
        <v>764.94</v>
      </c>
      <c r="F124" s="17" t="n">
        <f aca="false">IFERROR(INDEX(Customer_Invoices_AR!$C$2:$C$601,MATCH(C124,Customer_Invoices_AR!$A$2:$A$601,0)),"")</f>
        <v>46121</v>
      </c>
      <c r="G124" s="16" t="n">
        <f aca="false">IF(F124="","",D124-F124)</f>
        <v>12</v>
      </c>
      <c r="H124" s="21" t="n">
        <f aca="false">IF(F124="","",DATE(YEAR(D124),MONTH(D124),1))</f>
        <v>46113</v>
      </c>
    </row>
    <row r="125" customFormat="false" ht="15" hidden="false" customHeight="false" outlineLevel="0" collapsed="false">
      <c r="A125" s="16" t="str">
        <f aca="false">Cash_Receipts_AR!A122</f>
        <v>ARR70121</v>
      </c>
      <c r="B125" s="16" t="str">
        <f aca="false">Cash_Receipts_AR!C122</f>
        <v>C2019</v>
      </c>
      <c r="C125" s="16" t="str">
        <f aca="false">Cash_Receipts_AR!B122</f>
        <v>ARI60144</v>
      </c>
      <c r="D125" s="17" t="n">
        <f aca="false">Cash_Receipts_AR!D122</f>
        <v>45824</v>
      </c>
      <c r="E125" s="18" t="n">
        <f aca="false">Cash_Receipts_AR!E122</f>
        <v>9454.9</v>
      </c>
      <c r="F125" s="17" t="n">
        <f aca="false">IFERROR(INDEX(Customer_Invoices_AR!$C$2:$C$601,MATCH(C125,Customer_Invoices_AR!$A$2:$A$601,0)),"")</f>
        <v>45813</v>
      </c>
      <c r="G125" s="16" t="n">
        <f aca="false">IF(F125="","",D125-F125)</f>
        <v>11</v>
      </c>
      <c r="H125" s="21" t="n">
        <f aca="false">IF(F125="","",DATE(YEAR(D125),MONTH(D125),1))</f>
        <v>45809</v>
      </c>
    </row>
    <row r="126" customFormat="false" ht="15" hidden="false" customHeight="false" outlineLevel="0" collapsed="false">
      <c r="A126" s="16" t="str">
        <f aca="false">Cash_Receipts_AR!A123</f>
        <v>ARR70122</v>
      </c>
      <c r="B126" s="16" t="str">
        <f aca="false">Cash_Receipts_AR!C123</f>
        <v>C2007</v>
      </c>
      <c r="C126" s="16" t="str">
        <f aca="false">Cash_Receipts_AR!B123</f>
        <v>ARI60145</v>
      </c>
      <c r="D126" s="17" t="n">
        <f aca="false">Cash_Receipts_AR!D123</f>
        <v>46076</v>
      </c>
      <c r="E126" s="18" t="n">
        <f aca="false">Cash_Receipts_AR!E123</f>
        <v>2303.51</v>
      </c>
      <c r="F126" s="17" t="n">
        <f aca="false">IFERROR(INDEX(Customer_Invoices_AR!$C$2:$C$601,MATCH(C126,Customer_Invoices_AR!$A$2:$A$601,0)),"")</f>
        <v>46073</v>
      </c>
      <c r="G126" s="16" t="n">
        <f aca="false">IF(F126="","",D126-F126)</f>
        <v>3</v>
      </c>
      <c r="H126" s="21" t="n">
        <f aca="false">IF(F126="","",DATE(YEAR(D126),MONTH(D126),1))</f>
        <v>46054</v>
      </c>
    </row>
    <row r="127" customFormat="false" ht="15" hidden="false" customHeight="false" outlineLevel="0" collapsed="false">
      <c r="A127" s="16" t="str">
        <f aca="false">Cash_Receipts_AR!A124</f>
        <v>ARR70123</v>
      </c>
      <c r="B127" s="16" t="str">
        <f aca="false">Cash_Receipts_AR!C124</f>
        <v>C2023</v>
      </c>
      <c r="C127" s="16" t="str">
        <f aca="false">Cash_Receipts_AR!B124</f>
        <v>ARI60147</v>
      </c>
      <c r="D127" s="17" t="n">
        <f aca="false">Cash_Receipts_AR!D124</f>
        <v>46163</v>
      </c>
      <c r="E127" s="18" t="n">
        <f aca="false">Cash_Receipts_AR!E124</f>
        <v>4815.88</v>
      </c>
      <c r="F127" s="17" t="n">
        <f aca="false">IFERROR(INDEX(Customer_Invoices_AR!$C$2:$C$601,MATCH(C127,Customer_Invoices_AR!$A$2:$A$601,0)),"")</f>
        <v>46151</v>
      </c>
      <c r="G127" s="16" t="n">
        <f aca="false">IF(F127="","",D127-F127)</f>
        <v>12</v>
      </c>
      <c r="H127" s="21" t="n">
        <f aca="false">IF(F127="","",DATE(YEAR(D127),MONTH(D127),1))</f>
        <v>46143</v>
      </c>
    </row>
    <row r="128" customFormat="false" ht="15" hidden="false" customHeight="false" outlineLevel="0" collapsed="false">
      <c r="A128" s="16" t="str">
        <f aca="false">Cash_Receipts_AR!A125</f>
        <v>ARR70124</v>
      </c>
      <c r="B128" s="16" t="str">
        <f aca="false">Cash_Receipts_AR!C125</f>
        <v>C2013</v>
      </c>
      <c r="C128" s="16" t="str">
        <f aca="false">Cash_Receipts_AR!B125</f>
        <v>ARI60148</v>
      </c>
      <c r="D128" s="17" t="n">
        <f aca="false">Cash_Receipts_AR!D125</f>
        <v>45757</v>
      </c>
      <c r="E128" s="18" t="n">
        <f aca="false">Cash_Receipts_AR!E125</f>
        <v>2199.11</v>
      </c>
      <c r="F128" s="17" t="n">
        <f aca="false">IFERROR(INDEX(Customer_Invoices_AR!$C$2:$C$601,MATCH(C128,Customer_Invoices_AR!$A$2:$A$601,0)),"")</f>
        <v>45738</v>
      </c>
      <c r="G128" s="16" t="n">
        <f aca="false">IF(F128="","",D128-F128)</f>
        <v>19</v>
      </c>
      <c r="H128" s="21" t="n">
        <f aca="false">IF(F128="","",DATE(YEAR(D128),MONTH(D128),1))</f>
        <v>45748</v>
      </c>
    </row>
    <row r="129" customFormat="false" ht="15" hidden="false" customHeight="false" outlineLevel="0" collapsed="false">
      <c r="A129" s="16" t="str">
        <f aca="false">Cash_Receipts_AR!A126</f>
        <v>ARR70125</v>
      </c>
      <c r="B129" s="16" t="str">
        <f aca="false">Cash_Receipts_AR!C126</f>
        <v>C2014</v>
      </c>
      <c r="C129" s="16" t="str">
        <f aca="false">Cash_Receipts_AR!B126</f>
        <v>ARI60149</v>
      </c>
      <c r="D129" s="17" t="n">
        <f aca="false">Cash_Receipts_AR!D126</f>
        <v>45923</v>
      </c>
      <c r="E129" s="18" t="n">
        <f aca="false">Cash_Receipts_AR!E126</f>
        <v>691.61</v>
      </c>
      <c r="F129" s="17" t="n">
        <f aca="false">IFERROR(INDEX(Customer_Invoices_AR!$C$2:$C$601,MATCH(C129,Customer_Invoices_AR!$A$2:$A$601,0)),"")</f>
        <v>45896</v>
      </c>
      <c r="G129" s="16" t="n">
        <f aca="false">IF(F129="","",D129-F129)</f>
        <v>27</v>
      </c>
      <c r="H129" s="21" t="n">
        <f aca="false">IF(F129="","",DATE(YEAR(D129),MONTH(D129),1))</f>
        <v>45901</v>
      </c>
    </row>
    <row r="130" customFormat="false" ht="15" hidden="false" customHeight="false" outlineLevel="0" collapsed="false">
      <c r="A130" s="16" t="str">
        <f aca="false">Cash_Receipts_AR!A127</f>
        <v>ARR70126</v>
      </c>
      <c r="B130" s="16" t="str">
        <f aca="false">Cash_Receipts_AR!C127</f>
        <v>C2029</v>
      </c>
      <c r="C130" s="16" t="str">
        <f aca="false">Cash_Receipts_AR!B127</f>
        <v>ARI60150</v>
      </c>
      <c r="D130" s="17" t="n">
        <f aca="false">Cash_Receipts_AR!D127</f>
        <v>46197</v>
      </c>
      <c r="E130" s="18" t="n">
        <f aca="false">Cash_Receipts_AR!E127</f>
        <v>3158.11</v>
      </c>
      <c r="F130" s="17" t="n">
        <f aca="false">IFERROR(INDEX(Customer_Invoices_AR!$C$2:$C$601,MATCH(C130,Customer_Invoices_AR!$A$2:$A$601,0)),"")</f>
        <v>46173</v>
      </c>
      <c r="G130" s="16" t="n">
        <f aca="false">IF(F130="","",D130-F130)</f>
        <v>24</v>
      </c>
      <c r="H130" s="21" t="n">
        <f aca="false">IF(F130="","",DATE(YEAR(D130),MONTH(D130),1))</f>
        <v>46174</v>
      </c>
    </row>
    <row r="131" customFormat="false" ht="15" hidden="false" customHeight="false" outlineLevel="0" collapsed="false">
      <c r="A131" s="16" t="str">
        <f aca="false">Cash_Receipts_AR!A128</f>
        <v>ARR70127</v>
      </c>
      <c r="B131" s="16" t="str">
        <f aca="false">Cash_Receipts_AR!C128</f>
        <v>C2030</v>
      </c>
      <c r="C131" s="16" t="str">
        <f aca="false">Cash_Receipts_AR!B128</f>
        <v>ARI60151</v>
      </c>
      <c r="D131" s="17" t="n">
        <f aca="false">Cash_Receipts_AR!D128</f>
        <v>45806</v>
      </c>
      <c r="E131" s="18" t="n">
        <f aca="false">Cash_Receipts_AR!E128</f>
        <v>5637.18</v>
      </c>
      <c r="F131" s="17" t="n">
        <f aca="false">IFERROR(INDEX(Customer_Invoices_AR!$C$2:$C$601,MATCH(C131,Customer_Invoices_AR!$A$2:$A$601,0)),"")</f>
        <v>45779</v>
      </c>
      <c r="G131" s="16" t="n">
        <f aca="false">IF(F131="","",D131-F131)</f>
        <v>27</v>
      </c>
      <c r="H131" s="21" t="n">
        <f aca="false">IF(F131="","",DATE(YEAR(D131),MONTH(D131),1))</f>
        <v>45778</v>
      </c>
    </row>
    <row r="132" customFormat="false" ht="15" hidden="false" customHeight="false" outlineLevel="0" collapsed="false">
      <c r="A132" s="16" t="str">
        <f aca="false">Cash_Receipts_AR!A129</f>
        <v>ARR70128</v>
      </c>
      <c r="B132" s="16" t="str">
        <f aca="false">Cash_Receipts_AR!C129</f>
        <v>C2014</v>
      </c>
      <c r="C132" s="16" t="str">
        <f aca="false">Cash_Receipts_AR!B129</f>
        <v>ARI60152</v>
      </c>
      <c r="D132" s="17" t="n">
        <f aca="false">Cash_Receipts_AR!D129</f>
        <v>45904</v>
      </c>
      <c r="E132" s="18" t="n">
        <f aca="false">Cash_Receipts_AR!E129</f>
        <v>12200.28</v>
      </c>
      <c r="F132" s="17" t="n">
        <f aca="false">IFERROR(INDEX(Customer_Invoices_AR!$C$2:$C$601,MATCH(C132,Customer_Invoices_AR!$A$2:$A$601,0)),"")</f>
        <v>45903</v>
      </c>
      <c r="G132" s="16" t="n">
        <f aca="false">IF(F132="","",D132-F132)</f>
        <v>1</v>
      </c>
      <c r="H132" s="21" t="n">
        <f aca="false">IF(F132="","",DATE(YEAR(D132),MONTH(D132),1))</f>
        <v>45901</v>
      </c>
    </row>
    <row r="133" customFormat="false" ht="15" hidden="false" customHeight="false" outlineLevel="0" collapsed="false">
      <c r="A133" s="16" t="str">
        <f aca="false">Cash_Receipts_AR!A130</f>
        <v>ARR70129</v>
      </c>
      <c r="B133" s="16" t="str">
        <f aca="false">Cash_Receipts_AR!C130</f>
        <v>C2014</v>
      </c>
      <c r="C133" s="16" t="str">
        <f aca="false">Cash_Receipts_AR!B130</f>
        <v>ARI60153</v>
      </c>
      <c r="D133" s="17" t="n">
        <f aca="false">Cash_Receipts_AR!D130</f>
        <v>45873</v>
      </c>
      <c r="E133" s="18" t="n">
        <f aca="false">Cash_Receipts_AR!E130</f>
        <v>5646.73</v>
      </c>
      <c r="F133" s="17" t="n">
        <f aca="false">IFERROR(INDEX(Customer_Invoices_AR!$C$2:$C$601,MATCH(C133,Customer_Invoices_AR!$A$2:$A$601,0)),"")</f>
        <v>45848</v>
      </c>
      <c r="G133" s="16" t="n">
        <f aca="false">IF(F133="","",D133-F133)</f>
        <v>25</v>
      </c>
      <c r="H133" s="21" t="n">
        <f aca="false">IF(F133="","",DATE(YEAR(D133),MONTH(D133),1))</f>
        <v>45870</v>
      </c>
    </row>
    <row r="134" customFormat="false" ht="15" hidden="false" customHeight="false" outlineLevel="0" collapsed="false">
      <c r="A134" s="16" t="str">
        <f aca="false">Cash_Receipts_AR!A131</f>
        <v>ARR70130</v>
      </c>
      <c r="B134" s="16" t="str">
        <f aca="false">Cash_Receipts_AR!C131</f>
        <v>C2020</v>
      </c>
      <c r="C134" s="16" t="str">
        <f aca="false">Cash_Receipts_AR!B131</f>
        <v>ARI60154</v>
      </c>
      <c r="D134" s="17" t="n">
        <f aca="false">Cash_Receipts_AR!D131</f>
        <v>45673</v>
      </c>
      <c r="E134" s="18" t="n">
        <f aca="false">Cash_Receipts_AR!E131</f>
        <v>549.85</v>
      </c>
      <c r="F134" s="17" t="n">
        <f aca="false">IFERROR(INDEX(Customer_Invoices_AR!$C$2:$C$601,MATCH(C134,Customer_Invoices_AR!$A$2:$A$601,0)),"")</f>
        <v>45672</v>
      </c>
      <c r="G134" s="16" t="n">
        <f aca="false">IF(F134="","",D134-F134)</f>
        <v>1</v>
      </c>
      <c r="H134" s="21" t="n">
        <f aca="false">IF(F134="","",DATE(YEAR(D134),MONTH(D134),1))</f>
        <v>45658</v>
      </c>
    </row>
    <row r="135" customFormat="false" ht="15" hidden="false" customHeight="false" outlineLevel="0" collapsed="false">
      <c r="A135" s="16" t="str">
        <f aca="false">Cash_Receipts_AR!A132</f>
        <v>ARR70131</v>
      </c>
      <c r="B135" s="16" t="str">
        <f aca="false">Cash_Receipts_AR!C132</f>
        <v>C2025</v>
      </c>
      <c r="C135" s="16" t="str">
        <f aca="false">Cash_Receipts_AR!B132</f>
        <v>ARI60156</v>
      </c>
      <c r="D135" s="17" t="n">
        <f aca="false">Cash_Receipts_AR!D132</f>
        <v>45956</v>
      </c>
      <c r="E135" s="18" t="n">
        <f aca="false">Cash_Receipts_AR!E132</f>
        <v>292.38</v>
      </c>
      <c r="F135" s="17" t="n">
        <f aca="false">IFERROR(INDEX(Customer_Invoices_AR!$C$2:$C$601,MATCH(C135,Customer_Invoices_AR!$A$2:$A$601,0)),"")</f>
        <v>45931</v>
      </c>
      <c r="G135" s="16" t="n">
        <f aca="false">IF(F135="","",D135-F135)</f>
        <v>25</v>
      </c>
      <c r="H135" s="21" t="n">
        <f aca="false">IF(F135="","",DATE(YEAR(D135),MONTH(D135),1))</f>
        <v>45931</v>
      </c>
    </row>
    <row r="136" customFormat="false" ht="15" hidden="false" customHeight="false" outlineLevel="0" collapsed="false">
      <c r="A136" s="16" t="str">
        <f aca="false">Cash_Receipts_AR!A133</f>
        <v>ARR70132</v>
      </c>
      <c r="B136" s="16" t="str">
        <f aca="false">Cash_Receipts_AR!C133</f>
        <v>C2030</v>
      </c>
      <c r="C136" s="16" t="str">
        <f aca="false">Cash_Receipts_AR!B133</f>
        <v>ARI60157</v>
      </c>
      <c r="D136" s="17" t="n">
        <f aca="false">Cash_Receipts_AR!D133</f>
        <v>45821</v>
      </c>
      <c r="E136" s="18" t="n">
        <f aca="false">Cash_Receipts_AR!E133</f>
        <v>2784.82</v>
      </c>
      <c r="F136" s="17" t="n">
        <f aca="false">IFERROR(INDEX(Customer_Invoices_AR!$C$2:$C$601,MATCH(C136,Customer_Invoices_AR!$A$2:$A$601,0)),"")</f>
        <v>45786</v>
      </c>
      <c r="G136" s="16" t="n">
        <f aca="false">IF(F136="","",D136-F136)</f>
        <v>35</v>
      </c>
      <c r="H136" s="21" t="n">
        <f aca="false">IF(F136="","",DATE(YEAR(D136),MONTH(D136),1))</f>
        <v>45809</v>
      </c>
    </row>
    <row r="137" customFormat="false" ht="15" hidden="false" customHeight="false" outlineLevel="0" collapsed="false">
      <c r="A137" s="16" t="str">
        <f aca="false">Cash_Receipts_AR!A134</f>
        <v>ARR70133</v>
      </c>
      <c r="B137" s="16" t="str">
        <f aca="false">Cash_Receipts_AR!C134</f>
        <v>C2017</v>
      </c>
      <c r="C137" s="16" t="str">
        <f aca="false">Cash_Receipts_AR!B134</f>
        <v>ARI60159</v>
      </c>
      <c r="D137" s="17" t="n">
        <f aca="false">Cash_Receipts_AR!D134</f>
        <v>45872</v>
      </c>
      <c r="E137" s="18" t="n">
        <f aca="false">Cash_Receipts_AR!E134</f>
        <v>2740.17</v>
      </c>
      <c r="F137" s="17" t="n">
        <f aca="false">IFERROR(INDEX(Customer_Invoices_AR!$C$2:$C$601,MATCH(C137,Customer_Invoices_AR!$A$2:$A$601,0)),"")</f>
        <v>45862</v>
      </c>
      <c r="G137" s="16" t="n">
        <f aca="false">IF(F137="","",D137-F137)</f>
        <v>10</v>
      </c>
      <c r="H137" s="21" t="n">
        <f aca="false">IF(F137="","",DATE(YEAR(D137),MONTH(D137),1))</f>
        <v>45870</v>
      </c>
    </row>
    <row r="138" customFormat="false" ht="15" hidden="false" customHeight="false" outlineLevel="0" collapsed="false">
      <c r="A138" s="16" t="str">
        <f aca="false">Cash_Receipts_AR!A135</f>
        <v>ARR70134</v>
      </c>
      <c r="B138" s="16" t="str">
        <f aca="false">Cash_Receipts_AR!C135</f>
        <v>C2030</v>
      </c>
      <c r="C138" s="16" t="str">
        <f aca="false">Cash_Receipts_AR!B135</f>
        <v>ARI60160</v>
      </c>
      <c r="D138" s="17" t="n">
        <f aca="false">Cash_Receipts_AR!D135</f>
        <v>45692</v>
      </c>
      <c r="E138" s="18" t="n">
        <f aca="false">Cash_Receipts_AR!E135</f>
        <v>1008.67</v>
      </c>
      <c r="F138" s="17" t="n">
        <f aca="false">IFERROR(INDEX(Customer_Invoices_AR!$C$2:$C$601,MATCH(C138,Customer_Invoices_AR!$A$2:$A$601,0)),"")</f>
        <v>45673</v>
      </c>
      <c r="G138" s="16" t="n">
        <f aca="false">IF(F138="","",D138-F138)</f>
        <v>19</v>
      </c>
      <c r="H138" s="21" t="n">
        <f aca="false">IF(F138="","",DATE(YEAR(D138),MONTH(D138),1))</f>
        <v>45689</v>
      </c>
    </row>
    <row r="139" customFormat="false" ht="15" hidden="false" customHeight="false" outlineLevel="0" collapsed="false">
      <c r="A139" s="16" t="str">
        <f aca="false">Cash_Receipts_AR!A136</f>
        <v>ARR70135</v>
      </c>
      <c r="B139" s="16" t="str">
        <f aca="false">Cash_Receipts_AR!C136</f>
        <v>C2013</v>
      </c>
      <c r="C139" s="16" t="str">
        <f aca="false">Cash_Receipts_AR!B136</f>
        <v>ARI60162</v>
      </c>
      <c r="D139" s="17" t="n">
        <f aca="false">Cash_Receipts_AR!D136</f>
        <v>46122</v>
      </c>
      <c r="E139" s="18" t="n">
        <f aca="false">Cash_Receipts_AR!E136</f>
        <v>581.09</v>
      </c>
      <c r="F139" s="17" t="n">
        <f aca="false">IFERROR(INDEX(Customer_Invoices_AR!$C$2:$C$601,MATCH(C139,Customer_Invoices_AR!$A$2:$A$601,0)),"")</f>
        <v>46115</v>
      </c>
      <c r="G139" s="16" t="n">
        <f aca="false">IF(F139="","",D139-F139)</f>
        <v>7</v>
      </c>
      <c r="H139" s="21" t="n">
        <f aca="false">IF(F139="","",DATE(YEAR(D139),MONTH(D139),1))</f>
        <v>46113</v>
      </c>
    </row>
    <row r="140" customFormat="false" ht="15" hidden="false" customHeight="false" outlineLevel="0" collapsed="false">
      <c r="A140" s="16" t="str">
        <f aca="false">Cash_Receipts_AR!A137</f>
        <v>ARR70136</v>
      </c>
      <c r="B140" s="16" t="str">
        <f aca="false">Cash_Receipts_AR!C137</f>
        <v>C2017</v>
      </c>
      <c r="C140" s="16" t="str">
        <f aca="false">Cash_Receipts_AR!B137</f>
        <v>ARI60163</v>
      </c>
      <c r="D140" s="17" t="n">
        <f aca="false">Cash_Receipts_AR!D137</f>
        <v>46016</v>
      </c>
      <c r="E140" s="18" t="n">
        <f aca="false">Cash_Receipts_AR!E137</f>
        <v>5364.47</v>
      </c>
      <c r="F140" s="17" t="n">
        <f aca="false">IFERROR(INDEX(Customer_Invoices_AR!$C$2:$C$601,MATCH(C140,Customer_Invoices_AR!$A$2:$A$601,0)),"")</f>
        <v>46012</v>
      </c>
      <c r="G140" s="16" t="n">
        <f aca="false">IF(F140="","",D140-F140)</f>
        <v>4</v>
      </c>
      <c r="H140" s="21" t="n">
        <f aca="false">IF(F140="","",DATE(YEAR(D140),MONTH(D140),1))</f>
        <v>45992</v>
      </c>
    </row>
    <row r="141" customFormat="false" ht="15" hidden="false" customHeight="false" outlineLevel="0" collapsed="false">
      <c r="A141" s="16" t="str">
        <f aca="false">Cash_Receipts_AR!A138</f>
        <v>ARR70137</v>
      </c>
      <c r="B141" s="16" t="str">
        <f aca="false">Cash_Receipts_AR!C138</f>
        <v>C2003</v>
      </c>
      <c r="C141" s="16" t="str">
        <f aca="false">Cash_Receipts_AR!B138</f>
        <v>ARI60164</v>
      </c>
      <c r="D141" s="17" t="n">
        <f aca="false">Cash_Receipts_AR!D138</f>
        <v>46095</v>
      </c>
      <c r="E141" s="18" t="n">
        <f aca="false">Cash_Receipts_AR!E138</f>
        <v>2482.23</v>
      </c>
      <c r="F141" s="17" t="n">
        <f aca="false">IFERROR(INDEX(Customer_Invoices_AR!$C$2:$C$601,MATCH(C141,Customer_Invoices_AR!$A$2:$A$601,0)),"")</f>
        <v>46089</v>
      </c>
      <c r="G141" s="16" t="n">
        <f aca="false">IF(F141="","",D141-F141)</f>
        <v>6</v>
      </c>
      <c r="H141" s="21" t="n">
        <f aca="false">IF(F141="","",DATE(YEAR(D141),MONTH(D141),1))</f>
        <v>46082</v>
      </c>
    </row>
    <row r="142" customFormat="false" ht="15" hidden="false" customHeight="false" outlineLevel="0" collapsed="false">
      <c r="A142" s="16" t="str">
        <f aca="false">Cash_Receipts_AR!A139</f>
        <v>ARR70138</v>
      </c>
      <c r="B142" s="16" t="str">
        <f aca="false">Cash_Receipts_AR!C139</f>
        <v>C2001</v>
      </c>
      <c r="C142" s="16" t="str">
        <f aca="false">Cash_Receipts_AR!B139</f>
        <v>ARI60165</v>
      </c>
      <c r="D142" s="17" t="n">
        <f aca="false">Cash_Receipts_AR!D139</f>
        <v>45755</v>
      </c>
      <c r="E142" s="18" t="n">
        <f aca="false">Cash_Receipts_AR!E139</f>
        <v>3834.26</v>
      </c>
      <c r="F142" s="17" t="n">
        <f aca="false">IFERROR(INDEX(Customer_Invoices_AR!$C$2:$C$601,MATCH(C142,Customer_Invoices_AR!$A$2:$A$601,0)),"")</f>
        <v>45732</v>
      </c>
      <c r="G142" s="16" t="n">
        <f aca="false">IF(F142="","",D142-F142)</f>
        <v>23</v>
      </c>
      <c r="H142" s="21" t="n">
        <f aca="false">IF(F142="","",DATE(YEAR(D142),MONTH(D142),1))</f>
        <v>45748</v>
      </c>
    </row>
    <row r="143" customFormat="false" ht="15" hidden="false" customHeight="false" outlineLevel="0" collapsed="false">
      <c r="A143" s="16" t="str">
        <f aca="false">Cash_Receipts_AR!A140</f>
        <v>ARR70139</v>
      </c>
      <c r="B143" s="16" t="str">
        <f aca="false">Cash_Receipts_AR!C140</f>
        <v>C2007</v>
      </c>
      <c r="C143" s="16" t="str">
        <f aca="false">Cash_Receipts_AR!B140</f>
        <v>ARI60166</v>
      </c>
      <c r="D143" s="17" t="n">
        <f aca="false">Cash_Receipts_AR!D140</f>
        <v>45815</v>
      </c>
      <c r="E143" s="18" t="n">
        <f aca="false">Cash_Receipts_AR!E140</f>
        <v>1447.89</v>
      </c>
      <c r="F143" s="17" t="n">
        <f aca="false">IFERROR(INDEX(Customer_Invoices_AR!$C$2:$C$601,MATCH(C143,Customer_Invoices_AR!$A$2:$A$601,0)),"")</f>
        <v>45814</v>
      </c>
      <c r="G143" s="16" t="n">
        <f aca="false">IF(F143="","",D143-F143)</f>
        <v>1</v>
      </c>
      <c r="H143" s="21" t="n">
        <f aca="false">IF(F143="","",DATE(YEAR(D143),MONTH(D143),1))</f>
        <v>45809</v>
      </c>
    </row>
    <row r="144" customFormat="false" ht="15" hidden="false" customHeight="false" outlineLevel="0" collapsed="false">
      <c r="A144" s="16" t="str">
        <f aca="false">Cash_Receipts_AR!A141</f>
        <v>ARR70140</v>
      </c>
      <c r="B144" s="16" t="str">
        <f aca="false">Cash_Receipts_AR!C141</f>
        <v>C2025</v>
      </c>
      <c r="C144" s="16" t="str">
        <f aca="false">Cash_Receipts_AR!B141</f>
        <v>ARI60169</v>
      </c>
      <c r="D144" s="17" t="n">
        <f aca="false">Cash_Receipts_AR!D141</f>
        <v>45738</v>
      </c>
      <c r="E144" s="18" t="n">
        <f aca="false">Cash_Receipts_AR!E141</f>
        <v>1545.94</v>
      </c>
      <c r="F144" s="17" t="n">
        <f aca="false">IFERROR(INDEX(Customer_Invoices_AR!$C$2:$C$601,MATCH(C144,Customer_Invoices_AR!$A$2:$A$601,0)),"")</f>
        <v>45733</v>
      </c>
      <c r="G144" s="16" t="n">
        <f aca="false">IF(F144="","",D144-F144)</f>
        <v>5</v>
      </c>
      <c r="H144" s="21" t="n">
        <f aca="false">IF(F144="","",DATE(YEAR(D144),MONTH(D144),1))</f>
        <v>45717</v>
      </c>
    </row>
    <row r="145" customFormat="false" ht="15" hidden="false" customHeight="false" outlineLevel="0" collapsed="false">
      <c r="A145" s="16" t="str">
        <f aca="false">Cash_Receipts_AR!A142</f>
        <v>ARR70141</v>
      </c>
      <c r="B145" s="16" t="str">
        <f aca="false">Cash_Receipts_AR!C142</f>
        <v>C2020</v>
      </c>
      <c r="C145" s="16" t="str">
        <f aca="false">Cash_Receipts_AR!B142</f>
        <v>ARI60170</v>
      </c>
      <c r="D145" s="17" t="n">
        <f aca="false">Cash_Receipts_AR!D142</f>
        <v>46076</v>
      </c>
      <c r="E145" s="18" t="n">
        <f aca="false">Cash_Receipts_AR!E142</f>
        <v>216.72</v>
      </c>
      <c r="F145" s="17" t="n">
        <f aca="false">IFERROR(INDEX(Customer_Invoices_AR!$C$2:$C$601,MATCH(C145,Customer_Invoices_AR!$A$2:$A$601,0)),"")</f>
        <v>46042</v>
      </c>
      <c r="G145" s="16" t="n">
        <f aca="false">IF(F145="","",D145-F145)</f>
        <v>34</v>
      </c>
      <c r="H145" s="21" t="n">
        <f aca="false">IF(F145="","",DATE(YEAR(D145),MONTH(D145),1))</f>
        <v>46054</v>
      </c>
    </row>
    <row r="146" customFormat="false" ht="15" hidden="false" customHeight="false" outlineLevel="0" collapsed="false">
      <c r="A146" s="16" t="str">
        <f aca="false">Cash_Receipts_AR!A143</f>
        <v>ARR70142</v>
      </c>
      <c r="B146" s="16" t="str">
        <f aca="false">Cash_Receipts_AR!C143</f>
        <v>C2029</v>
      </c>
      <c r="C146" s="16" t="str">
        <f aca="false">Cash_Receipts_AR!B143</f>
        <v>ARI60171</v>
      </c>
      <c r="D146" s="17" t="n">
        <f aca="false">Cash_Receipts_AR!D143</f>
        <v>45908</v>
      </c>
      <c r="E146" s="18" t="n">
        <f aca="false">Cash_Receipts_AR!E143</f>
        <v>9409.48</v>
      </c>
      <c r="F146" s="17" t="n">
        <f aca="false">IFERROR(INDEX(Customer_Invoices_AR!$C$2:$C$601,MATCH(C146,Customer_Invoices_AR!$A$2:$A$601,0)),"")</f>
        <v>45902</v>
      </c>
      <c r="G146" s="16" t="n">
        <f aca="false">IF(F146="","",D146-F146)</f>
        <v>6</v>
      </c>
      <c r="H146" s="21" t="n">
        <f aca="false">IF(F146="","",DATE(YEAR(D146),MONTH(D146),1))</f>
        <v>45901</v>
      </c>
    </row>
    <row r="147" customFormat="false" ht="15" hidden="false" customHeight="false" outlineLevel="0" collapsed="false">
      <c r="A147" s="16" t="str">
        <f aca="false">Cash_Receipts_AR!A144</f>
        <v>ARR70143</v>
      </c>
      <c r="B147" s="16" t="str">
        <f aca="false">Cash_Receipts_AR!C144</f>
        <v>C2003</v>
      </c>
      <c r="C147" s="16" t="str">
        <f aca="false">Cash_Receipts_AR!B144</f>
        <v>ARI60172</v>
      </c>
      <c r="D147" s="17" t="n">
        <f aca="false">Cash_Receipts_AR!D144</f>
        <v>45699</v>
      </c>
      <c r="E147" s="18" t="n">
        <f aca="false">Cash_Receipts_AR!E144</f>
        <v>937.8</v>
      </c>
      <c r="F147" s="17" t="n">
        <f aca="false">IFERROR(INDEX(Customer_Invoices_AR!$C$2:$C$601,MATCH(C147,Customer_Invoices_AR!$A$2:$A$601,0)),"")</f>
        <v>45660</v>
      </c>
      <c r="G147" s="16" t="n">
        <f aca="false">IF(F147="","",D147-F147)</f>
        <v>39</v>
      </c>
      <c r="H147" s="21" t="n">
        <f aca="false">IF(F147="","",DATE(YEAR(D147),MONTH(D147),1))</f>
        <v>45689</v>
      </c>
    </row>
    <row r="148" customFormat="false" ht="15" hidden="false" customHeight="false" outlineLevel="0" collapsed="false">
      <c r="A148" s="16" t="str">
        <f aca="false">Cash_Receipts_AR!A145</f>
        <v>ARR70144</v>
      </c>
      <c r="B148" s="16" t="str">
        <f aca="false">Cash_Receipts_AR!C145</f>
        <v>C2018</v>
      </c>
      <c r="C148" s="16" t="str">
        <f aca="false">Cash_Receipts_AR!B145</f>
        <v>ARI60173</v>
      </c>
      <c r="D148" s="17" t="n">
        <f aca="false">Cash_Receipts_AR!D145</f>
        <v>45720</v>
      </c>
      <c r="E148" s="18" t="n">
        <f aca="false">Cash_Receipts_AR!E145</f>
        <v>1637.03</v>
      </c>
      <c r="F148" s="17" t="n">
        <f aca="false">IFERROR(INDEX(Customer_Invoices_AR!$C$2:$C$601,MATCH(C148,Customer_Invoices_AR!$A$2:$A$601,0)),"")</f>
        <v>45701</v>
      </c>
      <c r="G148" s="16" t="n">
        <f aca="false">IF(F148="","",D148-F148)</f>
        <v>19</v>
      </c>
      <c r="H148" s="21" t="n">
        <f aca="false">IF(F148="","",DATE(YEAR(D148),MONTH(D148),1))</f>
        <v>45717</v>
      </c>
    </row>
    <row r="149" customFormat="false" ht="15" hidden="false" customHeight="false" outlineLevel="0" collapsed="false">
      <c r="A149" s="16" t="str">
        <f aca="false">Cash_Receipts_AR!A146</f>
        <v>ARR70145</v>
      </c>
      <c r="B149" s="16" t="str">
        <f aca="false">Cash_Receipts_AR!C146</f>
        <v>C2015</v>
      </c>
      <c r="C149" s="16" t="str">
        <f aca="false">Cash_Receipts_AR!B146</f>
        <v>ARI60174</v>
      </c>
      <c r="D149" s="17" t="n">
        <f aca="false">Cash_Receipts_AR!D146</f>
        <v>45807</v>
      </c>
      <c r="E149" s="18" t="n">
        <f aca="false">Cash_Receipts_AR!E146</f>
        <v>2021.6</v>
      </c>
      <c r="F149" s="17" t="n">
        <f aca="false">IFERROR(INDEX(Customer_Invoices_AR!$C$2:$C$601,MATCH(C149,Customer_Invoices_AR!$A$2:$A$601,0)),"")</f>
        <v>45797</v>
      </c>
      <c r="G149" s="16" t="n">
        <f aca="false">IF(F149="","",D149-F149)</f>
        <v>10</v>
      </c>
      <c r="H149" s="21" t="n">
        <f aca="false">IF(F149="","",DATE(YEAR(D149),MONTH(D149),1))</f>
        <v>45778</v>
      </c>
    </row>
    <row r="150" customFormat="false" ht="15" hidden="false" customHeight="false" outlineLevel="0" collapsed="false">
      <c r="A150" s="16" t="str">
        <f aca="false">Cash_Receipts_AR!A147</f>
        <v>ARR70146</v>
      </c>
      <c r="B150" s="16" t="str">
        <f aca="false">Cash_Receipts_AR!C147</f>
        <v>C2023</v>
      </c>
      <c r="C150" s="16" t="str">
        <f aca="false">Cash_Receipts_AR!B147</f>
        <v>ARI60175</v>
      </c>
      <c r="D150" s="17" t="n">
        <f aca="false">Cash_Receipts_AR!D147</f>
        <v>46138</v>
      </c>
      <c r="E150" s="18" t="n">
        <f aca="false">Cash_Receipts_AR!E147</f>
        <v>475.54</v>
      </c>
      <c r="F150" s="17" t="n">
        <f aca="false">IFERROR(INDEX(Customer_Invoices_AR!$C$2:$C$601,MATCH(C150,Customer_Invoices_AR!$A$2:$A$601,0)),"")</f>
        <v>46113</v>
      </c>
      <c r="G150" s="16" t="n">
        <f aca="false">IF(F150="","",D150-F150)</f>
        <v>25</v>
      </c>
      <c r="H150" s="21" t="n">
        <f aca="false">IF(F150="","",DATE(YEAR(D150),MONTH(D150),1))</f>
        <v>46113</v>
      </c>
    </row>
    <row r="151" customFormat="false" ht="15" hidden="false" customHeight="false" outlineLevel="0" collapsed="false">
      <c r="A151" s="16" t="str">
        <f aca="false">Cash_Receipts_AR!A148</f>
        <v>ARR70147</v>
      </c>
      <c r="B151" s="16" t="str">
        <f aca="false">Cash_Receipts_AR!C148</f>
        <v>C2021</v>
      </c>
      <c r="C151" s="16" t="str">
        <f aca="false">Cash_Receipts_AR!B148</f>
        <v>ARI60176</v>
      </c>
      <c r="D151" s="17" t="n">
        <f aca="false">Cash_Receipts_AR!D148</f>
        <v>45963</v>
      </c>
      <c r="E151" s="18" t="n">
        <f aca="false">Cash_Receipts_AR!E148</f>
        <v>3003.96</v>
      </c>
      <c r="F151" s="17" t="n">
        <f aca="false">IFERROR(INDEX(Customer_Invoices_AR!$C$2:$C$601,MATCH(C151,Customer_Invoices_AR!$A$2:$A$601,0)),"")</f>
        <v>45957</v>
      </c>
      <c r="G151" s="16" t="n">
        <f aca="false">IF(F151="","",D151-F151)</f>
        <v>6</v>
      </c>
      <c r="H151" s="21" t="n">
        <f aca="false">IF(F151="","",DATE(YEAR(D151),MONTH(D151),1))</f>
        <v>45962</v>
      </c>
    </row>
    <row r="152" customFormat="false" ht="15" hidden="false" customHeight="false" outlineLevel="0" collapsed="false">
      <c r="A152" s="16" t="str">
        <f aca="false">Cash_Receipts_AR!A149</f>
        <v>ARR70148</v>
      </c>
      <c r="B152" s="16" t="str">
        <f aca="false">Cash_Receipts_AR!C149</f>
        <v>C2028</v>
      </c>
      <c r="C152" s="16" t="str">
        <f aca="false">Cash_Receipts_AR!B149</f>
        <v>ARI60178</v>
      </c>
      <c r="D152" s="17" t="n">
        <f aca="false">Cash_Receipts_AR!D149</f>
        <v>45968</v>
      </c>
      <c r="E152" s="18" t="n">
        <f aca="false">Cash_Receipts_AR!E149</f>
        <v>2491.27</v>
      </c>
      <c r="F152" s="17" t="n">
        <f aca="false">IFERROR(INDEX(Customer_Invoices_AR!$C$2:$C$601,MATCH(C152,Customer_Invoices_AR!$A$2:$A$601,0)),"")</f>
        <v>45945</v>
      </c>
      <c r="G152" s="16" t="n">
        <f aca="false">IF(F152="","",D152-F152)</f>
        <v>23</v>
      </c>
      <c r="H152" s="21" t="n">
        <f aca="false">IF(F152="","",DATE(YEAR(D152),MONTH(D152),1))</f>
        <v>45962</v>
      </c>
    </row>
    <row r="153" customFormat="false" ht="15" hidden="false" customHeight="false" outlineLevel="0" collapsed="false">
      <c r="A153" s="16" t="str">
        <f aca="false">Cash_Receipts_AR!A150</f>
        <v>ARR70149</v>
      </c>
      <c r="B153" s="16" t="str">
        <f aca="false">Cash_Receipts_AR!C150</f>
        <v>C2016</v>
      </c>
      <c r="C153" s="16" t="str">
        <f aca="false">Cash_Receipts_AR!B150</f>
        <v>ARI60179</v>
      </c>
      <c r="D153" s="17" t="n">
        <f aca="false">Cash_Receipts_AR!D150</f>
        <v>45753</v>
      </c>
      <c r="E153" s="18" t="n">
        <f aca="false">Cash_Receipts_AR!E150</f>
        <v>1121.02</v>
      </c>
      <c r="F153" s="17" t="n">
        <f aca="false">IFERROR(INDEX(Customer_Invoices_AR!$C$2:$C$601,MATCH(C153,Customer_Invoices_AR!$A$2:$A$601,0)),"")</f>
        <v>45718</v>
      </c>
      <c r="G153" s="16" t="n">
        <f aca="false">IF(F153="","",D153-F153)</f>
        <v>35</v>
      </c>
      <c r="H153" s="21" t="n">
        <f aca="false">IF(F153="","",DATE(YEAR(D153),MONTH(D153),1))</f>
        <v>45748</v>
      </c>
    </row>
    <row r="154" customFormat="false" ht="15" hidden="false" customHeight="false" outlineLevel="0" collapsed="false">
      <c r="A154" s="16" t="str">
        <f aca="false">Cash_Receipts_AR!A151</f>
        <v>ARR70150</v>
      </c>
      <c r="B154" s="16" t="str">
        <f aca="false">Cash_Receipts_AR!C151</f>
        <v>C2018</v>
      </c>
      <c r="C154" s="16" t="str">
        <f aca="false">Cash_Receipts_AR!B151</f>
        <v>ARI60180</v>
      </c>
      <c r="D154" s="17" t="n">
        <f aca="false">Cash_Receipts_AR!D151</f>
        <v>45832</v>
      </c>
      <c r="E154" s="18" t="n">
        <f aca="false">Cash_Receipts_AR!E151</f>
        <v>781.09</v>
      </c>
      <c r="F154" s="17" t="n">
        <f aca="false">IFERROR(INDEX(Customer_Invoices_AR!$C$2:$C$601,MATCH(C154,Customer_Invoices_AR!$A$2:$A$601,0)),"")</f>
        <v>45815</v>
      </c>
      <c r="G154" s="16" t="n">
        <f aca="false">IF(F154="","",D154-F154)</f>
        <v>17</v>
      </c>
      <c r="H154" s="21" t="n">
        <f aca="false">IF(F154="","",DATE(YEAR(D154),MONTH(D154),1))</f>
        <v>45809</v>
      </c>
    </row>
    <row r="155" customFormat="false" ht="15" hidden="false" customHeight="false" outlineLevel="0" collapsed="false">
      <c r="A155" s="16" t="str">
        <f aca="false">Cash_Receipts_AR!A152</f>
        <v>ARR70151</v>
      </c>
      <c r="B155" s="16" t="str">
        <f aca="false">Cash_Receipts_AR!C152</f>
        <v>C2013</v>
      </c>
      <c r="C155" s="16" t="str">
        <f aca="false">Cash_Receipts_AR!B152</f>
        <v>ARI60181</v>
      </c>
      <c r="D155" s="17" t="n">
        <f aca="false">Cash_Receipts_AR!D152</f>
        <v>45835</v>
      </c>
      <c r="E155" s="18" t="n">
        <f aca="false">Cash_Receipts_AR!E152</f>
        <v>30870.59</v>
      </c>
      <c r="F155" s="17" t="n">
        <f aca="false">IFERROR(INDEX(Customer_Invoices_AR!$C$2:$C$601,MATCH(C155,Customer_Invoices_AR!$A$2:$A$601,0)),"")</f>
        <v>45822</v>
      </c>
      <c r="G155" s="16" t="n">
        <f aca="false">IF(F155="","",D155-F155)</f>
        <v>13</v>
      </c>
      <c r="H155" s="21" t="n">
        <f aca="false">IF(F155="","",DATE(YEAR(D155),MONTH(D155),1))</f>
        <v>45809</v>
      </c>
    </row>
    <row r="156" customFormat="false" ht="15" hidden="false" customHeight="false" outlineLevel="0" collapsed="false">
      <c r="A156" s="16" t="str">
        <f aca="false">Cash_Receipts_AR!A153</f>
        <v>ARR70152</v>
      </c>
      <c r="B156" s="16" t="str">
        <f aca="false">Cash_Receipts_AR!C153</f>
        <v>C2016</v>
      </c>
      <c r="C156" s="16" t="str">
        <f aca="false">Cash_Receipts_AR!B153</f>
        <v>ARI60182</v>
      </c>
      <c r="D156" s="17" t="n">
        <f aca="false">Cash_Receipts_AR!D153</f>
        <v>45686</v>
      </c>
      <c r="E156" s="18" t="n">
        <f aca="false">Cash_Receipts_AR!E153</f>
        <v>4442.76</v>
      </c>
      <c r="F156" s="17" t="n">
        <f aca="false">IFERROR(INDEX(Customer_Invoices_AR!$C$2:$C$601,MATCH(C156,Customer_Invoices_AR!$A$2:$A$601,0)),"")</f>
        <v>45684</v>
      </c>
      <c r="G156" s="16" t="n">
        <f aca="false">IF(F156="","",D156-F156)</f>
        <v>2</v>
      </c>
      <c r="H156" s="21" t="n">
        <f aca="false">IF(F156="","",DATE(YEAR(D156),MONTH(D156),1))</f>
        <v>45658</v>
      </c>
    </row>
    <row r="157" customFormat="false" ht="15" hidden="false" customHeight="false" outlineLevel="0" collapsed="false">
      <c r="A157" s="16" t="str">
        <f aca="false">Cash_Receipts_AR!A154</f>
        <v>ARR70153</v>
      </c>
      <c r="B157" s="16" t="str">
        <f aca="false">Cash_Receipts_AR!C154</f>
        <v>C2025</v>
      </c>
      <c r="C157" s="16" t="str">
        <f aca="false">Cash_Receipts_AR!B154</f>
        <v>ARI60185</v>
      </c>
      <c r="D157" s="17" t="n">
        <f aca="false">Cash_Receipts_AR!D154</f>
        <v>45938</v>
      </c>
      <c r="E157" s="18" t="n">
        <f aca="false">Cash_Receipts_AR!E154</f>
        <v>1813.34</v>
      </c>
      <c r="F157" s="17" t="n">
        <f aca="false">IFERROR(INDEX(Customer_Invoices_AR!$C$2:$C$601,MATCH(C157,Customer_Invoices_AR!$A$2:$A$601,0)),"")</f>
        <v>45907</v>
      </c>
      <c r="G157" s="16" t="n">
        <f aca="false">IF(F157="","",D157-F157)</f>
        <v>31</v>
      </c>
      <c r="H157" s="21" t="n">
        <f aca="false">IF(F157="","",DATE(YEAR(D157),MONTH(D157),1))</f>
        <v>45931</v>
      </c>
    </row>
    <row r="158" customFormat="false" ht="15" hidden="false" customHeight="false" outlineLevel="0" collapsed="false">
      <c r="A158" s="16" t="str">
        <f aca="false">Cash_Receipts_AR!A155</f>
        <v>ARR70154</v>
      </c>
      <c r="B158" s="16" t="str">
        <f aca="false">Cash_Receipts_AR!C155</f>
        <v>C2017</v>
      </c>
      <c r="C158" s="16" t="str">
        <f aca="false">Cash_Receipts_AR!B155</f>
        <v>ARI60186</v>
      </c>
      <c r="D158" s="17" t="n">
        <f aca="false">Cash_Receipts_AR!D155</f>
        <v>45755</v>
      </c>
      <c r="E158" s="18" t="n">
        <f aca="false">Cash_Receipts_AR!E155</f>
        <v>1671.7</v>
      </c>
      <c r="F158" s="17" t="n">
        <f aca="false">IFERROR(INDEX(Customer_Invoices_AR!$C$2:$C$601,MATCH(C158,Customer_Invoices_AR!$A$2:$A$601,0)),"")</f>
        <v>45718</v>
      </c>
      <c r="G158" s="16" t="n">
        <f aca="false">IF(F158="","",D158-F158)</f>
        <v>37</v>
      </c>
      <c r="H158" s="21" t="n">
        <f aca="false">IF(F158="","",DATE(YEAR(D158),MONTH(D158),1))</f>
        <v>45748</v>
      </c>
    </row>
    <row r="159" customFormat="false" ht="15" hidden="false" customHeight="false" outlineLevel="0" collapsed="false">
      <c r="A159" s="16" t="str">
        <f aca="false">Cash_Receipts_AR!A156</f>
        <v>ARR70155</v>
      </c>
      <c r="B159" s="16" t="str">
        <f aca="false">Cash_Receipts_AR!C156</f>
        <v>C2006</v>
      </c>
      <c r="C159" s="16" t="str">
        <f aca="false">Cash_Receipts_AR!B156</f>
        <v>ARI60187</v>
      </c>
      <c r="D159" s="17" t="n">
        <f aca="false">Cash_Receipts_AR!D156</f>
        <v>46157</v>
      </c>
      <c r="E159" s="18" t="n">
        <f aca="false">Cash_Receipts_AR!E156</f>
        <v>1617.75</v>
      </c>
      <c r="F159" s="17" t="n">
        <f aca="false">IFERROR(INDEX(Customer_Invoices_AR!$C$2:$C$601,MATCH(C159,Customer_Invoices_AR!$A$2:$A$601,0)),"")</f>
        <v>46151</v>
      </c>
      <c r="G159" s="16" t="n">
        <f aca="false">IF(F159="","",D159-F159)</f>
        <v>6</v>
      </c>
      <c r="H159" s="21" t="n">
        <f aca="false">IF(F159="","",DATE(YEAR(D159),MONTH(D159),1))</f>
        <v>46143</v>
      </c>
    </row>
    <row r="160" customFormat="false" ht="15" hidden="false" customHeight="false" outlineLevel="0" collapsed="false">
      <c r="A160" s="16" t="str">
        <f aca="false">Cash_Receipts_AR!A157</f>
        <v>ARR70156</v>
      </c>
      <c r="B160" s="16" t="str">
        <f aca="false">Cash_Receipts_AR!C157</f>
        <v>C2030</v>
      </c>
      <c r="C160" s="16" t="str">
        <f aca="false">Cash_Receipts_AR!B157</f>
        <v>ARI60188</v>
      </c>
      <c r="D160" s="17" t="n">
        <f aca="false">Cash_Receipts_AR!D157</f>
        <v>45998</v>
      </c>
      <c r="E160" s="18" t="n">
        <f aca="false">Cash_Receipts_AR!E157</f>
        <v>650.59</v>
      </c>
      <c r="F160" s="17" t="n">
        <f aca="false">IFERROR(INDEX(Customer_Invoices_AR!$C$2:$C$601,MATCH(C160,Customer_Invoices_AR!$A$2:$A$601,0)),"")</f>
        <v>45983</v>
      </c>
      <c r="G160" s="16" t="n">
        <f aca="false">IF(F160="","",D160-F160)</f>
        <v>15</v>
      </c>
      <c r="H160" s="21" t="n">
        <f aca="false">IF(F160="","",DATE(YEAR(D160),MONTH(D160),1))</f>
        <v>45992</v>
      </c>
    </row>
    <row r="161" customFormat="false" ht="15" hidden="false" customHeight="false" outlineLevel="0" collapsed="false">
      <c r="A161" s="16" t="str">
        <f aca="false">Cash_Receipts_AR!A158</f>
        <v>ARR70157</v>
      </c>
      <c r="B161" s="16" t="str">
        <f aca="false">Cash_Receipts_AR!C158</f>
        <v>C2030</v>
      </c>
      <c r="C161" s="16" t="str">
        <f aca="false">Cash_Receipts_AR!B158</f>
        <v>ARI60189</v>
      </c>
      <c r="D161" s="17" t="n">
        <f aca="false">Cash_Receipts_AR!D158</f>
        <v>45683</v>
      </c>
      <c r="E161" s="18" t="n">
        <f aca="false">Cash_Receipts_AR!E158</f>
        <v>14441.58</v>
      </c>
      <c r="F161" s="17" t="n">
        <f aca="false">IFERROR(INDEX(Customer_Invoices_AR!$C$2:$C$601,MATCH(C161,Customer_Invoices_AR!$A$2:$A$601,0)),"")</f>
        <v>45666</v>
      </c>
      <c r="G161" s="16" t="n">
        <f aca="false">IF(F161="","",D161-F161)</f>
        <v>17</v>
      </c>
      <c r="H161" s="21" t="n">
        <f aca="false">IF(F161="","",DATE(YEAR(D161),MONTH(D161),1))</f>
        <v>45658</v>
      </c>
    </row>
    <row r="162" customFormat="false" ht="15" hidden="false" customHeight="false" outlineLevel="0" collapsed="false">
      <c r="A162" s="16" t="str">
        <f aca="false">Cash_Receipts_AR!A159</f>
        <v>ARR70158</v>
      </c>
      <c r="B162" s="16" t="str">
        <f aca="false">Cash_Receipts_AR!C159</f>
        <v>C2005</v>
      </c>
      <c r="C162" s="16" t="str">
        <f aca="false">Cash_Receipts_AR!B159</f>
        <v>ARI60190</v>
      </c>
      <c r="D162" s="17" t="n">
        <f aca="false">Cash_Receipts_AR!D159</f>
        <v>45978</v>
      </c>
      <c r="E162" s="18" t="n">
        <f aca="false">Cash_Receipts_AR!E159</f>
        <v>8138.88</v>
      </c>
      <c r="F162" s="17" t="n">
        <f aca="false">IFERROR(INDEX(Customer_Invoices_AR!$C$2:$C$601,MATCH(C162,Customer_Invoices_AR!$A$2:$A$601,0)),"")</f>
        <v>45938</v>
      </c>
      <c r="G162" s="16" t="n">
        <f aca="false">IF(F162="","",D162-F162)</f>
        <v>40</v>
      </c>
      <c r="H162" s="21" t="n">
        <f aca="false">IF(F162="","",DATE(YEAR(D162),MONTH(D162),1))</f>
        <v>45962</v>
      </c>
    </row>
    <row r="163" customFormat="false" ht="15" hidden="false" customHeight="false" outlineLevel="0" collapsed="false">
      <c r="A163" s="16" t="str">
        <f aca="false">Cash_Receipts_AR!A160</f>
        <v>ARR70159</v>
      </c>
      <c r="B163" s="16" t="str">
        <f aca="false">Cash_Receipts_AR!C160</f>
        <v>C2028</v>
      </c>
      <c r="C163" s="16" t="str">
        <f aca="false">Cash_Receipts_AR!B160</f>
        <v>ARI60191</v>
      </c>
      <c r="D163" s="17" t="n">
        <f aca="false">Cash_Receipts_AR!D160</f>
        <v>45814</v>
      </c>
      <c r="E163" s="18" t="n">
        <f aca="false">Cash_Receipts_AR!E160</f>
        <v>5632.06</v>
      </c>
      <c r="F163" s="17" t="n">
        <f aca="false">IFERROR(INDEX(Customer_Invoices_AR!$C$2:$C$601,MATCH(C163,Customer_Invoices_AR!$A$2:$A$601,0)),"")</f>
        <v>45789</v>
      </c>
      <c r="G163" s="16" t="n">
        <f aca="false">IF(F163="","",D163-F163)</f>
        <v>25</v>
      </c>
      <c r="H163" s="21" t="n">
        <f aca="false">IF(F163="","",DATE(YEAR(D163),MONTH(D163),1))</f>
        <v>45809</v>
      </c>
    </row>
    <row r="164" customFormat="false" ht="15" hidden="false" customHeight="false" outlineLevel="0" collapsed="false">
      <c r="A164" s="16" t="str">
        <f aca="false">Cash_Receipts_AR!A161</f>
        <v>ARR70160</v>
      </c>
      <c r="B164" s="16" t="str">
        <f aca="false">Cash_Receipts_AR!C161</f>
        <v>C2012</v>
      </c>
      <c r="C164" s="16" t="str">
        <f aca="false">Cash_Receipts_AR!B161</f>
        <v>ARI60192</v>
      </c>
      <c r="D164" s="17" t="n">
        <f aca="false">Cash_Receipts_AR!D161</f>
        <v>45772</v>
      </c>
      <c r="E164" s="18" t="n">
        <f aca="false">Cash_Receipts_AR!E161</f>
        <v>2360.98</v>
      </c>
      <c r="F164" s="17" t="n">
        <f aca="false">IFERROR(INDEX(Customer_Invoices_AR!$C$2:$C$601,MATCH(C164,Customer_Invoices_AR!$A$2:$A$601,0)),"")</f>
        <v>45736</v>
      </c>
      <c r="G164" s="16" t="n">
        <f aca="false">IF(F164="","",D164-F164)</f>
        <v>36</v>
      </c>
      <c r="H164" s="21" t="n">
        <f aca="false">IF(F164="","",DATE(YEAR(D164),MONTH(D164),1))</f>
        <v>45748</v>
      </c>
    </row>
    <row r="165" customFormat="false" ht="15" hidden="false" customHeight="false" outlineLevel="0" collapsed="false">
      <c r="A165" s="16" t="str">
        <f aca="false">Cash_Receipts_AR!A162</f>
        <v>ARR70161</v>
      </c>
      <c r="B165" s="16" t="str">
        <f aca="false">Cash_Receipts_AR!C162</f>
        <v>C2004</v>
      </c>
      <c r="C165" s="16" t="str">
        <f aca="false">Cash_Receipts_AR!B162</f>
        <v>ARI60193</v>
      </c>
      <c r="D165" s="17" t="n">
        <f aca="false">Cash_Receipts_AR!D162</f>
        <v>45892</v>
      </c>
      <c r="E165" s="18" t="n">
        <f aca="false">Cash_Receipts_AR!E162</f>
        <v>1675.46</v>
      </c>
      <c r="F165" s="17" t="n">
        <f aca="false">IFERROR(INDEX(Customer_Invoices_AR!$C$2:$C$601,MATCH(C165,Customer_Invoices_AR!$A$2:$A$601,0)),"")</f>
        <v>45891</v>
      </c>
      <c r="G165" s="16" t="n">
        <f aca="false">IF(F165="","",D165-F165)</f>
        <v>1</v>
      </c>
      <c r="H165" s="21" t="n">
        <f aca="false">IF(F165="","",DATE(YEAR(D165),MONTH(D165),1))</f>
        <v>45870</v>
      </c>
    </row>
    <row r="166" customFormat="false" ht="15" hidden="false" customHeight="false" outlineLevel="0" collapsed="false">
      <c r="A166" s="16" t="str">
        <f aca="false">Cash_Receipts_AR!A163</f>
        <v>ARR70162</v>
      </c>
      <c r="B166" s="16" t="str">
        <f aca="false">Cash_Receipts_AR!C163</f>
        <v>C2021</v>
      </c>
      <c r="C166" s="16" t="str">
        <f aca="false">Cash_Receipts_AR!B163</f>
        <v>ARI60194</v>
      </c>
      <c r="D166" s="17" t="n">
        <f aca="false">Cash_Receipts_AR!D163</f>
        <v>46020</v>
      </c>
      <c r="E166" s="18" t="n">
        <f aca="false">Cash_Receipts_AR!E163</f>
        <v>4788.54</v>
      </c>
      <c r="F166" s="17" t="n">
        <f aca="false">IFERROR(INDEX(Customer_Invoices_AR!$C$2:$C$601,MATCH(C166,Customer_Invoices_AR!$A$2:$A$601,0)),"")</f>
        <v>45993</v>
      </c>
      <c r="G166" s="16" t="n">
        <f aca="false">IF(F166="","",D166-F166)</f>
        <v>27</v>
      </c>
      <c r="H166" s="21" t="n">
        <f aca="false">IF(F166="","",DATE(YEAR(D166),MONTH(D166),1))</f>
        <v>45992</v>
      </c>
    </row>
    <row r="167" customFormat="false" ht="15" hidden="false" customHeight="false" outlineLevel="0" collapsed="false">
      <c r="A167" s="16" t="str">
        <f aca="false">Cash_Receipts_AR!A164</f>
        <v>ARR70163</v>
      </c>
      <c r="B167" s="16" t="str">
        <f aca="false">Cash_Receipts_AR!C164</f>
        <v>C2027</v>
      </c>
      <c r="C167" s="16" t="str">
        <f aca="false">Cash_Receipts_AR!B164</f>
        <v>ARI60195</v>
      </c>
      <c r="D167" s="17" t="n">
        <f aca="false">Cash_Receipts_AR!D164</f>
        <v>45810</v>
      </c>
      <c r="E167" s="18" t="n">
        <f aca="false">Cash_Receipts_AR!E164</f>
        <v>1283.11</v>
      </c>
      <c r="F167" s="17" t="n">
        <f aca="false">IFERROR(INDEX(Customer_Invoices_AR!$C$2:$C$601,MATCH(C167,Customer_Invoices_AR!$A$2:$A$601,0)),"")</f>
        <v>45789</v>
      </c>
      <c r="G167" s="16" t="n">
        <f aca="false">IF(F167="","",D167-F167)</f>
        <v>21</v>
      </c>
      <c r="H167" s="21" t="n">
        <f aca="false">IF(F167="","",DATE(YEAR(D167),MONTH(D167),1))</f>
        <v>45809</v>
      </c>
    </row>
    <row r="168" customFormat="false" ht="15" hidden="false" customHeight="false" outlineLevel="0" collapsed="false">
      <c r="A168" s="16" t="str">
        <f aca="false">Cash_Receipts_AR!A165</f>
        <v>ARR70164</v>
      </c>
      <c r="B168" s="16" t="str">
        <f aca="false">Cash_Receipts_AR!C165</f>
        <v>C2008</v>
      </c>
      <c r="C168" s="16" t="str">
        <f aca="false">Cash_Receipts_AR!B165</f>
        <v>ARI60196</v>
      </c>
      <c r="D168" s="17" t="n">
        <f aca="false">Cash_Receipts_AR!D165</f>
        <v>45900</v>
      </c>
      <c r="E168" s="18" t="n">
        <f aca="false">Cash_Receipts_AR!E165</f>
        <v>5545.72</v>
      </c>
      <c r="F168" s="17" t="n">
        <f aca="false">IFERROR(INDEX(Customer_Invoices_AR!$C$2:$C$601,MATCH(C168,Customer_Invoices_AR!$A$2:$A$601,0)),"")</f>
        <v>45885</v>
      </c>
      <c r="G168" s="16" t="n">
        <f aca="false">IF(F168="","",D168-F168)</f>
        <v>15</v>
      </c>
      <c r="H168" s="21" t="n">
        <f aca="false">IF(F168="","",DATE(YEAR(D168),MONTH(D168),1))</f>
        <v>45870</v>
      </c>
    </row>
    <row r="169" customFormat="false" ht="15" hidden="false" customHeight="false" outlineLevel="0" collapsed="false">
      <c r="A169" s="16" t="str">
        <f aca="false">Cash_Receipts_AR!A166</f>
        <v>ARR70165</v>
      </c>
      <c r="B169" s="16" t="str">
        <f aca="false">Cash_Receipts_AR!C166</f>
        <v>C2024</v>
      </c>
      <c r="C169" s="16" t="str">
        <f aca="false">Cash_Receipts_AR!B166</f>
        <v>ARI60197</v>
      </c>
      <c r="D169" s="17" t="n">
        <f aca="false">Cash_Receipts_AR!D166</f>
        <v>46035</v>
      </c>
      <c r="E169" s="18" t="n">
        <f aca="false">Cash_Receipts_AR!E166</f>
        <v>2989.16</v>
      </c>
      <c r="F169" s="17" t="n">
        <f aca="false">IFERROR(INDEX(Customer_Invoices_AR!$C$2:$C$601,MATCH(C169,Customer_Invoices_AR!$A$2:$A$601,0)),"")</f>
        <v>46020</v>
      </c>
      <c r="G169" s="16" t="n">
        <f aca="false">IF(F169="","",D169-F169)</f>
        <v>15</v>
      </c>
      <c r="H169" s="21" t="n">
        <f aca="false">IF(F169="","",DATE(YEAR(D169),MONTH(D169),1))</f>
        <v>46023</v>
      </c>
    </row>
    <row r="170" customFormat="false" ht="15" hidden="false" customHeight="false" outlineLevel="0" collapsed="false">
      <c r="A170" s="16" t="str">
        <f aca="false">Cash_Receipts_AR!A167</f>
        <v>ARR70166</v>
      </c>
      <c r="B170" s="16" t="str">
        <f aca="false">Cash_Receipts_AR!C167</f>
        <v>C2024</v>
      </c>
      <c r="C170" s="16" t="str">
        <f aca="false">Cash_Receipts_AR!B167</f>
        <v>ARI60198</v>
      </c>
      <c r="D170" s="17" t="n">
        <f aca="false">Cash_Receipts_AR!D167</f>
        <v>45727</v>
      </c>
      <c r="E170" s="18" t="n">
        <f aca="false">Cash_Receipts_AR!E167</f>
        <v>3613.89</v>
      </c>
      <c r="F170" s="17" t="n">
        <f aca="false">IFERROR(INDEX(Customer_Invoices_AR!$C$2:$C$601,MATCH(C170,Customer_Invoices_AR!$A$2:$A$601,0)),"")</f>
        <v>45704</v>
      </c>
      <c r="G170" s="16" t="n">
        <f aca="false">IF(F170="","",D170-F170)</f>
        <v>23</v>
      </c>
      <c r="H170" s="21" t="n">
        <f aca="false">IF(F170="","",DATE(YEAR(D170),MONTH(D170),1))</f>
        <v>45717</v>
      </c>
    </row>
    <row r="171" customFormat="false" ht="15" hidden="false" customHeight="false" outlineLevel="0" collapsed="false">
      <c r="A171" s="16" t="str">
        <f aca="false">Cash_Receipts_AR!A168</f>
        <v>ARR70167</v>
      </c>
      <c r="B171" s="16" t="str">
        <f aca="false">Cash_Receipts_AR!C168</f>
        <v>C2006</v>
      </c>
      <c r="C171" s="16" t="str">
        <f aca="false">Cash_Receipts_AR!B168</f>
        <v>ARI60199</v>
      </c>
      <c r="D171" s="17" t="n">
        <f aca="false">Cash_Receipts_AR!D168</f>
        <v>46200</v>
      </c>
      <c r="E171" s="18" t="n">
        <f aca="false">Cash_Receipts_AR!E168</f>
        <v>8770.73</v>
      </c>
      <c r="F171" s="17" t="n">
        <f aca="false">IFERROR(INDEX(Customer_Invoices_AR!$C$2:$C$601,MATCH(C171,Customer_Invoices_AR!$A$2:$A$601,0)),"")</f>
        <v>46189</v>
      </c>
      <c r="G171" s="16" t="n">
        <f aca="false">IF(F171="","",D171-F171)</f>
        <v>11</v>
      </c>
      <c r="H171" s="21" t="n">
        <f aca="false">IF(F171="","",DATE(YEAR(D171),MONTH(D171),1))</f>
        <v>46174</v>
      </c>
    </row>
    <row r="172" customFormat="false" ht="15" hidden="false" customHeight="false" outlineLevel="0" collapsed="false">
      <c r="A172" s="16" t="str">
        <f aca="false">Cash_Receipts_AR!A169</f>
        <v>ARR70168</v>
      </c>
      <c r="B172" s="16" t="str">
        <f aca="false">Cash_Receipts_AR!C169</f>
        <v>C2024</v>
      </c>
      <c r="C172" s="16" t="str">
        <f aca="false">Cash_Receipts_AR!B169</f>
        <v>ARI60201</v>
      </c>
      <c r="D172" s="17" t="n">
        <f aca="false">Cash_Receipts_AR!D169</f>
        <v>45953</v>
      </c>
      <c r="E172" s="18" t="n">
        <f aca="false">Cash_Receipts_AR!E169</f>
        <v>1860.95</v>
      </c>
      <c r="F172" s="17" t="n">
        <f aca="false">IFERROR(INDEX(Customer_Invoices_AR!$C$2:$C$601,MATCH(C172,Customer_Invoices_AR!$A$2:$A$601,0)),"")</f>
        <v>45944</v>
      </c>
      <c r="G172" s="16" t="n">
        <f aca="false">IF(F172="","",D172-F172)</f>
        <v>9</v>
      </c>
      <c r="H172" s="21" t="n">
        <f aca="false">IF(F172="","",DATE(YEAR(D172),MONTH(D172),1))</f>
        <v>45931</v>
      </c>
    </row>
    <row r="173" customFormat="false" ht="15" hidden="false" customHeight="false" outlineLevel="0" collapsed="false">
      <c r="A173" s="16" t="str">
        <f aca="false">Cash_Receipts_AR!A170</f>
        <v>ARR70169</v>
      </c>
      <c r="B173" s="16" t="str">
        <f aca="false">Cash_Receipts_AR!C170</f>
        <v>C2012</v>
      </c>
      <c r="C173" s="16" t="str">
        <f aca="false">Cash_Receipts_AR!B170</f>
        <v>ARI60202</v>
      </c>
      <c r="D173" s="17" t="n">
        <f aca="false">Cash_Receipts_AR!D170</f>
        <v>45935</v>
      </c>
      <c r="E173" s="18" t="n">
        <f aca="false">Cash_Receipts_AR!E170</f>
        <v>9808.37</v>
      </c>
      <c r="F173" s="17" t="n">
        <f aca="false">IFERROR(INDEX(Customer_Invoices_AR!$C$2:$C$601,MATCH(C173,Customer_Invoices_AR!$A$2:$A$601,0)),"")</f>
        <v>45934</v>
      </c>
      <c r="G173" s="16" t="n">
        <f aca="false">IF(F173="","",D173-F173)</f>
        <v>1</v>
      </c>
      <c r="H173" s="21" t="n">
        <f aca="false">IF(F173="","",DATE(YEAR(D173),MONTH(D173),1))</f>
        <v>45931</v>
      </c>
    </row>
    <row r="174" customFormat="false" ht="15" hidden="false" customHeight="false" outlineLevel="0" collapsed="false">
      <c r="A174" s="16" t="str">
        <f aca="false">Cash_Receipts_AR!A171</f>
        <v>ARR70170</v>
      </c>
      <c r="B174" s="16" t="str">
        <f aca="false">Cash_Receipts_AR!C171</f>
        <v>C2011</v>
      </c>
      <c r="C174" s="16" t="str">
        <f aca="false">Cash_Receipts_AR!B171</f>
        <v>ARI60204</v>
      </c>
      <c r="D174" s="17" t="n">
        <f aca="false">Cash_Receipts_AR!D171</f>
        <v>45965</v>
      </c>
      <c r="E174" s="18" t="n">
        <f aca="false">Cash_Receipts_AR!E171</f>
        <v>1305.87</v>
      </c>
      <c r="F174" s="17" t="n">
        <f aca="false">IFERROR(INDEX(Customer_Invoices_AR!$C$2:$C$601,MATCH(C174,Customer_Invoices_AR!$A$2:$A$601,0)),"")</f>
        <v>45960</v>
      </c>
      <c r="G174" s="16" t="n">
        <f aca="false">IF(F174="","",D174-F174)</f>
        <v>5</v>
      </c>
      <c r="H174" s="21" t="n">
        <f aca="false">IF(F174="","",DATE(YEAR(D174),MONTH(D174),1))</f>
        <v>45962</v>
      </c>
    </row>
    <row r="175" customFormat="false" ht="15" hidden="false" customHeight="false" outlineLevel="0" collapsed="false">
      <c r="A175" s="16" t="str">
        <f aca="false">Cash_Receipts_AR!A172</f>
        <v>ARR70171</v>
      </c>
      <c r="B175" s="16" t="str">
        <f aca="false">Cash_Receipts_AR!C172</f>
        <v>C2001</v>
      </c>
      <c r="C175" s="16" t="str">
        <f aca="false">Cash_Receipts_AR!B172</f>
        <v>ARI60205</v>
      </c>
      <c r="D175" s="17" t="n">
        <f aca="false">Cash_Receipts_AR!D172</f>
        <v>45905</v>
      </c>
      <c r="E175" s="18" t="n">
        <f aca="false">Cash_Receipts_AR!E172</f>
        <v>5919.46</v>
      </c>
      <c r="F175" s="17" t="n">
        <f aca="false">IFERROR(INDEX(Customer_Invoices_AR!$C$2:$C$601,MATCH(C175,Customer_Invoices_AR!$A$2:$A$601,0)),"")</f>
        <v>45870</v>
      </c>
      <c r="G175" s="16" t="n">
        <f aca="false">IF(F175="","",D175-F175)</f>
        <v>35</v>
      </c>
      <c r="H175" s="21" t="n">
        <f aca="false">IF(F175="","",DATE(YEAR(D175),MONTH(D175),1))</f>
        <v>45901</v>
      </c>
    </row>
    <row r="176" customFormat="false" ht="15" hidden="false" customHeight="false" outlineLevel="0" collapsed="false">
      <c r="A176" s="16" t="str">
        <f aca="false">Cash_Receipts_AR!A173</f>
        <v>ARR70172</v>
      </c>
      <c r="B176" s="16" t="str">
        <f aca="false">Cash_Receipts_AR!C173</f>
        <v>C2011</v>
      </c>
      <c r="C176" s="16" t="str">
        <f aca="false">Cash_Receipts_AR!B173</f>
        <v>ARI60206</v>
      </c>
      <c r="D176" s="17" t="n">
        <f aca="false">Cash_Receipts_AR!D173</f>
        <v>45948</v>
      </c>
      <c r="E176" s="18" t="n">
        <f aca="false">Cash_Receipts_AR!E173</f>
        <v>318.17</v>
      </c>
      <c r="F176" s="17" t="n">
        <f aca="false">IFERROR(INDEX(Customer_Invoices_AR!$C$2:$C$601,MATCH(C176,Customer_Invoices_AR!$A$2:$A$601,0)),"")</f>
        <v>45914</v>
      </c>
      <c r="G176" s="16" t="n">
        <f aca="false">IF(F176="","",D176-F176)</f>
        <v>34</v>
      </c>
      <c r="H176" s="21" t="n">
        <f aca="false">IF(F176="","",DATE(YEAR(D176),MONTH(D176),1))</f>
        <v>45931</v>
      </c>
    </row>
    <row r="177" customFormat="false" ht="15" hidden="false" customHeight="false" outlineLevel="0" collapsed="false">
      <c r="A177" s="16" t="str">
        <f aca="false">Cash_Receipts_AR!A174</f>
        <v>ARR70173</v>
      </c>
      <c r="B177" s="16" t="str">
        <f aca="false">Cash_Receipts_AR!C174</f>
        <v>C2017</v>
      </c>
      <c r="C177" s="16" t="str">
        <f aca="false">Cash_Receipts_AR!B174</f>
        <v>ARI60207</v>
      </c>
      <c r="D177" s="17" t="n">
        <f aca="false">Cash_Receipts_AR!D174</f>
        <v>46007</v>
      </c>
      <c r="E177" s="18" t="n">
        <f aca="false">Cash_Receipts_AR!E174</f>
        <v>4186.99</v>
      </c>
      <c r="F177" s="17" t="n">
        <f aca="false">IFERROR(INDEX(Customer_Invoices_AR!$C$2:$C$601,MATCH(C177,Customer_Invoices_AR!$A$2:$A$601,0)),"")</f>
        <v>46004</v>
      </c>
      <c r="G177" s="16" t="n">
        <f aca="false">IF(F177="","",D177-F177)</f>
        <v>3</v>
      </c>
      <c r="H177" s="21" t="n">
        <f aca="false">IF(F177="","",DATE(YEAR(D177),MONTH(D177),1))</f>
        <v>45992</v>
      </c>
    </row>
    <row r="178" customFormat="false" ht="15" hidden="false" customHeight="false" outlineLevel="0" collapsed="false">
      <c r="A178" s="16" t="str">
        <f aca="false">Cash_Receipts_AR!A175</f>
        <v>ARR70174</v>
      </c>
      <c r="B178" s="16" t="str">
        <f aca="false">Cash_Receipts_AR!C175</f>
        <v>C2024</v>
      </c>
      <c r="C178" s="16" t="str">
        <f aca="false">Cash_Receipts_AR!B175</f>
        <v>ARI60208</v>
      </c>
      <c r="D178" s="17" t="n">
        <f aca="false">Cash_Receipts_AR!D175</f>
        <v>46193</v>
      </c>
      <c r="E178" s="18" t="n">
        <f aca="false">Cash_Receipts_AR!E175</f>
        <v>753.14</v>
      </c>
      <c r="F178" s="17" t="n">
        <f aca="false">IFERROR(INDEX(Customer_Invoices_AR!$C$2:$C$601,MATCH(C178,Customer_Invoices_AR!$A$2:$A$601,0)),"")</f>
        <v>46192</v>
      </c>
      <c r="G178" s="16" t="n">
        <f aca="false">IF(F178="","",D178-F178)</f>
        <v>1</v>
      </c>
      <c r="H178" s="21" t="n">
        <f aca="false">IF(F178="","",DATE(YEAR(D178),MONTH(D178),1))</f>
        <v>46174</v>
      </c>
    </row>
    <row r="179" customFormat="false" ht="15" hidden="false" customHeight="false" outlineLevel="0" collapsed="false">
      <c r="A179" s="16" t="str">
        <f aca="false">Cash_Receipts_AR!A176</f>
        <v>ARR70175</v>
      </c>
      <c r="B179" s="16" t="str">
        <f aca="false">Cash_Receipts_AR!C176</f>
        <v>C2019</v>
      </c>
      <c r="C179" s="16" t="str">
        <f aca="false">Cash_Receipts_AR!B176</f>
        <v>ARI60210</v>
      </c>
      <c r="D179" s="17" t="n">
        <f aca="false">Cash_Receipts_AR!D176</f>
        <v>45685</v>
      </c>
      <c r="E179" s="18" t="n">
        <f aca="false">Cash_Receipts_AR!E176</f>
        <v>6725.63</v>
      </c>
      <c r="F179" s="17" t="n">
        <f aca="false">IFERROR(INDEX(Customer_Invoices_AR!$C$2:$C$601,MATCH(C179,Customer_Invoices_AR!$A$2:$A$601,0)),"")</f>
        <v>45666</v>
      </c>
      <c r="G179" s="16" t="n">
        <f aca="false">IF(F179="","",D179-F179)</f>
        <v>19</v>
      </c>
      <c r="H179" s="21" t="n">
        <f aca="false">IF(F179="","",DATE(YEAR(D179),MONTH(D179),1))</f>
        <v>45658</v>
      </c>
    </row>
    <row r="180" customFormat="false" ht="15" hidden="false" customHeight="false" outlineLevel="0" collapsed="false">
      <c r="A180" s="16" t="str">
        <f aca="false">Cash_Receipts_AR!A177</f>
        <v>ARR70176</v>
      </c>
      <c r="B180" s="16" t="str">
        <f aca="false">Cash_Receipts_AR!C177</f>
        <v>C2029</v>
      </c>
      <c r="C180" s="16" t="str">
        <f aca="false">Cash_Receipts_AR!B177</f>
        <v>ARI60211</v>
      </c>
      <c r="D180" s="17" t="n">
        <f aca="false">Cash_Receipts_AR!D177</f>
        <v>46127</v>
      </c>
      <c r="E180" s="18" t="n">
        <f aca="false">Cash_Receipts_AR!E177</f>
        <v>576.63</v>
      </c>
      <c r="F180" s="17" t="n">
        <f aca="false">IFERROR(INDEX(Customer_Invoices_AR!$C$2:$C$601,MATCH(C180,Customer_Invoices_AR!$A$2:$A$601,0)),"")</f>
        <v>46087</v>
      </c>
      <c r="G180" s="16" t="n">
        <f aca="false">IF(F180="","",D180-F180)</f>
        <v>40</v>
      </c>
      <c r="H180" s="21" t="n">
        <f aca="false">IF(F180="","",DATE(YEAR(D180),MONTH(D180),1))</f>
        <v>46113</v>
      </c>
    </row>
    <row r="181" customFormat="false" ht="15" hidden="false" customHeight="false" outlineLevel="0" collapsed="false">
      <c r="A181" s="16" t="str">
        <f aca="false">Cash_Receipts_AR!A178</f>
        <v>ARR70177</v>
      </c>
      <c r="B181" s="16" t="str">
        <f aca="false">Cash_Receipts_AR!C178</f>
        <v>C2005</v>
      </c>
      <c r="C181" s="16" t="str">
        <f aca="false">Cash_Receipts_AR!B178</f>
        <v>ARI60212</v>
      </c>
      <c r="D181" s="17" t="n">
        <f aca="false">Cash_Receipts_AR!D178</f>
        <v>45862</v>
      </c>
      <c r="E181" s="18" t="n">
        <f aca="false">Cash_Receipts_AR!E178</f>
        <v>410.31</v>
      </c>
      <c r="F181" s="17" t="n">
        <f aca="false">IFERROR(INDEX(Customer_Invoices_AR!$C$2:$C$601,MATCH(C181,Customer_Invoices_AR!$A$2:$A$601,0)),"")</f>
        <v>45845</v>
      </c>
      <c r="G181" s="16" t="n">
        <f aca="false">IF(F181="","",D181-F181)</f>
        <v>17</v>
      </c>
      <c r="H181" s="21" t="n">
        <f aca="false">IF(F181="","",DATE(YEAR(D181),MONTH(D181),1))</f>
        <v>45839</v>
      </c>
    </row>
    <row r="182" customFormat="false" ht="15" hidden="false" customHeight="false" outlineLevel="0" collapsed="false">
      <c r="A182" s="16" t="str">
        <f aca="false">Cash_Receipts_AR!A179</f>
        <v>ARR70178</v>
      </c>
      <c r="B182" s="16" t="str">
        <f aca="false">Cash_Receipts_AR!C179</f>
        <v>C2020</v>
      </c>
      <c r="C182" s="16" t="str">
        <f aca="false">Cash_Receipts_AR!B179</f>
        <v>ARI60213</v>
      </c>
      <c r="D182" s="17" t="n">
        <f aca="false">Cash_Receipts_AR!D179</f>
        <v>46097</v>
      </c>
      <c r="E182" s="18" t="n">
        <f aca="false">Cash_Receipts_AR!E179</f>
        <v>671.13</v>
      </c>
      <c r="F182" s="17" t="n">
        <f aca="false">IFERROR(INDEX(Customer_Invoices_AR!$C$2:$C$601,MATCH(C182,Customer_Invoices_AR!$A$2:$A$601,0)),"")</f>
        <v>46057</v>
      </c>
      <c r="G182" s="16" t="n">
        <f aca="false">IF(F182="","",D182-F182)</f>
        <v>40</v>
      </c>
      <c r="H182" s="21" t="n">
        <f aca="false">IF(F182="","",DATE(YEAR(D182),MONTH(D182),1))</f>
        <v>46082</v>
      </c>
    </row>
    <row r="183" customFormat="false" ht="15" hidden="false" customHeight="false" outlineLevel="0" collapsed="false">
      <c r="A183" s="16" t="str">
        <f aca="false">Cash_Receipts_AR!A180</f>
        <v>ARR70179</v>
      </c>
      <c r="B183" s="16" t="str">
        <f aca="false">Cash_Receipts_AR!C180</f>
        <v>C2022</v>
      </c>
      <c r="C183" s="16" t="str">
        <f aca="false">Cash_Receipts_AR!B180</f>
        <v>ARI60214</v>
      </c>
      <c r="D183" s="17" t="n">
        <f aca="false">Cash_Receipts_AR!D180</f>
        <v>46008</v>
      </c>
      <c r="E183" s="18" t="n">
        <f aca="false">Cash_Receipts_AR!E180</f>
        <v>882.81</v>
      </c>
      <c r="F183" s="17" t="n">
        <f aca="false">IFERROR(INDEX(Customer_Invoices_AR!$C$2:$C$601,MATCH(C183,Customer_Invoices_AR!$A$2:$A$601,0)),"")</f>
        <v>46000</v>
      </c>
      <c r="G183" s="16" t="n">
        <f aca="false">IF(F183="","",D183-F183)</f>
        <v>8</v>
      </c>
      <c r="H183" s="21" t="n">
        <f aca="false">IF(F183="","",DATE(YEAR(D183),MONTH(D183),1))</f>
        <v>45992</v>
      </c>
    </row>
    <row r="184" customFormat="false" ht="15" hidden="false" customHeight="false" outlineLevel="0" collapsed="false">
      <c r="A184" s="16" t="str">
        <f aca="false">Cash_Receipts_AR!A181</f>
        <v>ARR70180</v>
      </c>
      <c r="B184" s="16" t="str">
        <f aca="false">Cash_Receipts_AR!C181</f>
        <v>C2012</v>
      </c>
      <c r="C184" s="16" t="str">
        <f aca="false">Cash_Receipts_AR!B181</f>
        <v>ARI60215</v>
      </c>
      <c r="D184" s="17" t="n">
        <f aca="false">Cash_Receipts_AR!D181</f>
        <v>46085</v>
      </c>
      <c r="E184" s="18" t="n">
        <f aca="false">Cash_Receipts_AR!E181</f>
        <v>6647.76</v>
      </c>
      <c r="F184" s="17" t="n">
        <f aca="false">IFERROR(INDEX(Customer_Invoices_AR!$C$2:$C$601,MATCH(C184,Customer_Invoices_AR!$A$2:$A$601,0)),"")</f>
        <v>46078</v>
      </c>
      <c r="G184" s="16" t="n">
        <f aca="false">IF(F184="","",D184-F184)</f>
        <v>7</v>
      </c>
      <c r="H184" s="21" t="n">
        <f aca="false">IF(F184="","",DATE(YEAR(D184),MONTH(D184),1))</f>
        <v>46082</v>
      </c>
    </row>
    <row r="185" customFormat="false" ht="15" hidden="false" customHeight="false" outlineLevel="0" collapsed="false">
      <c r="A185" s="16" t="str">
        <f aca="false">Cash_Receipts_AR!A182</f>
        <v>ARR70181</v>
      </c>
      <c r="B185" s="16" t="str">
        <f aca="false">Cash_Receipts_AR!C182</f>
        <v>C2002</v>
      </c>
      <c r="C185" s="16" t="str">
        <f aca="false">Cash_Receipts_AR!B182</f>
        <v>ARI60217</v>
      </c>
      <c r="D185" s="17" t="n">
        <f aca="false">Cash_Receipts_AR!D182</f>
        <v>45869</v>
      </c>
      <c r="E185" s="18" t="n">
        <f aca="false">Cash_Receipts_AR!E182</f>
        <v>9820.08</v>
      </c>
      <c r="F185" s="17" t="n">
        <f aca="false">IFERROR(INDEX(Customer_Invoices_AR!$C$2:$C$601,MATCH(C185,Customer_Invoices_AR!$A$2:$A$601,0)),"")</f>
        <v>45839</v>
      </c>
      <c r="G185" s="16" t="n">
        <f aca="false">IF(F185="","",D185-F185)</f>
        <v>30</v>
      </c>
      <c r="H185" s="21" t="n">
        <f aca="false">IF(F185="","",DATE(YEAR(D185),MONTH(D185),1))</f>
        <v>45839</v>
      </c>
    </row>
    <row r="186" customFormat="false" ht="15" hidden="false" customHeight="false" outlineLevel="0" collapsed="false">
      <c r="A186" s="16" t="str">
        <f aca="false">Cash_Receipts_AR!A183</f>
        <v>ARR70182</v>
      </c>
      <c r="B186" s="16" t="str">
        <f aca="false">Cash_Receipts_AR!C183</f>
        <v>C2016</v>
      </c>
      <c r="C186" s="16" t="str">
        <f aca="false">Cash_Receipts_AR!B183</f>
        <v>ARI60218</v>
      </c>
      <c r="D186" s="17" t="n">
        <f aca="false">Cash_Receipts_AR!D183</f>
        <v>45687</v>
      </c>
      <c r="E186" s="18" t="n">
        <f aca="false">Cash_Receipts_AR!E183</f>
        <v>397.84</v>
      </c>
      <c r="F186" s="17" t="n">
        <f aca="false">IFERROR(INDEX(Customer_Invoices_AR!$C$2:$C$601,MATCH(C186,Customer_Invoices_AR!$A$2:$A$601,0)),"")</f>
        <v>45682</v>
      </c>
      <c r="G186" s="16" t="n">
        <f aca="false">IF(F186="","",D186-F186)</f>
        <v>5</v>
      </c>
      <c r="H186" s="21" t="n">
        <f aca="false">IF(F186="","",DATE(YEAR(D186),MONTH(D186),1))</f>
        <v>45658</v>
      </c>
    </row>
    <row r="187" customFormat="false" ht="15" hidden="false" customHeight="false" outlineLevel="0" collapsed="false">
      <c r="A187" s="16" t="str">
        <f aca="false">Cash_Receipts_AR!A184</f>
        <v>ARR70183</v>
      </c>
      <c r="B187" s="16" t="str">
        <f aca="false">Cash_Receipts_AR!C184</f>
        <v>C2022</v>
      </c>
      <c r="C187" s="16" t="str">
        <f aca="false">Cash_Receipts_AR!B184</f>
        <v>ARI60220</v>
      </c>
      <c r="D187" s="17" t="n">
        <f aca="false">Cash_Receipts_AR!D184</f>
        <v>46109</v>
      </c>
      <c r="E187" s="18" t="n">
        <f aca="false">Cash_Receipts_AR!E184</f>
        <v>5191.06</v>
      </c>
      <c r="F187" s="17" t="n">
        <f aca="false">IFERROR(INDEX(Customer_Invoices_AR!$C$2:$C$601,MATCH(C187,Customer_Invoices_AR!$A$2:$A$601,0)),"")</f>
        <v>46101</v>
      </c>
      <c r="G187" s="16" t="n">
        <f aca="false">IF(F187="","",D187-F187)</f>
        <v>8</v>
      </c>
      <c r="H187" s="21" t="n">
        <f aca="false">IF(F187="","",DATE(YEAR(D187),MONTH(D187),1))</f>
        <v>46082</v>
      </c>
    </row>
    <row r="188" customFormat="false" ht="15" hidden="false" customHeight="false" outlineLevel="0" collapsed="false">
      <c r="A188" s="16" t="str">
        <f aca="false">Cash_Receipts_AR!A185</f>
        <v>ARR70184</v>
      </c>
      <c r="B188" s="16" t="str">
        <f aca="false">Cash_Receipts_AR!C185</f>
        <v>C2029</v>
      </c>
      <c r="C188" s="16" t="str">
        <f aca="false">Cash_Receipts_AR!B185</f>
        <v>ARI60221</v>
      </c>
      <c r="D188" s="17" t="n">
        <f aca="false">Cash_Receipts_AR!D185</f>
        <v>45763</v>
      </c>
      <c r="E188" s="18" t="n">
        <f aca="false">Cash_Receipts_AR!E185</f>
        <v>2721.67</v>
      </c>
      <c r="F188" s="17" t="n">
        <f aca="false">IFERROR(INDEX(Customer_Invoices_AR!$C$2:$C$601,MATCH(C188,Customer_Invoices_AR!$A$2:$A$601,0)),"")</f>
        <v>45753</v>
      </c>
      <c r="G188" s="16" t="n">
        <f aca="false">IF(F188="","",D188-F188)</f>
        <v>10</v>
      </c>
      <c r="H188" s="21" t="n">
        <f aca="false">IF(F188="","",DATE(YEAR(D188),MONTH(D188),1))</f>
        <v>45748</v>
      </c>
    </row>
    <row r="189" customFormat="false" ht="15" hidden="false" customHeight="false" outlineLevel="0" collapsed="false">
      <c r="A189" s="16" t="str">
        <f aca="false">Cash_Receipts_AR!A186</f>
        <v>ARR70185</v>
      </c>
      <c r="B189" s="16" t="str">
        <f aca="false">Cash_Receipts_AR!C186</f>
        <v>C2026</v>
      </c>
      <c r="C189" s="16" t="str">
        <f aca="false">Cash_Receipts_AR!B186</f>
        <v>ARI60223</v>
      </c>
      <c r="D189" s="17" t="n">
        <f aca="false">Cash_Receipts_AR!D186</f>
        <v>45912</v>
      </c>
      <c r="E189" s="18" t="n">
        <f aca="false">Cash_Receipts_AR!E186</f>
        <v>1083.03</v>
      </c>
      <c r="F189" s="17" t="n">
        <f aca="false">IFERROR(INDEX(Customer_Invoices_AR!$C$2:$C$601,MATCH(C189,Customer_Invoices_AR!$A$2:$A$601,0)),"")</f>
        <v>45911</v>
      </c>
      <c r="G189" s="16" t="n">
        <f aca="false">IF(F189="","",D189-F189)</f>
        <v>1</v>
      </c>
      <c r="H189" s="21" t="n">
        <f aca="false">IF(F189="","",DATE(YEAR(D189),MONTH(D189),1))</f>
        <v>45901</v>
      </c>
    </row>
    <row r="190" customFormat="false" ht="15" hidden="false" customHeight="false" outlineLevel="0" collapsed="false">
      <c r="A190" s="16" t="str">
        <f aca="false">Cash_Receipts_AR!A187</f>
        <v>ARR70186</v>
      </c>
      <c r="B190" s="16" t="str">
        <f aca="false">Cash_Receipts_AR!C187</f>
        <v>C2002</v>
      </c>
      <c r="C190" s="16" t="str">
        <f aca="false">Cash_Receipts_AR!B187</f>
        <v>ARI60224</v>
      </c>
      <c r="D190" s="17" t="n">
        <f aca="false">Cash_Receipts_AR!D187</f>
        <v>46074</v>
      </c>
      <c r="E190" s="18" t="n">
        <f aca="false">Cash_Receipts_AR!E187</f>
        <v>1538.1</v>
      </c>
      <c r="F190" s="17" t="n">
        <f aca="false">IFERROR(INDEX(Customer_Invoices_AR!$C$2:$C$601,MATCH(C190,Customer_Invoices_AR!$A$2:$A$601,0)),"")</f>
        <v>46036</v>
      </c>
      <c r="G190" s="16" t="n">
        <f aca="false">IF(F190="","",D190-F190)</f>
        <v>38</v>
      </c>
      <c r="H190" s="21" t="n">
        <f aca="false">IF(F190="","",DATE(YEAR(D190),MONTH(D190),1))</f>
        <v>46054</v>
      </c>
    </row>
    <row r="191" customFormat="false" ht="15" hidden="false" customHeight="false" outlineLevel="0" collapsed="false">
      <c r="A191" s="16" t="str">
        <f aca="false">Cash_Receipts_AR!A188</f>
        <v>ARR70187</v>
      </c>
      <c r="B191" s="16" t="str">
        <f aca="false">Cash_Receipts_AR!C188</f>
        <v>C2023</v>
      </c>
      <c r="C191" s="16" t="str">
        <f aca="false">Cash_Receipts_AR!B188</f>
        <v>ARI60225</v>
      </c>
      <c r="D191" s="17" t="n">
        <f aca="false">Cash_Receipts_AR!D188</f>
        <v>46028</v>
      </c>
      <c r="E191" s="18" t="n">
        <f aca="false">Cash_Receipts_AR!E188</f>
        <v>8987.97</v>
      </c>
      <c r="F191" s="17" t="n">
        <f aca="false">IFERROR(INDEX(Customer_Invoices_AR!$C$2:$C$601,MATCH(C191,Customer_Invoices_AR!$A$2:$A$601,0)),"")</f>
        <v>46002</v>
      </c>
      <c r="G191" s="16" t="n">
        <f aca="false">IF(F191="","",D191-F191)</f>
        <v>26</v>
      </c>
      <c r="H191" s="21" t="n">
        <f aca="false">IF(F191="","",DATE(YEAR(D191),MONTH(D191),1))</f>
        <v>46023</v>
      </c>
    </row>
    <row r="192" customFormat="false" ht="15" hidden="false" customHeight="false" outlineLevel="0" collapsed="false">
      <c r="A192" s="16" t="str">
        <f aca="false">Cash_Receipts_AR!A189</f>
        <v>ARR70188</v>
      </c>
      <c r="B192" s="16" t="str">
        <f aca="false">Cash_Receipts_AR!C189</f>
        <v>C2028</v>
      </c>
      <c r="C192" s="16" t="str">
        <f aca="false">Cash_Receipts_AR!B189</f>
        <v>ARI60226</v>
      </c>
      <c r="D192" s="17" t="n">
        <f aca="false">Cash_Receipts_AR!D189</f>
        <v>46113</v>
      </c>
      <c r="E192" s="18" t="n">
        <f aca="false">Cash_Receipts_AR!E189</f>
        <v>14949.45</v>
      </c>
      <c r="F192" s="17" t="n">
        <f aca="false">IFERROR(INDEX(Customer_Invoices_AR!$C$2:$C$601,MATCH(C192,Customer_Invoices_AR!$A$2:$A$601,0)),"")</f>
        <v>46100</v>
      </c>
      <c r="G192" s="16" t="n">
        <f aca="false">IF(F192="","",D192-F192)</f>
        <v>13</v>
      </c>
      <c r="H192" s="21" t="n">
        <f aca="false">IF(F192="","",DATE(YEAR(D192),MONTH(D192),1))</f>
        <v>46113</v>
      </c>
    </row>
    <row r="193" customFormat="false" ht="15" hidden="false" customHeight="false" outlineLevel="0" collapsed="false">
      <c r="A193" s="16" t="str">
        <f aca="false">Cash_Receipts_AR!A190</f>
        <v>ARR70189</v>
      </c>
      <c r="B193" s="16" t="str">
        <f aca="false">Cash_Receipts_AR!C190</f>
        <v>C2025</v>
      </c>
      <c r="C193" s="16" t="str">
        <f aca="false">Cash_Receipts_AR!B190</f>
        <v>ARI60227</v>
      </c>
      <c r="D193" s="17" t="n">
        <f aca="false">Cash_Receipts_AR!D190</f>
        <v>45701</v>
      </c>
      <c r="E193" s="18" t="n">
        <f aca="false">Cash_Receipts_AR!E190</f>
        <v>2225.7</v>
      </c>
      <c r="F193" s="17" t="n">
        <f aca="false">IFERROR(INDEX(Customer_Invoices_AR!$C$2:$C$601,MATCH(C193,Customer_Invoices_AR!$A$2:$A$601,0)),"")</f>
        <v>45692</v>
      </c>
      <c r="G193" s="16" t="n">
        <f aca="false">IF(F193="","",D193-F193)</f>
        <v>9</v>
      </c>
      <c r="H193" s="21" t="n">
        <f aca="false">IF(F193="","",DATE(YEAR(D193),MONTH(D193),1))</f>
        <v>45689</v>
      </c>
    </row>
    <row r="194" customFormat="false" ht="15" hidden="false" customHeight="false" outlineLevel="0" collapsed="false">
      <c r="A194" s="16" t="str">
        <f aca="false">Cash_Receipts_AR!A191</f>
        <v>ARR70190</v>
      </c>
      <c r="B194" s="16" t="str">
        <f aca="false">Cash_Receipts_AR!C191</f>
        <v>C2011</v>
      </c>
      <c r="C194" s="16" t="str">
        <f aca="false">Cash_Receipts_AR!B191</f>
        <v>ARI60228</v>
      </c>
      <c r="D194" s="17" t="n">
        <f aca="false">Cash_Receipts_AR!D191</f>
        <v>46120</v>
      </c>
      <c r="E194" s="18" t="n">
        <f aca="false">Cash_Receipts_AR!E191</f>
        <v>1125.91</v>
      </c>
      <c r="F194" s="17" t="n">
        <f aca="false">IFERROR(INDEX(Customer_Invoices_AR!$C$2:$C$601,MATCH(C194,Customer_Invoices_AR!$A$2:$A$601,0)),"")</f>
        <v>46081</v>
      </c>
      <c r="G194" s="16" t="n">
        <f aca="false">IF(F194="","",D194-F194)</f>
        <v>39</v>
      </c>
      <c r="H194" s="21" t="n">
        <f aca="false">IF(F194="","",DATE(YEAR(D194),MONTH(D194),1))</f>
        <v>46113</v>
      </c>
    </row>
    <row r="195" customFormat="false" ht="15" hidden="false" customHeight="false" outlineLevel="0" collapsed="false">
      <c r="A195" s="16" t="str">
        <f aca="false">Cash_Receipts_AR!A192</f>
        <v>ARR70191</v>
      </c>
      <c r="B195" s="16" t="str">
        <f aca="false">Cash_Receipts_AR!C192</f>
        <v>C2030</v>
      </c>
      <c r="C195" s="16" t="str">
        <f aca="false">Cash_Receipts_AR!B192</f>
        <v>ARI60229</v>
      </c>
      <c r="D195" s="17" t="n">
        <f aca="false">Cash_Receipts_AR!D192</f>
        <v>45919</v>
      </c>
      <c r="E195" s="18" t="n">
        <f aca="false">Cash_Receipts_AR!E192</f>
        <v>3138.47</v>
      </c>
      <c r="F195" s="17" t="n">
        <f aca="false">IFERROR(INDEX(Customer_Invoices_AR!$C$2:$C$601,MATCH(C195,Customer_Invoices_AR!$A$2:$A$601,0)),"")</f>
        <v>45907</v>
      </c>
      <c r="G195" s="16" t="n">
        <f aca="false">IF(F195="","",D195-F195)</f>
        <v>12</v>
      </c>
      <c r="H195" s="21" t="n">
        <f aca="false">IF(F195="","",DATE(YEAR(D195),MONTH(D195),1))</f>
        <v>45901</v>
      </c>
    </row>
    <row r="196" customFormat="false" ht="15" hidden="false" customHeight="false" outlineLevel="0" collapsed="false">
      <c r="A196" s="16" t="str">
        <f aca="false">Cash_Receipts_AR!A193</f>
        <v>ARR70192</v>
      </c>
      <c r="B196" s="16" t="str">
        <f aca="false">Cash_Receipts_AR!C193</f>
        <v>C2029</v>
      </c>
      <c r="C196" s="16" t="str">
        <f aca="false">Cash_Receipts_AR!B193</f>
        <v>ARI60230</v>
      </c>
      <c r="D196" s="17" t="n">
        <f aca="false">Cash_Receipts_AR!D193</f>
        <v>45846</v>
      </c>
      <c r="E196" s="18" t="n">
        <f aca="false">Cash_Receipts_AR!E193</f>
        <v>2102.51</v>
      </c>
      <c r="F196" s="17" t="n">
        <f aca="false">IFERROR(INDEX(Customer_Invoices_AR!$C$2:$C$601,MATCH(C196,Customer_Invoices_AR!$A$2:$A$601,0)),"")</f>
        <v>45817</v>
      </c>
      <c r="G196" s="16" t="n">
        <f aca="false">IF(F196="","",D196-F196)</f>
        <v>29</v>
      </c>
      <c r="H196" s="21" t="n">
        <f aca="false">IF(F196="","",DATE(YEAR(D196),MONTH(D196),1))</f>
        <v>45839</v>
      </c>
    </row>
    <row r="197" customFormat="false" ht="15" hidden="false" customHeight="false" outlineLevel="0" collapsed="false">
      <c r="A197" s="16" t="str">
        <f aca="false">Cash_Receipts_AR!A194</f>
        <v>ARR70193</v>
      </c>
      <c r="B197" s="16" t="str">
        <f aca="false">Cash_Receipts_AR!C194</f>
        <v>C2018</v>
      </c>
      <c r="C197" s="16" t="str">
        <f aca="false">Cash_Receipts_AR!B194</f>
        <v>ARI60231</v>
      </c>
      <c r="D197" s="17" t="n">
        <f aca="false">Cash_Receipts_AR!D194</f>
        <v>45693</v>
      </c>
      <c r="E197" s="18" t="n">
        <f aca="false">Cash_Receipts_AR!E194</f>
        <v>3302.54</v>
      </c>
      <c r="F197" s="17" t="n">
        <f aca="false">IFERROR(INDEX(Customer_Invoices_AR!$C$2:$C$601,MATCH(C197,Customer_Invoices_AR!$A$2:$A$601,0)),"")</f>
        <v>45681</v>
      </c>
      <c r="G197" s="16" t="n">
        <f aca="false">IF(F197="","",D197-F197)</f>
        <v>12</v>
      </c>
      <c r="H197" s="21" t="n">
        <f aca="false">IF(F197="","",DATE(YEAR(D197),MONTH(D197),1))</f>
        <v>45689</v>
      </c>
    </row>
    <row r="198" customFormat="false" ht="15" hidden="false" customHeight="false" outlineLevel="0" collapsed="false">
      <c r="A198" s="16" t="str">
        <f aca="false">Cash_Receipts_AR!A195</f>
        <v>ARR70194</v>
      </c>
      <c r="B198" s="16" t="str">
        <f aca="false">Cash_Receipts_AR!C195</f>
        <v>C2008</v>
      </c>
      <c r="C198" s="16" t="str">
        <f aca="false">Cash_Receipts_AR!B195</f>
        <v>ARI60233</v>
      </c>
      <c r="D198" s="17" t="n">
        <f aca="false">Cash_Receipts_AR!D195</f>
        <v>45707</v>
      </c>
      <c r="E198" s="18" t="n">
        <f aca="false">Cash_Receipts_AR!E195</f>
        <v>6811</v>
      </c>
      <c r="F198" s="17" t="n">
        <f aca="false">IFERROR(INDEX(Customer_Invoices_AR!$C$2:$C$601,MATCH(C198,Customer_Invoices_AR!$A$2:$A$601,0)),"")</f>
        <v>45680</v>
      </c>
      <c r="G198" s="16" t="n">
        <f aca="false">IF(F198="","",D198-F198)</f>
        <v>27</v>
      </c>
      <c r="H198" s="21" t="n">
        <f aca="false">IF(F198="","",DATE(YEAR(D198),MONTH(D198),1))</f>
        <v>45689</v>
      </c>
    </row>
    <row r="199" customFormat="false" ht="15" hidden="false" customHeight="false" outlineLevel="0" collapsed="false">
      <c r="A199" s="16" t="str">
        <f aca="false">Cash_Receipts_AR!A196</f>
        <v>ARR70195</v>
      </c>
      <c r="B199" s="16" t="str">
        <f aca="false">Cash_Receipts_AR!C196</f>
        <v>C2013</v>
      </c>
      <c r="C199" s="16" t="str">
        <f aca="false">Cash_Receipts_AR!B196</f>
        <v>ARI60234</v>
      </c>
      <c r="D199" s="17" t="n">
        <f aca="false">Cash_Receipts_AR!D196</f>
        <v>46197</v>
      </c>
      <c r="E199" s="18" t="n">
        <f aca="false">Cash_Receipts_AR!E196</f>
        <v>367.75</v>
      </c>
      <c r="F199" s="17" t="n">
        <f aca="false">IFERROR(INDEX(Customer_Invoices_AR!$C$2:$C$601,MATCH(C199,Customer_Invoices_AR!$A$2:$A$601,0)),"")</f>
        <v>46166</v>
      </c>
      <c r="G199" s="16" t="n">
        <f aca="false">IF(F199="","",D199-F199)</f>
        <v>31</v>
      </c>
      <c r="H199" s="21" t="n">
        <f aca="false">IF(F199="","",DATE(YEAR(D199),MONTH(D199),1))</f>
        <v>46174</v>
      </c>
    </row>
    <row r="200" customFormat="false" ht="15" hidden="false" customHeight="false" outlineLevel="0" collapsed="false">
      <c r="A200" s="16" t="str">
        <f aca="false">Cash_Receipts_AR!A197</f>
        <v>ARR70196</v>
      </c>
      <c r="B200" s="16" t="str">
        <f aca="false">Cash_Receipts_AR!C197</f>
        <v>C2030</v>
      </c>
      <c r="C200" s="16" t="str">
        <f aca="false">Cash_Receipts_AR!B197</f>
        <v>ARI60235</v>
      </c>
      <c r="D200" s="17" t="n">
        <f aca="false">Cash_Receipts_AR!D197</f>
        <v>45977</v>
      </c>
      <c r="E200" s="18" t="n">
        <f aca="false">Cash_Receipts_AR!E197</f>
        <v>429.55</v>
      </c>
      <c r="F200" s="17" t="n">
        <f aca="false">IFERROR(INDEX(Customer_Invoices_AR!$C$2:$C$601,MATCH(C200,Customer_Invoices_AR!$A$2:$A$601,0)),"")</f>
        <v>45938</v>
      </c>
      <c r="G200" s="16" t="n">
        <f aca="false">IF(F200="","",D200-F200)</f>
        <v>39</v>
      </c>
      <c r="H200" s="21" t="n">
        <f aca="false">IF(F200="","",DATE(YEAR(D200),MONTH(D200),1))</f>
        <v>45962</v>
      </c>
    </row>
    <row r="201" customFormat="false" ht="15" hidden="false" customHeight="false" outlineLevel="0" collapsed="false">
      <c r="A201" s="16" t="str">
        <f aca="false">Cash_Receipts_AR!A198</f>
        <v>ARR70197</v>
      </c>
      <c r="B201" s="16" t="str">
        <f aca="false">Cash_Receipts_AR!C198</f>
        <v>C2006</v>
      </c>
      <c r="C201" s="16" t="str">
        <f aca="false">Cash_Receipts_AR!B198</f>
        <v>ARI60237</v>
      </c>
      <c r="D201" s="17" t="n">
        <f aca="false">Cash_Receipts_AR!D198</f>
        <v>45970</v>
      </c>
      <c r="E201" s="18" t="n">
        <f aca="false">Cash_Receipts_AR!E198</f>
        <v>1296.73</v>
      </c>
      <c r="F201" s="17" t="n">
        <f aca="false">IFERROR(INDEX(Customer_Invoices_AR!$C$2:$C$601,MATCH(C201,Customer_Invoices_AR!$A$2:$A$601,0)),"")</f>
        <v>45953</v>
      </c>
      <c r="G201" s="16" t="n">
        <f aca="false">IF(F201="","",D201-F201)</f>
        <v>17</v>
      </c>
      <c r="H201" s="21" t="n">
        <f aca="false">IF(F201="","",DATE(YEAR(D201),MONTH(D201),1))</f>
        <v>45962</v>
      </c>
    </row>
    <row r="202" customFormat="false" ht="15" hidden="false" customHeight="false" outlineLevel="0" collapsed="false">
      <c r="A202" s="16" t="str">
        <f aca="false">Cash_Receipts_AR!A199</f>
        <v>ARR70198</v>
      </c>
      <c r="B202" s="16" t="str">
        <f aca="false">Cash_Receipts_AR!C199</f>
        <v>C2024</v>
      </c>
      <c r="C202" s="16" t="str">
        <f aca="false">Cash_Receipts_AR!B199</f>
        <v>ARI60239</v>
      </c>
      <c r="D202" s="17" t="n">
        <f aca="false">Cash_Receipts_AR!D199</f>
        <v>46100</v>
      </c>
      <c r="E202" s="18" t="n">
        <f aca="false">Cash_Receipts_AR!E199</f>
        <v>1329.65</v>
      </c>
      <c r="F202" s="17" t="n">
        <f aca="false">IFERROR(INDEX(Customer_Invoices_AR!$C$2:$C$601,MATCH(C202,Customer_Invoices_AR!$A$2:$A$601,0)),"")</f>
        <v>46068</v>
      </c>
      <c r="G202" s="16" t="n">
        <f aca="false">IF(F202="","",D202-F202)</f>
        <v>32</v>
      </c>
      <c r="H202" s="21" t="n">
        <f aca="false">IF(F202="","",DATE(YEAR(D202),MONTH(D202),1))</f>
        <v>46082</v>
      </c>
    </row>
    <row r="203" customFormat="false" ht="15" hidden="false" customHeight="false" outlineLevel="0" collapsed="false">
      <c r="A203" s="16" t="str">
        <f aca="false">Cash_Receipts_AR!A200</f>
        <v>ARR70199</v>
      </c>
      <c r="B203" s="16" t="str">
        <f aca="false">Cash_Receipts_AR!C200</f>
        <v>C2029</v>
      </c>
      <c r="C203" s="16" t="str">
        <f aca="false">Cash_Receipts_AR!B200</f>
        <v>ARI60240</v>
      </c>
      <c r="D203" s="17" t="n">
        <f aca="false">Cash_Receipts_AR!D200</f>
        <v>45774</v>
      </c>
      <c r="E203" s="18" t="n">
        <f aca="false">Cash_Receipts_AR!E200</f>
        <v>1478.27</v>
      </c>
      <c r="F203" s="17" t="n">
        <f aca="false">IFERROR(INDEX(Customer_Invoices_AR!$C$2:$C$601,MATCH(C203,Customer_Invoices_AR!$A$2:$A$601,0)),"")</f>
        <v>45762</v>
      </c>
      <c r="G203" s="16" t="n">
        <f aca="false">IF(F203="","",D203-F203)</f>
        <v>12</v>
      </c>
      <c r="H203" s="21" t="n">
        <f aca="false">IF(F203="","",DATE(YEAR(D203),MONTH(D203),1))</f>
        <v>45748</v>
      </c>
    </row>
    <row r="204" customFormat="false" ht="15" hidden="false" customHeight="false" outlineLevel="0" collapsed="false">
      <c r="A204" s="16" t="str">
        <f aca="false">Cash_Receipts_AR!A201</f>
        <v>ARR70200</v>
      </c>
      <c r="B204" s="16" t="str">
        <f aca="false">Cash_Receipts_AR!C201</f>
        <v>C2002</v>
      </c>
      <c r="C204" s="16" t="str">
        <f aca="false">Cash_Receipts_AR!B201</f>
        <v>ARI60241</v>
      </c>
      <c r="D204" s="17" t="n">
        <f aca="false">Cash_Receipts_AR!D201</f>
        <v>45853</v>
      </c>
      <c r="E204" s="18" t="n">
        <f aca="false">Cash_Receipts_AR!E201</f>
        <v>951.67</v>
      </c>
      <c r="F204" s="17" t="n">
        <f aca="false">IFERROR(INDEX(Customer_Invoices_AR!$C$2:$C$601,MATCH(C204,Customer_Invoices_AR!$A$2:$A$601,0)),"")</f>
        <v>45852</v>
      </c>
      <c r="G204" s="16" t="n">
        <f aca="false">IF(F204="","",D204-F204)</f>
        <v>1</v>
      </c>
      <c r="H204" s="21" t="n">
        <f aca="false">IF(F204="","",DATE(YEAR(D204),MONTH(D204),1))</f>
        <v>45839</v>
      </c>
    </row>
    <row r="205" customFormat="false" ht="15" hidden="false" customHeight="false" outlineLevel="0" collapsed="false">
      <c r="A205" s="16" t="str">
        <f aca="false">Cash_Receipts_AR!A202</f>
        <v>ARR70201</v>
      </c>
      <c r="B205" s="16" t="str">
        <f aca="false">Cash_Receipts_AR!C202</f>
        <v>C2009</v>
      </c>
      <c r="C205" s="16" t="str">
        <f aca="false">Cash_Receipts_AR!B202</f>
        <v>ARI60242</v>
      </c>
      <c r="D205" s="17" t="n">
        <f aca="false">Cash_Receipts_AR!D202</f>
        <v>46119</v>
      </c>
      <c r="E205" s="18" t="n">
        <f aca="false">Cash_Receipts_AR!E202</f>
        <v>4785.44</v>
      </c>
      <c r="F205" s="17" t="n">
        <f aca="false">IFERROR(INDEX(Customer_Invoices_AR!$C$2:$C$601,MATCH(C205,Customer_Invoices_AR!$A$2:$A$601,0)),"")</f>
        <v>46083</v>
      </c>
      <c r="G205" s="16" t="n">
        <f aca="false">IF(F205="","",D205-F205)</f>
        <v>36</v>
      </c>
      <c r="H205" s="21" t="n">
        <f aca="false">IF(F205="","",DATE(YEAR(D205),MONTH(D205),1))</f>
        <v>46113</v>
      </c>
    </row>
    <row r="206" customFormat="false" ht="15" hidden="false" customHeight="false" outlineLevel="0" collapsed="false">
      <c r="A206" s="16" t="str">
        <f aca="false">Cash_Receipts_AR!A203</f>
        <v>ARR70202</v>
      </c>
      <c r="B206" s="16" t="str">
        <f aca="false">Cash_Receipts_AR!C203</f>
        <v>C2030</v>
      </c>
      <c r="C206" s="16" t="str">
        <f aca="false">Cash_Receipts_AR!B203</f>
        <v>ARI60243</v>
      </c>
      <c r="D206" s="17" t="n">
        <f aca="false">Cash_Receipts_AR!D203</f>
        <v>46148</v>
      </c>
      <c r="E206" s="18" t="n">
        <f aca="false">Cash_Receipts_AR!E203</f>
        <v>4420.51</v>
      </c>
      <c r="F206" s="17" t="n">
        <f aca="false">IFERROR(INDEX(Customer_Invoices_AR!$C$2:$C$601,MATCH(C206,Customer_Invoices_AR!$A$2:$A$601,0)),"")</f>
        <v>46129</v>
      </c>
      <c r="G206" s="16" t="n">
        <f aca="false">IF(F206="","",D206-F206)</f>
        <v>19</v>
      </c>
      <c r="H206" s="21" t="n">
        <f aca="false">IF(F206="","",DATE(YEAR(D206),MONTH(D206),1))</f>
        <v>46143</v>
      </c>
    </row>
    <row r="207" customFormat="false" ht="15" hidden="false" customHeight="false" outlineLevel="0" collapsed="false">
      <c r="A207" s="16" t="str">
        <f aca="false">Cash_Receipts_AR!A204</f>
        <v>ARR70203</v>
      </c>
      <c r="B207" s="16" t="str">
        <f aca="false">Cash_Receipts_AR!C204</f>
        <v>C2007</v>
      </c>
      <c r="C207" s="16" t="str">
        <f aca="false">Cash_Receipts_AR!B204</f>
        <v>ARI60244</v>
      </c>
      <c r="D207" s="17" t="n">
        <f aca="false">Cash_Receipts_AR!D204</f>
        <v>45839</v>
      </c>
      <c r="E207" s="18" t="n">
        <f aca="false">Cash_Receipts_AR!E204</f>
        <v>2086.28</v>
      </c>
      <c r="F207" s="17" t="n">
        <f aca="false">IFERROR(INDEX(Customer_Invoices_AR!$C$2:$C$601,MATCH(C207,Customer_Invoices_AR!$A$2:$A$601,0)),"")</f>
        <v>45838</v>
      </c>
      <c r="G207" s="16" t="n">
        <f aca="false">IF(F207="","",D207-F207)</f>
        <v>1</v>
      </c>
      <c r="H207" s="21" t="n">
        <f aca="false">IF(F207="","",DATE(YEAR(D207),MONTH(D207),1))</f>
        <v>45839</v>
      </c>
    </row>
    <row r="208" customFormat="false" ht="15" hidden="false" customHeight="false" outlineLevel="0" collapsed="false">
      <c r="A208" s="16" t="str">
        <f aca="false">Cash_Receipts_AR!A205</f>
        <v>ARR70204</v>
      </c>
      <c r="B208" s="16" t="str">
        <f aca="false">Cash_Receipts_AR!C205</f>
        <v>C2025</v>
      </c>
      <c r="C208" s="16" t="str">
        <f aca="false">Cash_Receipts_AR!B205</f>
        <v>ARI60245</v>
      </c>
      <c r="D208" s="17" t="n">
        <f aca="false">Cash_Receipts_AR!D205</f>
        <v>45746</v>
      </c>
      <c r="E208" s="18" t="n">
        <f aca="false">Cash_Receipts_AR!E205</f>
        <v>21829.68</v>
      </c>
      <c r="F208" s="17" t="n">
        <f aca="false">IFERROR(INDEX(Customer_Invoices_AR!$C$2:$C$601,MATCH(C208,Customer_Invoices_AR!$A$2:$A$601,0)),"")</f>
        <v>45725</v>
      </c>
      <c r="G208" s="16" t="n">
        <f aca="false">IF(F208="","",D208-F208)</f>
        <v>21</v>
      </c>
      <c r="H208" s="21" t="n">
        <f aca="false">IF(F208="","",DATE(YEAR(D208),MONTH(D208),1))</f>
        <v>45717</v>
      </c>
    </row>
    <row r="209" customFormat="false" ht="15" hidden="false" customHeight="false" outlineLevel="0" collapsed="false">
      <c r="A209" s="16" t="str">
        <f aca="false">Cash_Receipts_AR!A206</f>
        <v>ARR70205</v>
      </c>
      <c r="B209" s="16" t="str">
        <f aca="false">Cash_Receipts_AR!C206</f>
        <v>C2009</v>
      </c>
      <c r="C209" s="16" t="str">
        <f aca="false">Cash_Receipts_AR!B206</f>
        <v>ARI60246</v>
      </c>
      <c r="D209" s="17" t="n">
        <f aca="false">Cash_Receipts_AR!D206</f>
        <v>45883</v>
      </c>
      <c r="E209" s="18" t="n">
        <f aca="false">Cash_Receipts_AR!E206</f>
        <v>10564.24</v>
      </c>
      <c r="F209" s="17" t="n">
        <f aca="false">IFERROR(INDEX(Customer_Invoices_AR!$C$2:$C$601,MATCH(C209,Customer_Invoices_AR!$A$2:$A$601,0)),"")</f>
        <v>45858</v>
      </c>
      <c r="G209" s="16" t="n">
        <f aca="false">IF(F209="","",D209-F209)</f>
        <v>25</v>
      </c>
      <c r="H209" s="21" t="n">
        <f aca="false">IF(F209="","",DATE(YEAR(D209),MONTH(D209),1))</f>
        <v>45870</v>
      </c>
    </row>
    <row r="210" customFormat="false" ht="15" hidden="false" customHeight="false" outlineLevel="0" collapsed="false">
      <c r="A210" s="16" t="str">
        <f aca="false">Cash_Receipts_AR!A207</f>
        <v>ARR70206</v>
      </c>
      <c r="B210" s="16" t="str">
        <f aca="false">Cash_Receipts_AR!C207</f>
        <v>C2009</v>
      </c>
      <c r="C210" s="16" t="str">
        <f aca="false">Cash_Receipts_AR!B207</f>
        <v>ARI60247</v>
      </c>
      <c r="D210" s="17" t="n">
        <f aca="false">Cash_Receipts_AR!D207</f>
        <v>46181</v>
      </c>
      <c r="E210" s="18" t="n">
        <f aca="false">Cash_Receipts_AR!E207</f>
        <v>1103.66</v>
      </c>
      <c r="F210" s="17" t="n">
        <f aca="false">IFERROR(INDEX(Customer_Invoices_AR!$C$2:$C$601,MATCH(C210,Customer_Invoices_AR!$A$2:$A$601,0)),"")</f>
        <v>46142</v>
      </c>
      <c r="G210" s="16" t="n">
        <f aca="false">IF(F210="","",D210-F210)</f>
        <v>39</v>
      </c>
      <c r="H210" s="21" t="n">
        <f aca="false">IF(F210="","",DATE(YEAR(D210),MONTH(D210),1))</f>
        <v>46174</v>
      </c>
    </row>
    <row r="211" customFormat="false" ht="15" hidden="false" customHeight="false" outlineLevel="0" collapsed="false">
      <c r="A211" s="16" t="str">
        <f aca="false">Cash_Receipts_AR!A208</f>
        <v>ARR70207</v>
      </c>
      <c r="B211" s="16" t="str">
        <f aca="false">Cash_Receipts_AR!C208</f>
        <v>C2019</v>
      </c>
      <c r="C211" s="16" t="str">
        <f aca="false">Cash_Receipts_AR!B208</f>
        <v>ARI60248</v>
      </c>
      <c r="D211" s="17" t="n">
        <f aca="false">Cash_Receipts_AR!D208</f>
        <v>46073</v>
      </c>
      <c r="E211" s="18" t="n">
        <f aca="false">Cash_Receipts_AR!E208</f>
        <v>3351.82</v>
      </c>
      <c r="F211" s="17" t="n">
        <f aca="false">IFERROR(INDEX(Customer_Invoices_AR!$C$2:$C$601,MATCH(C211,Customer_Invoices_AR!$A$2:$A$601,0)),"")</f>
        <v>46063</v>
      </c>
      <c r="G211" s="16" t="n">
        <f aca="false">IF(F211="","",D211-F211)</f>
        <v>10</v>
      </c>
      <c r="H211" s="21" t="n">
        <f aca="false">IF(F211="","",DATE(YEAR(D211),MONTH(D211),1))</f>
        <v>46054</v>
      </c>
    </row>
    <row r="212" customFormat="false" ht="15" hidden="false" customHeight="false" outlineLevel="0" collapsed="false">
      <c r="A212" s="16" t="str">
        <f aca="false">Cash_Receipts_AR!A209</f>
        <v>ARR70208</v>
      </c>
      <c r="B212" s="16" t="str">
        <f aca="false">Cash_Receipts_AR!C209</f>
        <v>C2024</v>
      </c>
      <c r="C212" s="16" t="str">
        <f aca="false">Cash_Receipts_AR!B209</f>
        <v>ARI60249</v>
      </c>
      <c r="D212" s="17" t="n">
        <f aca="false">Cash_Receipts_AR!D209</f>
        <v>46171</v>
      </c>
      <c r="E212" s="18" t="n">
        <f aca="false">Cash_Receipts_AR!E209</f>
        <v>693.6</v>
      </c>
      <c r="F212" s="17" t="n">
        <f aca="false">IFERROR(INDEX(Customer_Invoices_AR!$C$2:$C$601,MATCH(C212,Customer_Invoices_AR!$A$2:$A$601,0)),"")</f>
        <v>46145</v>
      </c>
      <c r="G212" s="16" t="n">
        <f aca="false">IF(F212="","",D212-F212)</f>
        <v>26</v>
      </c>
      <c r="H212" s="21" t="n">
        <f aca="false">IF(F212="","",DATE(YEAR(D212),MONTH(D212),1))</f>
        <v>46143</v>
      </c>
    </row>
    <row r="213" customFormat="false" ht="15" hidden="false" customHeight="false" outlineLevel="0" collapsed="false">
      <c r="A213" s="16" t="str">
        <f aca="false">Cash_Receipts_AR!A210</f>
        <v>ARR70209</v>
      </c>
      <c r="B213" s="16" t="str">
        <f aca="false">Cash_Receipts_AR!C210</f>
        <v>C2018</v>
      </c>
      <c r="C213" s="16" t="str">
        <f aca="false">Cash_Receipts_AR!B210</f>
        <v>ARI60250</v>
      </c>
      <c r="D213" s="17" t="n">
        <f aca="false">Cash_Receipts_AR!D210</f>
        <v>45896</v>
      </c>
      <c r="E213" s="18" t="n">
        <f aca="false">Cash_Receipts_AR!E210</f>
        <v>3830.58</v>
      </c>
      <c r="F213" s="17" t="n">
        <f aca="false">IFERROR(INDEX(Customer_Invoices_AR!$C$2:$C$601,MATCH(C213,Customer_Invoices_AR!$A$2:$A$601,0)),"")</f>
        <v>45868</v>
      </c>
      <c r="G213" s="16" t="n">
        <f aca="false">IF(F213="","",D213-F213)</f>
        <v>28</v>
      </c>
      <c r="H213" s="21" t="n">
        <f aca="false">IF(F213="","",DATE(YEAR(D213),MONTH(D213),1))</f>
        <v>45870</v>
      </c>
    </row>
    <row r="214" customFormat="false" ht="15" hidden="false" customHeight="false" outlineLevel="0" collapsed="false">
      <c r="A214" s="16" t="str">
        <f aca="false">Cash_Receipts_AR!A211</f>
        <v>ARR70210</v>
      </c>
      <c r="B214" s="16" t="str">
        <f aca="false">Cash_Receipts_AR!C211</f>
        <v>C2008</v>
      </c>
      <c r="C214" s="16" t="str">
        <f aca="false">Cash_Receipts_AR!B211</f>
        <v>ARI60252</v>
      </c>
      <c r="D214" s="17" t="n">
        <f aca="false">Cash_Receipts_AR!D211</f>
        <v>45929</v>
      </c>
      <c r="E214" s="18" t="n">
        <f aca="false">Cash_Receipts_AR!E211</f>
        <v>1015.03</v>
      </c>
      <c r="F214" s="17" t="n">
        <f aca="false">IFERROR(INDEX(Customer_Invoices_AR!$C$2:$C$601,MATCH(C214,Customer_Invoices_AR!$A$2:$A$601,0)),"")</f>
        <v>45928</v>
      </c>
      <c r="G214" s="16" t="n">
        <f aca="false">IF(F214="","",D214-F214)</f>
        <v>1</v>
      </c>
      <c r="H214" s="21" t="n">
        <f aca="false">IF(F214="","",DATE(YEAR(D214),MONTH(D214),1))</f>
        <v>45901</v>
      </c>
    </row>
    <row r="215" customFormat="false" ht="15" hidden="false" customHeight="false" outlineLevel="0" collapsed="false">
      <c r="A215" s="16" t="str">
        <f aca="false">Cash_Receipts_AR!A212</f>
        <v>ARR70211</v>
      </c>
      <c r="B215" s="16" t="str">
        <f aca="false">Cash_Receipts_AR!C212</f>
        <v>C2006</v>
      </c>
      <c r="C215" s="16" t="str">
        <f aca="false">Cash_Receipts_AR!B212</f>
        <v>ARI60253</v>
      </c>
      <c r="D215" s="17" t="n">
        <f aca="false">Cash_Receipts_AR!D212</f>
        <v>45938</v>
      </c>
      <c r="E215" s="18" t="n">
        <f aca="false">Cash_Receipts_AR!E212</f>
        <v>1106.15</v>
      </c>
      <c r="F215" s="17" t="n">
        <f aca="false">IFERROR(INDEX(Customer_Invoices_AR!$C$2:$C$601,MATCH(C215,Customer_Invoices_AR!$A$2:$A$601,0)),"")</f>
        <v>45929</v>
      </c>
      <c r="G215" s="16" t="n">
        <f aca="false">IF(F215="","",D215-F215)</f>
        <v>9</v>
      </c>
      <c r="H215" s="21" t="n">
        <f aca="false">IF(F215="","",DATE(YEAR(D215),MONTH(D215),1))</f>
        <v>45931</v>
      </c>
    </row>
    <row r="216" customFormat="false" ht="15" hidden="false" customHeight="false" outlineLevel="0" collapsed="false">
      <c r="A216" s="16" t="str">
        <f aca="false">Cash_Receipts_AR!A213</f>
        <v>ARR70212</v>
      </c>
      <c r="B216" s="16" t="str">
        <f aca="false">Cash_Receipts_AR!C213</f>
        <v>C2027</v>
      </c>
      <c r="C216" s="16" t="str">
        <f aca="false">Cash_Receipts_AR!B213</f>
        <v>ARI60254</v>
      </c>
      <c r="D216" s="17" t="n">
        <f aca="false">Cash_Receipts_AR!D213</f>
        <v>46186</v>
      </c>
      <c r="E216" s="18" t="n">
        <f aca="false">Cash_Receipts_AR!E213</f>
        <v>868.28</v>
      </c>
      <c r="F216" s="17" t="n">
        <f aca="false">IFERROR(INDEX(Customer_Invoices_AR!$C$2:$C$601,MATCH(C216,Customer_Invoices_AR!$A$2:$A$601,0)),"")</f>
        <v>46161</v>
      </c>
      <c r="G216" s="16" t="n">
        <f aca="false">IF(F216="","",D216-F216)</f>
        <v>25</v>
      </c>
      <c r="H216" s="21" t="n">
        <f aca="false">IF(F216="","",DATE(YEAR(D216),MONTH(D216),1))</f>
        <v>46174</v>
      </c>
    </row>
    <row r="217" customFormat="false" ht="15" hidden="false" customHeight="false" outlineLevel="0" collapsed="false">
      <c r="A217" s="16" t="str">
        <f aca="false">Cash_Receipts_AR!A214</f>
        <v>ARR70213</v>
      </c>
      <c r="B217" s="16" t="str">
        <f aca="false">Cash_Receipts_AR!C214</f>
        <v>C2012</v>
      </c>
      <c r="C217" s="16" t="str">
        <f aca="false">Cash_Receipts_AR!B214</f>
        <v>ARI60255</v>
      </c>
      <c r="D217" s="17" t="n">
        <f aca="false">Cash_Receipts_AR!D214</f>
        <v>45977</v>
      </c>
      <c r="E217" s="18" t="n">
        <f aca="false">Cash_Receipts_AR!E214</f>
        <v>1314.94</v>
      </c>
      <c r="F217" s="17" t="n">
        <f aca="false">IFERROR(INDEX(Customer_Invoices_AR!$C$2:$C$601,MATCH(C217,Customer_Invoices_AR!$A$2:$A$601,0)),"")</f>
        <v>45941</v>
      </c>
      <c r="G217" s="16" t="n">
        <f aca="false">IF(F217="","",D217-F217)</f>
        <v>36</v>
      </c>
      <c r="H217" s="21" t="n">
        <f aca="false">IF(F217="","",DATE(YEAR(D217),MONTH(D217),1))</f>
        <v>45962</v>
      </c>
    </row>
    <row r="218" customFormat="false" ht="15" hidden="false" customHeight="false" outlineLevel="0" collapsed="false">
      <c r="A218" s="16" t="str">
        <f aca="false">Cash_Receipts_AR!A215</f>
        <v>ARR70214</v>
      </c>
      <c r="B218" s="16" t="str">
        <f aca="false">Cash_Receipts_AR!C215</f>
        <v>C2020</v>
      </c>
      <c r="C218" s="16" t="str">
        <f aca="false">Cash_Receipts_AR!B215</f>
        <v>ARI60256</v>
      </c>
      <c r="D218" s="17" t="n">
        <f aca="false">Cash_Receipts_AR!D215</f>
        <v>46098</v>
      </c>
      <c r="E218" s="18" t="n">
        <f aca="false">Cash_Receipts_AR!E215</f>
        <v>1978.9</v>
      </c>
      <c r="F218" s="17" t="n">
        <f aca="false">IFERROR(INDEX(Customer_Invoices_AR!$C$2:$C$601,MATCH(C218,Customer_Invoices_AR!$A$2:$A$601,0)),"")</f>
        <v>46094</v>
      </c>
      <c r="G218" s="16" t="n">
        <f aca="false">IF(F218="","",D218-F218)</f>
        <v>4</v>
      </c>
      <c r="H218" s="21" t="n">
        <f aca="false">IF(F218="","",DATE(YEAR(D218),MONTH(D218),1))</f>
        <v>46082</v>
      </c>
    </row>
    <row r="219" customFormat="false" ht="15" hidden="false" customHeight="false" outlineLevel="0" collapsed="false">
      <c r="A219" s="16" t="str">
        <f aca="false">Cash_Receipts_AR!A216</f>
        <v>ARR70215</v>
      </c>
      <c r="B219" s="16" t="str">
        <f aca="false">Cash_Receipts_AR!C216</f>
        <v>C2003</v>
      </c>
      <c r="C219" s="16" t="str">
        <f aca="false">Cash_Receipts_AR!B216</f>
        <v>ARI60257</v>
      </c>
      <c r="D219" s="17" t="n">
        <f aca="false">Cash_Receipts_AR!D216</f>
        <v>46064</v>
      </c>
      <c r="E219" s="18" t="n">
        <f aca="false">Cash_Receipts_AR!E216</f>
        <v>3886.61</v>
      </c>
      <c r="F219" s="17" t="n">
        <f aca="false">IFERROR(INDEX(Customer_Invoices_AR!$C$2:$C$601,MATCH(C219,Customer_Invoices_AR!$A$2:$A$601,0)),"")</f>
        <v>46054</v>
      </c>
      <c r="G219" s="16" t="n">
        <f aca="false">IF(F219="","",D219-F219)</f>
        <v>10</v>
      </c>
      <c r="H219" s="21" t="n">
        <f aca="false">IF(F219="","",DATE(YEAR(D219),MONTH(D219),1))</f>
        <v>46054</v>
      </c>
    </row>
    <row r="220" customFormat="false" ht="15" hidden="false" customHeight="false" outlineLevel="0" collapsed="false">
      <c r="A220" s="16" t="str">
        <f aca="false">Cash_Receipts_AR!A217</f>
        <v>ARR70216</v>
      </c>
      <c r="B220" s="16" t="str">
        <f aca="false">Cash_Receipts_AR!C217</f>
        <v>C2005</v>
      </c>
      <c r="C220" s="16" t="str">
        <f aca="false">Cash_Receipts_AR!B217</f>
        <v>ARI60258</v>
      </c>
      <c r="D220" s="17" t="n">
        <f aca="false">Cash_Receipts_AR!D217</f>
        <v>45727</v>
      </c>
      <c r="E220" s="18" t="n">
        <f aca="false">Cash_Receipts_AR!E217</f>
        <v>1371.8</v>
      </c>
      <c r="F220" s="17" t="n">
        <f aca="false">IFERROR(INDEX(Customer_Invoices_AR!$C$2:$C$601,MATCH(C220,Customer_Invoices_AR!$A$2:$A$601,0)),"")</f>
        <v>45701</v>
      </c>
      <c r="G220" s="16" t="n">
        <f aca="false">IF(F220="","",D220-F220)</f>
        <v>26</v>
      </c>
      <c r="H220" s="21" t="n">
        <f aca="false">IF(F220="","",DATE(YEAR(D220),MONTH(D220),1))</f>
        <v>45717</v>
      </c>
    </row>
    <row r="221" customFormat="false" ht="15" hidden="false" customHeight="false" outlineLevel="0" collapsed="false">
      <c r="A221" s="16" t="str">
        <f aca="false">Cash_Receipts_AR!A218</f>
        <v>ARR70217</v>
      </c>
      <c r="B221" s="16" t="str">
        <f aca="false">Cash_Receipts_AR!C218</f>
        <v>C2023</v>
      </c>
      <c r="C221" s="16" t="str">
        <f aca="false">Cash_Receipts_AR!B218</f>
        <v>ARI60259</v>
      </c>
      <c r="D221" s="17" t="n">
        <f aca="false">Cash_Receipts_AR!D218</f>
        <v>45987</v>
      </c>
      <c r="E221" s="18" t="n">
        <f aca="false">Cash_Receipts_AR!E218</f>
        <v>7064.1</v>
      </c>
      <c r="F221" s="17" t="n">
        <f aca="false">IFERROR(INDEX(Customer_Invoices_AR!$C$2:$C$601,MATCH(C221,Customer_Invoices_AR!$A$2:$A$601,0)),"")</f>
        <v>45986</v>
      </c>
      <c r="G221" s="16" t="n">
        <f aca="false">IF(F221="","",D221-F221)</f>
        <v>1</v>
      </c>
      <c r="H221" s="21" t="n">
        <f aca="false">IF(F221="","",DATE(YEAR(D221),MONTH(D221),1))</f>
        <v>45962</v>
      </c>
    </row>
    <row r="222" customFormat="false" ht="15" hidden="false" customHeight="false" outlineLevel="0" collapsed="false">
      <c r="A222" s="16" t="str">
        <f aca="false">Cash_Receipts_AR!A219</f>
        <v>ARR70218</v>
      </c>
      <c r="B222" s="16" t="str">
        <f aca="false">Cash_Receipts_AR!C219</f>
        <v>C2004</v>
      </c>
      <c r="C222" s="16" t="str">
        <f aca="false">Cash_Receipts_AR!B219</f>
        <v>ARI60260</v>
      </c>
      <c r="D222" s="17" t="n">
        <f aca="false">Cash_Receipts_AR!D219</f>
        <v>46140</v>
      </c>
      <c r="E222" s="18" t="n">
        <f aca="false">Cash_Receipts_AR!E219</f>
        <v>631.11</v>
      </c>
      <c r="F222" s="17" t="n">
        <f aca="false">IFERROR(INDEX(Customer_Invoices_AR!$C$2:$C$601,MATCH(C222,Customer_Invoices_AR!$A$2:$A$601,0)),"")</f>
        <v>46106</v>
      </c>
      <c r="G222" s="16" t="n">
        <f aca="false">IF(F222="","",D222-F222)</f>
        <v>34</v>
      </c>
      <c r="H222" s="21" t="n">
        <f aca="false">IF(F222="","",DATE(YEAR(D222),MONTH(D222),1))</f>
        <v>46113</v>
      </c>
    </row>
    <row r="223" customFormat="false" ht="15" hidden="false" customHeight="false" outlineLevel="0" collapsed="false">
      <c r="A223" s="16" t="str">
        <f aca="false">Cash_Receipts_AR!A220</f>
        <v>ARR70219</v>
      </c>
      <c r="B223" s="16" t="str">
        <f aca="false">Cash_Receipts_AR!C220</f>
        <v>C2006</v>
      </c>
      <c r="C223" s="16" t="str">
        <f aca="false">Cash_Receipts_AR!B220</f>
        <v>ARI60261</v>
      </c>
      <c r="D223" s="17" t="n">
        <f aca="false">Cash_Receipts_AR!D220</f>
        <v>45993</v>
      </c>
      <c r="E223" s="18" t="n">
        <f aca="false">Cash_Receipts_AR!E220</f>
        <v>2395.84</v>
      </c>
      <c r="F223" s="17" t="n">
        <f aca="false">IFERROR(INDEX(Customer_Invoices_AR!$C$2:$C$601,MATCH(C223,Customer_Invoices_AR!$A$2:$A$601,0)),"")</f>
        <v>45955</v>
      </c>
      <c r="G223" s="16" t="n">
        <f aca="false">IF(F223="","",D223-F223)</f>
        <v>38</v>
      </c>
      <c r="H223" s="21" t="n">
        <f aca="false">IF(F223="","",DATE(YEAR(D223),MONTH(D223),1))</f>
        <v>45992</v>
      </c>
    </row>
    <row r="224" customFormat="false" ht="15" hidden="false" customHeight="false" outlineLevel="0" collapsed="false">
      <c r="A224" s="16" t="str">
        <f aca="false">Cash_Receipts_AR!A221</f>
        <v>ARR70220</v>
      </c>
      <c r="B224" s="16" t="str">
        <f aca="false">Cash_Receipts_AR!C221</f>
        <v>C2030</v>
      </c>
      <c r="C224" s="16" t="str">
        <f aca="false">Cash_Receipts_AR!B221</f>
        <v>ARI60262</v>
      </c>
      <c r="D224" s="17" t="n">
        <f aca="false">Cash_Receipts_AR!D221</f>
        <v>45842</v>
      </c>
      <c r="E224" s="18" t="n">
        <f aca="false">Cash_Receipts_AR!E221</f>
        <v>1066.33</v>
      </c>
      <c r="F224" s="17" t="n">
        <f aca="false">IFERROR(INDEX(Customer_Invoices_AR!$C$2:$C$601,MATCH(C224,Customer_Invoices_AR!$A$2:$A$601,0)),"")</f>
        <v>45833</v>
      </c>
      <c r="G224" s="16" t="n">
        <f aca="false">IF(F224="","",D224-F224)</f>
        <v>9</v>
      </c>
      <c r="H224" s="21" t="n">
        <f aca="false">IF(F224="","",DATE(YEAR(D224),MONTH(D224),1))</f>
        <v>45839</v>
      </c>
    </row>
    <row r="225" customFormat="false" ht="15" hidden="false" customHeight="false" outlineLevel="0" collapsed="false">
      <c r="A225" s="16" t="str">
        <f aca="false">Cash_Receipts_AR!A222</f>
        <v>ARR70221</v>
      </c>
      <c r="B225" s="16" t="str">
        <f aca="false">Cash_Receipts_AR!C222</f>
        <v>C2016</v>
      </c>
      <c r="C225" s="16" t="str">
        <f aca="false">Cash_Receipts_AR!B222</f>
        <v>ARI60263</v>
      </c>
      <c r="D225" s="17" t="n">
        <f aca="false">Cash_Receipts_AR!D222</f>
        <v>45727</v>
      </c>
      <c r="E225" s="18" t="n">
        <f aca="false">Cash_Receipts_AR!E222</f>
        <v>4466.52</v>
      </c>
      <c r="F225" s="17" t="n">
        <f aca="false">IFERROR(INDEX(Customer_Invoices_AR!$C$2:$C$601,MATCH(C225,Customer_Invoices_AR!$A$2:$A$601,0)),"")</f>
        <v>45701</v>
      </c>
      <c r="G225" s="16" t="n">
        <f aca="false">IF(F225="","",D225-F225)</f>
        <v>26</v>
      </c>
      <c r="H225" s="21" t="n">
        <f aca="false">IF(F225="","",DATE(YEAR(D225),MONTH(D225),1))</f>
        <v>45717</v>
      </c>
    </row>
    <row r="226" customFormat="false" ht="15" hidden="false" customHeight="false" outlineLevel="0" collapsed="false">
      <c r="A226" s="16" t="str">
        <f aca="false">Cash_Receipts_AR!A223</f>
        <v>ARR70222</v>
      </c>
      <c r="B226" s="16" t="str">
        <f aca="false">Cash_Receipts_AR!C223</f>
        <v>C2011</v>
      </c>
      <c r="C226" s="16" t="str">
        <f aca="false">Cash_Receipts_AR!B223</f>
        <v>ARI60264</v>
      </c>
      <c r="D226" s="17" t="n">
        <f aca="false">Cash_Receipts_AR!D223</f>
        <v>46032</v>
      </c>
      <c r="E226" s="18" t="n">
        <f aca="false">Cash_Receipts_AR!E223</f>
        <v>11407.94</v>
      </c>
      <c r="F226" s="17" t="n">
        <f aca="false">IFERROR(INDEX(Customer_Invoices_AR!$C$2:$C$601,MATCH(C226,Customer_Invoices_AR!$A$2:$A$601,0)),"")</f>
        <v>46018</v>
      </c>
      <c r="G226" s="16" t="n">
        <f aca="false">IF(F226="","",D226-F226)</f>
        <v>14</v>
      </c>
      <c r="H226" s="21" t="n">
        <f aca="false">IF(F226="","",DATE(YEAR(D226),MONTH(D226),1))</f>
        <v>46023</v>
      </c>
    </row>
    <row r="227" customFormat="false" ht="15" hidden="false" customHeight="false" outlineLevel="0" collapsed="false">
      <c r="A227" s="16" t="str">
        <f aca="false">Cash_Receipts_AR!A224</f>
        <v>ARR70223</v>
      </c>
      <c r="B227" s="16" t="str">
        <f aca="false">Cash_Receipts_AR!C224</f>
        <v>C2016</v>
      </c>
      <c r="C227" s="16" t="str">
        <f aca="false">Cash_Receipts_AR!B224</f>
        <v>ARI60265</v>
      </c>
      <c r="D227" s="17" t="n">
        <f aca="false">Cash_Receipts_AR!D224</f>
        <v>45839</v>
      </c>
      <c r="E227" s="18" t="n">
        <f aca="false">Cash_Receipts_AR!E224</f>
        <v>480.9</v>
      </c>
      <c r="F227" s="17" t="n">
        <f aca="false">IFERROR(INDEX(Customer_Invoices_AR!$C$2:$C$601,MATCH(C227,Customer_Invoices_AR!$A$2:$A$601,0)),"")</f>
        <v>45825</v>
      </c>
      <c r="G227" s="16" t="n">
        <f aca="false">IF(F227="","",D227-F227)</f>
        <v>14</v>
      </c>
      <c r="H227" s="21" t="n">
        <f aca="false">IF(F227="","",DATE(YEAR(D227),MONTH(D227),1))</f>
        <v>45839</v>
      </c>
    </row>
    <row r="228" customFormat="false" ht="15" hidden="false" customHeight="false" outlineLevel="0" collapsed="false">
      <c r="A228" s="16" t="str">
        <f aca="false">Cash_Receipts_AR!A225</f>
        <v>ARR70224</v>
      </c>
      <c r="B228" s="16" t="str">
        <f aca="false">Cash_Receipts_AR!C225</f>
        <v>C2013</v>
      </c>
      <c r="C228" s="16" t="str">
        <f aca="false">Cash_Receipts_AR!B225</f>
        <v>ARI60266</v>
      </c>
      <c r="D228" s="17" t="n">
        <f aca="false">Cash_Receipts_AR!D225</f>
        <v>46019</v>
      </c>
      <c r="E228" s="18" t="n">
        <f aca="false">Cash_Receipts_AR!E225</f>
        <v>1105.87</v>
      </c>
      <c r="F228" s="17" t="n">
        <f aca="false">IFERROR(INDEX(Customer_Invoices_AR!$C$2:$C$601,MATCH(C228,Customer_Invoices_AR!$A$2:$A$601,0)),"")</f>
        <v>45986</v>
      </c>
      <c r="G228" s="16" t="n">
        <f aca="false">IF(F228="","",D228-F228)</f>
        <v>33</v>
      </c>
      <c r="H228" s="21" t="n">
        <f aca="false">IF(F228="","",DATE(YEAR(D228),MONTH(D228),1))</f>
        <v>45992</v>
      </c>
    </row>
    <row r="229" customFormat="false" ht="15" hidden="false" customHeight="false" outlineLevel="0" collapsed="false">
      <c r="A229" s="16" t="str">
        <f aca="false">Cash_Receipts_AR!A226</f>
        <v>ARR70225</v>
      </c>
      <c r="B229" s="16" t="str">
        <f aca="false">Cash_Receipts_AR!C226</f>
        <v>C2024</v>
      </c>
      <c r="C229" s="16" t="str">
        <f aca="false">Cash_Receipts_AR!B226</f>
        <v>ARI60267</v>
      </c>
      <c r="D229" s="17" t="n">
        <f aca="false">Cash_Receipts_AR!D226</f>
        <v>45891</v>
      </c>
      <c r="E229" s="18" t="n">
        <f aca="false">Cash_Receipts_AR!E226</f>
        <v>5771.14</v>
      </c>
      <c r="F229" s="17" t="n">
        <f aca="false">IFERROR(INDEX(Customer_Invoices_AR!$C$2:$C$601,MATCH(C229,Customer_Invoices_AR!$A$2:$A$601,0)),"")</f>
        <v>45890</v>
      </c>
      <c r="G229" s="16" t="n">
        <f aca="false">IF(F229="","",D229-F229)</f>
        <v>1</v>
      </c>
      <c r="H229" s="21" t="n">
        <f aca="false">IF(F229="","",DATE(YEAR(D229),MONTH(D229),1))</f>
        <v>45870</v>
      </c>
    </row>
    <row r="230" customFormat="false" ht="15" hidden="false" customHeight="false" outlineLevel="0" collapsed="false">
      <c r="A230" s="16" t="str">
        <f aca="false">Cash_Receipts_AR!A227</f>
        <v>ARR70226</v>
      </c>
      <c r="B230" s="16" t="str">
        <f aca="false">Cash_Receipts_AR!C227</f>
        <v>C2008</v>
      </c>
      <c r="C230" s="16" t="str">
        <f aca="false">Cash_Receipts_AR!B227</f>
        <v>ARI60268</v>
      </c>
      <c r="D230" s="17" t="n">
        <f aca="false">Cash_Receipts_AR!D227</f>
        <v>46041</v>
      </c>
      <c r="E230" s="18" t="n">
        <f aca="false">Cash_Receipts_AR!E227</f>
        <v>5158.41</v>
      </c>
      <c r="F230" s="17" t="n">
        <f aca="false">IFERROR(INDEX(Customer_Invoices_AR!$C$2:$C$601,MATCH(C230,Customer_Invoices_AR!$A$2:$A$601,0)),"")</f>
        <v>46033</v>
      </c>
      <c r="G230" s="16" t="n">
        <f aca="false">IF(F230="","",D230-F230)</f>
        <v>8</v>
      </c>
      <c r="H230" s="21" t="n">
        <f aca="false">IF(F230="","",DATE(YEAR(D230),MONTH(D230),1))</f>
        <v>46023</v>
      </c>
    </row>
    <row r="231" customFormat="false" ht="15" hidden="false" customHeight="false" outlineLevel="0" collapsed="false">
      <c r="A231" s="16" t="str">
        <f aca="false">Cash_Receipts_AR!A228</f>
        <v>ARR70227</v>
      </c>
      <c r="B231" s="16" t="str">
        <f aca="false">Cash_Receipts_AR!C228</f>
        <v>C2003</v>
      </c>
      <c r="C231" s="16" t="str">
        <f aca="false">Cash_Receipts_AR!B228</f>
        <v>ARI60269</v>
      </c>
      <c r="D231" s="17" t="n">
        <f aca="false">Cash_Receipts_AR!D228</f>
        <v>45885</v>
      </c>
      <c r="E231" s="18" t="n">
        <f aca="false">Cash_Receipts_AR!E228</f>
        <v>4193.94</v>
      </c>
      <c r="F231" s="17" t="n">
        <f aca="false">IFERROR(INDEX(Customer_Invoices_AR!$C$2:$C$601,MATCH(C231,Customer_Invoices_AR!$A$2:$A$601,0)),"")</f>
        <v>45849</v>
      </c>
      <c r="G231" s="16" t="n">
        <f aca="false">IF(F231="","",D231-F231)</f>
        <v>36</v>
      </c>
      <c r="H231" s="21" t="n">
        <f aca="false">IF(F231="","",DATE(YEAR(D231),MONTH(D231),1))</f>
        <v>45870</v>
      </c>
    </row>
    <row r="232" customFormat="false" ht="15" hidden="false" customHeight="false" outlineLevel="0" collapsed="false">
      <c r="A232" s="16" t="str">
        <f aca="false">Cash_Receipts_AR!A229</f>
        <v>ARR70228</v>
      </c>
      <c r="B232" s="16" t="str">
        <f aca="false">Cash_Receipts_AR!C229</f>
        <v>C2002</v>
      </c>
      <c r="C232" s="16" t="str">
        <f aca="false">Cash_Receipts_AR!B229</f>
        <v>ARI60270</v>
      </c>
      <c r="D232" s="17" t="n">
        <f aca="false">Cash_Receipts_AR!D229</f>
        <v>45717</v>
      </c>
      <c r="E232" s="18" t="n">
        <f aca="false">Cash_Receipts_AR!E229</f>
        <v>6400.75</v>
      </c>
      <c r="F232" s="17" t="n">
        <f aca="false">IFERROR(INDEX(Customer_Invoices_AR!$C$2:$C$601,MATCH(C232,Customer_Invoices_AR!$A$2:$A$601,0)),"")</f>
        <v>45681</v>
      </c>
      <c r="G232" s="16" t="n">
        <f aca="false">IF(F232="","",D232-F232)</f>
        <v>36</v>
      </c>
      <c r="H232" s="21" t="n">
        <f aca="false">IF(F232="","",DATE(YEAR(D232),MONTH(D232),1))</f>
        <v>45717</v>
      </c>
    </row>
    <row r="233" customFormat="false" ht="15" hidden="false" customHeight="false" outlineLevel="0" collapsed="false">
      <c r="A233" s="16" t="str">
        <f aca="false">Cash_Receipts_AR!A230</f>
        <v>ARR70229</v>
      </c>
      <c r="B233" s="16" t="str">
        <f aca="false">Cash_Receipts_AR!C230</f>
        <v>C2004</v>
      </c>
      <c r="C233" s="16" t="str">
        <f aca="false">Cash_Receipts_AR!B230</f>
        <v>ARI60271</v>
      </c>
      <c r="D233" s="17" t="n">
        <f aca="false">Cash_Receipts_AR!D230</f>
        <v>46156</v>
      </c>
      <c r="E233" s="18" t="n">
        <f aca="false">Cash_Receipts_AR!E230</f>
        <v>261.15</v>
      </c>
      <c r="F233" s="17" t="n">
        <f aca="false">IFERROR(INDEX(Customer_Invoices_AR!$C$2:$C$601,MATCH(C233,Customer_Invoices_AR!$A$2:$A$601,0)),"")</f>
        <v>46132</v>
      </c>
      <c r="G233" s="16" t="n">
        <f aca="false">IF(F233="","",D233-F233)</f>
        <v>24</v>
      </c>
      <c r="H233" s="21" t="n">
        <f aca="false">IF(F233="","",DATE(YEAR(D233),MONTH(D233),1))</f>
        <v>46143</v>
      </c>
    </row>
    <row r="234" customFormat="false" ht="15" hidden="false" customHeight="false" outlineLevel="0" collapsed="false">
      <c r="A234" s="16" t="str">
        <f aca="false">Cash_Receipts_AR!A231</f>
        <v>ARR70230</v>
      </c>
      <c r="B234" s="16" t="str">
        <f aca="false">Cash_Receipts_AR!C231</f>
        <v>C2030</v>
      </c>
      <c r="C234" s="16" t="str">
        <f aca="false">Cash_Receipts_AR!B231</f>
        <v>ARI60272</v>
      </c>
      <c r="D234" s="17" t="n">
        <f aca="false">Cash_Receipts_AR!D231</f>
        <v>45887</v>
      </c>
      <c r="E234" s="18" t="n">
        <f aca="false">Cash_Receipts_AR!E231</f>
        <v>589.73</v>
      </c>
      <c r="F234" s="17" t="n">
        <f aca="false">IFERROR(INDEX(Customer_Invoices_AR!$C$2:$C$601,MATCH(C234,Customer_Invoices_AR!$A$2:$A$601,0)),"")</f>
        <v>45850</v>
      </c>
      <c r="G234" s="16" t="n">
        <f aca="false">IF(F234="","",D234-F234)</f>
        <v>37</v>
      </c>
      <c r="H234" s="21" t="n">
        <f aca="false">IF(F234="","",DATE(YEAR(D234),MONTH(D234),1))</f>
        <v>45870</v>
      </c>
    </row>
    <row r="235" customFormat="false" ht="15" hidden="false" customHeight="false" outlineLevel="0" collapsed="false">
      <c r="A235" s="16" t="str">
        <f aca="false">Cash_Receipts_AR!A232</f>
        <v>ARR70231</v>
      </c>
      <c r="B235" s="16" t="str">
        <f aca="false">Cash_Receipts_AR!C232</f>
        <v>C2026</v>
      </c>
      <c r="C235" s="16" t="str">
        <f aca="false">Cash_Receipts_AR!B232</f>
        <v>ARI60275</v>
      </c>
      <c r="D235" s="17" t="n">
        <f aca="false">Cash_Receipts_AR!D232</f>
        <v>46193</v>
      </c>
      <c r="E235" s="18" t="n">
        <f aca="false">Cash_Receipts_AR!E232</f>
        <v>1071.06</v>
      </c>
      <c r="F235" s="17" t="n">
        <f aca="false">IFERROR(INDEX(Customer_Invoices_AR!$C$2:$C$601,MATCH(C235,Customer_Invoices_AR!$A$2:$A$601,0)),"")</f>
        <v>46192</v>
      </c>
      <c r="G235" s="16" t="n">
        <f aca="false">IF(F235="","",D235-F235)</f>
        <v>1</v>
      </c>
      <c r="H235" s="21" t="n">
        <f aca="false">IF(F235="","",DATE(YEAR(D235),MONTH(D235),1))</f>
        <v>46174</v>
      </c>
    </row>
    <row r="236" customFormat="false" ht="15" hidden="false" customHeight="false" outlineLevel="0" collapsed="false">
      <c r="A236" s="16" t="str">
        <f aca="false">Cash_Receipts_AR!A233</f>
        <v>ARR70232</v>
      </c>
      <c r="B236" s="16" t="str">
        <f aca="false">Cash_Receipts_AR!C233</f>
        <v>C2014</v>
      </c>
      <c r="C236" s="16" t="str">
        <f aca="false">Cash_Receipts_AR!B233</f>
        <v>ARI60276</v>
      </c>
      <c r="D236" s="17" t="n">
        <f aca="false">Cash_Receipts_AR!D233</f>
        <v>46175</v>
      </c>
      <c r="E236" s="18" t="n">
        <f aca="false">Cash_Receipts_AR!E233</f>
        <v>10242.53</v>
      </c>
      <c r="F236" s="17" t="n">
        <f aca="false">IFERROR(INDEX(Customer_Invoices_AR!$C$2:$C$601,MATCH(C236,Customer_Invoices_AR!$A$2:$A$601,0)),"")</f>
        <v>46174</v>
      </c>
      <c r="G236" s="16" t="n">
        <f aca="false">IF(F236="","",D236-F236)</f>
        <v>1</v>
      </c>
      <c r="H236" s="21" t="n">
        <f aca="false">IF(F236="","",DATE(YEAR(D236),MONTH(D236),1))</f>
        <v>46174</v>
      </c>
    </row>
    <row r="237" customFormat="false" ht="15" hidden="false" customHeight="false" outlineLevel="0" collapsed="false">
      <c r="A237" s="16" t="str">
        <f aca="false">Cash_Receipts_AR!A234</f>
        <v>ARR70233</v>
      </c>
      <c r="B237" s="16" t="str">
        <f aca="false">Cash_Receipts_AR!C234</f>
        <v>C2007</v>
      </c>
      <c r="C237" s="16" t="str">
        <f aca="false">Cash_Receipts_AR!B234</f>
        <v>ARI60277</v>
      </c>
      <c r="D237" s="17" t="n">
        <f aca="false">Cash_Receipts_AR!D234</f>
        <v>45700</v>
      </c>
      <c r="E237" s="18" t="n">
        <f aca="false">Cash_Receipts_AR!E234</f>
        <v>3658.12</v>
      </c>
      <c r="F237" s="17" t="n">
        <f aca="false">IFERROR(INDEX(Customer_Invoices_AR!$C$2:$C$601,MATCH(C237,Customer_Invoices_AR!$A$2:$A$601,0)),"")</f>
        <v>45698</v>
      </c>
      <c r="G237" s="16" t="n">
        <f aca="false">IF(F237="","",D237-F237)</f>
        <v>2</v>
      </c>
      <c r="H237" s="21" t="n">
        <f aca="false">IF(F237="","",DATE(YEAR(D237),MONTH(D237),1))</f>
        <v>45689</v>
      </c>
    </row>
    <row r="238" customFormat="false" ht="15" hidden="false" customHeight="false" outlineLevel="0" collapsed="false">
      <c r="A238" s="16" t="str">
        <f aca="false">Cash_Receipts_AR!A235</f>
        <v>ARR70234</v>
      </c>
      <c r="B238" s="16" t="str">
        <f aca="false">Cash_Receipts_AR!C235</f>
        <v>C2009</v>
      </c>
      <c r="C238" s="16" t="str">
        <f aca="false">Cash_Receipts_AR!B235</f>
        <v>ARI60278</v>
      </c>
      <c r="D238" s="17" t="n">
        <f aca="false">Cash_Receipts_AR!D235</f>
        <v>46028</v>
      </c>
      <c r="E238" s="18" t="n">
        <f aca="false">Cash_Receipts_AR!E235</f>
        <v>2604.05</v>
      </c>
      <c r="F238" s="17" t="n">
        <f aca="false">IFERROR(INDEX(Customer_Invoices_AR!$C$2:$C$601,MATCH(C238,Customer_Invoices_AR!$A$2:$A$601,0)),"")</f>
        <v>46005</v>
      </c>
      <c r="G238" s="16" t="n">
        <f aca="false">IF(F238="","",D238-F238)</f>
        <v>23</v>
      </c>
      <c r="H238" s="21" t="n">
        <f aca="false">IF(F238="","",DATE(YEAR(D238),MONTH(D238),1))</f>
        <v>46023</v>
      </c>
    </row>
    <row r="239" customFormat="false" ht="15" hidden="false" customHeight="false" outlineLevel="0" collapsed="false">
      <c r="A239" s="16" t="str">
        <f aca="false">Cash_Receipts_AR!A236</f>
        <v>ARR70235</v>
      </c>
      <c r="B239" s="16" t="str">
        <f aca="false">Cash_Receipts_AR!C236</f>
        <v>C2028</v>
      </c>
      <c r="C239" s="16" t="str">
        <f aca="false">Cash_Receipts_AR!B236</f>
        <v>ARI60280</v>
      </c>
      <c r="D239" s="17" t="n">
        <f aca="false">Cash_Receipts_AR!D236</f>
        <v>46116</v>
      </c>
      <c r="E239" s="18" t="n">
        <f aca="false">Cash_Receipts_AR!E236</f>
        <v>7427.02</v>
      </c>
      <c r="F239" s="17" t="n">
        <f aca="false">IFERROR(INDEX(Customer_Invoices_AR!$C$2:$C$601,MATCH(C239,Customer_Invoices_AR!$A$2:$A$601,0)),"")</f>
        <v>46094</v>
      </c>
      <c r="G239" s="16" t="n">
        <f aca="false">IF(F239="","",D239-F239)</f>
        <v>22</v>
      </c>
      <c r="H239" s="21" t="n">
        <f aca="false">IF(F239="","",DATE(YEAR(D239),MONTH(D239),1))</f>
        <v>46113</v>
      </c>
    </row>
    <row r="240" customFormat="false" ht="15" hidden="false" customHeight="false" outlineLevel="0" collapsed="false">
      <c r="A240" s="16" t="str">
        <f aca="false">Cash_Receipts_AR!A237</f>
        <v>ARR70236</v>
      </c>
      <c r="B240" s="16" t="str">
        <f aca="false">Cash_Receipts_AR!C237</f>
        <v>C2010</v>
      </c>
      <c r="C240" s="16" t="str">
        <f aca="false">Cash_Receipts_AR!B237</f>
        <v>ARI60281</v>
      </c>
      <c r="D240" s="17" t="n">
        <f aca="false">Cash_Receipts_AR!D237</f>
        <v>46063</v>
      </c>
      <c r="E240" s="18" t="n">
        <f aca="false">Cash_Receipts_AR!E237</f>
        <v>1206.18</v>
      </c>
      <c r="F240" s="17" t="n">
        <f aca="false">IFERROR(INDEX(Customer_Invoices_AR!$C$2:$C$601,MATCH(C240,Customer_Invoices_AR!$A$2:$A$601,0)),"")</f>
        <v>46028</v>
      </c>
      <c r="G240" s="16" t="n">
        <f aca="false">IF(F240="","",D240-F240)</f>
        <v>35</v>
      </c>
      <c r="H240" s="21" t="n">
        <f aca="false">IF(F240="","",DATE(YEAR(D240),MONTH(D240),1))</f>
        <v>46054</v>
      </c>
    </row>
    <row r="241" customFormat="false" ht="15" hidden="false" customHeight="false" outlineLevel="0" collapsed="false">
      <c r="A241" s="16" t="str">
        <f aca="false">Cash_Receipts_AR!A238</f>
        <v>ARR70237</v>
      </c>
      <c r="B241" s="16" t="str">
        <f aca="false">Cash_Receipts_AR!C238</f>
        <v>C2001</v>
      </c>
      <c r="C241" s="16" t="str">
        <f aca="false">Cash_Receipts_AR!B238</f>
        <v>ARI60283</v>
      </c>
      <c r="D241" s="17" t="n">
        <f aca="false">Cash_Receipts_AR!D238</f>
        <v>45765</v>
      </c>
      <c r="E241" s="18" t="n">
        <f aca="false">Cash_Receipts_AR!E238</f>
        <v>7132.42</v>
      </c>
      <c r="F241" s="17" t="n">
        <f aca="false">IFERROR(INDEX(Customer_Invoices_AR!$C$2:$C$601,MATCH(C241,Customer_Invoices_AR!$A$2:$A$601,0)),"")</f>
        <v>45735</v>
      </c>
      <c r="G241" s="16" t="n">
        <f aca="false">IF(F241="","",D241-F241)</f>
        <v>30</v>
      </c>
      <c r="H241" s="21" t="n">
        <f aca="false">IF(F241="","",DATE(YEAR(D241),MONTH(D241),1))</f>
        <v>45748</v>
      </c>
    </row>
    <row r="242" customFormat="false" ht="15" hidden="false" customHeight="false" outlineLevel="0" collapsed="false">
      <c r="A242" s="16" t="str">
        <f aca="false">Cash_Receipts_AR!A239</f>
        <v>ARR70238</v>
      </c>
      <c r="B242" s="16" t="str">
        <f aca="false">Cash_Receipts_AR!C239</f>
        <v>C2010</v>
      </c>
      <c r="C242" s="16" t="str">
        <f aca="false">Cash_Receipts_AR!B239</f>
        <v>ARI60284</v>
      </c>
      <c r="D242" s="17" t="n">
        <f aca="false">Cash_Receipts_AR!D239</f>
        <v>45990</v>
      </c>
      <c r="E242" s="18" t="n">
        <f aca="false">Cash_Receipts_AR!E239</f>
        <v>18569.06</v>
      </c>
      <c r="F242" s="17" t="n">
        <f aca="false">IFERROR(INDEX(Customer_Invoices_AR!$C$2:$C$601,MATCH(C242,Customer_Invoices_AR!$A$2:$A$601,0)),"")</f>
        <v>45989</v>
      </c>
      <c r="G242" s="16" t="n">
        <f aca="false">IF(F242="","",D242-F242)</f>
        <v>1</v>
      </c>
      <c r="H242" s="21" t="n">
        <f aca="false">IF(F242="","",DATE(YEAR(D242),MONTH(D242),1))</f>
        <v>45962</v>
      </c>
    </row>
    <row r="243" customFormat="false" ht="15" hidden="false" customHeight="false" outlineLevel="0" collapsed="false">
      <c r="A243" s="16" t="str">
        <f aca="false">Cash_Receipts_AR!A240</f>
        <v>ARR70239</v>
      </c>
      <c r="B243" s="16" t="str">
        <f aca="false">Cash_Receipts_AR!C240</f>
        <v>C2012</v>
      </c>
      <c r="C243" s="16" t="str">
        <f aca="false">Cash_Receipts_AR!B240</f>
        <v>ARI60285</v>
      </c>
      <c r="D243" s="17" t="n">
        <f aca="false">Cash_Receipts_AR!D240</f>
        <v>46105</v>
      </c>
      <c r="E243" s="18" t="n">
        <f aca="false">Cash_Receipts_AR!E240</f>
        <v>2350.26</v>
      </c>
      <c r="F243" s="17" t="n">
        <f aca="false">IFERROR(INDEX(Customer_Invoices_AR!$C$2:$C$601,MATCH(C243,Customer_Invoices_AR!$A$2:$A$601,0)),"")</f>
        <v>46083</v>
      </c>
      <c r="G243" s="16" t="n">
        <f aca="false">IF(F243="","",D243-F243)</f>
        <v>22</v>
      </c>
      <c r="H243" s="21" t="n">
        <f aca="false">IF(F243="","",DATE(YEAR(D243),MONTH(D243),1))</f>
        <v>46082</v>
      </c>
    </row>
    <row r="244" customFormat="false" ht="15" hidden="false" customHeight="false" outlineLevel="0" collapsed="false">
      <c r="A244" s="16" t="str">
        <f aca="false">Cash_Receipts_AR!A241</f>
        <v>ARR70240</v>
      </c>
      <c r="B244" s="16" t="str">
        <f aca="false">Cash_Receipts_AR!C241</f>
        <v>C2027</v>
      </c>
      <c r="C244" s="16" t="str">
        <f aca="false">Cash_Receipts_AR!B241</f>
        <v>ARI60287</v>
      </c>
      <c r="D244" s="17" t="n">
        <f aca="false">Cash_Receipts_AR!D241</f>
        <v>45716</v>
      </c>
      <c r="E244" s="18" t="n">
        <f aca="false">Cash_Receipts_AR!E241</f>
        <v>8795.14</v>
      </c>
      <c r="F244" s="17" t="n">
        <f aca="false">IFERROR(INDEX(Customer_Invoices_AR!$C$2:$C$601,MATCH(C244,Customer_Invoices_AR!$A$2:$A$601,0)),"")</f>
        <v>45694</v>
      </c>
      <c r="G244" s="16" t="n">
        <f aca="false">IF(F244="","",D244-F244)</f>
        <v>22</v>
      </c>
      <c r="H244" s="21" t="n">
        <f aca="false">IF(F244="","",DATE(YEAR(D244),MONTH(D244),1))</f>
        <v>45689</v>
      </c>
    </row>
    <row r="245" customFormat="false" ht="15" hidden="false" customHeight="false" outlineLevel="0" collapsed="false">
      <c r="A245" s="16" t="str">
        <f aca="false">Cash_Receipts_AR!A242</f>
        <v>ARR70241</v>
      </c>
      <c r="B245" s="16" t="str">
        <f aca="false">Cash_Receipts_AR!C242</f>
        <v>C2003</v>
      </c>
      <c r="C245" s="16" t="str">
        <f aca="false">Cash_Receipts_AR!B242</f>
        <v>ARI60288</v>
      </c>
      <c r="D245" s="17" t="n">
        <f aca="false">Cash_Receipts_AR!D242</f>
        <v>46100</v>
      </c>
      <c r="E245" s="18" t="n">
        <f aca="false">Cash_Receipts_AR!E242</f>
        <v>1067.02</v>
      </c>
      <c r="F245" s="17" t="n">
        <f aca="false">IFERROR(INDEX(Customer_Invoices_AR!$C$2:$C$601,MATCH(C245,Customer_Invoices_AR!$A$2:$A$601,0)),"")</f>
        <v>46082</v>
      </c>
      <c r="G245" s="16" t="n">
        <f aca="false">IF(F245="","",D245-F245)</f>
        <v>18</v>
      </c>
      <c r="H245" s="21" t="n">
        <f aca="false">IF(F245="","",DATE(YEAR(D245),MONTH(D245),1))</f>
        <v>46082</v>
      </c>
    </row>
    <row r="246" customFormat="false" ht="15" hidden="false" customHeight="false" outlineLevel="0" collapsed="false">
      <c r="A246" s="16" t="str">
        <f aca="false">Cash_Receipts_AR!A243</f>
        <v>ARR70242</v>
      </c>
      <c r="B246" s="16" t="str">
        <f aca="false">Cash_Receipts_AR!C243</f>
        <v>C2029</v>
      </c>
      <c r="C246" s="16" t="str">
        <f aca="false">Cash_Receipts_AR!B243</f>
        <v>ARI60289</v>
      </c>
      <c r="D246" s="17" t="n">
        <f aca="false">Cash_Receipts_AR!D243</f>
        <v>45862</v>
      </c>
      <c r="E246" s="18" t="n">
        <f aca="false">Cash_Receipts_AR!E243</f>
        <v>606.08</v>
      </c>
      <c r="F246" s="17" t="n">
        <f aca="false">IFERROR(INDEX(Customer_Invoices_AR!$C$2:$C$601,MATCH(C246,Customer_Invoices_AR!$A$2:$A$601,0)),"")</f>
        <v>45857</v>
      </c>
      <c r="G246" s="16" t="n">
        <f aca="false">IF(F246="","",D246-F246)</f>
        <v>5</v>
      </c>
      <c r="H246" s="21" t="n">
        <f aca="false">IF(F246="","",DATE(YEAR(D246),MONTH(D246),1))</f>
        <v>45839</v>
      </c>
    </row>
    <row r="247" customFormat="false" ht="15" hidden="false" customHeight="false" outlineLevel="0" collapsed="false">
      <c r="A247" s="16" t="str">
        <f aca="false">Cash_Receipts_AR!A244</f>
        <v>ARR70243</v>
      </c>
      <c r="B247" s="16" t="str">
        <f aca="false">Cash_Receipts_AR!C244</f>
        <v>C2011</v>
      </c>
      <c r="C247" s="16" t="str">
        <f aca="false">Cash_Receipts_AR!B244</f>
        <v>ARI60290</v>
      </c>
      <c r="D247" s="17" t="n">
        <f aca="false">Cash_Receipts_AR!D244</f>
        <v>45894</v>
      </c>
      <c r="E247" s="18" t="n">
        <f aca="false">Cash_Receipts_AR!E244</f>
        <v>1284.72</v>
      </c>
      <c r="F247" s="17" t="n">
        <f aca="false">IFERROR(INDEX(Customer_Invoices_AR!$C$2:$C$601,MATCH(C247,Customer_Invoices_AR!$A$2:$A$601,0)),"")</f>
        <v>45866</v>
      </c>
      <c r="G247" s="16" t="n">
        <f aca="false">IF(F247="","",D247-F247)</f>
        <v>28</v>
      </c>
      <c r="H247" s="21" t="n">
        <f aca="false">IF(F247="","",DATE(YEAR(D247),MONTH(D247),1))</f>
        <v>45870</v>
      </c>
    </row>
    <row r="248" customFormat="false" ht="15" hidden="false" customHeight="false" outlineLevel="0" collapsed="false">
      <c r="A248" s="16" t="str">
        <f aca="false">Cash_Receipts_AR!A245</f>
        <v>ARR70244</v>
      </c>
      <c r="B248" s="16" t="str">
        <f aca="false">Cash_Receipts_AR!C245</f>
        <v>C2027</v>
      </c>
      <c r="C248" s="16" t="str">
        <f aca="false">Cash_Receipts_AR!B245</f>
        <v>ARI60291</v>
      </c>
      <c r="D248" s="17" t="n">
        <f aca="false">Cash_Receipts_AR!D245</f>
        <v>46001</v>
      </c>
      <c r="E248" s="18" t="n">
        <f aca="false">Cash_Receipts_AR!E245</f>
        <v>568.24</v>
      </c>
      <c r="F248" s="17" t="n">
        <f aca="false">IFERROR(INDEX(Customer_Invoices_AR!$C$2:$C$601,MATCH(C248,Customer_Invoices_AR!$A$2:$A$601,0)),"")</f>
        <v>45967</v>
      </c>
      <c r="G248" s="16" t="n">
        <f aca="false">IF(F248="","",D248-F248)</f>
        <v>34</v>
      </c>
      <c r="H248" s="21" t="n">
        <f aca="false">IF(F248="","",DATE(YEAR(D248),MONTH(D248),1))</f>
        <v>45992</v>
      </c>
    </row>
    <row r="249" customFormat="false" ht="15" hidden="false" customHeight="false" outlineLevel="0" collapsed="false">
      <c r="A249" s="16" t="str">
        <f aca="false">Cash_Receipts_AR!A246</f>
        <v>ARR70245</v>
      </c>
      <c r="B249" s="16" t="str">
        <f aca="false">Cash_Receipts_AR!C246</f>
        <v>C2026</v>
      </c>
      <c r="C249" s="16" t="str">
        <f aca="false">Cash_Receipts_AR!B246</f>
        <v>ARI60293</v>
      </c>
      <c r="D249" s="17" t="n">
        <f aca="false">Cash_Receipts_AR!D246</f>
        <v>46061</v>
      </c>
      <c r="E249" s="18" t="n">
        <f aca="false">Cash_Receipts_AR!E246</f>
        <v>4574.28</v>
      </c>
      <c r="F249" s="17" t="n">
        <f aca="false">IFERROR(INDEX(Customer_Invoices_AR!$C$2:$C$601,MATCH(C249,Customer_Invoices_AR!$A$2:$A$601,0)),"")</f>
        <v>46028</v>
      </c>
      <c r="G249" s="16" t="n">
        <f aca="false">IF(F249="","",D249-F249)</f>
        <v>33</v>
      </c>
      <c r="H249" s="21" t="n">
        <f aca="false">IF(F249="","",DATE(YEAR(D249),MONTH(D249),1))</f>
        <v>46054</v>
      </c>
    </row>
    <row r="250" customFormat="false" ht="15" hidden="false" customHeight="false" outlineLevel="0" collapsed="false">
      <c r="A250" s="16" t="str">
        <f aca="false">Cash_Receipts_AR!A247</f>
        <v>ARR70246</v>
      </c>
      <c r="B250" s="16" t="str">
        <f aca="false">Cash_Receipts_AR!C247</f>
        <v>C2016</v>
      </c>
      <c r="C250" s="16" t="str">
        <f aca="false">Cash_Receipts_AR!B247</f>
        <v>ARI60294</v>
      </c>
      <c r="D250" s="17" t="n">
        <f aca="false">Cash_Receipts_AR!D247</f>
        <v>46199</v>
      </c>
      <c r="E250" s="18" t="n">
        <f aca="false">Cash_Receipts_AR!E247</f>
        <v>3028.37</v>
      </c>
      <c r="F250" s="17" t="n">
        <f aca="false">IFERROR(INDEX(Customer_Invoices_AR!$C$2:$C$601,MATCH(C250,Customer_Invoices_AR!$A$2:$A$601,0)),"")</f>
        <v>46175</v>
      </c>
      <c r="G250" s="16" t="n">
        <f aca="false">IF(F250="","",D250-F250)</f>
        <v>24</v>
      </c>
      <c r="H250" s="21" t="n">
        <f aca="false">IF(F250="","",DATE(YEAR(D250),MONTH(D250),1))</f>
        <v>46174</v>
      </c>
    </row>
    <row r="251" customFormat="false" ht="15" hidden="false" customHeight="false" outlineLevel="0" collapsed="false">
      <c r="A251" s="16" t="str">
        <f aca="false">Cash_Receipts_AR!A248</f>
        <v>ARR70247</v>
      </c>
      <c r="B251" s="16" t="str">
        <f aca="false">Cash_Receipts_AR!C248</f>
        <v>C2004</v>
      </c>
      <c r="C251" s="16" t="str">
        <f aca="false">Cash_Receipts_AR!B248</f>
        <v>ARI60295</v>
      </c>
      <c r="D251" s="17" t="n">
        <f aca="false">Cash_Receipts_AR!D248</f>
        <v>45876</v>
      </c>
      <c r="E251" s="18" t="n">
        <f aca="false">Cash_Receipts_AR!E248</f>
        <v>1302.49</v>
      </c>
      <c r="F251" s="17" t="n">
        <f aca="false">IFERROR(INDEX(Customer_Invoices_AR!$C$2:$C$601,MATCH(C251,Customer_Invoices_AR!$A$2:$A$601,0)),"")</f>
        <v>45860</v>
      </c>
      <c r="G251" s="16" t="n">
        <f aca="false">IF(F251="","",D251-F251)</f>
        <v>16</v>
      </c>
      <c r="H251" s="21" t="n">
        <f aca="false">IF(F251="","",DATE(YEAR(D251),MONTH(D251),1))</f>
        <v>45870</v>
      </c>
    </row>
    <row r="252" customFormat="false" ht="15" hidden="false" customHeight="false" outlineLevel="0" collapsed="false">
      <c r="A252" s="16" t="str">
        <f aca="false">Cash_Receipts_AR!A249</f>
        <v>ARR70248</v>
      </c>
      <c r="B252" s="16" t="str">
        <f aca="false">Cash_Receipts_AR!C249</f>
        <v>C2021</v>
      </c>
      <c r="C252" s="16" t="str">
        <f aca="false">Cash_Receipts_AR!B249</f>
        <v>ARI60297</v>
      </c>
      <c r="D252" s="17" t="n">
        <f aca="false">Cash_Receipts_AR!D249</f>
        <v>45983</v>
      </c>
      <c r="E252" s="18" t="n">
        <f aca="false">Cash_Receipts_AR!E249</f>
        <v>135.24</v>
      </c>
      <c r="F252" s="17" t="n">
        <f aca="false">IFERROR(INDEX(Customer_Invoices_AR!$C$2:$C$601,MATCH(C252,Customer_Invoices_AR!$A$2:$A$601,0)),"")</f>
        <v>45970</v>
      </c>
      <c r="G252" s="16" t="n">
        <f aca="false">IF(F252="","",D252-F252)</f>
        <v>13</v>
      </c>
      <c r="H252" s="21" t="n">
        <f aca="false">IF(F252="","",DATE(YEAR(D252),MONTH(D252),1))</f>
        <v>45962</v>
      </c>
    </row>
    <row r="253" customFormat="false" ht="15" hidden="false" customHeight="false" outlineLevel="0" collapsed="false">
      <c r="A253" s="16" t="str">
        <f aca="false">Cash_Receipts_AR!A250</f>
        <v>ARR70249</v>
      </c>
      <c r="B253" s="16" t="str">
        <f aca="false">Cash_Receipts_AR!C250</f>
        <v>C2001</v>
      </c>
      <c r="C253" s="16" t="str">
        <f aca="false">Cash_Receipts_AR!B250</f>
        <v>ARI60298</v>
      </c>
      <c r="D253" s="17" t="n">
        <f aca="false">Cash_Receipts_AR!D250</f>
        <v>45981</v>
      </c>
      <c r="E253" s="18" t="n">
        <f aca="false">Cash_Receipts_AR!E250</f>
        <v>1211</v>
      </c>
      <c r="F253" s="17" t="n">
        <f aca="false">IFERROR(INDEX(Customer_Invoices_AR!$C$2:$C$601,MATCH(C253,Customer_Invoices_AR!$A$2:$A$601,0)),"")</f>
        <v>45946</v>
      </c>
      <c r="G253" s="16" t="n">
        <f aca="false">IF(F253="","",D253-F253)</f>
        <v>35</v>
      </c>
      <c r="H253" s="21" t="n">
        <f aca="false">IF(F253="","",DATE(YEAR(D253),MONTH(D253),1))</f>
        <v>45962</v>
      </c>
    </row>
    <row r="254" customFormat="false" ht="15" hidden="false" customHeight="false" outlineLevel="0" collapsed="false">
      <c r="A254" s="16" t="str">
        <f aca="false">Cash_Receipts_AR!A251</f>
        <v>ARR70250</v>
      </c>
      <c r="B254" s="16" t="str">
        <f aca="false">Cash_Receipts_AR!C251</f>
        <v>C2001</v>
      </c>
      <c r="C254" s="16" t="str">
        <f aca="false">Cash_Receipts_AR!B251</f>
        <v>ARI60299</v>
      </c>
      <c r="D254" s="17" t="n">
        <f aca="false">Cash_Receipts_AR!D251</f>
        <v>45878</v>
      </c>
      <c r="E254" s="18" t="n">
        <f aca="false">Cash_Receipts_AR!E251</f>
        <v>977.25</v>
      </c>
      <c r="F254" s="17" t="n">
        <f aca="false">IFERROR(INDEX(Customer_Invoices_AR!$C$2:$C$601,MATCH(C254,Customer_Invoices_AR!$A$2:$A$601,0)),"")</f>
        <v>45874</v>
      </c>
      <c r="G254" s="16" t="n">
        <f aca="false">IF(F254="","",D254-F254)</f>
        <v>4</v>
      </c>
      <c r="H254" s="21" t="n">
        <f aca="false">IF(F254="","",DATE(YEAR(D254),MONTH(D254),1))</f>
        <v>45870</v>
      </c>
    </row>
    <row r="255" customFormat="false" ht="15" hidden="false" customHeight="false" outlineLevel="0" collapsed="false">
      <c r="A255" s="16" t="str">
        <f aca="false">Cash_Receipts_AR!A252</f>
        <v>ARR70251</v>
      </c>
      <c r="B255" s="16" t="str">
        <f aca="false">Cash_Receipts_AR!C252</f>
        <v>C2020</v>
      </c>
      <c r="C255" s="16" t="str">
        <f aca="false">Cash_Receipts_AR!B252</f>
        <v>ARI60300</v>
      </c>
      <c r="D255" s="17" t="n">
        <f aca="false">Cash_Receipts_AR!D252</f>
        <v>46013</v>
      </c>
      <c r="E255" s="18" t="n">
        <f aca="false">Cash_Receipts_AR!E252</f>
        <v>1244.94</v>
      </c>
      <c r="F255" s="17" t="n">
        <f aca="false">IFERROR(INDEX(Customer_Invoices_AR!$C$2:$C$601,MATCH(C255,Customer_Invoices_AR!$A$2:$A$601,0)),"")</f>
        <v>46012</v>
      </c>
      <c r="G255" s="16" t="n">
        <f aca="false">IF(F255="","",D255-F255)</f>
        <v>1</v>
      </c>
      <c r="H255" s="21" t="n">
        <f aca="false">IF(F255="","",DATE(YEAR(D255),MONTH(D255),1))</f>
        <v>45992</v>
      </c>
    </row>
    <row r="256" customFormat="false" ht="15" hidden="false" customHeight="false" outlineLevel="0" collapsed="false">
      <c r="A256" s="16" t="str">
        <f aca="false">Cash_Receipts_AR!A253</f>
        <v>ARR70252</v>
      </c>
      <c r="B256" s="16" t="str">
        <f aca="false">Cash_Receipts_AR!C253</f>
        <v>C2027</v>
      </c>
      <c r="C256" s="16" t="str">
        <f aca="false">Cash_Receipts_AR!B253</f>
        <v>ARI60301</v>
      </c>
      <c r="D256" s="17" t="n">
        <f aca="false">Cash_Receipts_AR!D253</f>
        <v>45801</v>
      </c>
      <c r="E256" s="18" t="n">
        <f aca="false">Cash_Receipts_AR!E253</f>
        <v>216.93</v>
      </c>
      <c r="F256" s="17" t="n">
        <f aca="false">IFERROR(INDEX(Customer_Invoices_AR!$C$2:$C$601,MATCH(C256,Customer_Invoices_AR!$A$2:$A$601,0)),"")</f>
        <v>45794</v>
      </c>
      <c r="G256" s="16" t="n">
        <f aca="false">IF(F256="","",D256-F256)</f>
        <v>7</v>
      </c>
      <c r="H256" s="21" t="n">
        <f aca="false">IF(F256="","",DATE(YEAR(D256),MONTH(D256),1))</f>
        <v>45778</v>
      </c>
    </row>
    <row r="257" customFormat="false" ht="15" hidden="false" customHeight="false" outlineLevel="0" collapsed="false">
      <c r="A257" s="16" t="str">
        <f aca="false">Cash_Receipts_AR!A254</f>
        <v>ARR70253</v>
      </c>
      <c r="B257" s="16" t="str">
        <f aca="false">Cash_Receipts_AR!C254</f>
        <v>C2007</v>
      </c>
      <c r="C257" s="16" t="str">
        <f aca="false">Cash_Receipts_AR!B254</f>
        <v>ARI60302</v>
      </c>
      <c r="D257" s="17" t="n">
        <f aca="false">Cash_Receipts_AR!D254</f>
        <v>45720</v>
      </c>
      <c r="E257" s="18" t="n">
        <f aca="false">Cash_Receipts_AR!E254</f>
        <v>547.29</v>
      </c>
      <c r="F257" s="17" t="n">
        <f aca="false">IFERROR(INDEX(Customer_Invoices_AR!$C$2:$C$601,MATCH(C257,Customer_Invoices_AR!$A$2:$A$601,0)),"")</f>
        <v>45719</v>
      </c>
      <c r="G257" s="16" t="n">
        <f aca="false">IF(F257="","",D257-F257)</f>
        <v>1</v>
      </c>
      <c r="H257" s="21" t="n">
        <f aca="false">IF(F257="","",DATE(YEAR(D257),MONTH(D257),1))</f>
        <v>45717</v>
      </c>
    </row>
    <row r="258" customFormat="false" ht="15" hidden="false" customHeight="false" outlineLevel="0" collapsed="false">
      <c r="A258" s="16" t="str">
        <f aca="false">Cash_Receipts_AR!A255</f>
        <v>ARR70254</v>
      </c>
      <c r="B258" s="16" t="str">
        <f aca="false">Cash_Receipts_AR!C255</f>
        <v>C2010</v>
      </c>
      <c r="C258" s="16" t="str">
        <f aca="false">Cash_Receipts_AR!B255</f>
        <v>ARI60303</v>
      </c>
      <c r="D258" s="17" t="n">
        <f aca="false">Cash_Receipts_AR!D255</f>
        <v>46074</v>
      </c>
      <c r="E258" s="18" t="n">
        <f aca="false">Cash_Receipts_AR!E255</f>
        <v>3658.52</v>
      </c>
      <c r="F258" s="17" t="n">
        <f aca="false">IFERROR(INDEX(Customer_Invoices_AR!$C$2:$C$601,MATCH(C258,Customer_Invoices_AR!$A$2:$A$601,0)),"")</f>
        <v>46058</v>
      </c>
      <c r="G258" s="16" t="n">
        <f aca="false">IF(F258="","",D258-F258)</f>
        <v>16</v>
      </c>
      <c r="H258" s="21" t="n">
        <f aca="false">IF(F258="","",DATE(YEAR(D258),MONTH(D258),1))</f>
        <v>46054</v>
      </c>
    </row>
    <row r="259" customFormat="false" ht="15" hidden="false" customHeight="false" outlineLevel="0" collapsed="false">
      <c r="A259" s="16" t="str">
        <f aca="false">Cash_Receipts_AR!A256</f>
        <v>ARR70255</v>
      </c>
      <c r="B259" s="16" t="str">
        <f aca="false">Cash_Receipts_AR!C256</f>
        <v>C2010</v>
      </c>
      <c r="C259" s="16" t="str">
        <f aca="false">Cash_Receipts_AR!B256</f>
        <v>ARI60304</v>
      </c>
      <c r="D259" s="17" t="n">
        <f aca="false">Cash_Receipts_AR!D256</f>
        <v>45963</v>
      </c>
      <c r="E259" s="18" t="n">
        <f aca="false">Cash_Receipts_AR!E256</f>
        <v>721.08</v>
      </c>
      <c r="F259" s="17" t="n">
        <f aca="false">IFERROR(INDEX(Customer_Invoices_AR!$C$2:$C$601,MATCH(C259,Customer_Invoices_AR!$A$2:$A$601,0)),"")</f>
        <v>45929</v>
      </c>
      <c r="G259" s="16" t="n">
        <f aca="false">IF(F259="","",D259-F259)</f>
        <v>34</v>
      </c>
      <c r="H259" s="21" t="n">
        <f aca="false">IF(F259="","",DATE(YEAR(D259),MONTH(D259),1))</f>
        <v>45962</v>
      </c>
    </row>
    <row r="260" customFormat="false" ht="15" hidden="false" customHeight="false" outlineLevel="0" collapsed="false">
      <c r="A260" s="16" t="str">
        <f aca="false">Cash_Receipts_AR!A257</f>
        <v>ARR70256</v>
      </c>
      <c r="B260" s="16" t="str">
        <f aca="false">Cash_Receipts_AR!C257</f>
        <v>C2013</v>
      </c>
      <c r="C260" s="16" t="str">
        <f aca="false">Cash_Receipts_AR!B257</f>
        <v>ARI60305</v>
      </c>
      <c r="D260" s="17" t="n">
        <f aca="false">Cash_Receipts_AR!D257</f>
        <v>45873</v>
      </c>
      <c r="E260" s="18" t="n">
        <f aca="false">Cash_Receipts_AR!E257</f>
        <v>12262.46</v>
      </c>
      <c r="F260" s="17" t="n">
        <f aca="false">IFERROR(INDEX(Customer_Invoices_AR!$C$2:$C$601,MATCH(C260,Customer_Invoices_AR!$A$2:$A$601,0)),"")</f>
        <v>45868</v>
      </c>
      <c r="G260" s="16" t="n">
        <f aca="false">IF(F260="","",D260-F260)</f>
        <v>5</v>
      </c>
      <c r="H260" s="21" t="n">
        <f aca="false">IF(F260="","",DATE(YEAR(D260),MONTH(D260),1))</f>
        <v>45870</v>
      </c>
    </row>
    <row r="261" customFormat="false" ht="15" hidden="false" customHeight="false" outlineLevel="0" collapsed="false">
      <c r="A261" s="16" t="str">
        <f aca="false">Cash_Receipts_AR!A258</f>
        <v>ARR70257</v>
      </c>
      <c r="B261" s="16" t="str">
        <f aca="false">Cash_Receipts_AR!C258</f>
        <v>C2013</v>
      </c>
      <c r="C261" s="16" t="str">
        <f aca="false">Cash_Receipts_AR!B258</f>
        <v>ARI60306</v>
      </c>
      <c r="D261" s="17" t="n">
        <f aca="false">Cash_Receipts_AR!D258</f>
        <v>45999</v>
      </c>
      <c r="E261" s="18" t="n">
        <f aca="false">Cash_Receipts_AR!E258</f>
        <v>8063.35</v>
      </c>
      <c r="F261" s="17" t="n">
        <f aca="false">IFERROR(INDEX(Customer_Invoices_AR!$C$2:$C$601,MATCH(C261,Customer_Invoices_AR!$A$2:$A$601,0)),"")</f>
        <v>45964</v>
      </c>
      <c r="G261" s="16" t="n">
        <f aca="false">IF(F261="","",D261-F261)</f>
        <v>35</v>
      </c>
      <c r="H261" s="21" t="n">
        <f aca="false">IF(F261="","",DATE(YEAR(D261),MONTH(D261),1))</f>
        <v>45992</v>
      </c>
    </row>
    <row r="262" customFormat="false" ht="15" hidden="false" customHeight="false" outlineLevel="0" collapsed="false">
      <c r="A262" s="16" t="str">
        <f aca="false">Cash_Receipts_AR!A259</f>
        <v>ARR70258</v>
      </c>
      <c r="B262" s="16" t="str">
        <f aca="false">Cash_Receipts_AR!C259</f>
        <v>C2013</v>
      </c>
      <c r="C262" s="16" t="str">
        <f aca="false">Cash_Receipts_AR!B259</f>
        <v>ARI60307</v>
      </c>
      <c r="D262" s="17" t="n">
        <f aca="false">Cash_Receipts_AR!D259</f>
        <v>45809</v>
      </c>
      <c r="E262" s="18" t="n">
        <f aca="false">Cash_Receipts_AR!E259</f>
        <v>1103.36</v>
      </c>
      <c r="F262" s="17" t="n">
        <f aca="false">IFERROR(INDEX(Customer_Invoices_AR!$C$2:$C$601,MATCH(C262,Customer_Invoices_AR!$A$2:$A$601,0)),"")</f>
        <v>45800</v>
      </c>
      <c r="G262" s="16" t="n">
        <f aca="false">IF(F262="","",D262-F262)</f>
        <v>9</v>
      </c>
      <c r="H262" s="21" t="n">
        <f aca="false">IF(F262="","",DATE(YEAR(D262),MONTH(D262),1))</f>
        <v>45809</v>
      </c>
    </row>
    <row r="263" customFormat="false" ht="15" hidden="false" customHeight="false" outlineLevel="0" collapsed="false">
      <c r="A263" s="16" t="str">
        <f aca="false">Cash_Receipts_AR!A260</f>
        <v>ARR70259</v>
      </c>
      <c r="B263" s="16" t="str">
        <f aca="false">Cash_Receipts_AR!C260</f>
        <v>C2014</v>
      </c>
      <c r="C263" s="16" t="str">
        <f aca="false">Cash_Receipts_AR!B260</f>
        <v>ARI60308</v>
      </c>
      <c r="D263" s="17" t="n">
        <f aca="false">Cash_Receipts_AR!D260</f>
        <v>45800</v>
      </c>
      <c r="E263" s="18" t="n">
        <f aca="false">Cash_Receipts_AR!E260</f>
        <v>8101.91</v>
      </c>
      <c r="F263" s="17" t="n">
        <f aca="false">IFERROR(INDEX(Customer_Invoices_AR!$C$2:$C$601,MATCH(C263,Customer_Invoices_AR!$A$2:$A$601,0)),"")</f>
        <v>45799</v>
      </c>
      <c r="G263" s="16" t="n">
        <f aca="false">IF(F263="","",D263-F263)</f>
        <v>1</v>
      </c>
      <c r="H263" s="21" t="n">
        <f aca="false">IF(F263="","",DATE(YEAR(D263),MONTH(D263),1))</f>
        <v>45778</v>
      </c>
    </row>
    <row r="264" customFormat="false" ht="15" hidden="false" customHeight="false" outlineLevel="0" collapsed="false">
      <c r="A264" s="16" t="str">
        <f aca="false">Cash_Receipts_AR!A261</f>
        <v>ARR70260</v>
      </c>
      <c r="B264" s="16" t="str">
        <f aca="false">Cash_Receipts_AR!C261</f>
        <v>C2027</v>
      </c>
      <c r="C264" s="16" t="str">
        <f aca="false">Cash_Receipts_AR!B261</f>
        <v>ARI60311</v>
      </c>
      <c r="D264" s="17" t="n">
        <f aca="false">Cash_Receipts_AR!D261</f>
        <v>45827</v>
      </c>
      <c r="E264" s="18" t="n">
        <f aca="false">Cash_Receipts_AR!E261</f>
        <v>1127.3</v>
      </c>
      <c r="F264" s="17" t="n">
        <f aca="false">IFERROR(INDEX(Customer_Invoices_AR!$C$2:$C$601,MATCH(C264,Customer_Invoices_AR!$A$2:$A$601,0)),"")</f>
        <v>45813</v>
      </c>
      <c r="G264" s="16" t="n">
        <f aca="false">IF(F264="","",D264-F264)</f>
        <v>14</v>
      </c>
      <c r="H264" s="21" t="n">
        <f aca="false">IF(F264="","",DATE(YEAR(D264),MONTH(D264),1))</f>
        <v>45809</v>
      </c>
    </row>
    <row r="265" customFormat="false" ht="15" hidden="false" customHeight="false" outlineLevel="0" collapsed="false">
      <c r="A265" s="16" t="str">
        <f aca="false">Cash_Receipts_AR!A262</f>
        <v>ARR70261</v>
      </c>
      <c r="B265" s="16" t="str">
        <f aca="false">Cash_Receipts_AR!C262</f>
        <v>C2017</v>
      </c>
      <c r="C265" s="16" t="str">
        <f aca="false">Cash_Receipts_AR!B262</f>
        <v>ARI60312</v>
      </c>
      <c r="D265" s="17" t="n">
        <f aca="false">Cash_Receipts_AR!D262</f>
        <v>46177</v>
      </c>
      <c r="E265" s="18" t="n">
        <f aca="false">Cash_Receipts_AR!E262</f>
        <v>1175</v>
      </c>
      <c r="F265" s="17" t="n">
        <f aca="false">IFERROR(INDEX(Customer_Invoices_AR!$C$2:$C$601,MATCH(C265,Customer_Invoices_AR!$A$2:$A$601,0)),"")</f>
        <v>46157</v>
      </c>
      <c r="G265" s="16" t="n">
        <f aca="false">IF(F265="","",D265-F265)</f>
        <v>20</v>
      </c>
      <c r="H265" s="21" t="n">
        <f aca="false">IF(F265="","",DATE(YEAR(D265),MONTH(D265),1))</f>
        <v>46174</v>
      </c>
    </row>
    <row r="266" customFormat="false" ht="15" hidden="false" customHeight="false" outlineLevel="0" collapsed="false">
      <c r="A266" s="16" t="str">
        <f aca="false">Cash_Receipts_AR!A263</f>
        <v>ARR70262</v>
      </c>
      <c r="B266" s="16" t="str">
        <f aca="false">Cash_Receipts_AR!C263</f>
        <v>C2023</v>
      </c>
      <c r="C266" s="16" t="str">
        <f aca="false">Cash_Receipts_AR!B263</f>
        <v>ARI60314</v>
      </c>
      <c r="D266" s="17" t="n">
        <f aca="false">Cash_Receipts_AR!D263</f>
        <v>45760</v>
      </c>
      <c r="E266" s="18" t="n">
        <f aca="false">Cash_Receipts_AR!E263</f>
        <v>4613.92</v>
      </c>
      <c r="F266" s="17" t="n">
        <f aca="false">IFERROR(INDEX(Customer_Invoices_AR!$C$2:$C$601,MATCH(C266,Customer_Invoices_AR!$A$2:$A$601,0)),"")</f>
        <v>45724</v>
      </c>
      <c r="G266" s="16" t="n">
        <f aca="false">IF(F266="","",D266-F266)</f>
        <v>36</v>
      </c>
      <c r="H266" s="21" t="n">
        <f aca="false">IF(F266="","",DATE(YEAR(D266),MONTH(D266),1))</f>
        <v>45748</v>
      </c>
    </row>
    <row r="267" customFormat="false" ht="15" hidden="false" customHeight="false" outlineLevel="0" collapsed="false">
      <c r="A267" s="16" t="str">
        <f aca="false">Cash_Receipts_AR!A264</f>
        <v>ARR70263</v>
      </c>
      <c r="B267" s="16" t="str">
        <f aca="false">Cash_Receipts_AR!C264</f>
        <v>C2025</v>
      </c>
      <c r="C267" s="16" t="str">
        <f aca="false">Cash_Receipts_AR!B264</f>
        <v>ARI60315</v>
      </c>
      <c r="D267" s="17" t="n">
        <f aca="false">Cash_Receipts_AR!D264</f>
        <v>46123</v>
      </c>
      <c r="E267" s="18" t="n">
        <f aca="false">Cash_Receipts_AR!E264</f>
        <v>4776.56</v>
      </c>
      <c r="F267" s="17" t="n">
        <f aca="false">IFERROR(INDEX(Customer_Invoices_AR!$C$2:$C$601,MATCH(C267,Customer_Invoices_AR!$A$2:$A$601,0)),"")</f>
        <v>46122</v>
      </c>
      <c r="G267" s="16" t="n">
        <f aca="false">IF(F267="","",D267-F267)</f>
        <v>1</v>
      </c>
      <c r="H267" s="21" t="n">
        <f aca="false">IF(F267="","",DATE(YEAR(D267),MONTH(D267),1))</f>
        <v>46113</v>
      </c>
    </row>
    <row r="268" customFormat="false" ht="15" hidden="false" customHeight="false" outlineLevel="0" collapsed="false">
      <c r="A268" s="16" t="str">
        <f aca="false">Cash_Receipts_AR!A265</f>
        <v>ARR70264</v>
      </c>
      <c r="B268" s="16" t="str">
        <f aca="false">Cash_Receipts_AR!C265</f>
        <v>C2005</v>
      </c>
      <c r="C268" s="16" t="str">
        <f aca="false">Cash_Receipts_AR!B265</f>
        <v>ARI60316</v>
      </c>
      <c r="D268" s="17" t="n">
        <f aca="false">Cash_Receipts_AR!D265</f>
        <v>45905</v>
      </c>
      <c r="E268" s="18" t="n">
        <f aca="false">Cash_Receipts_AR!E265</f>
        <v>2886.24</v>
      </c>
      <c r="F268" s="17" t="n">
        <f aca="false">IFERROR(INDEX(Customer_Invoices_AR!$C$2:$C$601,MATCH(C268,Customer_Invoices_AR!$A$2:$A$601,0)),"")</f>
        <v>45904</v>
      </c>
      <c r="G268" s="16" t="n">
        <f aca="false">IF(F268="","",D268-F268)</f>
        <v>1</v>
      </c>
      <c r="H268" s="21" t="n">
        <f aca="false">IF(F268="","",DATE(YEAR(D268),MONTH(D268),1))</f>
        <v>45901</v>
      </c>
    </row>
    <row r="269" customFormat="false" ht="15" hidden="false" customHeight="false" outlineLevel="0" collapsed="false">
      <c r="A269" s="16" t="str">
        <f aca="false">Cash_Receipts_AR!A266</f>
        <v>ARR70265</v>
      </c>
      <c r="B269" s="16" t="str">
        <f aca="false">Cash_Receipts_AR!C266</f>
        <v>C2011</v>
      </c>
      <c r="C269" s="16" t="str">
        <f aca="false">Cash_Receipts_AR!B266</f>
        <v>ARI60317</v>
      </c>
      <c r="D269" s="17" t="n">
        <f aca="false">Cash_Receipts_AR!D266</f>
        <v>46169</v>
      </c>
      <c r="E269" s="18" t="n">
        <f aca="false">Cash_Receipts_AR!E266</f>
        <v>4848.57</v>
      </c>
      <c r="F269" s="17" t="n">
        <f aca="false">IFERROR(INDEX(Customer_Invoices_AR!$C$2:$C$601,MATCH(C269,Customer_Invoices_AR!$A$2:$A$601,0)),"")</f>
        <v>46147</v>
      </c>
      <c r="G269" s="16" t="n">
        <f aca="false">IF(F269="","",D269-F269)</f>
        <v>22</v>
      </c>
      <c r="H269" s="21" t="n">
        <f aca="false">IF(F269="","",DATE(YEAR(D269),MONTH(D269),1))</f>
        <v>46143</v>
      </c>
    </row>
    <row r="270" customFormat="false" ht="15" hidden="false" customHeight="false" outlineLevel="0" collapsed="false">
      <c r="A270" s="16" t="str">
        <f aca="false">Cash_Receipts_AR!A267</f>
        <v>ARR70266</v>
      </c>
      <c r="B270" s="16" t="str">
        <f aca="false">Cash_Receipts_AR!C267</f>
        <v>C2019</v>
      </c>
      <c r="C270" s="16" t="str">
        <f aca="false">Cash_Receipts_AR!B267</f>
        <v>ARI60318</v>
      </c>
      <c r="D270" s="17" t="n">
        <f aca="false">Cash_Receipts_AR!D267</f>
        <v>45903</v>
      </c>
      <c r="E270" s="18" t="n">
        <f aca="false">Cash_Receipts_AR!E267</f>
        <v>768.29</v>
      </c>
      <c r="F270" s="17" t="n">
        <f aca="false">IFERROR(INDEX(Customer_Invoices_AR!$C$2:$C$601,MATCH(C270,Customer_Invoices_AR!$A$2:$A$601,0)),"")</f>
        <v>45900</v>
      </c>
      <c r="G270" s="16" t="n">
        <f aca="false">IF(F270="","",D270-F270)</f>
        <v>3</v>
      </c>
      <c r="H270" s="21" t="n">
        <f aca="false">IF(F270="","",DATE(YEAR(D270),MONTH(D270),1))</f>
        <v>45901</v>
      </c>
    </row>
    <row r="271" customFormat="false" ht="15" hidden="false" customHeight="false" outlineLevel="0" collapsed="false">
      <c r="A271" s="16" t="str">
        <f aca="false">Cash_Receipts_AR!A268</f>
        <v>ARR70267</v>
      </c>
      <c r="B271" s="16" t="str">
        <f aca="false">Cash_Receipts_AR!C268</f>
        <v>C2014</v>
      </c>
      <c r="C271" s="16" t="str">
        <f aca="false">Cash_Receipts_AR!B268</f>
        <v>ARI60319</v>
      </c>
      <c r="D271" s="17" t="n">
        <f aca="false">Cash_Receipts_AR!D268</f>
        <v>45747</v>
      </c>
      <c r="E271" s="18" t="n">
        <f aca="false">Cash_Receipts_AR!E268</f>
        <v>16273</v>
      </c>
      <c r="F271" s="17" t="n">
        <f aca="false">IFERROR(INDEX(Customer_Invoices_AR!$C$2:$C$601,MATCH(C271,Customer_Invoices_AR!$A$2:$A$601,0)),"")</f>
        <v>45705</v>
      </c>
      <c r="G271" s="16" t="n">
        <f aca="false">IF(F271="","",D271-F271)</f>
        <v>42</v>
      </c>
      <c r="H271" s="21" t="n">
        <f aca="false">IF(F271="","",DATE(YEAR(D271),MONTH(D271),1))</f>
        <v>45717</v>
      </c>
    </row>
    <row r="272" customFormat="false" ht="15" hidden="false" customHeight="false" outlineLevel="0" collapsed="false">
      <c r="A272" s="16" t="str">
        <f aca="false">Cash_Receipts_AR!A269</f>
        <v>ARR70268</v>
      </c>
      <c r="B272" s="16" t="str">
        <f aca="false">Cash_Receipts_AR!C269</f>
        <v>C2028</v>
      </c>
      <c r="C272" s="16" t="str">
        <f aca="false">Cash_Receipts_AR!B269</f>
        <v>ARI60320</v>
      </c>
      <c r="D272" s="17" t="n">
        <f aca="false">Cash_Receipts_AR!D269</f>
        <v>46060</v>
      </c>
      <c r="E272" s="18" t="n">
        <f aca="false">Cash_Receipts_AR!E269</f>
        <v>3638.89</v>
      </c>
      <c r="F272" s="17" t="n">
        <f aca="false">IFERROR(INDEX(Customer_Invoices_AR!$C$2:$C$601,MATCH(C272,Customer_Invoices_AR!$A$2:$A$601,0)),"")</f>
        <v>46029</v>
      </c>
      <c r="G272" s="16" t="n">
        <f aca="false">IF(F272="","",D272-F272)</f>
        <v>31</v>
      </c>
      <c r="H272" s="21" t="n">
        <f aca="false">IF(F272="","",DATE(YEAR(D272),MONTH(D272),1))</f>
        <v>46054</v>
      </c>
    </row>
    <row r="273" customFormat="false" ht="15" hidden="false" customHeight="false" outlineLevel="0" collapsed="false">
      <c r="A273" s="16" t="str">
        <f aca="false">Cash_Receipts_AR!A270</f>
        <v>ARR70269</v>
      </c>
      <c r="B273" s="16" t="str">
        <f aca="false">Cash_Receipts_AR!C270</f>
        <v>C2018</v>
      </c>
      <c r="C273" s="16" t="str">
        <f aca="false">Cash_Receipts_AR!B270</f>
        <v>ARI60321</v>
      </c>
      <c r="D273" s="17" t="n">
        <f aca="false">Cash_Receipts_AR!D270</f>
        <v>46160</v>
      </c>
      <c r="E273" s="18" t="n">
        <f aca="false">Cash_Receipts_AR!E270</f>
        <v>2307.61</v>
      </c>
      <c r="F273" s="17" t="n">
        <f aca="false">IFERROR(INDEX(Customer_Invoices_AR!$C$2:$C$601,MATCH(C273,Customer_Invoices_AR!$A$2:$A$601,0)),"")</f>
        <v>46118</v>
      </c>
      <c r="G273" s="16" t="n">
        <f aca="false">IF(F273="","",D273-F273)</f>
        <v>42</v>
      </c>
      <c r="H273" s="21" t="n">
        <f aca="false">IF(F273="","",DATE(YEAR(D273),MONTH(D273),1))</f>
        <v>46143</v>
      </c>
    </row>
    <row r="274" customFormat="false" ht="15" hidden="false" customHeight="false" outlineLevel="0" collapsed="false">
      <c r="A274" s="16" t="str">
        <f aca="false">Cash_Receipts_AR!A271</f>
        <v>ARR70270</v>
      </c>
      <c r="B274" s="16" t="str">
        <f aca="false">Cash_Receipts_AR!C271</f>
        <v>C2010</v>
      </c>
      <c r="C274" s="16" t="str">
        <f aca="false">Cash_Receipts_AR!B271</f>
        <v>ARI60323</v>
      </c>
      <c r="D274" s="17" t="n">
        <f aca="false">Cash_Receipts_AR!D271</f>
        <v>45891</v>
      </c>
      <c r="E274" s="18" t="n">
        <f aca="false">Cash_Receipts_AR!E271</f>
        <v>1695.13</v>
      </c>
      <c r="F274" s="17" t="n">
        <f aca="false">IFERROR(INDEX(Customer_Invoices_AR!$C$2:$C$601,MATCH(C274,Customer_Invoices_AR!$A$2:$A$601,0)),"")</f>
        <v>45847</v>
      </c>
      <c r="G274" s="16" t="n">
        <f aca="false">IF(F274="","",D274-F274)</f>
        <v>44</v>
      </c>
      <c r="H274" s="21" t="n">
        <f aca="false">IF(F274="","",DATE(YEAR(D274),MONTH(D274),1))</f>
        <v>45870</v>
      </c>
    </row>
    <row r="275" customFormat="false" ht="15" hidden="false" customHeight="false" outlineLevel="0" collapsed="false">
      <c r="A275" s="16" t="str">
        <f aca="false">Cash_Receipts_AR!A272</f>
        <v>ARR70271</v>
      </c>
      <c r="B275" s="16" t="str">
        <f aca="false">Cash_Receipts_AR!C272</f>
        <v>C2009</v>
      </c>
      <c r="C275" s="16" t="str">
        <f aca="false">Cash_Receipts_AR!B272</f>
        <v>ARI60324</v>
      </c>
      <c r="D275" s="17" t="n">
        <f aca="false">Cash_Receipts_AR!D272</f>
        <v>45698</v>
      </c>
      <c r="E275" s="18" t="n">
        <f aca="false">Cash_Receipts_AR!E272</f>
        <v>1823.04</v>
      </c>
      <c r="F275" s="17" t="n">
        <f aca="false">IFERROR(INDEX(Customer_Invoices_AR!$C$2:$C$601,MATCH(C275,Customer_Invoices_AR!$A$2:$A$601,0)),"")</f>
        <v>45693</v>
      </c>
      <c r="G275" s="16" t="n">
        <f aca="false">IF(F275="","",D275-F275)</f>
        <v>5</v>
      </c>
      <c r="H275" s="21" t="n">
        <f aca="false">IF(F275="","",DATE(YEAR(D275),MONTH(D275),1))</f>
        <v>45689</v>
      </c>
    </row>
    <row r="276" customFormat="false" ht="15" hidden="false" customHeight="false" outlineLevel="0" collapsed="false">
      <c r="A276" s="16" t="str">
        <f aca="false">Cash_Receipts_AR!A273</f>
        <v>ARR70272</v>
      </c>
      <c r="B276" s="16" t="str">
        <f aca="false">Cash_Receipts_AR!C273</f>
        <v>C2008</v>
      </c>
      <c r="C276" s="16" t="str">
        <f aca="false">Cash_Receipts_AR!B273</f>
        <v>ARI60325</v>
      </c>
      <c r="D276" s="17" t="n">
        <f aca="false">Cash_Receipts_AR!D273</f>
        <v>45962</v>
      </c>
      <c r="E276" s="18" t="n">
        <f aca="false">Cash_Receipts_AR!E273</f>
        <v>2034.77</v>
      </c>
      <c r="F276" s="17" t="n">
        <f aca="false">IFERROR(INDEX(Customer_Invoices_AR!$C$2:$C$601,MATCH(C276,Customer_Invoices_AR!$A$2:$A$601,0)),"")</f>
        <v>45953</v>
      </c>
      <c r="G276" s="16" t="n">
        <f aca="false">IF(F276="","",D276-F276)</f>
        <v>9</v>
      </c>
      <c r="H276" s="21" t="n">
        <f aca="false">IF(F276="","",DATE(YEAR(D276),MONTH(D276),1))</f>
        <v>45962</v>
      </c>
    </row>
    <row r="277" customFormat="false" ht="15" hidden="false" customHeight="false" outlineLevel="0" collapsed="false">
      <c r="A277" s="16" t="str">
        <f aca="false">Cash_Receipts_AR!A274</f>
        <v>ARR70273</v>
      </c>
      <c r="B277" s="16" t="str">
        <f aca="false">Cash_Receipts_AR!C274</f>
        <v>C2014</v>
      </c>
      <c r="C277" s="16" t="str">
        <f aca="false">Cash_Receipts_AR!B274</f>
        <v>ARI60327</v>
      </c>
      <c r="D277" s="17" t="n">
        <f aca="false">Cash_Receipts_AR!D274</f>
        <v>46155</v>
      </c>
      <c r="E277" s="18" t="n">
        <f aca="false">Cash_Receipts_AR!E274</f>
        <v>10173.75</v>
      </c>
      <c r="F277" s="17" t="n">
        <f aca="false">IFERROR(INDEX(Customer_Invoices_AR!$C$2:$C$601,MATCH(C277,Customer_Invoices_AR!$A$2:$A$601,0)),"")</f>
        <v>46121</v>
      </c>
      <c r="G277" s="16" t="n">
        <f aca="false">IF(F277="","",D277-F277)</f>
        <v>34</v>
      </c>
      <c r="H277" s="21" t="n">
        <f aca="false">IF(F277="","",DATE(YEAR(D277),MONTH(D277),1))</f>
        <v>46143</v>
      </c>
    </row>
    <row r="278" customFormat="false" ht="15" hidden="false" customHeight="false" outlineLevel="0" collapsed="false">
      <c r="A278" s="16" t="str">
        <f aca="false">Cash_Receipts_AR!A275</f>
        <v>ARR70274</v>
      </c>
      <c r="B278" s="16" t="str">
        <f aca="false">Cash_Receipts_AR!C275</f>
        <v>C2028</v>
      </c>
      <c r="C278" s="16" t="str">
        <f aca="false">Cash_Receipts_AR!B275</f>
        <v>ARI60328</v>
      </c>
      <c r="D278" s="17" t="n">
        <f aca="false">Cash_Receipts_AR!D275</f>
        <v>46050</v>
      </c>
      <c r="E278" s="18" t="n">
        <f aca="false">Cash_Receipts_AR!E275</f>
        <v>538.08</v>
      </c>
      <c r="F278" s="17" t="n">
        <f aca="false">IFERROR(INDEX(Customer_Invoices_AR!$C$2:$C$601,MATCH(C278,Customer_Invoices_AR!$A$2:$A$601,0)),"")</f>
        <v>46045</v>
      </c>
      <c r="G278" s="16" t="n">
        <f aca="false">IF(F278="","",D278-F278)</f>
        <v>5</v>
      </c>
      <c r="H278" s="21" t="n">
        <f aca="false">IF(F278="","",DATE(YEAR(D278),MONTH(D278),1))</f>
        <v>46023</v>
      </c>
    </row>
    <row r="279" customFormat="false" ht="15" hidden="false" customHeight="false" outlineLevel="0" collapsed="false">
      <c r="A279" s="16" t="str">
        <f aca="false">Cash_Receipts_AR!A276</f>
        <v>ARR70275</v>
      </c>
      <c r="B279" s="16" t="str">
        <f aca="false">Cash_Receipts_AR!C276</f>
        <v>C2010</v>
      </c>
      <c r="C279" s="16" t="str">
        <f aca="false">Cash_Receipts_AR!B276</f>
        <v>ARI60329</v>
      </c>
      <c r="D279" s="17" t="n">
        <f aca="false">Cash_Receipts_AR!D276</f>
        <v>46164</v>
      </c>
      <c r="E279" s="18" t="n">
        <f aca="false">Cash_Receipts_AR!E276</f>
        <v>1623.58</v>
      </c>
      <c r="F279" s="17" t="n">
        <f aca="false">IFERROR(INDEX(Customer_Invoices_AR!$C$2:$C$601,MATCH(C279,Customer_Invoices_AR!$A$2:$A$601,0)),"")</f>
        <v>46163</v>
      </c>
      <c r="G279" s="16" t="n">
        <f aca="false">IF(F279="","",D279-F279)</f>
        <v>1</v>
      </c>
      <c r="H279" s="21" t="n">
        <f aca="false">IF(F279="","",DATE(YEAR(D279),MONTH(D279),1))</f>
        <v>46143</v>
      </c>
    </row>
    <row r="280" customFormat="false" ht="15" hidden="false" customHeight="false" outlineLevel="0" collapsed="false">
      <c r="A280" s="16" t="str">
        <f aca="false">Cash_Receipts_AR!A277</f>
        <v>ARR70276</v>
      </c>
      <c r="B280" s="16" t="str">
        <f aca="false">Cash_Receipts_AR!C277</f>
        <v>C2005</v>
      </c>
      <c r="C280" s="16" t="str">
        <f aca="false">Cash_Receipts_AR!B277</f>
        <v>ARI60330</v>
      </c>
      <c r="D280" s="17" t="n">
        <f aca="false">Cash_Receipts_AR!D277</f>
        <v>46006</v>
      </c>
      <c r="E280" s="18" t="n">
        <f aca="false">Cash_Receipts_AR!E277</f>
        <v>5404.68</v>
      </c>
      <c r="F280" s="17" t="n">
        <f aca="false">IFERROR(INDEX(Customer_Invoices_AR!$C$2:$C$601,MATCH(C280,Customer_Invoices_AR!$A$2:$A$601,0)),"")</f>
        <v>46005</v>
      </c>
      <c r="G280" s="16" t="n">
        <f aca="false">IF(F280="","",D280-F280)</f>
        <v>1</v>
      </c>
      <c r="H280" s="21" t="n">
        <f aca="false">IF(F280="","",DATE(YEAR(D280),MONTH(D280),1))</f>
        <v>45992</v>
      </c>
    </row>
    <row r="281" customFormat="false" ht="15" hidden="false" customHeight="false" outlineLevel="0" collapsed="false">
      <c r="A281" s="16" t="str">
        <f aca="false">Cash_Receipts_AR!A278</f>
        <v>ARR70277</v>
      </c>
      <c r="B281" s="16" t="str">
        <f aca="false">Cash_Receipts_AR!C278</f>
        <v>C2014</v>
      </c>
      <c r="C281" s="16" t="str">
        <f aca="false">Cash_Receipts_AR!B278</f>
        <v>ARI60331</v>
      </c>
      <c r="D281" s="17" t="n">
        <f aca="false">Cash_Receipts_AR!D278</f>
        <v>46113</v>
      </c>
      <c r="E281" s="18" t="n">
        <f aca="false">Cash_Receipts_AR!E278</f>
        <v>1687.83</v>
      </c>
      <c r="F281" s="17" t="n">
        <f aca="false">IFERROR(INDEX(Customer_Invoices_AR!$C$2:$C$601,MATCH(C281,Customer_Invoices_AR!$A$2:$A$601,0)),"")</f>
        <v>46090</v>
      </c>
      <c r="G281" s="16" t="n">
        <f aca="false">IF(F281="","",D281-F281)</f>
        <v>23</v>
      </c>
      <c r="H281" s="21" t="n">
        <f aca="false">IF(F281="","",DATE(YEAR(D281),MONTH(D281),1))</f>
        <v>46113</v>
      </c>
    </row>
    <row r="282" customFormat="false" ht="15" hidden="false" customHeight="false" outlineLevel="0" collapsed="false">
      <c r="A282" s="16" t="str">
        <f aca="false">Cash_Receipts_AR!A279</f>
        <v>ARR70278</v>
      </c>
      <c r="B282" s="16" t="str">
        <f aca="false">Cash_Receipts_AR!C279</f>
        <v>C2002</v>
      </c>
      <c r="C282" s="16" t="str">
        <f aca="false">Cash_Receipts_AR!B279</f>
        <v>ARI60332</v>
      </c>
      <c r="D282" s="17" t="n">
        <f aca="false">Cash_Receipts_AR!D279</f>
        <v>45960</v>
      </c>
      <c r="E282" s="18" t="n">
        <f aca="false">Cash_Receipts_AR!E279</f>
        <v>4149.56</v>
      </c>
      <c r="F282" s="17" t="n">
        <f aca="false">IFERROR(INDEX(Customer_Invoices_AR!$C$2:$C$601,MATCH(C282,Customer_Invoices_AR!$A$2:$A$601,0)),"")</f>
        <v>45935</v>
      </c>
      <c r="G282" s="16" t="n">
        <f aca="false">IF(F282="","",D282-F282)</f>
        <v>25</v>
      </c>
      <c r="H282" s="21" t="n">
        <f aca="false">IF(F282="","",DATE(YEAR(D282),MONTH(D282),1))</f>
        <v>45931</v>
      </c>
    </row>
    <row r="283" customFormat="false" ht="15" hidden="false" customHeight="false" outlineLevel="0" collapsed="false">
      <c r="A283" s="16" t="str">
        <f aca="false">Cash_Receipts_AR!A280</f>
        <v>ARR70279</v>
      </c>
      <c r="B283" s="16" t="str">
        <f aca="false">Cash_Receipts_AR!C280</f>
        <v>C2029</v>
      </c>
      <c r="C283" s="16" t="str">
        <f aca="false">Cash_Receipts_AR!B280</f>
        <v>ARI60333</v>
      </c>
      <c r="D283" s="17" t="n">
        <f aca="false">Cash_Receipts_AR!D280</f>
        <v>45751</v>
      </c>
      <c r="E283" s="18" t="n">
        <f aca="false">Cash_Receipts_AR!E280</f>
        <v>2864.37</v>
      </c>
      <c r="F283" s="17" t="n">
        <f aca="false">IFERROR(INDEX(Customer_Invoices_AR!$C$2:$C$601,MATCH(C283,Customer_Invoices_AR!$A$2:$A$601,0)),"")</f>
        <v>45724</v>
      </c>
      <c r="G283" s="16" t="n">
        <f aca="false">IF(F283="","",D283-F283)</f>
        <v>27</v>
      </c>
      <c r="H283" s="21" t="n">
        <f aca="false">IF(F283="","",DATE(YEAR(D283),MONTH(D283),1))</f>
        <v>45748</v>
      </c>
    </row>
    <row r="284" customFormat="false" ht="15" hidden="false" customHeight="false" outlineLevel="0" collapsed="false">
      <c r="A284" s="16" t="str">
        <f aca="false">Cash_Receipts_AR!A281</f>
        <v>ARR70280</v>
      </c>
      <c r="B284" s="16" t="str">
        <f aca="false">Cash_Receipts_AR!C281</f>
        <v>C2006</v>
      </c>
      <c r="C284" s="16" t="str">
        <f aca="false">Cash_Receipts_AR!B281</f>
        <v>ARI60334</v>
      </c>
      <c r="D284" s="17" t="n">
        <f aca="false">Cash_Receipts_AR!D281</f>
        <v>45787</v>
      </c>
      <c r="E284" s="18" t="n">
        <f aca="false">Cash_Receipts_AR!E281</f>
        <v>1208.58</v>
      </c>
      <c r="F284" s="17" t="n">
        <f aca="false">IFERROR(INDEX(Customer_Invoices_AR!$C$2:$C$601,MATCH(C284,Customer_Invoices_AR!$A$2:$A$601,0)),"")</f>
        <v>45767</v>
      </c>
      <c r="G284" s="16" t="n">
        <f aca="false">IF(F284="","",D284-F284)</f>
        <v>20</v>
      </c>
      <c r="H284" s="21" t="n">
        <f aca="false">IF(F284="","",DATE(YEAR(D284),MONTH(D284),1))</f>
        <v>45778</v>
      </c>
    </row>
    <row r="285" customFormat="false" ht="15" hidden="false" customHeight="false" outlineLevel="0" collapsed="false">
      <c r="A285" s="16" t="str">
        <f aca="false">Cash_Receipts_AR!A282</f>
        <v>ARR70281</v>
      </c>
      <c r="B285" s="16" t="str">
        <f aca="false">Cash_Receipts_AR!C282</f>
        <v>C2001</v>
      </c>
      <c r="C285" s="16" t="str">
        <f aca="false">Cash_Receipts_AR!B282</f>
        <v>ARI60335</v>
      </c>
      <c r="D285" s="17" t="n">
        <f aca="false">Cash_Receipts_AR!D282</f>
        <v>45752</v>
      </c>
      <c r="E285" s="18" t="n">
        <f aca="false">Cash_Receipts_AR!E282</f>
        <v>1137.04</v>
      </c>
      <c r="F285" s="17" t="n">
        <f aca="false">IFERROR(INDEX(Customer_Invoices_AR!$C$2:$C$601,MATCH(C285,Customer_Invoices_AR!$A$2:$A$601,0)),"")</f>
        <v>45733</v>
      </c>
      <c r="G285" s="16" t="n">
        <f aca="false">IF(F285="","",D285-F285)</f>
        <v>19</v>
      </c>
      <c r="H285" s="21" t="n">
        <f aca="false">IF(F285="","",DATE(YEAR(D285),MONTH(D285),1))</f>
        <v>45748</v>
      </c>
    </row>
    <row r="286" customFormat="false" ht="15" hidden="false" customHeight="false" outlineLevel="0" collapsed="false">
      <c r="A286" s="16" t="str">
        <f aca="false">Cash_Receipts_AR!A283</f>
        <v>ARR70282</v>
      </c>
      <c r="B286" s="16" t="str">
        <f aca="false">Cash_Receipts_AR!C283</f>
        <v>C2018</v>
      </c>
      <c r="C286" s="16" t="str">
        <f aca="false">Cash_Receipts_AR!B283</f>
        <v>ARI60336</v>
      </c>
      <c r="D286" s="17" t="n">
        <f aca="false">Cash_Receipts_AR!D283</f>
        <v>46115</v>
      </c>
      <c r="E286" s="18" t="n">
        <f aca="false">Cash_Receipts_AR!E283</f>
        <v>415.79</v>
      </c>
      <c r="F286" s="17" t="n">
        <f aca="false">IFERROR(INDEX(Customer_Invoices_AR!$C$2:$C$601,MATCH(C286,Customer_Invoices_AR!$A$2:$A$601,0)),"")</f>
        <v>46088</v>
      </c>
      <c r="G286" s="16" t="n">
        <f aca="false">IF(F286="","",D286-F286)</f>
        <v>27</v>
      </c>
      <c r="H286" s="21" t="n">
        <f aca="false">IF(F286="","",DATE(YEAR(D286),MONTH(D286),1))</f>
        <v>46113</v>
      </c>
    </row>
    <row r="287" customFormat="false" ht="15" hidden="false" customHeight="false" outlineLevel="0" collapsed="false">
      <c r="A287" s="16" t="str">
        <f aca="false">Cash_Receipts_AR!A284</f>
        <v>ARR70283</v>
      </c>
      <c r="B287" s="16" t="str">
        <f aca="false">Cash_Receipts_AR!C284</f>
        <v>C2026</v>
      </c>
      <c r="C287" s="16" t="str">
        <f aca="false">Cash_Receipts_AR!B284</f>
        <v>ARI60337</v>
      </c>
      <c r="D287" s="17" t="n">
        <f aca="false">Cash_Receipts_AR!D284</f>
        <v>45700</v>
      </c>
      <c r="E287" s="18" t="n">
        <f aca="false">Cash_Receipts_AR!E284</f>
        <v>8529.42</v>
      </c>
      <c r="F287" s="17" t="n">
        <f aca="false">IFERROR(INDEX(Customer_Invoices_AR!$C$2:$C$601,MATCH(C287,Customer_Invoices_AR!$A$2:$A$601,0)),"")</f>
        <v>45672</v>
      </c>
      <c r="G287" s="16" t="n">
        <f aca="false">IF(F287="","",D287-F287)</f>
        <v>28</v>
      </c>
      <c r="H287" s="21" t="n">
        <f aca="false">IF(F287="","",DATE(YEAR(D287),MONTH(D287),1))</f>
        <v>45689</v>
      </c>
    </row>
    <row r="288" customFormat="false" ht="15" hidden="false" customHeight="false" outlineLevel="0" collapsed="false">
      <c r="A288" s="16" t="str">
        <f aca="false">Cash_Receipts_AR!A285</f>
        <v>ARR70284</v>
      </c>
      <c r="B288" s="16" t="str">
        <f aca="false">Cash_Receipts_AR!C285</f>
        <v>C2024</v>
      </c>
      <c r="C288" s="16" t="str">
        <f aca="false">Cash_Receipts_AR!B285</f>
        <v>ARI60338</v>
      </c>
      <c r="D288" s="17" t="n">
        <f aca="false">Cash_Receipts_AR!D285</f>
        <v>45992</v>
      </c>
      <c r="E288" s="18" t="n">
        <f aca="false">Cash_Receipts_AR!E285</f>
        <v>2378.01</v>
      </c>
      <c r="F288" s="17" t="n">
        <f aca="false">IFERROR(INDEX(Customer_Invoices_AR!$C$2:$C$601,MATCH(C288,Customer_Invoices_AR!$A$2:$A$601,0)),"")</f>
        <v>45959</v>
      </c>
      <c r="G288" s="16" t="n">
        <f aca="false">IF(F288="","",D288-F288)</f>
        <v>33</v>
      </c>
      <c r="H288" s="21" t="n">
        <f aca="false">IF(F288="","",DATE(YEAR(D288),MONTH(D288),1))</f>
        <v>45992</v>
      </c>
    </row>
    <row r="289" customFormat="false" ht="15" hidden="false" customHeight="false" outlineLevel="0" collapsed="false">
      <c r="A289" s="16" t="str">
        <f aca="false">Cash_Receipts_AR!A286</f>
        <v>ARR70285</v>
      </c>
      <c r="B289" s="16" t="str">
        <f aca="false">Cash_Receipts_AR!C286</f>
        <v>C2013</v>
      </c>
      <c r="C289" s="16" t="str">
        <f aca="false">Cash_Receipts_AR!B286</f>
        <v>ARI60339</v>
      </c>
      <c r="D289" s="17" t="n">
        <f aca="false">Cash_Receipts_AR!D286</f>
        <v>45874</v>
      </c>
      <c r="E289" s="18" t="n">
        <f aca="false">Cash_Receipts_AR!E286</f>
        <v>4975.5</v>
      </c>
      <c r="F289" s="17" t="n">
        <f aca="false">IFERROR(INDEX(Customer_Invoices_AR!$C$2:$C$601,MATCH(C289,Customer_Invoices_AR!$A$2:$A$601,0)),"")</f>
        <v>45859</v>
      </c>
      <c r="G289" s="16" t="n">
        <f aca="false">IF(F289="","",D289-F289)</f>
        <v>15</v>
      </c>
      <c r="H289" s="21" t="n">
        <f aca="false">IF(F289="","",DATE(YEAR(D289),MONTH(D289),1))</f>
        <v>45870</v>
      </c>
    </row>
    <row r="290" customFormat="false" ht="15" hidden="false" customHeight="false" outlineLevel="0" collapsed="false">
      <c r="A290" s="16" t="str">
        <f aca="false">Cash_Receipts_AR!A287</f>
        <v>ARR70286</v>
      </c>
      <c r="B290" s="16" t="str">
        <f aca="false">Cash_Receipts_AR!C287</f>
        <v>C2003</v>
      </c>
      <c r="C290" s="16" t="str">
        <f aca="false">Cash_Receipts_AR!B287</f>
        <v>ARI60340</v>
      </c>
      <c r="D290" s="17" t="n">
        <f aca="false">Cash_Receipts_AR!D287</f>
        <v>46109</v>
      </c>
      <c r="E290" s="18" t="n">
        <f aca="false">Cash_Receipts_AR!E287</f>
        <v>713.57</v>
      </c>
      <c r="F290" s="17" t="n">
        <f aca="false">IFERROR(INDEX(Customer_Invoices_AR!$C$2:$C$601,MATCH(C290,Customer_Invoices_AR!$A$2:$A$601,0)),"")</f>
        <v>46095</v>
      </c>
      <c r="G290" s="16" t="n">
        <f aca="false">IF(F290="","",D290-F290)</f>
        <v>14</v>
      </c>
      <c r="H290" s="21" t="n">
        <f aca="false">IF(F290="","",DATE(YEAR(D290),MONTH(D290),1))</f>
        <v>46082</v>
      </c>
    </row>
    <row r="291" customFormat="false" ht="15" hidden="false" customHeight="false" outlineLevel="0" collapsed="false">
      <c r="A291" s="16" t="str">
        <f aca="false">Cash_Receipts_AR!A288</f>
        <v>ARR70287</v>
      </c>
      <c r="B291" s="16" t="str">
        <f aca="false">Cash_Receipts_AR!C288</f>
        <v>C2017</v>
      </c>
      <c r="C291" s="16" t="str">
        <f aca="false">Cash_Receipts_AR!B288</f>
        <v>ARI60341</v>
      </c>
      <c r="D291" s="17" t="n">
        <f aca="false">Cash_Receipts_AR!D288</f>
        <v>45984</v>
      </c>
      <c r="E291" s="18" t="n">
        <f aca="false">Cash_Receipts_AR!E288</f>
        <v>3180.99</v>
      </c>
      <c r="F291" s="17" t="n">
        <f aca="false">IFERROR(INDEX(Customer_Invoices_AR!$C$2:$C$601,MATCH(C291,Customer_Invoices_AR!$A$2:$A$601,0)),"")</f>
        <v>45958</v>
      </c>
      <c r="G291" s="16" t="n">
        <f aca="false">IF(F291="","",D291-F291)</f>
        <v>26</v>
      </c>
      <c r="H291" s="21" t="n">
        <f aca="false">IF(F291="","",DATE(YEAR(D291),MONTH(D291),1))</f>
        <v>45962</v>
      </c>
    </row>
    <row r="292" customFormat="false" ht="15" hidden="false" customHeight="false" outlineLevel="0" collapsed="false">
      <c r="A292" s="16" t="str">
        <f aca="false">Cash_Receipts_AR!A289</f>
        <v>ARR70288</v>
      </c>
      <c r="B292" s="16" t="str">
        <f aca="false">Cash_Receipts_AR!C289</f>
        <v>C2025</v>
      </c>
      <c r="C292" s="16" t="str">
        <f aca="false">Cash_Receipts_AR!B289</f>
        <v>ARI60342</v>
      </c>
      <c r="D292" s="17" t="n">
        <f aca="false">Cash_Receipts_AR!D289</f>
        <v>46002</v>
      </c>
      <c r="E292" s="18" t="n">
        <f aca="false">Cash_Receipts_AR!E289</f>
        <v>2689.98</v>
      </c>
      <c r="F292" s="17" t="n">
        <f aca="false">IFERROR(INDEX(Customer_Invoices_AR!$C$2:$C$601,MATCH(C292,Customer_Invoices_AR!$A$2:$A$601,0)),"")</f>
        <v>45991</v>
      </c>
      <c r="G292" s="16" t="n">
        <f aca="false">IF(F292="","",D292-F292)</f>
        <v>11</v>
      </c>
      <c r="H292" s="21" t="n">
        <f aca="false">IF(F292="","",DATE(YEAR(D292),MONTH(D292),1))</f>
        <v>45992</v>
      </c>
    </row>
    <row r="293" customFormat="false" ht="15" hidden="false" customHeight="false" outlineLevel="0" collapsed="false">
      <c r="A293" s="16" t="str">
        <f aca="false">Cash_Receipts_AR!A290</f>
        <v>ARR70289</v>
      </c>
      <c r="B293" s="16" t="str">
        <f aca="false">Cash_Receipts_AR!C290</f>
        <v>C2005</v>
      </c>
      <c r="C293" s="16" t="str">
        <f aca="false">Cash_Receipts_AR!B290</f>
        <v>ARI60343</v>
      </c>
      <c r="D293" s="17" t="n">
        <f aca="false">Cash_Receipts_AR!D290</f>
        <v>45734</v>
      </c>
      <c r="E293" s="18" t="n">
        <f aca="false">Cash_Receipts_AR!E290</f>
        <v>216.98</v>
      </c>
      <c r="F293" s="17" t="n">
        <f aca="false">IFERROR(INDEX(Customer_Invoices_AR!$C$2:$C$601,MATCH(C293,Customer_Invoices_AR!$A$2:$A$601,0)),"")</f>
        <v>45704</v>
      </c>
      <c r="G293" s="16" t="n">
        <f aca="false">IF(F293="","",D293-F293)</f>
        <v>30</v>
      </c>
      <c r="H293" s="21" t="n">
        <f aca="false">IF(F293="","",DATE(YEAR(D293),MONTH(D293),1))</f>
        <v>45717</v>
      </c>
    </row>
    <row r="294" customFormat="false" ht="15" hidden="false" customHeight="false" outlineLevel="0" collapsed="false">
      <c r="A294" s="16" t="str">
        <f aca="false">Cash_Receipts_AR!A291</f>
        <v>ARR70290</v>
      </c>
      <c r="B294" s="16" t="str">
        <f aca="false">Cash_Receipts_AR!C291</f>
        <v>C2024</v>
      </c>
      <c r="C294" s="16" t="str">
        <f aca="false">Cash_Receipts_AR!B291</f>
        <v>ARI60346</v>
      </c>
      <c r="D294" s="17" t="n">
        <f aca="false">Cash_Receipts_AR!D291</f>
        <v>46067</v>
      </c>
      <c r="E294" s="18" t="n">
        <f aca="false">Cash_Receipts_AR!E291</f>
        <v>9614.09</v>
      </c>
      <c r="F294" s="17" t="n">
        <f aca="false">IFERROR(INDEX(Customer_Invoices_AR!$C$2:$C$601,MATCH(C294,Customer_Invoices_AR!$A$2:$A$601,0)),"")</f>
        <v>46049</v>
      </c>
      <c r="G294" s="16" t="n">
        <f aca="false">IF(F294="","",D294-F294)</f>
        <v>18</v>
      </c>
      <c r="H294" s="21" t="n">
        <f aca="false">IF(F294="","",DATE(YEAR(D294),MONTH(D294),1))</f>
        <v>46054</v>
      </c>
    </row>
    <row r="295" customFormat="false" ht="15" hidden="false" customHeight="false" outlineLevel="0" collapsed="false">
      <c r="A295" s="16" t="str">
        <f aca="false">Cash_Receipts_AR!A292</f>
        <v>ARR70291</v>
      </c>
      <c r="B295" s="16" t="str">
        <f aca="false">Cash_Receipts_AR!C292</f>
        <v>C2001</v>
      </c>
      <c r="C295" s="16" t="str">
        <f aca="false">Cash_Receipts_AR!B292</f>
        <v>ARI60348</v>
      </c>
      <c r="D295" s="17" t="n">
        <f aca="false">Cash_Receipts_AR!D292</f>
        <v>46104</v>
      </c>
      <c r="E295" s="18" t="n">
        <f aca="false">Cash_Receipts_AR!E292</f>
        <v>4735.08</v>
      </c>
      <c r="F295" s="17" t="n">
        <f aca="false">IFERROR(INDEX(Customer_Invoices_AR!$C$2:$C$601,MATCH(C295,Customer_Invoices_AR!$A$2:$A$601,0)),"")</f>
        <v>46077</v>
      </c>
      <c r="G295" s="16" t="n">
        <f aca="false">IF(F295="","",D295-F295)</f>
        <v>27</v>
      </c>
      <c r="H295" s="21" t="n">
        <f aca="false">IF(F295="","",DATE(YEAR(D295),MONTH(D295),1))</f>
        <v>46082</v>
      </c>
    </row>
    <row r="296" customFormat="false" ht="15" hidden="false" customHeight="false" outlineLevel="0" collapsed="false">
      <c r="A296" s="16" t="str">
        <f aca="false">Cash_Receipts_AR!A293</f>
        <v>ARR70292</v>
      </c>
      <c r="B296" s="16" t="str">
        <f aca="false">Cash_Receipts_AR!C293</f>
        <v>C2001</v>
      </c>
      <c r="C296" s="16" t="str">
        <f aca="false">Cash_Receipts_AR!B293</f>
        <v>ARI60349</v>
      </c>
      <c r="D296" s="17" t="n">
        <f aca="false">Cash_Receipts_AR!D293</f>
        <v>46136</v>
      </c>
      <c r="E296" s="18" t="n">
        <f aca="false">Cash_Receipts_AR!E293</f>
        <v>1845.14</v>
      </c>
      <c r="F296" s="17" t="n">
        <f aca="false">IFERROR(INDEX(Customer_Invoices_AR!$C$2:$C$601,MATCH(C296,Customer_Invoices_AR!$A$2:$A$601,0)),"")</f>
        <v>46106</v>
      </c>
      <c r="G296" s="16" t="n">
        <f aca="false">IF(F296="","",D296-F296)</f>
        <v>30</v>
      </c>
      <c r="H296" s="21" t="n">
        <f aca="false">IF(F296="","",DATE(YEAR(D296),MONTH(D296),1))</f>
        <v>46113</v>
      </c>
    </row>
    <row r="297" customFormat="false" ht="15" hidden="false" customHeight="false" outlineLevel="0" collapsed="false">
      <c r="A297" s="16" t="str">
        <f aca="false">Cash_Receipts_AR!A294</f>
        <v>ARR70293</v>
      </c>
      <c r="B297" s="16" t="str">
        <f aca="false">Cash_Receipts_AR!C294</f>
        <v>C2019</v>
      </c>
      <c r="C297" s="16" t="str">
        <f aca="false">Cash_Receipts_AR!B294</f>
        <v>ARI60352</v>
      </c>
      <c r="D297" s="17" t="n">
        <f aca="false">Cash_Receipts_AR!D294</f>
        <v>46026</v>
      </c>
      <c r="E297" s="18" t="n">
        <f aca="false">Cash_Receipts_AR!E294</f>
        <v>1697.2</v>
      </c>
      <c r="F297" s="17" t="n">
        <f aca="false">IFERROR(INDEX(Customer_Invoices_AR!$C$2:$C$601,MATCH(C297,Customer_Invoices_AR!$A$2:$A$601,0)),"")</f>
        <v>46008</v>
      </c>
      <c r="G297" s="16" t="n">
        <f aca="false">IF(F297="","",D297-F297)</f>
        <v>18</v>
      </c>
      <c r="H297" s="21" t="n">
        <f aca="false">IF(F297="","",DATE(YEAR(D297),MONTH(D297),1))</f>
        <v>46023</v>
      </c>
    </row>
    <row r="298" customFormat="false" ht="15" hidden="false" customHeight="false" outlineLevel="0" collapsed="false">
      <c r="A298" s="16" t="str">
        <f aca="false">Cash_Receipts_AR!A295</f>
        <v>ARR70294</v>
      </c>
      <c r="B298" s="16" t="str">
        <f aca="false">Cash_Receipts_AR!C295</f>
        <v>C2003</v>
      </c>
      <c r="C298" s="16" t="str">
        <f aca="false">Cash_Receipts_AR!B295</f>
        <v>ARI60353</v>
      </c>
      <c r="D298" s="17" t="n">
        <f aca="false">Cash_Receipts_AR!D295</f>
        <v>45904</v>
      </c>
      <c r="E298" s="18" t="n">
        <f aca="false">Cash_Receipts_AR!E295</f>
        <v>2489.37</v>
      </c>
      <c r="F298" s="17" t="n">
        <f aca="false">IFERROR(INDEX(Customer_Invoices_AR!$C$2:$C$601,MATCH(C298,Customer_Invoices_AR!$A$2:$A$601,0)),"")</f>
        <v>45903</v>
      </c>
      <c r="G298" s="16" t="n">
        <f aca="false">IF(F298="","",D298-F298)</f>
        <v>1</v>
      </c>
      <c r="H298" s="21" t="n">
        <f aca="false">IF(F298="","",DATE(YEAR(D298),MONTH(D298),1))</f>
        <v>45901</v>
      </c>
    </row>
    <row r="299" customFormat="false" ht="15" hidden="false" customHeight="false" outlineLevel="0" collapsed="false">
      <c r="A299" s="16" t="str">
        <f aca="false">Cash_Receipts_AR!A296</f>
        <v>ARR70295</v>
      </c>
      <c r="B299" s="16" t="str">
        <f aca="false">Cash_Receipts_AR!C296</f>
        <v>C2009</v>
      </c>
      <c r="C299" s="16" t="str">
        <f aca="false">Cash_Receipts_AR!B296</f>
        <v>ARI60354</v>
      </c>
      <c r="D299" s="17" t="n">
        <f aca="false">Cash_Receipts_AR!D296</f>
        <v>46046</v>
      </c>
      <c r="E299" s="18" t="n">
        <f aca="false">Cash_Receipts_AR!E296</f>
        <v>4439.5</v>
      </c>
      <c r="F299" s="17" t="n">
        <f aca="false">IFERROR(INDEX(Customer_Invoices_AR!$C$2:$C$601,MATCH(C299,Customer_Invoices_AR!$A$2:$A$601,0)),"")</f>
        <v>46028</v>
      </c>
      <c r="G299" s="16" t="n">
        <f aca="false">IF(F299="","",D299-F299)</f>
        <v>18</v>
      </c>
      <c r="H299" s="21" t="n">
        <f aca="false">IF(F299="","",DATE(YEAR(D299),MONTH(D299),1))</f>
        <v>46023</v>
      </c>
    </row>
    <row r="300" customFormat="false" ht="15" hidden="false" customHeight="false" outlineLevel="0" collapsed="false">
      <c r="A300" s="16" t="str">
        <f aca="false">Cash_Receipts_AR!A297</f>
        <v>ARR70296</v>
      </c>
      <c r="B300" s="16" t="str">
        <f aca="false">Cash_Receipts_AR!C297</f>
        <v>C2019</v>
      </c>
      <c r="C300" s="16" t="str">
        <f aca="false">Cash_Receipts_AR!B297</f>
        <v>ARI60355</v>
      </c>
      <c r="D300" s="17" t="n">
        <f aca="false">Cash_Receipts_AR!D297</f>
        <v>45846</v>
      </c>
      <c r="E300" s="18" t="n">
        <f aca="false">Cash_Receipts_AR!E297</f>
        <v>1233.51</v>
      </c>
      <c r="F300" s="17" t="n">
        <f aca="false">IFERROR(INDEX(Customer_Invoices_AR!$C$2:$C$601,MATCH(C300,Customer_Invoices_AR!$A$2:$A$601,0)),"")</f>
        <v>45845</v>
      </c>
      <c r="G300" s="16" t="n">
        <f aca="false">IF(F300="","",D300-F300)</f>
        <v>1</v>
      </c>
      <c r="H300" s="21" t="n">
        <f aca="false">IF(F300="","",DATE(YEAR(D300),MONTH(D300),1))</f>
        <v>45839</v>
      </c>
    </row>
    <row r="301" customFormat="false" ht="15" hidden="false" customHeight="false" outlineLevel="0" collapsed="false">
      <c r="A301" s="16" t="str">
        <f aca="false">Cash_Receipts_AR!A298</f>
        <v>ARR70297</v>
      </c>
      <c r="B301" s="16" t="str">
        <f aca="false">Cash_Receipts_AR!C298</f>
        <v>C2030</v>
      </c>
      <c r="C301" s="16" t="str">
        <f aca="false">Cash_Receipts_AR!B298</f>
        <v>ARI60356</v>
      </c>
      <c r="D301" s="17" t="n">
        <f aca="false">Cash_Receipts_AR!D298</f>
        <v>46152</v>
      </c>
      <c r="E301" s="18" t="n">
        <f aca="false">Cash_Receipts_AR!E298</f>
        <v>552.39</v>
      </c>
      <c r="F301" s="17" t="n">
        <f aca="false">IFERROR(INDEX(Customer_Invoices_AR!$C$2:$C$601,MATCH(C301,Customer_Invoices_AR!$A$2:$A$601,0)),"")</f>
        <v>46136</v>
      </c>
      <c r="G301" s="16" t="n">
        <f aca="false">IF(F301="","",D301-F301)</f>
        <v>16</v>
      </c>
      <c r="H301" s="21" t="n">
        <f aca="false">IF(F301="","",DATE(YEAR(D301),MONTH(D301),1))</f>
        <v>46143</v>
      </c>
    </row>
    <row r="302" customFormat="false" ht="15" hidden="false" customHeight="false" outlineLevel="0" collapsed="false">
      <c r="A302" s="16" t="str">
        <f aca="false">Cash_Receipts_AR!A299</f>
        <v>ARR70298</v>
      </c>
      <c r="B302" s="16" t="str">
        <f aca="false">Cash_Receipts_AR!C299</f>
        <v>C2006</v>
      </c>
      <c r="C302" s="16" t="str">
        <f aca="false">Cash_Receipts_AR!B299</f>
        <v>ARI60357</v>
      </c>
      <c r="D302" s="17" t="n">
        <f aca="false">Cash_Receipts_AR!D299</f>
        <v>46101</v>
      </c>
      <c r="E302" s="18" t="n">
        <f aca="false">Cash_Receipts_AR!E299</f>
        <v>3307.35</v>
      </c>
      <c r="F302" s="17" t="n">
        <f aca="false">IFERROR(INDEX(Customer_Invoices_AR!$C$2:$C$601,MATCH(C302,Customer_Invoices_AR!$A$2:$A$601,0)),"")</f>
        <v>46083</v>
      </c>
      <c r="G302" s="16" t="n">
        <f aca="false">IF(F302="","",D302-F302)</f>
        <v>18</v>
      </c>
      <c r="H302" s="21" t="n">
        <f aca="false">IF(F302="","",DATE(YEAR(D302),MONTH(D302),1))</f>
        <v>46082</v>
      </c>
    </row>
    <row r="303" customFormat="false" ht="15" hidden="false" customHeight="false" outlineLevel="0" collapsed="false">
      <c r="A303" s="16" t="str">
        <f aca="false">Cash_Receipts_AR!A300</f>
        <v>ARR70299</v>
      </c>
      <c r="B303" s="16" t="str">
        <f aca="false">Cash_Receipts_AR!C300</f>
        <v>C2019</v>
      </c>
      <c r="C303" s="16" t="str">
        <f aca="false">Cash_Receipts_AR!B300</f>
        <v>ARI60359</v>
      </c>
      <c r="D303" s="17" t="n">
        <f aca="false">Cash_Receipts_AR!D300</f>
        <v>45758</v>
      </c>
      <c r="E303" s="18" t="n">
        <f aca="false">Cash_Receipts_AR!E300</f>
        <v>7273.52</v>
      </c>
      <c r="F303" s="17" t="n">
        <f aca="false">IFERROR(INDEX(Customer_Invoices_AR!$C$2:$C$601,MATCH(C303,Customer_Invoices_AR!$A$2:$A$601,0)),"")</f>
        <v>45757</v>
      </c>
      <c r="G303" s="16" t="n">
        <f aca="false">IF(F303="","",D303-F303)</f>
        <v>1</v>
      </c>
      <c r="H303" s="21" t="n">
        <f aca="false">IF(F303="","",DATE(YEAR(D303),MONTH(D303),1))</f>
        <v>45748</v>
      </c>
    </row>
    <row r="304" customFormat="false" ht="15" hidden="false" customHeight="false" outlineLevel="0" collapsed="false">
      <c r="A304" s="16" t="str">
        <f aca="false">Cash_Receipts_AR!A301</f>
        <v>ARR70300</v>
      </c>
      <c r="B304" s="16" t="str">
        <f aca="false">Cash_Receipts_AR!C301</f>
        <v>C2007</v>
      </c>
      <c r="C304" s="16" t="str">
        <f aca="false">Cash_Receipts_AR!B301</f>
        <v>ARI60360</v>
      </c>
      <c r="D304" s="17" t="n">
        <f aca="false">Cash_Receipts_AR!D301</f>
        <v>46185</v>
      </c>
      <c r="E304" s="18" t="n">
        <f aca="false">Cash_Receipts_AR!E301</f>
        <v>263.38</v>
      </c>
      <c r="F304" s="17" t="n">
        <f aca="false">IFERROR(INDEX(Customer_Invoices_AR!$C$2:$C$601,MATCH(C304,Customer_Invoices_AR!$A$2:$A$601,0)),"")</f>
        <v>46184</v>
      </c>
      <c r="G304" s="16" t="n">
        <f aca="false">IF(F304="","",D304-F304)</f>
        <v>1</v>
      </c>
      <c r="H304" s="21" t="n">
        <f aca="false">IF(F304="","",DATE(YEAR(D304),MONTH(D304),1))</f>
        <v>46174</v>
      </c>
    </row>
    <row r="305" customFormat="false" ht="15" hidden="false" customHeight="false" outlineLevel="0" collapsed="false">
      <c r="A305" s="16" t="str">
        <f aca="false">Cash_Receipts_AR!A302</f>
        <v>ARR70301</v>
      </c>
      <c r="B305" s="16" t="str">
        <f aca="false">Cash_Receipts_AR!C302</f>
        <v>C2003</v>
      </c>
      <c r="C305" s="16" t="str">
        <f aca="false">Cash_Receipts_AR!B302</f>
        <v>ARI60361</v>
      </c>
      <c r="D305" s="17" t="n">
        <f aca="false">Cash_Receipts_AR!D302</f>
        <v>45929</v>
      </c>
      <c r="E305" s="18" t="n">
        <f aca="false">Cash_Receipts_AR!E302</f>
        <v>1094.43</v>
      </c>
      <c r="F305" s="17" t="n">
        <f aca="false">IFERROR(INDEX(Customer_Invoices_AR!$C$2:$C$601,MATCH(C305,Customer_Invoices_AR!$A$2:$A$601,0)),"")</f>
        <v>45893</v>
      </c>
      <c r="G305" s="16" t="n">
        <f aca="false">IF(F305="","",D305-F305)</f>
        <v>36</v>
      </c>
      <c r="H305" s="21" t="n">
        <f aca="false">IF(F305="","",DATE(YEAR(D305),MONTH(D305),1))</f>
        <v>45901</v>
      </c>
    </row>
    <row r="306" customFormat="false" ht="15" hidden="false" customHeight="false" outlineLevel="0" collapsed="false">
      <c r="A306" s="16" t="str">
        <f aca="false">Cash_Receipts_AR!A303</f>
        <v>ARR70302</v>
      </c>
      <c r="B306" s="16" t="str">
        <f aca="false">Cash_Receipts_AR!C303</f>
        <v>C2025</v>
      </c>
      <c r="C306" s="16" t="str">
        <f aca="false">Cash_Receipts_AR!B303</f>
        <v>ARI60362</v>
      </c>
      <c r="D306" s="17" t="n">
        <f aca="false">Cash_Receipts_AR!D303</f>
        <v>46155</v>
      </c>
      <c r="E306" s="18" t="n">
        <f aca="false">Cash_Receipts_AR!E303</f>
        <v>4195.73</v>
      </c>
      <c r="F306" s="17" t="n">
        <f aca="false">IFERROR(INDEX(Customer_Invoices_AR!$C$2:$C$601,MATCH(C306,Customer_Invoices_AR!$A$2:$A$601,0)),"")</f>
        <v>46154</v>
      </c>
      <c r="G306" s="16" t="n">
        <f aca="false">IF(F306="","",D306-F306)</f>
        <v>1</v>
      </c>
      <c r="H306" s="21" t="n">
        <f aca="false">IF(F306="","",DATE(YEAR(D306),MONTH(D306),1))</f>
        <v>46143</v>
      </c>
    </row>
    <row r="307" customFormat="false" ht="15" hidden="false" customHeight="false" outlineLevel="0" collapsed="false">
      <c r="A307" s="16" t="str">
        <f aca="false">Cash_Receipts_AR!A304</f>
        <v>ARR70303</v>
      </c>
      <c r="B307" s="16" t="str">
        <f aca="false">Cash_Receipts_AR!C304</f>
        <v>C2008</v>
      </c>
      <c r="C307" s="16" t="str">
        <f aca="false">Cash_Receipts_AR!B304</f>
        <v>ARI60364</v>
      </c>
      <c r="D307" s="17" t="n">
        <f aca="false">Cash_Receipts_AR!D304</f>
        <v>45747</v>
      </c>
      <c r="E307" s="18" t="n">
        <f aca="false">Cash_Receipts_AR!E304</f>
        <v>651.54</v>
      </c>
      <c r="F307" s="17" t="n">
        <f aca="false">IFERROR(INDEX(Customer_Invoices_AR!$C$2:$C$601,MATCH(C307,Customer_Invoices_AR!$A$2:$A$601,0)),"")</f>
        <v>45725</v>
      </c>
      <c r="G307" s="16" t="n">
        <f aca="false">IF(F307="","",D307-F307)</f>
        <v>22</v>
      </c>
      <c r="H307" s="21" t="n">
        <f aca="false">IF(F307="","",DATE(YEAR(D307),MONTH(D307),1))</f>
        <v>45717</v>
      </c>
    </row>
    <row r="308" customFormat="false" ht="15" hidden="false" customHeight="false" outlineLevel="0" collapsed="false">
      <c r="A308" s="16" t="str">
        <f aca="false">Cash_Receipts_AR!A305</f>
        <v>ARR70304</v>
      </c>
      <c r="B308" s="16" t="str">
        <f aca="false">Cash_Receipts_AR!C305</f>
        <v>C2020</v>
      </c>
      <c r="C308" s="16" t="str">
        <f aca="false">Cash_Receipts_AR!B305</f>
        <v>ARI60366</v>
      </c>
      <c r="D308" s="17" t="n">
        <f aca="false">Cash_Receipts_AR!D305</f>
        <v>45782</v>
      </c>
      <c r="E308" s="18" t="n">
        <f aca="false">Cash_Receipts_AR!E305</f>
        <v>3935.82</v>
      </c>
      <c r="F308" s="17" t="n">
        <f aca="false">IFERROR(INDEX(Customer_Invoices_AR!$C$2:$C$601,MATCH(C308,Customer_Invoices_AR!$A$2:$A$601,0)),"")</f>
        <v>45747</v>
      </c>
      <c r="G308" s="16" t="n">
        <f aca="false">IF(F308="","",D308-F308)</f>
        <v>35</v>
      </c>
      <c r="H308" s="21" t="n">
        <f aca="false">IF(F308="","",DATE(YEAR(D308),MONTH(D308),1))</f>
        <v>45778</v>
      </c>
    </row>
    <row r="309" customFormat="false" ht="15" hidden="false" customHeight="false" outlineLevel="0" collapsed="false">
      <c r="A309" s="16" t="str">
        <f aca="false">Cash_Receipts_AR!A306</f>
        <v>ARR70305</v>
      </c>
      <c r="B309" s="16" t="str">
        <f aca="false">Cash_Receipts_AR!C306</f>
        <v>C2008</v>
      </c>
      <c r="C309" s="16" t="str">
        <f aca="false">Cash_Receipts_AR!B306</f>
        <v>ARI60367</v>
      </c>
      <c r="D309" s="17" t="n">
        <f aca="false">Cash_Receipts_AR!D306</f>
        <v>45859</v>
      </c>
      <c r="E309" s="18" t="n">
        <f aca="false">Cash_Receipts_AR!E306</f>
        <v>2514.47</v>
      </c>
      <c r="F309" s="17" t="n">
        <f aca="false">IFERROR(INDEX(Customer_Invoices_AR!$C$2:$C$601,MATCH(C309,Customer_Invoices_AR!$A$2:$A$601,0)),"")</f>
        <v>45833</v>
      </c>
      <c r="G309" s="16" t="n">
        <f aca="false">IF(F309="","",D309-F309)</f>
        <v>26</v>
      </c>
      <c r="H309" s="21" t="n">
        <f aca="false">IF(F309="","",DATE(YEAR(D309),MONTH(D309),1))</f>
        <v>45839</v>
      </c>
    </row>
    <row r="310" customFormat="false" ht="15" hidden="false" customHeight="false" outlineLevel="0" collapsed="false">
      <c r="A310" s="16" t="str">
        <f aca="false">Cash_Receipts_AR!A307</f>
        <v>ARR70306</v>
      </c>
      <c r="B310" s="16" t="str">
        <f aca="false">Cash_Receipts_AR!C307</f>
        <v>C2009</v>
      </c>
      <c r="C310" s="16" t="str">
        <f aca="false">Cash_Receipts_AR!B307</f>
        <v>ARI60368</v>
      </c>
      <c r="D310" s="17" t="n">
        <f aca="false">Cash_Receipts_AR!D307</f>
        <v>46080</v>
      </c>
      <c r="E310" s="18" t="n">
        <f aca="false">Cash_Receipts_AR!E307</f>
        <v>6810.57</v>
      </c>
      <c r="F310" s="17" t="n">
        <f aca="false">IFERROR(INDEX(Customer_Invoices_AR!$C$2:$C$601,MATCH(C310,Customer_Invoices_AR!$A$2:$A$601,0)),"")</f>
        <v>46044</v>
      </c>
      <c r="G310" s="16" t="n">
        <f aca="false">IF(F310="","",D310-F310)</f>
        <v>36</v>
      </c>
      <c r="H310" s="21" t="n">
        <f aca="false">IF(F310="","",DATE(YEAR(D310),MONTH(D310),1))</f>
        <v>46054</v>
      </c>
    </row>
    <row r="311" customFormat="false" ht="15" hidden="false" customHeight="false" outlineLevel="0" collapsed="false">
      <c r="A311" s="16" t="str">
        <f aca="false">Cash_Receipts_AR!A308</f>
        <v>ARR70307</v>
      </c>
      <c r="B311" s="16" t="str">
        <f aca="false">Cash_Receipts_AR!C308</f>
        <v>C2020</v>
      </c>
      <c r="C311" s="16" t="str">
        <f aca="false">Cash_Receipts_AR!B308</f>
        <v>ARI60369</v>
      </c>
      <c r="D311" s="17" t="n">
        <f aca="false">Cash_Receipts_AR!D308</f>
        <v>45857</v>
      </c>
      <c r="E311" s="18" t="n">
        <f aca="false">Cash_Receipts_AR!E308</f>
        <v>832.81</v>
      </c>
      <c r="F311" s="17" t="n">
        <f aca="false">IFERROR(INDEX(Customer_Invoices_AR!$C$2:$C$601,MATCH(C311,Customer_Invoices_AR!$A$2:$A$601,0)),"")</f>
        <v>45846</v>
      </c>
      <c r="G311" s="16" t="n">
        <f aca="false">IF(F311="","",D311-F311)</f>
        <v>11</v>
      </c>
      <c r="H311" s="21" t="n">
        <f aca="false">IF(F311="","",DATE(YEAR(D311),MONTH(D311),1))</f>
        <v>45839</v>
      </c>
    </row>
    <row r="312" customFormat="false" ht="15" hidden="false" customHeight="false" outlineLevel="0" collapsed="false">
      <c r="A312" s="16" t="str">
        <f aca="false">Cash_Receipts_AR!A309</f>
        <v>ARR70308</v>
      </c>
      <c r="B312" s="16" t="str">
        <f aca="false">Cash_Receipts_AR!C309</f>
        <v>C2010</v>
      </c>
      <c r="C312" s="16" t="str">
        <f aca="false">Cash_Receipts_AR!B309</f>
        <v>ARI60371</v>
      </c>
      <c r="D312" s="17" t="n">
        <f aca="false">Cash_Receipts_AR!D309</f>
        <v>46151</v>
      </c>
      <c r="E312" s="18" t="n">
        <f aca="false">Cash_Receipts_AR!E309</f>
        <v>7158.33</v>
      </c>
      <c r="F312" s="17" t="n">
        <f aca="false">IFERROR(INDEX(Customer_Invoices_AR!$C$2:$C$601,MATCH(C312,Customer_Invoices_AR!$A$2:$A$601,0)),"")</f>
        <v>46145</v>
      </c>
      <c r="G312" s="16" t="n">
        <f aca="false">IF(F312="","",D312-F312)</f>
        <v>6</v>
      </c>
      <c r="H312" s="21" t="n">
        <f aca="false">IF(F312="","",DATE(YEAR(D312),MONTH(D312),1))</f>
        <v>46143</v>
      </c>
    </row>
    <row r="313" customFormat="false" ht="15" hidden="false" customHeight="false" outlineLevel="0" collapsed="false">
      <c r="A313" s="16" t="str">
        <f aca="false">Cash_Receipts_AR!A310</f>
        <v>ARR70309</v>
      </c>
      <c r="B313" s="16" t="str">
        <f aca="false">Cash_Receipts_AR!C310</f>
        <v>C2012</v>
      </c>
      <c r="C313" s="16" t="str">
        <f aca="false">Cash_Receipts_AR!B310</f>
        <v>ARI60373</v>
      </c>
      <c r="D313" s="17" t="n">
        <f aca="false">Cash_Receipts_AR!D310</f>
        <v>45815</v>
      </c>
      <c r="E313" s="18" t="n">
        <f aca="false">Cash_Receipts_AR!E310</f>
        <v>2035.16</v>
      </c>
      <c r="F313" s="17" t="n">
        <f aca="false">IFERROR(INDEX(Customer_Invoices_AR!$C$2:$C$601,MATCH(C313,Customer_Invoices_AR!$A$2:$A$601,0)),"")</f>
        <v>45794</v>
      </c>
      <c r="G313" s="16" t="n">
        <f aca="false">IF(F313="","",D313-F313)</f>
        <v>21</v>
      </c>
      <c r="H313" s="21" t="n">
        <f aca="false">IF(F313="","",DATE(YEAR(D313),MONTH(D313),1))</f>
        <v>45809</v>
      </c>
    </row>
    <row r="314" customFormat="false" ht="15" hidden="false" customHeight="false" outlineLevel="0" collapsed="false">
      <c r="A314" s="16" t="str">
        <f aca="false">Cash_Receipts_AR!A311</f>
        <v>ARR70310</v>
      </c>
      <c r="B314" s="16" t="str">
        <f aca="false">Cash_Receipts_AR!C311</f>
        <v>C2016</v>
      </c>
      <c r="C314" s="16" t="str">
        <f aca="false">Cash_Receipts_AR!B311</f>
        <v>ARI60374</v>
      </c>
      <c r="D314" s="17" t="n">
        <f aca="false">Cash_Receipts_AR!D311</f>
        <v>46016</v>
      </c>
      <c r="E314" s="18" t="n">
        <f aca="false">Cash_Receipts_AR!E311</f>
        <v>200.01</v>
      </c>
      <c r="F314" s="17" t="n">
        <f aca="false">IFERROR(INDEX(Customer_Invoices_AR!$C$2:$C$601,MATCH(C314,Customer_Invoices_AR!$A$2:$A$601,0)),"")</f>
        <v>46004</v>
      </c>
      <c r="G314" s="16" t="n">
        <f aca="false">IF(F314="","",D314-F314)</f>
        <v>12</v>
      </c>
      <c r="H314" s="21" t="n">
        <f aca="false">IF(F314="","",DATE(YEAR(D314),MONTH(D314),1))</f>
        <v>45992</v>
      </c>
    </row>
    <row r="315" customFormat="false" ht="15" hidden="false" customHeight="false" outlineLevel="0" collapsed="false">
      <c r="A315" s="16" t="str">
        <f aca="false">Cash_Receipts_AR!A312</f>
        <v>ARR70311</v>
      </c>
      <c r="B315" s="16" t="str">
        <f aca="false">Cash_Receipts_AR!C312</f>
        <v>C2030</v>
      </c>
      <c r="C315" s="16" t="str">
        <f aca="false">Cash_Receipts_AR!B312</f>
        <v>ARI60375</v>
      </c>
      <c r="D315" s="17" t="n">
        <f aca="false">Cash_Receipts_AR!D312</f>
        <v>45959</v>
      </c>
      <c r="E315" s="18" t="n">
        <f aca="false">Cash_Receipts_AR!E312</f>
        <v>3178.96</v>
      </c>
      <c r="F315" s="17" t="n">
        <f aca="false">IFERROR(INDEX(Customer_Invoices_AR!$C$2:$C$601,MATCH(C315,Customer_Invoices_AR!$A$2:$A$601,0)),"")</f>
        <v>45958</v>
      </c>
      <c r="G315" s="16" t="n">
        <f aca="false">IF(F315="","",D315-F315)</f>
        <v>1</v>
      </c>
      <c r="H315" s="21" t="n">
        <f aca="false">IF(F315="","",DATE(YEAR(D315),MONTH(D315),1))</f>
        <v>45931</v>
      </c>
    </row>
    <row r="316" customFormat="false" ht="15" hidden="false" customHeight="false" outlineLevel="0" collapsed="false">
      <c r="A316" s="16" t="str">
        <f aca="false">Cash_Receipts_AR!A313</f>
        <v>ARR70312</v>
      </c>
      <c r="B316" s="16" t="str">
        <f aca="false">Cash_Receipts_AR!C313</f>
        <v>C2022</v>
      </c>
      <c r="C316" s="16" t="str">
        <f aca="false">Cash_Receipts_AR!B313</f>
        <v>ARI60376</v>
      </c>
      <c r="D316" s="17" t="n">
        <f aca="false">Cash_Receipts_AR!D313</f>
        <v>45755</v>
      </c>
      <c r="E316" s="18" t="n">
        <f aca="false">Cash_Receipts_AR!E313</f>
        <v>758.25</v>
      </c>
      <c r="F316" s="17" t="n">
        <f aca="false">IFERROR(INDEX(Customer_Invoices_AR!$C$2:$C$601,MATCH(C316,Customer_Invoices_AR!$A$2:$A$601,0)),"")</f>
        <v>45726</v>
      </c>
      <c r="G316" s="16" t="n">
        <f aca="false">IF(F316="","",D316-F316)</f>
        <v>29</v>
      </c>
      <c r="H316" s="21" t="n">
        <f aca="false">IF(F316="","",DATE(YEAR(D316),MONTH(D316),1))</f>
        <v>45748</v>
      </c>
    </row>
    <row r="317" customFormat="false" ht="15" hidden="false" customHeight="false" outlineLevel="0" collapsed="false">
      <c r="A317" s="16" t="str">
        <f aca="false">Cash_Receipts_AR!A314</f>
        <v>ARR70313</v>
      </c>
      <c r="B317" s="16" t="str">
        <f aca="false">Cash_Receipts_AR!C314</f>
        <v>C2017</v>
      </c>
      <c r="C317" s="16" t="str">
        <f aca="false">Cash_Receipts_AR!B314</f>
        <v>ARI60377</v>
      </c>
      <c r="D317" s="17" t="n">
        <f aca="false">Cash_Receipts_AR!D314</f>
        <v>45830</v>
      </c>
      <c r="E317" s="18" t="n">
        <f aca="false">Cash_Receipts_AR!E314</f>
        <v>221.8</v>
      </c>
      <c r="F317" s="17" t="n">
        <f aca="false">IFERROR(INDEX(Customer_Invoices_AR!$C$2:$C$601,MATCH(C317,Customer_Invoices_AR!$A$2:$A$601,0)),"")</f>
        <v>45823</v>
      </c>
      <c r="G317" s="16" t="n">
        <f aca="false">IF(F317="","",D317-F317)</f>
        <v>7</v>
      </c>
      <c r="H317" s="21" t="n">
        <f aca="false">IF(F317="","",DATE(YEAR(D317),MONTH(D317),1))</f>
        <v>45809</v>
      </c>
    </row>
    <row r="318" customFormat="false" ht="15" hidden="false" customHeight="false" outlineLevel="0" collapsed="false">
      <c r="A318" s="16" t="str">
        <f aca="false">Cash_Receipts_AR!A315</f>
        <v>ARR70314</v>
      </c>
      <c r="B318" s="16" t="str">
        <f aca="false">Cash_Receipts_AR!C315</f>
        <v>C2029</v>
      </c>
      <c r="C318" s="16" t="str">
        <f aca="false">Cash_Receipts_AR!B315</f>
        <v>ARI60378</v>
      </c>
      <c r="D318" s="17" t="n">
        <f aca="false">Cash_Receipts_AR!D315</f>
        <v>45949</v>
      </c>
      <c r="E318" s="18" t="n">
        <f aca="false">Cash_Receipts_AR!E315</f>
        <v>5256.82</v>
      </c>
      <c r="F318" s="17" t="n">
        <f aca="false">IFERROR(INDEX(Customer_Invoices_AR!$C$2:$C$601,MATCH(C318,Customer_Invoices_AR!$A$2:$A$601,0)),"")</f>
        <v>45948</v>
      </c>
      <c r="G318" s="16" t="n">
        <f aca="false">IF(F318="","",D318-F318)</f>
        <v>1</v>
      </c>
      <c r="H318" s="21" t="n">
        <f aca="false">IF(F318="","",DATE(YEAR(D318),MONTH(D318),1))</f>
        <v>45931</v>
      </c>
    </row>
    <row r="319" customFormat="false" ht="15" hidden="false" customHeight="false" outlineLevel="0" collapsed="false">
      <c r="A319" s="16" t="str">
        <f aca="false">Cash_Receipts_AR!A316</f>
        <v>ARR70315</v>
      </c>
      <c r="B319" s="16" t="str">
        <f aca="false">Cash_Receipts_AR!C316</f>
        <v>C2011</v>
      </c>
      <c r="C319" s="16" t="str">
        <f aca="false">Cash_Receipts_AR!B316</f>
        <v>ARI60379</v>
      </c>
      <c r="D319" s="17" t="n">
        <f aca="false">Cash_Receipts_AR!D316</f>
        <v>45969</v>
      </c>
      <c r="E319" s="18" t="n">
        <f aca="false">Cash_Receipts_AR!E316</f>
        <v>1450.9</v>
      </c>
      <c r="F319" s="17" t="n">
        <f aca="false">IFERROR(INDEX(Customer_Invoices_AR!$C$2:$C$601,MATCH(C319,Customer_Invoices_AR!$A$2:$A$601,0)),"")</f>
        <v>45931</v>
      </c>
      <c r="G319" s="16" t="n">
        <f aca="false">IF(F319="","",D319-F319)</f>
        <v>38</v>
      </c>
      <c r="H319" s="21" t="n">
        <f aca="false">IF(F319="","",DATE(YEAR(D319),MONTH(D319),1))</f>
        <v>45962</v>
      </c>
    </row>
    <row r="320" customFormat="false" ht="15" hidden="false" customHeight="false" outlineLevel="0" collapsed="false">
      <c r="A320" s="16" t="str">
        <f aca="false">Cash_Receipts_AR!A317</f>
        <v>ARR70316</v>
      </c>
      <c r="B320" s="16" t="str">
        <f aca="false">Cash_Receipts_AR!C317</f>
        <v>C2012</v>
      </c>
      <c r="C320" s="16" t="str">
        <f aca="false">Cash_Receipts_AR!B317</f>
        <v>ARI60380</v>
      </c>
      <c r="D320" s="17" t="n">
        <f aca="false">Cash_Receipts_AR!D317</f>
        <v>45774</v>
      </c>
      <c r="E320" s="18" t="n">
        <f aca="false">Cash_Receipts_AR!E317</f>
        <v>490.44</v>
      </c>
      <c r="F320" s="17" t="n">
        <f aca="false">IFERROR(INDEX(Customer_Invoices_AR!$C$2:$C$601,MATCH(C320,Customer_Invoices_AR!$A$2:$A$601,0)),"")</f>
        <v>45749</v>
      </c>
      <c r="G320" s="16" t="n">
        <f aca="false">IF(F320="","",D320-F320)</f>
        <v>25</v>
      </c>
      <c r="H320" s="21" t="n">
        <f aca="false">IF(F320="","",DATE(YEAR(D320),MONTH(D320),1))</f>
        <v>45748</v>
      </c>
    </row>
    <row r="321" customFormat="false" ht="15" hidden="false" customHeight="false" outlineLevel="0" collapsed="false">
      <c r="A321" s="16" t="str">
        <f aca="false">Cash_Receipts_AR!A318</f>
        <v>ARR70317</v>
      </c>
      <c r="B321" s="16" t="str">
        <f aca="false">Cash_Receipts_AR!C318</f>
        <v>C2018</v>
      </c>
      <c r="C321" s="16" t="str">
        <f aca="false">Cash_Receipts_AR!B318</f>
        <v>ARI60381</v>
      </c>
      <c r="D321" s="17" t="n">
        <f aca="false">Cash_Receipts_AR!D318</f>
        <v>46203</v>
      </c>
      <c r="E321" s="18" t="n">
        <f aca="false">Cash_Receipts_AR!E318</f>
        <v>4069.65</v>
      </c>
      <c r="F321" s="17" t="n">
        <f aca="false">IFERROR(INDEX(Customer_Invoices_AR!$C$2:$C$601,MATCH(C321,Customer_Invoices_AR!$A$2:$A$601,0)),"")</f>
        <v>46171</v>
      </c>
      <c r="G321" s="16" t="n">
        <f aca="false">IF(F321="","",D321-F321)</f>
        <v>32</v>
      </c>
      <c r="H321" s="21" t="n">
        <f aca="false">IF(F321="","",DATE(YEAR(D321),MONTH(D321),1))</f>
        <v>46174</v>
      </c>
    </row>
    <row r="322" customFormat="false" ht="15" hidden="false" customHeight="false" outlineLevel="0" collapsed="false">
      <c r="A322" s="16" t="str">
        <f aca="false">Cash_Receipts_AR!A319</f>
        <v>ARR70318</v>
      </c>
      <c r="B322" s="16" t="str">
        <f aca="false">Cash_Receipts_AR!C319</f>
        <v>C2005</v>
      </c>
      <c r="C322" s="16" t="str">
        <f aca="false">Cash_Receipts_AR!B319</f>
        <v>ARI60382</v>
      </c>
      <c r="D322" s="17" t="n">
        <f aca="false">Cash_Receipts_AR!D319</f>
        <v>45770</v>
      </c>
      <c r="E322" s="18" t="n">
        <f aca="false">Cash_Receipts_AR!E319</f>
        <v>2567.44</v>
      </c>
      <c r="F322" s="17" t="n">
        <f aca="false">IFERROR(INDEX(Customer_Invoices_AR!$C$2:$C$601,MATCH(C322,Customer_Invoices_AR!$A$2:$A$601,0)),"")</f>
        <v>45742</v>
      </c>
      <c r="G322" s="16" t="n">
        <f aca="false">IF(F322="","",D322-F322)</f>
        <v>28</v>
      </c>
      <c r="H322" s="21" t="n">
        <f aca="false">IF(F322="","",DATE(YEAR(D322),MONTH(D322),1))</f>
        <v>45748</v>
      </c>
    </row>
    <row r="323" customFormat="false" ht="15" hidden="false" customHeight="false" outlineLevel="0" collapsed="false">
      <c r="A323" s="16" t="str">
        <f aca="false">Cash_Receipts_AR!A320</f>
        <v>ARR70319</v>
      </c>
      <c r="B323" s="16" t="str">
        <f aca="false">Cash_Receipts_AR!C320</f>
        <v>C2020</v>
      </c>
      <c r="C323" s="16" t="str">
        <f aca="false">Cash_Receipts_AR!B320</f>
        <v>ARI60384</v>
      </c>
      <c r="D323" s="17" t="n">
        <f aca="false">Cash_Receipts_AR!D320</f>
        <v>46087</v>
      </c>
      <c r="E323" s="18" t="n">
        <f aca="false">Cash_Receipts_AR!E320</f>
        <v>898.57</v>
      </c>
      <c r="F323" s="17" t="n">
        <f aca="false">IFERROR(INDEX(Customer_Invoices_AR!$C$2:$C$601,MATCH(C323,Customer_Invoices_AR!$A$2:$A$601,0)),"")</f>
        <v>46050</v>
      </c>
      <c r="G323" s="16" t="n">
        <f aca="false">IF(F323="","",D323-F323)</f>
        <v>37</v>
      </c>
      <c r="H323" s="21" t="n">
        <f aca="false">IF(F323="","",DATE(YEAR(D323),MONTH(D323),1))</f>
        <v>46082</v>
      </c>
    </row>
    <row r="324" customFormat="false" ht="15" hidden="false" customHeight="false" outlineLevel="0" collapsed="false">
      <c r="A324" s="16" t="str">
        <f aca="false">Cash_Receipts_AR!A321</f>
        <v>ARR70320</v>
      </c>
      <c r="B324" s="16" t="str">
        <f aca="false">Cash_Receipts_AR!C321</f>
        <v>C2011</v>
      </c>
      <c r="C324" s="16" t="str">
        <f aca="false">Cash_Receipts_AR!B321</f>
        <v>ARI60385</v>
      </c>
      <c r="D324" s="17" t="n">
        <f aca="false">Cash_Receipts_AR!D321</f>
        <v>45988</v>
      </c>
      <c r="E324" s="18" t="n">
        <f aca="false">Cash_Receipts_AR!E321</f>
        <v>4802.36</v>
      </c>
      <c r="F324" s="17" t="n">
        <f aca="false">IFERROR(INDEX(Customer_Invoices_AR!$C$2:$C$601,MATCH(C324,Customer_Invoices_AR!$A$2:$A$601,0)),"")</f>
        <v>45987</v>
      </c>
      <c r="G324" s="16" t="n">
        <f aca="false">IF(F324="","",D324-F324)</f>
        <v>1</v>
      </c>
      <c r="H324" s="21" t="n">
        <f aca="false">IF(F324="","",DATE(YEAR(D324),MONTH(D324),1))</f>
        <v>45962</v>
      </c>
    </row>
    <row r="325" customFormat="false" ht="15" hidden="false" customHeight="false" outlineLevel="0" collapsed="false">
      <c r="A325" s="16" t="str">
        <f aca="false">Cash_Receipts_AR!A322</f>
        <v>ARR70321</v>
      </c>
      <c r="B325" s="16" t="str">
        <f aca="false">Cash_Receipts_AR!C322</f>
        <v>C2005</v>
      </c>
      <c r="C325" s="16" t="str">
        <f aca="false">Cash_Receipts_AR!B322</f>
        <v>ARI60386</v>
      </c>
      <c r="D325" s="17" t="n">
        <f aca="false">Cash_Receipts_AR!D322</f>
        <v>46144</v>
      </c>
      <c r="E325" s="18" t="n">
        <f aca="false">Cash_Receipts_AR!E322</f>
        <v>14391.87</v>
      </c>
      <c r="F325" s="17" t="n">
        <f aca="false">IFERROR(INDEX(Customer_Invoices_AR!$C$2:$C$601,MATCH(C325,Customer_Invoices_AR!$A$2:$A$601,0)),"")</f>
        <v>46117</v>
      </c>
      <c r="G325" s="16" t="n">
        <f aca="false">IF(F325="","",D325-F325)</f>
        <v>27</v>
      </c>
      <c r="H325" s="21" t="n">
        <f aca="false">IF(F325="","",DATE(YEAR(D325),MONTH(D325),1))</f>
        <v>46143</v>
      </c>
    </row>
    <row r="326" customFormat="false" ht="15" hidden="false" customHeight="false" outlineLevel="0" collapsed="false">
      <c r="A326" s="16" t="str">
        <f aca="false">Cash_Receipts_AR!A323</f>
        <v>ARR70322</v>
      </c>
      <c r="B326" s="16" t="str">
        <f aca="false">Cash_Receipts_AR!C323</f>
        <v>C2019</v>
      </c>
      <c r="C326" s="16" t="str">
        <f aca="false">Cash_Receipts_AR!B323</f>
        <v>ARI60387</v>
      </c>
      <c r="D326" s="17" t="n">
        <f aca="false">Cash_Receipts_AR!D323</f>
        <v>45977</v>
      </c>
      <c r="E326" s="18" t="n">
        <f aca="false">Cash_Receipts_AR!E323</f>
        <v>1054.66</v>
      </c>
      <c r="F326" s="17" t="n">
        <f aca="false">IFERROR(INDEX(Customer_Invoices_AR!$C$2:$C$601,MATCH(C326,Customer_Invoices_AR!$A$2:$A$601,0)),"")</f>
        <v>45965</v>
      </c>
      <c r="G326" s="16" t="n">
        <f aca="false">IF(F326="","",D326-F326)</f>
        <v>12</v>
      </c>
      <c r="H326" s="21" t="n">
        <f aca="false">IF(F326="","",DATE(YEAR(D326),MONTH(D326),1))</f>
        <v>45962</v>
      </c>
    </row>
    <row r="327" customFormat="false" ht="15" hidden="false" customHeight="false" outlineLevel="0" collapsed="false">
      <c r="A327" s="16" t="str">
        <f aca="false">Cash_Receipts_AR!A324</f>
        <v>ARR70323</v>
      </c>
      <c r="B327" s="16" t="str">
        <f aca="false">Cash_Receipts_AR!C324</f>
        <v>C2030</v>
      </c>
      <c r="C327" s="16" t="str">
        <f aca="false">Cash_Receipts_AR!B324</f>
        <v>ARI60388</v>
      </c>
      <c r="D327" s="17" t="n">
        <f aca="false">Cash_Receipts_AR!D324</f>
        <v>46130</v>
      </c>
      <c r="E327" s="18" t="n">
        <f aca="false">Cash_Receipts_AR!E324</f>
        <v>2334.44</v>
      </c>
      <c r="F327" s="17" t="n">
        <f aca="false">IFERROR(INDEX(Customer_Invoices_AR!$C$2:$C$601,MATCH(C327,Customer_Invoices_AR!$A$2:$A$601,0)),"")</f>
        <v>46107</v>
      </c>
      <c r="G327" s="16" t="n">
        <f aca="false">IF(F327="","",D327-F327)</f>
        <v>23</v>
      </c>
      <c r="H327" s="21" t="n">
        <f aca="false">IF(F327="","",DATE(YEAR(D327),MONTH(D327),1))</f>
        <v>46113</v>
      </c>
    </row>
    <row r="328" customFormat="false" ht="15" hidden="false" customHeight="false" outlineLevel="0" collapsed="false">
      <c r="A328" s="16" t="str">
        <f aca="false">Cash_Receipts_AR!A325</f>
        <v>ARR70324</v>
      </c>
      <c r="B328" s="16" t="str">
        <f aca="false">Cash_Receipts_AR!C325</f>
        <v>C2023</v>
      </c>
      <c r="C328" s="16" t="str">
        <f aca="false">Cash_Receipts_AR!B325</f>
        <v>ARI60389</v>
      </c>
      <c r="D328" s="17" t="n">
        <f aca="false">Cash_Receipts_AR!D325</f>
        <v>45706</v>
      </c>
      <c r="E328" s="18" t="n">
        <f aca="false">Cash_Receipts_AR!E325</f>
        <v>1068.52</v>
      </c>
      <c r="F328" s="17" t="n">
        <f aca="false">IFERROR(INDEX(Customer_Invoices_AR!$C$2:$C$601,MATCH(C328,Customer_Invoices_AR!$A$2:$A$601,0)),"")</f>
        <v>45673</v>
      </c>
      <c r="G328" s="16" t="n">
        <f aca="false">IF(F328="","",D328-F328)</f>
        <v>33</v>
      </c>
      <c r="H328" s="21" t="n">
        <f aca="false">IF(F328="","",DATE(YEAR(D328),MONTH(D328),1))</f>
        <v>45689</v>
      </c>
    </row>
    <row r="329" customFormat="false" ht="15" hidden="false" customHeight="false" outlineLevel="0" collapsed="false">
      <c r="A329" s="16" t="str">
        <f aca="false">Cash_Receipts_AR!A326</f>
        <v>ARR70325</v>
      </c>
      <c r="B329" s="16" t="str">
        <f aca="false">Cash_Receipts_AR!C326</f>
        <v>C2009</v>
      </c>
      <c r="C329" s="16" t="str">
        <f aca="false">Cash_Receipts_AR!B326</f>
        <v>ARI60390</v>
      </c>
      <c r="D329" s="17" t="n">
        <f aca="false">Cash_Receipts_AR!D326</f>
        <v>45709</v>
      </c>
      <c r="E329" s="18" t="n">
        <f aca="false">Cash_Receipts_AR!E326</f>
        <v>4621.31</v>
      </c>
      <c r="F329" s="17" t="n">
        <f aca="false">IFERROR(INDEX(Customer_Invoices_AR!$C$2:$C$601,MATCH(C329,Customer_Invoices_AR!$A$2:$A$601,0)),"")</f>
        <v>45682</v>
      </c>
      <c r="G329" s="16" t="n">
        <f aca="false">IF(F329="","",D329-F329)</f>
        <v>27</v>
      </c>
      <c r="H329" s="21" t="n">
        <f aca="false">IF(F329="","",DATE(YEAR(D329),MONTH(D329),1))</f>
        <v>45689</v>
      </c>
    </row>
    <row r="330" customFormat="false" ht="15" hidden="false" customHeight="false" outlineLevel="0" collapsed="false">
      <c r="A330" s="16" t="str">
        <f aca="false">Cash_Receipts_AR!A327</f>
        <v>ARR70326</v>
      </c>
      <c r="B330" s="16" t="str">
        <f aca="false">Cash_Receipts_AR!C327</f>
        <v>C2023</v>
      </c>
      <c r="C330" s="16" t="str">
        <f aca="false">Cash_Receipts_AR!B327</f>
        <v>ARI60391</v>
      </c>
      <c r="D330" s="17" t="n">
        <f aca="false">Cash_Receipts_AR!D327</f>
        <v>46042</v>
      </c>
      <c r="E330" s="18" t="n">
        <f aca="false">Cash_Receipts_AR!E327</f>
        <v>18174.41</v>
      </c>
      <c r="F330" s="17" t="n">
        <f aca="false">IFERROR(INDEX(Customer_Invoices_AR!$C$2:$C$601,MATCH(C330,Customer_Invoices_AR!$A$2:$A$601,0)),"")</f>
        <v>46007</v>
      </c>
      <c r="G330" s="16" t="n">
        <f aca="false">IF(F330="","",D330-F330)</f>
        <v>35</v>
      </c>
      <c r="H330" s="21" t="n">
        <f aca="false">IF(F330="","",DATE(YEAR(D330),MONTH(D330),1))</f>
        <v>46023</v>
      </c>
    </row>
    <row r="331" customFormat="false" ht="15" hidden="false" customHeight="false" outlineLevel="0" collapsed="false">
      <c r="A331" s="16" t="str">
        <f aca="false">Cash_Receipts_AR!A328</f>
        <v>ARR70327</v>
      </c>
      <c r="B331" s="16" t="str">
        <f aca="false">Cash_Receipts_AR!C328</f>
        <v>C2029</v>
      </c>
      <c r="C331" s="16" t="str">
        <f aca="false">Cash_Receipts_AR!B328</f>
        <v>ARI60392</v>
      </c>
      <c r="D331" s="17" t="n">
        <f aca="false">Cash_Receipts_AR!D328</f>
        <v>45977</v>
      </c>
      <c r="E331" s="18" t="n">
        <f aca="false">Cash_Receipts_AR!E328</f>
        <v>1281.1</v>
      </c>
      <c r="F331" s="17" t="n">
        <f aca="false">IFERROR(INDEX(Customer_Invoices_AR!$C$2:$C$601,MATCH(C331,Customer_Invoices_AR!$A$2:$A$601,0)),"")</f>
        <v>45972</v>
      </c>
      <c r="G331" s="16" t="n">
        <f aca="false">IF(F331="","",D331-F331)</f>
        <v>5</v>
      </c>
      <c r="H331" s="21" t="n">
        <f aca="false">IF(F331="","",DATE(YEAR(D331),MONTH(D331),1))</f>
        <v>45962</v>
      </c>
    </row>
    <row r="332" customFormat="false" ht="15" hidden="false" customHeight="false" outlineLevel="0" collapsed="false">
      <c r="A332" s="16" t="str">
        <f aca="false">Cash_Receipts_AR!A329</f>
        <v>ARR70328</v>
      </c>
      <c r="B332" s="16" t="str">
        <f aca="false">Cash_Receipts_AR!C329</f>
        <v>C2003</v>
      </c>
      <c r="C332" s="16" t="str">
        <f aca="false">Cash_Receipts_AR!B329</f>
        <v>ARI60393</v>
      </c>
      <c r="D332" s="17" t="n">
        <f aca="false">Cash_Receipts_AR!D329</f>
        <v>46014</v>
      </c>
      <c r="E332" s="18" t="n">
        <f aca="false">Cash_Receipts_AR!E329</f>
        <v>905.72</v>
      </c>
      <c r="F332" s="17" t="n">
        <f aca="false">IFERROR(INDEX(Customer_Invoices_AR!$C$2:$C$601,MATCH(C332,Customer_Invoices_AR!$A$2:$A$601,0)),"")</f>
        <v>46012</v>
      </c>
      <c r="G332" s="16" t="n">
        <f aca="false">IF(F332="","",D332-F332)</f>
        <v>2</v>
      </c>
      <c r="H332" s="21" t="n">
        <f aca="false">IF(F332="","",DATE(YEAR(D332),MONTH(D332),1))</f>
        <v>45992</v>
      </c>
    </row>
    <row r="333" customFormat="false" ht="15" hidden="false" customHeight="false" outlineLevel="0" collapsed="false">
      <c r="A333" s="16" t="str">
        <f aca="false">Cash_Receipts_AR!A330</f>
        <v>ARR70329</v>
      </c>
      <c r="B333" s="16" t="str">
        <f aca="false">Cash_Receipts_AR!C330</f>
        <v>C2028</v>
      </c>
      <c r="C333" s="16" t="str">
        <f aca="false">Cash_Receipts_AR!B330</f>
        <v>ARI60394</v>
      </c>
      <c r="D333" s="17" t="n">
        <f aca="false">Cash_Receipts_AR!D330</f>
        <v>46106</v>
      </c>
      <c r="E333" s="18" t="n">
        <f aca="false">Cash_Receipts_AR!E330</f>
        <v>1535.87</v>
      </c>
      <c r="F333" s="17" t="n">
        <f aca="false">IFERROR(INDEX(Customer_Invoices_AR!$C$2:$C$601,MATCH(C333,Customer_Invoices_AR!$A$2:$A$601,0)),"")</f>
        <v>46075</v>
      </c>
      <c r="G333" s="16" t="n">
        <f aca="false">IF(F333="","",D333-F333)</f>
        <v>31</v>
      </c>
      <c r="H333" s="21" t="n">
        <f aca="false">IF(F333="","",DATE(YEAR(D333),MONTH(D333),1))</f>
        <v>46082</v>
      </c>
    </row>
    <row r="334" customFormat="false" ht="15" hidden="false" customHeight="false" outlineLevel="0" collapsed="false">
      <c r="A334" s="16" t="str">
        <f aca="false">Cash_Receipts_AR!A331</f>
        <v>ARR70330</v>
      </c>
      <c r="B334" s="16" t="str">
        <f aca="false">Cash_Receipts_AR!C331</f>
        <v>C2021</v>
      </c>
      <c r="C334" s="16" t="str">
        <f aca="false">Cash_Receipts_AR!B331</f>
        <v>ARI60395</v>
      </c>
      <c r="D334" s="17" t="n">
        <f aca="false">Cash_Receipts_AR!D331</f>
        <v>45895</v>
      </c>
      <c r="E334" s="18" t="n">
        <f aca="false">Cash_Receipts_AR!E331</f>
        <v>697.9</v>
      </c>
      <c r="F334" s="17" t="n">
        <f aca="false">IFERROR(INDEX(Customer_Invoices_AR!$C$2:$C$601,MATCH(C334,Customer_Invoices_AR!$A$2:$A$601,0)),"")</f>
        <v>45885</v>
      </c>
      <c r="G334" s="16" t="n">
        <f aca="false">IF(F334="","",D334-F334)</f>
        <v>10</v>
      </c>
      <c r="H334" s="21" t="n">
        <f aca="false">IF(F334="","",DATE(YEAR(D334),MONTH(D334),1))</f>
        <v>45870</v>
      </c>
    </row>
    <row r="335" customFormat="false" ht="15" hidden="false" customHeight="false" outlineLevel="0" collapsed="false">
      <c r="A335" s="16" t="str">
        <f aca="false">Cash_Receipts_AR!A332</f>
        <v>ARR70331</v>
      </c>
      <c r="B335" s="16" t="str">
        <f aca="false">Cash_Receipts_AR!C332</f>
        <v>C2025</v>
      </c>
      <c r="C335" s="16" t="str">
        <f aca="false">Cash_Receipts_AR!B332</f>
        <v>ARI60396</v>
      </c>
      <c r="D335" s="17" t="n">
        <f aca="false">Cash_Receipts_AR!D332</f>
        <v>46008</v>
      </c>
      <c r="E335" s="18" t="n">
        <f aca="false">Cash_Receipts_AR!E332</f>
        <v>946.3</v>
      </c>
      <c r="F335" s="17" t="n">
        <f aca="false">IFERROR(INDEX(Customer_Invoices_AR!$C$2:$C$601,MATCH(C335,Customer_Invoices_AR!$A$2:$A$601,0)),"")</f>
        <v>46006</v>
      </c>
      <c r="G335" s="16" t="n">
        <f aca="false">IF(F335="","",D335-F335)</f>
        <v>2</v>
      </c>
      <c r="H335" s="21" t="n">
        <f aca="false">IF(F335="","",DATE(YEAR(D335),MONTH(D335),1))</f>
        <v>45992</v>
      </c>
    </row>
    <row r="336" customFormat="false" ht="15" hidden="false" customHeight="false" outlineLevel="0" collapsed="false">
      <c r="A336" s="16" t="str">
        <f aca="false">Cash_Receipts_AR!A333</f>
        <v>ARR70332</v>
      </c>
      <c r="B336" s="16" t="str">
        <f aca="false">Cash_Receipts_AR!C333</f>
        <v>C2003</v>
      </c>
      <c r="C336" s="16" t="str">
        <f aca="false">Cash_Receipts_AR!B333</f>
        <v>ARI60398</v>
      </c>
      <c r="D336" s="17" t="n">
        <f aca="false">Cash_Receipts_AR!D333</f>
        <v>46000</v>
      </c>
      <c r="E336" s="18" t="n">
        <f aca="false">Cash_Receipts_AR!E333</f>
        <v>4247.8</v>
      </c>
      <c r="F336" s="17" t="n">
        <f aca="false">IFERROR(INDEX(Customer_Invoices_AR!$C$2:$C$601,MATCH(C336,Customer_Invoices_AR!$A$2:$A$601,0)),"")</f>
        <v>45999</v>
      </c>
      <c r="G336" s="16" t="n">
        <f aca="false">IF(F336="","",D336-F336)</f>
        <v>1</v>
      </c>
      <c r="H336" s="21" t="n">
        <f aca="false">IF(F336="","",DATE(YEAR(D336),MONTH(D336),1))</f>
        <v>45992</v>
      </c>
    </row>
    <row r="337" customFormat="false" ht="15" hidden="false" customHeight="false" outlineLevel="0" collapsed="false">
      <c r="A337" s="16" t="str">
        <f aca="false">Cash_Receipts_AR!A334</f>
        <v>ARR70333</v>
      </c>
      <c r="B337" s="16" t="str">
        <f aca="false">Cash_Receipts_AR!C334</f>
        <v>C2009</v>
      </c>
      <c r="C337" s="16" t="str">
        <f aca="false">Cash_Receipts_AR!B334</f>
        <v>ARI60399</v>
      </c>
      <c r="D337" s="17" t="n">
        <f aca="false">Cash_Receipts_AR!D334</f>
        <v>45847</v>
      </c>
      <c r="E337" s="18" t="n">
        <f aca="false">Cash_Receipts_AR!E334</f>
        <v>997.52</v>
      </c>
      <c r="F337" s="17" t="n">
        <f aca="false">IFERROR(INDEX(Customer_Invoices_AR!$C$2:$C$601,MATCH(C337,Customer_Invoices_AR!$A$2:$A$601,0)),"")</f>
        <v>45815</v>
      </c>
      <c r="G337" s="16" t="n">
        <f aca="false">IF(F337="","",D337-F337)</f>
        <v>32</v>
      </c>
      <c r="H337" s="21" t="n">
        <f aca="false">IF(F337="","",DATE(YEAR(D337),MONTH(D337),1))</f>
        <v>45839</v>
      </c>
    </row>
    <row r="338" customFormat="false" ht="15" hidden="false" customHeight="false" outlineLevel="0" collapsed="false">
      <c r="A338" s="16" t="str">
        <f aca="false">Cash_Receipts_AR!A335</f>
        <v>ARR70334</v>
      </c>
      <c r="B338" s="16" t="str">
        <f aca="false">Cash_Receipts_AR!C335</f>
        <v>C2010</v>
      </c>
      <c r="C338" s="16" t="str">
        <f aca="false">Cash_Receipts_AR!B335</f>
        <v>ARI60400</v>
      </c>
      <c r="D338" s="17" t="n">
        <f aca="false">Cash_Receipts_AR!D335</f>
        <v>46180</v>
      </c>
      <c r="E338" s="18" t="n">
        <f aca="false">Cash_Receipts_AR!E335</f>
        <v>10413.39</v>
      </c>
      <c r="F338" s="17" t="n">
        <f aca="false">IFERROR(INDEX(Customer_Invoices_AR!$C$2:$C$601,MATCH(C338,Customer_Invoices_AR!$A$2:$A$601,0)),"")</f>
        <v>46179</v>
      </c>
      <c r="G338" s="16" t="n">
        <f aca="false">IF(F338="","",D338-F338)</f>
        <v>1</v>
      </c>
      <c r="H338" s="21" t="n">
        <f aca="false">IF(F338="","",DATE(YEAR(D338),MONTH(D338),1))</f>
        <v>46174</v>
      </c>
    </row>
    <row r="339" customFormat="false" ht="15" hidden="false" customHeight="false" outlineLevel="0" collapsed="false">
      <c r="A339" s="16" t="str">
        <f aca="false">Cash_Receipts_AR!A336</f>
        <v>ARR70335</v>
      </c>
      <c r="B339" s="16" t="str">
        <f aca="false">Cash_Receipts_AR!C336</f>
        <v>C2009</v>
      </c>
      <c r="C339" s="16" t="str">
        <f aca="false">Cash_Receipts_AR!B336</f>
        <v>ARI60401</v>
      </c>
      <c r="D339" s="17" t="n">
        <f aca="false">Cash_Receipts_AR!D336</f>
        <v>45926</v>
      </c>
      <c r="E339" s="18" t="n">
        <f aca="false">Cash_Receipts_AR!E336</f>
        <v>943.11</v>
      </c>
      <c r="F339" s="17" t="n">
        <f aca="false">IFERROR(INDEX(Customer_Invoices_AR!$C$2:$C$601,MATCH(C339,Customer_Invoices_AR!$A$2:$A$601,0)),"")</f>
        <v>45921</v>
      </c>
      <c r="G339" s="16" t="n">
        <f aca="false">IF(F339="","",D339-F339)</f>
        <v>5</v>
      </c>
      <c r="H339" s="21" t="n">
        <f aca="false">IF(F339="","",DATE(YEAR(D339),MONTH(D339),1))</f>
        <v>45901</v>
      </c>
    </row>
    <row r="340" customFormat="false" ht="15" hidden="false" customHeight="false" outlineLevel="0" collapsed="false">
      <c r="A340" s="16" t="str">
        <f aca="false">Cash_Receipts_AR!A337</f>
        <v>ARR70336</v>
      </c>
      <c r="B340" s="16" t="str">
        <f aca="false">Cash_Receipts_AR!C337</f>
        <v>C2024</v>
      </c>
      <c r="C340" s="16" t="str">
        <f aca="false">Cash_Receipts_AR!B337</f>
        <v>ARI60402</v>
      </c>
      <c r="D340" s="17" t="n">
        <f aca="false">Cash_Receipts_AR!D337</f>
        <v>46097</v>
      </c>
      <c r="E340" s="18" t="n">
        <f aca="false">Cash_Receipts_AR!E337</f>
        <v>5069.23</v>
      </c>
      <c r="F340" s="17" t="n">
        <f aca="false">IFERROR(INDEX(Customer_Invoices_AR!$C$2:$C$601,MATCH(C340,Customer_Invoices_AR!$A$2:$A$601,0)),"")</f>
        <v>46096</v>
      </c>
      <c r="G340" s="16" t="n">
        <f aca="false">IF(F340="","",D340-F340)</f>
        <v>1</v>
      </c>
      <c r="H340" s="21" t="n">
        <f aca="false">IF(F340="","",DATE(YEAR(D340),MONTH(D340),1))</f>
        <v>46082</v>
      </c>
    </row>
    <row r="341" customFormat="false" ht="15" hidden="false" customHeight="false" outlineLevel="0" collapsed="false">
      <c r="A341" s="16" t="str">
        <f aca="false">Cash_Receipts_AR!A338</f>
        <v>ARR70337</v>
      </c>
      <c r="B341" s="16" t="str">
        <f aca="false">Cash_Receipts_AR!C338</f>
        <v>C2024</v>
      </c>
      <c r="C341" s="16" t="str">
        <f aca="false">Cash_Receipts_AR!B338</f>
        <v>ARI60405</v>
      </c>
      <c r="D341" s="17" t="n">
        <f aca="false">Cash_Receipts_AR!D338</f>
        <v>45735</v>
      </c>
      <c r="E341" s="18" t="n">
        <f aca="false">Cash_Receipts_AR!E338</f>
        <v>4698.15</v>
      </c>
      <c r="F341" s="17" t="n">
        <f aca="false">IFERROR(INDEX(Customer_Invoices_AR!$C$2:$C$601,MATCH(C341,Customer_Invoices_AR!$A$2:$A$601,0)),"")</f>
        <v>45697</v>
      </c>
      <c r="G341" s="16" t="n">
        <f aca="false">IF(F341="","",D341-F341)</f>
        <v>38</v>
      </c>
      <c r="H341" s="21" t="n">
        <f aca="false">IF(F341="","",DATE(YEAR(D341),MONTH(D341),1))</f>
        <v>45717</v>
      </c>
    </row>
    <row r="342" customFormat="false" ht="15" hidden="false" customHeight="false" outlineLevel="0" collapsed="false">
      <c r="A342" s="16" t="str">
        <f aca="false">Cash_Receipts_AR!A339</f>
        <v>ARR70338</v>
      </c>
      <c r="B342" s="16" t="str">
        <f aca="false">Cash_Receipts_AR!C339</f>
        <v>C2006</v>
      </c>
      <c r="C342" s="16" t="str">
        <f aca="false">Cash_Receipts_AR!B339</f>
        <v>ARI60406</v>
      </c>
      <c r="D342" s="17" t="n">
        <f aca="false">Cash_Receipts_AR!D339</f>
        <v>45697</v>
      </c>
      <c r="E342" s="18" t="n">
        <f aca="false">Cash_Receipts_AR!E339</f>
        <v>3813</v>
      </c>
      <c r="F342" s="17" t="n">
        <f aca="false">IFERROR(INDEX(Customer_Invoices_AR!$C$2:$C$601,MATCH(C342,Customer_Invoices_AR!$A$2:$A$601,0)),"")</f>
        <v>45690</v>
      </c>
      <c r="G342" s="16" t="n">
        <f aca="false">IF(F342="","",D342-F342)</f>
        <v>7</v>
      </c>
      <c r="H342" s="21" t="n">
        <f aca="false">IF(F342="","",DATE(YEAR(D342),MONTH(D342),1))</f>
        <v>45689</v>
      </c>
    </row>
    <row r="343" customFormat="false" ht="15" hidden="false" customHeight="false" outlineLevel="0" collapsed="false">
      <c r="A343" s="16" t="str">
        <f aca="false">Cash_Receipts_AR!A340</f>
        <v>ARR70339</v>
      </c>
      <c r="B343" s="16" t="str">
        <f aca="false">Cash_Receipts_AR!C340</f>
        <v>C2003</v>
      </c>
      <c r="C343" s="16" t="str">
        <f aca="false">Cash_Receipts_AR!B340</f>
        <v>ARI60407</v>
      </c>
      <c r="D343" s="17" t="n">
        <f aca="false">Cash_Receipts_AR!D340</f>
        <v>45910</v>
      </c>
      <c r="E343" s="18" t="n">
        <f aca="false">Cash_Receipts_AR!E340</f>
        <v>99.46</v>
      </c>
      <c r="F343" s="17" t="n">
        <f aca="false">IFERROR(INDEX(Customer_Invoices_AR!$C$2:$C$601,MATCH(C343,Customer_Invoices_AR!$A$2:$A$601,0)),"")</f>
        <v>45897</v>
      </c>
      <c r="G343" s="16" t="n">
        <f aca="false">IF(F343="","",D343-F343)</f>
        <v>13</v>
      </c>
      <c r="H343" s="21" t="n">
        <f aca="false">IF(F343="","",DATE(YEAR(D343),MONTH(D343),1))</f>
        <v>45901</v>
      </c>
    </row>
    <row r="344" customFormat="false" ht="15" hidden="false" customHeight="false" outlineLevel="0" collapsed="false">
      <c r="A344" s="16" t="str">
        <f aca="false">Cash_Receipts_AR!A341</f>
        <v>ARR70340</v>
      </c>
      <c r="B344" s="16" t="str">
        <f aca="false">Cash_Receipts_AR!C341</f>
        <v>C2030</v>
      </c>
      <c r="C344" s="16" t="str">
        <f aca="false">Cash_Receipts_AR!B341</f>
        <v>ARI60408</v>
      </c>
      <c r="D344" s="17" t="n">
        <f aca="false">Cash_Receipts_AR!D341</f>
        <v>45934</v>
      </c>
      <c r="E344" s="18" t="n">
        <f aca="false">Cash_Receipts_AR!E341</f>
        <v>3810.71</v>
      </c>
      <c r="F344" s="17" t="n">
        <f aca="false">IFERROR(INDEX(Customer_Invoices_AR!$C$2:$C$601,MATCH(C344,Customer_Invoices_AR!$A$2:$A$601,0)),"")</f>
        <v>45921</v>
      </c>
      <c r="G344" s="16" t="n">
        <f aca="false">IF(F344="","",D344-F344)</f>
        <v>13</v>
      </c>
      <c r="H344" s="21" t="n">
        <f aca="false">IF(F344="","",DATE(YEAR(D344),MONTH(D344),1))</f>
        <v>45931</v>
      </c>
    </row>
    <row r="345" customFormat="false" ht="15" hidden="false" customHeight="false" outlineLevel="0" collapsed="false">
      <c r="A345" s="16" t="str">
        <f aca="false">Cash_Receipts_AR!A342</f>
        <v>ARR70341</v>
      </c>
      <c r="B345" s="16" t="str">
        <f aca="false">Cash_Receipts_AR!C342</f>
        <v>C2009</v>
      </c>
      <c r="C345" s="16" t="str">
        <f aca="false">Cash_Receipts_AR!B342</f>
        <v>ARI60409</v>
      </c>
      <c r="D345" s="17" t="n">
        <f aca="false">Cash_Receipts_AR!D342</f>
        <v>45772</v>
      </c>
      <c r="E345" s="18" t="n">
        <f aca="false">Cash_Receipts_AR!E342</f>
        <v>565.3</v>
      </c>
      <c r="F345" s="17" t="n">
        <f aca="false">IFERROR(INDEX(Customer_Invoices_AR!$C$2:$C$601,MATCH(C345,Customer_Invoices_AR!$A$2:$A$601,0)),"")</f>
        <v>45769</v>
      </c>
      <c r="G345" s="16" t="n">
        <f aca="false">IF(F345="","",D345-F345)</f>
        <v>3</v>
      </c>
      <c r="H345" s="21" t="n">
        <f aca="false">IF(F345="","",DATE(YEAR(D345),MONTH(D345),1))</f>
        <v>45748</v>
      </c>
    </row>
    <row r="346" customFormat="false" ht="15" hidden="false" customHeight="false" outlineLevel="0" collapsed="false">
      <c r="A346" s="16" t="str">
        <f aca="false">Cash_Receipts_AR!A343</f>
        <v>ARR70342</v>
      </c>
      <c r="B346" s="16" t="str">
        <f aca="false">Cash_Receipts_AR!C343</f>
        <v>C2011</v>
      </c>
      <c r="C346" s="16" t="str">
        <f aca="false">Cash_Receipts_AR!B343</f>
        <v>ARI60410</v>
      </c>
      <c r="D346" s="17" t="n">
        <f aca="false">Cash_Receipts_AR!D343</f>
        <v>46009</v>
      </c>
      <c r="E346" s="18" t="n">
        <f aca="false">Cash_Receipts_AR!E343</f>
        <v>2273.13</v>
      </c>
      <c r="F346" s="17" t="n">
        <f aca="false">IFERROR(INDEX(Customer_Invoices_AR!$C$2:$C$601,MATCH(C346,Customer_Invoices_AR!$A$2:$A$601,0)),"")</f>
        <v>45988</v>
      </c>
      <c r="G346" s="16" t="n">
        <f aca="false">IF(F346="","",D346-F346)</f>
        <v>21</v>
      </c>
      <c r="H346" s="21" t="n">
        <f aca="false">IF(F346="","",DATE(YEAR(D346),MONTH(D346),1))</f>
        <v>45992</v>
      </c>
    </row>
    <row r="347" customFormat="false" ht="15" hidden="false" customHeight="false" outlineLevel="0" collapsed="false">
      <c r="A347" s="16" t="str">
        <f aca="false">Cash_Receipts_AR!A344</f>
        <v>ARR70343</v>
      </c>
      <c r="B347" s="16" t="str">
        <f aca="false">Cash_Receipts_AR!C344</f>
        <v>C2030</v>
      </c>
      <c r="C347" s="16" t="str">
        <f aca="false">Cash_Receipts_AR!B344</f>
        <v>ARI60411</v>
      </c>
      <c r="D347" s="17" t="n">
        <f aca="false">Cash_Receipts_AR!D344</f>
        <v>45835</v>
      </c>
      <c r="E347" s="18" t="n">
        <f aca="false">Cash_Receipts_AR!E344</f>
        <v>4159.74</v>
      </c>
      <c r="F347" s="17" t="n">
        <f aca="false">IFERROR(INDEX(Customer_Invoices_AR!$C$2:$C$601,MATCH(C347,Customer_Invoices_AR!$A$2:$A$601,0)),"")</f>
        <v>45828</v>
      </c>
      <c r="G347" s="16" t="n">
        <f aca="false">IF(F347="","",D347-F347)</f>
        <v>7</v>
      </c>
      <c r="H347" s="21" t="n">
        <f aca="false">IF(F347="","",DATE(YEAR(D347),MONTH(D347),1))</f>
        <v>45809</v>
      </c>
    </row>
    <row r="348" customFormat="false" ht="15" hidden="false" customHeight="false" outlineLevel="0" collapsed="false">
      <c r="A348" s="16" t="str">
        <f aca="false">Cash_Receipts_AR!A345</f>
        <v>ARR70344</v>
      </c>
      <c r="B348" s="16" t="str">
        <f aca="false">Cash_Receipts_AR!C345</f>
        <v>C2017</v>
      </c>
      <c r="C348" s="16" t="str">
        <f aca="false">Cash_Receipts_AR!B345</f>
        <v>ARI60412</v>
      </c>
      <c r="D348" s="17" t="n">
        <f aca="false">Cash_Receipts_AR!D345</f>
        <v>46056</v>
      </c>
      <c r="E348" s="18" t="n">
        <f aca="false">Cash_Receipts_AR!E345</f>
        <v>2037.81</v>
      </c>
      <c r="F348" s="17" t="n">
        <f aca="false">IFERROR(INDEX(Customer_Invoices_AR!$C$2:$C$601,MATCH(C348,Customer_Invoices_AR!$A$2:$A$601,0)),"")</f>
        <v>46049</v>
      </c>
      <c r="G348" s="16" t="n">
        <f aca="false">IF(F348="","",D348-F348)</f>
        <v>7</v>
      </c>
      <c r="H348" s="21" t="n">
        <f aca="false">IF(F348="","",DATE(YEAR(D348),MONTH(D348),1))</f>
        <v>46054</v>
      </c>
    </row>
    <row r="349" customFormat="false" ht="15" hidden="false" customHeight="false" outlineLevel="0" collapsed="false">
      <c r="A349" s="16" t="str">
        <f aca="false">Cash_Receipts_AR!A346</f>
        <v>ARR70345</v>
      </c>
      <c r="B349" s="16" t="str">
        <f aca="false">Cash_Receipts_AR!C346</f>
        <v>C2025</v>
      </c>
      <c r="C349" s="16" t="str">
        <f aca="false">Cash_Receipts_AR!B346</f>
        <v>ARI60413</v>
      </c>
      <c r="D349" s="17" t="n">
        <f aca="false">Cash_Receipts_AR!D346</f>
        <v>46071</v>
      </c>
      <c r="E349" s="18" t="n">
        <f aca="false">Cash_Receipts_AR!E346</f>
        <v>3025</v>
      </c>
      <c r="F349" s="17" t="n">
        <f aca="false">IFERROR(INDEX(Customer_Invoices_AR!$C$2:$C$601,MATCH(C349,Customer_Invoices_AR!$A$2:$A$601,0)),"")</f>
        <v>46058</v>
      </c>
      <c r="G349" s="16" t="n">
        <f aca="false">IF(F349="","",D349-F349)</f>
        <v>13</v>
      </c>
      <c r="H349" s="21" t="n">
        <f aca="false">IF(F349="","",DATE(YEAR(D349),MONTH(D349),1))</f>
        <v>46054</v>
      </c>
    </row>
    <row r="350" customFormat="false" ht="15" hidden="false" customHeight="false" outlineLevel="0" collapsed="false">
      <c r="A350" s="16" t="str">
        <f aca="false">Cash_Receipts_AR!A347</f>
        <v>ARR70346</v>
      </c>
      <c r="B350" s="16" t="str">
        <f aca="false">Cash_Receipts_AR!C347</f>
        <v>C2009</v>
      </c>
      <c r="C350" s="16" t="str">
        <f aca="false">Cash_Receipts_AR!B347</f>
        <v>ARI60414</v>
      </c>
      <c r="D350" s="17" t="n">
        <f aca="false">Cash_Receipts_AR!D347</f>
        <v>46150</v>
      </c>
      <c r="E350" s="18" t="n">
        <f aca="false">Cash_Receipts_AR!E347</f>
        <v>5874.07</v>
      </c>
      <c r="F350" s="17" t="n">
        <f aca="false">IFERROR(INDEX(Customer_Invoices_AR!$C$2:$C$601,MATCH(C350,Customer_Invoices_AR!$A$2:$A$601,0)),"")</f>
        <v>46127</v>
      </c>
      <c r="G350" s="16" t="n">
        <f aca="false">IF(F350="","",D350-F350)</f>
        <v>23</v>
      </c>
      <c r="H350" s="21" t="n">
        <f aca="false">IF(F350="","",DATE(YEAR(D350),MONTH(D350),1))</f>
        <v>46143</v>
      </c>
    </row>
    <row r="351" customFormat="false" ht="15" hidden="false" customHeight="false" outlineLevel="0" collapsed="false">
      <c r="A351" s="16" t="str">
        <f aca="false">Cash_Receipts_AR!A348</f>
        <v>ARR70347</v>
      </c>
      <c r="B351" s="16" t="str">
        <f aca="false">Cash_Receipts_AR!C348</f>
        <v>C2012</v>
      </c>
      <c r="C351" s="16" t="str">
        <f aca="false">Cash_Receipts_AR!B348</f>
        <v>ARI60416</v>
      </c>
      <c r="D351" s="17" t="n">
        <f aca="false">Cash_Receipts_AR!D348</f>
        <v>45747</v>
      </c>
      <c r="E351" s="18" t="n">
        <f aca="false">Cash_Receipts_AR!E348</f>
        <v>2423.09</v>
      </c>
      <c r="F351" s="17" t="n">
        <f aca="false">IFERROR(INDEX(Customer_Invoices_AR!$C$2:$C$601,MATCH(C351,Customer_Invoices_AR!$A$2:$A$601,0)),"")</f>
        <v>45729</v>
      </c>
      <c r="G351" s="16" t="n">
        <f aca="false">IF(F351="","",D351-F351)</f>
        <v>18</v>
      </c>
      <c r="H351" s="21" t="n">
        <f aca="false">IF(F351="","",DATE(YEAR(D351),MONTH(D351),1))</f>
        <v>45717</v>
      </c>
    </row>
    <row r="352" customFormat="false" ht="15" hidden="false" customHeight="false" outlineLevel="0" collapsed="false">
      <c r="A352" s="16" t="str">
        <f aca="false">Cash_Receipts_AR!A349</f>
        <v>ARR70348</v>
      </c>
      <c r="B352" s="16" t="str">
        <f aca="false">Cash_Receipts_AR!C349</f>
        <v>C2021</v>
      </c>
      <c r="C352" s="16" t="str">
        <f aca="false">Cash_Receipts_AR!B349</f>
        <v>ARI60417</v>
      </c>
      <c r="D352" s="17" t="n">
        <f aca="false">Cash_Receipts_AR!D349</f>
        <v>45895</v>
      </c>
      <c r="E352" s="18" t="n">
        <f aca="false">Cash_Receipts_AR!E349</f>
        <v>9976.58</v>
      </c>
      <c r="F352" s="17" t="n">
        <f aca="false">IFERROR(INDEX(Customer_Invoices_AR!$C$2:$C$601,MATCH(C352,Customer_Invoices_AR!$A$2:$A$601,0)),"")</f>
        <v>45859</v>
      </c>
      <c r="G352" s="16" t="n">
        <f aca="false">IF(F352="","",D352-F352)</f>
        <v>36</v>
      </c>
      <c r="H352" s="21" t="n">
        <f aca="false">IF(F352="","",DATE(YEAR(D352),MONTH(D352),1))</f>
        <v>45870</v>
      </c>
    </row>
    <row r="353" customFormat="false" ht="15" hidden="false" customHeight="false" outlineLevel="0" collapsed="false">
      <c r="A353" s="16" t="str">
        <f aca="false">Cash_Receipts_AR!A350</f>
        <v>ARR70349</v>
      </c>
      <c r="B353" s="16" t="str">
        <f aca="false">Cash_Receipts_AR!C350</f>
        <v>C2017</v>
      </c>
      <c r="C353" s="16" t="str">
        <f aca="false">Cash_Receipts_AR!B350</f>
        <v>ARI60418</v>
      </c>
      <c r="D353" s="17" t="n">
        <f aca="false">Cash_Receipts_AR!D350</f>
        <v>45999</v>
      </c>
      <c r="E353" s="18" t="n">
        <f aca="false">Cash_Receipts_AR!E350</f>
        <v>14623.85</v>
      </c>
      <c r="F353" s="17" t="n">
        <f aca="false">IFERROR(INDEX(Customer_Invoices_AR!$C$2:$C$601,MATCH(C353,Customer_Invoices_AR!$A$2:$A$601,0)),"")</f>
        <v>45964</v>
      </c>
      <c r="G353" s="16" t="n">
        <f aca="false">IF(F353="","",D353-F353)</f>
        <v>35</v>
      </c>
      <c r="H353" s="21" t="n">
        <f aca="false">IF(F353="","",DATE(YEAR(D353),MONTH(D353),1))</f>
        <v>45992</v>
      </c>
    </row>
    <row r="354" customFormat="false" ht="15" hidden="false" customHeight="false" outlineLevel="0" collapsed="false">
      <c r="A354" s="16" t="str">
        <f aca="false">Cash_Receipts_AR!A351</f>
        <v>ARR70350</v>
      </c>
      <c r="B354" s="16" t="str">
        <f aca="false">Cash_Receipts_AR!C351</f>
        <v>C2027</v>
      </c>
      <c r="C354" s="16" t="str">
        <f aca="false">Cash_Receipts_AR!B351</f>
        <v>ARI60419</v>
      </c>
      <c r="D354" s="17" t="n">
        <f aca="false">Cash_Receipts_AR!D351</f>
        <v>45836</v>
      </c>
      <c r="E354" s="18" t="n">
        <f aca="false">Cash_Receipts_AR!E351</f>
        <v>612.53</v>
      </c>
      <c r="F354" s="17" t="n">
        <f aca="false">IFERROR(INDEX(Customer_Invoices_AR!$C$2:$C$601,MATCH(C354,Customer_Invoices_AR!$A$2:$A$601,0)),"")</f>
        <v>45831</v>
      </c>
      <c r="G354" s="16" t="n">
        <f aca="false">IF(F354="","",D354-F354)</f>
        <v>5</v>
      </c>
      <c r="H354" s="21" t="n">
        <f aca="false">IF(F354="","",DATE(YEAR(D354),MONTH(D354),1))</f>
        <v>45809</v>
      </c>
    </row>
    <row r="355" customFormat="false" ht="15" hidden="false" customHeight="false" outlineLevel="0" collapsed="false">
      <c r="A355" s="16" t="str">
        <f aca="false">Cash_Receipts_AR!A352</f>
        <v>ARR70351</v>
      </c>
      <c r="B355" s="16" t="str">
        <f aca="false">Cash_Receipts_AR!C352</f>
        <v>C2024</v>
      </c>
      <c r="C355" s="16" t="str">
        <f aca="false">Cash_Receipts_AR!B352</f>
        <v>ARI60420</v>
      </c>
      <c r="D355" s="17" t="n">
        <f aca="false">Cash_Receipts_AR!D352</f>
        <v>45944</v>
      </c>
      <c r="E355" s="18" t="n">
        <f aca="false">Cash_Receipts_AR!E352</f>
        <v>3336.09</v>
      </c>
      <c r="F355" s="17" t="n">
        <f aca="false">IFERROR(INDEX(Customer_Invoices_AR!$C$2:$C$601,MATCH(C355,Customer_Invoices_AR!$A$2:$A$601,0)),"")</f>
        <v>45912</v>
      </c>
      <c r="G355" s="16" t="n">
        <f aca="false">IF(F355="","",D355-F355)</f>
        <v>32</v>
      </c>
      <c r="H355" s="21" t="n">
        <f aca="false">IF(F355="","",DATE(YEAR(D355),MONTH(D355),1))</f>
        <v>45931</v>
      </c>
    </row>
    <row r="356" customFormat="false" ht="15" hidden="false" customHeight="false" outlineLevel="0" collapsed="false">
      <c r="A356" s="16" t="str">
        <f aca="false">Cash_Receipts_AR!A353</f>
        <v>ARR70352</v>
      </c>
      <c r="B356" s="16" t="str">
        <f aca="false">Cash_Receipts_AR!C353</f>
        <v>C2013</v>
      </c>
      <c r="C356" s="16" t="str">
        <f aca="false">Cash_Receipts_AR!B353</f>
        <v>ARI60421</v>
      </c>
      <c r="D356" s="17" t="n">
        <f aca="false">Cash_Receipts_AR!D353</f>
        <v>45832</v>
      </c>
      <c r="E356" s="18" t="n">
        <f aca="false">Cash_Receipts_AR!E353</f>
        <v>5667.34</v>
      </c>
      <c r="F356" s="17" t="n">
        <f aca="false">IFERROR(INDEX(Customer_Invoices_AR!$C$2:$C$601,MATCH(C356,Customer_Invoices_AR!$A$2:$A$601,0)),"")</f>
        <v>45803</v>
      </c>
      <c r="G356" s="16" t="n">
        <f aca="false">IF(F356="","",D356-F356)</f>
        <v>29</v>
      </c>
      <c r="H356" s="21" t="n">
        <f aca="false">IF(F356="","",DATE(YEAR(D356),MONTH(D356),1))</f>
        <v>45809</v>
      </c>
    </row>
    <row r="357" customFormat="false" ht="15" hidden="false" customHeight="false" outlineLevel="0" collapsed="false">
      <c r="A357" s="16" t="str">
        <f aca="false">Cash_Receipts_AR!A354</f>
        <v>ARR70353</v>
      </c>
      <c r="B357" s="16" t="str">
        <f aca="false">Cash_Receipts_AR!C354</f>
        <v>C2023</v>
      </c>
      <c r="C357" s="16" t="str">
        <f aca="false">Cash_Receipts_AR!B354</f>
        <v>ARI60422</v>
      </c>
      <c r="D357" s="17" t="n">
        <f aca="false">Cash_Receipts_AR!D354</f>
        <v>45832</v>
      </c>
      <c r="E357" s="18" t="n">
        <f aca="false">Cash_Receipts_AR!E354</f>
        <v>2238.81</v>
      </c>
      <c r="F357" s="17" t="n">
        <f aca="false">IFERROR(INDEX(Customer_Invoices_AR!$C$2:$C$601,MATCH(C357,Customer_Invoices_AR!$A$2:$A$601,0)),"")</f>
        <v>45793</v>
      </c>
      <c r="G357" s="16" t="n">
        <f aca="false">IF(F357="","",D357-F357)</f>
        <v>39</v>
      </c>
      <c r="H357" s="21" t="n">
        <f aca="false">IF(F357="","",DATE(YEAR(D357),MONTH(D357),1))</f>
        <v>45809</v>
      </c>
    </row>
    <row r="358" customFormat="false" ht="15" hidden="false" customHeight="false" outlineLevel="0" collapsed="false">
      <c r="A358" s="16" t="str">
        <f aca="false">Cash_Receipts_AR!A355</f>
        <v>ARR70354</v>
      </c>
      <c r="B358" s="16" t="str">
        <f aca="false">Cash_Receipts_AR!C355</f>
        <v>C2016</v>
      </c>
      <c r="C358" s="16" t="str">
        <f aca="false">Cash_Receipts_AR!B355</f>
        <v>ARI60423</v>
      </c>
      <c r="D358" s="17" t="n">
        <f aca="false">Cash_Receipts_AR!D355</f>
        <v>45746</v>
      </c>
      <c r="E358" s="18" t="n">
        <f aca="false">Cash_Receipts_AR!E355</f>
        <v>2184.71</v>
      </c>
      <c r="F358" s="17" t="n">
        <f aca="false">IFERROR(INDEX(Customer_Invoices_AR!$C$2:$C$601,MATCH(C358,Customer_Invoices_AR!$A$2:$A$601,0)),"")</f>
        <v>45710</v>
      </c>
      <c r="G358" s="16" t="n">
        <f aca="false">IF(F358="","",D358-F358)</f>
        <v>36</v>
      </c>
      <c r="H358" s="21" t="n">
        <f aca="false">IF(F358="","",DATE(YEAR(D358),MONTH(D358),1))</f>
        <v>45717</v>
      </c>
    </row>
    <row r="359" customFormat="false" ht="15" hidden="false" customHeight="false" outlineLevel="0" collapsed="false">
      <c r="A359" s="16" t="str">
        <f aca="false">Cash_Receipts_AR!A356</f>
        <v>ARR70355</v>
      </c>
      <c r="B359" s="16" t="str">
        <f aca="false">Cash_Receipts_AR!C356</f>
        <v>C2019</v>
      </c>
      <c r="C359" s="16" t="str">
        <f aca="false">Cash_Receipts_AR!B356</f>
        <v>ARI60424</v>
      </c>
      <c r="D359" s="17" t="n">
        <f aca="false">Cash_Receipts_AR!D356</f>
        <v>45839</v>
      </c>
      <c r="E359" s="18" t="n">
        <f aca="false">Cash_Receipts_AR!E356</f>
        <v>1056.84</v>
      </c>
      <c r="F359" s="17" t="n">
        <f aca="false">IFERROR(INDEX(Customer_Invoices_AR!$C$2:$C$601,MATCH(C359,Customer_Invoices_AR!$A$2:$A$601,0)),"")</f>
        <v>45816</v>
      </c>
      <c r="G359" s="16" t="n">
        <f aca="false">IF(F359="","",D359-F359)</f>
        <v>23</v>
      </c>
      <c r="H359" s="21" t="n">
        <f aca="false">IF(F359="","",DATE(YEAR(D359),MONTH(D359),1))</f>
        <v>45839</v>
      </c>
    </row>
    <row r="360" customFormat="false" ht="15" hidden="false" customHeight="false" outlineLevel="0" collapsed="false">
      <c r="A360" s="16" t="str">
        <f aca="false">Cash_Receipts_AR!A357</f>
        <v>ARR70356</v>
      </c>
      <c r="B360" s="16" t="str">
        <f aca="false">Cash_Receipts_AR!C357</f>
        <v>C2019</v>
      </c>
      <c r="C360" s="16" t="str">
        <f aca="false">Cash_Receipts_AR!B357</f>
        <v>ARI60425</v>
      </c>
      <c r="D360" s="17" t="n">
        <f aca="false">Cash_Receipts_AR!D357</f>
        <v>45894</v>
      </c>
      <c r="E360" s="18" t="n">
        <f aca="false">Cash_Receipts_AR!E357</f>
        <v>6660.76</v>
      </c>
      <c r="F360" s="17" t="n">
        <f aca="false">IFERROR(INDEX(Customer_Invoices_AR!$C$2:$C$601,MATCH(C360,Customer_Invoices_AR!$A$2:$A$601,0)),"")</f>
        <v>45867</v>
      </c>
      <c r="G360" s="16" t="n">
        <f aca="false">IF(F360="","",D360-F360)</f>
        <v>27</v>
      </c>
      <c r="H360" s="21" t="n">
        <f aca="false">IF(F360="","",DATE(YEAR(D360),MONTH(D360),1))</f>
        <v>45870</v>
      </c>
    </row>
    <row r="361" customFormat="false" ht="15" hidden="false" customHeight="false" outlineLevel="0" collapsed="false">
      <c r="A361" s="16" t="str">
        <f aca="false">Cash_Receipts_AR!A358</f>
        <v>ARR70357</v>
      </c>
      <c r="B361" s="16" t="str">
        <f aca="false">Cash_Receipts_AR!C358</f>
        <v>C2015</v>
      </c>
      <c r="C361" s="16" t="str">
        <f aca="false">Cash_Receipts_AR!B358</f>
        <v>ARI60426</v>
      </c>
      <c r="D361" s="17" t="n">
        <f aca="false">Cash_Receipts_AR!D358</f>
        <v>46005</v>
      </c>
      <c r="E361" s="18" t="n">
        <f aca="false">Cash_Receipts_AR!E358</f>
        <v>782.4</v>
      </c>
      <c r="F361" s="17" t="n">
        <f aca="false">IFERROR(INDEX(Customer_Invoices_AR!$C$2:$C$601,MATCH(C361,Customer_Invoices_AR!$A$2:$A$601,0)),"")</f>
        <v>45993</v>
      </c>
      <c r="G361" s="16" t="n">
        <f aca="false">IF(F361="","",D361-F361)</f>
        <v>12</v>
      </c>
      <c r="H361" s="21" t="n">
        <f aca="false">IF(F361="","",DATE(YEAR(D361),MONTH(D361),1))</f>
        <v>45992</v>
      </c>
    </row>
    <row r="362" customFormat="false" ht="15" hidden="false" customHeight="false" outlineLevel="0" collapsed="false">
      <c r="A362" s="16" t="str">
        <f aca="false">Cash_Receipts_AR!A359</f>
        <v>ARR70358</v>
      </c>
      <c r="B362" s="16" t="str">
        <f aca="false">Cash_Receipts_AR!C359</f>
        <v>C2018</v>
      </c>
      <c r="C362" s="16" t="str">
        <f aca="false">Cash_Receipts_AR!B359</f>
        <v>ARI60427</v>
      </c>
      <c r="D362" s="17" t="n">
        <f aca="false">Cash_Receipts_AR!D359</f>
        <v>45801</v>
      </c>
      <c r="E362" s="18" t="n">
        <f aca="false">Cash_Receipts_AR!E359</f>
        <v>881.21</v>
      </c>
      <c r="F362" s="17" t="n">
        <f aca="false">IFERROR(INDEX(Customer_Invoices_AR!$C$2:$C$601,MATCH(C362,Customer_Invoices_AR!$A$2:$A$601,0)),"")</f>
        <v>45793</v>
      </c>
      <c r="G362" s="16" t="n">
        <f aca="false">IF(F362="","",D362-F362)</f>
        <v>8</v>
      </c>
      <c r="H362" s="21" t="n">
        <f aca="false">IF(F362="","",DATE(YEAR(D362),MONTH(D362),1))</f>
        <v>45778</v>
      </c>
    </row>
    <row r="363" customFormat="false" ht="15" hidden="false" customHeight="false" outlineLevel="0" collapsed="false">
      <c r="A363" s="16" t="str">
        <f aca="false">Cash_Receipts_AR!A360</f>
        <v>ARR70359</v>
      </c>
      <c r="B363" s="16" t="str">
        <f aca="false">Cash_Receipts_AR!C360</f>
        <v>C2016</v>
      </c>
      <c r="C363" s="16" t="str">
        <f aca="false">Cash_Receipts_AR!B360</f>
        <v>ARI60428</v>
      </c>
      <c r="D363" s="17" t="n">
        <f aca="false">Cash_Receipts_AR!D360</f>
        <v>46153</v>
      </c>
      <c r="E363" s="18" t="n">
        <f aca="false">Cash_Receipts_AR!E360</f>
        <v>3647.52</v>
      </c>
      <c r="F363" s="17" t="n">
        <f aca="false">IFERROR(INDEX(Customer_Invoices_AR!$C$2:$C$601,MATCH(C363,Customer_Invoices_AR!$A$2:$A$601,0)),"")</f>
        <v>46129</v>
      </c>
      <c r="G363" s="16" t="n">
        <f aca="false">IF(F363="","",D363-F363)</f>
        <v>24</v>
      </c>
      <c r="H363" s="21" t="n">
        <f aca="false">IF(F363="","",DATE(YEAR(D363),MONTH(D363),1))</f>
        <v>46143</v>
      </c>
    </row>
    <row r="364" customFormat="false" ht="15" hidden="false" customHeight="false" outlineLevel="0" collapsed="false">
      <c r="A364" s="16" t="str">
        <f aca="false">Cash_Receipts_AR!A361</f>
        <v>ARR70360</v>
      </c>
      <c r="B364" s="16" t="str">
        <f aca="false">Cash_Receipts_AR!C361</f>
        <v>C2025</v>
      </c>
      <c r="C364" s="16" t="str">
        <f aca="false">Cash_Receipts_AR!B361</f>
        <v>ARI60429</v>
      </c>
      <c r="D364" s="17" t="n">
        <f aca="false">Cash_Receipts_AR!D361</f>
        <v>45747</v>
      </c>
      <c r="E364" s="18" t="n">
        <f aca="false">Cash_Receipts_AR!E361</f>
        <v>3313.04</v>
      </c>
      <c r="F364" s="17" t="n">
        <f aca="false">IFERROR(INDEX(Customer_Invoices_AR!$C$2:$C$601,MATCH(C364,Customer_Invoices_AR!$A$2:$A$601,0)),"")</f>
        <v>45745</v>
      </c>
      <c r="G364" s="16" t="n">
        <f aca="false">IF(F364="","",D364-F364)</f>
        <v>2</v>
      </c>
      <c r="H364" s="21" t="n">
        <f aca="false">IF(F364="","",DATE(YEAR(D364),MONTH(D364),1))</f>
        <v>45717</v>
      </c>
    </row>
    <row r="365" customFormat="false" ht="15" hidden="false" customHeight="false" outlineLevel="0" collapsed="false">
      <c r="A365" s="16" t="str">
        <f aca="false">Cash_Receipts_AR!A362</f>
        <v>ARR70361</v>
      </c>
      <c r="B365" s="16" t="str">
        <f aca="false">Cash_Receipts_AR!C362</f>
        <v>C2027</v>
      </c>
      <c r="C365" s="16" t="str">
        <f aca="false">Cash_Receipts_AR!B362</f>
        <v>ARI60430</v>
      </c>
      <c r="D365" s="17" t="n">
        <f aca="false">Cash_Receipts_AR!D362</f>
        <v>45871</v>
      </c>
      <c r="E365" s="18" t="n">
        <f aca="false">Cash_Receipts_AR!E362</f>
        <v>791.01</v>
      </c>
      <c r="F365" s="17" t="n">
        <f aca="false">IFERROR(INDEX(Customer_Invoices_AR!$C$2:$C$601,MATCH(C365,Customer_Invoices_AR!$A$2:$A$601,0)),"")</f>
        <v>45836</v>
      </c>
      <c r="G365" s="16" t="n">
        <f aca="false">IF(F365="","",D365-F365)</f>
        <v>35</v>
      </c>
      <c r="H365" s="21" t="n">
        <f aca="false">IF(F365="","",DATE(YEAR(D365),MONTH(D365),1))</f>
        <v>45870</v>
      </c>
    </row>
    <row r="366" customFormat="false" ht="15" hidden="false" customHeight="false" outlineLevel="0" collapsed="false">
      <c r="A366" s="16" t="str">
        <f aca="false">Cash_Receipts_AR!A363</f>
        <v>ARR70362</v>
      </c>
      <c r="B366" s="16" t="str">
        <f aca="false">Cash_Receipts_AR!C363</f>
        <v>C2011</v>
      </c>
      <c r="C366" s="16" t="str">
        <f aca="false">Cash_Receipts_AR!B363</f>
        <v>ARI60431</v>
      </c>
      <c r="D366" s="17" t="n">
        <f aca="false">Cash_Receipts_AR!D363</f>
        <v>45975</v>
      </c>
      <c r="E366" s="18" t="n">
        <f aca="false">Cash_Receipts_AR!E363</f>
        <v>5446.66</v>
      </c>
      <c r="F366" s="17" t="n">
        <f aca="false">IFERROR(INDEX(Customer_Invoices_AR!$C$2:$C$601,MATCH(C366,Customer_Invoices_AR!$A$2:$A$601,0)),"")</f>
        <v>45972</v>
      </c>
      <c r="G366" s="16" t="n">
        <f aca="false">IF(F366="","",D366-F366)</f>
        <v>3</v>
      </c>
      <c r="H366" s="21" t="n">
        <f aca="false">IF(F366="","",DATE(YEAR(D366),MONTH(D366),1))</f>
        <v>45962</v>
      </c>
    </row>
    <row r="367" customFormat="false" ht="15" hidden="false" customHeight="false" outlineLevel="0" collapsed="false">
      <c r="A367" s="16" t="str">
        <f aca="false">Cash_Receipts_AR!A364</f>
        <v>ARR70363</v>
      </c>
      <c r="B367" s="16" t="str">
        <f aca="false">Cash_Receipts_AR!C364</f>
        <v>C2024</v>
      </c>
      <c r="C367" s="16" t="str">
        <f aca="false">Cash_Receipts_AR!B364</f>
        <v>ARI60432</v>
      </c>
      <c r="D367" s="17" t="n">
        <f aca="false">Cash_Receipts_AR!D364</f>
        <v>45843</v>
      </c>
      <c r="E367" s="18" t="n">
        <f aca="false">Cash_Receipts_AR!E364</f>
        <v>2078.1</v>
      </c>
      <c r="F367" s="17" t="n">
        <f aca="false">IFERROR(INDEX(Customer_Invoices_AR!$C$2:$C$601,MATCH(C367,Customer_Invoices_AR!$A$2:$A$601,0)),"")</f>
        <v>45828</v>
      </c>
      <c r="G367" s="16" t="n">
        <f aca="false">IF(F367="","",D367-F367)</f>
        <v>15</v>
      </c>
      <c r="H367" s="21" t="n">
        <f aca="false">IF(F367="","",DATE(YEAR(D367),MONTH(D367),1))</f>
        <v>45839</v>
      </c>
    </row>
    <row r="368" customFormat="false" ht="15" hidden="false" customHeight="false" outlineLevel="0" collapsed="false">
      <c r="A368" s="16" t="str">
        <f aca="false">Cash_Receipts_AR!A365</f>
        <v>ARR70364</v>
      </c>
      <c r="B368" s="16" t="str">
        <f aca="false">Cash_Receipts_AR!C365</f>
        <v>C2017</v>
      </c>
      <c r="C368" s="16" t="str">
        <f aca="false">Cash_Receipts_AR!B365</f>
        <v>ARI60433</v>
      </c>
      <c r="D368" s="17" t="n">
        <f aca="false">Cash_Receipts_AR!D365</f>
        <v>46092</v>
      </c>
      <c r="E368" s="18" t="n">
        <f aca="false">Cash_Receipts_AR!E365</f>
        <v>22154.21</v>
      </c>
      <c r="F368" s="17" t="n">
        <f aca="false">IFERROR(INDEX(Customer_Invoices_AR!$C$2:$C$601,MATCH(C368,Customer_Invoices_AR!$A$2:$A$601,0)),"")</f>
        <v>46073</v>
      </c>
      <c r="G368" s="16" t="n">
        <f aca="false">IF(F368="","",D368-F368)</f>
        <v>19</v>
      </c>
      <c r="H368" s="21" t="n">
        <f aca="false">IF(F368="","",DATE(YEAR(D368),MONTH(D368),1))</f>
        <v>46082</v>
      </c>
    </row>
    <row r="369" customFormat="false" ht="15" hidden="false" customHeight="false" outlineLevel="0" collapsed="false">
      <c r="A369" s="16" t="str">
        <f aca="false">Cash_Receipts_AR!A366</f>
        <v>ARR70365</v>
      </c>
      <c r="B369" s="16" t="str">
        <f aca="false">Cash_Receipts_AR!C366</f>
        <v>C2025</v>
      </c>
      <c r="C369" s="16" t="str">
        <f aca="false">Cash_Receipts_AR!B366</f>
        <v>ARI60434</v>
      </c>
      <c r="D369" s="17" t="n">
        <f aca="false">Cash_Receipts_AR!D366</f>
        <v>45930</v>
      </c>
      <c r="E369" s="18" t="n">
        <f aca="false">Cash_Receipts_AR!E366</f>
        <v>4300.32</v>
      </c>
      <c r="F369" s="17" t="n">
        <f aca="false">IFERROR(INDEX(Customer_Invoices_AR!$C$2:$C$601,MATCH(C369,Customer_Invoices_AR!$A$2:$A$601,0)),"")</f>
        <v>45929</v>
      </c>
      <c r="G369" s="16" t="n">
        <f aca="false">IF(F369="","",D369-F369)</f>
        <v>1</v>
      </c>
      <c r="H369" s="21" t="n">
        <f aca="false">IF(F369="","",DATE(YEAR(D369),MONTH(D369),1))</f>
        <v>45901</v>
      </c>
    </row>
    <row r="370" customFormat="false" ht="15" hidden="false" customHeight="false" outlineLevel="0" collapsed="false">
      <c r="A370" s="16" t="str">
        <f aca="false">Cash_Receipts_AR!A367</f>
        <v>ARR70366</v>
      </c>
      <c r="B370" s="16" t="str">
        <f aca="false">Cash_Receipts_AR!C367</f>
        <v>C2019</v>
      </c>
      <c r="C370" s="16" t="str">
        <f aca="false">Cash_Receipts_AR!B367</f>
        <v>ARI60435</v>
      </c>
      <c r="D370" s="17" t="n">
        <f aca="false">Cash_Receipts_AR!D367</f>
        <v>45939</v>
      </c>
      <c r="E370" s="18" t="n">
        <f aca="false">Cash_Receipts_AR!E367</f>
        <v>1034.15</v>
      </c>
      <c r="F370" s="17" t="n">
        <f aca="false">IFERROR(INDEX(Customer_Invoices_AR!$C$2:$C$601,MATCH(C370,Customer_Invoices_AR!$A$2:$A$601,0)),"")</f>
        <v>45938</v>
      </c>
      <c r="G370" s="16" t="n">
        <f aca="false">IF(F370="","",D370-F370)</f>
        <v>1</v>
      </c>
      <c r="H370" s="21" t="n">
        <f aca="false">IF(F370="","",DATE(YEAR(D370),MONTH(D370),1))</f>
        <v>45931</v>
      </c>
    </row>
    <row r="371" customFormat="false" ht="15" hidden="false" customHeight="false" outlineLevel="0" collapsed="false">
      <c r="A371" s="16" t="str">
        <f aca="false">Cash_Receipts_AR!A368</f>
        <v>ARR70367</v>
      </c>
      <c r="B371" s="16" t="str">
        <f aca="false">Cash_Receipts_AR!C368</f>
        <v>C2001</v>
      </c>
      <c r="C371" s="16" t="str">
        <f aca="false">Cash_Receipts_AR!B368</f>
        <v>ARI60436</v>
      </c>
      <c r="D371" s="17" t="n">
        <f aca="false">Cash_Receipts_AR!D368</f>
        <v>45930</v>
      </c>
      <c r="E371" s="18" t="n">
        <f aca="false">Cash_Receipts_AR!E368</f>
        <v>13099.77</v>
      </c>
      <c r="F371" s="17" t="n">
        <f aca="false">IFERROR(INDEX(Customer_Invoices_AR!$C$2:$C$601,MATCH(C371,Customer_Invoices_AR!$A$2:$A$601,0)),"")</f>
        <v>45929</v>
      </c>
      <c r="G371" s="16" t="n">
        <f aca="false">IF(F371="","",D371-F371)</f>
        <v>1</v>
      </c>
      <c r="H371" s="21" t="n">
        <f aca="false">IF(F371="","",DATE(YEAR(D371),MONTH(D371),1))</f>
        <v>45901</v>
      </c>
    </row>
    <row r="372" customFormat="false" ht="15" hidden="false" customHeight="false" outlineLevel="0" collapsed="false">
      <c r="A372" s="16" t="str">
        <f aca="false">Cash_Receipts_AR!A369</f>
        <v>ARR70368</v>
      </c>
      <c r="B372" s="16" t="str">
        <f aca="false">Cash_Receipts_AR!C369</f>
        <v>C2030</v>
      </c>
      <c r="C372" s="16" t="str">
        <f aca="false">Cash_Receipts_AR!B369</f>
        <v>ARI60437</v>
      </c>
      <c r="D372" s="17" t="n">
        <f aca="false">Cash_Receipts_AR!D369</f>
        <v>45851</v>
      </c>
      <c r="E372" s="18" t="n">
        <f aca="false">Cash_Receipts_AR!E369</f>
        <v>1458.86</v>
      </c>
      <c r="F372" s="17" t="n">
        <f aca="false">IFERROR(INDEX(Customer_Invoices_AR!$C$2:$C$601,MATCH(C372,Customer_Invoices_AR!$A$2:$A$601,0)),"")</f>
        <v>45826</v>
      </c>
      <c r="G372" s="16" t="n">
        <f aca="false">IF(F372="","",D372-F372)</f>
        <v>25</v>
      </c>
      <c r="H372" s="21" t="n">
        <f aca="false">IF(F372="","",DATE(YEAR(D372),MONTH(D372),1))</f>
        <v>45839</v>
      </c>
    </row>
    <row r="373" customFormat="false" ht="15" hidden="false" customHeight="false" outlineLevel="0" collapsed="false">
      <c r="A373" s="16" t="str">
        <f aca="false">Cash_Receipts_AR!A370</f>
        <v>ARR70369</v>
      </c>
      <c r="B373" s="16" t="str">
        <f aca="false">Cash_Receipts_AR!C370</f>
        <v>C2003</v>
      </c>
      <c r="C373" s="16" t="str">
        <f aca="false">Cash_Receipts_AR!B370</f>
        <v>ARI60438</v>
      </c>
      <c r="D373" s="17" t="n">
        <f aca="false">Cash_Receipts_AR!D370</f>
        <v>45706</v>
      </c>
      <c r="E373" s="18" t="n">
        <f aca="false">Cash_Receipts_AR!E370</f>
        <v>972.77</v>
      </c>
      <c r="F373" s="17" t="n">
        <f aca="false">IFERROR(INDEX(Customer_Invoices_AR!$C$2:$C$601,MATCH(C373,Customer_Invoices_AR!$A$2:$A$601,0)),"")</f>
        <v>45670</v>
      </c>
      <c r="G373" s="16" t="n">
        <f aca="false">IF(F373="","",D373-F373)</f>
        <v>36</v>
      </c>
      <c r="H373" s="21" t="n">
        <f aca="false">IF(F373="","",DATE(YEAR(D373),MONTH(D373),1))</f>
        <v>45689</v>
      </c>
    </row>
    <row r="374" customFormat="false" ht="15" hidden="false" customHeight="false" outlineLevel="0" collapsed="false">
      <c r="A374" s="16" t="str">
        <f aca="false">Cash_Receipts_AR!A371</f>
        <v>ARR70370</v>
      </c>
      <c r="B374" s="16" t="str">
        <f aca="false">Cash_Receipts_AR!C371</f>
        <v>C2028</v>
      </c>
      <c r="C374" s="16" t="str">
        <f aca="false">Cash_Receipts_AR!B371</f>
        <v>ARI60440</v>
      </c>
      <c r="D374" s="17" t="n">
        <f aca="false">Cash_Receipts_AR!D371</f>
        <v>45950</v>
      </c>
      <c r="E374" s="18" t="n">
        <f aca="false">Cash_Receipts_AR!E371</f>
        <v>4774.51</v>
      </c>
      <c r="F374" s="17" t="n">
        <f aca="false">IFERROR(INDEX(Customer_Invoices_AR!$C$2:$C$601,MATCH(C374,Customer_Invoices_AR!$A$2:$A$601,0)),"")</f>
        <v>45933</v>
      </c>
      <c r="G374" s="16" t="n">
        <f aca="false">IF(F374="","",D374-F374)</f>
        <v>17</v>
      </c>
      <c r="H374" s="21" t="n">
        <f aca="false">IF(F374="","",DATE(YEAR(D374),MONTH(D374),1))</f>
        <v>45931</v>
      </c>
    </row>
    <row r="375" customFormat="false" ht="15" hidden="false" customHeight="false" outlineLevel="0" collapsed="false">
      <c r="A375" s="16" t="str">
        <f aca="false">Cash_Receipts_AR!A372</f>
        <v>ARR70371</v>
      </c>
      <c r="B375" s="16" t="str">
        <f aca="false">Cash_Receipts_AR!C372</f>
        <v>C2020</v>
      </c>
      <c r="C375" s="16" t="str">
        <f aca="false">Cash_Receipts_AR!B372</f>
        <v>ARI60442</v>
      </c>
      <c r="D375" s="17" t="n">
        <f aca="false">Cash_Receipts_AR!D372</f>
        <v>45776</v>
      </c>
      <c r="E375" s="18" t="n">
        <f aca="false">Cash_Receipts_AR!E372</f>
        <v>1419.36</v>
      </c>
      <c r="F375" s="17" t="n">
        <f aca="false">IFERROR(INDEX(Customer_Invoices_AR!$C$2:$C$601,MATCH(C375,Customer_Invoices_AR!$A$2:$A$601,0)),"")</f>
        <v>45775</v>
      </c>
      <c r="G375" s="16" t="n">
        <f aca="false">IF(F375="","",D375-F375)</f>
        <v>1</v>
      </c>
      <c r="H375" s="21" t="n">
        <f aca="false">IF(F375="","",DATE(YEAR(D375),MONTH(D375),1))</f>
        <v>45748</v>
      </c>
    </row>
    <row r="376" customFormat="false" ht="15" hidden="false" customHeight="false" outlineLevel="0" collapsed="false">
      <c r="A376" s="16" t="str">
        <f aca="false">Cash_Receipts_AR!A373</f>
        <v>ARR70372</v>
      </c>
      <c r="B376" s="16" t="str">
        <f aca="false">Cash_Receipts_AR!C373</f>
        <v>C2013</v>
      </c>
      <c r="C376" s="16" t="str">
        <f aca="false">Cash_Receipts_AR!B373</f>
        <v>ARI60443</v>
      </c>
      <c r="D376" s="17" t="n">
        <f aca="false">Cash_Receipts_AR!D373</f>
        <v>45884</v>
      </c>
      <c r="E376" s="18" t="n">
        <f aca="false">Cash_Receipts_AR!E373</f>
        <v>3354.86</v>
      </c>
      <c r="F376" s="17" t="n">
        <f aca="false">IFERROR(INDEX(Customer_Invoices_AR!$C$2:$C$601,MATCH(C376,Customer_Invoices_AR!$A$2:$A$601,0)),"")</f>
        <v>45850</v>
      </c>
      <c r="G376" s="16" t="n">
        <f aca="false">IF(F376="","",D376-F376)</f>
        <v>34</v>
      </c>
      <c r="H376" s="21" t="n">
        <f aca="false">IF(F376="","",DATE(YEAR(D376),MONTH(D376),1))</f>
        <v>45870</v>
      </c>
    </row>
    <row r="377" customFormat="false" ht="15" hidden="false" customHeight="false" outlineLevel="0" collapsed="false">
      <c r="A377" s="16" t="str">
        <f aca="false">Cash_Receipts_AR!A374</f>
        <v>ARR70373</v>
      </c>
      <c r="B377" s="16" t="str">
        <f aca="false">Cash_Receipts_AR!C374</f>
        <v>C2022</v>
      </c>
      <c r="C377" s="16" t="str">
        <f aca="false">Cash_Receipts_AR!B374</f>
        <v>ARI60444</v>
      </c>
      <c r="D377" s="17" t="n">
        <f aca="false">Cash_Receipts_AR!D374</f>
        <v>45716</v>
      </c>
      <c r="E377" s="18" t="n">
        <f aca="false">Cash_Receipts_AR!E374</f>
        <v>1948.8</v>
      </c>
      <c r="F377" s="17" t="n">
        <f aca="false">IFERROR(INDEX(Customer_Invoices_AR!$C$2:$C$601,MATCH(C377,Customer_Invoices_AR!$A$2:$A$601,0)),"")</f>
        <v>45685</v>
      </c>
      <c r="G377" s="16" t="n">
        <f aca="false">IF(F377="","",D377-F377)</f>
        <v>31</v>
      </c>
      <c r="H377" s="21" t="n">
        <f aca="false">IF(F377="","",DATE(YEAR(D377),MONTH(D377),1))</f>
        <v>45689</v>
      </c>
    </row>
    <row r="378" customFormat="false" ht="15" hidden="false" customHeight="false" outlineLevel="0" collapsed="false">
      <c r="A378" s="16" t="str">
        <f aca="false">Cash_Receipts_AR!A375</f>
        <v>ARR70374</v>
      </c>
      <c r="B378" s="16" t="str">
        <f aca="false">Cash_Receipts_AR!C375</f>
        <v>C2003</v>
      </c>
      <c r="C378" s="16" t="str">
        <f aca="false">Cash_Receipts_AR!B375</f>
        <v>ARI60445</v>
      </c>
      <c r="D378" s="17" t="n">
        <f aca="false">Cash_Receipts_AR!D375</f>
        <v>45947</v>
      </c>
      <c r="E378" s="18" t="n">
        <f aca="false">Cash_Receipts_AR!E375</f>
        <v>5733.44</v>
      </c>
      <c r="F378" s="17" t="n">
        <f aca="false">IFERROR(INDEX(Customer_Invoices_AR!$C$2:$C$601,MATCH(C378,Customer_Invoices_AR!$A$2:$A$601,0)),"")</f>
        <v>45927</v>
      </c>
      <c r="G378" s="16" t="n">
        <f aca="false">IF(F378="","",D378-F378)</f>
        <v>20</v>
      </c>
      <c r="H378" s="21" t="n">
        <f aca="false">IF(F378="","",DATE(YEAR(D378),MONTH(D378),1))</f>
        <v>45931</v>
      </c>
    </row>
    <row r="379" customFormat="false" ht="15" hidden="false" customHeight="false" outlineLevel="0" collapsed="false">
      <c r="A379" s="16" t="str">
        <f aca="false">Cash_Receipts_AR!A376</f>
        <v>ARR70375</v>
      </c>
      <c r="B379" s="16" t="str">
        <f aca="false">Cash_Receipts_AR!C376</f>
        <v>C2020</v>
      </c>
      <c r="C379" s="16" t="str">
        <f aca="false">Cash_Receipts_AR!B376</f>
        <v>ARI60446</v>
      </c>
      <c r="D379" s="17" t="n">
        <f aca="false">Cash_Receipts_AR!D376</f>
        <v>46148</v>
      </c>
      <c r="E379" s="18" t="n">
        <f aca="false">Cash_Receipts_AR!E376</f>
        <v>3227.35</v>
      </c>
      <c r="F379" s="17" t="n">
        <f aca="false">IFERROR(INDEX(Customer_Invoices_AR!$C$2:$C$601,MATCH(C379,Customer_Invoices_AR!$A$2:$A$601,0)),"")</f>
        <v>46138</v>
      </c>
      <c r="G379" s="16" t="n">
        <f aca="false">IF(F379="","",D379-F379)</f>
        <v>10</v>
      </c>
      <c r="H379" s="21" t="n">
        <f aca="false">IF(F379="","",DATE(YEAR(D379),MONTH(D379),1))</f>
        <v>46143</v>
      </c>
    </row>
    <row r="380" customFormat="false" ht="15" hidden="false" customHeight="false" outlineLevel="0" collapsed="false">
      <c r="A380" s="16" t="str">
        <f aca="false">Cash_Receipts_AR!A377</f>
        <v>ARR70376</v>
      </c>
      <c r="B380" s="16" t="str">
        <f aca="false">Cash_Receipts_AR!C377</f>
        <v>C2011</v>
      </c>
      <c r="C380" s="16" t="str">
        <f aca="false">Cash_Receipts_AR!B377</f>
        <v>ARI60447</v>
      </c>
      <c r="D380" s="17" t="n">
        <f aca="false">Cash_Receipts_AR!D377</f>
        <v>46032</v>
      </c>
      <c r="E380" s="18" t="n">
        <f aca="false">Cash_Receipts_AR!E377</f>
        <v>1389.94</v>
      </c>
      <c r="F380" s="17" t="n">
        <f aca="false">IFERROR(INDEX(Customer_Invoices_AR!$C$2:$C$601,MATCH(C380,Customer_Invoices_AR!$A$2:$A$601,0)),"")</f>
        <v>46014</v>
      </c>
      <c r="G380" s="16" t="n">
        <f aca="false">IF(F380="","",D380-F380)</f>
        <v>18</v>
      </c>
      <c r="H380" s="21" t="n">
        <f aca="false">IF(F380="","",DATE(YEAR(D380),MONTH(D380),1))</f>
        <v>46023</v>
      </c>
    </row>
    <row r="381" customFormat="false" ht="15" hidden="false" customHeight="false" outlineLevel="0" collapsed="false">
      <c r="A381" s="16" t="str">
        <f aca="false">Cash_Receipts_AR!A378</f>
        <v>ARR70377</v>
      </c>
      <c r="B381" s="16" t="str">
        <f aca="false">Cash_Receipts_AR!C378</f>
        <v>C2001</v>
      </c>
      <c r="C381" s="16" t="str">
        <f aca="false">Cash_Receipts_AR!B378</f>
        <v>ARI60448</v>
      </c>
      <c r="D381" s="17" t="n">
        <f aca="false">Cash_Receipts_AR!D378</f>
        <v>45939</v>
      </c>
      <c r="E381" s="18" t="n">
        <f aca="false">Cash_Receipts_AR!E378</f>
        <v>4424.18</v>
      </c>
      <c r="F381" s="17" t="n">
        <f aca="false">IFERROR(INDEX(Customer_Invoices_AR!$C$2:$C$601,MATCH(C381,Customer_Invoices_AR!$A$2:$A$601,0)),"")</f>
        <v>45914</v>
      </c>
      <c r="G381" s="16" t="n">
        <f aca="false">IF(F381="","",D381-F381)</f>
        <v>25</v>
      </c>
      <c r="H381" s="21" t="n">
        <f aca="false">IF(F381="","",DATE(YEAR(D381),MONTH(D381),1))</f>
        <v>45931</v>
      </c>
    </row>
    <row r="382" customFormat="false" ht="15" hidden="false" customHeight="false" outlineLevel="0" collapsed="false">
      <c r="A382" s="16" t="str">
        <f aca="false">Cash_Receipts_AR!A379</f>
        <v>ARR70378</v>
      </c>
      <c r="B382" s="16" t="str">
        <f aca="false">Cash_Receipts_AR!C379</f>
        <v>C2022</v>
      </c>
      <c r="C382" s="16" t="str">
        <f aca="false">Cash_Receipts_AR!B379</f>
        <v>ARI60449</v>
      </c>
      <c r="D382" s="17" t="n">
        <f aca="false">Cash_Receipts_AR!D379</f>
        <v>45964</v>
      </c>
      <c r="E382" s="18" t="n">
        <f aca="false">Cash_Receipts_AR!E379</f>
        <v>5939.73</v>
      </c>
      <c r="F382" s="17" t="n">
        <f aca="false">IFERROR(INDEX(Customer_Invoices_AR!$C$2:$C$601,MATCH(C382,Customer_Invoices_AR!$A$2:$A$601,0)),"")</f>
        <v>45950</v>
      </c>
      <c r="G382" s="16" t="n">
        <f aca="false">IF(F382="","",D382-F382)</f>
        <v>14</v>
      </c>
      <c r="H382" s="21" t="n">
        <f aca="false">IF(F382="","",DATE(YEAR(D382),MONTH(D382),1))</f>
        <v>45962</v>
      </c>
    </row>
    <row r="383" customFormat="false" ht="15" hidden="false" customHeight="false" outlineLevel="0" collapsed="false">
      <c r="A383" s="16" t="str">
        <f aca="false">Cash_Receipts_AR!A380</f>
        <v>ARR70379</v>
      </c>
      <c r="B383" s="16" t="str">
        <f aca="false">Cash_Receipts_AR!C380</f>
        <v>C2011</v>
      </c>
      <c r="C383" s="16" t="str">
        <f aca="false">Cash_Receipts_AR!B380</f>
        <v>ARI60450</v>
      </c>
      <c r="D383" s="17" t="n">
        <f aca="false">Cash_Receipts_AR!D380</f>
        <v>46128</v>
      </c>
      <c r="E383" s="18" t="n">
        <f aca="false">Cash_Receipts_AR!E380</f>
        <v>6534.13</v>
      </c>
      <c r="F383" s="17" t="n">
        <f aca="false">IFERROR(INDEX(Customer_Invoices_AR!$C$2:$C$601,MATCH(C383,Customer_Invoices_AR!$A$2:$A$601,0)),"")</f>
        <v>46119</v>
      </c>
      <c r="G383" s="16" t="n">
        <f aca="false">IF(F383="","",D383-F383)</f>
        <v>9</v>
      </c>
      <c r="H383" s="21" t="n">
        <f aca="false">IF(F383="","",DATE(YEAR(D383),MONTH(D383),1))</f>
        <v>46113</v>
      </c>
    </row>
    <row r="384" customFormat="false" ht="15" hidden="false" customHeight="false" outlineLevel="0" collapsed="false">
      <c r="A384" s="16" t="str">
        <f aca="false">Cash_Receipts_AR!A381</f>
        <v>ARR70380</v>
      </c>
      <c r="B384" s="16" t="str">
        <f aca="false">Cash_Receipts_AR!C381</f>
        <v>C2019</v>
      </c>
      <c r="C384" s="16" t="str">
        <f aca="false">Cash_Receipts_AR!B381</f>
        <v>ARI60451</v>
      </c>
      <c r="D384" s="17" t="n">
        <f aca="false">Cash_Receipts_AR!D381</f>
        <v>45929</v>
      </c>
      <c r="E384" s="18" t="n">
        <f aca="false">Cash_Receipts_AR!E381</f>
        <v>320.53</v>
      </c>
      <c r="F384" s="17" t="n">
        <f aca="false">IFERROR(INDEX(Customer_Invoices_AR!$C$2:$C$601,MATCH(C384,Customer_Invoices_AR!$A$2:$A$601,0)),"")</f>
        <v>45892</v>
      </c>
      <c r="G384" s="16" t="n">
        <f aca="false">IF(F384="","",D384-F384)</f>
        <v>37</v>
      </c>
      <c r="H384" s="21" t="n">
        <f aca="false">IF(F384="","",DATE(YEAR(D384),MONTH(D384),1))</f>
        <v>45901</v>
      </c>
    </row>
    <row r="385" customFormat="false" ht="15" hidden="false" customHeight="false" outlineLevel="0" collapsed="false">
      <c r="A385" s="16" t="str">
        <f aca="false">Cash_Receipts_AR!A382</f>
        <v>ARR70381</v>
      </c>
      <c r="B385" s="16" t="str">
        <f aca="false">Cash_Receipts_AR!C382</f>
        <v>C2023</v>
      </c>
      <c r="C385" s="16" t="str">
        <f aca="false">Cash_Receipts_AR!B382</f>
        <v>ARI60452</v>
      </c>
      <c r="D385" s="17" t="n">
        <f aca="false">Cash_Receipts_AR!D382</f>
        <v>46150</v>
      </c>
      <c r="E385" s="18" t="n">
        <f aca="false">Cash_Receipts_AR!E382</f>
        <v>3067.28</v>
      </c>
      <c r="F385" s="17" t="n">
        <f aca="false">IFERROR(INDEX(Customer_Invoices_AR!$C$2:$C$601,MATCH(C385,Customer_Invoices_AR!$A$2:$A$601,0)),"")</f>
        <v>46138</v>
      </c>
      <c r="G385" s="16" t="n">
        <f aca="false">IF(F385="","",D385-F385)</f>
        <v>12</v>
      </c>
      <c r="H385" s="21" t="n">
        <f aca="false">IF(F385="","",DATE(YEAR(D385),MONTH(D385),1))</f>
        <v>46143</v>
      </c>
    </row>
    <row r="386" customFormat="false" ht="15" hidden="false" customHeight="false" outlineLevel="0" collapsed="false">
      <c r="A386" s="16" t="str">
        <f aca="false">Cash_Receipts_AR!A383</f>
        <v>ARR70382</v>
      </c>
      <c r="B386" s="16" t="str">
        <f aca="false">Cash_Receipts_AR!C383</f>
        <v>C2018</v>
      </c>
      <c r="C386" s="16" t="str">
        <f aca="false">Cash_Receipts_AR!B383</f>
        <v>ARI60454</v>
      </c>
      <c r="D386" s="17" t="n">
        <f aca="false">Cash_Receipts_AR!D383</f>
        <v>46075</v>
      </c>
      <c r="E386" s="18" t="n">
        <f aca="false">Cash_Receipts_AR!E383</f>
        <v>3317.36</v>
      </c>
      <c r="F386" s="17" t="n">
        <f aca="false">IFERROR(INDEX(Customer_Invoices_AR!$C$2:$C$601,MATCH(C386,Customer_Invoices_AR!$A$2:$A$601,0)),"")</f>
        <v>46074</v>
      </c>
      <c r="G386" s="16" t="n">
        <f aca="false">IF(F386="","",D386-F386)</f>
        <v>1</v>
      </c>
      <c r="H386" s="21" t="n">
        <f aca="false">IF(F386="","",DATE(YEAR(D386),MONTH(D386),1))</f>
        <v>46054</v>
      </c>
    </row>
    <row r="387" customFormat="false" ht="15" hidden="false" customHeight="false" outlineLevel="0" collapsed="false">
      <c r="A387" s="16" t="str">
        <f aca="false">Cash_Receipts_AR!A384</f>
        <v>ARR70383</v>
      </c>
      <c r="B387" s="16" t="str">
        <f aca="false">Cash_Receipts_AR!C384</f>
        <v>C2020</v>
      </c>
      <c r="C387" s="16" t="str">
        <f aca="false">Cash_Receipts_AR!B384</f>
        <v>ARI60455</v>
      </c>
      <c r="D387" s="17" t="n">
        <f aca="false">Cash_Receipts_AR!D384</f>
        <v>45862</v>
      </c>
      <c r="E387" s="18" t="n">
        <f aca="false">Cash_Receipts_AR!E384</f>
        <v>8677.01</v>
      </c>
      <c r="F387" s="17" t="n">
        <f aca="false">IFERROR(INDEX(Customer_Invoices_AR!$C$2:$C$601,MATCH(C387,Customer_Invoices_AR!$A$2:$A$601,0)),"")</f>
        <v>45857</v>
      </c>
      <c r="G387" s="16" t="n">
        <f aca="false">IF(F387="","",D387-F387)</f>
        <v>5</v>
      </c>
      <c r="H387" s="21" t="n">
        <f aca="false">IF(F387="","",DATE(YEAR(D387),MONTH(D387),1))</f>
        <v>45839</v>
      </c>
    </row>
    <row r="388" customFormat="false" ht="15" hidden="false" customHeight="false" outlineLevel="0" collapsed="false">
      <c r="A388" s="16" t="str">
        <f aca="false">Cash_Receipts_AR!A385</f>
        <v>ARR70384</v>
      </c>
      <c r="B388" s="16" t="str">
        <f aca="false">Cash_Receipts_AR!C385</f>
        <v>C2014</v>
      </c>
      <c r="C388" s="16" t="str">
        <f aca="false">Cash_Receipts_AR!B385</f>
        <v>ARI60460</v>
      </c>
      <c r="D388" s="17" t="n">
        <f aca="false">Cash_Receipts_AR!D385</f>
        <v>45729</v>
      </c>
      <c r="E388" s="18" t="n">
        <f aca="false">Cash_Receipts_AR!E385</f>
        <v>3688.77</v>
      </c>
      <c r="F388" s="17" t="n">
        <f aca="false">IFERROR(INDEX(Customer_Invoices_AR!$C$2:$C$601,MATCH(C388,Customer_Invoices_AR!$A$2:$A$601,0)),"")</f>
        <v>45698</v>
      </c>
      <c r="G388" s="16" t="n">
        <f aca="false">IF(F388="","",D388-F388)</f>
        <v>31</v>
      </c>
      <c r="H388" s="21" t="n">
        <f aca="false">IF(F388="","",DATE(YEAR(D388),MONTH(D388),1))</f>
        <v>45717</v>
      </c>
    </row>
    <row r="389" customFormat="false" ht="15" hidden="false" customHeight="false" outlineLevel="0" collapsed="false">
      <c r="A389" s="16" t="str">
        <f aca="false">Cash_Receipts_AR!A386</f>
        <v>ARR70385</v>
      </c>
      <c r="B389" s="16" t="str">
        <f aca="false">Cash_Receipts_AR!C386</f>
        <v>C2028</v>
      </c>
      <c r="C389" s="16" t="str">
        <f aca="false">Cash_Receipts_AR!B386</f>
        <v>ARI60461</v>
      </c>
      <c r="D389" s="17" t="n">
        <f aca="false">Cash_Receipts_AR!D386</f>
        <v>45945</v>
      </c>
      <c r="E389" s="18" t="n">
        <f aca="false">Cash_Receipts_AR!E386</f>
        <v>10558.67</v>
      </c>
      <c r="F389" s="17" t="n">
        <f aca="false">IFERROR(INDEX(Customer_Invoices_AR!$C$2:$C$601,MATCH(C389,Customer_Invoices_AR!$A$2:$A$601,0)),"")</f>
        <v>45932</v>
      </c>
      <c r="G389" s="16" t="n">
        <f aca="false">IF(F389="","",D389-F389)</f>
        <v>13</v>
      </c>
      <c r="H389" s="21" t="n">
        <f aca="false">IF(F389="","",DATE(YEAR(D389),MONTH(D389),1))</f>
        <v>45931</v>
      </c>
    </row>
    <row r="390" customFormat="false" ht="15" hidden="false" customHeight="false" outlineLevel="0" collapsed="false">
      <c r="A390" s="16" t="str">
        <f aca="false">Cash_Receipts_AR!A387</f>
        <v>ARR70386</v>
      </c>
      <c r="B390" s="16" t="str">
        <f aca="false">Cash_Receipts_AR!C387</f>
        <v>C2021</v>
      </c>
      <c r="C390" s="16" t="str">
        <f aca="false">Cash_Receipts_AR!B387</f>
        <v>ARI60462</v>
      </c>
      <c r="D390" s="17" t="n">
        <f aca="false">Cash_Receipts_AR!D387</f>
        <v>46082</v>
      </c>
      <c r="E390" s="18" t="n">
        <f aca="false">Cash_Receipts_AR!E387</f>
        <v>4773.31</v>
      </c>
      <c r="F390" s="17" t="n">
        <f aca="false">IFERROR(INDEX(Customer_Invoices_AR!$C$2:$C$601,MATCH(C390,Customer_Invoices_AR!$A$2:$A$601,0)),"")</f>
        <v>46074</v>
      </c>
      <c r="G390" s="16" t="n">
        <f aca="false">IF(F390="","",D390-F390)</f>
        <v>8</v>
      </c>
      <c r="H390" s="21" t="n">
        <f aca="false">IF(F390="","",DATE(YEAR(D390),MONTH(D390),1))</f>
        <v>46082</v>
      </c>
    </row>
    <row r="391" customFormat="false" ht="15" hidden="false" customHeight="false" outlineLevel="0" collapsed="false">
      <c r="A391" s="16" t="str">
        <f aca="false">Cash_Receipts_AR!A388</f>
        <v>ARR70387</v>
      </c>
      <c r="B391" s="16" t="str">
        <f aca="false">Cash_Receipts_AR!C388</f>
        <v>C2028</v>
      </c>
      <c r="C391" s="16" t="str">
        <f aca="false">Cash_Receipts_AR!B388</f>
        <v>ARI60463</v>
      </c>
      <c r="D391" s="17" t="n">
        <f aca="false">Cash_Receipts_AR!D388</f>
        <v>45814</v>
      </c>
      <c r="E391" s="18" t="n">
        <f aca="false">Cash_Receipts_AR!E388</f>
        <v>2297.56</v>
      </c>
      <c r="F391" s="17" t="n">
        <f aca="false">IFERROR(INDEX(Customer_Invoices_AR!$C$2:$C$601,MATCH(C391,Customer_Invoices_AR!$A$2:$A$601,0)),"")</f>
        <v>45810</v>
      </c>
      <c r="G391" s="16" t="n">
        <f aca="false">IF(F391="","",D391-F391)</f>
        <v>4</v>
      </c>
      <c r="H391" s="21" t="n">
        <f aca="false">IF(F391="","",DATE(YEAR(D391),MONTH(D391),1))</f>
        <v>45809</v>
      </c>
    </row>
    <row r="392" customFormat="false" ht="15" hidden="false" customHeight="false" outlineLevel="0" collapsed="false">
      <c r="A392" s="16" t="str">
        <f aca="false">Cash_Receipts_AR!A389</f>
        <v>ARR70388</v>
      </c>
      <c r="B392" s="16" t="str">
        <f aca="false">Cash_Receipts_AR!C389</f>
        <v>C2013</v>
      </c>
      <c r="C392" s="16" t="str">
        <f aca="false">Cash_Receipts_AR!B389</f>
        <v>ARI60465</v>
      </c>
      <c r="D392" s="17" t="n">
        <f aca="false">Cash_Receipts_AR!D389</f>
        <v>46052</v>
      </c>
      <c r="E392" s="18" t="n">
        <f aca="false">Cash_Receipts_AR!E389</f>
        <v>17482.96</v>
      </c>
      <c r="F392" s="17" t="n">
        <f aca="false">IFERROR(INDEX(Customer_Invoices_AR!$C$2:$C$601,MATCH(C392,Customer_Invoices_AR!$A$2:$A$601,0)),"")</f>
        <v>46028</v>
      </c>
      <c r="G392" s="16" t="n">
        <f aca="false">IF(F392="","",D392-F392)</f>
        <v>24</v>
      </c>
      <c r="H392" s="21" t="n">
        <f aca="false">IF(F392="","",DATE(YEAR(D392),MONTH(D392),1))</f>
        <v>46023</v>
      </c>
    </row>
    <row r="393" customFormat="false" ht="15" hidden="false" customHeight="false" outlineLevel="0" collapsed="false">
      <c r="A393" s="16" t="str">
        <f aca="false">Cash_Receipts_AR!A390</f>
        <v>ARR70389</v>
      </c>
      <c r="B393" s="16" t="str">
        <f aca="false">Cash_Receipts_AR!C390</f>
        <v>C2018</v>
      </c>
      <c r="C393" s="16" t="str">
        <f aca="false">Cash_Receipts_AR!B390</f>
        <v>ARI60466</v>
      </c>
      <c r="D393" s="17" t="n">
        <f aca="false">Cash_Receipts_AR!D390</f>
        <v>45726</v>
      </c>
      <c r="E393" s="18" t="n">
        <f aca="false">Cash_Receipts_AR!E390</f>
        <v>39817.42</v>
      </c>
      <c r="F393" s="17" t="n">
        <f aca="false">IFERROR(INDEX(Customer_Invoices_AR!$C$2:$C$601,MATCH(C393,Customer_Invoices_AR!$A$2:$A$601,0)),"")</f>
        <v>45722</v>
      </c>
      <c r="G393" s="16" t="n">
        <f aca="false">IF(F393="","",D393-F393)</f>
        <v>4</v>
      </c>
      <c r="H393" s="21" t="n">
        <f aca="false">IF(F393="","",DATE(YEAR(D393),MONTH(D393),1))</f>
        <v>45717</v>
      </c>
    </row>
    <row r="394" customFormat="false" ht="15" hidden="false" customHeight="false" outlineLevel="0" collapsed="false">
      <c r="A394" s="16" t="str">
        <f aca="false">Cash_Receipts_AR!A391</f>
        <v>ARR70390</v>
      </c>
      <c r="B394" s="16" t="str">
        <f aca="false">Cash_Receipts_AR!C391</f>
        <v>C2010</v>
      </c>
      <c r="C394" s="16" t="str">
        <f aca="false">Cash_Receipts_AR!B391</f>
        <v>ARI60467</v>
      </c>
      <c r="D394" s="17" t="n">
        <f aca="false">Cash_Receipts_AR!D391</f>
        <v>46195</v>
      </c>
      <c r="E394" s="18" t="n">
        <f aca="false">Cash_Receipts_AR!E391</f>
        <v>7642.64</v>
      </c>
      <c r="F394" s="17" t="n">
        <f aca="false">IFERROR(INDEX(Customer_Invoices_AR!$C$2:$C$601,MATCH(C394,Customer_Invoices_AR!$A$2:$A$601,0)),"")</f>
        <v>46189</v>
      </c>
      <c r="G394" s="16" t="n">
        <f aca="false">IF(F394="","",D394-F394)</f>
        <v>6</v>
      </c>
      <c r="H394" s="21" t="n">
        <f aca="false">IF(F394="","",DATE(YEAR(D394),MONTH(D394),1))</f>
        <v>46174</v>
      </c>
    </row>
    <row r="395" customFormat="false" ht="15" hidden="false" customHeight="false" outlineLevel="0" collapsed="false">
      <c r="A395" s="16" t="str">
        <f aca="false">Cash_Receipts_AR!A392</f>
        <v>ARR70391</v>
      </c>
      <c r="B395" s="16" t="str">
        <f aca="false">Cash_Receipts_AR!C392</f>
        <v>C2029</v>
      </c>
      <c r="C395" s="16" t="str">
        <f aca="false">Cash_Receipts_AR!B392</f>
        <v>ARI60468</v>
      </c>
      <c r="D395" s="17" t="n">
        <f aca="false">Cash_Receipts_AR!D392</f>
        <v>45873</v>
      </c>
      <c r="E395" s="18" t="n">
        <f aca="false">Cash_Receipts_AR!E392</f>
        <v>2491.07</v>
      </c>
      <c r="F395" s="17" t="n">
        <f aca="false">IFERROR(INDEX(Customer_Invoices_AR!$C$2:$C$601,MATCH(C395,Customer_Invoices_AR!$A$2:$A$601,0)),"")</f>
        <v>45872</v>
      </c>
      <c r="G395" s="16" t="n">
        <f aca="false">IF(F395="","",D395-F395)</f>
        <v>1</v>
      </c>
      <c r="H395" s="21" t="n">
        <f aca="false">IF(F395="","",DATE(YEAR(D395),MONTH(D395),1))</f>
        <v>45870</v>
      </c>
    </row>
    <row r="396" customFormat="false" ht="15" hidden="false" customHeight="false" outlineLevel="0" collapsed="false">
      <c r="A396" s="16" t="str">
        <f aca="false">Cash_Receipts_AR!A393</f>
        <v>ARR70392</v>
      </c>
      <c r="B396" s="16" t="str">
        <f aca="false">Cash_Receipts_AR!C393</f>
        <v>C2027</v>
      </c>
      <c r="C396" s="16" t="str">
        <f aca="false">Cash_Receipts_AR!B393</f>
        <v>ARI60469</v>
      </c>
      <c r="D396" s="17" t="n">
        <f aca="false">Cash_Receipts_AR!D393</f>
        <v>46099</v>
      </c>
      <c r="E396" s="18" t="n">
        <f aca="false">Cash_Receipts_AR!E393</f>
        <v>3222.71</v>
      </c>
      <c r="F396" s="17" t="n">
        <f aca="false">IFERROR(INDEX(Customer_Invoices_AR!$C$2:$C$601,MATCH(C396,Customer_Invoices_AR!$A$2:$A$601,0)),"")</f>
        <v>46091</v>
      </c>
      <c r="G396" s="16" t="n">
        <f aca="false">IF(F396="","",D396-F396)</f>
        <v>8</v>
      </c>
      <c r="H396" s="21" t="n">
        <f aca="false">IF(F396="","",DATE(YEAR(D396),MONTH(D396),1))</f>
        <v>46082</v>
      </c>
    </row>
    <row r="397" customFormat="false" ht="15" hidden="false" customHeight="false" outlineLevel="0" collapsed="false">
      <c r="A397" s="16" t="str">
        <f aca="false">Cash_Receipts_AR!A394</f>
        <v>ARR70393</v>
      </c>
      <c r="B397" s="16" t="str">
        <f aca="false">Cash_Receipts_AR!C394</f>
        <v>C2012</v>
      </c>
      <c r="C397" s="16" t="str">
        <f aca="false">Cash_Receipts_AR!B394</f>
        <v>ARI60470</v>
      </c>
      <c r="D397" s="17" t="n">
        <f aca="false">Cash_Receipts_AR!D394</f>
        <v>45852</v>
      </c>
      <c r="E397" s="18" t="n">
        <f aca="false">Cash_Receipts_AR!E394</f>
        <v>1588.52</v>
      </c>
      <c r="F397" s="17" t="n">
        <f aca="false">IFERROR(INDEX(Customer_Invoices_AR!$C$2:$C$601,MATCH(C397,Customer_Invoices_AR!$A$2:$A$601,0)),"")</f>
        <v>45842</v>
      </c>
      <c r="G397" s="16" t="n">
        <f aca="false">IF(F397="","",D397-F397)</f>
        <v>10</v>
      </c>
      <c r="H397" s="21" t="n">
        <f aca="false">IF(F397="","",DATE(YEAR(D397),MONTH(D397),1))</f>
        <v>45839</v>
      </c>
    </row>
    <row r="398" customFormat="false" ht="15" hidden="false" customHeight="false" outlineLevel="0" collapsed="false">
      <c r="A398" s="16" t="str">
        <f aca="false">Cash_Receipts_AR!A395</f>
        <v>ARR70394</v>
      </c>
      <c r="B398" s="16" t="str">
        <f aca="false">Cash_Receipts_AR!C395</f>
        <v>C2026</v>
      </c>
      <c r="C398" s="16" t="str">
        <f aca="false">Cash_Receipts_AR!B395</f>
        <v>ARI60471</v>
      </c>
      <c r="D398" s="17" t="n">
        <f aca="false">Cash_Receipts_AR!D395</f>
        <v>46199</v>
      </c>
      <c r="E398" s="18" t="n">
        <f aca="false">Cash_Receipts_AR!E395</f>
        <v>643.3</v>
      </c>
      <c r="F398" s="17" t="n">
        <f aca="false">IFERROR(INDEX(Customer_Invoices_AR!$C$2:$C$601,MATCH(C398,Customer_Invoices_AR!$A$2:$A$601,0)),"")</f>
        <v>46169</v>
      </c>
      <c r="G398" s="16" t="n">
        <f aca="false">IF(F398="","",D398-F398)</f>
        <v>30</v>
      </c>
      <c r="H398" s="21" t="n">
        <f aca="false">IF(F398="","",DATE(YEAR(D398),MONTH(D398),1))</f>
        <v>46174</v>
      </c>
    </row>
    <row r="399" customFormat="false" ht="15" hidden="false" customHeight="false" outlineLevel="0" collapsed="false">
      <c r="A399" s="16" t="str">
        <f aca="false">Cash_Receipts_AR!A396</f>
        <v>ARR70395</v>
      </c>
      <c r="B399" s="16" t="str">
        <f aca="false">Cash_Receipts_AR!C396</f>
        <v>C2024</v>
      </c>
      <c r="C399" s="16" t="str">
        <f aca="false">Cash_Receipts_AR!B396</f>
        <v>ARI60472</v>
      </c>
      <c r="D399" s="17" t="n">
        <f aca="false">Cash_Receipts_AR!D396</f>
        <v>46097</v>
      </c>
      <c r="E399" s="18" t="n">
        <f aca="false">Cash_Receipts_AR!E396</f>
        <v>978.41</v>
      </c>
      <c r="F399" s="17" t="n">
        <f aca="false">IFERROR(INDEX(Customer_Invoices_AR!$C$2:$C$601,MATCH(C399,Customer_Invoices_AR!$A$2:$A$601,0)),"")</f>
        <v>46069</v>
      </c>
      <c r="G399" s="16" t="n">
        <f aca="false">IF(F399="","",D399-F399)</f>
        <v>28</v>
      </c>
      <c r="H399" s="21" t="n">
        <f aca="false">IF(F399="","",DATE(YEAR(D399),MONTH(D399),1))</f>
        <v>46082</v>
      </c>
    </row>
    <row r="400" customFormat="false" ht="15" hidden="false" customHeight="false" outlineLevel="0" collapsed="false">
      <c r="A400" s="16" t="str">
        <f aca="false">Cash_Receipts_AR!A397</f>
        <v>ARR70396</v>
      </c>
      <c r="B400" s="16" t="str">
        <f aca="false">Cash_Receipts_AR!C397</f>
        <v>C2013</v>
      </c>
      <c r="C400" s="16" t="str">
        <f aca="false">Cash_Receipts_AR!B397</f>
        <v>ARI60473</v>
      </c>
      <c r="D400" s="17" t="n">
        <f aca="false">Cash_Receipts_AR!D397</f>
        <v>45767</v>
      </c>
      <c r="E400" s="18" t="n">
        <f aca="false">Cash_Receipts_AR!E397</f>
        <v>406.73</v>
      </c>
      <c r="F400" s="17" t="n">
        <f aca="false">IFERROR(INDEX(Customer_Invoices_AR!$C$2:$C$601,MATCH(C400,Customer_Invoices_AR!$A$2:$A$601,0)),"")</f>
        <v>45766</v>
      </c>
      <c r="G400" s="16" t="n">
        <f aca="false">IF(F400="","",D400-F400)</f>
        <v>1</v>
      </c>
      <c r="H400" s="21" t="n">
        <f aca="false">IF(F400="","",DATE(YEAR(D400),MONTH(D400),1))</f>
        <v>45748</v>
      </c>
    </row>
    <row r="401" customFormat="false" ht="15" hidden="false" customHeight="false" outlineLevel="0" collapsed="false">
      <c r="A401" s="16" t="str">
        <f aca="false">Cash_Receipts_AR!A398</f>
        <v>ARR70397</v>
      </c>
      <c r="B401" s="16" t="str">
        <f aca="false">Cash_Receipts_AR!C398</f>
        <v>C2022</v>
      </c>
      <c r="C401" s="16" t="str">
        <f aca="false">Cash_Receipts_AR!B398</f>
        <v>ARI60474</v>
      </c>
      <c r="D401" s="17" t="n">
        <f aca="false">Cash_Receipts_AR!D398</f>
        <v>45973</v>
      </c>
      <c r="E401" s="18" t="n">
        <f aca="false">Cash_Receipts_AR!E398</f>
        <v>938.41</v>
      </c>
      <c r="F401" s="17" t="n">
        <f aca="false">IFERROR(INDEX(Customer_Invoices_AR!$C$2:$C$601,MATCH(C401,Customer_Invoices_AR!$A$2:$A$601,0)),"")</f>
        <v>45935</v>
      </c>
      <c r="G401" s="16" t="n">
        <f aca="false">IF(F401="","",D401-F401)</f>
        <v>38</v>
      </c>
      <c r="H401" s="21" t="n">
        <f aca="false">IF(F401="","",DATE(YEAR(D401),MONTH(D401),1))</f>
        <v>45962</v>
      </c>
    </row>
    <row r="402" customFormat="false" ht="15" hidden="false" customHeight="false" outlineLevel="0" collapsed="false">
      <c r="A402" s="16" t="str">
        <f aca="false">Cash_Receipts_AR!A399</f>
        <v>ARR70398</v>
      </c>
      <c r="B402" s="16" t="str">
        <f aca="false">Cash_Receipts_AR!C399</f>
        <v>C2008</v>
      </c>
      <c r="C402" s="16" t="str">
        <f aca="false">Cash_Receipts_AR!B399</f>
        <v>ARI60475</v>
      </c>
      <c r="D402" s="17" t="n">
        <f aca="false">Cash_Receipts_AR!D399</f>
        <v>45938</v>
      </c>
      <c r="E402" s="18" t="n">
        <f aca="false">Cash_Receipts_AR!E399</f>
        <v>1285.74</v>
      </c>
      <c r="F402" s="17" t="n">
        <f aca="false">IFERROR(INDEX(Customer_Invoices_AR!$C$2:$C$601,MATCH(C402,Customer_Invoices_AR!$A$2:$A$601,0)),"")</f>
        <v>45930</v>
      </c>
      <c r="G402" s="16" t="n">
        <f aca="false">IF(F402="","",D402-F402)</f>
        <v>8</v>
      </c>
      <c r="H402" s="21" t="n">
        <f aca="false">IF(F402="","",DATE(YEAR(D402),MONTH(D402),1))</f>
        <v>45931</v>
      </c>
    </row>
    <row r="403" customFormat="false" ht="15" hidden="false" customHeight="false" outlineLevel="0" collapsed="false">
      <c r="A403" s="16" t="str">
        <f aca="false">Cash_Receipts_AR!A400</f>
        <v>ARR70399</v>
      </c>
      <c r="B403" s="16" t="str">
        <f aca="false">Cash_Receipts_AR!C400</f>
        <v>C2023</v>
      </c>
      <c r="C403" s="16" t="str">
        <f aca="false">Cash_Receipts_AR!B400</f>
        <v>ARI60477</v>
      </c>
      <c r="D403" s="17" t="n">
        <f aca="false">Cash_Receipts_AR!D400</f>
        <v>45756</v>
      </c>
      <c r="E403" s="18" t="n">
        <f aca="false">Cash_Receipts_AR!E400</f>
        <v>9465.69</v>
      </c>
      <c r="F403" s="17" t="n">
        <f aca="false">IFERROR(INDEX(Customer_Invoices_AR!$C$2:$C$601,MATCH(C403,Customer_Invoices_AR!$A$2:$A$601,0)),"")</f>
        <v>45732</v>
      </c>
      <c r="G403" s="16" t="n">
        <f aca="false">IF(F403="","",D403-F403)</f>
        <v>24</v>
      </c>
      <c r="H403" s="21" t="n">
        <f aca="false">IF(F403="","",DATE(YEAR(D403),MONTH(D403),1))</f>
        <v>45748</v>
      </c>
    </row>
    <row r="404" customFormat="false" ht="15" hidden="false" customHeight="false" outlineLevel="0" collapsed="false">
      <c r="A404" s="16" t="str">
        <f aca="false">Cash_Receipts_AR!A401</f>
        <v>ARR70400</v>
      </c>
      <c r="B404" s="16" t="str">
        <f aca="false">Cash_Receipts_AR!C401</f>
        <v>C2011</v>
      </c>
      <c r="C404" s="16" t="str">
        <f aca="false">Cash_Receipts_AR!B401</f>
        <v>ARI60478</v>
      </c>
      <c r="D404" s="17" t="n">
        <f aca="false">Cash_Receipts_AR!D401</f>
        <v>45850</v>
      </c>
      <c r="E404" s="18" t="n">
        <f aca="false">Cash_Receipts_AR!E401</f>
        <v>1339.59</v>
      </c>
      <c r="F404" s="17" t="n">
        <f aca="false">IFERROR(INDEX(Customer_Invoices_AR!$C$2:$C$601,MATCH(C404,Customer_Invoices_AR!$A$2:$A$601,0)),"")</f>
        <v>45839</v>
      </c>
      <c r="G404" s="16" t="n">
        <f aca="false">IF(F404="","",D404-F404)</f>
        <v>11</v>
      </c>
      <c r="H404" s="21" t="n">
        <f aca="false">IF(F404="","",DATE(YEAR(D404),MONTH(D404),1))</f>
        <v>45839</v>
      </c>
    </row>
    <row r="405" customFormat="false" ht="15" hidden="false" customHeight="false" outlineLevel="0" collapsed="false">
      <c r="A405" s="16" t="str">
        <f aca="false">Cash_Receipts_AR!A402</f>
        <v>ARR70401</v>
      </c>
      <c r="B405" s="16" t="str">
        <f aca="false">Cash_Receipts_AR!C402</f>
        <v>C2014</v>
      </c>
      <c r="C405" s="16" t="str">
        <f aca="false">Cash_Receipts_AR!B402</f>
        <v>ARI60479</v>
      </c>
      <c r="D405" s="17" t="n">
        <f aca="false">Cash_Receipts_AR!D402</f>
        <v>45919</v>
      </c>
      <c r="E405" s="18" t="n">
        <f aca="false">Cash_Receipts_AR!E402</f>
        <v>2354.48</v>
      </c>
      <c r="F405" s="17" t="n">
        <f aca="false">IFERROR(INDEX(Customer_Invoices_AR!$C$2:$C$601,MATCH(C405,Customer_Invoices_AR!$A$2:$A$601,0)),"")</f>
        <v>45916</v>
      </c>
      <c r="G405" s="16" t="n">
        <f aca="false">IF(F405="","",D405-F405)</f>
        <v>3</v>
      </c>
      <c r="H405" s="21" t="n">
        <f aca="false">IF(F405="","",DATE(YEAR(D405),MONTH(D405),1))</f>
        <v>45901</v>
      </c>
    </row>
    <row r="406" customFormat="false" ht="15" hidden="false" customHeight="false" outlineLevel="0" collapsed="false">
      <c r="A406" s="16" t="str">
        <f aca="false">Cash_Receipts_AR!A403</f>
        <v>ARR70402</v>
      </c>
      <c r="B406" s="16" t="str">
        <f aca="false">Cash_Receipts_AR!C403</f>
        <v>C2029</v>
      </c>
      <c r="C406" s="16" t="str">
        <f aca="false">Cash_Receipts_AR!B403</f>
        <v>ARI60480</v>
      </c>
      <c r="D406" s="17" t="n">
        <f aca="false">Cash_Receipts_AR!D403</f>
        <v>45922</v>
      </c>
      <c r="E406" s="18" t="n">
        <f aca="false">Cash_Receipts_AR!E403</f>
        <v>2268.9</v>
      </c>
      <c r="F406" s="17" t="n">
        <f aca="false">IFERROR(INDEX(Customer_Invoices_AR!$C$2:$C$601,MATCH(C406,Customer_Invoices_AR!$A$2:$A$601,0)),"")</f>
        <v>45907</v>
      </c>
      <c r="G406" s="16" t="n">
        <f aca="false">IF(F406="","",D406-F406)</f>
        <v>15</v>
      </c>
      <c r="H406" s="21" t="n">
        <f aca="false">IF(F406="","",DATE(YEAR(D406),MONTH(D406),1))</f>
        <v>45901</v>
      </c>
    </row>
    <row r="407" customFormat="false" ht="15" hidden="false" customHeight="false" outlineLevel="0" collapsed="false">
      <c r="A407" s="16" t="str">
        <f aca="false">Cash_Receipts_AR!A404</f>
        <v>ARR70403</v>
      </c>
      <c r="B407" s="16" t="str">
        <f aca="false">Cash_Receipts_AR!C404</f>
        <v>C2013</v>
      </c>
      <c r="C407" s="16" t="str">
        <f aca="false">Cash_Receipts_AR!B404</f>
        <v>ARI60482</v>
      </c>
      <c r="D407" s="17" t="n">
        <f aca="false">Cash_Receipts_AR!D404</f>
        <v>45970</v>
      </c>
      <c r="E407" s="18" t="n">
        <f aca="false">Cash_Receipts_AR!E404</f>
        <v>1496.08</v>
      </c>
      <c r="F407" s="17" t="n">
        <f aca="false">IFERROR(INDEX(Customer_Invoices_AR!$C$2:$C$601,MATCH(C407,Customer_Invoices_AR!$A$2:$A$601,0)),"")</f>
        <v>45938</v>
      </c>
      <c r="G407" s="16" t="n">
        <f aca="false">IF(F407="","",D407-F407)</f>
        <v>32</v>
      </c>
      <c r="H407" s="21" t="n">
        <f aca="false">IF(F407="","",DATE(YEAR(D407),MONTH(D407),1))</f>
        <v>45962</v>
      </c>
    </row>
    <row r="408" customFormat="false" ht="15" hidden="false" customHeight="false" outlineLevel="0" collapsed="false">
      <c r="A408" s="16" t="str">
        <f aca="false">Cash_Receipts_AR!A405</f>
        <v>ARR70404</v>
      </c>
      <c r="B408" s="16" t="str">
        <f aca="false">Cash_Receipts_AR!C405</f>
        <v>C2010</v>
      </c>
      <c r="C408" s="16" t="str">
        <f aca="false">Cash_Receipts_AR!B405</f>
        <v>ARI60483</v>
      </c>
      <c r="D408" s="17" t="n">
        <f aca="false">Cash_Receipts_AR!D405</f>
        <v>45853</v>
      </c>
      <c r="E408" s="18" t="n">
        <f aca="false">Cash_Receipts_AR!E405</f>
        <v>1468.71</v>
      </c>
      <c r="F408" s="17" t="n">
        <f aca="false">IFERROR(INDEX(Customer_Invoices_AR!$C$2:$C$601,MATCH(C408,Customer_Invoices_AR!$A$2:$A$601,0)),"")</f>
        <v>45836</v>
      </c>
      <c r="G408" s="16" t="n">
        <f aca="false">IF(F408="","",D408-F408)</f>
        <v>17</v>
      </c>
      <c r="H408" s="21" t="n">
        <f aca="false">IF(F408="","",DATE(YEAR(D408),MONTH(D408),1))</f>
        <v>45839</v>
      </c>
    </row>
    <row r="409" customFormat="false" ht="15" hidden="false" customHeight="false" outlineLevel="0" collapsed="false">
      <c r="A409" s="16" t="str">
        <f aca="false">Cash_Receipts_AR!A406</f>
        <v>ARR70405</v>
      </c>
      <c r="B409" s="16" t="str">
        <f aca="false">Cash_Receipts_AR!C406</f>
        <v>C2006</v>
      </c>
      <c r="C409" s="16" t="str">
        <f aca="false">Cash_Receipts_AR!B406</f>
        <v>ARI60484</v>
      </c>
      <c r="D409" s="17" t="n">
        <f aca="false">Cash_Receipts_AR!D406</f>
        <v>46024</v>
      </c>
      <c r="E409" s="18" t="n">
        <f aca="false">Cash_Receipts_AR!E406</f>
        <v>1829.72</v>
      </c>
      <c r="F409" s="17" t="n">
        <f aca="false">IFERROR(INDEX(Customer_Invoices_AR!$C$2:$C$601,MATCH(C409,Customer_Invoices_AR!$A$2:$A$601,0)),"")</f>
        <v>45992</v>
      </c>
      <c r="G409" s="16" t="n">
        <f aca="false">IF(F409="","",D409-F409)</f>
        <v>32</v>
      </c>
      <c r="H409" s="21" t="n">
        <f aca="false">IF(F409="","",DATE(YEAR(D409),MONTH(D409),1))</f>
        <v>46023</v>
      </c>
    </row>
    <row r="410" customFormat="false" ht="15" hidden="false" customHeight="false" outlineLevel="0" collapsed="false">
      <c r="A410" s="16" t="str">
        <f aca="false">Cash_Receipts_AR!A407</f>
        <v>ARR70406</v>
      </c>
      <c r="B410" s="16" t="str">
        <f aca="false">Cash_Receipts_AR!C407</f>
        <v>C2004</v>
      </c>
      <c r="C410" s="16" t="str">
        <f aca="false">Cash_Receipts_AR!B407</f>
        <v>ARI60485</v>
      </c>
      <c r="D410" s="17" t="n">
        <f aca="false">Cash_Receipts_AR!D407</f>
        <v>45779</v>
      </c>
      <c r="E410" s="18" t="n">
        <f aca="false">Cash_Receipts_AR!E407</f>
        <v>3756.07</v>
      </c>
      <c r="F410" s="17" t="n">
        <f aca="false">IFERROR(INDEX(Customer_Invoices_AR!$C$2:$C$601,MATCH(C410,Customer_Invoices_AR!$A$2:$A$601,0)),"")</f>
        <v>45746</v>
      </c>
      <c r="G410" s="16" t="n">
        <f aca="false">IF(F410="","",D410-F410)</f>
        <v>33</v>
      </c>
      <c r="H410" s="21" t="n">
        <f aca="false">IF(F410="","",DATE(YEAR(D410),MONTH(D410),1))</f>
        <v>45778</v>
      </c>
    </row>
    <row r="411" customFormat="false" ht="15" hidden="false" customHeight="false" outlineLevel="0" collapsed="false">
      <c r="A411" s="16" t="str">
        <f aca="false">Cash_Receipts_AR!A408</f>
        <v>ARR70407</v>
      </c>
      <c r="B411" s="16" t="str">
        <f aca="false">Cash_Receipts_AR!C408</f>
        <v>C2028</v>
      </c>
      <c r="C411" s="16" t="str">
        <f aca="false">Cash_Receipts_AR!B408</f>
        <v>ARI60487</v>
      </c>
      <c r="D411" s="17" t="n">
        <f aca="false">Cash_Receipts_AR!D408</f>
        <v>46076</v>
      </c>
      <c r="E411" s="18" t="n">
        <f aca="false">Cash_Receipts_AR!E408</f>
        <v>11259.88</v>
      </c>
      <c r="F411" s="17" t="n">
        <f aca="false">IFERROR(INDEX(Customer_Invoices_AR!$C$2:$C$601,MATCH(C411,Customer_Invoices_AR!$A$2:$A$601,0)),"")</f>
        <v>46060</v>
      </c>
      <c r="G411" s="16" t="n">
        <f aca="false">IF(F411="","",D411-F411)</f>
        <v>16</v>
      </c>
      <c r="H411" s="21" t="n">
        <f aca="false">IF(F411="","",DATE(YEAR(D411),MONTH(D411),1))</f>
        <v>46054</v>
      </c>
    </row>
    <row r="412" customFormat="false" ht="15" hidden="false" customHeight="false" outlineLevel="0" collapsed="false">
      <c r="A412" s="16" t="str">
        <f aca="false">Cash_Receipts_AR!A409</f>
        <v>ARR70408</v>
      </c>
      <c r="B412" s="16" t="str">
        <f aca="false">Cash_Receipts_AR!C409</f>
        <v>C2005</v>
      </c>
      <c r="C412" s="16" t="str">
        <f aca="false">Cash_Receipts_AR!B409</f>
        <v>ARI60488</v>
      </c>
      <c r="D412" s="17" t="n">
        <f aca="false">Cash_Receipts_AR!D409</f>
        <v>45822</v>
      </c>
      <c r="E412" s="18" t="n">
        <f aca="false">Cash_Receipts_AR!E409</f>
        <v>2193.92</v>
      </c>
      <c r="F412" s="17" t="n">
        <f aca="false">IFERROR(INDEX(Customer_Invoices_AR!$C$2:$C$601,MATCH(C412,Customer_Invoices_AR!$A$2:$A$601,0)),"")</f>
        <v>45821</v>
      </c>
      <c r="G412" s="16" t="n">
        <f aca="false">IF(F412="","",D412-F412)</f>
        <v>1</v>
      </c>
      <c r="H412" s="21" t="n">
        <f aca="false">IF(F412="","",DATE(YEAR(D412),MONTH(D412),1))</f>
        <v>45809</v>
      </c>
    </row>
    <row r="413" customFormat="false" ht="15" hidden="false" customHeight="false" outlineLevel="0" collapsed="false">
      <c r="A413" s="16" t="str">
        <f aca="false">Cash_Receipts_AR!A410</f>
        <v>ARR70409</v>
      </c>
      <c r="B413" s="16" t="str">
        <f aca="false">Cash_Receipts_AR!C410</f>
        <v>C2014</v>
      </c>
      <c r="C413" s="16" t="str">
        <f aca="false">Cash_Receipts_AR!B410</f>
        <v>ARI60489</v>
      </c>
      <c r="D413" s="17" t="n">
        <f aca="false">Cash_Receipts_AR!D410</f>
        <v>45861</v>
      </c>
      <c r="E413" s="18" t="n">
        <f aca="false">Cash_Receipts_AR!E410</f>
        <v>6920.26</v>
      </c>
      <c r="F413" s="17" t="n">
        <f aca="false">IFERROR(INDEX(Customer_Invoices_AR!$C$2:$C$601,MATCH(C413,Customer_Invoices_AR!$A$2:$A$601,0)),"")</f>
        <v>45841</v>
      </c>
      <c r="G413" s="16" t="n">
        <f aca="false">IF(F413="","",D413-F413)</f>
        <v>20</v>
      </c>
      <c r="H413" s="21" t="n">
        <f aca="false">IF(F413="","",DATE(YEAR(D413),MONTH(D413),1))</f>
        <v>45839</v>
      </c>
    </row>
    <row r="414" customFormat="false" ht="15" hidden="false" customHeight="false" outlineLevel="0" collapsed="false">
      <c r="A414" s="16" t="str">
        <f aca="false">Cash_Receipts_AR!A411</f>
        <v>ARR70410</v>
      </c>
      <c r="B414" s="16" t="str">
        <f aca="false">Cash_Receipts_AR!C411</f>
        <v>C2019</v>
      </c>
      <c r="C414" s="16" t="str">
        <f aca="false">Cash_Receipts_AR!B411</f>
        <v>ARI60491</v>
      </c>
      <c r="D414" s="17" t="n">
        <f aca="false">Cash_Receipts_AR!D411</f>
        <v>45951</v>
      </c>
      <c r="E414" s="18" t="n">
        <f aca="false">Cash_Receipts_AR!E411</f>
        <v>1088.77</v>
      </c>
      <c r="F414" s="17" t="n">
        <f aca="false">IFERROR(INDEX(Customer_Invoices_AR!$C$2:$C$601,MATCH(C414,Customer_Invoices_AR!$A$2:$A$601,0)),"")</f>
        <v>45948</v>
      </c>
      <c r="G414" s="16" t="n">
        <f aca="false">IF(F414="","",D414-F414)</f>
        <v>3</v>
      </c>
      <c r="H414" s="21" t="n">
        <f aca="false">IF(F414="","",DATE(YEAR(D414),MONTH(D414),1))</f>
        <v>45931</v>
      </c>
    </row>
    <row r="415" customFormat="false" ht="15" hidden="false" customHeight="false" outlineLevel="0" collapsed="false">
      <c r="A415" s="16" t="str">
        <f aca="false">Cash_Receipts_AR!A412</f>
        <v>ARR70411</v>
      </c>
      <c r="B415" s="16" t="str">
        <f aca="false">Cash_Receipts_AR!C412</f>
        <v>C2020</v>
      </c>
      <c r="C415" s="16" t="str">
        <f aca="false">Cash_Receipts_AR!B412</f>
        <v>ARI60492</v>
      </c>
      <c r="D415" s="17" t="n">
        <f aca="false">Cash_Receipts_AR!D412</f>
        <v>46045</v>
      </c>
      <c r="E415" s="18" t="n">
        <f aca="false">Cash_Receipts_AR!E412</f>
        <v>3388.92</v>
      </c>
      <c r="F415" s="17" t="n">
        <f aca="false">IFERROR(INDEX(Customer_Invoices_AR!$C$2:$C$601,MATCH(C415,Customer_Invoices_AR!$A$2:$A$601,0)),"")</f>
        <v>46044</v>
      </c>
      <c r="G415" s="16" t="n">
        <f aca="false">IF(F415="","",D415-F415)</f>
        <v>1</v>
      </c>
      <c r="H415" s="21" t="n">
        <f aca="false">IF(F415="","",DATE(YEAR(D415),MONTH(D415),1))</f>
        <v>46023</v>
      </c>
    </row>
    <row r="416" customFormat="false" ht="15" hidden="false" customHeight="false" outlineLevel="0" collapsed="false">
      <c r="A416" s="16" t="str">
        <f aca="false">Cash_Receipts_AR!A413</f>
        <v>ARR70412</v>
      </c>
      <c r="B416" s="16" t="str">
        <f aca="false">Cash_Receipts_AR!C413</f>
        <v>C2017</v>
      </c>
      <c r="C416" s="16" t="str">
        <f aca="false">Cash_Receipts_AR!B413</f>
        <v>ARI60493</v>
      </c>
      <c r="D416" s="17" t="n">
        <f aca="false">Cash_Receipts_AR!D413</f>
        <v>45843</v>
      </c>
      <c r="E416" s="18" t="n">
        <f aca="false">Cash_Receipts_AR!E413</f>
        <v>1296.95</v>
      </c>
      <c r="F416" s="17" t="n">
        <f aca="false">IFERROR(INDEX(Customer_Invoices_AR!$C$2:$C$601,MATCH(C416,Customer_Invoices_AR!$A$2:$A$601,0)),"")</f>
        <v>45821</v>
      </c>
      <c r="G416" s="16" t="n">
        <f aca="false">IF(F416="","",D416-F416)</f>
        <v>22</v>
      </c>
      <c r="H416" s="21" t="n">
        <f aca="false">IF(F416="","",DATE(YEAR(D416),MONTH(D416),1))</f>
        <v>45839</v>
      </c>
    </row>
    <row r="417" customFormat="false" ht="15" hidden="false" customHeight="false" outlineLevel="0" collapsed="false">
      <c r="A417" s="16" t="str">
        <f aca="false">Cash_Receipts_AR!A414</f>
        <v>ARR70413</v>
      </c>
      <c r="B417" s="16" t="str">
        <f aca="false">Cash_Receipts_AR!C414</f>
        <v>C2014</v>
      </c>
      <c r="C417" s="16" t="str">
        <f aca="false">Cash_Receipts_AR!B414</f>
        <v>ARI60494</v>
      </c>
      <c r="D417" s="17" t="n">
        <f aca="false">Cash_Receipts_AR!D414</f>
        <v>46121</v>
      </c>
      <c r="E417" s="18" t="n">
        <f aca="false">Cash_Receipts_AR!E414</f>
        <v>973.23</v>
      </c>
      <c r="F417" s="17" t="n">
        <f aca="false">IFERROR(INDEX(Customer_Invoices_AR!$C$2:$C$601,MATCH(C417,Customer_Invoices_AR!$A$2:$A$601,0)),"")</f>
        <v>46102</v>
      </c>
      <c r="G417" s="16" t="n">
        <f aca="false">IF(F417="","",D417-F417)</f>
        <v>19</v>
      </c>
      <c r="H417" s="21" t="n">
        <f aca="false">IF(F417="","",DATE(YEAR(D417),MONTH(D417),1))</f>
        <v>46113</v>
      </c>
    </row>
    <row r="418" customFormat="false" ht="15" hidden="false" customHeight="false" outlineLevel="0" collapsed="false">
      <c r="A418" s="16" t="str">
        <f aca="false">Cash_Receipts_AR!A415</f>
        <v>ARR70414</v>
      </c>
      <c r="B418" s="16" t="str">
        <f aca="false">Cash_Receipts_AR!C415</f>
        <v>C2022</v>
      </c>
      <c r="C418" s="16" t="str">
        <f aca="false">Cash_Receipts_AR!B415</f>
        <v>ARI60495</v>
      </c>
      <c r="D418" s="17" t="n">
        <f aca="false">Cash_Receipts_AR!D415</f>
        <v>45880</v>
      </c>
      <c r="E418" s="18" t="n">
        <f aca="false">Cash_Receipts_AR!E415</f>
        <v>3529.93</v>
      </c>
      <c r="F418" s="17" t="n">
        <f aca="false">IFERROR(INDEX(Customer_Invoices_AR!$C$2:$C$601,MATCH(C418,Customer_Invoices_AR!$A$2:$A$601,0)),"")</f>
        <v>45858</v>
      </c>
      <c r="G418" s="16" t="n">
        <f aca="false">IF(F418="","",D418-F418)</f>
        <v>22</v>
      </c>
      <c r="H418" s="21" t="n">
        <f aca="false">IF(F418="","",DATE(YEAR(D418),MONTH(D418),1))</f>
        <v>45870</v>
      </c>
    </row>
    <row r="419" customFormat="false" ht="15" hidden="false" customHeight="false" outlineLevel="0" collapsed="false">
      <c r="A419" s="16" t="str">
        <f aca="false">Cash_Receipts_AR!A416</f>
        <v>ARR70415</v>
      </c>
      <c r="B419" s="16" t="str">
        <f aca="false">Cash_Receipts_AR!C416</f>
        <v>C2014</v>
      </c>
      <c r="C419" s="16" t="str">
        <f aca="false">Cash_Receipts_AR!B416</f>
        <v>ARI60496</v>
      </c>
      <c r="D419" s="17" t="n">
        <f aca="false">Cash_Receipts_AR!D416</f>
        <v>46039</v>
      </c>
      <c r="E419" s="18" t="n">
        <f aca="false">Cash_Receipts_AR!E416</f>
        <v>6608.86</v>
      </c>
      <c r="F419" s="17" t="n">
        <f aca="false">IFERROR(INDEX(Customer_Invoices_AR!$C$2:$C$601,MATCH(C419,Customer_Invoices_AR!$A$2:$A$601,0)),"")</f>
        <v>46025</v>
      </c>
      <c r="G419" s="16" t="n">
        <f aca="false">IF(F419="","",D419-F419)</f>
        <v>14</v>
      </c>
      <c r="H419" s="21" t="n">
        <f aca="false">IF(F419="","",DATE(YEAR(D419),MONTH(D419),1))</f>
        <v>46023</v>
      </c>
    </row>
    <row r="420" customFormat="false" ht="15" hidden="false" customHeight="false" outlineLevel="0" collapsed="false">
      <c r="A420" s="16" t="str">
        <f aca="false">Cash_Receipts_AR!A417</f>
        <v>ARR70416</v>
      </c>
      <c r="B420" s="16" t="str">
        <f aca="false">Cash_Receipts_AR!C417</f>
        <v>C2023</v>
      </c>
      <c r="C420" s="16" t="str">
        <f aca="false">Cash_Receipts_AR!B417</f>
        <v>ARI60498</v>
      </c>
      <c r="D420" s="17" t="n">
        <f aca="false">Cash_Receipts_AR!D417</f>
        <v>45997</v>
      </c>
      <c r="E420" s="18" t="n">
        <f aca="false">Cash_Receipts_AR!E417</f>
        <v>6888.72</v>
      </c>
      <c r="F420" s="17" t="n">
        <f aca="false">IFERROR(INDEX(Customer_Invoices_AR!$C$2:$C$601,MATCH(C420,Customer_Invoices_AR!$A$2:$A$601,0)),"")</f>
        <v>45976</v>
      </c>
      <c r="G420" s="16" t="n">
        <f aca="false">IF(F420="","",D420-F420)</f>
        <v>21</v>
      </c>
      <c r="H420" s="21" t="n">
        <f aca="false">IF(F420="","",DATE(YEAR(D420),MONTH(D420),1))</f>
        <v>45992</v>
      </c>
    </row>
    <row r="421" customFormat="false" ht="15" hidden="false" customHeight="false" outlineLevel="0" collapsed="false">
      <c r="A421" s="16" t="str">
        <f aca="false">Cash_Receipts_AR!A418</f>
        <v>ARR70417</v>
      </c>
      <c r="B421" s="16" t="str">
        <f aca="false">Cash_Receipts_AR!C418</f>
        <v>C2002</v>
      </c>
      <c r="C421" s="16" t="str">
        <f aca="false">Cash_Receipts_AR!B418</f>
        <v>ARI60499</v>
      </c>
      <c r="D421" s="17" t="n">
        <f aca="false">Cash_Receipts_AR!D418</f>
        <v>46112</v>
      </c>
      <c r="E421" s="18" t="n">
        <f aca="false">Cash_Receipts_AR!E418</f>
        <v>1431.17</v>
      </c>
      <c r="F421" s="17" t="n">
        <f aca="false">IFERROR(INDEX(Customer_Invoices_AR!$C$2:$C$601,MATCH(C421,Customer_Invoices_AR!$A$2:$A$601,0)),"")</f>
        <v>46092</v>
      </c>
      <c r="G421" s="16" t="n">
        <f aca="false">IF(F421="","",D421-F421)</f>
        <v>20</v>
      </c>
      <c r="H421" s="21" t="n">
        <f aca="false">IF(F421="","",DATE(YEAR(D421),MONTH(D421),1))</f>
        <v>46082</v>
      </c>
    </row>
    <row r="422" customFormat="false" ht="15" hidden="false" customHeight="false" outlineLevel="0" collapsed="false">
      <c r="A422" s="16" t="str">
        <f aca="false">Cash_Receipts_AR!A419</f>
        <v>ARR70418</v>
      </c>
      <c r="B422" s="16" t="str">
        <f aca="false">Cash_Receipts_AR!C419</f>
        <v>C2016</v>
      </c>
      <c r="C422" s="16" t="str">
        <f aca="false">Cash_Receipts_AR!B419</f>
        <v>ARI60500</v>
      </c>
      <c r="D422" s="17" t="n">
        <f aca="false">Cash_Receipts_AR!D419</f>
        <v>46054</v>
      </c>
      <c r="E422" s="18" t="n">
        <f aca="false">Cash_Receipts_AR!E419</f>
        <v>4410.67</v>
      </c>
      <c r="F422" s="17" t="n">
        <f aca="false">IFERROR(INDEX(Customer_Invoices_AR!$C$2:$C$601,MATCH(C422,Customer_Invoices_AR!$A$2:$A$601,0)),"")</f>
        <v>46053</v>
      </c>
      <c r="G422" s="16" t="n">
        <f aca="false">IF(F422="","",D422-F422)</f>
        <v>1</v>
      </c>
      <c r="H422" s="21" t="n">
        <f aca="false">IF(F422="","",DATE(YEAR(D422),MONTH(D422),1))</f>
        <v>46054</v>
      </c>
    </row>
    <row r="423" customFormat="false" ht="15" hidden="false" customHeight="false" outlineLevel="0" collapsed="false">
      <c r="A423" s="16" t="str">
        <f aca="false">Cash_Receipts_AR!A420</f>
        <v>ARR70419</v>
      </c>
      <c r="B423" s="16" t="str">
        <f aca="false">Cash_Receipts_AR!C420</f>
        <v>C2029</v>
      </c>
      <c r="C423" s="16" t="str">
        <f aca="false">Cash_Receipts_AR!B420</f>
        <v>ARI60501</v>
      </c>
      <c r="D423" s="17" t="n">
        <f aca="false">Cash_Receipts_AR!D420</f>
        <v>46033</v>
      </c>
      <c r="E423" s="18" t="n">
        <f aca="false">Cash_Receipts_AR!E420</f>
        <v>7357.21</v>
      </c>
      <c r="F423" s="17" t="n">
        <f aca="false">IFERROR(INDEX(Customer_Invoices_AR!$C$2:$C$601,MATCH(C423,Customer_Invoices_AR!$A$2:$A$601,0)),"")</f>
        <v>46032</v>
      </c>
      <c r="G423" s="16" t="n">
        <f aca="false">IF(F423="","",D423-F423)</f>
        <v>1</v>
      </c>
      <c r="H423" s="21" t="n">
        <f aca="false">IF(F423="","",DATE(YEAR(D423),MONTH(D423),1))</f>
        <v>46023</v>
      </c>
    </row>
    <row r="424" customFormat="false" ht="15" hidden="false" customHeight="false" outlineLevel="0" collapsed="false">
      <c r="A424" s="16" t="str">
        <f aca="false">Cash_Receipts_AR!A421</f>
        <v>ARR70420</v>
      </c>
      <c r="B424" s="16" t="str">
        <f aca="false">Cash_Receipts_AR!C421</f>
        <v>C2023</v>
      </c>
      <c r="C424" s="16" t="str">
        <f aca="false">Cash_Receipts_AR!B421</f>
        <v>ARI60502</v>
      </c>
      <c r="D424" s="17" t="n">
        <f aca="false">Cash_Receipts_AR!D421</f>
        <v>45673</v>
      </c>
      <c r="E424" s="18" t="n">
        <f aca="false">Cash_Receipts_AR!E421</f>
        <v>3743.89</v>
      </c>
      <c r="F424" s="17" t="n">
        <f aca="false">IFERROR(INDEX(Customer_Invoices_AR!$C$2:$C$601,MATCH(C424,Customer_Invoices_AR!$A$2:$A$601,0)),"")</f>
        <v>45672</v>
      </c>
      <c r="G424" s="16" t="n">
        <f aca="false">IF(F424="","",D424-F424)</f>
        <v>1</v>
      </c>
      <c r="H424" s="21" t="n">
        <f aca="false">IF(F424="","",DATE(YEAR(D424),MONTH(D424),1))</f>
        <v>45658</v>
      </c>
    </row>
    <row r="425" customFormat="false" ht="15" hidden="false" customHeight="false" outlineLevel="0" collapsed="false">
      <c r="A425" s="16" t="str">
        <f aca="false">Cash_Receipts_AR!A422</f>
        <v>ARR70421</v>
      </c>
      <c r="B425" s="16" t="str">
        <f aca="false">Cash_Receipts_AR!C422</f>
        <v>C2008</v>
      </c>
      <c r="C425" s="16" t="str">
        <f aca="false">Cash_Receipts_AR!B422</f>
        <v>ARI60503</v>
      </c>
      <c r="D425" s="17" t="n">
        <f aca="false">Cash_Receipts_AR!D422</f>
        <v>45936</v>
      </c>
      <c r="E425" s="18" t="n">
        <f aca="false">Cash_Receipts_AR!E422</f>
        <v>2235.8</v>
      </c>
      <c r="F425" s="17" t="n">
        <f aca="false">IFERROR(INDEX(Customer_Invoices_AR!$C$2:$C$601,MATCH(C425,Customer_Invoices_AR!$A$2:$A$601,0)),"")</f>
        <v>45916</v>
      </c>
      <c r="G425" s="16" t="n">
        <f aca="false">IF(F425="","",D425-F425)</f>
        <v>20</v>
      </c>
      <c r="H425" s="21" t="n">
        <f aca="false">IF(F425="","",DATE(YEAR(D425),MONTH(D425),1))</f>
        <v>45931</v>
      </c>
    </row>
    <row r="426" customFormat="false" ht="15" hidden="false" customHeight="false" outlineLevel="0" collapsed="false">
      <c r="A426" s="16" t="str">
        <f aca="false">Cash_Receipts_AR!A423</f>
        <v>ARR70422</v>
      </c>
      <c r="B426" s="16" t="str">
        <f aca="false">Cash_Receipts_AR!C423</f>
        <v>C2017</v>
      </c>
      <c r="C426" s="16" t="str">
        <f aca="false">Cash_Receipts_AR!B423</f>
        <v>ARI60504</v>
      </c>
      <c r="D426" s="17" t="n">
        <f aca="false">Cash_Receipts_AR!D423</f>
        <v>46190</v>
      </c>
      <c r="E426" s="18" t="n">
        <f aca="false">Cash_Receipts_AR!E423</f>
        <v>916.06</v>
      </c>
      <c r="F426" s="17" t="n">
        <f aca="false">IFERROR(INDEX(Customer_Invoices_AR!$C$2:$C$601,MATCH(C426,Customer_Invoices_AR!$A$2:$A$601,0)),"")</f>
        <v>46185</v>
      </c>
      <c r="G426" s="16" t="n">
        <f aca="false">IF(F426="","",D426-F426)</f>
        <v>5</v>
      </c>
      <c r="H426" s="21" t="n">
        <f aca="false">IF(F426="","",DATE(YEAR(D426),MONTH(D426),1))</f>
        <v>46174</v>
      </c>
    </row>
    <row r="427" customFormat="false" ht="15" hidden="false" customHeight="false" outlineLevel="0" collapsed="false">
      <c r="A427" s="16" t="str">
        <f aca="false">Cash_Receipts_AR!A424</f>
        <v>ARR70423</v>
      </c>
      <c r="B427" s="16" t="str">
        <f aca="false">Cash_Receipts_AR!C424</f>
        <v>C2003</v>
      </c>
      <c r="C427" s="16" t="str">
        <f aca="false">Cash_Receipts_AR!B424</f>
        <v>ARI60505</v>
      </c>
      <c r="D427" s="17" t="n">
        <f aca="false">Cash_Receipts_AR!D424</f>
        <v>46111</v>
      </c>
      <c r="E427" s="18" t="n">
        <f aca="false">Cash_Receipts_AR!E424</f>
        <v>2778.74</v>
      </c>
      <c r="F427" s="17" t="n">
        <f aca="false">IFERROR(INDEX(Customer_Invoices_AR!$C$2:$C$601,MATCH(C427,Customer_Invoices_AR!$A$2:$A$601,0)),"")</f>
        <v>46084</v>
      </c>
      <c r="G427" s="16" t="n">
        <f aca="false">IF(F427="","",D427-F427)</f>
        <v>27</v>
      </c>
      <c r="H427" s="21" t="n">
        <f aca="false">IF(F427="","",DATE(YEAR(D427),MONTH(D427),1))</f>
        <v>46082</v>
      </c>
    </row>
    <row r="428" customFormat="false" ht="15" hidden="false" customHeight="false" outlineLevel="0" collapsed="false">
      <c r="A428" s="16" t="str">
        <f aca="false">Cash_Receipts_AR!A425</f>
        <v>ARR70424</v>
      </c>
      <c r="B428" s="16" t="str">
        <f aca="false">Cash_Receipts_AR!C425</f>
        <v>C2009</v>
      </c>
      <c r="C428" s="16" t="str">
        <f aca="false">Cash_Receipts_AR!B425</f>
        <v>ARI60506</v>
      </c>
      <c r="D428" s="17" t="n">
        <f aca="false">Cash_Receipts_AR!D425</f>
        <v>46105</v>
      </c>
      <c r="E428" s="18" t="n">
        <f aca="false">Cash_Receipts_AR!E425</f>
        <v>2994.41</v>
      </c>
      <c r="F428" s="17" t="n">
        <f aca="false">IFERROR(INDEX(Customer_Invoices_AR!$C$2:$C$601,MATCH(C428,Customer_Invoices_AR!$A$2:$A$601,0)),"")</f>
        <v>46081</v>
      </c>
      <c r="G428" s="16" t="n">
        <f aca="false">IF(F428="","",D428-F428)</f>
        <v>24</v>
      </c>
      <c r="H428" s="21" t="n">
        <f aca="false">IF(F428="","",DATE(YEAR(D428),MONTH(D428),1))</f>
        <v>46082</v>
      </c>
    </row>
    <row r="429" customFormat="false" ht="15" hidden="false" customHeight="false" outlineLevel="0" collapsed="false">
      <c r="A429" s="16" t="str">
        <f aca="false">Cash_Receipts_AR!A426</f>
        <v>ARR70425</v>
      </c>
      <c r="B429" s="16" t="str">
        <f aca="false">Cash_Receipts_AR!C426</f>
        <v>C2025</v>
      </c>
      <c r="C429" s="16" t="str">
        <f aca="false">Cash_Receipts_AR!B426</f>
        <v>ARI60507</v>
      </c>
      <c r="D429" s="17" t="n">
        <f aca="false">Cash_Receipts_AR!D426</f>
        <v>46008</v>
      </c>
      <c r="E429" s="18" t="n">
        <f aca="false">Cash_Receipts_AR!E426</f>
        <v>15639.98</v>
      </c>
      <c r="F429" s="17" t="n">
        <f aca="false">IFERROR(INDEX(Customer_Invoices_AR!$C$2:$C$601,MATCH(C429,Customer_Invoices_AR!$A$2:$A$601,0)),"")</f>
        <v>45972</v>
      </c>
      <c r="G429" s="16" t="n">
        <f aca="false">IF(F429="","",D429-F429)</f>
        <v>36</v>
      </c>
      <c r="H429" s="21" t="n">
        <f aca="false">IF(F429="","",DATE(YEAR(D429),MONTH(D429),1))</f>
        <v>45992</v>
      </c>
    </row>
    <row r="430" customFormat="false" ht="15" hidden="false" customHeight="false" outlineLevel="0" collapsed="false">
      <c r="A430" s="16" t="str">
        <f aca="false">Cash_Receipts_AR!A427</f>
        <v>ARR70426</v>
      </c>
      <c r="B430" s="16" t="str">
        <f aca="false">Cash_Receipts_AR!C427</f>
        <v>C2012</v>
      </c>
      <c r="C430" s="16" t="str">
        <f aca="false">Cash_Receipts_AR!B427</f>
        <v>ARI60509</v>
      </c>
      <c r="D430" s="17" t="n">
        <f aca="false">Cash_Receipts_AR!D427</f>
        <v>45977</v>
      </c>
      <c r="E430" s="18" t="n">
        <f aca="false">Cash_Receipts_AR!E427</f>
        <v>14179.43</v>
      </c>
      <c r="F430" s="17" t="n">
        <f aca="false">IFERROR(INDEX(Customer_Invoices_AR!$C$2:$C$601,MATCH(C430,Customer_Invoices_AR!$A$2:$A$601,0)),"")</f>
        <v>45976</v>
      </c>
      <c r="G430" s="16" t="n">
        <f aca="false">IF(F430="","",D430-F430)</f>
        <v>1</v>
      </c>
      <c r="H430" s="21" t="n">
        <f aca="false">IF(F430="","",DATE(YEAR(D430),MONTH(D430),1))</f>
        <v>45962</v>
      </c>
    </row>
    <row r="431" customFormat="false" ht="15" hidden="false" customHeight="false" outlineLevel="0" collapsed="false">
      <c r="A431" s="16" t="str">
        <f aca="false">Cash_Receipts_AR!A428</f>
        <v>ARR70427</v>
      </c>
      <c r="B431" s="16" t="str">
        <f aca="false">Cash_Receipts_AR!C428</f>
        <v>C2009</v>
      </c>
      <c r="C431" s="16" t="str">
        <f aca="false">Cash_Receipts_AR!B428</f>
        <v>ARI60510</v>
      </c>
      <c r="D431" s="17" t="n">
        <f aca="false">Cash_Receipts_AR!D428</f>
        <v>45761</v>
      </c>
      <c r="E431" s="18" t="n">
        <f aca="false">Cash_Receipts_AR!E428</f>
        <v>19992.01</v>
      </c>
      <c r="F431" s="17" t="n">
        <f aca="false">IFERROR(INDEX(Customer_Invoices_AR!$C$2:$C$601,MATCH(C431,Customer_Invoices_AR!$A$2:$A$601,0)),"")</f>
        <v>45750</v>
      </c>
      <c r="G431" s="16" t="n">
        <f aca="false">IF(F431="","",D431-F431)</f>
        <v>11</v>
      </c>
      <c r="H431" s="21" t="n">
        <f aca="false">IF(F431="","",DATE(YEAR(D431),MONTH(D431),1))</f>
        <v>45748</v>
      </c>
    </row>
    <row r="432" customFormat="false" ht="15" hidden="false" customHeight="false" outlineLevel="0" collapsed="false">
      <c r="A432" s="16" t="str">
        <f aca="false">Cash_Receipts_AR!A429</f>
        <v>ARR70428</v>
      </c>
      <c r="B432" s="16" t="str">
        <f aca="false">Cash_Receipts_AR!C429</f>
        <v>C2025</v>
      </c>
      <c r="C432" s="16" t="str">
        <f aca="false">Cash_Receipts_AR!B429</f>
        <v>ARI60511</v>
      </c>
      <c r="D432" s="17" t="n">
        <f aca="false">Cash_Receipts_AR!D429</f>
        <v>46012</v>
      </c>
      <c r="E432" s="18" t="n">
        <f aca="false">Cash_Receipts_AR!E429</f>
        <v>248.79</v>
      </c>
      <c r="F432" s="17" t="n">
        <f aca="false">IFERROR(INDEX(Customer_Invoices_AR!$C$2:$C$601,MATCH(C432,Customer_Invoices_AR!$A$2:$A$601,0)),"")</f>
        <v>46000</v>
      </c>
      <c r="G432" s="16" t="n">
        <f aca="false">IF(F432="","",D432-F432)</f>
        <v>12</v>
      </c>
      <c r="H432" s="21" t="n">
        <f aca="false">IF(F432="","",DATE(YEAR(D432),MONTH(D432),1))</f>
        <v>45992</v>
      </c>
    </row>
    <row r="433" customFormat="false" ht="15" hidden="false" customHeight="false" outlineLevel="0" collapsed="false">
      <c r="A433" s="16" t="str">
        <f aca="false">Cash_Receipts_AR!A430</f>
        <v>ARR70429</v>
      </c>
      <c r="B433" s="16" t="str">
        <f aca="false">Cash_Receipts_AR!C430</f>
        <v>C2024</v>
      </c>
      <c r="C433" s="16" t="str">
        <f aca="false">Cash_Receipts_AR!B430</f>
        <v>ARI60512</v>
      </c>
      <c r="D433" s="17" t="n">
        <f aca="false">Cash_Receipts_AR!D430</f>
        <v>46028</v>
      </c>
      <c r="E433" s="18" t="n">
        <f aca="false">Cash_Receipts_AR!E430</f>
        <v>1196.22</v>
      </c>
      <c r="F433" s="17" t="n">
        <f aca="false">IFERROR(INDEX(Customer_Invoices_AR!$C$2:$C$601,MATCH(C433,Customer_Invoices_AR!$A$2:$A$601,0)),"")</f>
        <v>45995</v>
      </c>
      <c r="G433" s="16" t="n">
        <f aca="false">IF(F433="","",D433-F433)</f>
        <v>33</v>
      </c>
      <c r="H433" s="21" t="n">
        <f aca="false">IF(F433="","",DATE(YEAR(D433),MONTH(D433),1))</f>
        <v>46023</v>
      </c>
    </row>
    <row r="434" customFormat="false" ht="15" hidden="false" customHeight="false" outlineLevel="0" collapsed="false">
      <c r="A434" s="16" t="str">
        <f aca="false">Cash_Receipts_AR!A431</f>
        <v>ARR70430</v>
      </c>
      <c r="B434" s="16" t="str">
        <f aca="false">Cash_Receipts_AR!C431</f>
        <v>C2026</v>
      </c>
      <c r="C434" s="16" t="str">
        <f aca="false">Cash_Receipts_AR!B431</f>
        <v>ARI60513</v>
      </c>
      <c r="D434" s="17" t="n">
        <f aca="false">Cash_Receipts_AR!D431</f>
        <v>46142</v>
      </c>
      <c r="E434" s="18" t="n">
        <f aca="false">Cash_Receipts_AR!E431</f>
        <v>4763.32</v>
      </c>
      <c r="F434" s="17" t="n">
        <f aca="false">IFERROR(INDEX(Customer_Invoices_AR!$C$2:$C$601,MATCH(C434,Customer_Invoices_AR!$A$2:$A$601,0)),"")</f>
        <v>46116</v>
      </c>
      <c r="G434" s="16" t="n">
        <f aca="false">IF(F434="","",D434-F434)</f>
        <v>26</v>
      </c>
      <c r="H434" s="21" t="n">
        <f aca="false">IF(F434="","",DATE(YEAR(D434),MONTH(D434),1))</f>
        <v>46113</v>
      </c>
    </row>
    <row r="435" customFormat="false" ht="15" hidden="false" customHeight="false" outlineLevel="0" collapsed="false">
      <c r="A435" s="16" t="str">
        <f aca="false">Cash_Receipts_AR!A432</f>
        <v>ARR70431</v>
      </c>
      <c r="B435" s="16" t="str">
        <f aca="false">Cash_Receipts_AR!C432</f>
        <v>C2016</v>
      </c>
      <c r="C435" s="16" t="str">
        <f aca="false">Cash_Receipts_AR!B432</f>
        <v>ARI60515</v>
      </c>
      <c r="D435" s="17" t="n">
        <f aca="false">Cash_Receipts_AR!D432</f>
        <v>46034</v>
      </c>
      <c r="E435" s="18" t="n">
        <f aca="false">Cash_Receipts_AR!E432</f>
        <v>2149.55</v>
      </c>
      <c r="F435" s="17" t="n">
        <f aca="false">IFERROR(INDEX(Customer_Invoices_AR!$C$2:$C$601,MATCH(C435,Customer_Invoices_AR!$A$2:$A$601,0)),"")</f>
        <v>46028</v>
      </c>
      <c r="G435" s="16" t="n">
        <f aca="false">IF(F435="","",D435-F435)</f>
        <v>6</v>
      </c>
      <c r="H435" s="21" t="n">
        <f aca="false">IF(F435="","",DATE(YEAR(D435),MONTH(D435),1))</f>
        <v>46023</v>
      </c>
    </row>
    <row r="436" customFormat="false" ht="15" hidden="false" customHeight="false" outlineLevel="0" collapsed="false">
      <c r="A436" s="16" t="str">
        <f aca="false">Cash_Receipts_AR!A433</f>
        <v>ARR70432</v>
      </c>
      <c r="B436" s="16" t="str">
        <f aca="false">Cash_Receipts_AR!C433</f>
        <v>C2030</v>
      </c>
      <c r="C436" s="16" t="str">
        <f aca="false">Cash_Receipts_AR!B433</f>
        <v>ARI60517</v>
      </c>
      <c r="D436" s="17" t="n">
        <f aca="false">Cash_Receipts_AR!D433</f>
        <v>46193</v>
      </c>
      <c r="E436" s="18" t="n">
        <f aca="false">Cash_Receipts_AR!E433</f>
        <v>12379.16</v>
      </c>
      <c r="F436" s="17" t="n">
        <f aca="false">IFERROR(INDEX(Customer_Invoices_AR!$C$2:$C$601,MATCH(C436,Customer_Invoices_AR!$A$2:$A$601,0)),"")</f>
        <v>46174</v>
      </c>
      <c r="G436" s="16" t="n">
        <f aca="false">IF(F436="","",D436-F436)</f>
        <v>19</v>
      </c>
      <c r="H436" s="21" t="n">
        <f aca="false">IF(F436="","",DATE(YEAR(D436),MONTH(D436),1))</f>
        <v>46174</v>
      </c>
    </row>
    <row r="437" customFormat="false" ht="15" hidden="false" customHeight="false" outlineLevel="0" collapsed="false">
      <c r="A437" s="16" t="str">
        <f aca="false">Cash_Receipts_AR!A434</f>
        <v>ARR70433</v>
      </c>
      <c r="B437" s="16" t="str">
        <f aca="false">Cash_Receipts_AR!C434</f>
        <v>C2011</v>
      </c>
      <c r="C437" s="16" t="str">
        <f aca="false">Cash_Receipts_AR!B434</f>
        <v>ARI60519</v>
      </c>
      <c r="D437" s="17" t="n">
        <f aca="false">Cash_Receipts_AR!D434</f>
        <v>45669</v>
      </c>
      <c r="E437" s="18" t="n">
        <f aca="false">Cash_Receipts_AR!E434</f>
        <v>4188.51</v>
      </c>
      <c r="F437" s="17" t="n">
        <f aca="false">IFERROR(INDEX(Customer_Invoices_AR!$C$2:$C$601,MATCH(C437,Customer_Invoices_AR!$A$2:$A$601,0)),"")</f>
        <v>45668</v>
      </c>
      <c r="G437" s="16" t="n">
        <f aca="false">IF(F437="","",D437-F437)</f>
        <v>1</v>
      </c>
      <c r="H437" s="21" t="n">
        <f aca="false">IF(F437="","",DATE(YEAR(D437),MONTH(D437),1))</f>
        <v>45658</v>
      </c>
    </row>
    <row r="438" customFormat="false" ht="15" hidden="false" customHeight="false" outlineLevel="0" collapsed="false">
      <c r="A438" s="16" t="str">
        <f aca="false">Cash_Receipts_AR!A435</f>
        <v>ARR70434</v>
      </c>
      <c r="B438" s="16" t="str">
        <f aca="false">Cash_Receipts_AR!C435</f>
        <v>C2017</v>
      </c>
      <c r="C438" s="16" t="str">
        <f aca="false">Cash_Receipts_AR!B435</f>
        <v>ARI60520</v>
      </c>
      <c r="D438" s="17" t="n">
        <f aca="false">Cash_Receipts_AR!D435</f>
        <v>45868</v>
      </c>
      <c r="E438" s="18" t="n">
        <f aca="false">Cash_Receipts_AR!E435</f>
        <v>1240.25</v>
      </c>
      <c r="F438" s="17" t="n">
        <f aca="false">IFERROR(INDEX(Customer_Invoices_AR!$C$2:$C$601,MATCH(C438,Customer_Invoices_AR!$A$2:$A$601,0)),"")</f>
        <v>45828</v>
      </c>
      <c r="G438" s="16" t="n">
        <f aca="false">IF(F438="","",D438-F438)</f>
        <v>40</v>
      </c>
      <c r="H438" s="21" t="n">
        <f aca="false">IF(F438="","",DATE(YEAR(D438),MONTH(D438),1))</f>
        <v>45839</v>
      </c>
    </row>
    <row r="439" customFormat="false" ht="15" hidden="false" customHeight="false" outlineLevel="0" collapsed="false">
      <c r="A439" s="16" t="str">
        <f aca="false">Cash_Receipts_AR!A436</f>
        <v>ARR70435</v>
      </c>
      <c r="B439" s="16" t="str">
        <f aca="false">Cash_Receipts_AR!C436</f>
        <v>C2021</v>
      </c>
      <c r="C439" s="16" t="str">
        <f aca="false">Cash_Receipts_AR!B436</f>
        <v>ARI60521</v>
      </c>
      <c r="D439" s="17" t="n">
        <f aca="false">Cash_Receipts_AR!D436</f>
        <v>45747</v>
      </c>
      <c r="E439" s="18" t="n">
        <f aca="false">Cash_Receipts_AR!E436</f>
        <v>4141.83</v>
      </c>
      <c r="F439" s="17" t="n">
        <f aca="false">IFERROR(INDEX(Customer_Invoices_AR!$C$2:$C$601,MATCH(C439,Customer_Invoices_AR!$A$2:$A$601,0)),"")</f>
        <v>45740</v>
      </c>
      <c r="G439" s="16" t="n">
        <f aca="false">IF(F439="","",D439-F439)</f>
        <v>7</v>
      </c>
      <c r="H439" s="21" t="n">
        <f aca="false">IF(F439="","",DATE(YEAR(D439),MONTH(D439),1))</f>
        <v>45717</v>
      </c>
    </row>
    <row r="440" customFormat="false" ht="15" hidden="false" customHeight="false" outlineLevel="0" collapsed="false">
      <c r="A440" s="16" t="str">
        <f aca="false">Cash_Receipts_AR!A437</f>
        <v>ARR70436</v>
      </c>
      <c r="B440" s="16" t="str">
        <f aca="false">Cash_Receipts_AR!C437</f>
        <v>C2010</v>
      </c>
      <c r="C440" s="16" t="str">
        <f aca="false">Cash_Receipts_AR!B437</f>
        <v>ARI60522</v>
      </c>
      <c r="D440" s="17" t="n">
        <f aca="false">Cash_Receipts_AR!D437</f>
        <v>46068</v>
      </c>
      <c r="E440" s="18" t="n">
        <f aca="false">Cash_Receipts_AR!E437</f>
        <v>1132.9</v>
      </c>
      <c r="F440" s="17" t="n">
        <f aca="false">IFERROR(INDEX(Customer_Invoices_AR!$C$2:$C$601,MATCH(C440,Customer_Invoices_AR!$A$2:$A$601,0)),"")</f>
        <v>46034</v>
      </c>
      <c r="G440" s="16" t="n">
        <f aca="false">IF(F440="","",D440-F440)</f>
        <v>34</v>
      </c>
      <c r="H440" s="21" t="n">
        <f aca="false">IF(F440="","",DATE(YEAR(D440),MONTH(D440),1))</f>
        <v>46054</v>
      </c>
    </row>
    <row r="441" customFormat="false" ht="15" hidden="false" customHeight="false" outlineLevel="0" collapsed="false">
      <c r="A441" s="16" t="str">
        <f aca="false">Cash_Receipts_AR!A438</f>
        <v>ARR70437</v>
      </c>
      <c r="B441" s="16" t="str">
        <f aca="false">Cash_Receipts_AR!C438</f>
        <v>C2017</v>
      </c>
      <c r="C441" s="16" t="str">
        <f aca="false">Cash_Receipts_AR!B438</f>
        <v>ARI60523</v>
      </c>
      <c r="D441" s="17" t="n">
        <f aca="false">Cash_Receipts_AR!D438</f>
        <v>45915</v>
      </c>
      <c r="E441" s="18" t="n">
        <f aca="false">Cash_Receipts_AR!E438</f>
        <v>1737.62</v>
      </c>
      <c r="F441" s="17" t="n">
        <f aca="false">IFERROR(INDEX(Customer_Invoices_AR!$C$2:$C$601,MATCH(C441,Customer_Invoices_AR!$A$2:$A$601,0)),"")</f>
        <v>45881</v>
      </c>
      <c r="G441" s="16" t="n">
        <f aca="false">IF(F441="","",D441-F441)</f>
        <v>34</v>
      </c>
      <c r="H441" s="21" t="n">
        <f aca="false">IF(F441="","",DATE(YEAR(D441),MONTH(D441),1))</f>
        <v>45901</v>
      </c>
    </row>
    <row r="442" customFormat="false" ht="15" hidden="false" customHeight="false" outlineLevel="0" collapsed="false">
      <c r="A442" s="16" t="str">
        <f aca="false">Cash_Receipts_AR!A439</f>
        <v>ARR70438</v>
      </c>
      <c r="B442" s="16" t="str">
        <f aca="false">Cash_Receipts_AR!C439</f>
        <v>C2021</v>
      </c>
      <c r="C442" s="16" t="str">
        <f aca="false">Cash_Receipts_AR!B439</f>
        <v>ARI60524</v>
      </c>
      <c r="D442" s="17" t="n">
        <f aca="false">Cash_Receipts_AR!D439</f>
        <v>46081</v>
      </c>
      <c r="E442" s="18" t="n">
        <f aca="false">Cash_Receipts_AR!E439</f>
        <v>5526.91</v>
      </c>
      <c r="F442" s="17" t="n">
        <f aca="false">IFERROR(INDEX(Customer_Invoices_AR!$C$2:$C$601,MATCH(C442,Customer_Invoices_AR!$A$2:$A$601,0)),"")</f>
        <v>46080</v>
      </c>
      <c r="G442" s="16" t="n">
        <f aca="false">IF(F442="","",D442-F442)</f>
        <v>1</v>
      </c>
      <c r="H442" s="21" t="n">
        <f aca="false">IF(F442="","",DATE(YEAR(D442),MONTH(D442),1))</f>
        <v>46054</v>
      </c>
    </row>
    <row r="443" customFormat="false" ht="15" hidden="false" customHeight="false" outlineLevel="0" collapsed="false">
      <c r="A443" s="16" t="str">
        <f aca="false">Cash_Receipts_AR!A440</f>
        <v>ARR70439</v>
      </c>
      <c r="B443" s="16" t="str">
        <f aca="false">Cash_Receipts_AR!C440</f>
        <v>C2012</v>
      </c>
      <c r="C443" s="16" t="str">
        <f aca="false">Cash_Receipts_AR!B440</f>
        <v>ARI60525</v>
      </c>
      <c r="D443" s="17" t="n">
        <f aca="false">Cash_Receipts_AR!D440</f>
        <v>46185</v>
      </c>
      <c r="E443" s="18" t="n">
        <f aca="false">Cash_Receipts_AR!E440</f>
        <v>3293.29</v>
      </c>
      <c r="F443" s="17" t="n">
        <f aca="false">IFERROR(INDEX(Customer_Invoices_AR!$C$2:$C$601,MATCH(C443,Customer_Invoices_AR!$A$2:$A$601,0)),"")</f>
        <v>46159</v>
      </c>
      <c r="G443" s="16" t="n">
        <f aca="false">IF(F443="","",D443-F443)</f>
        <v>26</v>
      </c>
      <c r="H443" s="21" t="n">
        <f aca="false">IF(F443="","",DATE(YEAR(D443),MONTH(D443),1))</f>
        <v>46174</v>
      </c>
    </row>
    <row r="444" customFormat="false" ht="15" hidden="false" customHeight="false" outlineLevel="0" collapsed="false">
      <c r="A444" s="16" t="str">
        <f aca="false">Cash_Receipts_AR!A441</f>
        <v>ARR70440</v>
      </c>
      <c r="B444" s="16" t="str">
        <f aca="false">Cash_Receipts_AR!C441</f>
        <v>C2010</v>
      </c>
      <c r="C444" s="16" t="str">
        <f aca="false">Cash_Receipts_AR!B441</f>
        <v>ARI60526</v>
      </c>
      <c r="D444" s="17" t="n">
        <f aca="false">Cash_Receipts_AR!D441</f>
        <v>46134</v>
      </c>
      <c r="E444" s="18" t="n">
        <f aca="false">Cash_Receipts_AR!E441</f>
        <v>5673.44</v>
      </c>
      <c r="F444" s="17" t="n">
        <f aca="false">IFERROR(INDEX(Customer_Invoices_AR!$C$2:$C$601,MATCH(C444,Customer_Invoices_AR!$A$2:$A$601,0)),"")</f>
        <v>46133</v>
      </c>
      <c r="G444" s="16" t="n">
        <f aca="false">IF(F444="","",D444-F444)</f>
        <v>1</v>
      </c>
      <c r="H444" s="21" t="n">
        <f aca="false">IF(F444="","",DATE(YEAR(D444),MONTH(D444),1))</f>
        <v>46113</v>
      </c>
    </row>
    <row r="445" customFormat="false" ht="15" hidden="false" customHeight="false" outlineLevel="0" collapsed="false">
      <c r="A445" s="16" t="str">
        <f aca="false">Cash_Receipts_AR!A442</f>
        <v>ARR70441</v>
      </c>
      <c r="B445" s="16" t="str">
        <f aca="false">Cash_Receipts_AR!C442</f>
        <v>C2014</v>
      </c>
      <c r="C445" s="16" t="str">
        <f aca="false">Cash_Receipts_AR!B442</f>
        <v>ARI60528</v>
      </c>
      <c r="D445" s="17" t="n">
        <f aca="false">Cash_Receipts_AR!D442</f>
        <v>45702</v>
      </c>
      <c r="E445" s="18" t="n">
        <f aca="false">Cash_Receipts_AR!E442</f>
        <v>167.65</v>
      </c>
      <c r="F445" s="17" t="n">
        <f aca="false">IFERROR(INDEX(Customer_Invoices_AR!$C$2:$C$601,MATCH(C445,Customer_Invoices_AR!$A$2:$A$601,0)),"")</f>
        <v>45691</v>
      </c>
      <c r="G445" s="16" t="n">
        <f aca="false">IF(F445="","",D445-F445)</f>
        <v>11</v>
      </c>
      <c r="H445" s="21" t="n">
        <f aca="false">IF(F445="","",DATE(YEAR(D445),MONTH(D445),1))</f>
        <v>45689</v>
      </c>
    </row>
    <row r="446" customFormat="false" ht="15" hidden="false" customHeight="false" outlineLevel="0" collapsed="false">
      <c r="A446" s="16" t="str">
        <f aca="false">Cash_Receipts_AR!A443</f>
        <v>ARR70442</v>
      </c>
      <c r="B446" s="16" t="str">
        <f aca="false">Cash_Receipts_AR!C443</f>
        <v>C2030</v>
      </c>
      <c r="C446" s="16" t="str">
        <f aca="false">Cash_Receipts_AR!B443</f>
        <v>ARI60529</v>
      </c>
      <c r="D446" s="17" t="n">
        <f aca="false">Cash_Receipts_AR!D443</f>
        <v>45771</v>
      </c>
      <c r="E446" s="18" t="n">
        <f aca="false">Cash_Receipts_AR!E443</f>
        <v>8207.3</v>
      </c>
      <c r="F446" s="17" t="n">
        <f aca="false">IFERROR(INDEX(Customer_Invoices_AR!$C$2:$C$601,MATCH(C446,Customer_Invoices_AR!$A$2:$A$601,0)),"")</f>
        <v>45733</v>
      </c>
      <c r="G446" s="16" t="n">
        <f aca="false">IF(F446="","",D446-F446)</f>
        <v>38</v>
      </c>
      <c r="H446" s="21" t="n">
        <f aca="false">IF(F446="","",DATE(YEAR(D446),MONTH(D446),1))</f>
        <v>45748</v>
      </c>
    </row>
    <row r="447" customFormat="false" ht="15" hidden="false" customHeight="false" outlineLevel="0" collapsed="false">
      <c r="A447" s="16" t="str">
        <f aca="false">Cash_Receipts_AR!A444</f>
        <v>ARR70443</v>
      </c>
      <c r="B447" s="16" t="str">
        <f aca="false">Cash_Receipts_AR!C444</f>
        <v>C2030</v>
      </c>
      <c r="C447" s="16" t="str">
        <f aca="false">Cash_Receipts_AR!B444</f>
        <v>ARI60530</v>
      </c>
      <c r="D447" s="17" t="n">
        <f aca="false">Cash_Receipts_AR!D444</f>
        <v>45772</v>
      </c>
      <c r="E447" s="18" t="n">
        <f aca="false">Cash_Receipts_AR!E444</f>
        <v>10226.07</v>
      </c>
      <c r="F447" s="17" t="n">
        <f aca="false">IFERROR(INDEX(Customer_Invoices_AR!$C$2:$C$601,MATCH(C447,Customer_Invoices_AR!$A$2:$A$601,0)),"")</f>
        <v>45771</v>
      </c>
      <c r="G447" s="16" t="n">
        <f aca="false">IF(F447="","",D447-F447)</f>
        <v>1</v>
      </c>
      <c r="H447" s="21" t="n">
        <f aca="false">IF(F447="","",DATE(YEAR(D447),MONTH(D447),1))</f>
        <v>45748</v>
      </c>
    </row>
    <row r="448" customFormat="false" ht="15" hidden="false" customHeight="false" outlineLevel="0" collapsed="false">
      <c r="A448" s="16" t="str">
        <f aca="false">Cash_Receipts_AR!A445</f>
        <v>ARR70444</v>
      </c>
      <c r="B448" s="16" t="str">
        <f aca="false">Cash_Receipts_AR!C445</f>
        <v>C2005</v>
      </c>
      <c r="C448" s="16" t="str">
        <f aca="false">Cash_Receipts_AR!B445</f>
        <v>ARI60531</v>
      </c>
      <c r="D448" s="17" t="n">
        <f aca="false">Cash_Receipts_AR!D445</f>
        <v>45841</v>
      </c>
      <c r="E448" s="18" t="n">
        <f aca="false">Cash_Receipts_AR!E445</f>
        <v>920.76</v>
      </c>
      <c r="F448" s="17" t="n">
        <f aca="false">IFERROR(INDEX(Customer_Invoices_AR!$C$2:$C$601,MATCH(C448,Customer_Invoices_AR!$A$2:$A$601,0)),"")</f>
        <v>45835</v>
      </c>
      <c r="G448" s="16" t="n">
        <f aca="false">IF(F448="","",D448-F448)</f>
        <v>6</v>
      </c>
      <c r="H448" s="21" t="n">
        <f aca="false">IF(F448="","",DATE(YEAR(D448),MONTH(D448),1))</f>
        <v>45839</v>
      </c>
    </row>
    <row r="449" customFormat="false" ht="15" hidden="false" customHeight="false" outlineLevel="0" collapsed="false">
      <c r="A449" s="16" t="str">
        <f aca="false">Cash_Receipts_AR!A446</f>
        <v>ARR70445</v>
      </c>
      <c r="B449" s="16" t="str">
        <f aca="false">Cash_Receipts_AR!C446</f>
        <v>C2011</v>
      </c>
      <c r="C449" s="16" t="str">
        <f aca="false">Cash_Receipts_AR!B446</f>
        <v>ARI60532</v>
      </c>
      <c r="D449" s="17" t="n">
        <f aca="false">Cash_Receipts_AR!D446</f>
        <v>46039</v>
      </c>
      <c r="E449" s="18" t="n">
        <f aca="false">Cash_Receipts_AR!E446</f>
        <v>1774.7</v>
      </c>
      <c r="F449" s="17" t="n">
        <f aca="false">IFERROR(INDEX(Customer_Invoices_AR!$C$2:$C$601,MATCH(C449,Customer_Invoices_AR!$A$2:$A$601,0)),"")</f>
        <v>46018</v>
      </c>
      <c r="G449" s="16" t="n">
        <f aca="false">IF(F449="","",D449-F449)</f>
        <v>21</v>
      </c>
      <c r="H449" s="21" t="n">
        <f aca="false">IF(F449="","",DATE(YEAR(D449),MONTH(D449),1))</f>
        <v>46023</v>
      </c>
    </row>
    <row r="450" customFormat="false" ht="15" hidden="false" customHeight="false" outlineLevel="0" collapsed="false">
      <c r="A450" s="16" t="str">
        <f aca="false">Cash_Receipts_AR!A447</f>
        <v>ARR70446</v>
      </c>
      <c r="B450" s="16" t="str">
        <f aca="false">Cash_Receipts_AR!C447</f>
        <v>C2026</v>
      </c>
      <c r="C450" s="16" t="str">
        <f aca="false">Cash_Receipts_AR!B447</f>
        <v>ARI60533</v>
      </c>
      <c r="D450" s="17" t="n">
        <f aca="false">Cash_Receipts_AR!D447</f>
        <v>45959</v>
      </c>
      <c r="E450" s="18" t="n">
        <f aca="false">Cash_Receipts_AR!E447</f>
        <v>8116.89</v>
      </c>
      <c r="F450" s="17" t="n">
        <f aca="false">IFERROR(INDEX(Customer_Invoices_AR!$C$2:$C$601,MATCH(C450,Customer_Invoices_AR!$A$2:$A$601,0)),"")</f>
        <v>45944</v>
      </c>
      <c r="G450" s="16" t="n">
        <f aca="false">IF(F450="","",D450-F450)</f>
        <v>15</v>
      </c>
      <c r="H450" s="21" t="n">
        <f aca="false">IF(F450="","",DATE(YEAR(D450),MONTH(D450),1))</f>
        <v>45931</v>
      </c>
    </row>
    <row r="451" customFormat="false" ht="15" hidden="false" customHeight="false" outlineLevel="0" collapsed="false">
      <c r="A451" s="16" t="str">
        <f aca="false">Cash_Receipts_AR!A448</f>
        <v>ARR70447</v>
      </c>
      <c r="B451" s="16" t="str">
        <f aca="false">Cash_Receipts_AR!C448</f>
        <v>C2021</v>
      </c>
      <c r="C451" s="16" t="str">
        <f aca="false">Cash_Receipts_AR!B448</f>
        <v>ARI60534</v>
      </c>
      <c r="D451" s="17" t="n">
        <f aca="false">Cash_Receipts_AR!D448</f>
        <v>45829</v>
      </c>
      <c r="E451" s="18" t="n">
        <f aca="false">Cash_Receipts_AR!E448</f>
        <v>1559.65</v>
      </c>
      <c r="F451" s="17" t="n">
        <f aca="false">IFERROR(INDEX(Customer_Invoices_AR!$C$2:$C$601,MATCH(C451,Customer_Invoices_AR!$A$2:$A$601,0)),"")</f>
        <v>45828</v>
      </c>
      <c r="G451" s="16" t="n">
        <f aca="false">IF(F451="","",D451-F451)</f>
        <v>1</v>
      </c>
      <c r="H451" s="21" t="n">
        <f aca="false">IF(F451="","",DATE(YEAR(D451),MONTH(D451),1))</f>
        <v>45809</v>
      </c>
    </row>
    <row r="452" customFormat="false" ht="15" hidden="false" customHeight="false" outlineLevel="0" collapsed="false">
      <c r="A452" s="16" t="str">
        <f aca="false">Cash_Receipts_AR!A449</f>
        <v>ARR70448</v>
      </c>
      <c r="B452" s="16" t="str">
        <f aca="false">Cash_Receipts_AR!C449</f>
        <v>C2001</v>
      </c>
      <c r="C452" s="16" t="str">
        <f aca="false">Cash_Receipts_AR!B449</f>
        <v>ARI60535</v>
      </c>
      <c r="D452" s="17" t="n">
        <f aca="false">Cash_Receipts_AR!D449</f>
        <v>45769</v>
      </c>
      <c r="E452" s="18" t="n">
        <f aca="false">Cash_Receipts_AR!E449</f>
        <v>9577.01</v>
      </c>
      <c r="F452" s="17" t="n">
        <f aca="false">IFERROR(INDEX(Customer_Invoices_AR!$C$2:$C$601,MATCH(C452,Customer_Invoices_AR!$A$2:$A$601,0)),"")</f>
        <v>45752</v>
      </c>
      <c r="G452" s="16" t="n">
        <f aca="false">IF(F452="","",D452-F452)</f>
        <v>17</v>
      </c>
      <c r="H452" s="21" t="n">
        <f aca="false">IF(F452="","",DATE(YEAR(D452),MONTH(D452),1))</f>
        <v>45748</v>
      </c>
    </row>
    <row r="453" customFormat="false" ht="15" hidden="false" customHeight="false" outlineLevel="0" collapsed="false">
      <c r="A453" s="16" t="str">
        <f aca="false">Cash_Receipts_AR!A450</f>
        <v>ARR70449</v>
      </c>
      <c r="B453" s="16" t="str">
        <f aca="false">Cash_Receipts_AR!C450</f>
        <v>C2029</v>
      </c>
      <c r="C453" s="16" t="str">
        <f aca="false">Cash_Receipts_AR!B450</f>
        <v>ARI60536</v>
      </c>
      <c r="D453" s="17" t="n">
        <f aca="false">Cash_Receipts_AR!D450</f>
        <v>46194</v>
      </c>
      <c r="E453" s="18" t="n">
        <f aca="false">Cash_Receipts_AR!E450</f>
        <v>3171.03</v>
      </c>
      <c r="F453" s="17" t="n">
        <f aca="false">IFERROR(INDEX(Customer_Invoices_AR!$C$2:$C$601,MATCH(C453,Customer_Invoices_AR!$A$2:$A$601,0)),"")</f>
        <v>46155</v>
      </c>
      <c r="G453" s="16" t="n">
        <f aca="false">IF(F453="","",D453-F453)</f>
        <v>39</v>
      </c>
      <c r="H453" s="21" t="n">
        <f aca="false">IF(F453="","",DATE(YEAR(D453),MONTH(D453),1))</f>
        <v>46174</v>
      </c>
    </row>
    <row r="454" customFormat="false" ht="15" hidden="false" customHeight="false" outlineLevel="0" collapsed="false">
      <c r="A454" s="16" t="str">
        <f aca="false">Cash_Receipts_AR!A451</f>
        <v>ARR70450</v>
      </c>
      <c r="B454" s="16" t="str">
        <f aca="false">Cash_Receipts_AR!C451</f>
        <v>C2003</v>
      </c>
      <c r="C454" s="16" t="str">
        <f aca="false">Cash_Receipts_AR!B451</f>
        <v>ARI60537</v>
      </c>
      <c r="D454" s="17" t="n">
        <f aca="false">Cash_Receipts_AR!D451</f>
        <v>45845</v>
      </c>
      <c r="E454" s="18" t="n">
        <f aca="false">Cash_Receipts_AR!E451</f>
        <v>706.76</v>
      </c>
      <c r="F454" s="17" t="n">
        <f aca="false">IFERROR(INDEX(Customer_Invoices_AR!$C$2:$C$601,MATCH(C454,Customer_Invoices_AR!$A$2:$A$601,0)),"")</f>
        <v>45844</v>
      </c>
      <c r="G454" s="16" t="n">
        <f aca="false">IF(F454="","",D454-F454)</f>
        <v>1</v>
      </c>
      <c r="H454" s="21" t="n">
        <f aca="false">IF(F454="","",DATE(YEAR(D454),MONTH(D454),1))</f>
        <v>45839</v>
      </c>
    </row>
    <row r="455" customFormat="false" ht="15" hidden="false" customHeight="false" outlineLevel="0" collapsed="false">
      <c r="A455" s="16" t="str">
        <f aca="false">Cash_Receipts_AR!A452</f>
        <v>ARR70451</v>
      </c>
      <c r="B455" s="16" t="str">
        <f aca="false">Cash_Receipts_AR!C452</f>
        <v>C2030</v>
      </c>
      <c r="C455" s="16" t="str">
        <f aca="false">Cash_Receipts_AR!B452</f>
        <v>ARI60538</v>
      </c>
      <c r="D455" s="17" t="n">
        <f aca="false">Cash_Receipts_AR!D452</f>
        <v>45854</v>
      </c>
      <c r="E455" s="18" t="n">
        <f aca="false">Cash_Receipts_AR!E452</f>
        <v>4114.21</v>
      </c>
      <c r="F455" s="17" t="n">
        <f aca="false">IFERROR(INDEX(Customer_Invoices_AR!$C$2:$C$601,MATCH(C455,Customer_Invoices_AR!$A$2:$A$601,0)),"")</f>
        <v>45851</v>
      </c>
      <c r="G455" s="16" t="n">
        <f aca="false">IF(F455="","",D455-F455)</f>
        <v>3</v>
      </c>
      <c r="H455" s="21" t="n">
        <f aca="false">IF(F455="","",DATE(YEAR(D455),MONTH(D455),1))</f>
        <v>45839</v>
      </c>
    </row>
    <row r="456" customFormat="false" ht="15" hidden="false" customHeight="false" outlineLevel="0" collapsed="false">
      <c r="A456" s="16" t="str">
        <f aca="false">Cash_Receipts_AR!A453</f>
        <v>ARR70452</v>
      </c>
      <c r="B456" s="16" t="str">
        <f aca="false">Cash_Receipts_AR!C453</f>
        <v>C2002</v>
      </c>
      <c r="C456" s="16" t="str">
        <f aca="false">Cash_Receipts_AR!B453</f>
        <v>ARI60539</v>
      </c>
      <c r="D456" s="17" t="n">
        <f aca="false">Cash_Receipts_AR!D453</f>
        <v>46123</v>
      </c>
      <c r="E456" s="18" t="n">
        <f aca="false">Cash_Receipts_AR!E453</f>
        <v>2645.41</v>
      </c>
      <c r="F456" s="17" t="n">
        <f aca="false">IFERROR(INDEX(Customer_Invoices_AR!$C$2:$C$601,MATCH(C456,Customer_Invoices_AR!$A$2:$A$601,0)),"")</f>
        <v>46078</v>
      </c>
      <c r="G456" s="16" t="n">
        <f aca="false">IF(F456="","",D456-F456)</f>
        <v>45</v>
      </c>
      <c r="H456" s="21" t="n">
        <f aca="false">IF(F456="","",DATE(YEAR(D456),MONTH(D456),1))</f>
        <v>46113</v>
      </c>
    </row>
    <row r="457" customFormat="false" ht="15" hidden="false" customHeight="false" outlineLevel="0" collapsed="false">
      <c r="A457" s="16" t="str">
        <f aca="false">Cash_Receipts_AR!A454</f>
        <v>ARR70453</v>
      </c>
      <c r="B457" s="16" t="str">
        <f aca="false">Cash_Receipts_AR!C454</f>
        <v>C2027</v>
      </c>
      <c r="C457" s="16" t="str">
        <f aca="false">Cash_Receipts_AR!B454</f>
        <v>ARI60541</v>
      </c>
      <c r="D457" s="17" t="n">
        <f aca="false">Cash_Receipts_AR!D454</f>
        <v>46032</v>
      </c>
      <c r="E457" s="18" t="n">
        <f aca="false">Cash_Receipts_AR!E454</f>
        <v>3755.82</v>
      </c>
      <c r="F457" s="17" t="n">
        <f aca="false">IFERROR(INDEX(Customer_Invoices_AR!$C$2:$C$601,MATCH(C457,Customer_Invoices_AR!$A$2:$A$601,0)),"")</f>
        <v>46008</v>
      </c>
      <c r="G457" s="16" t="n">
        <f aca="false">IF(F457="","",D457-F457)</f>
        <v>24</v>
      </c>
      <c r="H457" s="21" t="n">
        <f aca="false">IF(F457="","",DATE(YEAR(D457),MONTH(D457),1))</f>
        <v>46023</v>
      </c>
    </row>
    <row r="458" customFormat="false" ht="15" hidden="false" customHeight="false" outlineLevel="0" collapsed="false">
      <c r="A458" s="16" t="str">
        <f aca="false">Cash_Receipts_AR!A455</f>
        <v>ARR70454</v>
      </c>
      <c r="B458" s="16" t="str">
        <f aca="false">Cash_Receipts_AR!C455</f>
        <v>C2004</v>
      </c>
      <c r="C458" s="16" t="str">
        <f aca="false">Cash_Receipts_AR!B455</f>
        <v>ARI60542</v>
      </c>
      <c r="D458" s="17" t="n">
        <f aca="false">Cash_Receipts_AR!D455</f>
        <v>46045</v>
      </c>
      <c r="E458" s="18" t="n">
        <f aca="false">Cash_Receipts_AR!E455</f>
        <v>1123.7</v>
      </c>
      <c r="F458" s="17" t="n">
        <f aca="false">IFERROR(INDEX(Customer_Invoices_AR!$C$2:$C$601,MATCH(C458,Customer_Invoices_AR!$A$2:$A$601,0)),"")</f>
        <v>46035</v>
      </c>
      <c r="G458" s="16" t="n">
        <f aca="false">IF(F458="","",D458-F458)</f>
        <v>10</v>
      </c>
      <c r="H458" s="21" t="n">
        <f aca="false">IF(F458="","",DATE(YEAR(D458),MONTH(D458),1))</f>
        <v>46023</v>
      </c>
    </row>
    <row r="459" customFormat="false" ht="15" hidden="false" customHeight="false" outlineLevel="0" collapsed="false">
      <c r="A459" s="16" t="str">
        <f aca="false">Cash_Receipts_AR!A456</f>
        <v>ARR70455</v>
      </c>
      <c r="B459" s="16" t="str">
        <f aca="false">Cash_Receipts_AR!C456</f>
        <v>C2001</v>
      </c>
      <c r="C459" s="16" t="str">
        <f aca="false">Cash_Receipts_AR!B456</f>
        <v>ARI60546</v>
      </c>
      <c r="D459" s="17" t="n">
        <f aca="false">Cash_Receipts_AR!D456</f>
        <v>46003</v>
      </c>
      <c r="E459" s="18" t="n">
        <f aca="false">Cash_Receipts_AR!E456</f>
        <v>2332.5</v>
      </c>
      <c r="F459" s="17" t="n">
        <f aca="false">IFERROR(INDEX(Customer_Invoices_AR!$C$2:$C$601,MATCH(C459,Customer_Invoices_AR!$A$2:$A$601,0)),"")</f>
        <v>45962</v>
      </c>
      <c r="G459" s="16" t="n">
        <f aca="false">IF(F459="","",D459-F459)</f>
        <v>41</v>
      </c>
      <c r="H459" s="21" t="n">
        <f aca="false">IF(F459="","",DATE(YEAR(D459),MONTH(D459),1))</f>
        <v>45992</v>
      </c>
    </row>
    <row r="460" customFormat="false" ht="15" hidden="false" customHeight="false" outlineLevel="0" collapsed="false">
      <c r="A460" s="16" t="str">
        <f aca="false">Cash_Receipts_AR!A457</f>
        <v>ARR70456</v>
      </c>
      <c r="B460" s="16" t="str">
        <f aca="false">Cash_Receipts_AR!C457</f>
        <v>C2015</v>
      </c>
      <c r="C460" s="16" t="str">
        <f aca="false">Cash_Receipts_AR!B457</f>
        <v>ARI60547</v>
      </c>
      <c r="D460" s="17" t="n">
        <f aca="false">Cash_Receipts_AR!D457</f>
        <v>45798</v>
      </c>
      <c r="E460" s="18" t="n">
        <f aca="false">Cash_Receipts_AR!E457</f>
        <v>1869.4</v>
      </c>
      <c r="F460" s="17" t="n">
        <f aca="false">IFERROR(INDEX(Customer_Invoices_AR!$C$2:$C$601,MATCH(C460,Customer_Invoices_AR!$A$2:$A$601,0)),"")</f>
        <v>45780</v>
      </c>
      <c r="G460" s="16" t="n">
        <f aca="false">IF(F460="","",D460-F460)</f>
        <v>18</v>
      </c>
      <c r="H460" s="21" t="n">
        <f aca="false">IF(F460="","",DATE(YEAR(D460),MONTH(D460),1))</f>
        <v>45778</v>
      </c>
    </row>
    <row r="461" customFormat="false" ht="15" hidden="false" customHeight="false" outlineLevel="0" collapsed="false">
      <c r="A461" s="16" t="str">
        <f aca="false">Cash_Receipts_AR!A458</f>
        <v>ARR70457</v>
      </c>
      <c r="B461" s="16" t="str">
        <f aca="false">Cash_Receipts_AR!C458</f>
        <v>C2027</v>
      </c>
      <c r="C461" s="16" t="str">
        <f aca="false">Cash_Receipts_AR!B458</f>
        <v>ARI60550</v>
      </c>
      <c r="D461" s="17" t="n">
        <f aca="false">Cash_Receipts_AR!D458</f>
        <v>45816</v>
      </c>
      <c r="E461" s="18" t="n">
        <f aca="false">Cash_Receipts_AR!E458</f>
        <v>533.42</v>
      </c>
      <c r="F461" s="17" t="n">
        <f aca="false">IFERROR(INDEX(Customer_Invoices_AR!$C$2:$C$601,MATCH(C461,Customer_Invoices_AR!$A$2:$A$601,0)),"")</f>
        <v>45815</v>
      </c>
      <c r="G461" s="16" t="n">
        <f aca="false">IF(F461="","",D461-F461)</f>
        <v>1</v>
      </c>
      <c r="H461" s="21" t="n">
        <f aca="false">IF(F461="","",DATE(YEAR(D461),MONTH(D461),1))</f>
        <v>45809</v>
      </c>
    </row>
    <row r="462" customFormat="false" ht="15" hidden="false" customHeight="false" outlineLevel="0" collapsed="false">
      <c r="A462" s="16" t="str">
        <f aca="false">Cash_Receipts_AR!A459</f>
        <v>ARR70458</v>
      </c>
      <c r="B462" s="16" t="str">
        <f aca="false">Cash_Receipts_AR!C459</f>
        <v>C2028</v>
      </c>
      <c r="C462" s="16" t="str">
        <f aca="false">Cash_Receipts_AR!B459</f>
        <v>ARI60551</v>
      </c>
      <c r="D462" s="17" t="n">
        <f aca="false">Cash_Receipts_AR!D459</f>
        <v>45771</v>
      </c>
      <c r="E462" s="18" t="n">
        <f aca="false">Cash_Receipts_AR!E459</f>
        <v>1235.59</v>
      </c>
      <c r="F462" s="17" t="n">
        <f aca="false">IFERROR(INDEX(Customer_Invoices_AR!$C$2:$C$601,MATCH(C462,Customer_Invoices_AR!$A$2:$A$601,0)),"")</f>
        <v>45770</v>
      </c>
      <c r="G462" s="16" t="n">
        <f aca="false">IF(F462="","",D462-F462)</f>
        <v>1</v>
      </c>
      <c r="H462" s="21" t="n">
        <f aca="false">IF(F462="","",DATE(YEAR(D462),MONTH(D462),1))</f>
        <v>45748</v>
      </c>
    </row>
    <row r="463" customFormat="false" ht="15" hidden="false" customHeight="false" outlineLevel="0" collapsed="false">
      <c r="A463" s="16" t="str">
        <f aca="false">Cash_Receipts_AR!A460</f>
        <v>ARR70459</v>
      </c>
      <c r="B463" s="16" t="str">
        <f aca="false">Cash_Receipts_AR!C460</f>
        <v>C2002</v>
      </c>
      <c r="C463" s="16" t="str">
        <f aca="false">Cash_Receipts_AR!B460</f>
        <v>ARI60552</v>
      </c>
      <c r="D463" s="17" t="n">
        <f aca="false">Cash_Receipts_AR!D460</f>
        <v>46077</v>
      </c>
      <c r="E463" s="18" t="n">
        <f aca="false">Cash_Receipts_AR!E460</f>
        <v>3621.75</v>
      </c>
      <c r="F463" s="17" t="n">
        <f aca="false">IFERROR(INDEX(Customer_Invoices_AR!$C$2:$C$601,MATCH(C463,Customer_Invoices_AR!$A$2:$A$601,0)),"")</f>
        <v>46042</v>
      </c>
      <c r="G463" s="16" t="n">
        <f aca="false">IF(F463="","",D463-F463)</f>
        <v>35</v>
      </c>
      <c r="H463" s="21" t="n">
        <f aca="false">IF(F463="","",DATE(YEAR(D463),MONTH(D463),1))</f>
        <v>46054</v>
      </c>
    </row>
    <row r="464" customFormat="false" ht="15" hidden="false" customHeight="false" outlineLevel="0" collapsed="false">
      <c r="A464" s="16" t="str">
        <f aca="false">Cash_Receipts_AR!A461</f>
        <v>ARR70460</v>
      </c>
      <c r="B464" s="16" t="str">
        <f aca="false">Cash_Receipts_AR!C461</f>
        <v>C2010</v>
      </c>
      <c r="C464" s="16" t="str">
        <f aca="false">Cash_Receipts_AR!B461</f>
        <v>ARI60553</v>
      </c>
      <c r="D464" s="17" t="n">
        <f aca="false">Cash_Receipts_AR!D461</f>
        <v>45862</v>
      </c>
      <c r="E464" s="18" t="n">
        <f aca="false">Cash_Receipts_AR!E461</f>
        <v>310.9</v>
      </c>
      <c r="F464" s="17" t="n">
        <f aca="false">IFERROR(INDEX(Customer_Invoices_AR!$C$2:$C$601,MATCH(C464,Customer_Invoices_AR!$A$2:$A$601,0)),"")</f>
        <v>45830</v>
      </c>
      <c r="G464" s="16" t="n">
        <f aca="false">IF(F464="","",D464-F464)</f>
        <v>32</v>
      </c>
      <c r="H464" s="21" t="n">
        <f aca="false">IF(F464="","",DATE(YEAR(D464),MONTH(D464),1))</f>
        <v>45839</v>
      </c>
    </row>
    <row r="465" customFormat="false" ht="15" hidden="false" customHeight="false" outlineLevel="0" collapsed="false">
      <c r="A465" s="16" t="str">
        <f aca="false">Cash_Receipts_AR!A462</f>
        <v>ARR70461</v>
      </c>
      <c r="B465" s="16" t="str">
        <f aca="false">Cash_Receipts_AR!C462</f>
        <v>C2014</v>
      </c>
      <c r="C465" s="16" t="str">
        <f aca="false">Cash_Receipts_AR!B462</f>
        <v>ARI60554</v>
      </c>
      <c r="D465" s="17" t="n">
        <f aca="false">Cash_Receipts_AR!D462</f>
        <v>45859</v>
      </c>
      <c r="E465" s="18" t="n">
        <f aca="false">Cash_Receipts_AR!E462</f>
        <v>434.92</v>
      </c>
      <c r="F465" s="17" t="n">
        <f aca="false">IFERROR(INDEX(Customer_Invoices_AR!$C$2:$C$601,MATCH(C465,Customer_Invoices_AR!$A$2:$A$601,0)),"")</f>
        <v>45848</v>
      </c>
      <c r="G465" s="16" t="n">
        <f aca="false">IF(F465="","",D465-F465)</f>
        <v>11</v>
      </c>
      <c r="H465" s="21" t="n">
        <f aca="false">IF(F465="","",DATE(YEAR(D465),MONTH(D465),1))</f>
        <v>45839</v>
      </c>
    </row>
    <row r="466" customFormat="false" ht="15" hidden="false" customHeight="false" outlineLevel="0" collapsed="false">
      <c r="A466" s="16" t="str">
        <f aca="false">Cash_Receipts_AR!A463</f>
        <v>ARR70462</v>
      </c>
      <c r="B466" s="16" t="str">
        <f aca="false">Cash_Receipts_AR!C463</f>
        <v>C2018</v>
      </c>
      <c r="C466" s="16" t="str">
        <f aca="false">Cash_Receipts_AR!B463</f>
        <v>ARI60555</v>
      </c>
      <c r="D466" s="17" t="n">
        <f aca="false">Cash_Receipts_AR!D463</f>
        <v>46176</v>
      </c>
      <c r="E466" s="18" t="n">
        <f aca="false">Cash_Receipts_AR!E463</f>
        <v>1575.31</v>
      </c>
      <c r="F466" s="17" t="n">
        <f aca="false">IFERROR(INDEX(Customer_Invoices_AR!$C$2:$C$601,MATCH(C466,Customer_Invoices_AR!$A$2:$A$601,0)),"")</f>
        <v>46166</v>
      </c>
      <c r="G466" s="16" t="n">
        <f aca="false">IF(F466="","",D466-F466)</f>
        <v>10</v>
      </c>
      <c r="H466" s="21" t="n">
        <f aca="false">IF(F466="","",DATE(YEAR(D466),MONTH(D466),1))</f>
        <v>46174</v>
      </c>
    </row>
    <row r="467" customFormat="false" ht="15" hidden="false" customHeight="false" outlineLevel="0" collapsed="false">
      <c r="A467" s="16" t="str">
        <f aca="false">Cash_Receipts_AR!A464</f>
        <v>ARR70463</v>
      </c>
      <c r="B467" s="16" t="str">
        <f aca="false">Cash_Receipts_AR!C464</f>
        <v>C2006</v>
      </c>
      <c r="C467" s="16" t="str">
        <f aca="false">Cash_Receipts_AR!B464</f>
        <v>ARI60556</v>
      </c>
      <c r="D467" s="17" t="n">
        <f aca="false">Cash_Receipts_AR!D464</f>
        <v>46093</v>
      </c>
      <c r="E467" s="18" t="n">
        <f aca="false">Cash_Receipts_AR!E464</f>
        <v>4060.23</v>
      </c>
      <c r="F467" s="17" t="n">
        <f aca="false">IFERROR(INDEX(Customer_Invoices_AR!$C$2:$C$601,MATCH(C467,Customer_Invoices_AR!$A$2:$A$601,0)),"")</f>
        <v>46091</v>
      </c>
      <c r="G467" s="16" t="n">
        <f aca="false">IF(F467="","",D467-F467)</f>
        <v>2</v>
      </c>
      <c r="H467" s="21" t="n">
        <f aca="false">IF(F467="","",DATE(YEAR(D467),MONTH(D467),1))</f>
        <v>46082</v>
      </c>
    </row>
    <row r="468" customFormat="false" ht="15" hidden="false" customHeight="false" outlineLevel="0" collapsed="false">
      <c r="A468" s="16" t="str">
        <f aca="false">Cash_Receipts_AR!A465</f>
        <v>ARR70464</v>
      </c>
      <c r="B468" s="16" t="str">
        <f aca="false">Cash_Receipts_AR!C465</f>
        <v>C2006</v>
      </c>
      <c r="C468" s="16" t="str">
        <f aca="false">Cash_Receipts_AR!B465</f>
        <v>ARI60557</v>
      </c>
      <c r="D468" s="17" t="n">
        <f aca="false">Cash_Receipts_AR!D465</f>
        <v>45848</v>
      </c>
      <c r="E468" s="18" t="n">
        <f aca="false">Cash_Receipts_AR!E465</f>
        <v>446.95</v>
      </c>
      <c r="F468" s="17" t="n">
        <f aca="false">IFERROR(INDEX(Customer_Invoices_AR!$C$2:$C$601,MATCH(C468,Customer_Invoices_AR!$A$2:$A$601,0)),"")</f>
        <v>45807</v>
      </c>
      <c r="G468" s="16" t="n">
        <f aca="false">IF(F468="","",D468-F468)</f>
        <v>41</v>
      </c>
      <c r="H468" s="21" t="n">
        <f aca="false">IF(F468="","",DATE(YEAR(D468),MONTH(D468),1))</f>
        <v>45839</v>
      </c>
    </row>
    <row r="469" customFormat="false" ht="15" hidden="false" customHeight="false" outlineLevel="0" collapsed="false">
      <c r="A469" s="16" t="str">
        <f aca="false">Cash_Receipts_AR!A466</f>
        <v>ARR70465</v>
      </c>
      <c r="B469" s="16" t="str">
        <f aca="false">Cash_Receipts_AR!C466</f>
        <v>C2025</v>
      </c>
      <c r="C469" s="16" t="str">
        <f aca="false">Cash_Receipts_AR!B466</f>
        <v>ARI60558</v>
      </c>
      <c r="D469" s="17" t="n">
        <f aca="false">Cash_Receipts_AR!D466</f>
        <v>45751</v>
      </c>
      <c r="E469" s="18" t="n">
        <f aca="false">Cash_Receipts_AR!E466</f>
        <v>769.32</v>
      </c>
      <c r="F469" s="17" t="n">
        <f aca="false">IFERROR(INDEX(Customer_Invoices_AR!$C$2:$C$601,MATCH(C469,Customer_Invoices_AR!$A$2:$A$601,0)),"")</f>
        <v>45724</v>
      </c>
      <c r="G469" s="16" t="n">
        <f aca="false">IF(F469="","",D469-F469)</f>
        <v>27</v>
      </c>
      <c r="H469" s="21" t="n">
        <f aca="false">IF(F469="","",DATE(YEAR(D469),MONTH(D469),1))</f>
        <v>45748</v>
      </c>
    </row>
    <row r="470" customFormat="false" ht="15" hidden="false" customHeight="false" outlineLevel="0" collapsed="false">
      <c r="A470" s="16" t="str">
        <f aca="false">Cash_Receipts_AR!A467</f>
        <v>ARR70466</v>
      </c>
      <c r="B470" s="16" t="str">
        <f aca="false">Cash_Receipts_AR!C467</f>
        <v>C2022</v>
      </c>
      <c r="C470" s="16" t="str">
        <f aca="false">Cash_Receipts_AR!B467</f>
        <v>ARI60559</v>
      </c>
      <c r="D470" s="17" t="n">
        <f aca="false">Cash_Receipts_AR!D467</f>
        <v>46036</v>
      </c>
      <c r="E470" s="18" t="n">
        <f aca="false">Cash_Receipts_AR!E467</f>
        <v>1309.37</v>
      </c>
      <c r="F470" s="17" t="n">
        <f aca="false">IFERROR(INDEX(Customer_Invoices_AR!$C$2:$C$601,MATCH(C470,Customer_Invoices_AR!$A$2:$A$601,0)),"")</f>
        <v>46026</v>
      </c>
      <c r="G470" s="16" t="n">
        <f aca="false">IF(F470="","",D470-F470)</f>
        <v>10</v>
      </c>
      <c r="H470" s="21" t="n">
        <f aca="false">IF(F470="","",DATE(YEAR(D470),MONTH(D470),1))</f>
        <v>46023</v>
      </c>
    </row>
    <row r="471" customFormat="false" ht="15" hidden="false" customHeight="false" outlineLevel="0" collapsed="false">
      <c r="A471" s="16" t="str">
        <f aca="false">Cash_Receipts_AR!A468</f>
        <v>ARR70467</v>
      </c>
      <c r="B471" s="16" t="str">
        <f aca="false">Cash_Receipts_AR!C468</f>
        <v>C2025</v>
      </c>
      <c r="C471" s="16" t="str">
        <f aca="false">Cash_Receipts_AR!B468</f>
        <v>ARI60560</v>
      </c>
      <c r="D471" s="17" t="n">
        <f aca="false">Cash_Receipts_AR!D468</f>
        <v>45865</v>
      </c>
      <c r="E471" s="18" t="n">
        <f aca="false">Cash_Receipts_AR!E468</f>
        <v>936.39</v>
      </c>
      <c r="F471" s="17" t="n">
        <f aca="false">IFERROR(INDEX(Customer_Invoices_AR!$C$2:$C$601,MATCH(C471,Customer_Invoices_AR!$A$2:$A$601,0)),"")</f>
        <v>45864</v>
      </c>
      <c r="G471" s="16" t="n">
        <f aca="false">IF(F471="","",D471-F471)</f>
        <v>1</v>
      </c>
      <c r="H471" s="21" t="n">
        <f aca="false">IF(F471="","",DATE(YEAR(D471),MONTH(D471),1))</f>
        <v>45839</v>
      </c>
    </row>
    <row r="472" customFormat="false" ht="15" hidden="false" customHeight="false" outlineLevel="0" collapsed="false">
      <c r="A472" s="16" t="str">
        <f aca="false">Cash_Receipts_AR!A469</f>
        <v>ARR70468</v>
      </c>
      <c r="B472" s="16" t="str">
        <f aca="false">Cash_Receipts_AR!C469</f>
        <v>C2013</v>
      </c>
      <c r="C472" s="16" t="str">
        <f aca="false">Cash_Receipts_AR!B469</f>
        <v>ARI60562</v>
      </c>
      <c r="D472" s="17" t="n">
        <f aca="false">Cash_Receipts_AR!D469</f>
        <v>46126</v>
      </c>
      <c r="E472" s="18" t="n">
        <f aca="false">Cash_Receipts_AR!E469</f>
        <v>685.41</v>
      </c>
      <c r="F472" s="17" t="n">
        <f aca="false">IFERROR(INDEX(Customer_Invoices_AR!$C$2:$C$601,MATCH(C472,Customer_Invoices_AR!$A$2:$A$601,0)),"")</f>
        <v>46104</v>
      </c>
      <c r="G472" s="16" t="n">
        <f aca="false">IF(F472="","",D472-F472)</f>
        <v>22</v>
      </c>
      <c r="H472" s="21" t="n">
        <f aca="false">IF(F472="","",DATE(YEAR(D472),MONTH(D472),1))</f>
        <v>46113</v>
      </c>
    </row>
    <row r="473" customFormat="false" ht="15" hidden="false" customHeight="false" outlineLevel="0" collapsed="false">
      <c r="A473" s="16" t="str">
        <f aca="false">Cash_Receipts_AR!A470</f>
        <v>ARR70469</v>
      </c>
      <c r="B473" s="16" t="str">
        <f aca="false">Cash_Receipts_AR!C470</f>
        <v>C2002</v>
      </c>
      <c r="C473" s="16" t="str">
        <f aca="false">Cash_Receipts_AR!B470</f>
        <v>ARI60564</v>
      </c>
      <c r="D473" s="17" t="n">
        <f aca="false">Cash_Receipts_AR!D470</f>
        <v>46118</v>
      </c>
      <c r="E473" s="18" t="n">
        <f aca="false">Cash_Receipts_AR!E470</f>
        <v>2400.89</v>
      </c>
      <c r="F473" s="17" t="n">
        <f aca="false">IFERROR(INDEX(Customer_Invoices_AR!$C$2:$C$601,MATCH(C473,Customer_Invoices_AR!$A$2:$A$601,0)),"")</f>
        <v>46096</v>
      </c>
      <c r="G473" s="16" t="n">
        <f aca="false">IF(F473="","",D473-F473)</f>
        <v>22</v>
      </c>
      <c r="H473" s="21" t="n">
        <f aca="false">IF(F473="","",DATE(YEAR(D473),MONTH(D473),1))</f>
        <v>46113</v>
      </c>
    </row>
    <row r="474" customFormat="false" ht="15" hidden="false" customHeight="false" outlineLevel="0" collapsed="false">
      <c r="A474" s="16" t="str">
        <f aca="false">Cash_Receipts_AR!A471</f>
        <v>ARR70470</v>
      </c>
      <c r="B474" s="16" t="str">
        <f aca="false">Cash_Receipts_AR!C471</f>
        <v>C2026</v>
      </c>
      <c r="C474" s="16" t="str">
        <f aca="false">Cash_Receipts_AR!B471</f>
        <v>ARI60565</v>
      </c>
      <c r="D474" s="17" t="n">
        <f aca="false">Cash_Receipts_AR!D471</f>
        <v>45836</v>
      </c>
      <c r="E474" s="18" t="n">
        <f aca="false">Cash_Receipts_AR!E471</f>
        <v>19038.18</v>
      </c>
      <c r="F474" s="17" t="n">
        <f aca="false">IFERROR(INDEX(Customer_Invoices_AR!$C$2:$C$601,MATCH(C474,Customer_Invoices_AR!$A$2:$A$601,0)),"")</f>
        <v>45816</v>
      </c>
      <c r="G474" s="16" t="n">
        <f aca="false">IF(F474="","",D474-F474)</f>
        <v>20</v>
      </c>
      <c r="H474" s="21" t="n">
        <f aca="false">IF(F474="","",DATE(YEAR(D474),MONTH(D474),1))</f>
        <v>45809</v>
      </c>
    </row>
    <row r="475" customFormat="false" ht="15" hidden="false" customHeight="false" outlineLevel="0" collapsed="false">
      <c r="A475" s="16" t="str">
        <f aca="false">Cash_Receipts_AR!A472</f>
        <v>ARR70471</v>
      </c>
      <c r="B475" s="16" t="str">
        <f aca="false">Cash_Receipts_AR!C472</f>
        <v>C2025</v>
      </c>
      <c r="C475" s="16" t="str">
        <f aca="false">Cash_Receipts_AR!B472</f>
        <v>ARI60567</v>
      </c>
      <c r="D475" s="17" t="n">
        <f aca="false">Cash_Receipts_AR!D472</f>
        <v>46059</v>
      </c>
      <c r="E475" s="18" t="n">
        <f aca="false">Cash_Receipts_AR!E472</f>
        <v>2291.28</v>
      </c>
      <c r="F475" s="17" t="n">
        <f aca="false">IFERROR(INDEX(Customer_Invoices_AR!$C$2:$C$601,MATCH(C475,Customer_Invoices_AR!$A$2:$A$601,0)),"")</f>
        <v>46047</v>
      </c>
      <c r="G475" s="16" t="n">
        <f aca="false">IF(F475="","",D475-F475)</f>
        <v>12</v>
      </c>
      <c r="H475" s="21" t="n">
        <f aca="false">IF(F475="","",DATE(YEAR(D475),MONTH(D475),1))</f>
        <v>46054</v>
      </c>
    </row>
    <row r="476" customFormat="false" ht="15" hidden="false" customHeight="false" outlineLevel="0" collapsed="false">
      <c r="A476" s="16" t="str">
        <f aca="false">Cash_Receipts_AR!A473</f>
        <v>ARR70472</v>
      </c>
      <c r="B476" s="16" t="str">
        <f aca="false">Cash_Receipts_AR!C473</f>
        <v>C2013</v>
      </c>
      <c r="C476" s="16" t="str">
        <f aca="false">Cash_Receipts_AR!B473</f>
        <v>ARI60568</v>
      </c>
      <c r="D476" s="17" t="n">
        <f aca="false">Cash_Receipts_AR!D473</f>
        <v>45854</v>
      </c>
      <c r="E476" s="18" t="n">
        <f aca="false">Cash_Receipts_AR!E473</f>
        <v>249.31</v>
      </c>
      <c r="F476" s="17" t="n">
        <f aca="false">IFERROR(INDEX(Customer_Invoices_AR!$C$2:$C$601,MATCH(C476,Customer_Invoices_AR!$A$2:$A$601,0)),"")</f>
        <v>45846</v>
      </c>
      <c r="G476" s="16" t="n">
        <f aca="false">IF(F476="","",D476-F476)</f>
        <v>8</v>
      </c>
      <c r="H476" s="21" t="n">
        <f aca="false">IF(F476="","",DATE(YEAR(D476),MONTH(D476),1))</f>
        <v>45839</v>
      </c>
    </row>
    <row r="477" customFormat="false" ht="15" hidden="false" customHeight="false" outlineLevel="0" collapsed="false">
      <c r="A477" s="16" t="str">
        <f aca="false">Cash_Receipts_AR!A474</f>
        <v>ARR70473</v>
      </c>
      <c r="B477" s="16" t="str">
        <f aca="false">Cash_Receipts_AR!C474</f>
        <v>C2027</v>
      </c>
      <c r="C477" s="16" t="str">
        <f aca="false">Cash_Receipts_AR!B474</f>
        <v>ARI60569</v>
      </c>
      <c r="D477" s="17" t="n">
        <f aca="false">Cash_Receipts_AR!D474</f>
        <v>45920</v>
      </c>
      <c r="E477" s="18" t="n">
        <f aca="false">Cash_Receipts_AR!E474</f>
        <v>1973.38</v>
      </c>
      <c r="F477" s="17" t="n">
        <f aca="false">IFERROR(INDEX(Customer_Invoices_AR!$C$2:$C$601,MATCH(C477,Customer_Invoices_AR!$A$2:$A$601,0)),"")</f>
        <v>45899</v>
      </c>
      <c r="G477" s="16" t="n">
        <f aca="false">IF(F477="","",D477-F477)</f>
        <v>21</v>
      </c>
      <c r="H477" s="21" t="n">
        <f aca="false">IF(F477="","",DATE(YEAR(D477),MONTH(D477),1))</f>
        <v>45901</v>
      </c>
    </row>
    <row r="478" customFormat="false" ht="15" hidden="false" customHeight="false" outlineLevel="0" collapsed="false">
      <c r="A478" s="16" t="str">
        <f aca="false">Cash_Receipts_AR!A475</f>
        <v>ARR70474</v>
      </c>
      <c r="B478" s="16" t="str">
        <f aca="false">Cash_Receipts_AR!C475</f>
        <v>C2009</v>
      </c>
      <c r="C478" s="16" t="str">
        <f aca="false">Cash_Receipts_AR!B475</f>
        <v>ARI60570</v>
      </c>
      <c r="D478" s="17" t="n">
        <f aca="false">Cash_Receipts_AR!D475</f>
        <v>45809</v>
      </c>
      <c r="E478" s="18" t="n">
        <f aca="false">Cash_Receipts_AR!E475</f>
        <v>1252.42</v>
      </c>
      <c r="F478" s="17" t="n">
        <f aca="false">IFERROR(INDEX(Customer_Invoices_AR!$C$2:$C$601,MATCH(C478,Customer_Invoices_AR!$A$2:$A$601,0)),"")</f>
        <v>45797</v>
      </c>
      <c r="G478" s="16" t="n">
        <f aca="false">IF(F478="","",D478-F478)</f>
        <v>12</v>
      </c>
      <c r="H478" s="21" t="n">
        <f aca="false">IF(F478="","",DATE(YEAR(D478),MONTH(D478),1))</f>
        <v>45809</v>
      </c>
    </row>
    <row r="479" customFormat="false" ht="15" hidden="false" customHeight="false" outlineLevel="0" collapsed="false">
      <c r="A479" s="16" t="str">
        <f aca="false">Cash_Receipts_AR!A476</f>
        <v>ARR70475</v>
      </c>
      <c r="B479" s="16" t="str">
        <f aca="false">Cash_Receipts_AR!C476</f>
        <v>C2028</v>
      </c>
      <c r="C479" s="16" t="str">
        <f aca="false">Cash_Receipts_AR!B476</f>
        <v>ARI60571</v>
      </c>
      <c r="D479" s="17" t="n">
        <f aca="false">Cash_Receipts_AR!D476</f>
        <v>45952</v>
      </c>
      <c r="E479" s="18" t="n">
        <f aca="false">Cash_Receipts_AR!E476</f>
        <v>304.24</v>
      </c>
      <c r="F479" s="17" t="n">
        <f aca="false">IFERROR(INDEX(Customer_Invoices_AR!$C$2:$C$601,MATCH(C479,Customer_Invoices_AR!$A$2:$A$601,0)),"")</f>
        <v>45919</v>
      </c>
      <c r="G479" s="16" t="n">
        <f aca="false">IF(F479="","",D479-F479)</f>
        <v>33</v>
      </c>
      <c r="H479" s="21" t="n">
        <f aca="false">IF(F479="","",DATE(YEAR(D479),MONTH(D479),1))</f>
        <v>45931</v>
      </c>
    </row>
    <row r="480" customFormat="false" ht="15" hidden="false" customHeight="false" outlineLevel="0" collapsed="false">
      <c r="A480" s="16" t="str">
        <f aca="false">Cash_Receipts_AR!A477</f>
        <v>ARR70476</v>
      </c>
      <c r="B480" s="16" t="str">
        <f aca="false">Cash_Receipts_AR!C477</f>
        <v>C2027</v>
      </c>
      <c r="C480" s="16" t="str">
        <f aca="false">Cash_Receipts_AR!B477</f>
        <v>ARI60572</v>
      </c>
      <c r="D480" s="17" t="n">
        <f aca="false">Cash_Receipts_AR!D477</f>
        <v>45813</v>
      </c>
      <c r="E480" s="18" t="n">
        <f aca="false">Cash_Receipts_AR!E477</f>
        <v>1479.95</v>
      </c>
      <c r="F480" s="17" t="n">
        <f aca="false">IFERROR(INDEX(Customer_Invoices_AR!$C$2:$C$601,MATCH(C480,Customer_Invoices_AR!$A$2:$A$601,0)),"")</f>
        <v>45768</v>
      </c>
      <c r="G480" s="16" t="n">
        <f aca="false">IF(F480="","",D480-F480)</f>
        <v>45</v>
      </c>
      <c r="H480" s="21" t="n">
        <f aca="false">IF(F480="","",DATE(YEAR(D480),MONTH(D480),1))</f>
        <v>45809</v>
      </c>
    </row>
    <row r="481" customFormat="false" ht="15" hidden="false" customHeight="false" outlineLevel="0" collapsed="false">
      <c r="A481" s="16" t="str">
        <f aca="false">Cash_Receipts_AR!A478</f>
        <v>ARR70477</v>
      </c>
      <c r="B481" s="16" t="str">
        <f aca="false">Cash_Receipts_AR!C478</f>
        <v>C2030</v>
      </c>
      <c r="C481" s="16" t="str">
        <f aca="false">Cash_Receipts_AR!B478</f>
        <v>ARI60573</v>
      </c>
      <c r="D481" s="17" t="n">
        <f aca="false">Cash_Receipts_AR!D478</f>
        <v>45952</v>
      </c>
      <c r="E481" s="18" t="n">
        <f aca="false">Cash_Receipts_AR!E478</f>
        <v>3207.98</v>
      </c>
      <c r="F481" s="17" t="n">
        <f aca="false">IFERROR(INDEX(Customer_Invoices_AR!$C$2:$C$601,MATCH(C481,Customer_Invoices_AR!$A$2:$A$601,0)),"")</f>
        <v>45951</v>
      </c>
      <c r="G481" s="16" t="n">
        <f aca="false">IF(F481="","",D481-F481)</f>
        <v>1</v>
      </c>
      <c r="H481" s="21" t="n">
        <f aca="false">IF(F481="","",DATE(YEAR(D481),MONTH(D481),1))</f>
        <v>45931</v>
      </c>
    </row>
    <row r="482" customFormat="false" ht="15" hidden="false" customHeight="false" outlineLevel="0" collapsed="false">
      <c r="A482" s="16" t="str">
        <f aca="false">Cash_Receipts_AR!A479</f>
        <v>ARR70478</v>
      </c>
      <c r="B482" s="16" t="str">
        <f aca="false">Cash_Receipts_AR!C479</f>
        <v>C2007</v>
      </c>
      <c r="C482" s="16" t="str">
        <f aca="false">Cash_Receipts_AR!B479</f>
        <v>ARI60574</v>
      </c>
      <c r="D482" s="17" t="n">
        <f aca="false">Cash_Receipts_AR!D479</f>
        <v>46185</v>
      </c>
      <c r="E482" s="18" t="n">
        <f aca="false">Cash_Receipts_AR!E479</f>
        <v>874.24</v>
      </c>
      <c r="F482" s="17" t="n">
        <f aca="false">IFERROR(INDEX(Customer_Invoices_AR!$C$2:$C$601,MATCH(C482,Customer_Invoices_AR!$A$2:$A$601,0)),"")</f>
        <v>46166</v>
      </c>
      <c r="G482" s="16" t="n">
        <f aca="false">IF(F482="","",D482-F482)</f>
        <v>19</v>
      </c>
      <c r="H482" s="21" t="n">
        <f aca="false">IF(F482="","",DATE(YEAR(D482),MONTH(D482),1))</f>
        <v>46174</v>
      </c>
    </row>
    <row r="483" customFormat="false" ht="15" hidden="false" customHeight="false" outlineLevel="0" collapsed="false">
      <c r="A483" s="16" t="str">
        <f aca="false">Cash_Receipts_AR!A480</f>
        <v>ARR70479</v>
      </c>
      <c r="B483" s="16" t="str">
        <f aca="false">Cash_Receipts_AR!C480</f>
        <v>C2021</v>
      </c>
      <c r="C483" s="16" t="str">
        <f aca="false">Cash_Receipts_AR!B480</f>
        <v>ARI60575</v>
      </c>
      <c r="D483" s="17" t="n">
        <f aca="false">Cash_Receipts_AR!D480</f>
        <v>46077</v>
      </c>
      <c r="E483" s="18" t="n">
        <f aca="false">Cash_Receipts_AR!E480</f>
        <v>433.9</v>
      </c>
      <c r="F483" s="17" t="n">
        <f aca="false">IFERROR(INDEX(Customer_Invoices_AR!$C$2:$C$601,MATCH(C483,Customer_Invoices_AR!$A$2:$A$601,0)),"")</f>
        <v>46037</v>
      </c>
      <c r="G483" s="16" t="n">
        <f aca="false">IF(F483="","",D483-F483)</f>
        <v>40</v>
      </c>
      <c r="H483" s="21" t="n">
        <f aca="false">IF(F483="","",DATE(YEAR(D483),MONTH(D483),1))</f>
        <v>46054</v>
      </c>
    </row>
    <row r="484" customFormat="false" ht="15" hidden="false" customHeight="false" outlineLevel="0" collapsed="false">
      <c r="A484" s="16" t="str">
        <f aca="false">Cash_Receipts_AR!A481</f>
        <v>ARR70480</v>
      </c>
      <c r="B484" s="16" t="str">
        <f aca="false">Cash_Receipts_AR!C481</f>
        <v>C2019</v>
      </c>
      <c r="C484" s="16" t="str">
        <f aca="false">Cash_Receipts_AR!B481</f>
        <v>ARI60576</v>
      </c>
      <c r="D484" s="17" t="n">
        <f aca="false">Cash_Receipts_AR!D481</f>
        <v>45756</v>
      </c>
      <c r="E484" s="18" t="n">
        <f aca="false">Cash_Receipts_AR!E481</f>
        <v>7401.16</v>
      </c>
      <c r="F484" s="17" t="n">
        <f aca="false">IFERROR(INDEX(Customer_Invoices_AR!$C$2:$C$601,MATCH(C484,Customer_Invoices_AR!$A$2:$A$601,0)),"")</f>
        <v>45732</v>
      </c>
      <c r="G484" s="16" t="n">
        <f aca="false">IF(F484="","",D484-F484)</f>
        <v>24</v>
      </c>
      <c r="H484" s="21" t="n">
        <f aca="false">IF(F484="","",DATE(YEAR(D484),MONTH(D484),1))</f>
        <v>45748</v>
      </c>
    </row>
    <row r="485" customFormat="false" ht="15" hidden="false" customHeight="false" outlineLevel="0" collapsed="false">
      <c r="A485" s="16" t="str">
        <f aca="false">Cash_Receipts_AR!A482</f>
        <v>ARR70481</v>
      </c>
      <c r="B485" s="16" t="str">
        <f aca="false">Cash_Receipts_AR!C482</f>
        <v>C2019</v>
      </c>
      <c r="C485" s="16" t="str">
        <f aca="false">Cash_Receipts_AR!B482</f>
        <v>ARI60577</v>
      </c>
      <c r="D485" s="17" t="n">
        <f aca="false">Cash_Receipts_AR!D482</f>
        <v>46028</v>
      </c>
      <c r="E485" s="18" t="n">
        <f aca="false">Cash_Receipts_AR!E482</f>
        <v>4832.02</v>
      </c>
      <c r="F485" s="17" t="n">
        <f aca="false">IFERROR(INDEX(Customer_Invoices_AR!$C$2:$C$601,MATCH(C485,Customer_Invoices_AR!$A$2:$A$601,0)),"")</f>
        <v>45993</v>
      </c>
      <c r="G485" s="16" t="n">
        <f aca="false">IF(F485="","",D485-F485)</f>
        <v>35</v>
      </c>
      <c r="H485" s="21" t="n">
        <f aca="false">IF(F485="","",DATE(YEAR(D485),MONTH(D485),1))</f>
        <v>46023</v>
      </c>
    </row>
    <row r="486" customFormat="false" ht="15" hidden="false" customHeight="false" outlineLevel="0" collapsed="false">
      <c r="A486" s="16" t="str">
        <f aca="false">Cash_Receipts_AR!A483</f>
        <v>ARR70482</v>
      </c>
      <c r="B486" s="16" t="str">
        <f aca="false">Cash_Receipts_AR!C483</f>
        <v>C2021</v>
      </c>
      <c r="C486" s="16" t="str">
        <f aca="false">Cash_Receipts_AR!B483</f>
        <v>ARI60578</v>
      </c>
      <c r="D486" s="17" t="n">
        <f aca="false">Cash_Receipts_AR!D483</f>
        <v>46006</v>
      </c>
      <c r="E486" s="18" t="n">
        <f aca="false">Cash_Receipts_AR!E483</f>
        <v>2365.49</v>
      </c>
      <c r="F486" s="17" t="n">
        <f aca="false">IFERROR(INDEX(Customer_Invoices_AR!$C$2:$C$601,MATCH(C486,Customer_Invoices_AR!$A$2:$A$601,0)),"")</f>
        <v>45977</v>
      </c>
      <c r="G486" s="16" t="n">
        <f aca="false">IF(F486="","",D486-F486)</f>
        <v>29</v>
      </c>
      <c r="H486" s="21" t="n">
        <f aca="false">IF(F486="","",DATE(YEAR(D486),MONTH(D486),1))</f>
        <v>45992</v>
      </c>
    </row>
    <row r="487" customFormat="false" ht="15" hidden="false" customHeight="false" outlineLevel="0" collapsed="false">
      <c r="A487" s="16" t="str">
        <f aca="false">Cash_Receipts_AR!A484</f>
        <v>ARR70483</v>
      </c>
      <c r="B487" s="16" t="str">
        <f aca="false">Cash_Receipts_AR!C484</f>
        <v>C2007</v>
      </c>
      <c r="C487" s="16" t="str">
        <f aca="false">Cash_Receipts_AR!B484</f>
        <v>ARI60579</v>
      </c>
      <c r="D487" s="17" t="n">
        <f aca="false">Cash_Receipts_AR!D484</f>
        <v>45820</v>
      </c>
      <c r="E487" s="18" t="n">
        <f aca="false">Cash_Receipts_AR!E484</f>
        <v>1800.86</v>
      </c>
      <c r="F487" s="17" t="n">
        <f aca="false">IFERROR(INDEX(Customer_Invoices_AR!$C$2:$C$601,MATCH(C487,Customer_Invoices_AR!$A$2:$A$601,0)),"")</f>
        <v>45790</v>
      </c>
      <c r="G487" s="16" t="n">
        <f aca="false">IF(F487="","",D487-F487)</f>
        <v>30</v>
      </c>
      <c r="H487" s="21" t="n">
        <f aca="false">IF(F487="","",DATE(YEAR(D487),MONTH(D487),1))</f>
        <v>45809</v>
      </c>
    </row>
    <row r="488" customFormat="false" ht="15" hidden="false" customHeight="false" outlineLevel="0" collapsed="false">
      <c r="A488" s="16" t="str">
        <f aca="false">Cash_Receipts_AR!A485</f>
        <v>ARR70484</v>
      </c>
      <c r="B488" s="16" t="str">
        <f aca="false">Cash_Receipts_AR!C485</f>
        <v>C2015</v>
      </c>
      <c r="C488" s="16" t="str">
        <f aca="false">Cash_Receipts_AR!B485</f>
        <v>ARI60580</v>
      </c>
      <c r="D488" s="17" t="n">
        <f aca="false">Cash_Receipts_AR!D485</f>
        <v>46039</v>
      </c>
      <c r="E488" s="18" t="n">
        <f aca="false">Cash_Receipts_AR!E485</f>
        <v>20829.97</v>
      </c>
      <c r="F488" s="17" t="n">
        <f aca="false">IFERROR(INDEX(Customer_Invoices_AR!$C$2:$C$601,MATCH(C488,Customer_Invoices_AR!$A$2:$A$601,0)),"")</f>
        <v>46023</v>
      </c>
      <c r="G488" s="16" t="n">
        <f aca="false">IF(F488="","",D488-F488)</f>
        <v>16</v>
      </c>
      <c r="H488" s="21" t="n">
        <f aca="false">IF(F488="","",DATE(YEAR(D488),MONTH(D488),1))</f>
        <v>46023</v>
      </c>
    </row>
    <row r="489" customFormat="false" ht="15" hidden="false" customHeight="false" outlineLevel="0" collapsed="false">
      <c r="A489" s="16" t="str">
        <f aca="false">Cash_Receipts_AR!A486</f>
        <v>ARR70485</v>
      </c>
      <c r="B489" s="16" t="str">
        <f aca="false">Cash_Receipts_AR!C486</f>
        <v>C2014</v>
      </c>
      <c r="C489" s="16" t="str">
        <f aca="false">Cash_Receipts_AR!B486</f>
        <v>ARI60581</v>
      </c>
      <c r="D489" s="17" t="n">
        <f aca="false">Cash_Receipts_AR!D486</f>
        <v>45970</v>
      </c>
      <c r="E489" s="18" t="n">
        <f aca="false">Cash_Receipts_AR!E486</f>
        <v>308.07</v>
      </c>
      <c r="F489" s="17" t="n">
        <f aca="false">IFERROR(INDEX(Customer_Invoices_AR!$C$2:$C$601,MATCH(C489,Customer_Invoices_AR!$A$2:$A$601,0)),"")</f>
        <v>45947</v>
      </c>
      <c r="G489" s="16" t="n">
        <f aca="false">IF(F489="","",D489-F489)</f>
        <v>23</v>
      </c>
      <c r="H489" s="21" t="n">
        <f aca="false">IF(F489="","",DATE(YEAR(D489),MONTH(D489),1))</f>
        <v>45962</v>
      </c>
    </row>
    <row r="490" customFormat="false" ht="15" hidden="false" customHeight="false" outlineLevel="0" collapsed="false">
      <c r="A490" s="16" t="str">
        <f aca="false">Cash_Receipts_AR!A487</f>
        <v>ARR70486</v>
      </c>
      <c r="B490" s="16" t="str">
        <f aca="false">Cash_Receipts_AR!C487</f>
        <v>C2016</v>
      </c>
      <c r="C490" s="16" t="str">
        <f aca="false">Cash_Receipts_AR!B487</f>
        <v>ARI60582</v>
      </c>
      <c r="D490" s="17" t="n">
        <f aca="false">Cash_Receipts_AR!D487</f>
        <v>46031</v>
      </c>
      <c r="E490" s="18" t="n">
        <f aca="false">Cash_Receipts_AR!E487</f>
        <v>2509.92</v>
      </c>
      <c r="F490" s="17" t="n">
        <f aca="false">IFERROR(INDEX(Customer_Invoices_AR!$C$2:$C$601,MATCH(C490,Customer_Invoices_AR!$A$2:$A$601,0)),"")</f>
        <v>46005</v>
      </c>
      <c r="G490" s="16" t="n">
        <f aca="false">IF(F490="","",D490-F490)</f>
        <v>26</v>
      </c>
      <c r="H490" s="21" t="n">
        <f aca="false">IF(F490="","",DATE(YEAR(D490),MONTH(D490),1))</f>
        <v>46023</v>
      </c>
    </row>
    <row r="491" customFormat="false" ht="15" hidden="false" customHeight="false" outlineLevel="0" collapsed="false">
      <c r="A491" s="16" t="str">
        <f aca="false">Cash_Receipts_AR!A488</f>
        <v>ARR70487</v>
      </c>
      <c r="B491" s="16" t="str">
        <f aca="false">Cash_Receipts_AR!C488</f>
        <v>C2017</v>
      </c>
      <c r="C491" s="16" t="str">
        <f aca="false">Cash_Receipts_AR!B488</f>
        <v>ARI60583</v>
      </c>
      <c r="D491" s="17" t="n">
        <f aca="false">Cash_Receipts_AR!D488</f>
        <v>45725</v>
      </c>
      <c r="E491" s="18" t="n">
        <f aca="false">Cash_Receipts_AR!E488</f>
        <v>13746.34</v>
      </c>
      <c r="F491" s="17" t="n">
        <f aca="false">IFERROR(INDEX(Customer_Invoices_AR!$C$2:$C$601,MATCH(C491,Customer_Invoices_AR!$A$2:$A$601,0)),"")</f>
        <v>45686</v>
      </c>
      <c r="G491" s="16" t="n">
        <f aca="false">IF(F491="","",D491-F491)</f>
        <v>39</v>
      </c>
      <c r="H491" s="21" t="n">
        <f aca="false">IF(F491="","",DATE(YEAR(D491),MONTH(D491),1))</f>
        <v>45717</v>
      </c>
    </row>
    <row r="492" customFormat="false" ht="15" hidden="false" customHeight="false" outlineLevel="0" collapsed="false">
      <c r="A492" s="16" t="str">
        <f aca="false">Cash_Receipts_AR!A489</f>
        <v>ARR70488</v>
      </c>
      <c r="B492" s="16" t="str">
        <f aca="false">Cash_Receipts_AR!C489</f>
        <v>C2014</v>
      </c>
      <c r="C492" s="16" t="str">
        <f aca="false">Cash_Receipts_AR!B489</f>
        <v>ARI60584</v>
      </c>
      <c r="D492" s="17" t="n">
        <f aca="false">Cash_Receipts_AR!D489</f>
        <v>45902</v>
      </c>
      <c r="E492" s="18" t="n">
        <f aca="false">Cash_Receipts_AR!E489</f>
        <v>2328.05</v>
      </c>
      <c r="F492" s="17" t="n">
        <f aca="false">IFERROR(INDEX(Customer_Invoices_AR!$C$2:$C$601,MATCH(C492,Customer_Invoices_AR!$A$2:$A$601,0)),"")</f>
        <v>45883</v>
      </c>
      <c r="G492" s="16" t="n">
        <f aca="false">IF(F492="","",D492-F492)</f>
        <v>19</v>
      </c>
      <c r="H492" s="21" t="n">
        <f aca="false">IF(F492="","",DATE(YEAR(D492),MONTH(D492),1))</f>
        <v>45901</v>
      </c>
    </row>
    <row r="493" customFormat="false" ht="15" hidden="false" customHeight="false" outlineLevel="0" collapsed="false">
      <c r="A493" s="16" t="str">
        <f aca="false">Cash_Receipts_AR!A490</f>
        <v>ARR70489</v>
      </c>
      <c r="B493" s="16" t="str">
        <f aca="false">Cash_Receipts_AR!C490</f>
        <v>C2016</v>
      </c>
      <c r="C493" s="16" t="str">
        <f aca="false">Cash_Receipts_AR!B490</f>
        <v>ARI60585</v>
      </c>
      <c r="D493" s="17" t="n">
        <f aca="false">Cash_Receipts_AR!D490</f>
        <v>46049</v>
      </c>
      <c r="E493" s="18" t="n">
        <f aca="false">Cash_Receipts_AR!E490</f>
        <v>700.59</v>
      </c>
      <c r="F493" s="17" t="n">
        <f aca="false">IFERROR(INDEX(Customer_Invoices_AR!$C$2:$C$601,MATCH(C493,Customer_Invoices_AR!$A$2:$A$601,0)),"")</f>
        <v>46048</v>
      </c>
      <c r="G493" s="16" t="n">
        <f aca="false">IF(F493="","",D493-F493)</f>
        <v>1</v>
      </c>
      <c r="H493" s="21" t="n">
        <f aca="false">IF(F493="","",DATE(YEAR(D493),MONTH(D493),1))</f>
        <v>46023</v>
      </c>
    </row>
    <row r="494" customFormat="false" ht="15" hidden="false" customHeight="false" outlineLevel="0" collapsed="false">
      <c r="A494" s="16" t="str">
        <f aca="false">Cash_Receipts_AR!A491</f>
        <v>ARR70490</v>
      </c>
      <c r="B494" s="16" t="str">
        <f aca="false">Cash_Receipts_AR!C491</f>
        <v>C2026</v>
      </c>
      <c r="C494" s="16" t="str">
        <f aca="false">Cash_Receipts_AR!B491</f>
        <v>ARI60586</v>
      </c>
      <c r="D494" s="17" t="n">
        <f aca="false">Cash_Receipts_AR!D491</f>
        <v>45743</v>
      </c>
      <c r="E494" s="18" t="n">
        <f aca="false">Cash_Receipts_AR!E491</f>
        <v>1796.89</v>
      </c>
      <c r="F494" s="17" t="n">
        <f aca="false">IFERROR(INDEX(Customer_Invoices_AR!$C$2:$C$601,MATCH(C494,Customer_Invoices_AR!$A$2:$A$601,0)),"")</f>
        <v>45712</v>
      </c>
      <c r="G494" s="16" t="n">
        <f aca="false">IF(F494="","",D494-F494)</f>
        <v>31</v>
      </c>
      <c r="H494" s="21" t="n">
        <f aca="false">IF(F494="","",DATE(YEAR(D494),MONTH(D494),1))</f>
        <v>45717</v>
      </c>
    </row>
    <row r="495" customFormat="false" ht="15" hidden="false" customHeight="false" outlineLevel="0" collapsed="false">
      <c r="A495" s="16" t="str">
        <f aca="false">Cash_Receipts_AR!A492</f>
        <v>ARR70491</v>
      </c>
      <c r="B495" s="16" t="str">
        <f aca="false">Cash_Receipts_AR!C492</f>
        <v>C2004</v>
      </c>
      <c r="C495" s="16" t="str">
        <f aca="false">Cash_Receipts_AR!B492</f>
        <v>ARI60588</v>
      </c>
      <c r="D495" s="17" t="n">
        <f aca="false">Cash_Receipts_AR!D492</f>
        <v>45690</v>
      </c>
      <c r="E495" s="18" t="n">
        <f aca="false">Cash_Receipts_AR!E492</f>
        <v>4661.09</v>
      </c>
      <c r="F495" s="17" t="n">
        <f aca="false">IFERROR(INDEX(Customer_Invoices_AR!$C$2:$C$601,MATCH(C495,Customer_Invoices_AR!$A$2:$A$601,0)),"")</f>
        <v>45660</v>
      </c>
      <c r="G495" s="16" t="n">
        <f aca="false">IF(F495="","",D495-F495)</f>
        <v>30</v>
      </c>
      <c r="H495" s="21" t="n">
        <f aca="false">IF(F495="","",DATE(YEAR(D495),MONTH(D495),1))</f>
        <v>45689</v>
      </c>
    </row>
    <row r="496" customFormat="false" ht="15" hidden="false" customHeight="false" outlineLevel="0" collapsed="false">
      <c r="A496" s="16" t="str">
        <f aca="false">Cash_Receipts_AR!A493</f>
        <v>ARR70492</v>
      </c>
      <c r="B496" s="16" t="str">
        <f aca="false">Cash_Receipts_AR!C493</f>
        <v>C2011</v>
      </c>
      <c r="C496" s="16" t="str">
        <f aca="false">Cash_Receipts_AR!B493</f>
        <v>ARI60590</v>
      </c>
      <c r="D496" s="17" t="n">
        <f aca="false">Cash_Receipts_AR!D493</f>
        <v>46192</v>
      </c>
      <c r="E496" s="18" t="n">
        <f aca="false">Cash_Receipts_AR!E493</f>
        <v>11680.95</v>
      </c>
      <c r="F496" s="17" t="n">
        <f aca="false">IFERROR(INDEX(Customer_Invoices_AR!$C$2:$C$601,MATCH(C496,Customer_Invoices_AR!$A$2:$A$601,0)),"")</f>
        <v>46164</v>
      </c>
      <c r="G496" s="16" t="n">
        <f aca="false">IF(F496="","",D496-F496)</f>
        <v>28</v>
      </c>
      <c r="H496" s="21" t="n">
        <f aca="false">IF(F496="","",DATE(YEAR(D496),MONTH(D496),1))</f>
        <v>46174</v>
      </c>
    </row>
    <row r="497" customFormat="false" ht="15" hidden="false" customHeight="false" outlineLevel="0" collapsed="false">
      <c r="A497" s="16" t="str">
        <f aca="false">Cash_Receipts_AR!A494</f>
        <v>ARR70493</v>
      </c>
      <c r="B497" s="16" t="str">
        <f aca="false">Cash_Receipts_AR!C494</f>
        <v>C2029</v>
      </c>
      <c r="C497" s="16" t="str">
        <f aca="false">Cash_Receipts_AR!B494</f>
        <v>ARI60591</v>
      </c>
      <c r="D497" s="17" t="n">
        <f aca="false">Cash_Receipts_AR!D494</f>
        <v>45892</v>
      </c>
      <c r="E497" s="18" t="n">
        <f aca="false">Cash_Receipts_AR!E494</f>
        <v>2499.07</v>
      </c>
      <c r="F497" s="17" t="n">
        <f aca="false">IFERROR(INDEX(Customer_Invoices_AR!$C$2:$C$601,MATCH(C497,Customer_Invoices_AR!$A$2:$A$601,0)),"")</f>
        <v>45879</v>
      </c>
      <c r="G497" s="16" t="n">
        <f aca="false">IF(F497="","",D497-F497)</f>
        <v>13</v>
      </c>
      <c r="H497" s="21" t="n">
        <f aca="false">IF(F497="","",DATE(YEAR(D497),MONTH(D497),1))</f>
        <v>45870</v>
      </c>
    </row>
    <row r="498" customFormat="false" ht="15" hidden="false" customHeight="false" outlineLevel="0" collapsed="false">
      <c r="A498" s="16" t="str">
        <f aca="false">Cash_Receipts_AR!A495</f>
        <v>ARR70494</v>
      </c>
      <c r="B498" s="16" t="str">
        <f aca="false">Cash_Receipts_AR!C495</f>
        <v>C2009</v>
      </c>
      <c r="C498" s="16" t="str">
        <f aca="false">Cash_Receipts_AR!B495</f>
        <v>ARI60592</v>
      </c>
      <c r="D498" s="17" t="n">
        <f aca="false">Cash_Receipts_AR!D495</f>
        <v>46200</v>
      </c>
      <c r="E498" s="18" t="n">
        <f aca="false">Cash_Receipts_AR!E495</f>
        <v>1727.04</v>
      </c>
      <c r="F498" s="17" t="n">
        <f aca="false">IFERROR(INDEX(Customer_Invoices_AR!$C$2:$C$601,MATCH(C498,Customer_Invoices_AR!$A$2:$A$601,0)),"")</f>
        <v>46167</v>
      </c>
      <c r="G498" s="16" t="n">
        <f aca="false">IF(F498="","",D498-F498)</f>
        <v>33</v>
      </c>
      <c r="H498" s="21" t="n">
        <f aca="false">IF(F498="","",DATE(YEAR(D498),MONTH(D498),1))</f>
        <v>46174</v>
      </c>
    </row>
    <row r="499" customFormat="false" ht="15" hidden="false" customHeight="false" outlineLevel="0" collapsed="false">
      <c r="A499" s="16" t="str">
        <f aca="false">Cash_Receipts_AR!A496</f>
        <v>ARR70495</v>
      </c>
      <c r="B499" s="16" t="str">
        <f aca="false">Cash_Receipts_AR!C496</f>
        <v>C2007</v>
      </c>
      <c r="C499" s="16" t="str">
        <f aca="false">Cash_Receipts_AR!B496</f>
        <v>ARI60593</v>
      </c>
      <c r="D499" s="17" t="n">
        <f aca="false">Cash_Receipts_AR!D496</f>
        <v>46170</v>
      </c>
      <c r="E499" s="18" t="n">
        <f aca="false">Cash_Receipts_AR!E496</f>
        <v>4942.64</v>
      </c>
      <c r="F499" s="17" t="n">
        <f aca="false">IFERROR(INDEX(Customer_Invoices_AR!$C$2:$C$601,MATCH(C499,Customer_Invoices_AR!$A$2:$A$601,0)),"")</f>
        <v>46136</v>
      </c>
      <c r="G499" s="16" t="n">
        <f aca="false">IF(F499="","",D499-F499)</f>
        <v>34</v>
      </c>
      <c r="H499" s="21" t="n">
        <f aca="false">IF(F499="","",DATE(YEAR(D499),MONTH(D499),1))</f>
        <v>46143</v>
      </c>
    </row>
    <row r="500" customFormat="false" ht="15" hidden="false" customHeight="false" outlineLevel="0" collapsed="false">
      <c r="A500" s="16" t="str">
        <f aca="false">Cash_Receipts_AR!A497</f>
        <v>ARR70496</v>
      </c>
      <c r="B500" s="16" t="str">
        <f aca="false">Cash_Receipts_AR!C497</f>
        <v>C2001</v>
      </c>
      <c r="C500" s="16" t="str">
        <f aca="false">Cash_Receipts_AR!B497</f>
        <v>ARI60594</v>
      </c>
      <c r="D500" s="17" t="n">
        <f aca="false">Cash_Receipts_AR!D497</f>
        <v>45952</v>
      </c>
      <c r="E500" s="18" t="n">
        <f aca="false">Cash_Receipts_AR!E497</f>
        <v>2782.84</v>
      </c>
      <c r="F500" s="17" t="n">
        <f aca="false">IFERROR(INDEX(Customer_Invoices_AR!$C$2:$C$601,MATCH(C500,Customer_Invoices_AR!$A$2:$A$601,0)),"")</f>
        <v>45918</v>
      </c>
      <c r="G500" s="16" t="n">
        <f aca="false">IF(F500="","",D500-F500)</f>
        <v>34</v>
      </c>
      <c r="H500" s="21" t="n">
        <f aca="false">IF(F500="","",DATE(YEAR(D500),MONTH(D500),1))</f>
        <v>45931</v>
      </c>
    </row>
    <row r="501" customFormat="false" ht="15" hidden="false" customHeight="false" outlineLevel="0" collapsed="false">
      <c r="A501" s="16" t="str">
        <f aca="false">Cash_Receipts_AR!A498</f>
        <v>ARR70497</v>
      </c>
      <c r="B501" s="16" t="str">
        <f aca="false">Cash_Receipts_AR!C498</f>
        <v>C2017</v>
      </c>
      <c r="C501" s="16" t="str">
        <f aca="false">Cash_Receipts_AR!B498</f>
        <v>ARI60595</v>
      </c>
      <c r="D501" s="17" t="n">
        <f aca="false">Cash_Receipts_AR!D498</f>
        <v>45788</v>
      </c>
      <c r="E501" s="18" t="n">
        <f aca="false">Cash_Receipts_AR!E498</f>
        <v>11817.42</v>
      </c>
      <c r="F501" s="17" t="n">
        <f aca="false">IFERROR(INDEX(Customer_Invoices_AR!$C$2:$C$601,MATCH(C501,Customer_Invoices_AR!$A$2:$A$601,0)),"")</f>
        <v>45766</v>
      </c>
      <c r="G501" s="16" t="n">
        <f aca="false">IF(F501="","",D501-F501)</f>
        <v>22</v>
      </c>
      <c r="H501" s="21" t="n">
        <f aca="false">IF(F501="","",DATE(YEAR(D501),MONTH(D501),1))</f>
        <v>45778</v>
      </c>
    </row>
    <row r="502" customFormat="false" ht="15" hidden="false" customHeight="false" outlineLevel="0" collapsed="false">
      <c r="A502" s="16" t="str">
        <f aca="false">Cash_Receipts_AR!A499</f>
        <v>ARR70498</v>
      </c>
      <c r="B502" s="16" t="str">
        <f aca="false">Cash_Receipts_AR!C499</f>
        <v>C2030</v>
      </c>
      <c r="C502" s="16" t="str">
        <f aca="false">Cash_Receipts_AR!B499</f>
        <v>ARI60596</v>
      </c>
      <c r="D502" s="17" t="n">
        <f aca="false">Cash_Receipts_AR!D499</f>
        <v>46184</v>
      </c>
      <c r="E502" s="18" t="n">
        <f aca="false">Cash_Receipts_AR!E499</f>
        <v>703.13</v>
      </c>
      <c r="F502" s="17" t="n">
        <f aca="false">IFERROR(INDEX(Customer_Invoices_AR!$C$2:$C$601,MATCH(C502,Customer_Invoices_AR!$A$2:$A$601,0)),"")</f>
        <v>46183</v>
      </c>
      <c r="G502" s="16" t="n">
        <f aca="false">IF(F502="","",D502-F502)</f>
        <v>1</v>
      </c>
      <c r="H502" s="21" t="n">
        <f aca="false">IF(F502="","",DATE(YEAR(D502),MONTH(D502),1))</f>
        <v>46174</v>
      </c>
    </row>
    <row r="503" customFormat="false" ht="15" hidden="false" customHeight="false" outlineLevel="0" collapsed="false">
      <c r="A503" s="16" t="str">
        <f aca="false">Cash_Receipts_AR!A500</f>
        <v>ARR70499</v>
      </c>
      <c r="B503" s="16" t="str">
        <f aca="false">Cash_Receipts_AR!C500</f>
        <v>C2002</v>
      </c>
      <c r="C503" s="16" t="str">
        <f aca="false">Cash_Receipts_AR!B500</f>
        <v>ARI60597</v>
      </c>
      <c r="D503" s="17" t="n">
        <f aca="false">Cash_Receipts_AR!D500</f>
        <v>45856</v>
      </c>
      <c r="E503" s="18" t="n">
        <f aca="false">Cash_Receipts_AR!E500</f>
        <v>1046.68</v>
      </c>
      <c r="F503" s="17" t="n">
        <f aca="false">IFERROR(INDEX(Customer_Invoices_AR!$C$2:$C$601,MATCH(C503,Customer_Invoices_AR!$A$2:$A$601,0)),"")</f>
        <v>45833</v>
      </c>
      <c r="G503" s="16" t="n">
        <f aca="false">IF(F503="","",D503-F503)</f>
        <v>23</v>
      </c>
      <c r="H503" s="21" t="n">
        <f aca="false">IF(F503="","",DATE(YEAR(D503),MONTH(D503),1))</f>
        <v>45839</v>
      </c>
    </row>
    <row r="504" customFormat="false" ht="15" hidden="false" customHeight="false" outlineLevel="0" collapsed="false">
      <c r="A504" s="16" t="str">
        <f aca="false">Cash_Receipts_AR!A501</f>
        <v>ARR70500</v>
      </c>
      <c r="B504" s="16" t="str">
        <f aca="false">Cash_Receipts_AR!C501</f>
        <v>C2024</v>
      </c>
      <c r="C504" s="16" t="str">
        <f aca="false">Cash_Receipts_AR!B501</f>
        <v>ARI60598</v>
      </c>
      <c r="D504" s="17" t="n">
        <f aca="false">Cash_Receipts_AR!D501</f>
        <v>46020</v>
      </c>
      <c r="E504" s="18" t="n">
        <f aca="false">Cash_Receipts_AR!E501</f>
        <v>1573.73</v>
      </c>
      <c r="F504" s="17" t="n">
        <f aca="false">IFERROR(INDEX(Customer_Invoices_AR!$C$2:$C$601,MATCH(C504,Customer_Invoices_AR!$A$2:$A$601,0)),"")</f>
        <v>46010</v>
      </c>
      <c r="G504" s="16" t="n">
        <f aca="false">IF(F504="","",D504-F504)</f>
        <v>10</v>
      </c>
      <c r="H504" s="21" t="n">
        <f aca="false">IF(F504="","",DATE(YEAR(D504),MONTH(D504),1))</f>
        <v>45992</v>
      </c>
    </row>
    <row r="505" customFormat="false" ht="15" hidden="false" customHeight="false" outlineLevel="0" collapsed="false">
      <c r="A505" s="16" t="str">
        <f aca="false">Cash_Receipts_AR!A502</f>
        <v>ARR70501</v>
      </c>
      <c r="B505" s="16" t="str">
        <f aca="false">Cash_Receipts_AR!C502</f>
        <v>C2003</v>
      </c>
      <c r="C505" s="16" t="str">
        <f aca="false">Cash_Receipts_AR!B502</f>
        <v>ARI60599</v>
      </c>
      <c r="D505" s="17" t="n">
        <f aca="false">Cash_Receipts_AR!D502</f>
        <v>46181</v>
      </c>
      <c r="E505" s="18" t="n">
        <f aca="false">Cash_Receipts_AR!E502</f>
        <v>1461.81</v>
      </c>
      <c r="F505" s="17" t="n">
        <f aca="false">IFERROR(INDEX(Customer_Invoices_AR!$C$2:$C$601,MATCH(C505,Customer_Invoices_AR!$A$2:$A$601,0)),"")</f>
        <v>46152</v>
      </c>
      <c r="G505" s="16" t="n">
        <f aca="false">IF(F505="","",D505-F505)</f>
        <v>29</v>
      </c>
      <c r="H505" s="21" t="n">
        <f aca="false">IF(F505="","",DATE(YEAR(D505),MONTH(D505),1))</f>
        <v>46174</v>
      </c>
    </row>
    <row r="506" customFormat="false" ht="15" hidden="false" customHeight="false" outlineLevel="0" collapsed="false">
      <c r="A506" s="16" t="str">
        <f aca="false">Cash_Receipts_AR!A503</f>
        <v>ARR70502</v>
      </c>
      <c r="B506" s="16" t="str">
        <f aca="false">Cash_Receipts_AR!C503</f>
        <v>C2021</v>
      </c>
      <c r="C506" s="16" t="str">
        <f aca="false">Cash_Receipts_AR!B503</f>
        <v>ARI60600</v>
      </c>
      <c r="D506" s="17" t="n">
        <f aca="false">Cash_Receipts_AR!D503</f>
        <v>45739</v>
      </c>
      <c r="E506" s="18" t="n">
        <f aca="false">Cash_Receipts_AR!E503</f>
        <v>3855.14</v>
      </c>
      <c r="F506" s="17" t="n">
        <f aca="false">IFERROR(INDEX(Customer_Invoices_AR!$C$2:$C$601,MATCH(C506,Customer_Invoices_AR!$A$2:$A$601,0)),"")</f>
        <v>45706</v>
      </c>
      <c r="G506" s="16" t="n">
        <f aca="false">IF(F506="","",D506-F506)</f>
        <v>33</v>
      </c>
      <c r="H506" s="21" t="n">
        <f aca="false">IF(F506="","",DATE(YEAR(D506),MONTH(D506),1))</f>
        <v>45717</v>
      </c>
    </row>
  </sheetData>
  <autoFilter ref="A4:H5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5593</v>
      </c>
    </row>
    <row r="2" customFormat="false" ht="15" hidden="false" customHeight="false" outlineLevel="0" collapsed="false">
      <c r="A2" s="2" t="s">
        <v>5594</v>
      </c>
    </row>
    <row r="4" customFormat="false" ht="15" hidden="false" customHeight="false" outlineLevel="0" collapsed="false">
      <c r="A4" s="3" t="s">
        <v>5595</v>
      </c>
      <c r="B4" s="4"/>
    </row>
    <row r="5" customFormat="false" ht="15" hidden="false" customHeight="false" outlineLevel="0" collapsed="false">
      <c r="A5" s="8" t="s">
        <v>5596</v>
      </c>
      <c r="B5" s="22" t="n">
        <f aca="false">SUM(AR_Aging!$B$609:$B$612)</f>
        <v>430247.17</v>
      </c>
    </row>
    <row r="6" customFormat="false" ht="15" hidden="false" customHeight="false" outlineLevel="0" collapsed="false">
      <c r="A6" s="8" t="s">
        <v>5597</v>
      </c>
      <c r="B6" s="22" t="n">
        <f aca="false">SUM(Customer_Invoices_AR!$D$2:$D$601)</f>
        <v>2319894.61</v>
      </c>
    </row>
    <row r="7" customFormat="false" ht="15" hidden="false" customHeight="false" outlineLevel="0" collapsed="false">
      <c r="A7" s="8" t="s">
        <v>5576</v>
      </c>
      <c r="B7" s="23" t="n">
        <f aca="false">MAX(Customer_Invoices_AR!$C$2:$C$601)-MIN(Customer_Invoices_AR!$C$2:$C$601)</f>
        <v>542</v>
      </c>
    </row>
    <row r="8" customFormat="false" ht="15" hidden="false" customHeight="false" outlineLevel="0" collapsed="false">
      <c r="A8" s="8" t="s">
        <v>5598</v>
      </c>
      <c r="B8" s="24" t="n">
        <f aca="false">B5/B6*B7</f>
        <v>100.519206835866</v>
      </c>
    </row>
    <row r="9" customFormat="false" ht="15" hidden="false" customHeight="false" outlineLevel="0" collapsed="false">
      <c r="A9" s="8" t="s">
        <v>5599</v>
      </c>
      <c r="B9" s="24" t="n">
        <f aca="false">AVERAGE(AR_Payment_Detail!$G$5:$G$506)</f>
        <v>18.1832669322709</v>
      </c>
    </row>
    <row r="11" customFormat="false" ht="15" hidden="false" customHeight="false" outlineLevel="0" collapsed="false">
      <c r="A11" s="3" t="s">
        <v>5600</v>
      </c>
      <c r="B11" s="4"/>
      <c r="C11" s="4"/>
    </row>
    <row r="12" customFormat="false" ht="27.75" hidden="false" customHeight="true" outlineLevel="0" collapsed="false">
      <c r="A12" s="7" t="s">
        <v>5580</v>
      </c>
      <c r="B12" s="7" t="s">
        <v>5601</v>
      </c>
      <c r="C12" s="7" t="s">
        <v>5602</v>
      </c>
    </row>
    <row r="13" customFormat="false" ht="15" hidden="false" customHeight="false" outlineLevel="0" collapsed="false">
      <c r="A13" s="25" t="n">
        <v>45658</v>
      </c>
      <c r="B13" s="26" t="n">
        <f aca="false">IFERROR(AVERAGEIFS(AR_Payment_Detail!$G$5:$G$506,AR_Payment_Detail!$H$5:$H$506,A13),0)</f>
        <v>6.57142857142857</v>
      </c>
      <c r="C13" s="27" t="n">
        <f aca="false">SUMIFS(AR_Payment_Detail!$E$5:$E$506,AR_Payment_Detail!$H$5:$H$506,A13)</f>
        <v>34490.06</v>
      </c>
    </row>
    <row r="14" customFormat="false" ht="15" hidden="false" customHeight="false" outlineLevel="0" collapsed="false">
      <c r="A14" s="25" t="n">
        <v>45689</v>
      </c>
      <c r="B14" s="26" t="n">
        <f aca="false">IFERROR(AVERAGEIFS(AR_Payment_Detail!$G$5:$G$506,AR_Payment_Detail!$H$5:$H$506,A14),0)</f>
        <v>19.05</v>
      </c>
      <c r="C14" s="27" t="n">
        <f aca="false">SUMIFS(AR_Payment_Detail!$E$5:$E$506,AR_Payment_Detail!$H$5:$H$506,A14)</f>
        <v>63240.58</v>
      </c>
    </row>
    <row r="15" customFormat="false" ht="15" hidden="false" customHeight="false" outlineLevel="0" collapsed="false">
      <c r="A15" s="25" t="n">
        <v>45717</v>
      </c>
      <c r="B15" s="26" t="n">
        <f aca="false">IFERROR(AVERAGEIFS(AR_Payment_Detail!$G$5:$G$506,AR_Payment_Detail!$H$5:$H$506,A15),0)</f>
        <v>21.9259259259259</v>
      </c>
      <c r="C15" s="27" t="n">
        <f aca="false">SUMIFS(AR_Payment_Detail!$E$5:$E$506,AR_Payment_Detail!$H$5:$H$506,A15)</f>
        <v>149556.12</v>
      </c>
    </row>
    <row r="16" customFormat="false" ht="15" hidden="false" customHeight="false" outlineLevel="0" collapsed="false">
      <c r="A16" s="25" t="n">
        <v>45748</v>
      </c>
      <c r="B16" s="26" t="n">
        <f aca="false">IFERROR(AVERAGEIFS(AR_Payment_Detail!$G$5:$G$506,AR_Payment_Detail!$H$5:$H$506,A16),0)</f>
        <v>19.7058823529412</v>
      </c>
      <c r="C16" s="27" t="n">
        <f aca="false">SUMIFS(AR_Payment_Detail!$E$5:$E$506,AR_Payment_Detail!$H$5:$H$506,A16)</f>
        <v>154341.64</v>
      </c>
    </row>
    <row r="17" customFormat="false" ht="15" hidden="false" customHeight="false" outlineLevel="0" collapsed="false">
      <c r="A17" s="25" t="n">
        <v>45778</v>
      </c>
      <c r="B17" s="26" t="n">
        <f aca="false">IFERROR(AVERAGEIFS(AR_Payment_Detail!$G$5:$G$506,AR_Payment_Detail!$H$5:$H$506,A17),0)</f>
        <v>15.6666666666667</v>
      </c>
      <c r="C17" s="27" t="n">
        <f aca="false">SUMIFS(AR_Payment_Detail!$E$5:$E$506,AR_Payment_Detail!$H$5:$H$506,A17)</f>
        <v>44704.87</v>
      </c>
    </row>
    <row r="18" customFormat="false" ht="15" hidden="false" customHeight="false" outlineLevel="0" collapsed="false">
      <c r="A18" s="25" t="n">
        <v>45809</v>
      </c>
      <c r="B18" s="26" t="n">
        <f aca="false">IFERROR(AVERAGEIFS(AR_Payment_Detail!$G$5:$G$506,AR_Payment_Detail!$H$5:$H$506,A18),0)</f>
        <v>16.0967741935484</v>
      </c>
      <c r="C18" s="27" t="n">
        <f aca="false">SUMIFS(AR_Payment_Detail!$E$5:$E$506,AR_Payment_Detail!$H$5:$H$506,A18)</f>
        <v>132992.65</v>
      </c>
    </row>
    <row r="19" customFormat="false" ht="15" hidden="false" customHeight="false" outlineLevel="0" collapsed="false">
      <c r="A19" s="25" t="n">
        <v>45839</v>
      </c>
      <c r="B19" s="26" t="n">
        <f aca="false">IFERROR(AVERAGEIFS(AR_Payment_Detail!$G$5:$G$506,AR_Payment_Detail!$H$5:$H$506,A19),0)</f>
        <v>14.974358974359</v>
      </c>
      <c r="C19" s="27" t="n">
        <f aca="false">SUMIFS(AR_Payment_Detail!$E$5:$E$506,AR_Payment_Detail!$H$5:$H$506,A19)</f>
        <v>96608.09</v>
      </c>
    </row>
    <row r="20" customFormat="false" ht="15" hidden="false" customHeight="false" outlineLevel="0" collapsed="false">
      <c r="A20" s="25" t="n">
        <v>45870</v>
      </c>
      <c r="B20" s="26" t="n">
        <f aca="false">IFERROR(AVERAGEIFS(AR_Payment_Detail!$G$5:$G$506,AR_Payment_Detail!$H$5:$H$506,A20),0)</f>
        <v>19.6875</v>
      </c>
      <c r="C20" s="27" t="n">
        <f aca="false">SUMIFS(AR_Payment_Detail!$E$5:$E$506,AR_Payment_Detail!$H$5:$H$506,A20)</f>
        <v>137059.13</v>
      </c>
    </row>
    <row r="21" customFormat="false" ht="15" hidden="false" customHeight="false" outlineLevel="0" collapsed="false">
      <c r="A21" s="25" t="n">
        <v>45901</v>
      </c>
      <c r="B21" s="26" t="n">
        <f aca="false">IFERROR(AVERAGEIFS(AR_Payment_Detail!$G$5:$G$506,AR_Payment_Detail!$H$5:$H$506,A21),0)</f>
        <v>14.1</v>
      </c>
      <c r="C21" s="27" t="n">
        <f aca="false">SUMIFS(AR_Payment_Detail!$E$5:$E$506,AR_Payment_Detail!$H$5:$H$506,A21)</f>
        <v>92067.87</v>
      </c>
    </row>
    <row r="22" customFormat="false" ht="15" hidden="false" customHeight="false" outlineLevel="0" collapsed="false">
      <c r="A22" s="25" t="n">
        <v>45931</v>
      </c>
      <c r="B22" s="26" t="n">
        <f aca="false">IFERROR(AVERAGEIFS(AR_Payment_Detail!$G$5:$G$506,AR_Payment_Detail!$H$5:$H$506,A22),0)</f>
        <v>17.125</v>
      </c>
      <c r="C22" s="27" t="n">
        <f aca="false">SUMIFS(AR_Payment_Detail!$E$5:$E$506,AR_Payment_Detail!$H$5:$H$506,A22)</f>
        <v>111747.18</v>
      </c>
    </row>
    <row r="23" customFormat="false" ht="15" hidden="false" customHeight="false" outlineLevel="0" collapsed="false">
      <c r="A23" s="25" t="n">
        <v>45962</v>
      </c>
      <c r="B23" s="26" t="n">
        <f aca="false">IFERROR(AVERAGEIFS(AR_Payment_Detail!$G$5:$G$506,AR_Payment_Detail!$H$5:$H$506,A23),0)</f>
        <v>19.4</v>
      </c>
      <c r="C23" s="27" t="n">
        <f aca="false">SUMIFS(AR_Payment_Detail!$E$5:$E$506,AR_Payment_Detail!$H$5:$H$506,A23)</f>
        <v>103697.61</v>
      </c>
    </row>
    <row r="24" customFormat="false" ht="15" hidden="false" customHeight="false" outlineLevel="0" collapsed="false">
      <c r="A24" s="25" t="n">
        <v>45992</v>
      </c>
      <c r="B24" s="26" t="n">
        <f aca="false">IFERROR(AVERAGEIFS(AR_Payment_Detail!$G$5:$G$506,AR_Payment_Detail!$H$5:$H$506,A24),0)</f>
        <v>17.6551724137931</v>
      </c>
      <c r="C24" s="27" t="n">
        <f aca="false">SUMIFS(AR_Payment_Detail!$E$5:$E$506,AR_Payment_Detail!$H$5:$H$506,A24)</f>
        <v>108692.29</v>
      </c>
    </row>
    <row r="25" customFormat="false" ht="15" hidden="false" customHeight="false" outlineLevel="0" collapsed="false">
      <c r="A25" s="25" t="n">
        <v>46023</v>
      </c>
      <c r="B25" s="26" t="n">
        <f aca="false">IFERROR(AVERAGEIFS(AR_Payment_Detail!$G$5:$G$506,AR_Payment_Detail!$H$5:$H$506,A25),0)</f>
        <v>19.8181818181818</v>
      </c>
      <c r="C25" s="27" t="n">
        <f aca="false">SUMIFS(AR_Payment_Detail!$E$5:$E$506,AR_Payment_Detail!$H$5:$H$506,A25)</f>
        <v>154059.34</v>
      </c>
    </row>
    <row r="26" customFormat="false" ht="15" hidden="false" customHeight="false" outlineLevel="0" collapsed="false">
      <c r="A26" s="25" t="n">
        <v>46054</v>
      </c>
      <c r="B26" s="26" t="n">
        <f aca="false">IFERROR(AVERAGEIFS(AR_Payment_Detail!$G$5:$G$506,AR_Payment_Detail!$H$5:$H$506,A26),0)</f>
        <v>20.56</v>
      </c>
      <c r="C26" s="27" t="n">
        <f aca="false">SUMIFS(AR_Payment_Detail!$E$5:$E$506,AR_Payment_Detail!$H$5:$H$506,A26)</f>
        <v>86519.12</v>
      </c>
    </row>
    <row r="27" customFormat="false" ht="15" hidden="false" customHeight="false" outlineLevel="0" collapsed="false">
      <c r="A27" s="25" t="n">
        <v>46082</v>
      </c>
      <c r="B27" s="26" t="n">
        <f aca="false">IFERROR(AVERAGEIFS(AR_Payment_Detail!$G$5:$G$506,AR_Payment_Detail!$H$5:$H$506,A27),0)</f>
        <v>17.8</v>
      </c>
      <c r="C27" s="27" t="n">
        <f aca="false">SUMIFS(AR_Payment_Detail!$E$5:$E$506,AR_Payment_Detail!$H$5:$H$506,A27)</f>
        <v>103135.14</v>
      </c>
    </row>
    <row r="28" customFormat="false" ht="15" hidden="false" customHeight="false" outlineLevel="0" collapsed="false">
      <c r="A28" s="25" t="n">
        <v>46113</v>
      </c>
      <c r="B28" s="26" t="n">
        <f aca="false">IFERROR(AVERAGEIFS(AR_Payment_Detail!$G$5:$G$506,AR_Payment_Detail!$H$5:$H$506,A28),0)</f>
        <v>20.6470588235294</v>
      </c>
      <c r="C28" s="27" t="n">
        <f aca="false">SUMIFS(AR_Payment_Detail!$E$5:$E$506,AR_Payment_Detail!$H$5:$H$506,A28)</f>
        <v>115139.1</v>
      </c>
    </row>
    <row r="29" customFormat="false" ht="15" hidden="false" customHeight="false" outlineLevel="0" collapsed="false">
      <c r="A29" s="25" t="n">
        <v>46143</v>
      </c>
      <c r="B29" s="26" t="n">
        <f aca="false">IFERROR(AVERAGEIFS(AR_Payment_Detail!$G$5:$G$506,AR_Payment_Detail!$H$5:$H$506,A29),0)</f>
        <v>19.5416666666667</v>
      </c>
      <c r="C29" s="27" t="n">
        <f aca="false">SUMIFS(AR_Payment_Detail!$E$5:$E$506,AR_Payment_Detail!$H$5:$H$506,A29)</f>
        <v>91241.32</v>
      </c>
    </row>
    <row r="30" customFormat="false" ht="15" hidden="false" customHeight="false" outlineLevel="0" collapsed="false">
      <c r="A30" s="25" t="n">
        <v>46174</v>
      </c>
      <c r="B30" s="26" t="n">
        <f aca="false">IFERROR(AVERAGEIFS(AR_Payment_Detail!$G$5:$G$506,AR_Payment_Detail!$H$5:$H$506,A30),0)</f>
        <v>18.25</v>
      </c>
      <c r="C30" s="27" t="n">
        <f aca="false">SUMIFS(AR_Payment_Detail!$E$5:$E$506,AR_Payment_Detail!$H$5:$H$506,A30)</f>
        <v>110355.33</v>
      </c>
    </row>
    <row r="31" customFormat="false" ht="15" hidden="false" customHeight="false" outlineLevel="0" collapsed="false">
      <c r="A31" s="25" t="n">
        <v>46204</v>
      </c>
      <c r="B31" s="26" t="n">
        <f aca="false">IFERROR(AVERAGEIFS(AR_Payment_Detail!$G$5:$G$506,AR_Payment_Detail!$H$5:$H$506,A31),0)</f>
        <v>0</v>
      </c>
      <c r="C31" s="27" t="n">
        <f aca="false">SUMIFS(AR_Payment_Detail!$E$5:$E$506,AR_Payment_Detail!$H$5:$H$506,A31)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8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2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5603</v>
      </c>
    </row>
    <row r="2" customFormat="false" ht="15" hidden="false" customHeight="false" outlineLevel="0" collapsed="false">
      <c r="A2" s="2" t="s">
        <v>5604</v>
      </c>
    </row>
    <row r="4" customFormat="false" ht="27.75" hidden="false" customHeight="true" outlineLevel="0" collapsed="false">
      <c r="A4" s="7" t="s">
        <v>272</v>
      </c>
      <c r="B4" s="7" t="s">
        <v>63</v>
      </c>
      <c r="C4" s="7" t="s">
        <v>273</v>
      </c>
      <c r="D4" s="7" t="s">
        <v>274</v>
      </c>
      <c r="E4" s="7" t="s">
        <v>275</v>
      </c>
      <c r="F4" s="7" t="s">
        <v>276</v>
      </c>
      <c r="G4" s="7" t="s">
        <v>5605</v>
      </c>
    </row>
    <row r="5" customFormat="false" ht="15" hidden="false" customHeight="false" outlineLevel="0" collapsed="false">
      <c r="A5" s="16" t="str">
        <f aca="false">Purchase_Orders!A2</f>
        <v>PO10001</v>
      </c>
      <c r="B5" s="16" t="str">
        <f aca="false">Purchase_Orders!B2</f>
        <v>V1020</v>
      </c>
      <c r="C5" s="17" t="n">
        <f aca="false">Purchase_Orders!C2</f>
        <v>46091</v>
      </c>
      <c r="D5" s="18" t="n">
        <f aca="false">Purchase_Orders!D2</f>
        <v>1309.32</v>
      </c>
      <c r="E5" s="16" t="str">
        <f aca="false">Purchase_Orders!F2</f>
        <v>Shirley Suarez</v>
      </c>
      <c r="F5" s="16" t="str">
        <f aca="false">Purchase_Orders!G2</f>
        <v>Evelyn Galvan</v>
      </c>
      <c r="G5" s="16" t="str">
        <f aca="false">IF(E5=F5,"VIOLATION - Same Person Requested &amp; Approved","OK")</f>
        <v>OK</v>
      </c>
    </row>
    <row r="6" customFormat="false" ht="15" hidden="false" customHeight="false" outlineLevel="0" collapsed="false">
      <c r="A6" s="16" t="str">
        <f aca="false">Purchase_Orders!A3</f>
        <v>PO10002</v>
      </c>
      <c r="B6" s="16" t="str">
        <f aca="false">Purchase_Orders!B3</f>
        <v>V1034</v>
      </c>
      <c r="C6" s="17" t="n">
        <f aca="false">Purchase_Orders!C3</f>
        <v>45782</v>
      </c>
      <c r="D6" s="18" t="n">
        <f aca="false">Purchase_Orders!D3</f>
        <v>1749.66</v>
      </c>
      <c r="E6" s="16" t="str">
        <f aca="false">Purchase_Orders!F3</f>
        <v>Jimmy Murillo</v>
      </c>
      <c r="F6" s="16" t="str">
        <f aca="false">Purchase_Orders!G3</f>
        <v>Shannon Walker</v>
      </c>
      <c r="G6" s="16" t="str">
        <f aca="false">IF(E6=F6,"VIOLATION - Same Person Requested &amp; Approved","OK")</f>
        <v>OK</v>
      </c>
    </row>
    <row r="7" customFormat="false" ht="15" hidden="false" customHeight="false" outlineLevel="0" collapsed="false">
      <c r="A7" s="16" t="str">
        <f aca="false">Purchase_Orders!A4</f>
        <v>PO10003</v>
      </c>
      <c r="B7" s="16" t="str">
        <f aca="false">Purchase_Orders!B4</f>
        <v>V1014</v>
      </c>
      <c r="C7" s="17" t="n">
        <f aca="false">Purchase_Orders!C4</f>
        <v>45670</v>
      </c>
      <c r="D7" s="18" t="n">
        <f aca="false">Purchase_Orders!D4</f>
        <v>2691.35</v>
      </c>
      <c r="E7" s="16" t="str">
        <f aca="false">Purchase_Orders!F4</f>
        <v>John Whitehead</v>
      </c>
      <c r="F7" s="16" t="str">
        <f aca="false">Purchase_Orders!G4</f>
        <v>Evelyn Galvan</v>
      </c>
      <c r="G7" s="16" t="str">
        <f aca="false">IF(E7=F7,"VIOLATION - Same Person Requested &amp; Approved","OK")</f>
        <v>OK</v>
      </c>
    </row>
    <row r="8" customFormat="false" ht="15" hidden="false" customHeight="false" outlineLevel="0" collapsed="false">
      <c r="A8" s="16" t="str">
        <f aca="false">Purchase_Orders!A5</f>
        <v>PO10004</v>
      </c>
      <c r="B8" s="16" t="str">
        <f aca="false">Purchase_Orders!B5</f>
        <v>V1040</v>
      </c>
      <c r="C8" s="17" t="n">
        <f aca="false">Purchase_Orders!C5</f>
        <v>45763</v>
      </c>
      <c r="D8" s="18" t="n">
        <f aca="false">Purchase_Orders!D5</f>
        <v>889.24</v>
      </c>
      <c r="E8" s="16" t="str">
        <f aca="false">Purchase_Orders!F5</f>
        <v>James Powers</v>
      </c>
      <c r="F8" s="16" t="str">
        <f aca="false">Purchase_Orders!G5</f>
        <v>Julia Torres</v>
      </c>
      <c r="G8" s="16" t="str">
        <f aca="false">IF(E8=F8,"VIOLATION - Same Person Requested &amp; Approved","OK")</f>
        <v>OK</v>
      </c>
    </row>
    <row r="9" customFormat="false" ht="15" hidden="false" customHeight="false" outlineLevel="0" collapsed="false">
      <c r="A9" s="16" t="str">
        <f aca="false">Purchase_Orders!A6</f>
        <v>PO10005</v>
      </c>
      <c r="B9" s="16" t="str">
        <f aca="false">Purchase_Orders!B6</f>
        <v>V1022</v>
      </c>
      <c r="C9" s="17" t="n">
        <f aca="false">Purchase_Orders!C6</f>
        <v>45836</v>
      </c>
      <c r="D9" s="18" t="n">
        <f aca="false">Purchase_Orders!D6</f>
        <v>3058.04</v>
      </c>
      <c r="E9" s="16" t="str">
        <f aca="false">Purchase_Orders!F6</f>
        <v>Deborah Figueroa</v>
      </c>
      <c r="F9" s="16" t="str">
        <f aca="false">Purchase_Orders!G6</f>
        <v>Sharon Cherry</v>
      </c>
      <c r="G9" s="16" t="str">
        <f aca="false">IF(E9=F9,"VIOLATION - Same Person Requested &amp; Approved","OK")</f>
        <v>OK</v>
      </c>
    </row>
    <row r="10" customFormat="false" ht="15" hidden="false" customHeight="false" outlineLevel="0" collapsed="false">
      <c r="A10" s="16" t="str">
        <f aca="false">Purchase_Orders!A7</f>
        <v>PO10006</v>
      </c>
      <c r="B10" s="16" t="str">
        <f aca="false">Purchase_Orders!B7</f>
        <v>V1040</v>
      </c>
      <c r="C10" s="17" t="n">
        <f aca="false">Purchase_Orders!C7</f>
        <v>46129</v>
      </c>
      <c r="D10" s="18" t="n">
        <f aca="false">Purchase_Orders!D7</f>
        <v>1359.77</v>
      </c>
      <c r="E10" s="16" t="str">
        <f aca="false">Purchase_Orders!F7</f>
        <v>Deborah Figueroa</v>
      </c>
      <c r="F10" s="16" t="str">
        <f aca="false">Purchase_Orders!G7</f>
        <v>Marc Moore</v>
      </c>
      <c r="G10" s="16" t="str">
        <f aca="false">IF(E10=F10,"VIOLATION - Same Person Requested &amp; Approved","OK")</f>
        <v>OK</v>
      </c>
    </row>
    <row r="11" customFormat="false" ht="15" hidden="false" customHeight="false" outlineLevel="0" collapsed="false">
      <c r="A11" s="16" t="str">
        <f aca="false">Purchase_Orders!A8</f>
        <v>PO10007</v>
      </c>
      <c r="B11" s="16" t="str">
        <f aca="false">Purchase_Orders!B8</f>
        <v>V1040</v>
      </c>
      <c r="C11" s="17" t="n">
        <f aca="false">Purchase_Orders!C8</f>
        <v>46184</v>
      </c>
      <c r="D11" s="18" t="n">
        <f aca="false">Purchase_Orders!D8</f>
        <v>3708.39</v>
      </c>
      <c r="E11" s="16" t="str">
        <f aca="false">Purchase_Orders!F8</f>
        <v>Richard Henson</v>
      </c>
      <c r="F11" s="16" t="str">
        <f aca="false">Purchase_Orders!G8</f>
        <v>Evelyn Galvan</v>
      </c>
      <c r="G11" s="16" t="str">
        <f aca="false">IF(E11=F11,"VIOLATION - Same Person Requested &amp; Approved","OK")</f>
        <v>OK</v>
      </c>
    </row>
    <row r="12" customFormat="false" ht="15" hidden="false" customHeight="false" outlineLevel="0" collapsed="false">
      <c r="A12" s="16" t="str">
        <f aca="false">Purchase_Orders!A9</f>
        <v>PO10008</v>
      </c>
      <c r="B12" s="16" t="str">
        <f aca="false">Purchase_Orders!B9</f>
        <v>V1015</v>
      </c>
      <c r="C12" s="17" t="n">
        <f aca="false">Purchase_Orders!C9</f>
        <v>45810</v>
      </c>
      <c r="D12" s="18" t="n">
        <f aca="false">Purchase_Orders!D9</f>
        <v>6081.19</v>
      </c>
      <c r="E12" s="16" t="str">
        <f aca="false">Purchase_Orders!F9</f>
        <v>Anna Henderson</v>
      </c>
      <c r="F12" s="16" t="str">
        <f aca="false">Purchase_Orders!G9</f>
        <v>Julia Torres</v>
      </c>
      <c r="G12" s="16" t="str">
        <f aca="false">IF(E12=F12,"VIOLATION - Same Person Requested &amp; Approved","OK")</f>
        <v>OK</v>
      </c>
    </row>
    <row r="13" customFormat="false" ht="15" hidden="false" customHeight="false" outlineLevel="0" collapsed="false">
      <c r="A13" s="16" t="str">
        <f aca="false">Purchase_Orders!A10</f>
        <v>PO10009</v>
      </c>
      <c r="B13" s="16" t="str">
        <f aca="false">Purchase_Orders!B10</f>
        <v>V1018</v>
      </c>
      <c r="C13" s="17" t="n">
        <f aca="false">Purchase_Orders!C10</f>
        <v>46007</v>
      </c>
      <c r="D13" s="18" t="n">
        <f aca="false">Purchase_Orders!D10</f>
        <v>6038.81</v>
      </c>
      <c r="E13" s="16" t="str">
        <f aca="false">Purchase_Orders!F10</f>
        <v>Denise Jacobs</v>
      </c>
      <c r="F13" s="16" t="str">
        <f aca="false">Purchase_Orders!G10</f>
        <v>Marc Moore</v>
      </c>
      <c r="G13" s="16" t="str">
        <f aca="false">IF(E13=F13,"VIOLATION - Same Person Requested &amp; Approved","OK")</f>
        <v>OK</v>
      </c>
    </row>
    <row r="14" customFormat="false" ht="15" hidden="false" customHeight="false" outlineLevel="0" collapsed="false">
      <c r="A14" s="16" t="str">
        <f aca="false">Purchase_Orders!A11</f>
        <v>PO10010</v>
      </c>
      <c r="B14" s="16" t="str">
        <f aca="false">Purchase_Orders!B11</f>
        <v>V1005</v>
      </c>
      <c r="C14" s="17" t="n">
        <f aca="false">Purchase_Orders!C11</f>
        <v>45875</v>
      </c>
      <c r="D14" s="18" t="n">
        <f aca="false">Purchase_Orders!D11</f>
        <v>1250.19</v>
      </c>
      <c r="E14" s="16" t="str">
        <f aca="false">Purchase_Orders!F11</f>
        <v>Kevin Mills</v>
      </c>
      <c r="F14" s="16" t="str">
        <f aca="false">Purchase_Orders!G11</f>
        <v>Shannon Walker</v>
      </c>
      <c r="G14" s="16" t="str">
        <f aca="false">IF(E14=F14,"VIOLATION - Same Person Requested &amp; Approved","OK")</f>
        <v>OK</v>
      </c>
    </row>
    <row r="15" customFormat="false" ht="15" hidden="false" customHeight="false" outlineLevel="0" collapsed="false">
      <c r="A15" s="16" t="str">
        <f aca="false">Purchase_Orders!A12</f>
        <v>PO10011</v>
      </c>
      <c r="B15" s="16" t="str">
        <f aca="false">Purchase_Orders!B12</f>
        <v>V1024</v>
      </c>
      <c r="C15" s="17" t="n">
        <f aca="false">Purchase_Orders!C12</f>
        <v>46192</v>
      </c>
      <c r="D15" s="18" t="n">
        <f aca="false">Purchase_Orders!D12</f>
        <v>760.24</v>
      </c>
      <c r="E15" s="16" t="str">
        <f aca="false">Purchase_Orders!F12</f>
        <v>John Whitehead</v>
      </c>
      <c r="F15" s="16" t="str">
        <f aca="false">Purchase_Orders!G12</f>
        <v>Sharon Cochran</v>
      </c>
      <c r="G15" s="16" t="str">
        <f aca="false">IF(E15=F15,"VIOLATION - Same Person Requested &amp; Approved","OK")</f>
        <v>OK</v>
      </c>
    </row>
    <row r="16" customFormat="false" ht="15" hidden="false" customHeight="false" outlineLevel="0" collapsed="false">
      <c r="A16" s="16" t="str">
        <f aca="false">Purchase_Orders!A13</f>
        <v>PO10012</v>
      </c>
      <c r="B16" s="16" t="str">
        <f aca="false">Purchase_Orders!B13</f>
        <v>V1035</v>
      </c>
      <c r="C16" s="17" t="n">
        <f aca="false">Purchase_Orders!C13</f>
        <v>45950</v>
      </c>
      <c r="D16" s="18" t="n">
        <f aca="false">Purchase_Orders!D13</f>
        <v>15002.72</v>
      </c>
      <c r="E16" s="16" t="str">
        <f aca="false">Purchase_Orders!F13</f>
        <v>Christine Wright</v>
      </c>
      <c r="F16" s="16" t="str">
        <f aca="false">Purchase_Orders!G13</f>
        <v>Julia Torres</v>
      </c>
      <c r="G16" s="16" t="str">
        <f aca="false">IF(E16=F16,"VIOLATION - Same Person Requested &amp; Approved","OK")</f>
        <v>OK</v>
      </c>
    </row>
    <row r="17" customFormat="false" ht="15" hidden="false" customHeight="false" outlineLevel="0" collapsed="false">
      <c r="A17" s="16" t="str">
        <f aca="false">Purchase_Orders!A14</f>
        <v>PO10013</v>
      </c>
      <c r="B17" s="16" t="str">
        <f aca="false">Purchase_Orders!B14</f>
        <v>V1016</v>
      </c>
      <c r="C17" s="17" t="n">
        <f aca="false">Purchase_Orders!C14</f>
        <v>46169</v>
      </c>
      <c r="D17" s="18" t="n">
        <f aca="false">Purchase_Orders!D14</f>
        <v>911.91</v>
      </c>
      <c r="E17" s="16" t="str">
        <f aca="false">Purchase_Orders!F14</f>
        <v>Aimee Montoya</v>
      </c>
      <c r="F17" s="16" t="str">
        <f aca="false">Purchase_Orders!G14</f>
        <v>Evelyn Galvan</v>
      </c>
      <c r="G17" s="16" t="str">
        <f aca="false">IF(E17=F17,"VIOLATION - Same Person Requested &amp; Approved","OK")</f>
        <v>OK</v>
      </c>
    </row>
    <row r="18" customFormat="false" ht="15" hidden="false" customHeight="false" outlineLevel="0" collapsed="false">
      <c r="A18" s="16" t="str">
        <f aca="false">Purchase_Orders!A15</f>
        <v>PO10014</v>
      </c>
      <c r="B18" s="16" t="str">
        <f aca="false">Purchase_Orders!B15</f>
        <v>V1002</v>
      </c>
      <c r="C18" s="17" t="n">
        <f aca="false">Purchase_Orders!C15</f>
        <v>45720</v>
      </c>
      <c r="D18" s="18" t="n">
        <f aca="false">Purchase_Orders!D15</f>
        <v>1222.88</v>
      </c>
      <c r="E18" s="16" t="str">
        <f aca="false">Purchase_Orders!F15</f>
        <v>Jessica Smith</v>
      </c>
      <c r="F18" s="16" t="str">
        <f aca="false">Purchase_Orders!G15</f>
        <v>Marc Moore</v>
      </c>
      <c r="G18" s="16" t="str">
        <f aca="false">IF(E18=F18,"VIOLATION - Same Person Requested &amp; Approved","OK")</f>
        <v>OK</v>
      </c>
    </row>
    <row r="19" customFormat="false" ht="15" hidden="false" customHeight="false" outlineLevel="0" collapsed="false">
      <c r="A19" s="16" t="str">
        <f aca="false">Purchase_Orders!A16</f>
        <v>PO10015</v>
      </c>
      <c r="B19" s="16" t="str">
        <f aca="false">Purchase_Orders!B16</f>
        <v>V1017</v>
      </c>
      <c r="C19" s="17" t="n">
        <f aca="false">Purchase_Orders!C16</f>
        <v>46186</v>
      </c>
      <c r="D19" s="18" t="n">
        <f aca="false">Purchase_Orders!D16</f>
        <v>3344.32</v>
      </c>
      <c r="E19" s="16" t="str">
        <f aca="false">Purchase_Orders!F16</f>
        <v>Christina Moran</v>
      </c>
      <c r="F19" s="16" t="str">
        <f aca="false">Purchase_Orders!G16</f>
        <v>Marc Moore</v>
      </c>
      <c r="G19" s="16" t="str">
        <f aca="false">IF(E19=F19,"VIOLATION - Same Person Requested &amp; Approved","OK")</f>
        <v>OK</v>
      </c>
    </row>
    <row r="20" customFormat="false" ht="15" hidden="false" customHeight="false" outlineLevel="0" collapsed="false">
      <c r="A20" s="16" t="str">
        <f aca="false">Purchase_Orders!A17</f>
        <v>PO10016</v>
      </c>
      <c r="B20" s="16" t="str">
        <f aca="false">Purchase_Orders!B17</f>
        <v>V1026</v>
      </c>
      <c r="C20" s="17" t="n">
        <f aca="false">Purchase_Orders!C17</f>
        <v>45755</v>
      </c>
      <c r="D20" s="18" t="n">
        <f aca="false">Purchase_Orders!D17</f>
        <v>4721.09</v>
      </c>
      <c r="E20" s="16" t="str">
        <f aca="false">Purchase_Orders!F17</f>
        <v>Aaron Wise</v>
      </c>
      <c r="F20" s="16" t="str">
        <f aca="false">Purchase_Orders!G17</f>
        <v>Sierra Johnson</v>
      </c>
      <c r="G20" s="16" t="str">
        <f aca="false">IF(E20=F20,"VIOLATION - Same Person Requested &amp; Approved","OK")</f>
        <v>OK</v>
      </c>
    </row>
    <row r="21" customFormat="false" ht="15" hidden="false" customHeight="false" outlineLevel="0" collapsed="false">
      <c r="A21" s="16" t="str">
        <f aca="false">Purchase_Orders!A18</f>
        <v>PO10017</v>
      </c>
      <c r="B21" s="16" t="str">
        <f aca="false">Purchase_Orders!B18</f>
        <v>V1024</v>
      </c>
      <c r="C21" s="17" t="n">
        <f aca="false">Purchase_Orders!C18</f>
        <v>46182</v>
      </c>
      <c r="D21" s="18" t="n">
        <f aca="false">Purchase_Orders!D18</f>
        <v>5629.98</v>
      </c>
      <c r="E21" s="16" t="str">
        <f aca="false">Purchase_Orders!F18</f>
        <v>Aaron Wise</v>
      </c>
      <c r="F21" s="16" t="str">
        <f aca="false">Purchase_Orders!G18</f>
        <v>Sharon Cherry</v>
      </c>
      <c r="G21" s="16" t="str">
        <f aca="false">IF(E21=F21,"VIOLATION - Same Person Requested &amp; Approved","OK")</f>
        <v>OK</v>
      </c>
    </row>
    <row r="22" customFormat="false" ht="15" hidden="false" customHeight="false" outlineLevel="0" collapsed="false">
      <c r="A22" s="16" t="str">
        <f aca="false">Purchase_Orders!A19</f>
        <v>PO10018</v>
      </c>
      <c r="B22" s="16" t="str">
        <f aca="false">Purchase_Orders!B19</f>
        <v>V1004</v>
      </c>
      <c r="C22" s="17" t="n">
        <f aca="false">Purchase_Orders!C19</f>
        <v>45802</v>
      </c>
      <c r="D22" s="18" t="n">
        <f aca="false">Purchase_Orders!D19</f>
        <v>246.87</v>
      </c>
      <c r="E22" s="16" t="str">
        <f aca="false">Purchase_Orders!F19</f>
        <v>James Powers</v>
      </c>
      <c r="F22" s="16" t="str">
        <f aca="false">Purchase_Orders!G19</f>
        <v>Sharon Cherry</v>
      </c>
      <c r="G22" s="16" t="str">
        <f aca="false">IF(E22=F22,"VIOLATION - Same Person Requested &amp; Approved","OK")</f>
        <v>OK</v>
      </c>
    </row>
    <row r="23" customFormat="false" ht="15" hidden="false" customHeight="false" outlineLevel="0" collapsed="false">
      <c r="A23" s="16" t="str">
        <f aca="false">Purchase_Orders!A20</f>
        <v>PO10019</v>
      </c>
      <c r="B23" s="16" t="str">
        <f aca="false">Purchase_Orders!B20</f>
        <v>V1024</v>
      </c>
      <c r="C23" s="17" t="n">
        <f aca="false">Purchase_Orders!C20</f>
        <v>45717</v>
      </c>
      <c r="D23" s="18" t="n">
        <f aca="false">Purchase_Orders!D20</f>
        <v>2051.54</v>
      </c>
      <c r="E23" s="16" t="str">
        <f aca="false">Purchase_Orders!F20</f>
        <v>Christopher Bass</v>
      </c>
      <c r="F23" s="16" t="str">
        <f aca="false">Purchase_Orders!G20</f>
        <v>Shannon Walker</v>
      </c>
      <c r="G23" s="16" t="str">
        <f aca="false">IF(E23=F23,"VIOLATION - Same Person Requested &amp; Approved","OK")</f>
        <v>OK</v>
      </c>
    </row>
    <row r="24" customFormat="false" ht="15" hidden="false" customHeight="false" outlineLevel="0" collapsed="false">
      <c r="A24" s="16" t="str">
        <f aca="false">Purchase_Orders!A21</f>
        <v>PO10020</v>
      </c>
      <c r="B24" s="16" t="str">
        <f aca="false">Purchase_Orders!B21</f>
        <v>V1028</v>
      </c>
      <c r="C24" s="17" t="n">
        <f aca="false">Purchase_Orders!C21</f>
        <v>45894</v>
      </c>
      <c r="D24" s="18" t="n">
        <f aca="false">Purchase_Orders!D21</f>
        <v>9960.57</v>
      </c>
      <c r="E24" s="16" t="str">
        <f aca="false">Purchase_Orders!F21</f>
        <v>Jessica Smith</v>
      </c>
      <c r="F24" s="16" t="str">
        <f aca="false">Purchase_Orders!G21</f>
        <v>Evelyn Galvan</v>
      </c>
      <c r="G24" s="16" t="str">
        <f aca="false">IF(E24=F24,"VIOLATION - Same Person Requested &amp; Approved","OK")</f>
        <v>OK</v>
      </c>
    </row>
    <row r="25" customFormat="false" ht="15" hidden="false" customHeight="false" outlineLevel="0" collapsed="false">
      <c r="A25" s="16" t="str">
        <f aca="false">Purchase_Orders!A22</f>
        <v>PO10021</v>
      </c>
      <c r="B25" s="16" t="str">
        <f aca="false">Purchase_Orders!B22</f>
        <v>V1018</v>
      </c>
      <c r="C25" s="17" t="n">
        <f aca="false">Purchase_Orders!C22</f>
        <v>46055</v>
      </c>
      <c r="D25" s="18" t="n">
        <f aca="false">Purchase_Orders!D22</f>
        <v>15696.57</v>
      </c>
      <c r="E25" s="16" t="str">
        <f aca="false">Purchase_Orders!F22</f>
        <v>Christina Moran</v>
      </c>
      <c r="F25" s="16" t="str">
        <f aca="false">Purchase_Orders!G22</f>
        <v>Sharon Cherry</v>
      </c>
      <c r="G25" s="16" t="str">
        <f aca="false">IF(E25=F25,"VIOLATION - Same Person Requested &amp; Approved","OK")</f>
        <v>OK</v>
      </c>
    </row>
    <row r="26" customFormat="false" ht="15" hidden="false" customHeight="false" outlineLevel="0" collapsed="false">
      <c r="A26" s="16" t="str">
        <f aca="false">Purchase_Orders!A23</f>
        <v>PO10022</v>
      </c>
      <c r="B26" s="16" t="str">
        <f aca="false">Purchase_Orders!B23</f>
        <v>V1016</v>
      </c>
      <c r="C26" s="17" t="n">
        <f aca="false">Purchase_Orders!C23</f>
        <v>45828</v>
      </c>
      <c r="D26" s="18" t="n">
        <f aca="false">Purchase_Orders!D23</f>
        <v>1879.55</v>
      </c>
      <c r="E26" s="16" t="str">
        <f aca="false">Purchase_Orders!F23</f>
        <v>Jessica Smith</v>
      </c>
      <c r="F26" s="16" t="str">
        <f aca="false">Purchase_Orders!G23</f>
        <v>Richard Rodriguez</v>
      </c>
      <c r="G26" s="16" t="str">
        <f aca="false">IF(E26=F26,"VIOLATION - Same Person Requested &amp; Approved","OK")</f>
        <v>OK</v>
      </c>
    </row>
    <row r="27" customFormat="false" ht="15" hidden="false" customHeight="false" outlineLevel="0" collapsed="false">
      <c r="A27" s="16" t="str">
        <f aca="false">Purchase_Orders!A24</f>
        <v>PO10023</v>
      </c>
      <c r="B27" s="16" t="str">
        <f aca="false">Purchase_Orders!B24</f>
        <v>V1027</v>
      </c>
      <c r="C27" s="17" t="n">
        <f aca="false">Purchase_Orders!C24</f>
        <v>45988</v>
      </c>
      <c r="D27" s="18" t="n">
        <f aca="false">Purchase_Orders!D24</f>
        <v>883.86</v>
      </c>
      <c r="E27" s="16" t="str">
        <f aca="false">Purchase_Orders!F24</f>
        <v>Shirley Suarez</v>
      </c>
      <c r="F27" s="16" t="str">
        <f aca="false">Purchase_Orders!G24</f>
        <v>Richard Rodriguez</v>
      </c>
      <c r="G27" s="16" t="str">
        <f aca="false">IF(E27=F27,"VIOLATION - Same Person Requested &amp; Approved","OK")</f>
        <v>OK</v>
      </c>
    </row>
    <row r="28" customFormat="false" ht="15" hidden="false" customHeight="false" outlineLevel="0" collapsed="false">
      <c r="A28" s="16" t="str">
        <f aca="false">Purchase_Orders!A25</f>
        <v>PO10024</v>
      </c>
      <c r="B28" s="16" t="str">
        <f aca="false">Purchase_Orders!B25</f>
        <v>V1007</v>
      </c>
      <c r="C28" s="17" t="n">
        <f aca="false">Purchase_Orders!C25</f>
        <v>45936</v>
      </c>
      <c r="D28" s="18" t="n">
        <f aca="false">Purchase_Orders!D25</f>
        <v>1058.03</v>
      </c>
      <c r="E28" s="16" t="str">
        <f aca="false">Purchase_Orders!F25</f>
        <v>Denise Jacobs</v>
      </c>
      <c r="F28" s="16" t="str">
        <f aca="false">Purchase_Orders!G25</f>
        <v>Sierra Johnson</v>
      </c>
      <c r="G28" s="16" t="str">
        <f aca="false">IF(E28=F28,"VIOLATION - Same Person Requested &amp; Approved","OK")</f>
        <v>OK</v>
      </c>
    </row>
    <row r="29" customFormat="false" ht="15" hidden="false" customHeight="false" outlineLevel="0" collapsed="false">
      <c r="A29" s="16" t="str">
        <f aca="false">Purchase_Orders!A26</f>
        <v>PO10025</v>
      </c>
      <c r="B29" s="16" t="str">
        <f aca="false">Purchase_Orders!B26</f>
        <v>V1039</v>
      </c>
      <c r="C29" s="17" t="n">
        <f aca="false">Purchase_Orders!C26</f>
        <v>45867</v>
      </c>
      <c r="D29" s="18" t="n">
        <f aca="false">Purchase_Orders!D26</f>
        <v>2179.18</v>
      </c>
      <c r="E29" s="16" t="str">
        <f aca="false">Purchase_Orders!F26</f>
        <v>Aimee Montoya</v>
      </c>
      <c r="F29" s="16" t="str">
        <f aca="false">Purchase_Orders!G26</f>
        <v>Julia Torres</v>
      </c>
      <c r="G29" s="16" t="str">
        <f aca="false">IF(E29=F29,"VIOLATION - Same Person Requested &amp; Approved","OK")</f>
        <v>OK</v>
      </c>
    </row>
    <row r="30" customFormat="false" ht="15" hidden="false" customHeight="false" outlineLevel="0" collapsed="false">
      <c r="A30" s="16" t="str">
        <f aca="false">Purchase_Orders!A27</f>
        <v>PO10026</v>
      </c>
      <c r="B30" s="16" t="str">
        <f aca="false">Purchase_Orders!B27</f>
        <v>V1027</v>
      </c>
      <c r="C30" s="17" t="n">
        <f aca="false">Purchase_Orders!C27</f>
        <v>45972</v>
      </c>
      <c r="D30" s="18" t="n">
        <f aca="false">Purchase_Orders!D27</f>
        <v>1994.87</v>
      </c>
      <c r="E30" s="16" t="str">
        <f aca="false">Purchase_Orders!F27</f>
        <v>Richard Henson</v>
      </c>
      <c r="F30" s="16" t="str">
        <f aca="false">Purchase_Orders!G27</f>
        <v>Richard Henson</v>
      </c>
      <c r="G30" s="16" t="str">
        <f aca="false">IF(E30=F30,"VIOLATION - Same Person Requested &amp; Approved","OK")</f>
        <v>VIOLATION - Same Person Requested &amp; Approved</v>
      </c>
    </row>
    <row r="31" customFormat="false" ht="15" hidden="false" customHeight="false" outlineLevel="0" collapsed="false">
      <c r="A31" s="16" t="str">
        <f aca="false">Purchase_Orders!A28</f>
        <v>PO10027</v>
      </c>
      <c r="B31" s="16" t="str">
        <f aca="false">Purchase_Orders!B28</f>
        <v>V1017</v>
      </c>
      <c r="C31" s="17" t="n">
        <f aca="false">Purchase_Orders!C28</f>
        <v>45796</v>
      </c>
      <c r="D31" s="18" t="n">
        <f aca="false">Purchase_Orders!D28</f>
        <v>1863.09</v>
      </c>
      <c r="E31" s="16" t="str">
        <f aca="false">Purchase_Orders!F28</f>
        <v>Stephen Mckee</v>
      </c>
      <c r="F31" s="16" t="str">
        <f aca="false">Purchase_Orders!G28</f>
        <v>Sharon Cherry</v>
      </c>
      <c r="G31" s="16" t="str">
        <f aca="false">IF(E31=F31,"VIOLATION - Same Person Requested &amp; Approved","OK")</f>
        <v>OK</v>
      </c>
    </row>
    <row r="32" customFormat="false" ht="15" hidden="false" customHeight="false" outlineLevel="0" collapsed="false">
      <c r="A32" s="16" t="str">
        <f aca="false">Purchase_Orders!A29</f>
        <v>PO10028</v>
      </c>
      <c r="B32" s="16" t="str">
        <f aca="false">Purchase_Orders!B29</f>
        <v>V1009</v>
      </c>
      <c r="C32" s="17" t="n">
        <f aca="false">Purchase_Orders!C29</f>
        <v>46044</v>
      </c>
      <c r="D32" s="18" t="n">
        <f aca="false">Purchase_Orders!D29</f>
        <v>1558.36</v>
      </c>
      <c r="E32" s="16" t="str">
        <f aca="false">Purchase_Orders!F29</f>
        <v>Shirley Suarez</v>
      </c>
      <c r="F32" s="16" t="str">
        <f aca="false">Purchase_Orders!G29</f>
        <v>Sharon Cochran</v>
      </c>
      <c r="G32" s="16" t="str">
        <f aca="false">IF(E32=F32,"VIOLATION - Same Person Requested &amp; Approved","OK")</f>
        <v>OK</v>
      </c>
    </row>
    <row r="33" customFormat="false" ht="15" hidden="false" customHeight="false" outlineLevel="0" collapsed="false">
      <c r="A33" s="16" t="str">
        <f aca="false">Purchase_Orders!A30</f>
        <v>PO10029</v>
      </c>
      <c r="B33" s="16" t="str">
        <f aca="false">Purchase_Orders!B30</f>
        <v>V1013</v>
      </c>
      <c r="C33" s="17" t="n">
        <f aca="false">Purchase_Orders!C30</f>
        <v>45658</v>
      </c>
      <c r="D33" s="18" t="n">
        <f aca="false">Purchase_Orders!D30</f>
        <v>1249.67</v>
      </c>
      <c r="E33" s="16" t="str">
        <f aca="false">Purchase_Orders!F30</f>
        <v>Brian Rodriguez</v>
      </c>
      <c r="F33" s="16" t="str">
        <f aca="false">Purchase_Orders!G30</f>
        <v>Sharon Cherry</v>
      </c>
      <c r="G33" s="16" t="str">
        <f aca="false">IF(E33=F33,"VIOLATION - Same Person Requested &amp; Approved","OK")</f>
        <v>OK</v>
      </c>
    </row>
    <row r="34" customFormat="false" ht="15" hidden="false" customHeight="false" outlineLevel="0" collapsed="false">
      <c r="A34" s="16" t="str">
        <f aca="false">Purchase_Orders!A31</f>
        <v>PO10030</v>
      </c>
      <c r="B34" s="16" t="str">
        <f aca="false">Purchase_Orders!B31</f>
        <v>V1037</v>
      </c>
      <c r="C34" s="17" t="n">
        <f aca="false">Purchase_Orders!C31</f>
        <v>46162</v>
      </c>
      <c r="D34" s="18" t="n">
        <f aca="false">Purchase_Orders!D31</f>
        <v>11338.1</v>
      </c>
      <c r="E34" s="16" t="str">
        <f aca="false">Purchase_Orders!F31</f>
        <v>Brian Rodriguez</v>
      </c>
      <c r="F34" s="16" t="str">
        <f aca="false">Purchase_Orders!G31</f>
        <v>Sharon Cochran</v>
      </c>
      <c r="G34" s="16" t="str">
        <f aca="false">IF(E34=F34,"VIOLATION - Same Person Requested &amp; Approved","OK")</f>
        <v>OK</v>
      </c>
    </row>
    <row r="35" customFormat="false" ht="15" hidden="false" customHeight="false" outlineLevel="0" collapsed="false">
      <c r="A35" s="16" t="str">
        <f aca="false">Purchase_Orders!A32</f>
        <v>PO10031</v>
      </c>
      <c r="B35" s="16" t="str">
        <f aca="false">Purchase_Orders!B32</f>
        <v>V1016</v>
      </c>
      <c r="C35" s="17" t="n">
        <f aca="false">Purchase_Orders!C32</f>
        <v>45951</v>
      </c>
      <c r="D35" s="18" t="n">
        <f aca="false">Purchase_Orders!D32</f>
        <v>877.47</v>
      </c>
      <c r="E35" s="16" t="str">
        <f aca="false">Purchase_Orders!F32</f>
        <v>Deborah Figueroa</v>
      </c>
      <c r="F35" s="16" t="str">
        <f aca="false">Purchase_Orders!G32</f>
        <v>Sharon Cochran</v>
      </c>
      <c r="G35" s="16" t="str">
        <f aca="false">IF(E35=F35,"VIOLATION - Same Person Requested &amp; Approved","OK")</f>
        <v>OK</v>
      </c>
    </row>
    <row r="36" customFormat="false" ht="15" hidden="false" customHeight="false" outlineLevel="0" collapsed="false">
      <c r="A36" s="16" t="str">
        <f aca="false">Purchase_Orders!A33</f>
        <v>PO10032</v>
      </c>
      <c r="B36" s="16" t="str">
        <f aca="false">Purchase_Orders!B33</f>
        <v>V1017</v>
      </c>
      <c r="C36" s="17" t="n">
        <f aca="false">Purchase_Orders!C33</f>
        <v>46050</v>
      </c>
      <c r="D36" s="18" t="n">
        <f aca="false">Purchase_Orders!D33</f>
        <v>644.78</v>
      </c>
      <c r="E36" s="16" t="str">
        <f aca="false">Purchase_Orders!F33</f>
        <v>Sandra Aguilar</v>
      </c>
      <c r="F36" s="16" t="str">
        <f aca="false">Purchase_Orders!G33</f>
        <v>Marc Moore</v>
      </c>
      <c r="G36" s="16" t="str">
        <f aca="false">IF(E36=F36,"VIOLATION - Same Person Requested &amp; Approved","OK")</f>
        <v>OK</v>
      </c>
    </row>
    <row r="37" customFormat="false" ht="15" hidden="false" customHeight="false" outlineLevel="0" collapsed="false">
      <c r="A37" s="16" t="str">
        <f aca="false">Purchase_Orders!A34</f>
        <v>PO10033</v>
      </c>
      <c r="B37" s="16" t="str">
        <f aca="false">Purchase_Orders!B34</f>
        <v>V1040</v>
      </c>
      <c r="C37" s="17" t="n">
        <f aca="false">Purchase_Orders!C34</f>
        <v>46062</v>
      </c>
      <c r="D37" s="18" t="n">
        <f aca="false">Purchase_Orders!D34</f>
        <v>10749.2</v>
      </c>
      <c r="E37" s="16" t="str">
        <f aca="false">Purchase_Orders!F34</f>
        <v>Deborah Figueroa</v>
      </c>
      <c r="F37" s="16" t="str">
        <f aca="false">Purchase_Orders!G34</f>
        <v>Sharon Cochran</v>
      </c>
      <c r="G37" s="16" t="str">
        <f aca="false">IF(E37=F37,"VIOLATION - Same Person Requested &amp; Approved","OK")</f>
        <v>OK</v>
      </c>
    </row>
    <row r="38" customFormat="false" ht="15" hidden="false" customHeight="false" outlineLevel="0" collapsed="false">
      <c r="A38" s="16" t="str">
        <f aca="false">Purchase_Orders!A35</f>
        <v>PO10034</v>
      </c>
      <c r="B38" s="16" t="str">
        <f aca="false">Purchase_Orders!B35</f>
        <v>V1018</v>
      </c>
      <c r="C38" s="17" t="n">
        <f aca="false">Purchase_Orders!C35</f>
        <v>46023</v>
      </c>
      <c r="D38" s="18" t="n">
        <f aca="false">Purchase_Orders!D35</f>
        <v>10173.53</v>
      </c>
      <c r="E38" s="16" t="str">
        <f aca="false">Purchase_Orders!F35</f>
        <v>Eugene Walton</v>
      </c>
      <c r="F38" s="16" t="str">
        <f aca="false">Purchase_Orders!G35</f>
        <v>Sierra Johnson</v>
      </c>
      <c r="G38" s="16" t="str">
        <f aca="false">IF(E38=F38,"VIOLATION - Same Person Requested &amp; Approved","OK")</f>
        <v>OK</v>
      </c>
    </row>
    <row r="39" customFormat="false" ht="15" hidden="false" customHeight="false" outlineLevel="0" collapsed="false">
      <c r="A39" s="16" t="str">
        <f aca="false">Purchase_Orders!A36</f>
        <v>PO10035</v>
      </c>
      <c r="B39" s="16" t="str">
        <f aca="false">Purchase_Orders!B36</f>
        <v>V1023</v>
      </c>
      <c r="C39" s="17" t="n">
        <f aca="false">Purchase_Orders!C36</f>
        <v>45856</v>
      </c>
      <c r="D39" s="18" t="n">
        <f aca="false">Purchase_Orders!D36</f>
        <v>7427.81</v>
      </c>
      <c r="E39" s="16" t="str">
        <f aca="false">Purchase_Orders!F36</f>
        <v>Eugene Walton</v>
      </c>
      <c r="F39" s="16" t="str">
        <f aca="false">Purchase_Orders!G36</f>
        <v>Sierra Johnson</v>
      </c>
      <c r="G39" s="16" t="str">
        <f aca="false">IF(E39=F39,"VIOLATION - Same Person Requested &amp; Approved","OK")</f>
        <v>OK</v>
      </c>
    </row>
    <row r="40" customFormat="false" ht="15" hidden="false" customHeight="false" outlineLevel="0" collapsed="false">
      <c r="A40" s="16" t="str">
        <f aca="false">Purchase_Orders!A37</f>
        <v>PO10036</v>
      </c>
      <c r="B40" s="16" t="str">
        <f aca="false">Purchase_Orders!B37</f>
        <v>V1024</v>
      </c>
      <c r="C40" s="17" t="n">
        <f aca="false">Purchase_Orders!C37</f>
        <v>45696</v>
      </c>
      <c r="D40" s="18" t="n">
        <f aca="false">Purchase_Orders!D37</f>
        <v>3858.14</v>
      </c>
      <c r="E40" s="16" t="str">
        <f aca="false">Purchase_Orders!F37</f>
        <v>Stephen Mckee</v>
      </c>
      <c r="F40" s="16" t="str">
        <f aca="false">Purchase_Orders!G37</f>
        <v>Evelyn Galvan</v>
      </c>
      <c r="G40" s="16" t="str">
        <f aca="false">IF(E40=F40,"VIOLATION - Same Person Requested &amp; Approved","OK")</f>
        <v>OK</v>
      </c>
    </row>
    <row r="41" customFormat="false" ht="15" hidden="false" customHeight="false" outlineLevel="0" collapsed="false">
      <c r="A41" s="16" t="str">
        <f aca="false">Purchase_Orders!A38</f>
        <v>PO10037</v>
      </c>
      <c r="B41" s="16" t="str">
        <f aca="false">Purchase_Orders!B38</f>
        <v>V1008</v>
      </c>
      <c r="C41" s="17" t="n">
        <f aca="false">Purchase_Orders!C38</f>
        <v>46020</v>
      </c>
      <c r="D41" s="18" t="n">
        <f aca="false">Purchase_Orders!D38</f>
        <v>1031.9</v>
      </c>
      <c r="E41" s="16" t="str">
        <f aca="false">Purchase_Orders!F38</f>
        <v>Shirley Suarez</v>
      </c>
      <c r="F41" s="16" t="str">
        <f aca="false">Purchase_Orders!G38</f>
        <v>Sharon Cochran</v>
      </c>
      <c r="G41" s="16" t="str">
        <f aca="false">IF(E41=F41,"VIOLATION - Same Person Requested &amp; Approved","OK")</f>
        <v>OK</v>
      </c>
    </row>
    <row r="42" customFormat="false" ht="15" hidden="false" customHeight="false" outlineLevel="0" collapsed="false">
      <c r="A42" s="16" t="str">
        <f aca="false">Purchase_Orders!A39</f>
        <v>PO10038</v>
      </c>
      <c r="B42" s="16" t="str">
        <f aca="false">Purchase_Orders!B39</f>
        <v>V1023</v>
      </c>
      <c r="C42" s="17" t="n">
        <f aca="false">Purchase_Orders!C39</f>
        <v>45837</v>
      </c>
      <c r="D42" s="18" t="n">
        <f aca="false">Purchase_Orders!D39</f>
        <v>117.56</v>
      </c>
      <c r="E42" s="16" t="str">
        <f aca="false">Purchase_Orders!F39</f>
        <v>Lisa Archer</v>
      </c>
      <c r="F42" s="16" t="str">
        <f aca="false">Purchase_Orders!G39</f>
        <v>Marc Moore</v>
      </c>
      <c r="G42" s="16" t="str">
        <f aca="false">IF(E42=F42,"VIOLATION - Same Person Requested &amp; Approved","OK")</f>
        <v>OK</v>
      </c>
    </row>
    <row r="43" customFormat="false" ht="15" hidden="false" customHeight="false" outlineLevel="0" collapsed="false">
      <c r="A43" s="16" t="str">
        <f aca="false">Purchase_Orders!A40</f>
        <v>PO10039</v>
      </c>
      <c r="B43" s="16" t="str">
        <f aca="false">Purchase_Orders!B40</f>
        <v>V1012</v>
      </c>
      <c r="C43" s="17" t="n">
        <f aca="false">Purchase_Orders!C40</f>
        <v>45829</v>
      </c>
      <c r="D43" s="18" t="n">
        <f aca="false">Purchase_Orders!D40</f>
        <v>21146.76</v>
      </c>
      <c r="E43" s="16" t="str">
        <f aca="false">Purchase_Orders!F40</f>
        <v>Christina Walters</v>
      </c>
      <c r="F43" s="16" t="str">
        <f aca="false">Purchase_Orders!G40</f>
        <v>Sharon Cochran</v>
      </c>
      <c r="G43" s="16" t="str">
        <f aca="false">IF(E43=F43,"VIOLATION - Same Person Requested &amp; Approved","OK")</f>
        <v>OK</v>
      </c>
    </row>
    <row r="44" customFormat="false" ht="15" hidden="false" customHeight="false" outlineLevel="0" collapsed="false">
      <c r="A44" s="16" t="str">
        <f aca="false">Purchase_Orders!A41</f>
        <v>PO10040</v>
      </c>
      <c r="B44" s="16" t="str">
        <f aca="false">Purchase_Orders!B41</f>
        <v>V1038</v>
      </c>
      <c r="C44" s="17" t="n">
        <f aca="false">Purchase_Orders!C41</f>
        <v>46120</v>
      </c>
      <c r="D44" s="18" t="n">
        <f aca="false">Purchase_Orders!D41</f>
        <v>869.11</v>
      </c>
      <c r="E44" s="16" t="str">
        <f aca="false">Purchase_Orders!F41</f>
        <v>Matthew Mcmillan</v>
      </c>
      <c r="F44" s="16" t="str">
        <f aca="false">Purchase_Orders!G41</f>
        <v>Sierra Johnson</v>
      </c>
      <c r="G44" s="16" t="str">
        <f aca="false">IF(E44=F44,"VIOLATION - Same Person Requested &amp; Approved","OK")</f>
        <v>OK</v>
      </c>
    </row>
    <row r="45" customFormat="false" ht="15" hidden="false" customHeight="false" outlineLevel="0" collapsed="false">
      <c r="A45" s="16" t="str">
        <f aca="false">Purchase_Orders!A42</f>
        <v>PO10041</v>
      </c>
      <c r="B45" s="16" t="str">
        <f aca="false">Purchase_Orders!B42</f>
        <v>V1015</v>
      </c>
      <c r="C45" s="17" t="n">
        <f aca="false">Purchase_Orders!C42</f>
        <v>46050</v>
      </c>
      <c r="D45" s="18" t="n">
        <f aca="false">Purchase_Orders!D42</f>
        <v>1410.52</v>
      </c>
      <c r="E45" s="16" t="str">
        <f aca="false">Purchase_Orders!F42</f>
        <v>Lisa Archer</v>
      </c>
      <c r="F45" s="16" t="str">
        <f aca="false">Purchase_Orders!G42</f>
        <v>Sierra Johnson</v>
      </c>
      <c r="G45" s="16" t="str">
        <f aca="false">IF(E45=F45,"VIOLATION - Same Person Requested &amp; Approved","OK")</f>
        <v>OK</v>
      </c>
    </row>
    <row r="46" customFormat="false" ht="15" hidden="false" customHeight="false" outlineLevel="0" collapsed="false">
      <c r="A46" s="16" t="str">
        <f aca="false">Purchase_Orders!A43</f>
        <v>PO10042</v>
      </c>
      <c r="B46" s="16" t="str">
        <f aca="false">Purchase_Orders!B43</f>
        <v>V1011</v>
      </c>
      <c r="C46" s="17" t="n">
        <f aca="false">Purchase_Orders!C43</f>
        <v>45821</v>
      </c>
      <c r="D46" s="18" t="n">
        <f aca="false">Purchase_Orders!D43</f>
        <v>1814.85</v>
      </c>
      <c r="E46" s="16" t="str">
        <f aca="false">Purchase_Orders!F43</f>
        <v>Deborah Figueroa</v>
      </c>
      <c r="F46" s="16" t="str">
        <f aca="false">Purchase_Orders!G43</f>
        <v>Shannon Walker</v>
      </c>
      <c r="G46" s="16" t="str">
        <f aca="false">IF(E46=F46,"VIOLATION - Same Person Requested &amp; Approved","OK")</f>
        <v>OK</v>
      </c>
    </row>
    <row r="47" customFormat="false" ht="15" hidden="false" customHeight="false" outlineLevel="0" collapsed="false">
      <c r="A47" s="16" t="str">
        <f aca="false">Purchase_Orders!A44</f>
        <v>PO10043</v>
      </c>
      <c r="B47" s="16" t="str">
        <f aca="false">Purchase_Orders!B44</f>
        <v>V1008</v>
      </c>
      <c r="C47" s="17" t="n">
        <f aca="false">Purchase_Orders!C44</f>
        <v>45826</v>
      </c>
      <c r="D47" s="18" t="n">
        <f aca="false">Purchase_Orders!D44</f>
        <v>1238.85</v>
      </c>
      <c r="E47" s="16" t="str">
        <f aca="false">Purchase_Orders!F44</f>
        <v>Eugene Walton</v>
      </c>
      <c r="F47" s="16" t="str">
        <f aca="false">Purchase_Orders!G44</f>
        <v>Sharon Cherry</v>
      </c>
      <c r="G47" s="16" t="str">
        <f aca="false">IF(E47=F47,"VIOLATION - Same Person Requested &amp; Approved","OK")</f>
        <v>OK</v>
      </c>
    </row>
    <row r="48" customFormat="false" ht="15" hidden="false" customHeight="false" outlineLevel="0" collapsed="false">
      <c r="A48" s="16" t="str">
        <f aca="false">Purchase_Orders!A45</f>
        <v>PO10044</v>
      </c>
      <c r="B48" s="16" t="str">
        <f aca="false">Purchase_Orders!B45</f>
        <v>V1011</v>
      </c>
      <c r="C48" s="17" t="n">
        <f aca="false">Purchase_Orders!C45</f>
        <v>45880</v>
      </c>
      <c r="D48" s="18" t="n">
        <f aca="false">Purchase_Orders!D45</f>
        <v>9938.09</v>
      </c>
      <c r="E48" s="16" t="str">
        <f aca="false">Purchase_Orders!F45</f>
        <v>Rebecca Valencia</v>
      </c>
      <c r="F48" s="16" t="str">
        <f aca="false">Purchase_Orders!G45</f>
        <v>Sierra Johnson</v>
      </c>
      <c r="G48" s="16" t="str">
        <f aca="false">IF(E48=F48,"VIOLATION - Same Person Requested &amp; Approved","OK")</f>
        <v>OK</v>
      </c>
    </row>
    <row r="49" customFormat="false" ht="15" hidden="false" customHeight="false" outlineLevel="0" collapsed="false">
      <c r="A49" s="16" t="str">
        <f aca="false">Purchase_Orders!A46</f>
        <v>PO10045</v>
      </c>
      <c r="B49" s="16" t="str">
        <f aca="false">Purchase_Orders!B46</f>
        <v>V1016</v>
      </c>
      <c r="C49" s="17" t="n">
        <f aca="false">Purchase_Orders!C46</f>
        <v>45877</v>
      </c>
      <c r="D49" s="18" t="n">
        <f aca="false">Purchase_Orders!D46</f>
        <v>1076.83</v>
      </c>
      <c r="E49" s="16" t="str">
        <f aca="false">Purchase_Orders!F46</f>
        <v>Brian Rodriguez</v>
      </c>
      <c r="F49" s="16" t="str">
        <f aca="false">Purchase_Orders!G46</f>
        <v>Sierra Johnson</v>
      </c>
      <c r="G49" s="16" t="str">
        <f aca="false">IF(E49=F49,"VIOLATION - Same Person Requested &amp; Approved","OK")</f>
        <v>OK</v>
      </c>
    </row>
    <row r="50" customFormat="false" ht="15" hidden="false" customHeight="false" outlineLevel="0" collapsed="false">
      <c r="A50" s="16" t="str">
        <f aca="false">Purchase_Orders!A47</f>
        <v>PO10046</v>
      </c>
      <c r="B50" s="16" t="str">
        <f aca="false">Purchase_Orders!B47</f>
        <v>V1001</v>
      </c>
      <c r="C50" s="17" t="n">
        <f aca="false">Purchase_Orders!C47</f>
        <v>45819</v>
      </c>
      <c r="D50" s="18" t="n">
        <f aca="false">Purchase_Orders!D47</f>
        <v>5899.58</v>
      </c>
      <c r="E50" s="16" t="str">
        <f aca="false">Purchase_Orders!F47</f>
        <v>Christina Moran</v>
      </c>
      <c r="F50" s="16" t="str">
        <f aca="false">Purchase_Orders!G47</f>
        <v>Sharon Cochran</v>
      </c>
      <c r="G50" s="16" t="str">
        <f aca="false">IF(E50=F50,"VIOLATION - Same Person Requested &amp; Approved","OK")</f>
        <v>OK</v>
      </c>
    </row>
    <row r="51" customFormat="false" ht="15" hidden="false" customHeight="false" outlineLevel="0" collapsed="false">
      <c r="A51" s="16" t="str">
        <f aca="false">Purchase_Orders!A48</f>
        <v>PO10047</v>
      </c>
      <c r="B51" s="16" t="str">
        <f aca="false">Purchase_Orders!B48</f>
        <v>V1020</v>
      </c>
      <c r="C51" s="17" t="n">
        <f aca="false">Purchase_Orders!C48</f>
        <v>45727</v>
      </c>
      <c r="D51" s="18" t="n">
        <f aca="false">Purchase_Orders!D48</f>
        <v>31348.72</v>
      </c>
      <c r="E51" s="16" t="str">
        <f aca="false">Purchase_Orders!F48</f>
        <v>Christina Moran</v>
      </c>
      <c r="F51" s="16" t="str">
        <f aca="false">Purchase_Orders!G48</f>
        <v>Richard Rodriguez</v>
      </c>
      <c r="G51" s="16" t="str">
        <f aca="false">IF(E51=F51,"VIOLATION - Same Person Requested &amp; Approved","OK")</f>
        <v>OK</v>
      </c>
    </row>
    <row r="52" customFormat="false" ht="15" hidden="false" customHeight="false" outlineLevel="0" collapsed="false">
      <c r="A52" s="16" t="str">
        <f aca="false">Purchase_Orders!A49</f>
        <v>PO10048</v>
      </c>
      <c r="B52" s="16" t="str">
        <f aca="false">Purchase_Orders!B49</f>
        <v>V1022</v>
      </c>
      <c r="C52" s="17" t="n">
        <f aca="false">Purchase_Orders!C49</f>
        <v>45887</v>
      </c>
      <c r="D52" s="18" t="n">
        <f aca="false">Purchase_Orders!D49</f>
        <v>2845.35</v>
      </c>
      <c r="E52" s="16" t="str">
        <f aca="false">Purchase_Orders!F49</f>
        <v>Christopher Bass</v>
      </c>
      <c r="F52" s="16" t="str">
        <f aca="false">Purchase_Orders!G49</f>
        <v>Sharon Cherry</v>
      </c>
      <c r="G52" s="16" t="str">
        <f aca="false">IF(E52=F52,"VIOLATION - Same Person Requested &amp; Approved","OK")</f>
        <v>OK</v>
      </c>
    </row>
    <row r="53" customFormat="false" ht="15" hidden="false" customHeight="false" outlineLevel="0" collapsed="false">
      <c r="A53" s="16" t="str">
        <f aca="false">Purchase_Orders!A50</f>
        <v>PO10049</v>
      </c>
      <c r="B53" s="16" t="str">
        <f aca="false">Purchase_Orders!B50</f>
        <v>V1039</v>
      </c>
      <c r="C53" s="17" t="n">
        <f aca="false">Purchase_Orders!C50</f>
        <v>46170</v>
      </c>
      <c r="D53" s="18" t="n">
        <f aca="false">Purchase_Orders!D50</f>
        <v>10325.83</v>
      </c>
      <c r="E53" s="16" t="str">
        <f aca="false">Purchase_Orders!F50</f>
        <v>Deborah Figueroa</v>
      </c>
      <c r="F53" s="16" t="str">
        <f aca="false">Purchase_Orders!G50</f>
        <v>Shannon Walker</v>
      </c>
      <c r="G53" s="16" t="str">
        <f aca="false">IF(E53=F53,"VIOLATION - Same Person Requested &amp; Approved","OK")</f>
        <v>OK</v>
      </c>
    </row>
    <row r="54" customFormat="false" ht="15" hidden="false" customHeight="false" outlineLevel="0" collapsed="false">
      <c r="A54" s="16" t="str">
        <f aca="false">Purchase_Orders!A51</f>
        <v>PO10050</v>
      </c>
      <c r="B54" s="16" t="str">
        <f aca="false">Purchase_Orders!B51</f>
        <v>V1025</v>
      </c>
      <c r="C54" s="17" t="n">
        <f aca="false">Purchase_Orders!C51</f>
        <v>46027</v>
      </c>
      <c r="D54" s="18" t="n">
        <f aca="false">Purchase_Orders!D51</f>
        <v>22892.64</v>
      </c>
      <c r="E54" s="16" t="str">
        <f aca="false">Purchase_Orders!F51</f>
        <v>Christine Wright</v>
      </c>
      <c r="F54" s="16" t="str">
        <f aca="false">Purchase_Orders!G51</f>
        <v>Sierra Johnson</v>
      </c>
      <c r="G54" s="16" t="str">
        <f aca="false">IF(E54=F54,"VIOLATION - Same Person Requested &amp; Approved","OK")</f>
        <v>OK</v>
      </c>
    </row>
    <row r="55" customFormat="false" ht="15" hidden="false" customHeight="false" outlineLevel="0" collapsed="false">
      <c r="A55" s="16" t="str">
        <f aca="false">Purchase_Orders!A52</f>
        <v>PO10051</v>
      </c>
      <c r="B55" s="16" t="str">
        <f aca="false">Purchase_Orders!B52</f>
        <v>V1006</v>
      </c>
      <c r="C55" s="17" t="n">
        <f aca="false">Purchase_Orders!C52</f>
        <v>46150</v>
      </c>
      <c r="D55" s="18" t="n">
        <f aca="false">Purchase_Orders!D52</f>
        <v>306.49</v>
      </c>
      <c r="E55" s="16" t="str">
        <f aca="false">Purchase_Orders!F52</f>
        <v>Christopher Bass</v>
      </c>
      <c r="F55" s="16" t="str">
        <f aca="false">Purchase_Orders!G52</f>
        <v>Sierra Johnson</v>
      </c>
      <c r="G55" s="16" t="str">
        <f aca="false">IF(E55=F55,"VIOLATION - Same Person Requested &amp; Approved","OK")</f>
        <v>OK</v>
      </c>
    </row>
    <row r="56" customFormat="false" ht="15" hidden="false" customHeight="false" outlineLevel="0" collapsed="false">
      <c r="A56" s="16" t="str">
        <f aca="false">Purchase_Orders!A53</f>
        <v>PO10052</v>
      </c>
      <c r="B56" s="16" t="str">
        <f aca="false">Purchase_Orders!B53</f>
        <v>V1024</v>
      </c>
      <c r="C56" s="17" t="n">
        <f aca="false">Purchase_Orders!C53</f>
        <v>45993</v>
      </c>
      <c r="D56" s="18" t="n">
        <f aca="false">Purchase_Orders!D53</f>
        <v>5034.71</v>
      </c>
      <c r="E56" s="16" t="str">
        <f aca="false">Purchase_Orders!F53</f>
        <v>Angel Lewis MD</v>
      </c>
      <c r="F56" s="16" t="str">
        <f aca="false">Purchase_Orders!G53</f>
        <v>Angel Lewis MD</v>
      </c>
      <c r="G56" s="16" t="str">
        <f aca="false">IF(E56=F56,"VIOLATION - Same Person Requested &amp; Approved","OK")</f>
        <v>VIOLATION - Same Person Requested &amp; Approved</v>
      </c>
    </row>
    <row r="57" customFormat="false" ht="15" hidden="false" customHeight="false" outlineLevel="0" collapsed="false">
      <c r="A57" s="16" t="str">
        <f aca="false">Purchase_Orders!A54</f>
        <v>PO10053</v>
      </c>
      <c r="B57" s="16" t="str">
        <f aca="false">Purchase_Orders!B54</f>
        <v>V1029</v>
      </c>
      <c r="C57" s="17" t="n">
        <f aca="false">Purchase_Orders!C54</f>
        <v>45822</v>
      </c>
      <c r="D57" s="18" t="n">
        <f aca="false">Purchase_Orders!D54</f>
        <v>1369.29</v>
      </c>
      <c r="E57" s="16" t="str">
        <f aca="false">Purchase_Orders!F54</f>
        <v>Christine Wright</v>
      </c>
      <c r="F57" s="16" t="str">
        <f aca="false">Purchase_Orders!G54</f>
        <v>Richard Rodriguez</v>
      </c>
      <c r="G57" s="16" t="str">
        <f aca="false">IF(E57=F57,"VIOLATION - Same Person Requested &amp; Approved","OK")</f>
        <v>OK</v>
      </c>
    </row>
    <row r="58" customFormat="false" ht="15" hidden="false" customHeight="false" outlineLevel="0" collapsed="false">
      <c r="A58" s="16" t="str">
        <f aca="false">Purchase_Orders!A55</f>
        <v>PO10054</v>
      </c>
      <c r="B58" s="16" t="str">
        <f aca="false">Purchase_Orders!B55</f>
        <v>V1025</v>
      </c>
      <c r="C58" s="17" t="n">
        <f aca="false">Purchase_Orders!C55</f>
        <v>45956</v>
      </c>
      <c r="D58" s="18" t="n">
        <f aca="false">Purchase_Orders!D55</f>
        <v>2783.02</v>
      </c>
      <c r="E58" s="16" t="str">
        <f aca="false">Purchase_Orders!F55</f>
        <v>Christina Walters</v>
      </c>
      <c r="F58" s="16" t="str">
        <f aca="false">Purchase_Orders!G55</f>
        <v>Evelyn Galvan</v>
      </c>
      <c r="G58" s="16" t="str">
        <f aca="false">IF(E58=F58,"VIOLATION - Same Person Requested &amp; Approved","OK")</f>
        <v>OK</v>
      </c>
    </row>
    <row r="59" customFormat="false" ht="15" hidden="false" customHeight="false" outlineLevel="0" collapsed="false">
      <c r="A59" s="16" t="str">
        <f aca="false">Purchase_Orders!A56</f>
        <v>PO10055</v>
      </c>
      <c r="B59" s="16" t="str">
        <f aca="false">Purchase_Orders!B56</f>
        <v>V1031</v>
      </c>
      <c r="C59" s="17" t="n">
        <f aca="false">Purchase_Orders!C56</f>
        <v>45658</v>
      </c>
      <c r="D59" s="18" t="n">
        <f aca="false">Purchase_Orders!D56</f>
        <v>1474.66</v>
      </c>
      <c r="E59" s="16" t="str">
        <f aca="false">Purchase_Orders!F56</f>
        <v>Rebecca Valencia</v>
      </c>
      <c r="F59" s="16" t="str">
        <f aca="false">Purchase_Orders!G56</f>
        <v>Sharon Cherry</v>
      </c>
      <c r="G59" s="16" t="str">
        <f aca="false">IF(E59=F59,"VIOLATION - Same Person Requested &amp; Approved","OK")</f>
        <v>OK</v>
      </c>
    </row>
    <row r="60" customFormat="false" ht="15" hidden="false" customHeight="false" outlineLevel="0" collapsed="false">
      <c r="A60" s="16" t="str">
        <f aca="false">Purchase_Orders!A57</f>
        <v>PO10056</v>
      </c>
      <c r="B60" s="16" t="str">
        <f aca="false">Purchase_Orders!B57</f>
        <v>V1031</v>
      </c>
      <c r="C60" s="17" t="n">
        <f aca="false">Purchase_Orders!C57</f>
        <v>45814</v>
      </c>
      <c r="D60" s="18" t="n">
        <f aca="false">Purchase_Orders!D57</f>
        <v>1567.44</v>
      </c>
      <c r="E60" s="16" t="str">
        <f aca="false">Purchase_Orders!F57</f>
        <v>Christina Moran</v>
      </c>
      <c r="F60" s="16" t="str">
        <f aca="false">Purchase_Orders!G57</f>
        <v>Julia Torres</v>
      </c>
      <c r="G60" s="16" t="str">
        <f aca="false">IF(E60=F60,"VIOLATION - Same Person Requested &amp; Approved","OK")</f>
        <v>OK</v>
      </c>
    </row>
    <row r="61" customFormat="false" ht="15" hidden="false" customHeight="false" outlineLevel="0" collapsed="false">
      <c r="A61" s="16" t="str">
        <f aca="false">Purchase_Orders!A58</f>
        <v>PO10057</v>
      </c>
      <c r="B61" s="16" t="str">
        <f aca="false">Purchase_Orders!B58</f>
        <v>V1029</v>
      </c>
      <c r="C61" s="17" t="n">
        <f aca="false">Purchase_Orders!C58</f>
        <v>45892</v>
      </c>
      <c r="D61" s="18" t="n">
        <f aca="false">Purchase_Orders!D58</f>
        <v>7649.01</v>
      </c>
      <c r="E61" s="16" t="str">
        <f aca="false">Purchase_Orders!F58</f>
        <v>John Whitehead</v>
      </c>
      <c r="F61" s="16" t="str">
        <f aca="false">Purchase_Orders!G58</f>
        <v>Richard Rodriguez</v>
      </c>
      <c r="G61" s="16" t="str">
        <f aca="false">IF(E61=F61,"VIOLATION - Same Person Requested &amp; Approved","OK")</f>
        <v>OK</v>
      </c>
    </row>
    <row r="62" customFormat="false" ht="15" hidden="false" customHeight="false" outlineLevel="0" collapsed="false">
      <c r="A62" s="16" t="str">
        <f aca="false">Purchase_Orders!A59</f>
        <v>PO10058</v>
      </c>
      <c r="B62" s="16" t="str">
        <f aca="false">Purchase_Orders!B59</f>
        <v>V1009</v>
      </c>
      <c r="C62" s="17" t="n">
        <f aca="false">Purchase_Orders!C59</f>
        <v>45974</v>
      </c>
      <c r="D62" s="18" t="n">
        <f aca="false">Purchase_Orders!D59</f>
        <v>3881</v>
      </c>
      <c r="E62" s="16" t="str">
        <f aca="false">Purchase_Orders!F59</f>
        <v>Christopher Bass</v>
      </c>
      <c r="F62" s="16" t="str">
        <f aca="false">Purchase_Orders!G59</f>
        <v>Christopher Bass</v>
      </c>
      <c r="G62" s="16" t="str">
        <f aca="false">IF(E62=F62,"VIOLATION - Same Person Requested &amp; Approved","OK")</f>
        <v>VIOLATION - Same Person Requested &amp; Approved</v>
      </c>
    </row>
    <row r="63" customFormat="false" ht="15" hidden="false" customHeight="false" outlineLevel="0" collapsed="false">
      <c r="A63" s="16" t="str">
        <f aca="false">Purchase_Orders!A60</f>
        <v>PO10059</v>
      </c>
      <c r="B63" s="16" t="str">
        <f aca="false">Purchase_Orders!B60</f>
        <v>V1019</v>
      </c>
      <c r="C63" s="17" t="n">
        <f aca="false">Purchase_Orders!C60</f>
        <v>46014</v>
      </c>
      <c r="D63" s="18" t="n">
        <f aca="false">Purchase_Orders!D60</f>
        <v>3262.21</v>
      </c>
      <c r="E63" s="16" t="str">
        <f aca="false">Purchase_Orders!F60</f>
        <v>Shirley Suarez</v>
      </c>
      <c r="F63" s="16" t="str">
        <f aca="false">Purchase_Orders!G60</f>
        <v>Shannon Walker</v>
      </c>
      <c r="G63" s="16" t="str">
        <f aca="false">IF(E63=F63,"VIOLATION - Same Person Requested &amp; Approved","OK")</f>
        <v>OK</v>
      </c>
    </row>
    <row r="64" customFormat="false" ht="15" hidden="false" customHeight="false" outlineLevel="0" collapsed="false">
      <c r="A64" s="16" t="str">
        <f aca="false">Purchase_Orders!A61</f>
        <v>PO10060</v>
      </c>
      <c r="B64" s="16" t="str">
        <f aca="false">Purchase_Orders!B61</f>
        <v>V1023</v>
      </c>
      <c r="C64" s="17" t="n">
        <f aca="false">Purchase_Orders!C61</f>
        <v>45911</v>
      </c>
      <c r="D64" s="18" t="n">
        <f aca="false">Purchase_Orders!D61</f>
        <v>672.96</v>
      </c>
      <c r="E64" s="16" t="str">
        <f aca="false">Purchase_Orders!F61</f>
        <v>James Powers</v>
      </c>
      <c r="F64" s="16" t="str">
        <f aca="false">Purchase_Orders!G61</f>
        <v>Sharon Cochran</v>
      </c>
      <c r="G64" s="16" t="str">
        <f aca="false">IF(E64=F64,"VIOLATION - Same Person Requested &amp; Approved","OK")</f>
        <v>OK</v>
      </c>
    </row>
    <row r="65" customFormat="false" ht="15" hidden="false" customHeight="false" outlineLevel="0" collapsed="false">
      <c r="A65" s="16" t="str">
        <f aca="false">Purchase_Orders!A62</f>
        <v>PO10061</v>
      </c>
      <c r="B65" s="16" t="str">
        <f aca="false">Purchase_Orders!B62</f>
        <v>V1013</v>
      </c>
      <c r="C65" s="17" t="n">
        <f aca="false">Purchase_Orders!C62</f>
        <v>45898</v>
      </c>
      <c r="D65" s="18" t="n">
        <f aca="false">Purchase_Orders!D62</f>
        <v>5144.03</v>
      </c>
      <c r="E65" s="16" t="str">
        <f aca="false">Purchase_Orders!F62</f>
        <v>Aaron Wise</v>
      </c>
      <c r="F65" s="16" t="str">
        <f aca="false">Purchase_Orders!G62</f>
        <v>Shannon Walker</v>
      </c>
      <c r="G65" s="16" t="str">
        <f aca="false">IF(E65=F65,"VIOLATION - Same Person Requested &amp; Approved","OK")</f>
        <v>OK</v>
      </c>
    </row>
    <row r="66" customFormat="false" ht="15" hidden="false" customHeight="false" outlineLevel="0" collapsed="false">
      <c r="A66" s="16" t="str">
        <f aca="false">Purchase_Orders!A63</f>
        <v>PO10062</v>
      </c>
      <c r="B66" s="16" t="str">
        <f aca="false">Purchase_Orders!B63</f>
        <v>V1036</v>
      </c>
      <c r="C66" s="17" t="n">
        <f aca="false">Purchase_Orders!C63</f>
        <v>45774</v>
      </c>
      <c r="D66" s="18" t="n">
        <f aca="false">Purchase_Orders!D63</f>
        <v>2886.68</v>
      </c>
      <c r="E66" s="16" t="str">
        <f aca="false">Purchase_Orders!F63</f>
        <v>Deborah Figueroa</v>
      </c>
      <c r="F66" s="16" t="str">
        <f aca="false">Purchase_Orders!G63</f>
        <v>Richard Rodriguez</v>
      </c>
      <c r="G66" s="16" t="str">
        <f aca="false">IF(E66=F66,"VIOLATION - Same Person Requested &amp; Approved","OK")</f>
        <v>OK</v>
      </c>
    </row>
    <row r="67" customFormat="false" ht="15" hidden="false" customHeight="false" outlineLevel="0" collapsed="false">
      <c r="A67" s="16" t="str">
        <f aca="false">Purchase_Orders!A64</f>
        <v>PO10063</v>
      </c>
      <c r="B67" s="16" t="str">
        <f aca="false">Purchase_Orders!B64</f>
        <v>V1038</v>
      </c>
      <c r="C67" s="17" t="n">
        <f aca="false">Purchase_Orders!C64</f>
        <v>45915</v>
      </c>
      <c r="D67" s="18" t="n">
        <f aca="false">Purchase_Orders!D64</f>
        <v>5496.95</v>
      </c>
      <c r="E67" s="16" t="str">
        <f aca="false">Purchase_Orders!F64</f>
        <v>Eugene Walton</v>
      </c>
      <c r="F67" s="16" t="str">
        <f aca="false">Purchase_Orders!G64</f>
        <v>Sharon Cochran</v>
      </c>
      <c r="G67" s="16" t="str">
        <f aca="false">IF(E67=F67,"VIOLATION - Same Person Requested &amp; Approved","OK")</f>
        <v>OK</v>
      </c>
    </row>
    <row r="68" customFormat="false" ht="15" hidden="false" customHeight="false" outlineLevel="0" collapsed="false">
      <c r="A68" s="16" t="str">
        <f aca="false">Purchase_Orders!A65</f>
        <v>PO10064</v>
      </c>
      <c r="B68" s="16" t="str">
        <f aca="false">Purchase_Orders!B65</f>
        <v>V1031</v>
      </c>
      <c r="C68" s="17" t="n">
        <f aca="false">Purchase_Orders!C65</f>
        <v>46149</v>
      </c>
      <c r="D68" s="18" t="n">
        <f aca="false">Purchase_Orders!D65</f>
        <v>1566.24</v>
      </c>
      <c r="E68" s="16" t="str">
        <f aca="false">Purchase_Orders!F65</f>
        <v>Lisa Archer</v>
      </c>
      <c r="F68" s="16" t="str">
        <f aca="false">Purchase_Orders!G65</f>
        <v>Marc Moore</v>
      </c>
      <c r="G68" s="16" t="str">
        <f aca="false">IF(E68=F68,"VIOLATION - Same Person Requested &amp; Approved","OK")</f>
        <v>OK</v>
      </c>
    </row>
    <row r="69" customFormat="false" ht="15" hidden="false" customHeight="false" outlineLevel="0" collapsed="false">
      <c r="A69" s="16" t="str">
        <f aca="false">Purchase_Orders!A66</f>
        <v>PO10065</v>
      </c>
      <c r="B69" s="16" t="str">
        <f aca="false">Purchase_Orders!B66</f>
        <v>V1027</v>
      </c>
      <c r="C69" s="17" t="n">
        <f aca="false">Purchase_Orders!C66</f>
        <v>46091</v>
      </c>
      <c r="D69" s="18" t="n">
        <f aca="false">Purchase_Orders!D66</f>
        <v>17358.33</v>
      </c>
      <c r="E69" s="16" t="str">
        <f aca="false">Purchase_Orders!F66</f>
        <v>Christina Walters</v>
      </c>
      <c r="F69" s="16" t="str">
        <f aca="false">Purchase_Orders!G66</f>
        <v>Richard Rodriguez</v>
      </c>
      <c r="G69" s="16" t="str">
        <f aca="false">IF(E69=F69,"VIOLATION - Same Person Requested &amp; Approved","OK")</f>
        <v>OK</v>
      </c>
    </row>
    <row r="70" customFormat="false" ht="15" hidden="false" customHeight="false" outlineLevel="0" collapsed="false">
      <c r="A70" s="16" t="str">
        <f aca="false">Purchase_Orders!A67</f>
        <v>PO10066</v>
      </c>
      <c r="B70" s="16" t="str">
        <f aca="false">Purchase_Orders!B67</f>
        <v>V1010</v>
      </c>
      <c r="C70" s="17" t="n">
        <f aca="false">Purchase_Orders!C67</f>
        <v>45750</v>
      </c>
      <c r="D70" s="18" t="n">
        <f aca="false">Purchase_Orders!D67</f>
        <v>537.25</v>
      </c>
      <c r="E70" s="16" t="str">
        <f aca="false">Purchase_Orders!F67</f>
        <v>Matthew Mcmillan</v>
      </c>
      <c r="F70" s="16" t="str">
        <f aca="false">Purchase_Orders!G67</f>
        <v>Shannon Walker</v>
      </c>
      <c r="G70" s="16" t="str">
        <f aca="false">IF(E70=F70,"VIOLATION - Same Person Requested &amp; Approved","OK")</f>
        <v>OK</v>
      </c>
    </row>
    <row r="71" customFormat="false" ht="15" hidden="false" customHeight="false" outlineLevel="0" collapsed="false">
      <c r="A71" s="16" t="str">
        <f aca="false">Purchase_Orders!A68</f>
        <v>PO10067</v>
      </c>
      <c r="B71" s="16" t="str">
        <f aca="false">Purchase_Orders!B68</f>
        <v>V1014</v>
      </c>
      <c r="C71" s="17" t="n">
        <f aca="false">Purchase_Orders!C68</f>
        <v>45704</v>
      </c>
      <c r="D71" s="18" t="n">
        <f aca="false">Purchase_Orders!D68</f>
        <v>3847.67</v>
      </c>
      <c r="E71" s="16" t="str">
        <f aca="false">Purchase_Orders!F68</f>
        <v>Aaron Wise</v>
      </c>
      <c r="F71" s="16" t="str">
        <f aca="false">Purchase_Orders!G68</f>
        <v>Sharon Cherry</v>
      </c>
      <c r="G71" s="16" t="str">
        <f aca="false">IF(E71=F71,"VIOLATION - Same Person Requested &amp; Approved","OK")</f>
        <v>OK</v>
      </c>
    </row>
    <row r="72" customFormat="false" ht="15" hidden="false" customHeight="false" outlineLevel="0" collapsed="false">
      <c r="A72" s="16" t="str">
        <f aca="false">Purchase_Orders!A69</f>
        <v>PO10068</v>
      </c>
      <c r="B72" s="16" t="str">
        <f aca="false">Purchase_Orders!B69</f>
        <v>V1002</v>
      </c>
      <c r="C72" s="17" t="n">
        <f aca="false">Purchase_Orders!C69</f>
        <v>45938</v>
      </c>
      <c r="D72" s="18" t="n">
        <f aca="false">Purchase_Orders!D69</f>
        <v>158.45</v>
      </c>
      <c r="E72" s="16" t="str">
        <f aca="false">Purchase_Orders!F69</f>
        <v>Jessica Smith</v>
      </c>
      <c r="F72" s="16" t="str">
        <f aca="false">Purchase_Orders!G69</f>
        <v>Evelyn Galvan</v>
      </c>
      <c r="G72" s="16" t="str">
        <f aca="false">IF(E72=F72,"VIOLATION - Same Person Requested &amp; Approved","OK")</f>
        <v>OK</v>
      </c>
    </row>
    <row r="73" customFormat="false" ht="15" hidden="false" customHeight="false" outlineLevel="0" collapsed="false">
      <c r="A73" s="16" t="str">
        <f aca="false">Purchase_Orders!A70</f>
        <v>PO10069</v>
      </c>
      <c r="B73" s="16" t="str">
        <f aca="false">Purchase_Orders!B70</f>
        <v>V1010</v>
      </c>
      <c r="C73" s="17" t="n">
        <f aca="false">Purchase_Orders!C70</f>
        <v>46002</v>
      </c>
      <c r="D73" s="18" t="n">
        <f aca="false">Purchase_Orders!D70</f>
        <v>2227.94</v>
      </c>
      <c r="E73" s="16" t="str">
        <f aca="false">Purchase_Orders!F70</f>
        <v>Rebecca Valencia</v>
      </c>
      <c r="F73" s="16" t="str">
        <f aca="false">Purchase_Orders!G70</f>
        <v>Rebecca Valencia</v>
      </c>
      <c r="G73" s="16" t="str">
        <f aca="false">IF(E73=F73,"VIOLATION - Same Person Requested &amp; Approved","OK")</f>
        <v>VIOLATION - Same Person Requested &amp; Approved</v>
      </c>
    </row>
    <row r="74" customFormat="false" ht="15" hidden="false" customHeight="false" outlineLevel="0" collapsed="false">
      <c r="A74" s="16" t="str">
        <f aca="false">Purchase_Orders!A71</f>
        <v>PO10070</v>
      </c>
      <c r="B74" s="16" t="str">
        <f aca="false">Purchase_Orders!B71</f>
        <v>V1008</v>
      </c>
      <c r="C74" s="17" t="n">
        <f aca="false">Purchase_Orders!C71</f>
        <v>45840</v>
      </c>
      <c r="D74" s="18" t="n">
        <f aca="false">Purchase_Orders!D71</f>
        <v>3409.89</v>
      </c>
      <c r="E74" s="16" t="str">
        <f aca="false">Purchase_Orders!F71</f>
        <v>Deborah Figueroa</v>
      </c>
      <c r="F74" s="16" t="str">
        <f aca="false">Purchase_Orders!G71</f>
        <v>Evelyn Galvan</v>
      </c>
      <c r="G74" s="16" t="str">
        <f aca="false">IF(E74=F74,"VIOLATION - Same Person Requested &amp; Approved","OK")</f>
        <v>OK</v>
      </c>
    </row>
    <row r="75" customFormat="false" ht="15" hidden="false" customHeight="false" outlineLevel="0" collapsed="false">
      <c r="A75" s="16" t="str">
        <f aca="false">Purchase_Orders!A72</f>
        <v>PO10071</v>
      </c>
      <c r="B75" s="16" t="str">
        <f aca="false">Purchase_Orders!B72</f>
        <v>V1011</v>
      </c>
      <c r="C75" s="17" t="n">
        <f aca="false">Purchase_Orders!C72</f>
        <v>46104</v>
      </c>
      <c r="D75" s="18" t="n">
        <f aca="false">Purchase_Orders!D72</f>
        <v>426.18</v>
      </c>
      <c r="E75" s="16" t="str">
        <f aca="false">Purchase_Orders!F72</f>
        <v>James Powers</v>
      </c>
      <c r="F75" s="16" t="str">
        <f aca="false">Purchase_Orders!G72</f>
        <v>Richard Rodriguez</v>
      </c>
      <c r="G75" s="16" t="str">
        <f aca="false">IF(E75=F75,"VIOLATION - Same Person Requested &amp; Approved","OK")</f>
        <v>OK</v>
      </c>
    </row>
    <row r="76" customFormat="false" ht="15" hidden="false" customHeight="false" outlineLevel="0" collapsed="false">
      <c r="A76" s="16" t="str">
        <f aca="false">Purchase_Orders!A73</f>
        <v>PO10072</v>
      </c>
      <c r="B76" s="16" t="str">
        <f aca="false">Purchase_Orders!B73</f>
        <v>V1038</v>
      </c>
      <c r="C76" s="17" t="n">
        <f aca="false">Purchase_Orders!C73</f>
        <v>46067</v>
      </c>
      <c r="D76" s="18" t="n">
        <f aca="false">Purchase_Orders!D73</f>
        <v>541.95</v>
      </c>
      <c r="E76" s="16" t="str">
        <f aca="false">Purchase_Orders!F73</f>
        <v>Cameron Parker</v>
      </c>
      <c r="F76" s="16" t="str">
        <f aca="false">Purchase_Orders!G73</f>
        <v>Sharon Cherry</v>
      </c>
      <c r="G76" s="16" t="str">
        <f aca="false">IF(E76=F76,"VIOLATION - Same Person Requested &amp; Approved","OK")</f>
        <v>OK</v>
      </c>
    </row>
    <row r="77" customFormat="false" ht="15" hidden="false" customHeight="false" outlineLevel="0" collapsed="false">
      <c r="A77" s="16" t="str">
        <f aca="false">Purchase_Orders!A74</f>
        <v>PO10073</v>
      </c>
      <c r="B77" s="16" t="str">
        <f aca="false">Purchase_Orders!B74</f>
        <v>V1009</v>
      </c>
      <c r="C77" s="17" t="n">
        <f aca="false">Purchase_Orders!C74</f>
        <v>46024</v>
      </c>
      <c r="D77" s="18" t="n">
        <f aca="false">Purchase_Orders!D74</f>
        <v>173.05</v>
      </c>
      <c r="E77" s="16" t="str">
        <f aca="false">Purchase_Orders!F74</f>
        <v>Aimee Montoya</v>
      </c>
      <c r="F77" s="16" t="str">
        <f aca="false">Purchase_Orders!G74</f>
        <v>Sharon Cochran</v>
      </c>
      <c r="G77" s="16" t="str">
        <f aca="false">IF(E77=F77,"VIOLATION - Same Person Requested &amp; Approved","OK")</f>
        <v>OK</v>
      </c>
    </row>
    <row r="78" customFormat="false" ht="15" hidden="false" customHeight="false" outlineLevel="0" collapsed="false">
      <c r="A78" s="16" t="str">
        <f aca="false">Purchase_Orders!A75</f>
        <v>PO10074</v>
      </c>
      <c r="B78" s="16" t="str">
        <f aca="false">Purchase_Orders!B75</f>
        <v>V1029</v>
      </c>
      <c r="C78" s="17" t="n">
        <f aca="false">Purchase_Orders!C75</f>
        <v>45780</v>
      </c>
      <c r="D78" s="18" t="n">
        <f aca="false">Purchase_Orders!D75</f>
        <v>1736.82</v>
      </c>
      <c r="E78" s="16" t="str">
        <f aca="false">Purchase_Orders!F75</f>
        <v>Matthew Mcmillan</v>
      </c>
      <c r="F78" s="16" t="str">
        <f aca="false">Purchase_Orders!G75</f>
        <v>Shannon Walker</v>
      </c>
      <c r="G78" s="16" t="str">
        <f aca="false">IF(E78=F78,"VIOLATION - Same Person Requested &amp; Approved","OK")</f>
        <v>OK</v>
      </c>
    </row>
    <row r="79" customFormat="false" ht="15" hidden="false" customHeight="false" outlineLevel="0" collapsed="false">
      <c r="A79" s="16" t="str">
        <f aca="false">Purchase_Orders!A76</f>
        <v>PO10075</v>
      </c>
      <c r="B79" s="16" t="str">
        <f aca="false">Purchase_Orders!B76</f>
        <v>V1017</v>
      </c>
      <c r="C79" s="17" t="n">
        <f aca="false">Purchase_Orders!C76</f>
        <v>45766</v>
      </c>
      <c r="D79" s="18" t="n">
        <f aca="false">Purchase_Orders!D76</f>
        <v>2776.3</v>
      </c>
      <c r="E79" s="16" t="str">
        <f aca="false">Purchase_Orders!F76</f>
        <v>Deborah Figueroa</v>
      </c>
      <c r="F79" s="16" t="str">
        <f aca="false">Purchase_Orders!G76</f>
        <v>Sierra Johnson</v>
      </c>
      <c r="G79" s="16" t="str">
        <f aca="false">IF(E79=F79,"VIOLATION - Same Person Requested &amp; Approved","OK")</f>
        <v>OK</v>
      </c>
    </row>
    <row r="80" customFormat="false" ht="15" hidden="false" customHeight="false" outlineLevel="0" collapsed="false">
      <c r="A80" s="16" t="str">
        <f aca="false">Purchase_Orders!A77</f>
        <v>PO10076</v>
      </c>
      <c r="B80" s="16" t="str">
        <f aca="false">Purchase_Orders!B77</f>
        <v>V1014</v>
      </c>
      <c r="C80" s="17" t="n">
        <f aca="false">Purchase_Orders!C77</f>
        <v>45671</v>
      </c>
      <c r="D80" s="18" t="n">
        <f aca="false">Purchase_Orders!D77</f>
        <v>773.09</v>
      </c>
      <c r="E80" s="16" t="str">
        <f aca="false">Purchase_Orders!F77</f>
        <v>Cameron Parker</v>
      </c>
      <c r="F80" s="16" t="str">
        <f aca="false">Purchase_Orders!G77</f>
        <v>Shannon Walker</v>
      </c>
      <c r="G80" s="16" t="str">
        <f aca="false">IF(E80=F80,"VIOLATION - Same Person Requested &amp; Approved","OK")</f>
        <v>OK</v>
      </c>
    </row>
    <row r="81" customFormat="false" ht="15" hidden="false" customHeight="false" outlineLevel="0" collapsed="false">
      <c r="A81" s="16" t="str">
        <f aca="false">Purchase_Orders!A78</f>
        <v>PO10077</v>
      </c>
      <c r="B81" s="16" t="str">
        <f aca="false">Purchase_Orders!B78</f>
        <v>V1024</v>
      </c>
      <c r="C81" s="17" t="n">
        <f aca="false">Purchase_Orders!C78</f>
        <v>45791</v>
      </c>
      <c r="D81" s="18" t="n">
        <f aca="false">Purchase_Orders!D78</f>
        <v>3182.11</v>
      </c>
      <c r="E81" s="16" t="str">
        <f aca="false">Purchase_Orders!F78</f>
        <v>Angel Lewis MD</v>
      </c>
      <c r="F81" s="16" t="str">
        <f aca="false">Purchase_Orders!G78</f>
        <v>Sharon Cochran</v>
      </c>
      <c r="G81" s="16" t="str">
        <f aca="false">IF(E81=F81,"VIOLATION - Same Person Requested &amp; Approved","OK")</f>
        <v>OK</v>
      </c>
    </row>
    <row r="82" customFormat="false" ht="15" hidden="false" customHeight="false" outlineLevel="0" collapsed="false">
      <c r="A82" s="16" t="str">
        <f aca="false">Purchase_Orders!A79</f>
        <v>PO10078</v>
      </c>
      <c r="B82" s="16" t="str">
        <f aca="false">Purchase_Orders!B79</f>
        <v>V1021</v>
      </c>
      <c r="C82" s="17" t="n">
        <f aca="false">Purchase_Orders!C79</f>
        <v>45916</v>
      </c>
      <c r="D82" s="18" t="n">
        <f aca="false">Purchase_Orders!D79</f>
        <v>2202.92</v>
      </c>
      <c r="E82" s="16" t="str">
        <f aca="false">Purchase_Orders!F79</f>
        <v>Kevin Mills</v>
      </c>
      <c r="F82" s="16" t="str">
        <f aca="false">Purchase_Orders!G79</f>
        <v>Sharon Cochran</v>
      </c>
      <c r="G82" s="16" t="str">
        <f aca="false">IF(E82=F82,"VIOLATION - Same Person Requested &amp; Approved","OK")</f>
        <v>OK</v>
      </c>
    </row>
    <row r="83" customFormat="false" ht="15" hidden="false" customHeight="false" outlineLevel="0" collapsed="false">
      <c r="A83" s="16" t="str">
        <f aca="false">Purchase_Orders!A80</f>
        <v>PO10079</v>
      </c>
      <c r="B83" s="16" t="str">
        <f aca="false">Purchase_Orders!B80</f>
        <v>V1012</v>
      </c>
      <c r="C83" s="17" t="n">
        <f aca="false">Purchase_Orders!C80</f>
        <v>46121</v>
      </c>
      <c r="D83" s="18" t="n">
        <f aca="false">Purchase_Orders!D80</f>
        <v>13999.16</v>
      </c>
      <c r="E83" s="16" t="str">
        <f aca="false">Purchase_Orders!F80</f>
        <v>Christina Walters</v>
      </c>
      <c r="F83" s="16" t="str">
        <f aca="false">Purchase_Orders!G80</f>
        <v>Richard Rodriguez</v>
      </c>
      <c r="G83" s="16" t="str">
        <f aca="false">IF(E83=F83,"VIOLATION - Same Person Requested &amp; Approved","OK")</f>
        <v>OK</v>
      </c>
    </row>
    <row r="84" customFormat="false" ht="15" hidden="false" customHeight="false" outlineLevel="0" collapsed="false">
      <c r="A84" s="16" t="str">
        <f aca="false">Purchase_Orders!A81</f>
        <v>PO10080</v>
      </c>
      <c r="B84" s="16" t="str">
        <f aca="false">Purchase_Orders!B81</f>
        <v>V1016</v>
      </c>
      <c r="C84" s="17" t="n">
        <f aca="false">Purchase_Orders!C81</f>
        <v>45697</v>
      </c>
      <c r="D84" s="18" t="n">
        <f aca="false">Purchase_Orders!D81</f>
        <v>4652.88</v>
      </c>
      <c r="E84" s="16" t="str">
        <f aca="false">Purchase_Orders!F81</f>
        <v>John Whitehead</v>
      </c>
      <c r="F84" s="16" t="str">
        <f aca="false">Purchase_Orders!G81</f>
        <v>Evelyn Galvan</v>
      </c>
      <c r="G84" s="16" t="str">
        <f aca="false">IF(E84=F84,"VIOLATION - Same Person Requested &amp; Approved","OK")</f>
        <v>OK</v>
      </c>
    </row>
    <row r="85" customFormat="false" ht="15" hidden="false" customHeight="false" outlineLevel="0" collapsed="false">
      <c r="A85" s="16" t="str">
        <f aca="false">Purchase_Orders!A82</f>
        <v>PO10081</v>
      </c>
      <c r="B85" s="16" t="str">
        <f aca="false">Purchase_Orders!B82</f>
        <v>V1005</v>
      </c>
      <c r="C85" s="17" t="n">
        <f aca="false">Purchase_Orders!C82</f>
        <v>45883</v>
      </c>
      <c r="D85" s="18" t="n">
        <f aca="false">Purchase_Orders!D82</f>
        <v>131.26</v>
      </c>
      <c r="E85" s="16" t="str">
        <f aca="false">Purchase_Orders!F82</f>
        <v>Christine Wright</v>
      </c>
      <c r="F85" s="16" t="str">
        <f aca="false">Purchase_Orders!G82</f>
        <v>Sierra Johnson</v>
      </c>
      <c r="G85" s="16" t="str">
        <f aca="false">IF(E85=F85,"VIOLATION - Same Person Requested &amp; Approved","OK")</f>
        <v>OK</v>
      </c>
    </row>
    <row r="86" customFormat="false" ht="15" hidden="false" customHeight="false" outlineLevel="0" collapsed="false">
      <c r="A86" s="16" t="str">
        <f aca="false">Purchase_Orders!A83</f>
        <v>PO10082</v>
      </c>
      <c r="B86" s="16" t="str">
        <f aca="false">Purchase_Orders!B83</f>
        <v>V1002</v>
      </c>
      <c r="C86" s="17" t="n">
        <f aca="false">Purchase_Orders!C83</f>
        <v>46001</v>
      </c>
      <c r="D86" s="18" t="n">
        <f aca="false">Purchase_Orders!D83</f>
        <v>370.46</v>
      </c>
      <c r="E86" s="16" t="str">
        <f aca="false">Purchase_Orders!F83</f>
        <v>Aimee Montoya</v>
      </c>
      <c r="F86" s="16" t="str">
        <f aca="false">Purchase_Orders!G83</f>
        <v>Richard Rodriguez</v>
      </c>
      <c r="G86" s="16" t="str">
        <f aca="false">IF(E86=F86,"VIOLATION - Same Person Requested &amp; Approved","OK")</f>
        <v>OK</v>
      </c>
    </row>
    <row r="87" customFormat="false" ht="15" hidden="false" customHeight="false" outlineLevel="0" collapsed="false">
      <c r="A87" s="16" t="str">
        <f aca="false">Purchase_Orders!A84</f>
        <v>PO10083</v>
      </c>
      <c r="B87" s="16" t="str">
        <f aca="false">Purchase_Orders!B84</f>
        <v>V1032</v>
      </c>
      <c r="C87" s="17" t="n">
        <f aca="false">Purchase_Orders!C84</f>
        <v>45763</v>
      </c>
      <c r="D87" s="18" t="n">
        <f aca="false">Purchase_Orders!D84</f>
        <v>2277.66</v>
      </c>
      <c r="E87" s="16" t="str">
        <f aca="false">Purchase_Orders!F84</f>
        <v>Richard Henson</v>
      </c>
      <c r="F87" s="16" t="str">
        <f aca="false">Purchase_Orders!G84</f>
        <v>Evelyn Galvan</v>
      </c>
      <c r="G87" s="16" t="str">
        <f aca="false">IF(E87=F87,"VIOLATION - Same Person Requested &amp; Approved","OK")</f>
        <v>OK</v>
      </c>
    </row>
    <row r="88" customFormat="false" ht="15" hidden="false" customHeight="false" outlineLevel="0" collapsed="false">
      <c r="A88" s="16" t="str">
        <f aca="false">Purchase_Orders!A85</f>
        <v>PO10084</v>
      </c>
      <c r="B88" s="16" t="str">
        <f aca="false">Purchase_Orders!B85</f>
        <v>V1014</v>
      </c>
      <c r="C88" s="17" t="n">
        <f aca="false">Purchase_Orders!C85</f>
        <v>46037</v>
      </c>
      <c r="D88" s="18" t="n">
        <f aca="false">Purchase_Orders!D85</f>
        <v>11559.96</v>
      </c>
      <c r="E88" s="16" t="str">
        <f aca="false">Purchase_Orders!F85</f>
        <v>Christopher Bass</v>
      </c>
      <c r="F88" s="16" t="str">
        <f aca="false">Purchase_Orders!G85</f>
        <v>Evelyn Galvan</v>
      </c>
      <c r="G88" s="16" t="str">
        <f aca="false">IF(E88=F88,"VIOLATION - Same Person Requested &amp; Approved","OK")</f>
        <v>OK</v>
      </c>
    </row>
    <row r="89" customFormat="false" ht="15" hidden="false" customHeight="false" outlineLevel="0" collapsed="false">
      <c r="A89" s="16" t="str">
        <f aca="false">Purchase_Orders!A86</f>
        <v>PO10085</v>
      </c>
      <c r="B89" s="16" t="str">
        <f aca="false">Purchase_Orders!B86</f>
        <v>V1035</v>
      </c>
      <c r="C89" s="17" t="n">
        <f aca="false">Purchase_Orders!C86</f>
        <v>45927</v>
      </c>
      <c r="D89" s="18" t="n">
        <f aca="false">Purchase_Orders!D86</f>
        <v>1118.76</v>
      </c>
      <c r="E89" s="16" t="str">
        <f aca="false">Purchase_Orders!F86</f>
        <v>Christina Moran</v>
      </c>
      <c r="F89" s="16" t="str">
        <f aca="false">Purchase_Orders!G86</f>
        <v>Evelyn Galvan</v>
      </c>
      <c r="G89" s="16" t="str">
        <f aca="false">IF(E89=F89,"VIOLATION - Same Person Requested &amp; Approved","OK")</f>
        <v>OK</v>
      </c>
    </row>
    <row r="90" customFormat="false" ht="15" hidden="false" customHeight="false" outlineLevel="0" collapsed="false">
      <c r="A90" s="16" t="str">
        <f aca="false">Purchase_Orders!A87</f>
        <v>PO10086</v>
      </c>
      <c r="B90" s="16" t="str">
        <f aca="false">Purchase_Orders!B87</f>
        <v>V1021</v>
      </c>
      <c r="C90" s="17" t="n">
        <f aca="false">Purchase_Orders!C87</f>
        <v>45790</v>
      </c>
      <c r="D90" s="18" t="n">
        <f aca="false">Purchase_Orders!D87</f>
        <v>1602.67</v>
      </c>
      <c r="E90" s="16" t="str">
        <f aca="false">Purchase_Orders!F87</f>
        <v>Stephen Mckee</v>
      </c>
      <c r="F90" s="16" t="str">
        <f aca="false">Purchase_Orders!G87</f>
        <v>Sharon Cherry</v>
      </c>
      <c r="G90" s="16" t="str">
        <f aca="false">IF(E90=F90,"VIOLATION - Same Person Requested &amp; Approved","OK")</f>
        <v>OK</v>
      </c>
    </row>
    <row r="91" customFormat="false" ht="15" hidden="false" customHeight="false" outlineLevel="0" collapsed="false">
      <c r="A91" s="16" t="str">
        <f aca="false">Purchase_Orders!A88</f>
        <v>PO10087</v>
      </c>
      <c r="B91" s="16" t="str">
        <f aca="false">Purchase_Orders!B88</f>
        <v>V1009</v>
      </c>
      <c r="C91" s="17" t="n">
        <f aca="false">Purchase_Orders!C88</f>
        <v>46015</v>
      </c>
      <c r="D91" s="18" t="n">
        <f aca="false">Purchase_Orders!D88</f>
        <v>2430.96</v>
      </c>
      <c r="E91" s="16" t="str">
        <f aca="false">Purchase_Orders!F88</f>
        <v>Sandra Aguilar</v>
      </c>
      <c r="F91" s="16" t="str">
        <f aca="false">Purchase_Orders!G88</f>
        <v>Evelyn Galvan</v>
      </c>
      <c r="G91" s="16" t="str">
        <f aca="false">IF(E91=F91,"VIOLATION - Same Person Requested &amp; Approved","OK")</f>
        <v>OK</v>
      </c>
    </row>
    <row r="92" customFormat="false" ht="15" hidden="false" customHeight="false" outlineLevel="0" collapsed="false">
      <c r="A92" s="16" t="str">
        <f aca="false">Purchase_Orders!A89</f>
        <v>PO10088</v>
      </c>
      <c r="B92" s="16" t="str">
        <f aca="false">Purchase_Orders!B89</f>
        <v>V1002</v>
      </c>
      <c r="C92" s="17" t="n">
        <f aca="false">Purchase_Orders!C89</f>
        <v>45661</v>
      </c>
      <c r="D92" s="18" t="n">
        <f aca="false">Purchase_Orders!D89</f>
        <v>1239.53</v>
      </c>
      <c r="E92" s="16" t="str">
        <f aca="false">Purchase_Orders!F89</f>
        <v>Denise Jacobs</v>
      </c>
      <c r="F92" s="16" t="str">
        <f aca="false">Purchase_Orders!G89</f>
        <v>Julia Torres</v>
      </c>
      <c r="G92" s="16" t="str">
        <f aca="false">IF(E92=F92,"VIOLATION - Same Person Requested &amp; Approved","OK")</f>
        <v>OK</v>
      </c>
    </row>
    <row r="93" customFormat="false" ht="15" hidden="false" customHeight="false" outlineLevel="0" collapsed="false">
      <c r="A93" s="16" t="str">
        <f aca="false">Purchase_Orders!A90</f>
        <v>PO10089</v>
      </c>
      <c r="B93" s="16" t="str">
        <f aca="false">Purchase_Orders!B90</f>
        <v>V1030</v>
      </c>
      <c r="C93" s="17" t="n">
        <f aca="false">Purchase_Orders!C90</f>
        <v>46067</v>
      </c>
      <c r="D93" s="18" t="n">
        <f aca="false">Purchase_Orders!D90</f>
        <v>6686.22</v>
      </c>
      <c r="E93" s="16" t="str">
        <f aca="false">Purchase_Orders!F90</f>
        <v>Jimmy Murillo</v>
      </c>
      <c r="F93" s="16" t="str">
        <f aca="false">Purchase_Orders!G90</f>
        <v>Marc Moore</v>
      </c>
      <c r="G93" s="16" t="str">
        <f aca="false">IF(E93=F93,"VIOLATION - Same Person Requested &amp; Approved","OK")</f>
        <v>OK</v>
      </c>
    </row>
    <row r="94" customFormat="false" ht="15" hidden="false" customHeight="false" outlineLevel="0" collapsed="false">
      <c r="A94" s="16" t="str">
        <f aca="false">Purchase_Orders!A91</f>
        <v>PO10090</v>
      </c>
      <c r="B94" s="16" t="str">
        <f aca="false">Purchase_Orders!B91</f>
        <v>V1015</v>
      </c>
      <c r="C94" s="17" t="n">
        <f aca="false">Purchase_Orders!C91</f>
        <v>46077</v>
      </c>
      <c r="D94" s="18" t="n">
        <f aca="false">Purchase_Orders!D91</f>
        <v>3940.78</v>
      </c>
      <c r="E94" s="16" t="str">
        <f aca="false">Purchase_Orders!F91</f>
        <v>Richard Henson</v>
      </c>
      <c r="F94" s="16" t="str">
        <f aca="false">Purchase_Orders!G91</f>
        <v>Sharon Cherry</v>
      </c>
      <c r="G94" s="16" t="str">
        <f aca="false">IF(E94=F94,"VIOLATION - Same Person Requested &amp; Approved","OK")</f>
        <v>OK</v>
      </c>
    </row>
    <row r="95" customFormat="false" ht="15" hidden="false" customHeight="false" outlineLevel="0" collapsed="false">
      <c r="A95" s="16" t="str">
        <f aca="false">Purchase_Orders!A92</f>
        <v>PO10091</v>
      </c>
      <c r="B95" s="16" t="str">
        <f aca="false">Purchase_Orders!B92</f>
        <v>V1036</v>
      </c>
      <c r="C95" s="17" t="n">
        <f aca="false">Purchase_Orders!C92</f>
        <v>45716</v>
      </c>
      <c r="D95" s="18" t="n">
        <f aca="false">Purchase_Orders!D92</f>
        <v>625.95</v>
      </c>
      <c r="E95" s="16" t="str">
        <f aca="false">Purchase_Orders!F92</f>
        <v>Christopher Bass</v>
      </c>
      <c r="F95" s="16" t="str">
        <f aca="false">Purchase_Orders!G92</f>
        <v>Sierra Johnson</v>
      </c>
      <c r="G95" s="16" t="str">
        <f aca="false">IF(E95=F95,"VIOLATION - Same Person Requested &amp; Approved","OK")</f>
        <v>OK</v>
      </c>
    </row>
    <row r="96" customFormat="false" ht="15" hidden="false" customHeight="false" outlineLevel="0" collapsed="false">
      <c r="A96" s="16" t="str">
        <f aca="false">Purchase_Orders!A93</f>
        <v>PO10092</v>
      </c>
      <c r="B96" s="16" t="str">
        <f aca="false">Purchase_Orders!B93</f>
        <v>V1010</v>
      </c>
      <c r="C96" s="17" t="n">
        <f aca="false">Purchase_Orders!C93</f>
        <v>45889</v>
      </c>
      <c r="D96" s="18" t="n">
        <f aca="false">Purchase_Orders!D93</f>
        <v>5061.76</v>
      </c>
      <c r="E96" s="16" t="str">
        <f aca="false">Purchase_Orders!F93</f>
        <v>Rebecca Valencia</v>
      </c>
      <c r="F96" s="16" t="str">
        <f aca="false">Purchase_Orders!G93</f>
        <v>Julia Torres</v>
      </c>
      <c r="G96" s="16" t="str">
        <f aca="false">IF(E96=F96,"VIOLATION - Same Person Requested &amp; Approved","OK")</f>
        <v>OK</v>
      </c>
    </row>
    <row r="97" customFormat="false" ht="15" hidden="false" customHeight="false" outlineLevel="0" collapsed="false">
      <c r="A97" s="16" t="str">
        <f aca="false">Purchase_Orders!A94</f>
        <v>PO10093</v>
      </c>
      <c r="B97" s="16" t="str">
        <f aca="false">Purchase_Orders!B94</f>
        <v>V1026</v>
      </c>
      <c r="C97" s="17" t="n">
        <f aca="false">Purchase_Orders!C94</f>
        <v>45753</v>
      </c>
      <c r="D97" s="18" t="n">
        <f aca="false">Purchase_Orders!D94</f>
        <v>2302.86</v>
      </c>
      <c r="E97" s="16" t="str">
        <f aca="false">Purchase_Orders!F94</f>
        <v>Christopher Bass</v>
      </c>
      <c r="F97" s="16" t="str">
        <f aca="false">Purchase_Orders!G94</f>
        <v>Sharon Cherry</v>
      </c>
      <c r="G97" s="16" t="str">
        <f aca="false">IF(E97=F97,"VIOLATION - Same Person Requested &amp; Approved","OK")</f>
        <v>OK</v>
      </c>
    </row>
    <row r="98" customFormat="false" ht="15" hidden="false" customHeight="false" outlineLevel="0" collapsed="false">
      <c r="A98" s="16" t="str">
        <f aca="false">Purchase_Orders!A95</f>
        <v>PO10094</v>
      </c>
      <c r="B98" s="16" t="str">
        <f aca="false">Purchase_Orders!B95</f>
        <v>V1026</v>
      </c>
      <c r="C98" s="17" t="n">
        <f aca="false">Purchase_Orders!C95</f>
        <v>46180</v>
      </c>
      <c r="D98" s="18" t="n">
        <f aca="false">Purchase_Orders!D95</f>
        <v>420.44</v>
      </c>
      <c r="E98" s="16" t="str">
        <f aca="false">Purchase_Orders!F95</f>
        <v>John Whitehead</v>
      </c>
      <c r="F98" s="16" t="str">
        <f aca="false">Purchase_Orders!G95</f>
        <v>Richard Rodriguez</v>
      </c>
      <c r="G98" s="16" t="str">
        <f aca="false">IF(E98=F98,"VIOLATION - Same Person Requested &amp; Approved","OK")</f>
        <v>OK</v>
      </c>
    </row>
    <row r="99" customFormat="false" ht="15" hidden="false" customHeight="false" outlineLevel="0" collapsed="false">
      <c r="A99" s="16" t="str">
        <f aca="false">Purchase_Orders!A96</f>
        <v>PO10095</v>
      </c>
      <c r="B99" s="16" t="str">
        <f aca="false">Purchase_Orders!B96</f>
        <v>V1026</v>
      </c>
      <c r="C99" s="17" t="n">
        <f aca="false">Purchase_Orders!C96</f>
        <v>45940</v>
      </c>
      <c r="D99" s="18" t="n">
        <f aca="false">Purchase_Orders!D96</f>
        <v>226.65</v>
      </c>
      <c r="E99" s="16" t="str">
        <f aca="false">Purchase_Orders!F96</f>
        <v>John Whitehead</v>
      </c>
      <c r="F99" s="16" t="str">
        <f aca="false">Purchase_Orders!G96</f>
        <v>Shannon Walker</v>
      </c>
      <c r="G99" s="16" t="str">
        <f aca="false">IF(E99=F99,"VIOLATION - Same Person Requested &amp; Approved","OK")</f>
        <v>OK</v>
      </c>
    </row>
    <row r="100" customFormat="false" ht="15" hidden="false" customHeight="false" outlineLevel="0" collapsed="false">
      <c r="A100" s="16" t="str">
        <f aca="false">Purchase_Orders!A97</f>
        <v>PO10096</v>
      </c>
      <c r="B100" s="16" t="str">
        <f aca="false">Purchase_Orders!B97</f>
        <v>V1006</v>
      </c>
      <c r="C100" s="17" t="n">
        <f aca="false">Purchase_Orders!C97</f>
        <v>45685</v>
      </c>
      <c r="D100" s="18" t="n">
        <f aca="false">Purchase_Orders!D97</f>
        <v>814.32</v>
      </c>
      <c r="E100" s="16" t="str">
        <f aca="false">Purchase_Orders!F97</f>
        <v>Deborah Figueroa</v>
      </c>
      <c r="F100" s="16" t="str">
        <f aca="false">Purchase_Orders!G97</f>
        <v>Julia Torres</v>
      </c>
      <c r="G100" s="16" t="str">
        <f aca="false">IF(E100=F100,"VIOLATION - Same Person Requested &amp; Approved","OK")</f>
        <v>OK</v>
      </c>
    </row>
    <row r="101" customFormat="false" ht="15" hidden="false" customHeight="false" outlineLevel="0" collapsed="false">
      <c r="A101" s="16" t="str">
        <f aca="false">Purchase_Orders!A98</f>
        <v>PO10097</v>
      </c>
      <c r="B101" s="16" t="str">
        <f aca="false">Purchase_Orders!B98</f>
        <v>V1031</v>
      </c>
      <c r="C101" s="17" t="n">
        <f aca="false">Purchase_Orders!C98</f>
        <v>45793</v>
      </c>
      <c r="D101" s="18" t="n">
        <f aca="false">Purchase_Orders!D98</f>
        <v>1618.39</v>
      </c>
      <c r="E101" s="16" t="str">
        <f aca="false">Purchase_Orders!F98</f>
        <v>Christine Wright</v>
      </c>
      <c r="F101" s="16" t="str">
        <f aca="false">Purchase_Orders!G98</f>
        <v>Julia Torres</v>
      </c>
      <c r="G101" s="16" t="str">
        <f aca="false">IF(E101=F101,"VIOLATION - Same Person Requested &amp; Approved","OK")</f>
        <v>OK</v>
      </c>
    </row>
    <row r="102" customFormat="false" ht="15" hidden="false" customHeight="false" outlineLevel="0" collapsed="false">
      <c r="A102" s="16" t="str">
        <f aca="false">Purchase_Orders!A99</f>
        <v>PO10098</v>
      </c>
      <c r="B102" s="16" t="str">
        <f aca="false">Purchase_Orders!B99</f>
        <v>V1029</v>
      </c>
      <c r="C102" s="17" t="n">
        <f aca="false">Purchase_Orders!C99</f>
        <v>46120</v>
      </c>
      <c r="D102" s="18" t="n">
        <f aca="false">Purchase_Orders!D99</f>
        <v>994</v>
      </c>
      <c r="E102" s="16" t="str">
        <f aca="false">Purchase_Orders!F99</f>
        <v>Richard Henson</v>
      </c>
      <c r="F102" s="16" t="str">
        <f aca="false">Purchase_Orders!G99</f>
        <v>Evelyn Galvan</v>
      </c>
      <c r="G102" s="16" t="str">
        <f aca="false">IF(E102=F102,"VIOLATION - Same Person Requested &amp; Approved","OK")</f>
        <v>OK</v>
      </c>
    </row>
    <row r="103" customFormat="false" ht="15" hidden="false" customHeight="false" outlineLevel="0" collapsed="false">
      <c r="A103" s="16" t="str">
        <f aca="false">Purchase_Orders!A100</f>
        <v>PO10099</v>
      </c>
      <c r="B103" s="16" t="str">
        <f aca="false">Purchase_Orders!B100</f>
        <v>V1009</v>
      </c>
      <c r="C103" s="17" t="n">
        <f aca="false">Purchase_Orders!C100</f>
        <v>45906</v>
      </c>
      <c r="D103" s="18" t="n">
        <f aca="false">Purchase_Orders!D100</f>
        <v>456.94</v>
      </c>
      <c r="E103" s="16" t="str">
        <f aca="false">Purchase_Orders!F100</f>
        <v>Lisa Archer</v>
      </c>
      <c r="F103" s="16" t="str">
        <f aca="false">Purchase_Orders!G100</f>
        <v>Julia Torres</v>
      </c>
      <c r="G103" s="16" t="str">
        <f aca="false">IF(E103=F103,"VIOLATION - Same Person Requested &amp; Approved","OK")</f>
        <v>OK</v>
      </c>
    </row>
    <row r="104" customFormat="false" ht="15" hidden="false" customHeight="false" outlineLevel="0" collapsed="false">
      <c r="A104" s="16" t="str">
        <f aca="false">Purchase_Orders!A101</f>
        <v>PO10100</v>
      </c>
      <c r="B104" s="16" t="str">
        <f aca="false">Purchase_Orders!B101</f>
        <v>V1006</v>
      </c>
      <c r="C104" s="17" t="n">
        <f aca="false">Purchase_Orders!C101</f>
        <v>46094</v>
      </c>
      <c r="D104" s="18" t="n">
        <f aca="false">Purchase_Orders!D101</f>
        <v>3515.6</v>
      </c>
      <c r="E104" s="16" t="str">
        <f aca="false">Purchase_Orders!F101</f>
        <v>Lisa Archer</v>
      </c>
      <c r="F104" s="16" t="str">
        <f aca="false">Purchase_Orders!G101</f>
        <v>Julia Torres</v>
      </c>
      <c r="G104" s="16" t="str">
        <f aca="false">IF(E104=F104,"VIOLATION - Same Person Requested &amp; Approved","OK")</f>
        <v>OK</v>
      </c>
    </row>
    <row r="105" customFormat="false" ht="15" hidden="false" customHeight="false" outlineLevel="0" collapsed="false">
      <c r="A105" s="16" t="str">
        <f aca="false">Purchase_Orders!A102</f>
        <v>PO10101</v>
      </c>
      <c r="B105" s="16" t="str">
        <f aca="false">Purchase_Orders!B102</f>
        <v>V1018</v>
      </c>
      <c r="C105" s="17" t="n">
        <f aca="false">Purchase_Orders!C102</f>
        <v>46021</v>
      </c>
      <c r="D105" s="18" t="n">
        <f aca="false">Purchase_Orders!D102</f>
        <v>702.04</v>
      </c>
      <c r="E105" s="16" t="str">
        <f aca="false">Purchase_Orders!F102</f>
        <v>Aimee Montoya</v>
      </c>
      <c r="F105" s="16" t="str">
        <f aca="false">Purchase_Orders!G102</f>
        <v>Evelyn Galvan</v>
      </c>
      <c r="G105" s="16" t="str">
        <f aca="false">IF(E105=F105,"VIOLATION - Same Person Requested &amp; Approved","OK")</f>
        <v>OK</v>
      </c>
    </row>
    <row r="106" customFormat="false" ht="15" hidden="false" customHeight="false" outlineLevel="0" collapsed="false">
      <c r="A106" s="16" t="str">
        <f aca="false">Purchase_Orders!A103</f>
        <v>PO10102</v>
      </c>
      <c r="B106" s="16" t="str">
        <f aca="false">Purchase_Orders!B103</f>
        <v>V1023</v>
      </c>
      <c r="C106" s="17" t="n">
        <f aca="false">Purchase_Orders!C103</f>
        <v>46196</v>
      </c>
      <c r="D106" s="18" t="n">
        <f aca="false">Purchase_Orders!D103</f>
        <v>582.3</v>
      </c>
      <c r="E106" s="16" t="str">
        <f aca="false">Purchase_Orders!F103</f>
        <v>Matthew Mcmillan</v>
      </c>
      <c r="F106" s="16" t="str">
        <f aca="false">Purchase_Orders!G103</f>
        <v>Sharon Cherry</v>
      </c>
      <c r="G106" s="16" t="str">
        <f aca="false">IF(E106=F106,"VIOLATION - Same Person Requested &amp; Approved","OK")</f>
        <v>OK</v>
      </c>
    </row>
    <row r="107" customFormat="false" ht="15" hidden="false" customHeight="false" outlineLevel="0" collapsed="false">
      <c r="A107" s="16" t="str">
        <f aca="false">Purchase_Orders!A104</f>
        <v>PO10103</v>
      </c>
      <c r="B107" s="16" t="str">
        <f aca="false">Purchase_Orders!B104</f>
        <v>V1006</v>
      </c>
      <c r="C107" s="17" t="n">
        <f aca="false">Purchase_Orders!C104</f>
        <v>45982</v>
      </c>
      <c r="D107" s="18" t="n">
        <f aca="false">Purchase_Orders!D104</f>
        <v>2184.66</v>
      </c>
      <c r="E107" s="16" t="str">
        <f aca="false">Purchase_Orders!F104</f>
        <v>Christopher Bass</v>
      </c>
      <c r="F107" s="16" t="str">
        <f aca="false">Purchase_Orders!G104</f>
        <v>Shannon Walker</v>
      </c>
      <c r="G107" s="16" t="str">
        <f aca="false">IF(E107=F107,"VIOLATION - Same Person Requested &amp; Approved","OK")</f>
        <v>OK</v>
      </c>
    </row>
    <row r="108" customFormat="false" ht="15" hidden="false" customHeight="false" outlineLevel="0" collapsed="false">
      <c r="A108" s="16" t="str">
        <f aca="false">Purchase_Orders!A105</f>
        <v>PO10104</v>
      </c>
      <c r="B108" s="16" t="str">
        <f aca="false">Purchase_Orders!B105</f>
        <v>V1005</v>
      </c>
      <c r="C108" s="17" t="n">
        <f aca="false">Purchase_Orders!C105</f>
        <v>46175</v>
      </c>
      <c r="D108" s="18" t="n">
        <f aca="false">Purchase_Orders!D105</f>
        <v>563.83</v>
      </c>
      <c r="E108" s="16" t="str">
        <f aca="false">Purchase_Orders!F105</f>
        <v>Rebecca Valencia</v>
      </c>
      <c r="F108" s="16" t="str">
        <f aca="false">Purchase_Orders!G105</f>
        <v>Evelyn Galvan</v>
      </c>
      <c r="G108" s="16" t="str">
        <f aca="false">IF(E108=F108,"VIOLATION - Same Person Requested &amp; Approved","OK")</f>
        <v>OK</v>
      </c>
    </row>
    <row r="109" customFormat="false" ht="15" hidden="false" customHeight="false" outlineLevel="0" collapsed="false">
      <c r="A109" s="16" t="str">
        <f aca="false">Purchase_Orders!A106</f>
        <v>PO10105</v>
      </c>
      <c r="B109" s="16" t="str">
        <f aca="false">Purchase_Orders!B106</f>
        <v>V1023</v>
      </c>
      <c r="C109" s="17" t="n">
        <f aca="false">Purchase_Orders!C106</f>
        <v>46143</v>
      </c>
      <c r="D109" s="18" t="n">
        <f aca="false">Purchase_Orders!D106</f>
        <v>3835.01</v>
      </c>
      <c r="E109" s="16" t="str">
        <f aca="false">Purchase_Orders!F106</f>
        <v>Christina Walters</v>
      </c>
      <c r="F109" s="16" t="str">
        <f aca="false">Purchase_Orders!G106</f>
        <v>Richard Rodriguez</v>
      </c>
      <c r="G109" s="16" t="str">
        <f aca="false">IF(E109=F109,"VIOLATION - Same Person Requested &amp; Approved","OK")</f>
        <v>OK</v>
      </c>
    </row>
    <row r="110" customFormat="false" ht="15" hidden="false" customHeight="false" outlineLevel="0" collapsed="false">
      <c r="A110" s="16" t="str">
        <f aca="false">Purchase_Orders!A107</f>
        <v>PO10106</v>
      </c>
      <c r="B110" s="16" t="str">
        <f aca="false">Purchase_Orders!B107</f>
        <v>V1035</v>
      </c>
      <c r="C110" s="17" t="n">
        <f aca="false">Purchase_Orders!C107</f>
        <v>45991</v>
      </c>
      <c r="D110" s="18" t="n">
        <f aca="false">Purchase_Orders!D107</f>
        <v>402.4</v>
      </c>
      <c r="E110" s="16" t="str">
        <f aca="false">Purchase_Orders!F107</f>
        <v>Christina Walters</v>
      </c>
      <c r="F110" s="16" t="str">
        <f aca="false">Purchase_Orders!G107</f>
        <v>Marc Moore</v>
      </c>
      <c r="G110" s="16" t="str">
        <f aca="false">IF(E110=F110,"VIOLATION - Same Person Requested &amp; Approved","OK")</f>
        <v>OK</v>
      </c>
    </row>
    <row r="111" customFormat="false" ht="15" hidden="false" customHeight="false" outlineLevel="0" collapsed="false">
      <c r="A111" s="16" t="str">
        <f aca="false">Purchase_Orders!A108</f>
        <v>PO10107</v>
      </c>
      <c r="B111" s="16" t="str">
        <f aca="false">Purchase_Orders!B108</f>
        <v>V1004</v>
      </c>
      <c r="C111" s="17" t="n">
        <f aca="false">Purchase_Orders!C108</f>
        <v>46050</v>
      </c>
      <c r="D111" s="18" t="n">
        <f aca="false">Purchase_Orders!D108</f>
        <v>1590.35</v>
      </c>
      <c r="E111" s="16" t="str">
        <f aca="false">Purchase_Orders!F108</f>
        <v>Christina Walters</v>
      </c>
      <c r="F111" s="16" t="str">
        <f aca="false">Purchase_Orders!G108</f>
        <v>Shannon Walker</v>
      </c>
      <c r="G111" s="16" t="str">
        <f aca="false">IF(E111=F111,"VIOLATION - Same Person Requested &amp; Approved","OK")</f>
        <v>OK</v>
      </c>
    </row>
    <row r="112" customFormat="false" ht="15" hidden="false" customHeight="false" outlineLevel="0" collapsed="false">
      <c r="A112" s="16" t="str">
        <f aca="false">Purchase_Orders!A109</f>
        <v>PO10108</v>
      </c>
      <c r="B112" s="16" t="str">
        <f aca="false">Purchase_Orders!B109</f>
        <v>V1012</v>
      </c>
      <c r="C112" s="17" t="n">
        <f aca="false">Purchase_Orders!C109</f>
        <v>45933</v>
      </c>
      <c r="D112" s="18" t="n">
        <f aca="false">Purchase_Orders!D109</f>
        <v>816.15</v>
      </c>
      <c r="E112" s="16" t="str">
        <f aca="false">Purchase_Orders!F109</f>
        <v>Jessica Smith</v>
      </c>
      <c r="F112" s="16" t="str">
        <f aca="false">Purchase_Orders!G109</f>
        <v>Marc Moore</v>
      </c>
      <c r="G112" s="16" t="str">
        <f aca="false">IF(E112=F112,"VIOLATION - Same Person Requested &amp; Approved","OK")</f>
        <v>OK</v>
      </c>
    </row>
    <row r="113" customFormat="false" ht="15" hidden="false" customHeight="false" outlineLevel="0" collapsed="false">
      <c r="A113" s="16" t="str">
        <f aca="false">Purchase_Orders!A110</f>
        <v>PO10109</v>
      </c>
      <c r="B113" s="16" t="str">
        <f aca="false">Purchase_Orders!B110</f>
        <v>V1012</v>
      </c>
      <c r="C113" s="17" t="n">
        <f aca="false">Purchase_Orders!C110</f>
        <v>46110</v>
      </c>
      <c r="D113" s="18" t="n">
        <f aca="false">Purchase_Orders!D110</f>
        <v>5798.93</v>
      </c>
      <c r="E113" s="16" t="str">
        <f aca="false">Purchase_Orders!F110</f>
        <v>Richard Henson</v>
      </c>
      <c r="F113" s="16" t="str">
        <f aca="false">Purchase_Orders!G110</f>
        <v>Shannon Walker</v>
      </c>
      <c r="G113" s="16" t="str">
        <f aca="false">IF(E113=F113,"VIOLATION - Same Person Requested &amp; Approved","OK")</f>
        <v>OK</v>
      </c>
    </row>
    <row r="114" customFormat="false" ht="15" hidden="false" customHeight="false" outlineLevel="0" collapsed="false">
      <c r="A114" s="16" t="str">
        <f aca="false">Purchase_Orders!A111</f>
        <v>PO10110</v>
      </c>
      <c r="B114" s="16" t="str">
        <f aca="false">Purchase_Orders!B111</f>
        <v>V1028</v>
      </c>
      <c r="C114" s="17" t="n">
        <f aca="false">Purchase_Orders!C111</f>
        <v>45956</v>
      </c>
      <c r="D114" s="18" t="n">
        <f aca="false">Purchase_Orders!D111</f>
        <v>3177.07</v>
      </c>
      <c r="E114" s="16" t="str">
        <f aca="false">Purchase_Orders!F111</f>
        <v>Brian Rodriguez</v>
      </c>
      <c r="F114" s="16" t="str">
        <f aca="false">Purchase_Orders!G111</f>
        <v>Sharon Cochran</v>
      </c>
      <c r="G114" s="16" t="str">
        <f aca="false">IF(E114=F114,"VIOLATION - Same Person Requested &amp; Approved","OK")</f>
        <v>OK</v>
      </c>
    </row>
    <row r="115" customFormat="false" ht="15" hidden="false" customHeight="false" outlineLevel="0" collapsed="false">
      <c r="A115" s="16" t="str">
        <f aca="false">Purchase_Orders!A112</f>
        <v>PO10111</v>
      </c>
      <c r="B115" s="16" t="str">
        <f aca="false">Purchase_Orders!B112</f>
        <v>V1017</v>
      </c>
      <c r="C115" s="17" t="n">
        <f aca="false">Purchase_Orders!C112</f>
        <v>46146</v>
      </c>
      <c r="D115" s="18" t="n">
        <f aca="false">Purchase_Orders!D112</f>
        <v>2099.16</v>
      </c>
      <c r="E115" s="16" t="str">
        <f aca="false">Purchase_Orders!F112</f>
        <v>Christina Walters</v>
      </c>
      <c r="F115" s="16" t="str">
        <f aca="false">Purchase_Orders!G112</f>
        <v>Evelyn Galvan</v>
      </c>
      <c r="G115" s="16" t="str">
        <f aca="false">IF(E115=F115,"VIOLATION - Same Person Requested &amp; Approved","OK")</f>
        <v>OK</v>
      </c>
    </row>
    <row r="116" customFormat="false" ht="15" hidden="false" customHeight="false" outlineLevel="0" collapsed="false">
      <c r="A116" s="16" t="str">
        <f aca="false">Purchase_Orders!A113</f>
        <v>PO10112</v>
      </c>
      <c r="B116" s="16" t="str">
        <f aca="false">Purchase_Orders!B113</f>
        <v>V1015</v>
      </c>
      <c r="C116" s="17" t="n">
        <f aca="false">Purchase_Orders!C113</f>
        <v>46063</v>
      </c>
      <c r="D116" s="18" t="n">
        <f aca="false">Purchase_Orders!D113</f>
        <v>2167.65</v>
      </c>
      <c r="E116" s="16" t="str">
        <f aca="false">Purchase_Orders!F113</f>
        <v>Lisa Archer</v>
      </c>
      <c r="F116" s="16" t="str">
        <f aca="false">Purchase_Orders!G113</f>
        <v>Shannon Walker</v>
      </c>
      <c r="G116" s="16" t="str">
        <f aca="false">IF(E116=F116,"VIOLATION - Same Person Requested &amp; Approved","OK")</f>
        <v>OK</v>
      </c>
    </row>
    <row r="117" customFormat="false" ht="15" hidden="false" customHeight="false" outlineLevel="0" collapsed="false">
      <c r="A117" s="16" t="str">
        <f aca="false">Purchase_Orders!A114</f>
        <v>PO10113</v>
      </c>
      <c r="B117" s="16" t="str">
        <f aca="false">Purchase_Orders!B114</f>
        <v>V1018</v>
      </c>
      <c r="C117" s="17" t="n">
        <f aca="false">Purchase_Orders!C114</f>
        <v>45916</v>
      </c>
      <c r="D117" s="18" t="n">
        <f aca="false">Purchase_Orders!D114</f>
        <v>865.82</v>
      </c>
      <c r="E117" s="16" t="str">
        <f aca="false">Purchase_Orders!F114</f>
        <v>Denise Jacobs</v>
      </c>
      <c r="F117" s="16" t="str">
        <f aca="false">Purchase_Orders!G114</f>
        <v>Richard Rodriguez</v>
      </c>
      <c r="G117" s="16" t="str">
        <f aca="false">IF(E117=F117,"VIOLATION - Same Person Requested &amp; Approved","OK")</f>
        <v>OK</v>
      </c>
    </row>
    <row r="118" customFormat="false" ht="15" hidden="false" customHeight="false" outlineLevel="0" collapsed="false">
      <c r="A118" s="16" t="str">
        <f aca="false">Purchase_Orders!A115</f>
        <v>PO10114</v>
      </c>
      <c r="B118" s="16" t="str">
        <f aca="false">Purchase_Orders!B115</f>
        <v>V1006</v>
      </c>
      <c r="C118" s="17" t="n">
        <f aca="false">Purchase_Orders!C115</f>
        <v>45799</v>
      </c>
      <c r="D118" s="18" t="n">
        <f aca="false">Purchase_Orders!D115</f>
        <v>588.49</v>
      </c>
      <c r="E118" s="16" t="str">
        <f aca="false">Purchase_Orders!F115</f>
        <v>Denise Jacobs</v>
      </c>
      <c r="F118" s="16" t="str">
        <f aca="false">Purchase_Orders!G115</f>
        <v>Sierra Johnson</v>
      </c>
      <c r="G118" s="16" t="str">
        <f aca="false">IF(E118=F118,"VIOLATION - Same Person Requested &amp; Approved","OK")</f>
        <v>OK</v>
      </c>
    </row>
    <row r="119" customFormat="false" ht="15" hidden="false" customHeight="false" outlineLevel="0" collapsed="false">
      <c r="A119" s="16" t="str">
        <f aca="false">Purchase_Orders!A116</f>
        <v>PO10115</v>
      </c>
      <c r="B119" s="16" t="str">
        <f aca="false">Purchase_Orders!B116</f>
        <v>V1038</v>
      </c>
      <c r="C119" s="17" t="n">
        <f aca="false">Purchase_Orders!C116</f>
        <v>45792</v>
      </c>
      <c r="D119" s="18" t="n">
        <f aca="false">Purchase_Orders!D116</f>
        <v>1755.83</v>
      </c>
      <c r="E119" s="16" t="str">
        <f aca="false">Purchase_Orders!F116</f>
        <v>Jimmy Murillo</v>
      </c>
      <c r="F119" s="16" t="str">
        <f aca="false">Purchase_Orders!G116</f>
        <v>Marc Moore</v>
      </c>
      <c r="G119" s="16" t="str">
        <f aca="false">IF(E119=F119,"VIOLATION - Same Person Requested &amp; Approved","OK")</f>
        <v>OK</v>
      </c>
    </row>
    <row r="120" customFormat="false" ht="15" hidden="false" customHeight="false" outlineLevel="0" collapsed="false">
      <c r="A120" s="16" t="str">
        <f aca="false">Purchase_Orders!A117</f>
        <v>PO10116</v>
      </c>
      <c r="B120" s="16" t="str">
        <f aca="false">Purchase_Orders!B117</f>
        <v>V1026</v>
      </c>
      <c r="C120" s="17" t="n">
        <f aca="false">Purchase_Orders!C117</f>
        <v>46005</v>
      </c>
      <c r="D120" s="18" t="n">
        <f aca="false">Purchase_Orders!D117</f>
        <v>946.66</v>
      </c>
      <c r="E120" s="16" t="str">
        <f aca="false">Purchase_Orders!F117</f>
        <v>Jessica Smith</v>
      </c>
      <c r="F120" s="16" t="str">
        <f aca="false">Purchase_Orders!G117</f>
        <v>Marc Moore</v>
      </c>
      <c r="G120" s="16" t="str">
        <f aca="false">IF(E120=F120,"VIOLATION - Same Person Requested &amp; Approved","OK")</f>
        <v>OK</v>
      </c>
    </row>
    <row r="121" customFormat="false" ht="15" hidden="false" customHeight="false" outlineLevel="0" collapsed="false">
      <c r="A121" s="16" t="str">
        <f aca="false">Purchase_Orders!A118</f>
        <v>PO10117</v>
      </c>
      <c r="B121" s="16" t="str">
        <f aca="false">Purchase_Orders!B118</f>
        <v>V1027</v>
      </c>
      <c r="C121" s="17" t="n">
        <f aca="false">Purchase_Orders!C118</f>
        <v>46075</v>
      </c>
      <c r="D121" s="18" t="n">
        <f aca="false">Purchase_Orders!D118</f>
        <v>17767.35</v>
      </c>
      <c r="E121" s="16" t="str">
        <f aca="false">Purchase_Orders!F118</f>
        <v>Christina Walters</v>
      </c>
      <c r="F121" s="16" t="str">
        <f aca="false">Purchase_Orders!G118</f>
        <v>Sierra Johnson</v>
      </c>
      <c r="G121" s="16" t="str">
        <f aca="false">IF(E121=F121,"VIOLATION - Same Person Requested &amp; Approved","OK")</f>
        <v>OK</v>
      </c>
    </row>
    <row r="122" customFormat="false" ht="15" hidden="false" customHeight="false" outlineLevel="0" collapsed="false">
      <c r="A122" s="16" t="str">
        <f aca="false">Purchase_Orders!A119</f>
        <v>PO10118</v>
      </c>
      <c r="B122" s="16" t="str">
        <f aca="false">Purchase_Orders!B119</f>
        <v>V1002</v>
      </c>
      <c r="C122" s="17" t="n">
        <f aca="false">Purchase_Orders!C119</f>
        <v>45942</v>
      </c>
      <c r="D122" s="18" t="n">
        <f aca="false">Purchase_Orders!D119</f>
        <v>8633.55</v>
      </c>
      <c r="E122" s="16" t="str">
        <f aca="false">Purchase_Orders!F119</f>
        <v>Angel Lewis MD</v>
      </c>
      <c r="F122" s="16" t="str">
        <f aca="false">Purchase_Orders!G119</f>
        <v>Marc Moore</v>
      </c>
      <c r="G122" s="16" t="str">
        <f aca="false">IF(E122=F122,"VIOLATION - Same Person Requested &amp; Approved","OK")</f>
        <v>OK</v>
      </c>
    </row>
    <row r="123" customFormat="false" ht="15" hidden="false" customHeight="false" outlineLevel="0" collapsed="false">
      <c r="A123" s="16" t="str">
        <f aca="false">Purchase_Orders!A120</f>
        <v>PO10119</v>
      </c>
      <c r="B123" s="16" t="str">
        <f aca="false">Purchase_Orders!B120</f>
        <v>V1038</v>
      </c>
      <c r="C123" s="17" t="n">
        <f aca="false">Purchase_Orders!C120</f>
        <v>45999</v>
      </c>
      <c r="D123" s="18" t="n">
        <f aca="false">Purchase_Orders!D120</f>
        <v>1731.53</v>
      </c>
      <c r="E123" s="16" t="str">
        <f aca="false">Purchase_Orders!F120</f>
        <v>Matthew Mcmillan</v>
      </c>
      <c r="F123" s="16" t="str">
        <f aca="false">Purchase_Orders!G120</f>
        <v>Evelyn Galvan</v>
      </c>
      <c r="G123" s="16" t="str">
        <f aca="false">IF(E123=F123,"VIOLATION - Same Person Requested &amp; Approved","OK")</f>
        <v>OK</v>
      </c>
    </row>
    <row r="124" customFormat="false" ht="15" hidden="false" customHeight="false" outlineLevel="0" collapsed="false">
      <c r="A124" s="16" t="str">
        <f aca="false">Purchase_Orders!A121</f>
        <v>PO10120</v>
      </c>
      <c r="B124" s="16" t="str">
        <f aca="false">Purchase_Orders!B121</f>
        <v>V1025</v>
      </c>
      <c r="C124" s="17" t="n">
        <f aca="false">Purchase_Orders!C121</f>
        <v>45807</v>
      </c>
      <c r="D124" s="18" t="n">
        <f aca="false">Purchase_Orders!D121</f>
        <v>1559.4</v>
      </c>
      <c r="E124" s="16" t="str">
        <f aca="false">Purchase_Orders!F121</f>
        <v>Matthew Mcmillan</v>
      </c>
      <c r="F124" s="16" t="str">
        <f aca="false">Purchase_Orders!G121</f>
        <v>Shannon Walker</v>
      </c>
      <c r="G124" s="16" t="str">
        <f aca="false">IF(E124=F124,"VIOLATION - Same Person Requested &amp; Approved","OK")</f>
        <v>OK</v>
      </c>
    </row>
    <row r="125" customFormat="false" ht="15" hidden="false" customHeight="false" outlineLevel="0" collapsed="false">
      <c r="A125" s="16" t="str">
        <f aca="false">Purchase_Orders!A122</f>
        <v>PO10121</v>
      </c>
      <c r="B125" s="16" t="str">
        <f aca="false">Purchase_Orders!B122</f>
        <v>V1019</v>
      </c>
      <c r="C125" s="17" t="n">
        <f aca="false">Purchase_Orders!C122</f>
        <v>45700</v>
      </c>
      <c r="D125" s="18" t="n">
        <f aca="false">Purchase_Orders!D122</f>
        <v>1484.65</v>
      </c>
      <c r="E125" s="16" t="str">
        <f aca="false">Purchase_Orders!F122</f>
        <v>Christina Walters</v>
      </c>
      <c r="F125" s="16" t="str">
        <f aca="false">Purchase_Orders!G122</f>
        <v>Sharon Cochran</v>
      </c>
      <c r="G125" s="16" t="str">
        <f aca="false">IF(E125=F125,"VIOLATION - Same Person Requested &amp; Approved","OK")</f>
        <v>OK</v>
      </c>
    </row>
    <row r="126" customFormat="false" ht="15" hidden="false" customHeight="false" outlineLevel="0" collapsed="false">
      <c r="A126" s="16" t="str">
        <f aca="false">Purchase_Orders!A123</f>
        <v>PO10122</v>
      </c>
      <c r="B126" s="16" t="str">
        <f aca="false">Purchase_Orders!B123</f>
        <v>V1014</v>
      </c>
      <c r="C126" s="17" t="n">
        <f aca="false">Purchase_Orders!C123</f>
        <v>45813</v>
      </c>
      <c r="D126" s="18" t="n">
        <f aca="false">Purchase_Orders!D123</f>
        <v>448.18</v>
      </c>
      <c r="E126" s="16" t="str">
        <f aca="false">Purchase_Orders!F123</f>
        <v>Anna Henderson</v>
      </c>
      <c r="F126" s="16" t="str">
        <f aca="false">Purchase_Orders!G123</f>
        <v>Marc Moore</v>
      </c>
      <c r="G126" s="16" t="str">
        <f aca="false">IF(E126=F126,"VIOLATION - Same Person Requested &amp; Approved","OK")</f>
        <v>OK</v>
      </c>
    </row>
    <row r="127" customFormat="false" ht="15" hidden="false" customHeight="false" outlineLevel="0" collapsed="false">
      <c r="A127" s="16" t="str">
        <f aca="false">Purchase_Orders!A124</f>
        <v>PO10123</v>
      </c>
      <c r="B127" s="16" t="str">
        <f aca="false">Purchase_Orders!B124</f>
        <v>V1028</v>
      </c>
      <c r="C127" s="17" t="n">
        <f aca="false">Purchase_Orders!C124</f>
        <v>45806</v>
      </c>
      <c r="D127" s="18" t="n">
        <f aca="false">Purchase_Orders!D124</f>
        <v>381.28</v>
      </c>
      <c r="E127" s="16" t="str">
        <f aca="false">Purchase_Orders!F124</f>
        <v>Christina Moran</v>
      </c>
      <c r="F127" s="16" t="str">
        <f aca="false">Purchase_Orders!G124</f>
        <v>Richard Rodriguez</v>
      </c>
      <c r="G127" s="16" t="str">
        <f aca="false">IF(E127=F127,"VIOLATION - Same Person Requested &amp; Approved","OK")</f>
        <v>OK</v>
      </c>
    </row>
    <row r="128" customFormat="false" ht="15" hidden="false" customHeight="false" outlineLevel="0" collapsed="false">
      <c r="A128" s="16" t="str">
        <f aca="false">Purchase_Orders!A125</f>
        <v>PO10124</v>
      </c>
      <c r="B128" s="16" t="str">
        <f aca="false">Purchase_Orders!B125</f>
        <v>V1017</v>
      </c>
      <c r="C128" s="17" t="n">
        <f aca="false">Purchase_Orders!C125</f>
        <v>45832</v>
      </c>
      <c r="D128" s="18" t="n">
        <f aca="false">Purchase_Orders!D125</f>
        <v>432.73</v>
      </c>
      <c r="E128" s="16" t="str">
        <f aca="false">Purchase_Orders!F125</f>
        <v>James Powers</v>
      </c>
      <c r="F128" s="16" t="str">
        <f aca="false">Purchase_Orders!G125</f>
        <v>Marc Moore</v>
      </c>
      <c r="G128" s="16" t="str">
        <f aca="false">IF(E128=F128,"VIOLATION - Same Person Requested &amp; Approved","OK")</f>
        <v>OK</v>
      </c>
    </row>
    <row r="129" customFormat="false" ht="15" hidden="false" customHeight="false" outlineLevel="0" collapsed="false">
      <c r="A129" s="16" t="str">
        <f aca="false">Purchase_Orders!A126</f>
        <v>PO10125</v>
      </c>
      <c r="B129" s="16" t="str">
        <f aca="false">Purchase_Orders!B126</f>
        <v>V1032</v>
      </c>
      <c r="C129" s="17" t="n">
        <f aca="false">Purchase_Orders!C126</f>
        <v>45952</v>
      </c>
      <c r="D129" s="18" t="n">
        <f aca="false">Purchase_Orders!D126</f>
        <v>2005.68</v>
      </c>
      <c r="E129" s="16" t="str">
        <f aca="false">Purchase_Orders!F126</f>
        <v>Christopher Bass</v>
      </c>
      <c r="F129" s="16" t="str">
        <f aca="false">Purchase_Orders!G126</f>
        <v>Evelyn Galvan</v>
      </c>
      <c r="G129" s="16" t="str">
        <f aca="false">IF(E129=F129,"VIOLATION - Same Person Requested &amp; Approved","OK")</f>
        <v>OK</v>
      </c>
    </row>
    <row r="130" customFormat="false" ht="15" hidden="false" customHeight="false" outlineLevel="0" collapsed="false">
      <c r="A130" s="16" t="str">
        <f aca="false">Purchase_Orders!A127</f>
        <v>PO10126</v>
      </c>
      <c r="B130" s="16" t="str">
        <f aca="false">Purchase_Orders!B127</f>
        <v>V1009</v>
      </c>
      <c r="C130" s="17" t="n">
        <f aca="false">Purchase_Orders!C127</f>
        <v>45733</v>
      </c>
      <c r="D130" s="18" t="n">
        <f aca="false">Purchase_Orders!D127</f>
        <v>12091.17</v>
      </c>
      <c r="E130" s="16" t="str">
        <f aca="false">Purchase_Orders!F127</f>
        <v>Stephen Mckee</v>
      </c>
      <c r="F130" s="16" t="str">
        <f aca="false">Purchase_Orders!G127</f>
        <v>Sierra Johnson</v>
      </c>
      <c r="G130" s="16" t="str">
        <f aca="false">IF(E130=F130,"VIOLATION - Same Person Requested &amp; Approved","OK")</f>
        <v>OK</v>
      </c>
    </row>
    <row r="131" customFormat="false" ht="15" hidden="false" customHeight="false" outlineLevel="0" collapsed="false">
      <c r="A131" s="16" t="str">
        <f aca="false">Purchase_Orders!A128</f>
        <v>PO10127</v>
      </c>
      <c r="B131" s="16" t="str">
        <f aca="false">Purchase_Orders!B128</f>
        <v>V1003</v>
      </c>
      <c r="C131" s="17" t="n">
        <f aca="false">Purchase_Orders!C128</f>
        <v>45784</v>
      </c>
      <c r="D131" s="18" t="n">
        <f aca="false">Purchase_Orders!D128</f>
        <v>1425.03</v>
      </c>
      <c r="E131" s="16" t="str">
        <f aca="false">Purchase_Orders!F128</f>
        <v>Anna Henderson</v>
      </c>
      <c r="F131" s="16" t="str">
        <f aca="false">Purchase_Orders!G128</f>
        <v>Sharon Cherry</v>
      </c>
      <c r="G131" s="16" t="str">
        <f aca="false">IF(E131=F131,"VIOLATION - Same Person Requested &amp; Approved","OK")</f>
        <v>OK</v>
      </c>
    </row>
    <row r="132" customFormat="false" ht="15" hidden="false" customHeight="false" outlineLevel="0" collapsed="false">
      <c r="A132" s="16" t="str">
        <f aca="false">Purchase_Orders!A129</f>
        <v>PO10128</v>
      </c>
      <c r="B132" s="16" t="str">
        <f aca="false">Purchase_Orders!B129</f>
        <v>V1005</v>
      </c>
      <c r="C132" s="17" t="n">
        <f aca="false">Purchase_Orders!C129</f>
        <v>46036</v>
      </c>
      <c r="D132" s="18" t="n">
        <f aca="false">Purchase_Orders!D129</f>
        <v>13874.68</v>
      </c>
      <c r="E132" s="16" t="str">
        <f aca="false">Purchase_Orders!F129</f>
        <v>Shirley Suarez</v>
      </c>
      <c r="F132" s="16" t="str">
        <f aca="false">Purchase_Orders!G129</f>
        <v>Julia Torres</v>
      </c>
      <c r="G132" s="16" t="str">
        <f aca="false">IF(E132=F132,"VIOLATION - Same Person Requested &amp; Approved","OK")</f>
        <v>OK</v>
      </c>
    </row>
    <row r="133" customFormat="false" ht="15" hidden="false" customHeight="false" outlineLevel="0" collapsed="false">
      <c r="A133" s="16" t="str">
        <f aca="false">Purchase_Orders!A130</f>
        <v>PO10129</v>
      </c>
      <c r="B133" s="16" t="str">
        <f aca="false">Purchase_Orders!B130</f>
        <v>V1025</v>
      </c>
      <c r="C133" s="17" t="n">
        <f aca="false">Purchase_Orders!C130</f>
        <v>46042</v>
      </c>
      <c r="D133" s="18" t="n">
        <f aca="false">Purchase_Orders!D130</f>
        <v>2603.15</v>
      </c>
      <c r="E133" s="16" t="str">
        <f aca="false">Purchase_Orders!F130</f>
        <v>Richard Henson</v>
      </c>
      <c r="F133" s="16" t="str">
        <f aca="false">Purchase_Orders!G130</f>
        <v>Richard Rodriguez</v>
      </c>
      <c r="G133" s="16" t="str">
        <f aca="false">IF(E133=F133,"VIOLATION - Same Person Requested &amp; Approved","OK")</f>
        <v>OK</v>
      </c>
    </row>
    <row r="134" customFormat="false" ht="15" hidden="false" customHeight="false" outlineLevel="0" collapsed="false">
      <c r="A134" s="16" t="str">
        <f aca="false">Purchase_Orders!A131</f>
        <v>PO10130</v>
      </c>
      <c r="B134" s="16" t="str">
        <f aca="false">Purchase_Orders!B131</f>
        <v>V1037</v>
      </c>
      <c r="C134" s="17" t="n">
        <f aca="false">Purchase_Orders!C131</f>
        <v>45693</v>
      </c>
      <c r="D134" s="18" t="n">
        <f aca="false">Purchase_Orders!D131</f>
        <v>3251.07</v>
      </c>
      <c r="E134" s="16" t="str">
        <f aca="false">Purchase_Orders!F131</f>
        <v>Stephen Mckee</v>
      </c>
      <c r="F134" s="16" t="str">
        <f aca="false">Purchase_Orders!G131</f>
        <v>Sharon Cherry</v>
      </c>
      <c r="G134" s="16" t="str">
        <f aca="false">IF(E134=F134,"VIOLATION - Same Person Requested &amp; Approved","OK")</f>
        <v>OK</v>
      </c>
    </row>
    <row r="135" customFormat="false" ht="15" hidden="false" customHeight="false" outlineLevel="0" collapsed="false">
      <c r="A135" s="16" t="str">
        <f aca="false">Purchase_Orders!A132</f>
        <v>PO10131</v>
      </c>
      <c r="B135" s="16" t="str">
        <f aca="false">Purchase_Orders!B132</f>
        <v>V1007</v>
      </c>
      <c r="C135" s="17" t="n">
        <f aca="false">Purchase_Orders!C132</f>
        <v>45880</v>
      </c>
      <c r="D135" s="18" t="n">
        <f aca="false">Purchase_Orders!D132</f>
        <v>4244.35</v>
      </c>
      <c r="E135" s="16" t="str">
        <f aca="false">Purchase_Orders!F132</f>
        <v>Angel Lewis MD</v>
      </c>
      <c r="F135" s="16" t="str">
        <f aca="false">Purchase_Orders!G132</f>
        <v>Sharon Cochran</v>
      </c>
      <c r="G135" s="16" t="str">
        <f aca="false">IF(E135=F135,"VIOLATION - Same Person Requested &amp; Approved","OK")</f>
        <v>OK</v>
      </c>
    </row>
    <row r="136" customFormat="false" ht="15" hidden="false" customHeight="false" outlineLevel="0" collapsed="false">
      <c r="A136" s="16" t="str">
        <f aca="false">Purchase_Orders!A133</f>
        <v>PO10132</v>
      </c>
      <c r="B136" s="16" t="str">
        <f aca="false">Purchase_Orders!B133</f>
        <v>V1015</v>
      </c>
      <c r="C136" s="17" t="n">
        <f aca="false">Purchase_Orders!C133</f>
        <v>45953</v>
      </c>
      <c r="D136" s="18" t="n">
        <f aca="false">Purchase_Orders!D133</f>
        <v>8178.53</v>
      </c>
      <c r="E136" s="16" t="str">
        <f aca="false">Purchase_Orders!F133</f>
        <v>Kevin Mills</v>
      </c>
      <c r="F136" s="16" t="str">
        <f aca="false">Purchase_Orders!G133</f>
        <v>Sharon Cochran</v>
      </c>
      <c r="G136" s="16" t="str">
        <f aca="false">IF(E136=F136,"VIOLATION - Same Person Requested &amp; Approved","OK")</f>
        <v>OK</v>
      </c>
    </row>
    <row r="137" customFormat="false" ht="15" hidden="false" customHeight="false" outlineLevel="0" collapsed="false">
      <c r="A137" s="16" t="str">
        <f aca="false">Purchase_Orders!A134</f>
        <v>PO10133</v>
      </c>
      <c r="B137" s="16" t="str">
        <f aca="false">Purchase_Orders!B134</f>
        <v>V1007</v>
      </c>
      <c r="C137" s="17" t="n">
        <f aca="false">Purchase_Orders!C134</f>
        <v>45884</v>
      </c>
      <c r="D137" s="18" t="n">
        <f aca="false">Purchase_Orders!D134</f>
        <v>1297.3</v>
      </c>
      <c r="E137" s="16" t="str">
        <f aca="false">Purchase_Orders!F134</f>
        <v>Denise Jacobs</v>
      </c>
      <c r="F137" s="16" t="str">
        <f aca="false">Purchase_Orders!G134</f>
        <v>Shannon Walker</v>
      </c>
      <c r="G137" s="16" t="str">
        <f aca="false">IF(E137=F137,"VIOLATION - Same Person Requested &amp; Approved","OK")</f>
        <v>OK</v>
      </c>
    </row>
    <row r="138" customFormat="false" ht="15" hidden="false" customHeight="false" outlineLevel="0" collapsed="false">
      <c r="A138" s="16" t="str">
        <f aca="false">Purchase_Orders!A135</f>
        <v>PO10134</v>
      </c>
      <c r="B138" s="16" t="str">
        <f aca="false">Purchase_Orders!B135</f>
        <v>V1009</v>
      </c>
      <c r="C138" s="17" t="n">
        <f aca="false">Purchase_Orders!C135</f>
        <v>45770</v>
      </c>
      <c r="D138" s="18" t="n">
        <f aca="false">Purchase_Orders!D135</f>
        <v>1349.8</v>
      </c>
      <c r="E138" s="16" t="str">
        <f aca="false">Purchase_Orders!F135</f>
        <v>Shirley Suarez</v>
      </c>
      <c r="F138" s="16" t="str">
        <f aca="false">Purchase_Orders!G135</f>
        <v>Sharon Cherry</v>
      </c>
      <c r="G138" s="16" t="str">
        <f aca="false">IF(E138=F138,"VIOLATION - Same Person Requested &amp; Approved","OK")</f>
        <v>OK</v>
      </c>
    </row>
    <row r="139" customFormat="false" ht="15" hidden="false" customHeight="false" outlineLevel="0" collapsed="false">
      <c r="A139" s="16" t="str">
        <f aca="false">Purchase_Orders!A136</f>
        <v>PO10135</v>
      </c>
      <c r="B139" s="16" t="str">
        <f aca="false">Purchase_Orders!B136</f>
        <v>V1022</v>
      </c>
      <c r="C139" s="17" t="n">
        <f aca="false">Purchase_Orders!C136</f>
        <v>45886</v>
      </c>
      <c r="D139" s="18" t="n">
        <f aca="false">Purchase_Orders!D136</f>
        <v>9053.44</v>
      </c>
      <c r="E139" s="16" t="str">
        <f aca="false">Purchase_Orders!F136</f>
        <v>Sandra Aguilar</v>
      </c>
      <c r="F139" s="16" t="str">
        <f aca="false">Purchase_Orders!G136</f>
        <v>Evelyn Galvan</v>
      </c>
      <c r="G139" s="16" t="str">
        <f aca="false">IF(E139=F139,"VIOLATION - Same Person Requested &amp; Approved","OK")</f>
        <v>OK</v>
      </c>
    </row>
    <row r="140" customFormat="false" ht="15" hidden="false" customHeight="false" outlineLevel="0" collapsed="false">
      <c r="A140" s="16" t="str">
        <f aca="false">Purchase_Orders!A137</f>
        <v>PO10136</v>
      </c>
      <c r="B140" s="16" t="str">
        <f aca="false">Purchase_Orders!B137</f>
        <v>V1022</v>
      </c>
      <c r="C140" s="17" t="n">
        <f aca="false">Purchase_Orders!C137</f>
        <v>46151</v>
      </c>
      <c r="D140" s="18" t="n">
        <f aca="false">Purchase_Orders!D137</f>
        <v>974.82</v>
      </c>
      <c r="E140" s="16" t="str">
        <f aca="false">Purchase_Orders!F137</f>
        <v>Richard Henson</v>
      </c>
      <c r="F140" s="16" t="str">
        <f aca="false">Purchase_Orders!G137</f>
        <v>Sharon Cochran</v>
      </c>
      <c r="G140" s="16" t="str">
        <f aca="false">IF(E140=F140,"VIOLATION - Same Person Requested &amp; Approved","OK")</f>
        <v>OK</v>
      </c>
    </row>
    <row r="141" customFormat="false" ht="15" hidden="false" customHeight="false" outlineLevel="0" collapsed="false">
      <c r="A141" s="16" t="str">
        <f aca="false">Purchase_Orders!A138</f>
        <v>PO10137</v>
      </c>
      <c r="B141" s="16" t="str">
        <f aca="false">Purchase_Orders!B138</f>
        <v>V1034</v>
      </c>
      <c r="C141" s="17" t="n">
        <f aca="false">Purchase_Orders!C138</f>
        <v>45976</v>
      </c>
      <c r="D141" s="18" t="n">
        <f aca="false">Purchase_Orders!D138</f>
        <v>5730.61</v>
      </c>
      <c r="E141" s="16" t="str">
        <f aca="false">Purchase_Orders!F138</f>
        <v>Stephen Mckee</v>
      </c>
      <c r="F141" s="16" t="str">
        <f aca="false">Purchase_Orders!G138</f>
        <v>Sharon Cherry</v>
      </c>
      <c r="G141" s="16" t="str">
        <f aca="false">IF(E141=F141,"VIOLATION - Same Person Requested &amp; Approved","OK")</f>
        <v>OK</v>
      </c>
    </row>
    <row r="142" customFormat="false" ht="15" hidden="false" customHeight="false" outlineLevel="0" collapsed="false">
      <c r="A142" s="16" t="str">
        <f aca="false">Purchase_Orders!A139</f>
        <v>PO10138</v>
      </c>
      <c r="B142" s="16" t="str">
        <f aca="false">Purchase_Orders!B139</f>
        <v>V1040</v>
      </c>
      <c r="C142" s="17" t="n">
        <f aca="false">Purchase_Orders!C139</f>
        <v>46037</v>
      </c>
      <c r="D142" s="18" t="n">
        <f aca="false">Purchase_Orders!D139</f>
        <v>11169.56</v>
      </c>
      <c r="E142" s="16" t="str">
        <f aca="false">Purchase_Orders!F139</f>
        <v>Jessica Smith</v>
      </c>
      <c r="F142" s="16" t="str">
        <f aca="false">Purchase_Orders!G139</f>
        <v>Marc Moore</v>
      </c>
      <c r="G142" s="16" t="str">
        <f aca="false">IF(E142=F142,"VIOLATION - Same Person Requested &amp; Approved","OK")</f>
        <v>OK</v>
      </c>
    </row>
    <row r="143" customFormat="false" ht="15" hidden="false" customHeight="false" outlineLevel="0" collapsed="false">
      <c r="A143" s="16" t="str">
        <f aca="false">Purchase_Orders!A140</f>
        <v>PO10139</v>
      </c>
      <c r="B143" s="16" t="str">
        <f aca="false">Purchase_Orders!B140</f>
        <v>V1032</v>
      </c>
      <c r="C143" s="17" t="n">
        <f aca="false">Purchase_Orders!C140</f>
        <v>46124</v>
      </c>
      <c r="D143" s="18" t="n">
        <f aca="false">Purchase_Orders!D140</f>
        <v>573.05</v>
      </c>
      <c r="E143" s="16" t="str">
        <f aca="false">Purchase_Orders!F140</f>
        <v>Christina Walters</v>
      </c>
      <c r="F143" s="16" t="str">
        <f aca="false">Purchase_Orders!G140</f>
        <v>Richard Rodriguez</v>
      </c>
      <c r="G143" s="16" t="str">
        <f aca="false">IF(E143=F143,"VIOLATION - Same Person Requested &amp; Approved","OK")</f>
        <v>OK</v>
      </c>
    </row>
    <row r="144" customFormat="false" ht="15" hidden="false" customHeight="false" outlineLevel="0" collapsed="false">
      <c r="A144" s="16" t="str">
        <f aca="false">Purchase_Orders!A141</f>
        <v>PO10140</v>
      </c>
      <c r="B144" s="16" t="str">
        <f aca="false">Purchase_Orders!B141</f>
        <v>V1021</v>
      </c>
      <c r="C144" s="17" t="n">
        <f aca="false">Purchase_Orders!C141</f>
        <v>46075</v>
      </c>
      <c r="D144" s="18" t="n">
        <f aca="false">Purchase_Orders!D141</f>
        <v>267.6</v>
      </c>
      <c r="E144" s="16" t="str">
        <f aca="false">Purchase_Orders!F141</f>
        <v>Sandra Aguilar</v>
      </c>
      <c r="F144" s="16" t="str">
        <f aca="false">Purchase_Orders!G141</f>
        <v>Sandra Aguilar</v>
      </c>
      <c r="G144" s="16" t="str">
        <f aca="false">IF(E144=F144,"VIOLATION - Same Person Requested &amp; Approved","OK")</f>
        <v>VIOLATION - Same Person Requested &amp; Approved</v>
      </c>
    </row>
    <row r="145" customFormat="false" ht="15" hidden="false" customHeight="false" outlineLevel="0" collapsed="false">
      <c r="A145" s="16" t="str">
        <f aca="false">Purchase_Orders!A142</f>
        <v>PO10141</v>
      </c>
      <c r="B145" s="16" t="str">
        <f aca="false">Purchase_Orders!B142</f>
        <v>V1036</v>
      </c>
      <c r="C145" s="17" t="n">
        <f aca="false">Purchase_Orders!C142</f>
        <v>45865</v>
      </c>
      <c r="D145" s="18" t="n">
        <f aca="false">Purchase_Orders!D142</f>
        <v>634.26</v>
      </c>
      <c r="E145" s="16" t="str">
        <f aca="false">Purchase_Orders!F142</f>
        <v>Christina Walters</v>
      </c>
      <c r="F145" s="16" t="str">
        <f aca="false">Purchase_Orders!G142</f>
        <v>Julia Torres</v>
      </c>
      <c r="G145" s="16" t="str">
        <f aca="false">IF(E145=F145,"VIOLATION - Same Person Requested &amp; Approved","OK")</f>
        <v>OK</v>
      </c>
    </row>
    <row r="146" customFormat="false" ht="15" hidden="false" customHeight="false" outlineLevel="0" collapsed="false">
      <c r="A146" s="16" t="str">
        <f aca="false">Purchase_Orders!A143</f>
        <v>PO10142</v>
      </c>
      <c r="B146" s="16" t="str">
        <f aca="false">Purchase_Orders!B143</f>
        <v>V1029</v>
      </c>
      <c r="C146" s="17" t="n">
        <f aca="false">Purchase_Orders!C143</f>
        <v>45661</v>
      </c>
      <c r="D146" s="18" t="n">
        <f aca="false">Purchase_Orders!D143</f>
        <v>858.6</v>
      </c>
      <c r="E146" s="16" t="str">
        <f aca="false">Purchase_Orders!F143</f>
        <v>Brian Rodriguez</v>
      </c>
      <c r="F146" s="16" t="str">
        <f aca="false">Purchase_Orders!G143</f>
        <v>Julia Torres</v>
      </c>
      <c r="G146" s="16" t="str">
        <f aca="false">IF(E146=F146,"VIOLATION - Same Person Requested &amp; Approved","OK")</f>
        <v>OK</v>
      </c>
    </row>
    <row r="147" customFormat="false" ht="15" hidden="false" customHeight="false" outlineLevel="0" collapsed="false">
      <c r="A147" s="16" t="str">
        <f aca="false">Purchase_Orders!A144</f>
        <v>PO10143</v>
      </c>
      <c r="B147" s="16" t="str">
        <f aca="false">Purchase_Orders!B144</f>
        <v>V1023</v>
      </c>
      <c r="C147" s="17" t="n">
        <f aca="false">Purchase_Orders!C144</f>
        <v>45849</v>
      </c>
      <c r="D147" s="18" t="n">
        <f aca="false">Purchase_Orders!D144</f>
        <v>1495.05</v>
      </c>
      <c r="E147" s="16" t="str">
        <f aca="false">Purchase_Orders!F144</f>
        <v>Christina Walters</v>
      </c>
      <c r="F147" s="16" t="str">
        <f aca="false">Purchase_Orders!G144</f>
        <v>Sierra Johnson</v>
      </c>
      <c r="G147" s="16" t="str">
        <f aca="false">IF(E147=F147,"VIOLATION - Same Person Requested &amp; Approved","OK")</f>
        <v>OK</v>
      </c>
    </row>
    <row r="148" customFormat="false" ht="15" hidden="false" customHeight="false" outlineLevel="0" collapsed="false">
      <c r="A148" s="16" t="str">
        <f aca="false">Purchase_Orders!A145</f>
        <v>PO10144</v>
      </c>
      <c r="B148" s="16" t="str">
        <f aca="false">Purchase_Orders!B145</f>
        <v>V1037</v>
      </c>
      <c r="C148" s="17" t="n">
        <f aca="false">Purchase_Orders!C145</f>
        <v>46068</v>
      </c>
      <c r="D148" s="18" t="n">
        <f aca="false">Purchase_Orders!D145</f>
        <v>4226.43</v>
      </c>
      <c r="E148" s="16" t="str">
        <f aca="false">Purchase_Orders!F145</f>
        <v>Sandra Aguilar</v>
      </c>
      <c r="F148" s="16" t="str">
        <f aca="false">Purchase_Orders!G145</f>
        <v>Sharon Cochran</v>
      </c>
      <c r="G148" s="16" t="str">
        <f aca="false">IF(E148=F148,"VIOLATION - Same Person Requested &amp; Approved","OK")</f>
        <v>OK</v>
      </c>
    </row>
    <row r="149" customFormat="false" ht="15" hidden="false" customHeight="false" outlineLevel="0" collapsed="false">
      <c r="A149" s="16" t="str">
        <f aca="false">Purchase_Orders!A146</f>
        <v>PO10145</v>
      </c>
      <c r="B149" s="16" t="str">
        <f aca="false">Purchase_Orders!B146</f>
        <v>V1029</v>
      </c>
      <c r="C149" s="17" t="n">
        <f aca="false">Purchase_Orders!C146</f>
        <v>46123</v>
      </c>
      <c r="D149" s="18" t="n">
        <f aca="false">Purchase_Orders!D146</f>
        <v>203.15</v>
      </c>
      <c r="E149" s="16" t="str">
        <f aca="false">Purchase_Orders!F146</f>
        <v>Deborah Figueroa</v>
      </c>
      <c r="F149" s="16" t="str">
        <f aca="false">Purchase_Orders!G146</f>
        <v>Julia Torres</v>
      </c>
      <c r="G149" s="16" t="str">
        <f aca="false">IF(E149=F149,"VIOLATION - Same Person Requested &amp; Approved","OK")</f>
        <v>OK</v>
      </c>
    </row>
    <row r="150" customFormat="false" ht="15" hidden="false" customHeight="false" outlineLevel="0" collapsed="false">
      <c r="A150" s="16" t="str">
        <f aca="false">Purchase_Orders!A147</f>
        <v>PO10146</v>
      </c>
      <c r="B150" s="16" t="str">
        <f aca="false">Purchase_Orders!B147</f>
        <v>V1001</v>
      </c>
      <c r="C150" s="17" t="n">
        <f aca="false">Purchase_Orders!C147</f>
        <v>46177</v>
      </c>
      <c r="D150" s="18" t="n">
        <f aca="false">Purchase_Orders!D147</f>
        <v>1362.11</v>
      </c>
      <c r="E150" s="16" t="str">
        <f aca="false">Purchase_Orders!F147</f>
        <v>Christine Wright</v>
      </c>
      <c r="F150" s="16" t="str">
        <f aca="false">Purchase_Orders!G147</f>
        <v>Sharon Cochran</v>
      </c>
      <c r="G150" s="16" t="str">
        <f aca="false">IF(E150=F150,"VIOLATION - Same Person Requested &amp; Approved","OK")</f>
        <v>OK</v>
      </c>
    </row>
    <row r="151" customFormat="false" ht="15" hidden="false" customHeight="false" outlineLevel="0" collapsed="false">
      <c r="A151" s="16" t="str">
        <f aca="false">Purchase_Orders!A148</f>
        <v>PO10147</v>
      </c>
      <c r="B151" s="16" t="str">
        <f aca="false">Purchase_Orders!B148</f>
        <v>V1036</v>
      </c>
      <c r="C151" s="17" t="n">
        <f aca="false">Purchase_Orders!C148</f>
        <v>45886</v>
      </c>
      <c r="D151" s="18" t="n">
        <f aca="false">Purchase_Orders!D148</f>
        <v>3143.41</v>
      </c>
      <c r="E151" s="16" t="str">
        <f aca="false">Purchase_Orders!F148</f>
        <v>Christopher Bass</v>
      </c>
      <c r="F151" s="16" t="str">
        <f aca="false">Purchase_Orders!G148</f>
        <v>Sharon Cherry</v>
      </c>
      <c r="G151" s="16" t="str">
        <f aca="false">IF(E151=F151,"VIOLATION - Same Person Requested &amp; Approved","OK")</f>
        <v>OK</v>
      </c>
    </row>
    <row r="152" customFormat="false" ht="15" hidden="false" customHeight="false" outlineLevel="0" collapsed="false">
      <c r="A152" s="16" t="str">
        <f aca="false">Purchase_Orders!A149</f>
        <v>PO10148</v>
      </c>
      <c r="B152" s="16" t="str">
        <f aca="false">Purchase_Orders!B149</f>
        <v>V1005</v>
      </c>
      <c r="C152" s="17" t="n">
        <f aca="false">Purchase_Orders!C149</f>
        <v>46065</v>
      </c>
      <c r="D152" s="18" t="n">
        <f aca="false">Purchase_Orders!D149</f>
        <v>13042.87</v>
      </c>
      <c r="E152" s="16" t="str">
        <f aca="false">Purchase_Orders!F149</f>
        <v>John Whitehead</v>
      </c>
      <c r="F152" s="16" t="str">
        <f aca="false">Purchase_Orders!G149</f>
        <v>Evelyn Galvan</v>
      </c>
      <c r="G152" s="16" t="str">
        <f aca="false">IF(E152=F152,"VIOLATION - Same Person Requested &amp; Approved","OK")</f>
        <v>OK</v>
      </c>
    </row>
    <row r="153" customFormat="false" ht="15" hidden="false" customHeight="false" outlineLevel="0" collapsed="false">
      <c r="A153" s="16" t="str">
        <f aca="false">Purchase_Orders!A150</f>
        <v>PO10149</v>
      </c>
      <c r="B153" s="16" t="str">
        <f aca="false">Purchase_Orders!B150</f>
        <v>V1039</v>
      </c>
      <c r="C153" s="17" t="n">
        <f aca="false">Purchase_Orders!C150</f>
        <v>45955</v>
      </c>
      <c r="D153" s="18" t="n">
        <f aca="false">Purchase_Orders!D150</f>
        <v>4664.8</v>
      </c>
      <c r="E153" s="16" t="str">
        <f aca="false">Purchase_Orders!F150</f>
        <v>Jessica Smith</v>
      </c>
      <c r="F153" s="16" t="str">
        <f aca="false">Purchase_Orders!G150</f>
        <v>Shannon Walker</v>
      </c>
      <c r="G153" s="16" t="str">
        <f aca="false">IF(E153=F153,"VIOLATION - Same Person Requested &amp; Approved","OK")</f>
        <v>OK</v>
      </c>
    </row>
    <row r="154" customFormat="false" ht="15" hidden="false" customHeight="false" outlineLevel="0" collapsed="false">
      <c r="A154" s="16" t="str">
        <f aca="false">Purchase_Orders!A151</f>
        <v>PO10150</v>
      </c>
      <c r="B154" s="16" t="str">
        <f aca="false">Purchase_Orders!B151</f>
        <v>V1015</v>
      </c>
      <c r="C154" s="17" t="n">
        <f aca="false">Purchase_Orders!C151</f>
        <v>45986</v>
      </c>
      <c r="D154" s="18" t="n">
        <f aca="false">Purchase_Orders!D151</f>
        <v>2106.89</v>
      </c>
      <c r="E154" s="16" t="str">
        <f aca="false">Purchase_Orders!F151</f>
        <v>Anna Henderson</v>
      </c>
      <c r="F154" s="16" t="str">
        <f aca="false">Purchase_Orders!G151</f>
        <v>Richard Rodriguez</v>
      </c>
      <c r="G154" s="16" t="str">
        <f aca="false">IF(E154=F154,"VIOLATION - Same Person Requested &amp; Approved","OK")</f>
        <v>OK</v>
      </c>
    </row>
    <row r="155" customFormat="false" ht="15" hidden="false" customHeight="false" outlineLevel="0" collapsed="false">
      <c r="A155" s="16" t="str">
        <f aca="false">Purchase_Orders!A152</f>
        <v>PO10151</v>
      </c>
      <c r="B155" s="16" t="str">
        <f aca="false">Purchase_Orders!B152</f>
        <v>V1008</v>
      </c>
      <c r="C155" s="17" t="n">
        <f aca="false">Purchase_Orders!C152</f>
        <v>45778</v>
      </c>
      <c r="D155" s="18" t="n">
        <f aca="false">Purchase_Orders!D152</f>
        <v>7303.36</v>
      </c>
      <c r="E155" s="16" t="str">
        <f aca="false">Purchase_Orders!F152</f>
        <v>Shirley Suarez</v>
      </c>
      <c r="F155" s="16" t="str">
        <f aca="false">Purchase_Orders!G152</f>
        <v>Richard Rodriguez</v>
      </c>
      <c r="G155" s="16" t="str">
        <f aca="false">IF(E155=F155,"VIOLATION - Same Person Requested &amp; Approved","OK")</f>
        <v>OK</v>
      </c>
    </row>
    <row r="156" customFormat="false" ht="15" hidden="false" customHeight="false" outlineLevel="0" collapsed="false">
      <c r="A156" s="16" t="str">
        <f aca="false">Purchase_Orders!A153</f>
        <v>PO10152</v>
      </c>
      <c r="B156" s="16" t="str">
        <f aca="false">Purchase_Orders!B153</f>
        <v>V1001</v>
      </c>
      <c r="C156" s="17" t="n">
        <f aca="false">Purchase_Orders!C153</f>
        <v>45777</v>
      </c>
      <c r="D156" s="18" t="n">
        <f aca="false">Purchase_Orders!D153</f>
        <v>2285.28</v>
      </c>
      <c r="E156" s="16" t="str">
        <f aca="false">Purchase_Orders!F153</f>
        <v>Matthew Mcmillan</v>
      </c>
      <c r="F156" s="16" t="str">
        <f aca="false">Purchase_Orders!G153</f>
        <v>Sharon Cochran</v>
      </c>
      <c r="G156" s="16" t="str">
        <f aca="false">IF(E156=F156,"VIOLATION - Same Person Requested &amp; Approved","OK")</f>
        <v>OK</v>
      </c>
    </row>
    <row r="157" customFormat="false" ht="15" hidden="false" customHeight="false" outlineLevel="0" collapsed="false">
      <c r="A157" s="16" t="str">
        <f aca="false">Purchase_Orders!A154</f>
        <v>PO10153</v>
      </c>
      <c r="B157" s="16" t="str">
        <f aca="false">Purchase_Orders!B154</f>
        <v>V1018</v>
      </c>
      <c r="C157" s="17" t="n">
        <f aca="false">Purchase_Orders!C154</f>
        <v>45895</v>
      </c>
      <c r="D157" s="18" t="n">
        <f aca="false">Purchase_Orders!D154</f>
        <v>298.46</v>
      </c>
      <c r="E157" s="16" t="str">
        <f aca="false">Purchase_Orders!F154</f>
        <v>Rebecca Valencia</v>
      </c>
      <c r="F157" s="16" t="str">
        <f aca="false">Purchase_Orders!G154</f>
        <v>Sharon Cochran</v>
      </c>
      <c r="G157" s="16" t="str">
        <f aca="false">IF(E157=F157,"VIOLATION - Same Person Requested &amp; Approved","OK")</f>
        <v>OK</v>
      </c>
    </row>
    <row r="158" customFormat="false" ht="15" hidden="false" customHeight="false" outlineLevel="0" collapsed="false">
      <c r="A158" s="16" t="str">
        <f aca="false">Purchase_Orders!A155</f>
        <v>PO10154</v>
      </c>
      <c r="B158" s="16" t="str">
        <f aca="false">Purchase_Orders!B155</f>
        <v>V1017</v>
      </c>
      <c r="C158" s="17" t="n">
        <f aca="false">Purchase_Orders!C155</f>
        <v>45673</v>
      </c>
      <c r="D158" s="18" t="n">
        <f aca="false">Purchase_Orders!D155</f>
        <v>2062.27</v>
      </c>
      <c r="E158" s="16" t="str">
        <f aca="false">Purchase_Orders!F155</f>
        <v>Aaron Wise</v>
      </c>
      <c r="F158" s="16" t="str">
        <f aca="false">Purchase_Orders!G155</f>
        <v>Evelyn Galvan</v>
      </c>
      <c r="G158" s="16" t="str">
        <f aca="false">IF(E158=F158,"VIOLATION - Same Person Requested &amp; Approved","OK")</f>
        <v>OK</v>
      </c>
    </row>
    <row r="159" customFormat="false" ht="15" hidden="false" customHeight="false" outlineLevel="0" collapsed="false">
      <c r="A159" s="16" t="str">
        <f aca="false">Purchase_Orders!A156</f>
        <v>PO10155</v>
      </c>
      <c r="B159" s="16" t="str">
        <f aca="false">Purchase_Orders!B156</f>
        <v>V1025</v>
      </c>
      <c r="C159" s="17" t="n">
        <f aca="false">Purchase_Orders!C156</f>
        <v>45841</v>
      </c>
      <c r="D159" s="18" t="n">
        <f aca="false">Purchase_Orders!D156</f>
        <v>8142.95</v>
      </c>
      <c r="E159" s="16" t="str">
        <f aca="false">Purchase_Orders!F156</f>
        <v>Christine Wright</v>
      </c>
      <c r="F159" s="16" t="str">
        <f aca="false">Purchase_Orders!G156</f>
        <v>Shannon Walker</v>
      </c>
      <c r="G159" s="16" t="str">
        <f aca="false">IF(E159=F159,"VIOLATION - Same Person Requested &amp; Approved","OK")</f>
        <v>OK</v>
      </c>
    </row>
    <row r="160" customFormat="false" ht="15" hidden="false" customHeight="false" outlineLevel="0" collapsed="false">
      <c r="A160" s="16" t="str">
        <f aca="false">Purchase_Orders!A157</f>
        <v>PO10156</v>
      </c>
      <c r="B160" s="16" t="str">
        <f aca="false">Purchase_Orders!B157</f>
        <v>V1017</v>
      </c>
      <c r="C160" s="17" t="n">
        <f aca="false">Purchase_Orders!C157</f>
        <v>46028</v>
      </c>
      <c r="D160" s="18" t="n">
        <f aca="false">Purchase_Orders!D157</f>
        <v>499.89</v>
      </c>
      <c r="E160" s="16" t="str">
        <f aca="false">Purchase_Orders!F157</f>
        <v>Richard Henson</v>
      </c>
      <c r="F160" s="16" t="str">
        <f aca="false">Purchase_Orders!G157</f>
        <v>Evelyn Galvan</v>
      </c>
      <c r="G160" s="16" t="str">
        <f aca="false">IF(E160=F160,"VIOLATION - Same Person Requested &amp; Approved","OK")</f>
        <v>OK</v>
      </c>
    </row>
    <row r="161" customFormat="false" ht="15" hidden="false" customHeight="false" outlineLevel="0" collapsed="false">
      <c r="A161" s="16" t="str">
        <f aca="false">Purchase_Orders!A158</f>
        <v>PO10157</v>
      </c>
      <c r="B161" s="16" t="str">
        <f aca="false">Purchase_Orders!B158</f>
        <v>V1007</v>
      </c>
      <c r="C161" s="17" t="n">
        <f aca="false">Purchase_Orders!C158</f>
        <v>45878</v>
      </c>
      <c r="D161" s="18" t="n">
        <f aca="false">Purchase_Orders!D158</f>
        <v>2573.09</v>
      </c>
      <c r="E161" s="16" t="str">
        <f aca="false">Purchase_Orders!F158</f>
        <v>Sandra Aguilar</v>
      </c>
      <c r="F161" s="16" t="str">
        <f aca="false">Purchase_Orders!G158</f>
        <v>Julia Torres</v>
      </c>
      <c r="G161" s="16" t="str">
        <f aca="false">IF(E161=F161,"VIOLATION - Same Person Requested &amp; Approved","OK")</f>
        <v>OK</v>
      </c>
    </row>
    <row r="162" customFormat="false" ht="15" hidden="false" customHeight="false" outlineLevel="0" collapsed="false">
      <c r="A162" s="16" t="str">
        <f aca="false">Purchase_Orders!A159</f>
        <v>PO10158</v>
      </c>
      <c r="B162" s="16" t="str">
        <f aca="false">Purchase_Orders!B159</f>
        <v>V1002</v>
      </c>
      <c r="C162" s="17" t="n">
        <f aca="false">Purchase_Orders!C159</f>
        <v>45747</v>
      </c>
      <c r="D162" s="18" t="n">
        <f aca="false">Purchase_Orders!D159</f>
        <v>2238.27</v>
      </c>
      <c r="E162" s="16" t="str">
        <f aca="false">Purchase_Orders!F159</f>
        <v>Kevin Mills</v>
      </c>
      <c r="F162" s="16" t="str">
        <f aca="false">Purchase_Orders!G159</f>
        <v>Sharon Cherry</v>
      </c>
      <c r="G162" s="16" t="str">
        <f aca="false">IF(E162=F162,"VIOLATION - Same Person Requested &amp; Approved","OK")</f>
        <v>OK</v>
      </c>
    </row>
    <row r="163" customFormat="false" ht="15" hidden="false" customHeight="false" outlineLevel="0" collapsed="false">
      <c r="A163" s="16" t="str">
        <f aca="false">Purchase_Orders!A160</f>
        <v>PO10159</v>
      </c>
      <c r="B163" s="16" t="str">
        <f aca="false">Purchase_Orders!B160</f>
        <v>V1001</v>
      </c>
      <c r="C163" s="17" t="n">
        <f aca="false">Purchase_Orders!C160</f>
        <v>45912</v>
      </c>
      <c r="D163" s="18" t="n">
        <f aca="false">Purchase_Orders!D160</f>
        <v>332.16</v>
      </c>
      <c r="E163" s="16" t="str">
        <f aca="false">Purchase_Orders!F160</f>
        <v>Denise Jacobs</v>
      </c>
      <c r="F163" s="16" t="str">
        <f aca="false">Purchase_Orders!G160</f>
        <v>Evelyn Galvan</v>
      </c>
      <c r="G163" s="16" t="str">
        <f aca="false">IF(E163=F163,"VIOLATION - Same Person Requested &amp; Approved","OK")</f>
        <v>OK</v>
      </c>
    </row>
    <row r="164" customFormat="false" ht="15" hidden="false" customHeight="false" outlineLevel="0" collapsed="false">
      <c r="A164" s="16" t="str">
        <f aca="false">Purchase_Orders!A161</f>
        <v>PO10160</v>
      </c>
      <c r="B164" s="16" t="str">
        <f aca="false">Purchase_Orders!B161</f>
        <v>V1021</v>
      </c>
      <c r="C164" s="17" t="n">
        <f aca="false">Purchase_Orders!C161</f>
        <v>45727</v>
      </c>
      <c r="D164" s="18" t="n">
        <f aca="false">Purchase_Orders!D161</f>
        <v>390.27</v>
      </c>
      <c r="E164" s="16" t="str">
        <f aca="false">Purchase_Orders!F161</f>
        <v>Jessica Smith</v>
      </c>
      <c r="F164" s="16" t="str">
        <f aca="false">Purchase_Orders!G161</f>
        <v>Richard Rodriguez</v>
      </c>
      <c r="G164" s="16" t="str">
        <f aca="false">IF(E164=F164,"VIOLATION - Same Person Requested &amp; Approved","OK")</f>
        <v>OK</v>
      </c>
    </row>
    <row r="165" customFormat="false" ht="15" hidden="false" customHeight="false" outlineLevel="0" collapsed="false">
      <c r="A165" s="16" t="str">
        <f aca="false">Purchase_Orders!A162</f>
        <v>PO10161</v>
      </c>
      <c r="B165" s="16" t="str">
        <f aca="false">Purchase_Orders!B162</f>
        <v>V1035</v>
      </c>
      <c r="C165" s="17" t="n">
        <f aca="false">Purchase_Orders!C162</f>
        <v>45997</v>
      </c>
      <c r="D165" s="18" t="n">
        <f aca="false">Purchase_Orders!D162</f>
        <v>783.53</v>
      </c>
      <c r="E165" s="16" t="str">
        <f aca="false">Purchase_Orders!F162</f>
        <v>Aaron Wise</v>
      </c>
      <c r="F165" s="16" t="str">
        <f aca="false">Purchase_Orders!G162</f>
        <v>Richard Rodriguez</v>
      </c>
      <c r="G165" s="16" t="str">
        <f aca="false">IF(E165=F165,"VIOLATION - Same Person Requested &amp; Approved","OK")</f>
        <v>OK</v>
      </c>
    </row>
    <row r="166" customFormat="false" ht="15" hidden="false" customHeight="false" outlineLevel="0" collapsed="false">
      <c r="A166" s="16" t="str">
        <f aca="false">Purchase_Orders!A163</f>
        <v>PO10162</v>
      </c>
      <c r="B166" s="16" t="str">
        <f aca="false">Purchase_Orders!B163</f>
        <v>V1025</v>
      </c>
      <c r="C166" s="17" t="n">
        <f aca="false">Purchase_Orders!C163</f>
        <v>45672</v>
      </c>
      <c r="D166" s="18" t="n">
        <f aca="false">Purchase_Orders!D163</f>
        <v>2198.89</v>
      </c>
      <c r="E166" s="16" t="str">
        <f aca="false">Purchase_Orders!F163</f>
        <v>Christine Wright</v>
      </c>
      <c r="F166" s="16" t="str">
        <f aca="false">Purchase_Orders!G163</f>
        <v>Richard Rodriguez</v>
      </c>
      <c r="G166" s="16" t="str">
        <f aca="false">IF(E166=F166,"VIOLATION - Same Person Requested &amp; Approved","OK")</f>
        <v>OK</v>
      </c>
    </row>
    <row r="167" customFormat="false" ht="15" hidden="false" customHeight="false" outlineLevel="0" collapsed="false">
      <c r="A167" s="16" t="str">
        <f aca="false">Purchase_Orders!A164</f>
        <v>PO10163</v>
      </c>
      <c r="B167" s="16" t="str">
        <f aca="false">Purchase_Orders!B164</f>
        <v>V1011</v>
      </c>
      <c r="C167" s="17" t="n">
        <f aca="false">Purchase_Orders!C164</f>
        <v>45872</v>
      </c>
      <c r="D167" s="18" t="n">
        <f aca="false">Purchase_Orders!D164</f>
        <v>327.42</v>
      </c>
      <c r="E167" s="16" t="str">
        <f aca="false">Purchase_Orders!F164</f>
        <v>John Whitehead</v>
      </c>
      <c r="F167" s="16" t="str">
        <f aca="false">Purchase_Orders!G164</f>
        <v>Sharon Cochran</v>
      </c>
      <c r="G167" s="16" t="str">
        <f aca="false">IF(E167=F167,"VIOLATION - Same Person Requested &amp; Approved","OK")</f>
        <v>OK</v>
      </c>
    </row>
    <row r="168" customFormat="false" ht="15" hidden="false" customHeight="false" outlineLevel="0" collapsed="false">
      <c r="A168" s="16" t="str">
        <f aca="false">Purchase_Orders!A165</f>
        <v>PO10164</v>
      </c>
      <c r="B168" s="16" t="str">
        <f aca="false">Purchase_Orders!B165</f>
        <v>V1014</v>
      </c>
      <c r="C168" s="17" t="n">
        <f aca="false">Purchase_Orders!C165</f>
        <v>45965</v>
      </c>
      <c r="D168" s="18" t="n">
        <f aca="false">Purchase_Orders!D165</f>
        <v>12338.24</v>
      </c>
      <c r="E168" s="16" t="str">
        <f aca="false">Purchase_Orders!F165</f>
        <v>Christopher Bass</v>
      </c>
      <c r="F168" s="16" t="str">
        <f aca="false">Purchase_Orders!G165</f>
        <v>Sharon Cherry</v>
      </c>
      <c r="G168" s="16" t="str">
        <f aca="false">IF(E168=F168,"VIOLATION - Same Person Requested &amp; Approved","OK")</f>
        <v>OK</v>
      </c>
    </row>
    <row r="169" customFormat="false" ht="15" hidden="false" customHeight="false" outlineLevel="0" collapsed="false">
      <c r="A169" s="16" t="str">
        <f aca="false">Purchase_Orders!A166</f>
        <v>PO10165</v>
      </c>
      <c r="B169" s="16" t="str">
        <f aca="false">Purchase_Orders!B166</f>
        <v>V1022</v>
      </c>
      <c r="C169" s="17" t="n">
        <f aca="false">Purchase_Orders!C166</f>
        <v>45672</v>
      </c>
      <c r="D169" s="18" t="n">
        <f aca="false">Purchase_Orders!D166</f>
        <v>1431.29</v>
      </c>
      <c r="E169" s="16" t="str">
        <f aca="false">Purchase_Orders!F166</f>
        <v>Matthew Mcmillan</v>
      </c>
      <c r="F169" s="16" t="str">
        <f aca="false">Purchase_Orders!G166</f>
        <v>Sharon Cherry</v>
      </c>
      <c r="G169" s="16" t="str">
        <f aca="false">IF(E169=F169,"VIOLATION - Same Person Requested &amp; Approved","OK")</f>
        <v>OK</v>
      </c>
    </row>
    <row r="170" customFormat="false" ht="15" hidden="false" customHeight="false" outlineLevel="0" collapsed="false">
      <c r="A170" s="16" t="str">
        <f aca="false">Purchase_Orders!A167</f>
        <v>PO10166</v>
      </c>
      <c r="B170" s="16" t="str">
        <f aca="false">Purchase_Orders!B167</f>
        <v>V1028</v>
      </c>
      <c r="C170" s="17" t="n">
        <f aca="false">Purchase_Orders!C167</f>
        <v>46008</v>
      </c>
      <c r="D170" s="18" t="n">
        <f aca="false">Purchase_Orders!D167</f>
        <v>9458.18</v>
      </c>
      <c r="E170" s="16" t="str">
        <f aca="false">Purchase_Orders!F167</f>
        <v>Richard Henson</v>
      </c>
      <c r="F170" s="16" t="str">
        <f aca="false">Purchase_Orders!G167</f>
        <v>Sierra Johnson</v>
      </c>
      <c r="G170" s="16" t="str">
        <f aca="false">IF(E170=F170,"VIOLATION - Same Person Requested &amp; Approved","OK")</f>
        <v>OK</v>
      </c>
    </row>
    <row r="171" customFormat="false" ht="15" hidden="false" customHeight="false" outlineLevel="0" collapsed="false">
      <c r="A171" s="16" t="str">
        <f aca="false">Purchase_Orders!A168</f>
        <v>PO10167</v>
      </c>
      <c r="B171" s="16" t="str">
        <f aca="false">Purchase_Orders!B168</f>
        <v>V1033</v>
      </c>
      <c r="C171" s="17" t="n">
        <f aca="false">Purchase_Orders!C168</f>
        <v>45731</v>
      </c>
      <c r="D171" s="18" t="n">
        <f aca="false">Purchase_Orders!D168</f>
        <v>354.26</v>
      </c>
      <c r="E171" s="16" t="str">
        <f aca="false">Purchase_Orders!F168</f>
        <v>Christine Wright</v>
      </c>
      <c r="F171" s="16" t="str">
        <f aca="false">Purchase_Orders!G168</f>
        <v>Julia Torres</v>
      </c>
      <c r="G171" s="16" t="str">
        <f aca="false">IF(E171=F171,"VIOLATION - Same Person Requested &amp; Approved","OK")</f>
        <v>OK</v>
      </c>
    </row>
    <row r="172" customFormat="false" ht="15" hidden="false" customHeight="false" outlineLevel="0" collapsed="false">
      <c r="A172" s="16" t="str">
        <f aca="false">Purchase_Orders!A169</f>
        <v>PO10168</v>
      </c>
      <c r="B172" s="16" t="str">
        <f aca="false">Purchase_Orders!B169</f>
        <v>V1024</v>
      </c>
      <c r="C172" s="17" t="n">
        <f aca="false">Purchase_Orders!C169</f>
        <v>45909</v>
      </c>
      <c r="D172" s="18" t="n">
        <f aca="false">Purchase_Orders!D169</f>
        <v>1640.65</v>
      </c>
      <c r="E172" s="16" t="str">
        <f aca="false">Purchase_Orders!F169</f>
        <v>Jessica Smith</v>
      </c>
      <c r="F172" s="16" t="str">
        <f aca="false">Purchase_Orders!G169</f>
        <v>Sharon Cochran</v>
      </c>
      <c r="G172" s="16" t="str">
        <f aca="false">IF(E172=F172,"VIOLATION - Same Person Requested &amp; Approved","OK")</f>
        <v>OK</v>
      </c>
    </row>
    <row r="173" customFormat="false" ht="15" hidden="false" customHeight="false" outlineLevel="0" collapsed="false">
      <c r="A173" s="16" t="str">
        <f aca="false">Purchase_Orders!A170</f>
        <v>PO10169</v>
      </c>
      <c r="B173" s="16" t="str">
        <f aca="false">Purchase_Orders!B170</f>
        <v>V1011</v>
      </c>
      <c r="C173" s="17" t="n">
        <f aca="false">Purchase_Orders!C170</f>
        <v>45685</v>
      </c>
      <c r="D173" s="18" t="n">
        <f aca="false">Purchase_Orders!D170</f>
        <v>14457.87</v>
      </c>
      <c r="E173" s="16" t="str">
        <f aca="false">Purchase_Orders!F170</f>
        <v>Shirley Suarez</v>
      </c>
      <c r="F173" s="16" t="str">
        <f aca="false">Purchase_Orders!G170</f>
        <v>Sharon Cochran</v>
      </c>
      <c r="G173" s="16" t="str">
        <f aca="false">IF(E173=F173,"VIOLATION - Same Person Requested &amp; Approved","OK")</f>
        <v>OK</v>
      </c>
    </row>
    <row r="174" customFormat="false" ht="15" hidden="false" customHeight="false" outlineLevel="0" collapsed="false">
      <c r="A174" s="16" t="str">
        <f aca="false">Purchase_Orders!A171</f>
        <v>PO10170</v>
      </c>
      <c r="B174" s="16" t="str">
        <f aca="false">Purchase_Orders!B171</f>
        <v>V1011</v>
      </c>
      <c r="C174" s="17" t="n">
        <f aca="false">Purchase_Orders!C171</f>
        <v>45864</v>
      </c>
      <c r="D174" s="18" t="n">
        <f aca="false">Purchase_Orders!D171</f>
        <v>3828.96</v>
      </c>
      <c r="E174" s="16" t="str">
        <f aca="false">Purchase_Orders!F171</f>
        <v>Angel Lewis MD</v>
      </c>
      <c r="F174" s="16" t="str">
        <f aca="false">Purchase_Orders!G171</f>
        <v>Angel Lewis MD</v>
      </c>
      <c r="G174" s="16" t="str">
        <f aca="false">IF(E174=F174,"VIOLATION - Same Person Requested &amp; Approved","OK")</f>
        <v>VIOLATION - Same Person Requested &amp; Approved</v>
      </c>
    </row>
    <row r="175" customFormat="false" ht="15" hidden="false" customHeight="false" outlineLevel="0" collapsed="false">
      <c r="A175" s="16" t="str">
        <f aca="false">Purchase_Orders!A172</f>
        <v>PO10171</v>
      </c>
      <c r="B175" s="16" t="str">
        <f aca="false">Purchase_Orders!B172</f>
        <v>V1025</v>
      </c>
      <c r="C175" s="17" t="n">
        <f aca="false">Purchase_Orders!C172</f>
        <v>45773</v>
      </c>
      <c r="D175" s="18" t="n">
        <f aca="false">Purchase_Orders!D172</f>
        <v>1542.51</v>
      </c>
      <c r="E175" s="16" t="str">
        <f aca="false">Purchase_Orders!F172</f>
        <v>Deborah Figueroa</v>
      </c>
      <c r="F175" s="16" t="str">
        <f aca="false">Purchase_Orders!G172</f>
        <v>Sierra Johnson</v>
      </c>
      <c r="G175" s="16" t="str">
        <f aca="false">IF(E175=F175,"VIOLATION - Same Person Requested &amp; Approved","OK")</f>
        <v>OK</v>
      </c>
    </row>
    <row r="176" customFormat="false" ht="15" hidden="false" customHeight="false" outlineLevel="0" collapsed="false">
      <c r="A176" s="16" t="str">
        <f aca="false">Purchase_Orders!A173</f>
        <v>PO10172</v>
      </c>
      <c r="B176" s="16" t="str">
        <f aca="false">Purchase_Orders!B173</f>
        <v>V1020</v>
      </c>
      <c r="C176" s="17" t="n">
        <f aca="false">Purchase_Orders!C173</f>
        <v>45836</v>
      </c>
      <c r="D176" s="18" t="n">
        <f aca="false">Purchase_Orders!D173</f>
        <v>1235.82</v>
      </c>
      <c r="E176" s="16" t="str">
        <f aca="false">Purchase_Orders!F173</f>
        <v>Christina Moran</v>
      </c>
      <c r="F176" s="16" t="str">
        <f aca="false">Purchase_Orders!G173</f>
        <v>Sharon Cochran</v>
      </c>
      <c r="G176" s="16" t="str">
        <f aca="false">IF(E176=F176,"VIOLATION - Same Person Requested &amp; Approved","OK")</f>
        <v>OK</v>
      </c>
    </row>
    <row r="177" customFormat="false" ht="15" hidden="false" customHeight="false" outlineLevel="0" collapsed="false">
      <c r="A177" s="16" t="str">
        <f aca="false">Purchase_Orders!A174</f>
        <v>PO10173</v>
      </c>
      <c r="B177" s="16" t="str">
        <f aca="false">Purchase_Orders!B174</f>
        <v>V1005</v>
      </c>
      <c r="C177" s="17" t="n">
        <f aca="false">Purchase_Orders!C174</f>
        <v>46072</v>
      </c>
      <c r="D177" s="18" t="n">
        <f aca="false">Purchase_Orders!D174</f>
        <v>21822.22</v>
      </c>
      <c r="E177" s="16" t="str">
        <f aca="false">Purchase_Orders!F174</f>
        <v>Jimmy Murillo</v>
      </c>
      <c r="F177" s="16" t="str">
        <f aca="false">Purchase_Orders!G174</f>
        <v>Julia Torres</v>
      </c>
      <c r="G177" s="16" t="str">
        <f aca="false">IF(E177=F177,"VIOLATION - Same Person Requested &amp; Approved","OK")</f>
        <v>OK</v>
      </c>
    </row>
    <row r="178" customFormat="false" ht="15" hidden="false" customHeight="false" outlineLevel="0" collapsed="false">
      <c r="A178" s="16" t="str">
        <f aca="false">Purchase_Orders!A175</f>
        <v>PO10174</v>
      </c>
      <c r="B178" s="16" t="str">
        <f aca="false">Purchase_Orders!B175</f>
        <v>V1001</v>
      </c>
      <c r="C178" s="17" t="n">
        <f aca="false">Purchase_Orders!C175</f>
        <v>45864</v>
      </c>
      <c r="D178" s="18" t="n">
        <f aca="false">Purchase_Orders!D175</f>
        <v>3828.8</v>
      </c>
      <c r="E178" s="16" t="str">
        <f aca="false">Purchase_Orders!F175</f>
        <v>Kevin Mills</v>
      </c>
      <c r="F178" s="16" t="str">
        <f aca="false">Purchase_Orders!G175</f>
        <v>Sharon Cochran</v>
      </c>
      <c r="G178" s="16" t="str">
        <f aca="false">IF(E178=F178,"VIOLATION - Same Person Requested &amp; Approved","OK")</f>
        <v>OK</v>
      </c>
    </row>
    <row r="179" customFormat="false" ht="15" hidden="false" customHeight="false" outlineLevel="0" collapsed="false">
      <c r="A179" s="16" t="str">
        <f aca="false">Purchase_Orders!A176</f>
        <v>PO10175</v>
      </c>
      <c r="B179" s="16" t="str">
        <f aca="false">Purchase_Orders!B176</f>
        <v>V1024</v>
      </c>
      <c r="C179" s="17" t="n">
        <f aca="false">Purchase_Orders!C176</f>
        <v>46067</v>
      </c>
      <c r="D179" s="18" t="n">
        <f aca="false">Purchase_Orders!D176</f>
        <v>2084.01</v>
      </c>
      <c r="E179" s="16" t="str">
        <f aca="false">Purchase_Orders!F176</f>
        <v>John Whitehead</v>
      </c>
      <c r="F179" s="16" t="str">
        <f aca="false">Purchase_Orders!G176</f>
        <v>Richard Rodriguez</v>
      </c>
      <c r="G179" s="16" t="str">
        <f aca="false">IF(E179=F179,"VIOLATION - Same Person Requested &amp; Approved","OK")</f>
        <v>OK</v>
      </c>
    </row>
    <row r="180" customFormat="false" ht="15" hidden="false" customHeight="false" outlineLevel="0" collapsed="false">
      <c r="A180" s="16" t="str">
        <f aca="false">Purchase_Orders!A177</f>
        <v>PO10176</v>
      </c>
      <c r="B180" s="16" t="str">
        <f aca="false">Purchase_Orders!B177</f>
        <v>V1003</v>
      </c>
      <c r="C180" s="17" t="n">
        <f aca="false">Purchase_Orders!C177</f>
        <v>46111</v>
      </c>
      <c r="D180" s="18" t="n">
        <f aca="false">Purchase_Orders!D177</f>
        <v>1489.22</v>
      </c>
      <c r="E180" s="16" t="str">
        <f aca="false">Purchase_Orders!F177</f>
        <v>Christina Moran</v>
      </c>
      <c r="F180" s="16" t="str">
        <f aca="false">Purchase_Orders!G177</f>
        <v>Sharon Cochran</v>
      </c>
      <c r="G180" s="16" t="str">
        <f aca="false">IF(E180=F180,"VIOLATION - Same Person Requested &amp; Approved","OK")</f>
        <v>OK</v>
      </c>
    </row>
    <row r="181" customFormat="false" ht="15" hidden="false" customHeight="false" outlineLevel="0" collapsed="false">
      <c r="A181" s="16" t="str">
        <f aca="false">Purchase_Orders!A178</f>
        <v>PO10177</v>
      </c>
      <c r="B181" s="16" t="str">
        <f aca="false">Purchase_Orders!B178</f>
        <v>V1035</v>
      </c>
      <c r="C181" s="17" t="n">
        <f aca="false">Purchase_Orders!C178</f>
        <v>45795</v>
      </c>
      <c r="D181" s="18" t="n">
        <f aca="false">Purchase_Orders!D178</f>
        <v>1056.69</v>
      </c>
      <c r="E181" s="16" t="str">
        <f aca="false">Purchase_Orders!F178</f>
        <v>Anna Henderson</v>
      </c>
      <c r="F181" s="16" t="str">
        <f aca="false">Purchase_Orders!G178</f>
        <v>Sharon Cherry</v>
      </c>
      <c r="G181" s="16" t="str">
        <f aca="false">IF(E181=F181,"VIOLATION - Same Person Requested &amp; Approved","OK")</f>
        <v>OK</v>
      </c>
    </row>
    <row r="182" customFormat="false" ht="15" hidden="false" customHeight="false" outlineLevel="0" collapsed="false">
      <c r="A182" s="16" t="str">
        <f aca="false">Purchase_Orders!A179</f>
        <v>PO10178</v>
      </c>
      <c r="B182" s="16" t="str">
        <f aca="false">Purchase_Orders!B179</f>
        <v>V1009</v>
      </c>
      <c r="C182" s="17" t="n">
        <f aca="false">Purchase_Orders!C179</f>
        <v>45702</v>
      </c>
      <c r="D182" s="18" t="n">
        <f aca="false">Purchase_Orders!D179</f>
        <v>3628.81</v>
      </c>
      <c r="E182" s="16" t="str">
        <f aca="false">Purchase_Orders!F179</f>
        <v>Denise Jacobs</v>
      </c>
      <c r="F182" s="16" t="str">
        <f aca="false">Purchase_Orders!G179</f>
        <v>Julia Torres</v>
      </c>
      <c r="G182" s="16" t="str">
        <f aca="false">IF(E182=F182,"VIOLATION - Same Person Requested &amp; Approved","OK")</f>
        <v>OK</v>
      </c>
    </row>
    <row r="183" customFormat="false" ht="15" hidden="false" customHeight="false" outlineLevel="0" collapsed="false">
      <c r="A183" s="16" t="str">
        <f aca="false">Purchase_Orders!A180</f>
        <v>PO10179</v>
      </c>
      <c r="B183" s="16" t="str">
        <f aca="false">Purchase_Orders!B180</f>
        <v>V1034</v>
      </c>
      <c r="C183" s="17" t="n">
        <f aca="false">Purchase_Orders!C180</f>
        <v>45668</v>
      </c>
      <c r="D183" s="18" t="n">
        <f aca="false">Purchase_Orders!D180</f>
        <v>588.95</v>
      </c>
      <c r="E183" s="16" t="str">
        <f aca="false">Purchase_Orders!F180</f>
        <v>Sandra Aguilar</v>
      </c>
      <c r="F183" s="16" t="str">
        <f aca="false">Purchase_Orders!G180</f>
        <v>Marc Moore</v>
      </c>
      <c r="G183" s="16" t="str">
        <f aca="false">IF(E183=F183,"VIOLATION - Same Person Requested &amp; Approved","OK")</f>
        <v>OK</v>
      </c>
    </row>
    <row r="184" customFormat="false" ht="15" hidden="false" customHeight="false" outlineLevel="0" collapsed="false">
      <c r="A184" s="16" t="str">
        <f aca="false">Purchase_Orders!A181</f>
        <v>PO10180</v>
      </c>
      <c r="B184" s="16" t="str">
        <f aca="false">Purchase_Orders!B181</f>
        <v>V1017</v>
      </c>
      <c r="C184" s="17" t="n">
        <f aca="false">Purchase_Orders!C181</f>
        <v>45951</v>
      </c>
      <c r="D184" s="18" t="n">
        <f aca="false">Purchase_Orders!D181</f>
        <v>2268.78</v>
      </c>
      <c r="E184" s="16" t="str">
        <f aca="false">Purchase_Orders!F181</f>
        <v>Jessica Smith</v>
      </c>
      <c r="F184" s="16" t="str">
        <f aca="false">Purchase_Orders!G181</f>
        <v>Sharon Cochran</v>
      </c>
      <c r="G184" s="16" t="str">
        <f aca="false">IF(E184=F184,"VIOLATION - Same Person Requested &amp; Approved","OK")</f>
        <v>OK</v>
      </c>
    </row>
    <row r="185" customFormat="false" ht="15" hidden="false" customHeight="false" outlineLevel="0" collapsed="false">
      <c r="A185" s="16" t="str">
        <f aca="false">Purchase_Orders!A182</f>
        <v>PO10181</v>
      </c>
      <c r="B185" s="16" t="str">
        <f aca="false">Purchase_Orders!B182</f>
        <v>V1021</v>
      </c>
      <c r="C185" s="17" t="n">
        <f aca="false">Purchase_Orders!C182</f>
        <v>46202</v>
      </c>
      <c r="D185" s="18" t="n">
        <f aca="false">Purchase_Orders!D182</f>
        <v>780.2</v>
      </c>
      <c r="E185" s="16" t="str">
        <f aca="false">Purchase_Orders!F182</f>
        <v>Christopher Bass</v>
      </c>
      <c r="F185" s="16" t="str">
        <f aca="false">Purchase_Orders!G182</f>
        <v>Sharon Cherry</v>
      </c>
      <c r="G185" s="16" t="str">
        <f aca="false">IF(E185=F185,"VIOLATION - Same Person Requested &amp; Approved","OK")</f>
        <v>OK</v>
      </c>
    </row>
    <row r="186" customFormat="false" ht="15" hidden="false" customHeight="false" outlineLevel="0" collapsed="false">
      <c r="A186" s="16" t="str">
        <f aca="false">Purchase_Orders!A183</f>
        <v>PO10182</v>
      </c>
      <c r="B186" s="16" t="str">
        <f aca="false">Purchase_Orders!B183</f>
        <v>V1033</v>
      </c>
      <c r="C186" s="17" t="n">
        <f aca="false">Purchase_Orders!C183</f>
        <v>45848</v>
      </c>
      <c r="D186" s="18" t="n">
        <f aca="false">Purchase_Orders!D183</f>
        <v>560.32</v>
      </c>
      <c r="E186" s="16" t="str">
        <f aca="false">Purchase_Orders!F183</f>
        <v>Christina Walters</v>
      </c>
      <c r="F186" s="16" t="str">
        <f aca="false">Purchase_Orders!G183</f>
        <v>Evelyn Galvan</v>
      </c>
      <c r="G186" s="16" t="str">
        <f aca="false">IF(E186=F186,"VIOLATION - Same Person Requested &amp; Approved","OK")</f>
        <v>OK</v>
      </c>
    </row>
    <row r="187" customFormat="false" ht="15" hidden="false" customHeight="false" outlineLevel="0" collapsed="false">
      <c r="A187" s="16" t="str">
        <f aca="false">Purchase_Orders!A184</f>
        <v>PO10183</v>
      </c>
      <c r="B187" s="16" t="str">
        <f aca="false">Purchase_Orders!B184</f>
        <v>V1005</v>
      </c>
      <c r="C187" s="17" t="n">
        <f aca="false">Purchase_Orders!C184</f>
        <v>46012</v>
      </c>
      <c r="D187" s="18" t="n">
        <f aca="false">Purchase_Orders!D184</f>
        <v>1987.68</v>
      </c>
      <c r="E187" s="16" t="str">
        <f aca="false">Purchase_Orders!F184</f>
        <v>Denise Jacobs</v>
      </c>
      <c r="F187" s="16" t="str">
        <f aca="false">Purchase_Orders!G184</f>
        <v>Julia Torres</v>
      </c>
      <c r="G187" s="16" t="str">
        <f aca="false">IF(E187=F187,"VIOLATION - Same Person Requested &amp; Approved","OK")</f>
        <v>OK</v>
      </c>
    </row>
    <row r="188" customFormat="false" ht="15" hidden="false" customHeight="false" outlineLevel="0" collapsed="false">
      <c r="A188" s="16" t="str">
        <f aca="false">Purchase_Orders!A185</f>
        <v>PO10184</v>
      </c>
      <c r="B188" s="16" t="str">
        <f aca="false">Purchase_Orders!B185</f>
        <v>V1008</v>
      </c>
      <c r="C188" s="17" t="n">
        <f aca="false">Purchase_Orders!C185</f>
        <v>46083</v>
      </c>
      <c r="D188" s="18" t="n">
        <f aca="false">Purchase_Orders!D185</f>
        <v>795.03</v>
      </c>
      <c r="E188" s="16" t="str">
        <f aca="false">Purchase_Orders!F185</f>
        <v>Aimee Montoya</v>
      </c>
      <c r="F188" s="16" t="str">
        <f aca="false">Purchase_Orders!G185</f>
        <v>Shannon Walker</v>
      </c>
      <c r="G188" s="16" t="str">
        <f aca="false">IF(E188=F188,"VIOLATION - Same Person Requested &amp; Approved","OK")</f>
        <v>OK</v>
      </c>
    </row>
    <row r="189" customFormat="false" ht="15" hidden="false" customHeight="false" outlineLevel="0" collapsed="false">
      <c r="A189" s="16" t="str">
        <f aca="false">Purchase_Orders!A186</f>
        <v>PO10185</v>
      </c>
      <c r="B189" s="16" t="str">
        <f aca="false">Purchase_Orders!B186</f>
        <v>V1038</v>
      </c>
      <c r="C189" s="17" t="n">
        <f aca="false">Purchase_Orders!C186</f>
        <v>46013</v>
      </c>
      <c r="D189" s="18" t="n">
        <f aca="false">Purchase_Orders!D186</f>
        <v>1829.81</v>
      </c>
      <c r="E189" s="16" t="str">
        <f aca="false">Purchase_Orders!F186</f>
        <v>Stephen Mckee</v>
      </c>
      <c r="F189" s="16" t="str">
        <f aca="false">Purchase_Orders!G186</f>
        <v>Marc Moore</v>
      </c>
      <c r="G189" s="16" t="str">
        <f aca="false">IF(E189=F189,"VIOLATION - Same Person Requested &amp; Approved","OK")</f>
        <v>OK</v>
      </c>
    </row>
    <row r="190" customFormat="false" ht="15" hidden="false" customHeight="false" outlineLevel="0" collapsed="false">
      <c r="A190" s="16" t="str">
        <f aca="false">Purchase_Orders!A187</f>
        <v>PO10186</v>
      </c>
      <c r="B190" s="16" t="str">
        <f aca="false">Purchase_Orders!B187</f>
        <v>V1017</v>
      </c>
      <c r="C190" s="17" t="n">
        <f aca="false">Purchase_Orders!C187</f>
        <v>46069</v>
      </c>
      <c r="D190" s="18" t="n">
        <f aca="false">Purchase_Orders!D187</f>
        <v>3351.54</v>
      </c>
      <c r="E190" s="16" t="str">
        <f aca="false">Purchase_Orders!F187</f>
        <v>Christine Wright</v>
      </c>
      <c r="F190" s="16" t="str">
        <f aca="false">Purchase_Orders!G187</f>
        <v>Sharon Cherry</v>
      </c>
      <c r="G190" s="16" t="str">
        <f aca="false">IF(E190=F190,"VIOLATION - Same Person Requested &amp; Approved","OK")</f>
        <v>OK</v>
      </c>
    </row>
    <row r="191" customFormat="false" ht="15" hidden="false" customHeight="false" outlineLevel="0" collapsed="false">
      <c r="A191" s="16" t="str">
        <f aca="false">Purchase_Orders!A188</f>
        <v>PO10187</v>
      </c>
      <c r="B191" s="16" t="str">
        <f aca="false">Purchase_Orders!B188</f>
        <v>V1012</v>
      </c>
      <c r="C191" s="17" t="n">
        <f aca="false">Purchase_Orders!C188</f>
        <v>46175</v>
      </c>
      <c r="D191" s="18" t="n">
        <f aca="false">Purchase_Orders!D188</f>
        <v>2450.97</v>
      </c>
      <c r="E191" s="16" t="str">
        <f aca="false">Purchase_Orders!F188</f>
        <v>Shirley Suarez</v>
      </c>
      <c r="F191" s="16" t="str">
        <f aca="false">Purchase_Orders!G188</f>
        <v>Evelyn Galvan</v>
      </c>
      <c r="G191" s="16" t="str">
        <f aca="false">IF(E191=F191,"VIOLATION - Same Person Requested &amp; Approved","OK")</f>
        <v>OK</v>
      </c>
    </row>
    <row r="192" customFormat="false" ht="15" hidden="false" customHeight="false" outlineLevel="0" collapsed="false">
      <c r="A192" s="16" t="str">
        <f aca="false">Purchase_Orders!A189</f>
        <v>PO10188</v>
      </c>
      <c r="B192" s="16" t="str">
        <f aca="false">Purchase_Orders!B189</f>
        <v>V1008</v>
      </c>
      <c r="C192" s="17" t="n">
        <f aca="false">Purchase_Orders!C189</f>
        <v>45766</v>
      </c>
      <c r="D192" s="18" t="n">
        <f aca="false">Purchase_Orders!D189</f>
        <v>1825.14</v>
      </c>
      <c r="E192" s="16" t="str">
        <f aca="false">Purchase_Orders!F189</f>
        <v>James Powers</v>
      </c>
      <c r="F192" s="16" t="str">
        <f aca="false">Purchase_Orders!G189</f>
        <v>Sierra Johnson</v>
      </c>
      <c r="G192" s="16" t="str">
        <f aca="false">IF(E192=F192,"VIOLATION - Same Person Requested &amp; Approved","OK")</f>
        <v>OK</v>
      </c>
    </row>
    <row r="193" customFormat="false" ht="15" hidden="false" customHeight="false" outlineLevel="0" collapsed="false">
      <c r="A193" s="16" t="str">
        <f aca="false">Purchase_Orders!A190</f>
        <v>PO10189</v>
      </c>
      <c r="B193" s="16" t="str">
        <f aca="false">Purchase_Orders!B190</f>
        <v>V1022</v>
      </c>
      <c r="C193" s="17" t="n">
        <f aca="false">Purchase_Orders!C190</f>
        <v>45669</v>
      </c>
      <c r="D193" s="18" t="n">
        <f aca="false">Purchase_Orders!D190</f>
        <v>18079.21</v>
      </c>
      <c r="E193" s="16" t="str">
        <f aca="false">Purchase_Orders!F190</f>
        <v>Deborah Figueroa</v>
      </c>
      <c r="F193" s="16" t="str">
        <f aca="false">Purchase_Orders!G190</f>
        <v>Sharon Cherry</v>
      </c>
      <c r="G193" s="16" t="str">
        <f aca="false">IF(E193=F193,"VIOLATION - Same Person Requested &amp; Approved","OK")</f>
        <v>OK</v>
      </c>
    </row>
    <row r="194" customFormat="false" ht="15" hidden="false" customHeight="false" outlineLevel="0" collapsed="false">
      <c r="A194" s="16" t="str">
        <f aca="false">Purchase_Orders!A191</f>
        <v>PO10190</v>
      </c>
      <c r="B194" s="16" t="str">
        <f aca="false">Purchase_Orders!B191</f>
        <v>V1011</v>
      </c>
      <c r="C194" s="17" t="n">
        <f aca="false">Purchase_Orders!C191</f>
        <v>45741</v>
      </c>
      <c r="D194" s="18" t="n">
        <f aca="false">Purchase_Orders!D191</f>
        <v>342.72</v>
      </c>
      <c r="E194" s="16" t="str">
        <f aca="false">Purchase_Orders!F191</f>
        <v>Christina Walters</v>
      </c>
      <c r="F194" s="16" t="str">
        <f aca="false">Purchase_Orders!G191</f>
        <v>Julia Torres</v>
      </c>
      <c r="G194" s="16" t="str">
        <f aca="false">IF(E194=F194,"VIOLATION - Same Person Requested &amp; Approved","OK")</f>
        <v>OK</v>
      </c>
    </row>
    <row r="195" customFormat="false" ht="15" hidden="false" customHeight="false" outlineLevel="0" collapsed="false">
      <c r="A195" s="16" t="str">
        <f aca="false">Purchase_Orders!A192</f>
        <v>PO10191</v>
      </c>
      <c r="B195" s="16" t="str">
        <f aca="false">Purchase_Orders!B192</f>
        <v>V1007</v>
      </c>
      <c r="C195" s="17" t="n">
        <f aca="false">Purchase_Orders!C192</f>
        <v>45726</v>
      </c>
      <c r="D195" s="18" t="n">
        <f aca="false">Purchase_Orders!D192</f>
        <v>781.51</v>
      </c>
      <c r="E195" s="16" t="str">
        <f aca="false">Purchase_Orders!F192</f>
        <v>Anna Henderson</v>
      </c>
      <c r="F195" s="16" t="str">
        <f aca="false">Purchase_Orders!G192</f>
        <v>Sharon Cochran</v>
      </c>
      <c r="G195" s="16" t="str">
        <f aca="false">IF(E195=F195,"VIOLATION - Same Person Requested &amp; Approved","OK")</f>
        <v>OK</v>
      </c>
    </row>
    <row r="196" customFormat="false" ht="15" hidden="false" customHeight="false" outlineLevel="0" collapsed="false">
      <c r="A196" s="16" t="str">
        <f aca="false">Purchase_Orders!A193</f>
        <v>PO10192</v>
      </c>
      <c r="B196" s="16" t="str">
        <f aca="false">Purchase_Orders!B193</f>
        <v>V1021</v>
      </c>
      <c r="C196" s="17" t="n">
        <f aca="false">Purchase_Orders!C193</f>
        <v>46022</v>
      </c>
      <c r="D196" s="18" t="n">
        <f aca="false">Purchase_Orders!D193</f>
        <v>5652.95</v>
      </c>
      <c r="E196" s="16" t="str">
        <f aca="false">Purchase_Orders!F193</f>
        <v>Aimee Montoya</v>
      </c>
      <c r="F196" s="16" t="str">
        <f aca="false">Purchase_Orders!G193</f>
        <v>Sharon Cochran</v>
      </c>
      <c r="G196" s="16" t="str">
        <f aca="false">IF(E196=F196,"VIOLATION - Same Person Requested &amp; Approved","OK")</f>
        <v>OK</v>
      </c>
    </row>
    <row r="197" customFormat="false" ht="15" hidden="false" customHeight="false" outlineLevel="0" collapsed="false">
      <c r="A197" s="16" t="str">
        <f aca="false">Purchase_Orders!A194</f>
        <v>PO10193</v>
      </c>
      <c r="B197" s="16" t="str">
        <f aca="false">Purchase_Orders!B194</f>
        <v>V1010</v>
      </c>
      <c r="C197" s="17" t="n">
        <f aca="false">Purchase_Orders!C194</f>
        <v>45965</v>
      </c>
      <c r="D197" s="18" t="n">
        <f aca="false">Purchase_Orders!D194</f>
        <v>133.11</v>
      </c>
      <c r="E197" s="16" t="str">
        <f aca="false">Purchase_Orders!F194</f>
        <v>John Whitehead</v>
      </c>
      <c r="F197" s="16" t="str">
        <f aca="false">Purchase_Orders!G194</f>
        <v>Sharon Cherry</v>
      </c>
      <c r="G197" s="16" t="str">
        <f aca="false">IF(E197=F197,"VIOLATION - Same Person Requested &amp; Approved","OK")</f>
        <v>OK</v>
      </c>
    </row>
    <row r="198" customFormat="false" ht="15" hidden="false" customHeight="false" outlineLevel="0" collapsed="false">
      <c r="A198" s="16" t="str">
        <f aca="false">Purchase_Orders!A195</f>
        <v>PO10194</v>
      </c>
      <c r="B198" s="16" t="str">
        <f aca="false">Purchase_Orders!B195</f>
        <v>V1013</v>
      </c>
      <c r="C198" s="17" t="n">
        <f aca="false">Purchase_Orders!C195</f>
        <v>45776</v>
      </c>
      <c r="D198" s="18" t="n">
        <f aca="false">Purchase_Orders!D195</f>
        <v>17090.48</v>
      </c>
      <c r="E198" s="16" t="str">
        <f aca="false">Purchase_Orders!F195</f>
        <v>Lisa Archer</v>
      </c>
      <c r="F198" s="16" t="str">
        <f aca="false">Purchase_Orders!G195</f>
        <v>Evelyn Galvan</v>
      </c>
      <c r="G198" s="16" t="str">
        <f aca="false">IF(E198=F198,"VIOLATION - Same Person Requested &amp; Approved","OK")</f>
        <v>OK</v>
      </c>
    </row>
    <row r="199" customFormat="false" ht="15" hidden="false" customHeight="false" outlineLevel="0" collapsed="false">
      <c r="A199" s="16" t="str">
        <f aca="false">Purchase_Orders!A196</f>
        <v>PO10195</v>
      </c>
      <c r="B199" s="16" t="str">
        <f aca="false">Purchase_Orders!B196</f>
        <v>V1015</v>
      </c>
      <c r="C199" s="17" t="n">
        <f aca="false">Purchase_Orders!C196</f>
        <v>46039</v>
      </c>
      <c r="D199" s="18" t="n">
        <f aca="false">Purchase_Orders!D196</f>
        <v>8157.32</v>
      </c>
      <c r="E199" s="16" t="str">
        <f aca="false">Purchase_Orders!F196</f>
        <v>Deborah Figueroa</v>
      </c>
      <c r="F199" s="16" t="str">
        <f aca="false">Purchase_Orders!G196</f>
        <v>Evelyn Galvan</v>
      </c>
      <c r="G199" s="16" t="str">
        <f aca="false">IF(E199=F199,"VIOLATION - Same Person Requested &amp; Approved","OK")</f>
        <v>OK</v>
      </c>
    </row>
    <row r="200" customFormat="false" ht="15" hidden="false" customHeight="false" outlineLevel="0" collapsed="false">
      <c r="A200" s="16" t="str">
        <f aca="false">Purchase_Orders!A197</f>
        <v>PO10196</v>
      </c>
      <c r="B200" s="16" t="str">
        <f aca="false">Purchase_Orders!B197</f>
        <v>V1018</v>
      </c>
      <c r="C200" s="17" t="n">
        <f aca="false">Purchase_Orders!C197</f>
        <v>46075</v>
      </c>
      <c r="D200" s="18" t="n">
        <f aca="false">Purchase_Orders!D197</f>
        <v>547.49</v>
      </c>
      <c r="E200" s="16" t="str">
        <f aca="false">Purchase_Orders!F197</f>
        <v>Lisa Archer</v>
      </c>
      <c r="F200" s="16" t="str">
        <f aca="false">Purchase_Orders!G197</f>
        <v>Sierra Johnson</v>
      </c>
      <c r="G200" s="16" t="str">
        <f aca="false">IF(E200=F200,"VIOLATION - Same Person Requested &amp; Approved","OK")</f>
        <v>OK</v>
      </c>
    </row>
    <row r="201" customFormat="false" ht="15" hidden="false" customHeight="false" outlineLevel="0" collapsed="false">
      <c r="A201" s="16" t="str">
        <f aca="false">Purchase_Orders!A198</f>
        <v>PO10197</v>
      </c>
      <c r="B201" s="16" t="str">
        <f aca="false">Purchase_Orders!B198</f>
        <v>V1036</v>
      </c>
      <c r="C201" s="17" t="n">
        <f aca="false">Purchase_Orders!C198</f>
        <v>45749</v>
      </c>
      <c r="D201" s="18" t="n">
        <f aca="false">Purchase_Orders!D198</f>
        <v>10027.78</v>
      </c>
      <c r="E201" s="16" t="str">
        <f aca="false">Purchase_Orders!F198</f>
        <v>Angel Lewis MD</v>
      </c>
      <c r="F201" s="16" t="str">
        <f aca="false">Purchase_Orders!G198</f>
        <v>Sharon Cochran</v>
      </c>
      <c r="G201" s="16" t="str">
        <f aca="false">IF(E201=F201,"VIOLATION - Same Person Requested &amp; Approved","OK")</f>
        <v>OK</v>
      </c>
    </row>
    <row r="202" customFormat="false" ht="15" hidden="false" customHeight="false" outlineLevel="0" collapsed="false">
      <c r="A202" s="16" t="str">
        <f aca="false">Purchase_Orders!A199</f>
        <v>PO10198</v>
      </c>
      <c r="B202" s="16" t="str">
        <f aca="false">Purchase_Orders!B199</f>
        <v>V1031</v>
      </c>
      <c r="C202" s="17" t="n">
        <f aca="false">Purchase_Orders!C199</f>
        <v>45988</v>
      </c>
      <c r="D202" s="18" t="n">
        <f aca="false">Purchase_Orders!D199</f>
        <v>3204.84</v>
      </c>
      <c r="E202" s="16" t="str">
        <f aca="false">Purchase_Orders!F199</f>
        <v>Jessica Smith</v>
      </c>
      <c r="F202" s="16" t="str">
        <f aca="false">Purchase_Orders!G199</f>
        <v>Sharon Cochran</v>
      </c>
      <c r="G202" s="16" t="str">
        <f aca="false">IF(E202=F202,"VIOLATION - Same Person Requested &amp; Approved","OK")</f>
        <v>OK</v>
      </c>
    </row>
    <row r="203" customFormat="false" ht="15" hidden="false" customHeight="false" outlineLevel="0" collapsed="false">
      <c r="A203" s="16" t="str">
        <f aca="false">Purchase_Orders!A200</f>
        <v>PO10199</v>
      </c>
      <c r="B203" s="16" t="str">
        <f aca="false">Purchase_Orders!B200</f>
        <v>V1036</v>
      </c>
      <c r="C203" s="17" t="n">
        <f aca="false">Purchase_Orders!C200</f>
        <v>46065</v>
      </c>
      <c r="D203" s="18" t="n">
        <f aca="false">Purchase_Orders!D200</f>
        <v>2554.75</v>
      </c>
      <c r="E203" s="16" t="str">
        <f aca="false">Purchase_Orders!F200</f>
        <v>John Whitehead</v>
      </c>
      <c r="F203" s="16" t="str">
        <f aca="false">Purchase_Orders!G200</f>
        <v>Sharon Cochran</v>
      </c>
      <c r="G203" s="16" t="str">
        <f aca="false">IF(E203=F203,"VIOLATION - Same Person Requested &amp; Approved","OK")</f>
        <v>OK</v>
      </c>
    </row>
    <row r="204" customFormat="false" ht="15" hidden="false" customHeight="false" outlineLevel="0" collapsed="false">
      <c r="A204" s="16" t="str">
        <f aca="false">Purchase_Orders!A201</f>
        <v>PO10200</v>
      </c>
      <c r="B204" s="16" t="str">
        <f aca="false">Purchase_Orders!B201</f>
        <v>V1036</v>
      </c>
      <c r="C204" s="17" t="n">
        <f aca="false">Purchase_Orders!C201</f>
        <v>45720</v>
      </c>
      <c r="D204" s="18" t="n">
        <f aca="false">Purchase_Orders!D201</f>
        <v>1471.18</v>
      </c>
      <c r="E204" s="16" t="str">
        <f aca="false">Purchase_Orders!F201</f>
        <v>Lisa Archer</v>
      </c>
      <c r="F204" s="16" t="str">
        <f aca="false">Purchase_Orders!G201</f>
        <v>Julia Torres</v>
      </c>
      <c r="G204" s="16" t="str">
        <f aca="false">IF(E204=F204,"VIOLATION - Same Person Requested &amp; Approved","OK")</f>
        <v>OK</v>
      </c>
    </row>
    <row r="205" customFormat="false" ht="15" hidden="false" customHeight="false" outlineLevel="0" collapsed="false">
      <c r="A205" s="16" t="str">
        <f aca="false">Purchase_Orders!A202</f>
        <v>PO10201</v>
      </c>
      <c r="B205" s="16" t="str">
        <f aca="false">Purchase_Orders!B202</f>
        <v>V1006</v>
      </c>
      <c r="C205" s="17" t="n">
        <f aca="false">Purchase_Orders!C202</f>
        <v>46104</v>
      </c>
      <c r="D205" s="18" t="n">
        <f aca="false">Purchase_Orders!D202</f>
        <v>682.63</v>
      </c>
      <c r="E205" s="16" t="str">
        <f aca="false">Purchase_Orders!F202</f>
        <v>Stephen Mckee</v>
      </c>
      <c r="F205" s="16" t="str">
        <f aca="false">Purchase_Orders!G202</f>
        <v>Marc Moore</v>
      </c>
      <c r="G205" s="16" t="str">
        <f aca="false">IF(E205=F205,"VIOLATION - Same Person Requested &amp; Approved","OK")</f>
        <v>OK</v>
      </c>
    </row>
    <row r="206" customFormat="false" ht="15" hidden="false" customHeight="false" outlineLevel="0" collapsed="false">
      <c r="A206" s="16" t="str">
        <f aca="false">Purchase_Orders!A203</f>
        <v>PO10202</v>
      </c>
      <c r="B206" s="16" t="str">
        <f aca="false">Purchase_Orders!B203</f>
        <v>V1001</v>
      </c>
      <c r="C206" s="17" t="n">
        <f aca="false">Purchase_Orders!C203</f>
        <v>46183</v>
      </c>
      <c r="D206" s="18" t="n">
        <f aca="false">Purchase_Orders!D203</f>
        <v>2160.46</v>
      </c>
      <c r="E206" s="16" t="str">
        <f aca="false">Purchase_Orders!F203</f>
        <v>Christine Wright</v>
      </c>
      <c r="F206" s="16" t="str">
        <f aca="false">Purchase_Orders!G203</f>
        <v>Richard Rodriguez</v>
      </c>
      <c r="G206" s="16" t="str">
        <f aca="false">IF(E206=F206,"VIOLATION - Same Person Requested &amp; Approved","OK")</f>
        <v>OK</v>
      </c>
    </row>
    <row r="207" customFormat="false" ht="15" hidden="false" customHeight="false" outlineLevel="0" collapsed="false">
      <c r="A207" s="16" t="str">
        <f aca="false">Purchase_Orders!A204</f>
        <v>PO10203</v>
      </c>
      <c r="B207" s="16" t="str">
        <f aca="false">Purchase_Orders!B204</f>
        <v>V1020</v>
      </c>
      <c r="C207" s="17" t="n">
        <f aca="false">Purchase_Orders!C204</f>
        <v>45716</v>
      </c>
      <c r="D207" s="18" t="n">
        <f aca="false">Purchase_Orders!D204</f>
        <v>7251.89</v>
      </c>
      <c r="E207" s="16" t="str">
        <f aca="false">Purchase_Orders!F204</f>
        <v>Kevin Mills</v>
      </c>
      <c r="F207" s="16" t="str">
        <f aca="false">Purchase_Orders!G204</f>
        <v>Sharon Cherry</v>
      </c>
      <c r="G207" s="16" t="str">
        <f aca="false">IF(E207=F207,"VIOLATION - Same Person Requested &amp; Approved","OK")</f>
        <v>OK</v>
      </c>
    </row>
    <row r="208" customFormat="false" ht="15" hidden="false" customHeight="false" outlineLevel="0" collapsed="false">
      <c r="A208" s="16" t="str">
        <f aca="false">Purchase_Orders!A205</f>
        <v>PO10204</v>
      </c>
      <c r="B208" s="16" t="str">
        <f aca="false">Purchase_Orders!B205</f>
        <v>V1009</v>
      </c>
      <c r="C208" s="17" t="n">
        <f aca="false">Purchase_Orders!C205</f>
        <v>45671</v>
      </c>
      <c r="D208" s="18" t="n">
        <f aca="false">Purchase_Orders!D205</f>
        <v>4743.21</v>
      </c>
      <c r="E208" s="16" t="str">
        <f aca="false">Purchase_Orders!F205</f>
        <v>Cameron Parker</v>
      </c>
      <c r="F208" s="16" t="str">
        <f aca="false">Purchase_Orders!G205</f>
        <v>Marc Moore</v>
      </c>
      <c r="G208" s="16" t="str">
        <f aca="false">IF(E208=F208,"VIOLATION - Same Person Requested &amp; Approved","OK")</f>
        <v>OK</v>
      </c>
    </row>
    <row r="209" customFormat="false" ht="15" hidden="false" customHeight="false" outlineLevel="0" collapsed="false">
      <c r="A209" s="16" t="str">
        <f aca="false">Purchase_Orders!A206</f>
        <v>PO10205</v>
      </c>
      <c r="B209" s="16" t="str">
        <f aca="false">Purchase_Orders!B206</f>
        <v>V1004</v>
      </c>
      <c r="C209" s="17" t="n">
        <f aca="false">Purchase_Orders!C206</f>
        <v>45828</v>
      </c>
      <c r="D209" s="18" t="n">
        <f aca="false">Purchase_Orders!D206</f>
        <v>1892.29</v>
      </c>
      <c r="E209" s="16" t="str">
        <f aca="false">Purchase_Orders!F206</f>
        <v>Cameron Parker</v>
      </c>
      <c r="F209" s="16" t="str">
        <f aca="false">Purchase_Orders!G206</f>
        <v>Sharon Cochran</v>
      </c>
      <c r="G209" s="16" t="str">
        <f aca="false">IF(E209=F209,"VIOLATION - Same Person Requested &amp; Approved","OK")</f>
        <v>OK</v>
      </c>
    </row>
    <row r="210" customFormat="false" ht="15" hidden="false" customHeight="false" outlineLevel="0" collapsed="false">
      <c r="A210" s="16" t="str">
        <f aca="false">Purchase_Orders!A207</f>
        <v>PO10206</v>
      </c>
      <c r="B210" s="16" t="str">
        <f aca="false">Purchase_Orders!B207</f>
        <v>V1005</v>
      </c>
      <c r="C210" s="17" t="n">
        <f aca="false">Purchase_Orders!C207</f>
        <v>46027</v>
      </c>
      <c r="D210" s="18" t="n">
        <f aca="false">Purchase_Orders!D207</f>
        <v>1074.95</v>
      </c>
      <c r="E210" s="16" t="str">
        <f aca="false">Purchase_Orders!F207</f>
        <v>Richard Henson</v>
      </c>
      <c r="F210" s="16" t="str">
        <f aca="false">Purchase_Orders!G207</f>
        <v>Sierra Johnson</v>
      </c>
      <c r="G210" s="16" t="str">
        <f aca="false">IF(E210=F210,"VIOLATION - Same Person Requested &amp; Approved","OK")</f>
        <v>OK</v>
      </c>
    </row>
    <row r="211" customFormat="false" ht="15" hidden="false" customHeight="false" outlineLevel="0" collapsed="false">
      <c r="A211" s="16" t="str">
        <f aca="false">Purchase_Orders!A208</f>
        <v>PO10207</v>
      </c>
      <c r="B211" s="16" t="str">
        <f aca="false">Purchase_Orders!B208</f>
        <v>V1027</v>
      </c>
      <c r="C211" s="17" t="n">
        <f aca="false">Purchase_Orders!C208</f>
        <v>46180</v>
      </c>
      <c r="D211" s="18" t="n">
        <f aca="false">Purchase_Orders!D208</f>
        <v>496.96</v>
      </c>
      <c r="E211" s="16" t="str">
        <f aca="false">Purchase_Orders!F208</f>
        <v>Sandra Aguilar</v>
      </c>
      <c r="F211" s="16" t="str">
        <f aca="false">Purchase_Orders!G208</f>
        <v>Julia Torres</v>
      </c>
      <c r="G211" s="16" t="str">
        <f aca="false">IF(E211=F211,"VIOLATION - Same Person Requested &amp; Approved","OK")</f>
        <v>OK</v>
      </c>
    </row>
    <row r="212" customFormat="false" ht="15" hidden="false" customHeight="false" outlineLevel="0" collapsed="false">
      <c r="A212" s="16" t="str">
        <f aca="false">Purchase_Orders!A209</f>
        <v>PO10208</v>
      </c>
      <c r="B212" s="16" t="str">
        <f aca="false">Purchase_Orders!B209</f>
        <v>V1034</v>
      </c>
      <c r="C212" s="17" t="n">
        <f aca="false">Purchase_Orders!C209</f>
        <v>45874</v>
      </c>
      <c r="D212" s="18" t="n">
        <f aca="false">Purchase_Orders!D209</f>
        <v>759.35</v>
      </c>
      <c r="E212" s="16" t="str">
        <f aca="false">Purchase_Orders!F209</f>
        <v>Angel Lewis MD</v>
      </c>
      <c r="F212" s="16" t="str">
        <f aca="false">Purchase_Orders!G209</f>
        <v>Shannon Walker</v>
      </c>
      <c r="G212" s="16" t="str">
        <f aca="false">IF(E212=F212,"VIOLATION - Same Person Requested &amp; Approved","OK")</f>
        <v>OK</v>
      </c>
    </row>
    <row r="213" customFormat="false" ht="15" hidden="false" customHeight="false" outlineLevel="0" collapsed="false">
      <c r="A213" s="16" t="str">
        <f aca="false">Purchase_Orders!A210</f>
        <v>PO10209</v>
      </c>
      <c r="B213" s="16" t="str">
        <f aca="false">Purchase_Orders!B210</f>
        <v>V1030</v>
      </c>
      <c r="C213" s="17" t="n">
        <f aca="false">Purchase_Orders!C210</f>
        <v>46047</v>
      </c>
      <c r="D213" s="18" t="n">
        <f aca="false">Purchase_Orders!D210</f>
        <v>2745.78</v>
      </c>
      <c r="E213" s="16" t="str">
        <f aca="false">Purchase_Orders!F210</f>
        <v>Anna Henderson</v>
      </c>
      <c r="F213" s="16" t="str">
        <f aca="false">Purchase_Orders!G210</f>
        <v>Sharon Cherry</v>
      </c>
      <c r="G213" s="16" t="str">
        <f aca="false">IF(E213=F213,"VIOLATION - Same Person Requested &amp; Approved","OK")</f>
        <v>OK</v>
      </c>
    </row>
    <row r="214" customFormat="false" ht="15" hidden="false" customHeight="false" outlineLevel="0" collapsed="false">
      <c r="A214" s="16" t="str">
        <f aca="false">Purchase_Orders!A211</f>
        <v>PO10210</v>
      </c>
      <c r="B214" s="16" t="str">
        <f aca="false">Purchase_Orders!B211</f>
        <v>V1011</v>
      </c>
      <c r="C214" s="17" t="n">
        <f aca="false">Purchase_Orders!C211</f>
        <v>45699</v>
      </c>
      <c r="D214" s="18" t="n">
        <f aca="false">Purchase_Orders!D211</f>
        <v>1562.55</v>
      </c>
      <c r="E214" s="16" t="str">
        <f aca="false">Purchase_Orders!F211</f>
        <v>Christina Walters</v>
      </c>
      <c r="F214" s="16" t="str">
        <f aca="false">Purchase_Orders!G211</f>
        <v>Richard Rodriguez</v>
      </c>
      <c r="G214" s="16" t="str">
        <f aca="false">IF(E214=F214,"VIOLATION - Same Person Requested &amp; Approved","OK")</f>
        <v>OK</v>
      </c>
    </row>
    <row r="215" customFormat="false" ht="15" hidden="false" customHeight="false" outlineLevel="0" collapsed="false">
      <c r="A215" s="16" t="str">
        <f aca="false">Purchase_Orders!A212</f>
        <v>PO10211</v>
      </c>
      <c r="B215" s="16" t="str">
        <f aca="false">Purchase_Orders!B212</f>
        <v>V1020</v>
      </c>
      <c r="C215" s="17" t="n">
        <f aca="false">Purchase_Orders!C212</f>
        <v>46034</v>
      </c>
      <c r="D215" s="18" t="n">
        <f aca="false">Purchase_Orders!D212</f>
        <v>1854.08</v>
      </c>
      <c r="E215" s="16" t="str">
        <f aca="false">Purchase_Orders!F212</f>
        <v>Eugene Walton</v>
      </c>
      <c r="F215" s="16" t="str">
        <f aca="false">Purchase_Orders!G212</f>
        <v>Sierra Johnson</v>
      </c>
      <c r="G215" s="16" t="str">
        <f aca="false">IF(E215=F215,"VIOLATION - Same Person Requested &amp; Approved","OK")</f>
        <v>OK</v>
      </c>
    </row>
    <row r="216" customFormat="false" ht="15" hidden="false" customHeight="false" outlineLevel="0" collapsed="false">
      <c r="A216" s="16" t="str">
        <f aca="false">Purchase_Orders!A213</f>
        <v>PO10212</v>
      </c>
      <c r="B216" s="16" t="str">
        <f aca="false">Purchase_Orders!B213</f>
        <v>V1015</v>
      </c>
      <c r="C216" s="17" t="n">
        <f aca="false">Purchase_Orders!C213</f>
        <v>45999</v>
      </c>
      <c r="D216" s="18" t="n">
        <f aca="false">Purchase_Orders!D213</f>
        <v>4069.45</v>
      </c>
      <c r="E216" s="16" t="str">
        <f aca="false">Purchase_Orders!F213</f>
        <v>Rebecca Valencia</v>
      </c>
      <c r="F216" s="16" t="str">
        <f aca="false">Purchase_Orders!G213</f>
        <v>Julia Torres</v>
      </c>
      <c r="G216" s="16" t="str">
        <f aca="false">IF(E216=F216,"VIOLATION - Same Person Requested &amp; Approved","OK")</f>
        <v>OK</v>
      </c>
    </row>
    <row r="217" customFormat="false" ht="15" hidden="false" customHeight="false" outlineLevel="0" collapsed="false">
      <c r="A217" s="16" t="str">
        <f aca="false">Purchase_Orders!A214</f>
        <v>PO10213</v>
      </c>
      <c r="B217" s="16" t="str">
        <f aca="false">Purchase_Orders!B214</f>
        <v>V1004</v>
      </c>
      <c r="C217" s="17" t="n">
        <f aca="false">Purchase_Orders!C214</f>
        <v>45713</v>
      </c>
      <c r="D217" s="18" t="n">
        <f aca="false">Purchase_Orders!D214</f>
        <v>2117.88</v>
      </c>
      <c r="E217" s="16" t="str">
        <f aca="false">Purchase_Orders!F214</f>
        <v>Denise Jacobs</v>
      </c>
      <c r="F217" s="16" t="str">
        <f aca="false">Purchase_Orders!G214</f>
        <v>Marc Moore</v>
      </c>
      <c r="G217" s="16" t="str">
        <f aca="false">IF(E217=F217,"VIOLATION - Same Person Requested &amp; Approved","OK")</f>
        <v>OK</v>
      </c>
    </row>
    <row r="218" customFormat="false" ht="15" hidden="false" customHeight="false" outlineLevel="0" collapsed="false">
      <c r="A218" s="16" t="str">
        <f aca="false">Purchase_Orders!A215</f>
        <v>PO10214</v>
      </c>
      <c r="B218" s="16" t="str">
        <f aca="false">Purchase_Orders!B215</f>
        <v>V1001</v>
      </c>
      <c r="C218" s="17" t="n">
        <f aca="false">Purchase_Orders!C215</f>
        <v>46079</v>
      </c>
      <c r="D218" s="18" t="n">
        <f aca="false">Purchase_Orders!D215</f>
        <v>266.54</v>
      </c>
      <c r="E218" s="16" t="str">
        <f aca="false">Purchase_Orders!F215</f>
        <v>Matthew Mcmillan</v>
      </c>
      <c r="F218" s="16" t="str">
        <f aca="false">Purchase_Orders!G215</f>
        <v>Sharon Cochran</v>
      </c>
      <c r="G218" s="16" t="str">
        <f aca="false">IF(E218=F218,"VIOLATION - Same Person Requested &amp; Approved","OK")</f>
        <v>OK</v>
      </c>
    </row>
    <row r="219" customFormat="false" ht="15" hidden="false" customHeight="false" outlineLevel="0" collapsed="false">
      <c r="A219" s="16" t="str">
        <f aca="false">Purchase_Orders!A216</f>
        <v>PO10215</v>
      </c>
      <c r="B219" s="16" t="str">
        <f aca="false">Purchase_Orders!B216</f>
        <v>V1016</v>
      </c>
      <c r="C219" s="17" t="n">
        <f aca="false">Purchase_Orders!C216</f>
        <v>46121</v>
      </c>
      <c r="D219" s="18" t="n">
        <f aca="false">Purchase_Orders!D216</f>
        <v>1071.3</v>
      </c>
      <c r="E219" s="16" t="str">
        <f aca="false">Purchase_Orders!F216</f>
        <v>Richard Henson</v>
      </c>
      <c r="F219" s="16" t="str">
        <f aca="false">Purchase_Orders!G216</f>
        <v>Shannon Walker</v>
      </c>
      <c r="G219" s="16" t="str">
        <f aca="false">IF(E219=F219,"VIOLATION - Same Person Requested &amp; Approved","OK")</f>
        <v>OK</v>
      </c>
    </row>
    <row r="220" customFormat="false" ht="15" hidden="false" customHeight="false" outlineLevel="0" collapsed="false">
      <c r="A220" s="16" t="str">
        <f aca="false">Purchase_Orders!A217</f>
        <v>PO10216</v>
      </c>
      <c r="B220" s="16" t="str">
        <f aca="false">Purchase_Orders!B217</f>
        <v>V1016</v>
      </c>
      <c r="C220" s="17" t="n">
        <f aca="false">Purchase_Orders!C217</f>
        <v>45985</v>
      </c>
      <c r="D220" s="18" t="n">
        <f aca="false">Purchase_Orders!D217</f>
        <v>728.71</v>
      </c>
      <c r="E220" s="16" t="str">
        <f aca="false">Purchase_Orders!F217</f>
        <v>Kevin Mills</v>
      </c>
      <c r="F220" s="16" t="str">
        <f aca="false">Purchase_Orders!G217</f>
        <v>Julia Torres</v>
      </c>
      <c r="G220" s="16" t="str">
        <f aca="false">IF(E220=F220,"VIOLATION - Same Person Requested &amp; Approved","OK")</f>
        <v>OK</v>
      </c>
    </row>
    <row r="221" customFormat="false" ht="15" hidden="false" customHeight="false" outlineLevel="0" collapsed="false">
      <c r="A221" s="16" t="str">
        <f aca="false">Purchase_Orders!A218</f>
        <v>PO10217</v>
      </c>
      <c r="B221" s="16" t="str">
        <f aca="false">Purchase_Orders!B218</f>
        <v>V1023</v>
      </c>
      <c r="C221" s="17" t="n">
        <f aca="false">Purchase_Orders!C218</f>
        <v>45723</v>
      </c>
      <c r="D221" s="18" t="n">
        <f aca="false">Purchase_Orders!D218</f>
        <v>3728.38</v>
      </c>
      <c r="E221" s="16" t="str">
        <f aca="false">Purchase_Orders!F218</f>
        <v>Shirley Suarez</v>
      </c>
      <c r="F221" s="16" t="str">
        <f aca="false">Purchase_Orders!G218</f>
        <v>Richard Rodriguez</v>
      </c>
      <c r="G221" s="16" t="str">
        <f aca="false">IF(E221=F221,"VIOLATION - Same Person Requested &amp; Approved","OK")</f>
        <v>OK</v>
      </c>
    </row>
    <row r="222" customFormat="false" ht="15" hidden="false" customHeight="false" outlineLevel="0" collapsed="false">
      <c r="A222" s="16" t="str">
        <f aca="false">Purchase_Orders!A219</f>
        <v>PO10218</v>
      </c>
      <c r="B222" s="16" t="str">
        <f aca="false">Purchase_Orders!B219</f>
        <v>V1016</v>
      </c>
      <c r="C222" s="17" t="n">
        <f aca="false">Purchase_Orders!C219</f>
        <v>46194</v>
      </c>
      <c r="D222" s="18" t="n">
        <f aca="false">Purchase_Orders!D219</f>
        <v>5712.19</v>
      </c>
      <c r="E222" s="16" t="str">
        <f aca="false">Purchase_Orders!F219</f>
        <v>Anna Henderson</v>
      </c>
      <c r="F222" s="16" t="str">
        <f aca="false">Purchase_Orders!G219</f>
        <v>Julia Torres</v>
      </c>
      <c r="G222" s="16" t="str">
        <f aca="false">IF(E222=F222,"VIOLATION - Same Person Requested &amp; Approved","OK")</f>
        <v>OK</v>
      </c>
    </row>
    <row r="223" customFormat="false" ht="15" hidden="false" customHeight="false" outlineLevel="0" collapsed="false">
      <c r="A223" s="16" t="str">
        <f aca="false">Purchase_Orders!A220</f>
        <v>PO10219</v>
      </c>
      <c r="B223" s="16" t="str">
        <f aca="false">Purchase_Orders!B220</f>
        <v>V1031</v>
      </c>
      <c r="C223" s="17" t="n">
        <f aca="false">Purchase_Orders!C220</f>
        <v>46084</v>
      </c>
      <c r="D223" s="18" t="n">
        <f aca="false">Purchase_Orders!D220</f>
        <v>3449.51</v>
      </c>
      <c r="E223" s="16" t="str">
        <f aca="false">Purchase_Orders!F220</f>
        <v>Shirley Suarez</v>
      </c>
      <c r="F223" s="16" t="str">
        <f aca="false">Purchase_Orders!G220</f>
        <v>Sharon Cochran</v>
      </c>
      <c r="G223" s="16" t="str">
        <f aca="false">IF(E223=F223,"VIOLATION - Same Person Requested &amp; Approved","OK")</f>
        <v>OK</v>
      </c>
    </row>
    <row r="224" customFormat="false" ht="15" hidden="false" customHeight="false" outlineLevel="0" collapsed="false">
      <c r="A224" s="16" t="str">
        <f aca="false">Purchase_Orders!A221</f>
        <v>PO10220</v>
      </c>
      <c r="B224" s="16" t="str">
        <f aca="false">Purchase_Orders!B221</f>
        <v>V1018</v>
      </c>
      <c r="C224" s="17" t="n">
        <f aca="false">Purchase_Orders!C221</f>
        <v>45847</v>
      </c>
      <c r="D224" s="18" t="n">
        <f aca="false">Purchase_Orders!D221</f>
        <v>1442.03</v>
      </c>
      <c r="E224" s="16" t="str">
        <f aca="false">Purchase_Orders!F221</f>
        <v>Aimee Montoya</v>
      </c>
      <c r="F224" s="16" t="str">
        <f aca="false">Purchase_Orders!G221</f>
        <v>Julia Torres</v>
      </c>
      <c r="G224" s="16" t="str">
        <f aca="false">IF(E224=F224,"VIOLATION - Same Person Requested &amp; Approved","OK")</f>
        <v>OK</v>
      </c>
    </row>
    <row r="225" customFormat="false" ht="15" hidden="false" customHeight="false" outlineLevel="0" collapsed="false">
      <c r="A225" s="16" t="str">
        <f aca="false">Purchase_Orders!A222</f>
        <v>PO10221</v>
      </c>
      <c r="B225" s="16" t="str">
        <f aca="false">Purchase_Orders!B222</f>
        <v>V1007</v>
      </c>
      <c r="C225" s="17" t="n">
        <f aca="false">Purchase_Orders!C222</f>
        <v>45891</v>
      </c>
      <c r="D225" s="18" t="n">
        <f aca="false">Purchase_Orders!D222</f>
        <v>14974.83</v>
      </c>
      <c r="E225" s="16" t="str">
        <f aca="false">Purchase_Orders!F222</f>
        <v>Anna Henderson</v>
      </c>
      <c r="F225" s="16" t="str">
        <f aca="false">Purchase_Orders!G222</f>
        <v>Anna Henderson</v>
      </c>
      <c r="G225" s="16" t="str">
        <f aca="false">IF(E225=F225,"VIOLATION - Same Person Requested &amp; Approved","OK")</f>
        <v>VIOLATION - Same Person Requested &amp; Approved</v>
      </c>
    </row>
    <row r="226" customFormat="false" ht="15" hidden="false" customHeight="false" outlineLevel="0" collapsed="false">
      <c r="A226" s="16" t="str">
        <f aca="false">Purchase_Orders!A223</f>
        <v>PO10222</v>
      </c>
      <c r="B226" s="16" t="str">
        <f aca="false">Purchase_Orders!B223</f>
        <v>V1032</v>
      </c>
      <c r="C226" s="17" t="n">
        <f aca="false">Purchase_Orders!C223</f>
        <v>45859</v>
      </c>
      <c r="D226" s="18" t="n">
        <f aca="false">Purchase_Orders!D223</f>
        <v>877.63</v>
      </c>
      <c r="E226" s="16" t="str">
        <f aca="false">Purchase_Orders!F223</f>
        <v>Sandra Aguilar</v>
      </c>
      <c r="F226" s="16" t="str">
        <f aca="false">Purchase_Orders!G223</f>
        <v>Evelyn Galvan</v>
      </c>
      <c r="G226" s="16" t="str">
        <f aca="false">IF(E226=F226,"VIOLATION - Same Person Requested &amp; Approved","OK")</f>
        <v>OK</v>
      </c>
    </row>
    <row r="227" customFormat="false" ht="15" hidden="false" customHeight="false" outlineLevel="0" collapsed="false">
      <c r="A227" s="16" t="str">
        <f aca="false">Purchase_Orders!A224</f>
        <v>PO10223</v>
      </c>
      <c r="B227" s="16" t="str">
        <f aca="false">Purchase_Orders!B224</f>
        <v>V1033</v>
      </c>
      <c r="C227" s="17" t="n">
        <f aca="false">Purchase_Orders!C224</f>
        <v>45933</v>
      </c>
      <c r="D227" s="18" t="n">
        <f aca="false">Purchase_Orders!D224</f>
        <v>2542.66</v>
      </c>
      <c r="E227" s="16" t="str">
        <f aca="false">Purchase_Orders!F224</f>
        <v>Aimee Montoya</v>
      </c>
      <c r="F227" s="16" t="str">
        <f aca="false">Purchase_Orders!G224</f>
        <v>Marc Moore</v>
      </c>
      <c r="G227" s="16" t="str">
        <f aca="false">IF(E227=F227,"VIOLATION - Same Person Requested &amp; Approved","OK")</f>
        <v>OK</v>
      </c>
    </row>
    <row r="228" customFormat="false" ht="15" hidden="false" customHeight="false" outlineLevel="0" collapsed="false">
      <c r="A228" s="16" t="str">
        <f aca="false">Purchase_Orders!A225</f>
        <v>PO10224</v>
      </c>
      <c r="B228" s="16" t="str">
        <f aca="false">Purchase_Orders!B225</f>
        <v>V1007</v>
      </c>
      <c r="C228" s="17" t="n">
        <f aca="false">Purchase_Orders!C225</f>
        <v>45843</v>
      </c>
      <c r="D228" s="18" t="n">
        <f aca="false">Purchase_Orders!D225</f>
        <v>3210.01</v>
      </c>
      <c r="E228" s="16" t="str">
        <f aca="false">Purchase_Orders!F225</f>
        <v>James Powers</v>
      </c>
      <c r="F228" s="16" t="str">
        <f aca="false">Purchase_Orders!G225</f>
        <v>Evelyn Galvan</v>
      </c>
      <c r="G228" s="16" t="str">
        <f aca="false">IF(E228=F228,"VIOLATION - Same Person Requested &amp; Approved","OK")</f>
        <v>OK</v>
      </c>
    </row>
    <row r="229" customFormat="false" ht="15" hidden="false" customHeight="false" outlineLevel="0" collapsed="false">
      <c r="A229" s="16" t="str">
        <f aca="false">Purchase_Orders!A226</f>
        <v>PO10225</v>
      </c>
      <c r="B229" s="16" t="str">
        <f aca="false">Purchase_Orders!B226</f>
        <v>V1017</v>
      </c>
      <c r="C229" s="17" t="n">
        <f aca="false">Purchase_Orders!C226</f>
        <v>46121</v>
      </c>
      <c r="D229" s="18" t="n">
        <f aca="false">Purchase_Orders!D226</f>
        <v>610.78</v>
      </c>
      <c r="E229" s="16" t="str">
        <f aca="false">Purchase_Orders!F226</f>
        <v>Eugene Walton</v>
      </c>
      <c r="F229" s="16" t="str">
        <f aca="false">Purchase_Orders!G226</f>
        <v>Julia Torres</v>
      </c>
      <c r="G229" s="16" t="str">
        <f aca="false">IF(E229=F229,"VIOLATION - Same Person Requested &amp; Approved","OK")</f>
        <v>OK</v>
      </c>
    </row>
    <row r="230" customFormat="false" ht="15" hidden="false" customHeight="false" outlineLevel="0" collapsed="false">
      <c r="A230" s="16" t="str">
        <f aca="false">Purchase_Orders!A227</f>
        <v>PO10226</v>
      </c>
      <c r="B230" s="16" t="str">
        <f aca="false">Purchase_Orders!B227</f>
        <v>V1005</v>
      </c>
      <c r="C230" s="17" t="n">
        <f aca="false">Purchase_Orders!C227</f>
        <v>46106</v>
      </c>
      <c r="D230" s="18" t="n">
        <f aca="false">Purchase_Orders!D227</f>
        <v>4612.25</v>
      </c>
      <c r="E230" s="16" t="str">
        <f aca="false">Purchase_Orders!F227</f>
        <v>Sandra Aguilar</v>
      </c>
      <c r="F230" s="16" t="str">
        <f aca="false">Purchase_Orders!G227</f>
        <v>Sierra Johnson</v>
      </c>
      <c r="G230" s="16" t="str">
        <f aca="false">IF(E230=F230,"VIOLATION - Same Person Requested &amp; Approved","OK")</f>
        <v>OK</v>
      </c>
    </row>
    <row r="231" customFormat="false" ht="15" hidden="false" customHeight="false" outlineLevel="0" collapsed="false">
      <c r="A231" s="16" t="str">
        <f aca="false">Purchase_Orders!A228</f>
        <v>PO10227</v>
      </c>
      <c r="B231" s="16" t="str">
        <f aca="false">Purchase_Orders!B228</f>
        <v>V1031</v>
      </c>
      <c r="C231" s="17" t="n">
        <f aca="false">Purchase_Orders!C228</f>
        <v>45715</v>
      </c>
      <c r="D231" s="18" t="n">
        <f aca="false">Purchase_Orders!D228</f>
        <v>884.17</v>
      </c>
      <c r="E231" s="16" t="str">
        <f aca="false">Purchase_Orders!F228</f>
        <v>Rebecca Valencia</v>
      </c>
      <c r="F231" s="16" t="str">
        <f aca="false">Purchase_Orders!G228</f>
        <v>Sharon Cochran</v>
      </c>
      <c r="G231" s="16" t="str">
        <f aca="false">IF(E231=F231,"VIOLATION - Same Person Requested &amp; Approved","OK")</f>
        <v>OK</v>
      </c>
    </row>
    <row r="232" customFormat="false" ht="15" hidden="false" customHeight="false" outlineLevel="0" collapsed="false">
      <c r="A232" s="16" t="str">
        <f aca="false">Purchase_Orders!A229</f>
        <v>PO10228</v>
      </c>
      <c r="B232" s="16" t="str">
        <f aca="false">Purchase_Orders!B229</f>
        <v>V1003</v>
      </c>
      <c r="C232" s="17" t="n">
        <f aca="false">Purchase_Orders!C229</f>
        <v>46181</v>
      </c>
      <c r="D232" s="18" t="n">
        <f aca="false">Purchase_Orders!D229</f>
        <v>3538.33</v>
      </c>
      <c r="E232" s="16" t="str">
        <f aca="false">Purchase_Orders!F229</f>
        <v>Lisa Archer</v>
      </c>
      <c r="F232" s="16" t="str">
        <f aca="false">Purchase_Orders!G229</f>
        <v>Shannon Walker</v>
      </c>
      <c r="G232" s="16" t="str">
        <f aca="false">IF(E232=F232,"VIOLATION - Same Person Requested &amp; Approved","OK")</f>
        <v>OK</v>
      </c>
    </row>
    <row r="233" customFormat="false" ht="15" hidden="false" customHeight="false" outlineLevel="0" collapsed="false">
      <c r="A233" s="16" t="str">
        <f aca="false">Purchase_Orders!A230</f>
        <v>PO10229</v>
      </c>
      <c r="B233" s="16" t="str">
        <f aca="false">Purchase_Orders!B230</f>
        <v>V1020</v>
      </c>
      <c r="C233" s="17" t="n">
        <f aca="false">Purchase_Orders!C230</f>
        <v>46004</v>
      </c>
      <c r="D233" s="18" t="n">
        <f aca="false">Purchase_Orders!D230</f>
        <v>1486.84</v>
      </c>
      <c r="E233" s="16" t="str">
        <f aca="false">Purchase_Orders!F230</f>
        <v>Anna Henderson</v>
      </c>
      <c r="F233" s="16" t="str">
        <f aca="false">Purchase_Orders!G230</f>
        <v>Evelyn Galvan</v>
      </c>
      <c r="G233" s="16" t="str">
        <f aca="false">IF(E233=F233,"VIOLATION - Same Person Requested &amp; Approved","OK")</f>
        <v>OK</v>
      </c>
    </row>
    <row r="234" customFormat="false" ht="15" hidden="false" customHeight="false" outlineLevel="0" collapsed="false">
      <c r="A234" s="16" t="str">
        <f aca="false">Purchase_Orders!A231</f>
        <v>PO10230</v>
      </c>
      <c r="B234" s="16" t="str">
        <f aca="false">Purchase_Orders!B231</f>
        <v>V1030</v>
      </c>
      <c r="C234" s="17" t="n">
        <f aca="false">Purchase_Orders!C231</f>
        <v>46109</v>
      </c>
      <c r="D234" s="18" t="n">
        <f aca="false">Purchase_Orders!D231</f>
        <v>201.48</v>
      </c>
      <c r="E234" s="16" t="str">
        <f aca="false">Purchase_Orders!F231</f>
        <v>Jimmy Murillo</v>
      </c>
      <c r="F234" s="16" t="str">
        <f aca="false">Purchase_Orders!G231</f>
        <v>Shannon Walker</v>
      </c>
      <c r="G234" s="16" t="str">
        <f aca="false">IF(E234=F234,"VIOLATION - Same Person Requested &amp; Approved","OK")</f>
        <v>OK</v>
      </c>
    </row>
    <row r="235" customFormat="false" ht="15" hidden="false" customHeight="false" outlineLevel="0" collapsed="false">
      <c r="A235" s="16" t="str">
        <f aca="false">Purchase_Orders!A232</f>
        <v>PO10231</v>
      </c>
      <c r="B235" s="16" t="str">
        <f aca="false">Purchase_Orders!B232</f>
        <v>V1035</v>
      </c>
      <c r="C235" s="17" t="n">
        <f aca="false">Purchase_Orders!C232</f>
        <v>46043</v>
      </c>
      <c r="D235" s="18" t="n">
        <f aca="false">Purchase_Orders!D232</f>
        <v>4010.98</v>
      </c>
      <c r="E235" s="16" t="str">
        <f aca="false">Purchase_Orders!F232</f>
        <v>Stephen Mckee</v>
      </c>
      <c r="F235" s="16" t="str">
        <f aca="false">Purchase_Orders!G232</f>
        <v>Sierra Johnson</v>
      </c>
      <c r="G235" s="16" t="str">
        <f aca="false">IF(E235=F235,"VIOLATION - Same Person Requested &amp; Approved","OK")</f>
        <v>OK</v>
      </c>
    </row>
    <row r="236" customFormat="false" ht="15" hidden="false" customHeight="false" outlineLevel="0" collapsed="false">
      <c r="A236" s="16" t="str">
        <f aca="false">Purchase_Orders!A233</f>
        <v>PO10232</v>
      </c>
      <c r="B236" s="16" t="str">
        <f aca="false">Purchase_Orders!B233</f>
        <v>V1013</v>
      </c>
      <c r="C236" s="17" t="n">
        <f aca="false">Purchase_Orders!C233</f>
        <v>45895</v>
      </c>
      <c r="D236" s="18" t="n">
        <f aca="false">Purchase_Orders!D233</f>
        <v>1933.86</v>
      </c>
      <c r="E236" s="16" t="str">
        <f aca="false">Purchase_Orders!F233</f>
        <v>Lisa Archer</v>
      </c>
      <c r="F236" s="16" t="str">
        <f aca="false">Purchase_Orders!G233</f>
        <v>Shannon Walker</v>
      </c>
      <c r="G236" s="16" t="str">
        <f aca="false">IF(E236=F236,"VIOLATION - Same Person Requested &amp; Approved","OK")</f>
        <v>OK</v>
      </c>
    </row>
    <row r="237" customFormat="false" ht="15" hidden="false" customHeight="false" outlineLevel="0" collapsed="false">
      <c r="A237" s="16" t="str">
        <f aca="false">Purchase_Orders!A234</f>
        <v>PO10233</v>
      </c>
      <c r="B237" s="16" t="str">
        <f aca="false">Purchase_Orders!B234</f>
        <v>V1005</v>
      </c>
      <c r="C237" s="17" t="n">
        <f aca="false">Purchase_Orders!C234</f>
        <v>46057</v>
      </c>
      <c r="D237" s="18" t="n">
        <f aca="false">Purchase_Orders!D234</f>
        <v>301.96</v>
      </c>
      <c r="E237" s="16" t="str">
        <f aca="false">Purchase_Orders!F234</f>
        <v>Aaron Wise</v>
      </c>
      <c r="F237" s="16" t="str">
        <f aca="false">Purchase_Orders!G234</f>
        <v>Sharon Cochran</v>
      </c>
      <c r="G237" s="16" t="str">
        <f aca="false">IF(E237=F237,"VIOLATION - Same Person Requested &amp; Approved","OK")</f>
        <v>OK</v>
      </c>
    </row>
    <row r="238" customFormat="false" ht="15" hidden="false" customHeight="false" outlineLevel="0" collapsed="false">
      <c r="A238" s="16" t="str">
        <f aca="false">Purchase_Orders!A235</f>
        <v>PO10234</v>
      </c>
      <c r="B238" s="16" t="str">
        <f aca="false">Purchase_Orders!B235</f>
        <v>V1007</v>
      </c>
      <c r="C238" s="17" t="n">
        <f aca="false">Purchase_Orders!C235</f>
        <v>46184</v>
      </c>
      <c r="D238" s="18" t="n">
        <f aca="false">Purchase_Orders!D235</f>
        <v>16728.17</v>
      </c>
      <c r="E238" s="16" t="str">
        <f aca="false">Purchase_Orders!F235</f>
        <v>Aimee Montoya</v>
      </c>
      <c r="F238" s="16" t="str">
        <f aca="false">Purchase_Orders!G235</f>
        <v>Sharon Cochran</v>
      </c>
      <c r="G238" s="16" t="str">
        <f aca="false">IF(E238=F238,"VIOLATION - Same Person Requested &amp; Approved","OK")</f>
        <v>OK</v>
      </c>
    </row>
    <row r="239" customFormat="false" ht="15" hidden="false" customHeight="false" outlineLevel="0" collapsed="false">
      <c r="A239" s="16" t="str">
        <f aca="false">Purchase_Orders!A236</f>
        <v>PO10235</v>
      </c>
      <c r="B239" s="16" t="str">
        <f aca="false">Purchase_Orders!B236</f>
        <v>V1038</v>
      </c>
      <c r="C239" s="17" t="n">
        <f aca="false">Purchase_Orders!C236</f>
        <v>45805</v>
      </c>
      <c r="D239" s="18" t="n">
        <f aca="false">Purchase_Orders!D236</f>
        <v>594.08</v>
      </c>
      <c r="E239" s="16" t="str">
        <f aca="false">Purchase_Orders!F236</f>
        <v>Jessica Smith</v>
      </c>
      <c r="F239" s="16" t="str">
        <f aca="false">Purchase_Orders!G236</f>
        <v>Julia Torres</v>
      </c>
      <c r="G239" s="16" t="str">
        <f aca="false">IF(E239=F239,"VIOLATION - Same Person Requested &amp; Approved","OK")</f>
        <v>OK</v>
      </c>
    </row>
    <row r="240" customFormat="false" ht="15" hidden="false" customHeight="false" outlineLevel="0" collapsed="false">
      <c r="A240" s="16" t="str">
        <f aca="false">Purchase_Orders!A237</f>
        <v>PO10236</v>
      </c>
      <c r="B240" s="16" t="str">
        <f aca="false">Purchase_Orders!B237</f>
        <v>V1007</v>
      </c>
      <c r="C240" s="17" t="n">
        <f aca="false">Purchase_Orders!C237</f>
        <v>46098</v>
      </c>
      <c r="D240" s="18" t="n">
        <f aca="false">Purchase_Orders!D237</f>
        <v>4409.64</v>
      </c>
      <c r="E240" s="16" t="str">
        <f aca="false">Purchase_Orders!F237</f>
        <v>John Whitehead</v>
      </c>
      <c r="F240" s="16" t="str">
        <f aca="false">Purchase_Orders!G237</f>
        <v>Julia Torres</v>
      </c>
      <c r="G240" s="16" t="str">
        <f aca="false">IF(E240=F240,"VIOLATION - Same Person Requested &amp; Approved","OK")</f>
        <v>OK</v>
      </c>
    </row>
    <row r="241" customFormat="false" ht="15" hidden="false" customHeight="false" outlineLevel="0" collapsed="false">
      <c r="A241" s="16" t="str">
        <f aca="false">Purchase_Orders!A238</f>
        <v>PO10237</v>
      </c>
      <c r="B241" s="16" t="str">
        <f aca="false">Purchase_Orders!B238</f>
        <v>V1020</v>
      </c>
      <c r="C241" s="17" t="n">
        <f aca="false">Purchase_Orders!C238</f>
        <v>45951</v>
      </c>
      <c r="D241" s="18" t="n">
        <f aca="false">Purchase_Orders!D238</f>
        <v>1370.36</v>
      </c>
      <c r="E241" s="16" t="str">
        <f aca="false">Purchase_Orders!F238</f>
        <v>Deborah Figueroa</v>
      </c>
      <c r="F241" s="16" t="str">
        <f aca="false">Purchase_Orders!G238</f>
        <v>Shannon Walker</v>
      </c>
      <c r="G241" s="16" t="str">
        <f aca="false">IF(E241=F241,"VIOLATION - Same Person Requested &amp; Approved","OK")</f>
        <v>OK</v>
      </c>
    </row>
    <row r="242" customFormat="false" ht="15" hidden="false" customHeight="false" outlineLevel="0" collapsed="false">
      <c r="A242" s="16" t="str">
        <f aca="false">Purchase_Orders!A239</f>
        <v>PO10238</v>
      </c>
      <c r="B242" s="16" t="str">
        <f aca="false">Purchase_Orders!B239</f>
        <v>V1031</v>
      </c>
      <c r="C242" s="17" t="n">
        <f aca="false">Purchase_Orders!C239</f>
        <v>45921</v>
      </c>
      <c r="D242" s="18" t="n">
        <f aca="false">Purchase_Orders!D239</f>
        <v>480.9</v>
      </c>
      <c r="E242" s="16" t="str">
        <f aca="false">Purchase_Orders!F239</f>
        <v>Matthew Mcmillan</v>
      </c>
      <c r="F242" s="16" t="str">
        <f aca="false">Purchase_Orders!G239</f>
        <v>Evelyn Galvan</v>
      </c>
      <c r="G242" s="16" t="str">
        <f aca="false">IF(E242=F242,"VIOLATION - Same Person Requested &amp; Approved","OK")</f>
        <v>OK</v>
      </c>
    </row>
    <row r="243" customFormat="false" ht="15" hidden="false" customHeight="false" outlineLevel="0" collapsed="false">
      <c r="A243" s="16" t="str">
        <f aca="false">Purchase_Orders!A240</f>
        <v>PO10239</v>
      </c>
      <c r="B243" s="16" t="str">
        <f aca="false">Purchase_Orders!B240</f>
        <v>V1024</v>
      </c>
      <c r="C243" s="17" t="n">
        <f aca="false">Purchase_Orders!C240</f>
        <v>45895</v>
      </c>
      <c r="D243" s="18" t="n">
        <f aca="false">Purchase_Orders!D240</f>
        <v>728.26</v>
      </c>
      <c r="E243" s="16" t="str">
        <f aca="false">Purchase_Orders!F240</f>
        <v>Christopher Bass</v>
      </c>
      <c r="F243" s="16" t="str">
        <f aca="false">Purchase_Orders!G240</f>
        <v>Shannon Walker</v>
      </c>
      <c r="G243" s="16" t="str">
        <f aca="false">IF(E243=F243,"VIOLATION - Same Person Requested &amp; Approved","OK")</f>
        <v>OK</v>
      </c>
    </row>
    <row r="244" customFormat="false" ht="15" hidden="false" customHeight="false" outlineLevel="0" collapsed="false">
      <c r="A244" s="16" t="str">
        <f aca="false">Purchase_Orders!A241</f>
        <v>PO10240</v>
      </c>
      <c r="B244" s="16" t="str">
        <f aca="false">Purchase_Orders!B241</f>
        <v>V1035</v>
      </c>
      <c r="C244" s="17" t="n">
        <f aca="false">Purchase_Orders!C241</f>
        <v>46056</v>
      </c>
      <c r="D244" s="18" t="n">
        <f aca="false">Purchase_Orders!D241</f>
        <v>4217.99</v>
      </c>
      <c r="E244" s="16" t="str">
        <f aca="false">Purchase_Orders!F241</f>
        <v>Richard Henson</v>
      </c>
      <c r="F244" s="16" t="str">
        <f aca="false">Purchase_Orders!G241</f>
        <v>Shannon Walker</v>
      </c>
      <c r="G244" s="16" t="str">
        <f aca="false">IF(E244=F244,"VIOLATION - Same Person Requested &amp; Approved","OK")</f>
        <v>OK</v>
      </c>
    </row>
    <row r="245" customFormat="false" ht="15" hidden="false" customHeight="false" outlineLevel="0" collapsed="false">
      <c r="A245" s="16" t="str">
        <f aca="false">Purchase_Orders!A242</f>
        <v>PO10241</v>
      </c>
      <c r="B245" s="16" t="str">
        <f aca="false">Purchase_Orders!B242</f>
        <v>V1033</v>
      </c>
      <c r="C245" s="17" t="n">
        <f aca="false">Purchase_Orders!C242</f>
        <v>45804</v>
      </c>
      <c r="D245" s="18" t="n">
        <f aca="false">Purchase_Orders!D242</f>
        <v>6467.02</v>
      </c>
      <c r="E245" s="16" t="str">
        <f aca="false">Purchase_Orders!F242</f>
        <v>Christine Wright</v>
      </c>
      <c r="F245" s="16" t="str">
        <f aca="false">Purchase_Orders!G242</f>
        <v>Julia Torres</v>
      </c>
      <c r="G245" s="16" t="str">
        <f aca="false">IF(E245=F245,"VIOLATION - Same Person Requested &amp; Approved","OK")</f>
        <v>OK</v>
      </c>
    </row>
    <row r="246" customFormat="false" ht="15" hidden="false" customHeight="false" outlineLevel="0" collapsed="false">
      <c r="A246" s="16" t="str">
        <f aca="false">Purchase_Orders!A243</f>
        <v>PO10242</v>
      </c>
      <c r="B246" s="16" t="str">
        <f aca="false">Purchase_Orders!B243</f>
        <v>V1007</v>
      </c>
      <c r="C246" s="17" t="n">
        <f aca="false">Purchase_Orders!C243</f>
        <v>46122</v>
      </c>
      <c r="D246" s="18" t="n">
        <f aca="false">Purchase_Orders!D243</f>
        <v>2055.39</v>
      </c>
      <c r="E246" s="16" t="str">
        <f aca="false">Purchase_Orders!F243</f>
        <v>Denise Jacobs</v>
      </c>
      <c r="F246" s="16" t="str">
        <f aca="false">Purchase_Orders!G243</f>
        <v>Shannon Walker</v>
      </c>
      <c r="G246" s="16" t="str">
        <f aca="false">IF(E246=F246,"VIOLATION - Same Person Requested &amp; Approved","OK")</f>
        <v>OK</v>
      </c>
    </row>
    <row r="247" customFormat="false" ht="15" hidden="false" customHeight="false" outlineLevel="0" collapsed="false">
      <c r="A247" s="16" t="str">
        <f aca="false">Purchase_Orders!A244</f>
        <v>PO10243</v>
      </c>
      <c r="B247" s="16" t="str">
        <f aca="false">Purchase_Orders!B244</f>
        <v>V1019</v>
      </c>
      <c r="C247" s="17" t="n">
        <f aca="false">Purchase_Orders!C244</f>
        <v>46110</v>
      </c>
      <c r="D247" s="18" t="n">
        <f aca="false">Purchase_Orders!D244</f>
        <v>207.67</v>
      </c>
      <c r="E247" s="16" t="str">
        <f aca="false">Purchase_Orders!F244</f>
        <v>Sandra Aguilar</v>
      </c>
      <c r="F247" s="16" t="str">
        <f aca="false">Purchase_Orders!G244</f>
        <v>Sierra Johnson</v>
      </c>
      <c r="G247" s="16" t="str">
        <f aca="false">IF(E247=F247,"VIOLATION - Same Person Requested &amp; Approved","OK")</f>
        <v>OK</v>
      </c>
    </row>
    <row r="248" customFormat="false" ht="15" hidden="false" customHeight="false" outlineLevel="0" collapsed="false">
      <c r="A248" s="16" t="str">
        <f aca="false">Purchase_Orders!A245</f>
        <v>PO10244</v>
      </c>
      <c r="B248" s="16" t="str">
        <f aca="false">Purchase_Orders!B245</f>
        <v>V1023</v>
      </c>
      <c r="C248" s="17" t="n">
        <f aca="false">Purchase_Orders!C245</f>
        <v>45705</v>
      </c>
      <c r="D248" s="18" t="n">
        <f aca="false">Purchase_Orders!D245</f>
        <v>1766.28</v>
      </c>
      <c r="E248" s="16" t="str">
        <f aca="false">Purchase_Orders!F245</f>
        <v>Christina Moran</v>
      </c>
      <c r="F248" s="16" t="str">
        <f aca="false">Purchase_Orders!G245</f>
        <v>Sierra Johnson</v>
      </c>
      <c r="G248" s="16" t="str">
        <f aca="false">IF(E248=F248,"VIOLATION - Same Person Requested &amp; Approved","OK")</f>
        <v>OK</v>
      </c>
    </row>
    <row r="249" customFormat="false" ht="15" hidden="false" customHeight="false" outlineLevel="0" collapsed="false">
      <c r="A249" s="16" t="str">
        <f aca="false">Purchase_Orders!A246</f>
        <v>PO10245</v>
      </c>
      <c r="B249" s="16" t="str">
        <f aca="false">Purchase_Orders!B246</f>
        <v>V1036</v>
      </c>
      <c r="C249" s="17" t="n">
        <f aca="false">Purchase_Orders!C246</f>
        <v>46138</v>
      </c>
      <c r="D249" s="18" t="n">
        <f aca="false">Purchase_Orders!D246</f>
        <v>1408.36</v>
      </c>
      <c r="E249" s="16" t="str">
        <f aca="false">Purchase_Orders!F246</f>
        <v>Jessica Smith</v>
      </c>
      <c r="F249" s="16" t="str">
        <f aca="false">Purchase_Orders!G246</f>
        <v>Richard Rodriguez</v>
      </c>
      <c r="G249" s="16" t="str">
        <f aca="false">IF(E249=F249,"VIOLATION - Same Person Requested &amp; Approved","OK")</f>
        <v>OK</v>
      </c>
    </row>
    <row r="250" customFormat="false" ht="15" hidden="false" customHeight="false" outlineLevel="0" collapsed="false">
      <c r="A250" s="16" t="str">
        <f aca="false">Purchase_Orders!A247</f>
        <v>PO10246</v>
      </c>
      <c r="B250" s="16" t="str">
        <f aca="false">Purchase_Orders!B247</f>
        <v>V1030</v>
      </c>
      <c r="C250" s="17" t="n">
        <f aca="false">Purchase_Orders!C247</f>
        <v>45790</v>
      </c>
      <c r="D250" s="18" t="n">
        <f aca="false">Purchase_Orders!D247</f>
        <v>1546.99</v>
      </c>
      <c r="E250" s="16" t="str">
        <f aca="false">Purchase_Orders!F247</f>
        <v>John Whitehead</v>
      </c>
      <c r="F250" s="16" t="str">
        <f aca="false">Purchase_Orders!G247</f>
        <v>Sharon Cherry</v>
      </c>
      <c r="G250" s="16" t="str">
        <f aca="false">IF(E250=F250,"VIOLATION - Same Person Requested &amp; Approved","OK")</f>
        <v>OK</v>
      </c>
    </row>
    <row r="251" customFormat="false" ht="15" hidden="false" customHeight="false" outlineLevel="0" collapsed="false">
      <c r="A251" s="16" t="str">
        <f aca="false">Purchase_Orders!A248</f>
        <v>PO10247</v>
      </c>
      <c r="B251" s="16" t="str">
        <f aca="false">Purchase_Orders!B248</f>
        <v>V1040</v>
      </c>
      <c r="C251" s="17" t="n">
        <f aca="false">Purchase_Orders!C248</f>
        <v>45911</v>
      </c>
      <c r="D251" s="18" t="n">
        <f aca="false">Purchase_Orders!D248</f>
        <v>5615.74</v>
      </c>
      <c r="E251" s="16" t="str">
        <f aca="false">Purchase_Orders!F248</f>
        <v>John Whitehead</v>
      </c>
      <c r="F251" s="16" t="str">
        <f aca="false">Purchase_Orders!G248</f>
        <v>Marc Moore</v>
      </c>
      <c r="G251" s="16" t="str">
        <f aca="false">IF(E251=F251,"VIOLATION - Same Person Requested &amp; Approved","OK")</f>
        <v>OK</v>
      </c>
    </row>
    <row r="252" customFormat="false" ht="15" hidden="false" customHeight="false" outlineLevel="0" collapsed="false">
      <c r="A252" s="16" t="str">
        <f aca="false">Purchase_Orders!A249</f>
        <v>PO10248</v>
      </c>
      <c r="B252" s="16" t="str">
        <f aca="false">Purchase_Orders!B249</f>
        <v>V1034</v>
      </c>
      <c r="C252" s="17" t="n">
        <f aca="false">Purchase_Orders!C249</f>
        <v>45990</v>
      </c>
      <c r="D252" s="18" t="n">
        <f aca="false">Purchase_Orders!D249</f>
        <v>3821.71</v>
      </c>
      <c r="E252" s="16" t="str">
        <f aca="false">Purchase_Orders!F249</f>
        <v>Christina Walters</v>
      </c>
      <c r="F252" s="16" t="str">
        <f aca="false">Purchase_Orders!G249</f>
        <v>Sierra Johnson</v>
      </c>
      <c r="G252" s="16" t="str">
        <f aca="false">IF(E252=F252,"VIOLATION - Same Person Requested &amp; Approved","OK")</f>
        <v>OK</v>
      </c>
    </row>
    <row r="253" customFormat="false" ht="15" hidden="false" customHeight="false" outlineLevel="0" collapsed="false">
      <c r="A253" s="16" t="str">
        <f aca="false">Purchase_Orders!A250</f>
        <v>PO10249</v>
      </c>
      <c r="B253" s="16" t="str">
        <f aca="false">Purchase_Orders!B250</f>
        <v>V1008</v>
      </c>
      <c r="C253" s="17" t="n">
        <f aca="false">Purchase_Orders!C250</f>
        <v>45864</v>
      </c>
      <c r="D253" s="18" t="n">
        <f aca="false">Purchase_Orders!D250</f>
        <v>943.22</v>
      </c>
      <c r="E253" s="16" t="str">
        <f aca="false">Purchase_Orders!F250</f>
        <v>Lisa Archer</v>
      </c>
      <c r="F253" s="16" t="str">
        <f aca="false">Purchase_Orders!G250</f>
        <v>Richard Rodriguez</v>
      </c>
      <c r="G253" s="16" t="str">
        <f aca="false">IF(E253=F253,"VIOLATION - Same Person Requested &amp; Approved","OK")</f>
        <v>OK</v>
      </c>
    </row>
    <row r="254" customFormat="false" ht="15" hidden="false" customHeight="false" outlineLevel="0" collapsed="false">
      <c r="A254" s="16" t="str">
        <f aca="false">Purchase_Orders!A251</f>
        <v>PO10250</v>
      </c>
      <c r="B254" s="16" t="str">
        <f aca="false">Purchase_Orders!B251</f>
        <v>V1031</v>
      </c>
      <c r="C254" s="17" t="n">
        <f aca="false">Purchase_Orders!C251</f>
        <v>45673</v>
      </c>
      <c r="D254" s="18" t="n">
        <f aca="false">Purchase_Orders!D251</f>
        <v>618.31</v>
      </c>
      <c r="E254" s="16" t="str">
        <f aca="false">Purchase_Orders!F251</f>
        <v>Denise Jacobs</v>
      </c>
      <c r="F254" s="16" t="str">
        <f aca="false">Purchase_Orders!G251</f>
        <v>Sharon Cherry</v>
      </c>
      <c r="G254" s="16" t="str">
        <f aca="false">IF(E254=F254,"VIOLATION - Same Person Requested &amp; Approved","OK")</f>
        <v>OK</v>
      </c>
    </row>
    <row r="255" customFormat="false" ht="15" hidden="false" customHeight="false" outlineLevel="0" collapsed="false">
      <c r="A255" s="16" t="str">
        <f aca="false">Purchase_Orders!A252</f>
        <v>PO10251</v>
      </c>
      <c r="B255" s="16" t="str">
        <f aca="false">Purchase_Orders!B252</f>
        <v>V1038</v>
      </c>
      <c r="C255" s="17" t="n">
        <f aca="false">Purchase_Orders!C252</f>
        <v>46121</v>
      </c>
      <c r="D255" s="18" t="n">
        <f aca="false">Purchase_Orders!D252</f>
        <v>17214.28</v>
      </c>
      <c r="E255" s="16" t="str">
        <f aca="false">Purchase_Orders!F252</f>
        <v>Cameron Parker</v>
      </c>
      <c r="F255" s="16" t="str">
        <f aca="false">Purchase_Orders!G252</f>
        <v>Shannon Walker</v>
      </c>
      <c r="G255" s="16" t="str">
        <f aca="false">IF(E255=F255,"VIOLATION - Same Person Requested &amp; Approved","OK")</f>
        <v>OK</v>
      </c>
    </row>
    <row r="256" customFormat="false" ht="15" hidden="false" customHeight="false" outlineLevel="0" collapsed="false">
      <c r="A256" s="16" t="str">
        <f aca="false">Purchase_Orders!A253</f>
        <v>PO10252</v>
      </c>
      <c r="B256" s="16" t="str">
        <f aca="false">Purchase_Orders!B253</f>
        <v>V1005</v>
      </c>
      <c r="C256" s="17" t="n">
        <f aca="false">Purchase_Orders!C253</f>
        <v>45757</v>
      </c>
      <c r="D256" s="18" t="n">
        <f aca="false">Purchase_Orders!D253</f>
        <v>518.98</v>
      </c>
      <c r="E256" s="16" t="str">
        <f aca="false">Purchase_Orders!F253</f>
        <v>Sandra Aguilar</v>
      </c>
      <c r="F256" s="16" t="str">
        <f aca="false">Purchase_Orders!G253</f>
        <v>Julia Torres</v>
      </c>
      <c r="G256" s="16" t="str">
        <f aca="false">IF(E256=F256,"VIOLATION - Same Person Requested &amp; Approved","OK")</f>
        <v>OK</v>
      </c>
    </row>
    <row r="257" customFormat="false" ht="15" hidden="false" customHeight="false" outlineLevel="0" collapsed="false">
      <c r="A257" s="16" t="str">
        <f aca="false">Purchase_Orders!A254</f>
        <v>PO10253</v>
      </c>
      <c r="B257" s="16" t="str">
        <f aca="false">Purchase_Orders!B254</f>
        <v>V1020</v>
      </c>
      <c r="C257" s="17" t="n">
        <f aca="false">Purchase_Orders!C254</f>
        <v>45773</v>
      </c>
      <c r="D257" s="18" t="n">
        <f aca="false">Purchase_Orders!D254</f>
        <v>1164.57</v>
      </c>
      <c r="E257" s="16" t="str">
        <f aca="false">Purchase_Orders!F254</f>
        <v>Christina Moran</v>
      </c>
      <c r="F257" s="16" t="str">
        <f aca="false">Purchase_Orders!G254</f>
        <v>Sharon Cherry</v>
      </c>
      <c r="G257" s="16" t="str">
        <f aca="false">IF(E257=F257,"VIOLATION - Same Person Requested &amp; Approved","OK")</f>
        <v>OK</v>
      </c>
    </row>
    <row r="258" customFormat="false" ht="15" hidden="false" customHeight="false" outlineLevel="0" collapsed="false">
      <c r="A258" s="16" t="str">
        <f aca="false">Purchase_Orders!A255</f>
        <v>PO10254</v>
      </c>
      <c r="B258" s="16" t="str">
        <f aca="false">Purchase_Orders!B255</f>
        <v>V1031</v>
      </c>
      <c r="C258" s="17" t="n">
        <f aca="false">Purchase_Orders!C255</f>
        <v>46092</v>
      </c>
      <c r="D258" s="18" t="n">
        <f aca="false">Purchase_Orders!D255</f>
        <v>796.57</v>
      </c>
      <c r="E258" s="16" t="str">
        <f aca="false">Purchase_Orders!F255</f>
        <v>Cameron Parker</v>
      </c>
      <c r="F258" s="16" t="str">
        <f aca="false">Purchase_Orders!G255</f>
        <v>Sharon Cochran</v>
      </c>
      <c r="G258" s="16" t="str">
        <f aca="false">IF(E258=F258,"VIOLATION - Same Person Requested &amp; Approved","OK")</f>
        <v>OK</v>
      </c>
    </row>
    <row r="259" customFormat="false" ht="15" hidden="false" customHeight="false" outlineLevel="0" collapsed="false">
      <c r="A259" s="16" t="str">
        <f aca="false">Purchase_Orders!A256</f>
        <v>PO10255</v>
      </c>
      <c r="B259" s="16" t="str">
        <f aca="false">Purchase_Orders!B256</f>
        <v>V1030</v>
      </c>
      <c r="C259" s="17" t="n">
        <f aca="false">Purchase_Orders!C256</f>
        <v>45843</v>
      </c>
      <c r="D259" s="18" t="n">
        <f aca="false">Purchase_Orders!D256</f>
        <v>1150.99</v>
      </c>
      <c r="E259" s="16" t="str">
        <f aca="false">Purchase_Orders!F256</f>
        <v>Christine Wright</v>
      </c>
      <c r="F259" s="16" t="str">
        <f aca="false">Purchase_Orders!G256</f>
        <v>Sharon Cherry</v>
      </c>
      <c r="G259" s="16" t="str">
        <f aca="false">IF(E259=F259,"VIOLATION - Same Person Requested &amp; Approved","OK")</f>
        <v>OK</v>
      </c>
    </row>
    <row r="260" customFormat="false" ht="15" hidden="false" customHeight="false" outlineLevel="0" collapsed="false">
      <c r="A260" s="16" t="str">
        <f aca="false">Purchase_Orders!A257</f>
        <v>PO10256</v>
      </c>
      <c r="B260" s="16" t="str">
        <f aca="false">Purchase_Orders!B257</f>
        <v>V1007</v>
      </c>
      <c r="C260" s="17" t="n">
        <f aca="false">Purchase_Orders!C257</f>
        <v>46137</v>
      </c>
      <c r="D260" s="18" t="n">
        <f aca="false">Purchase_Orders!D257</f>
        <v>2121.27</v>
      </c>
      <c r="E260" s="16" t="str">
        <f aca="false">Purchase_Orders!F257</f>
        <v>Eugene Walton</v>
      </c>
      <c r="F260" s="16" t="str">
        <f aca="false">Purchase_Orders!G257</f>
        <v>Sharon Cherry</v>
      </c>
      <c r="G260" s="16" t="str">
        <f aca="false">IF(E260=F260,"VIOLATION - Same Person Requested &amp; Approved","OK")</f>
        <v>OK</v>
      </c>
    </row>
    <row r="261" customFormat="false" ht="15" hidden="false" customHeight="false" outlineLevel="0" collapsed="false">
      <c r="A261" s="16" t="str">
        <f aca="false">Purchase_Orders!A258</f>
        <v>PO10257</v>
      </c>
      <c r="B261" s="16" t="str">
        <f aca="false">Purchase_Orders!B258</f>
        <v>V1008</v>
      </c>
      <c r="C261" s="17" t="n">
        <f aca="false">Purchase_Orders!C258</f>
        <v>46040</v>
      </c>
      <c r="D261" s="18" t="n">
        <f aca="false">Purchase_Orders!D258</f>
        <v>646.51</v>
      </c>
      <c r="E261" s="16" t="str">
        <f aca="false">Purchase_Orders!F258</f>
        <v>Rebecca Valencia</v>
      </c>
      <c r="F261" s="16" t="str">
        <f aca="false">Purchase_Orders!G258</f>
        <v>Sharon Cochran</v>
      </c>
      <c r="G261" s="16" t="str">
        <f aca="false">IF(E261=F261,"VIOLATION - Same Person Requested &amp; Approved","OK")</f>
        <v>OK</v>
      </c>
    </row>
    <row r="262" customFormat="false" ht="15" hidden="false" customHeight="false" outlineLevel="0" collapsed="false">
      <c r="A262" s="16" t="str">
        <f aca="false">Purchase_Orders!A259</f>
        <v>PO10258</v>
      </c>
      <c r="B262" s="16" t="str">
        <f aca="false">Purchase_Orders!B259</f>
        <v>V1007</v>
      </c>
      <c r="C262" s="17" t="n">
        <f aca="false">Purchase_Orders!C259</f>
        <v>45808</v>
      </c>
      <c r="D262" s="18" t="n">
        <f aca="false">Purchase_Orders!D259</f>
        <v>231.64</v>
      </c>
      <c r="E262" s="16" t="str">
        <f aca="false">Purchase_Orders!F259</f>
        <v>Christina Moran</v>
      </c>
      <c r="F262" s="16" t="str">
        <f aca="false">Purchase_Orders!G259</f>
        <v>Richard Rodriguez</v>
      </c>
      <c r="G262" s="16" t="str">
        <f aca="false">IF(E262=F262,"VIOLATION - Same Person Requested &amp; Approved","OK")</f>
        <v>OK</v>
      </c>
    </row>
    <row r="263" customFormat="false" ht="15" hidden="false" customHeight="false" outlineLevel="0" collapsed="false">
      <c r="A263" s="16" t="str">
        <f aca="false">Purchase_Orders!A260</f>
        <v>PO10259</v>
      </c>
      <c r="B263" s="16" t="str">
        <f aca="false">Purchase_Orders!B260</f>
        <v>V1021</v>
      </c>
      <c r="C263" s="17" t="n">
        <f aca="false">Purchase_Orders!C260</f>
        <v>45663</v>
      </c>
      <c r="D263" s="18" t="n">
        <f aca="false">Purchase_Orders!D260</f>
        <v>585.14</v>
      </c>
      <c r="E263" s="16" t="str">
        <f aca="false">Purchase_Orders!F260</f>
        <v>Aimee Montoya</v>
      </c>
      <c r="F263" s="16" t="str">
        <f aca="false">Purchase_Orders!G260</f>
        <v>Richard Rodriguez</v>
      </c>
      <c r="G263" s="16" t="str">
        <f aca="false">IF(E263=F263,"VIOLATION - Same Person Requested &amp; Approved","OK")</f>
        <v>OK</v>
      </c>
    </row>
    <row r="264" customFormat="false" ht="15" hidden="false" customHeight="false" outlineLevel="0" collapsed="false">
      <c r="A264" s="16" t="str">
        <f aca="false">Purchase_Orders!A261</f>
        <v>PO10260</v>
      </c>
      <c r="B264" s="16" t="str">
        <f aca="false">Purchase_Orders!B261</f>
        <v>V1022</v>
      </c>
      <c r="C264" s="17" t="n">
        <f aca="false">Purchase_Orders!C261</f>
        <v>46174</v>
      </c>
      <c r="D264" s="18" t="n">
        <f aca="false">Purchase_Orders!D261</f>
        <v>2715.46</v>
      </c>
      <c r="E264" s="16" t="str">
        <f aca="false">Purchase_Orders!F261</f>
        <v>Jimmy Murillo</v>
      </c>
      <c r="F264" s="16" t="str">
        <f aca="false">Purchase_Orders!G261</f>
        <v>Evelyn Galvan</v>
      </c>
      <c r="G264" s="16" t="str">
        <f aca="false">IF(E264=F264,"VIOLATION - Same Person Requested &amp; Approved","OK")</f>
        <v>OK</v>
      </c>
    </row>
    <row r="265" customFormat="false" ht="15" hidden="false" customHeight="false" outlineLevel="0" collapsed="false">
      <c r="A265" s="16" t="str">
        <f aca="false">Purchase_Orders!A262</f>
        <v>PO10261</v>
      </c>
      <c r="B265" s="16" t="str">
        <f aca="false">Purchase_Orders!B262</f>
        <v>V1008</v>
      </c>
      <c r="C265" s="17" t="n">
        <f aca="false">Purchase_Orders!C262</f>
        <v>45704</v>
      </c>
      <c r="D265" s="18" t="n">
        <f aca="false">Purchase_Orders!D262</f>
        <v>2645.79</v>
      </c>
      <c r="E265" s="16" t="str">
        <f aca="false">Purchase_Orders!F262</f>
        <v>Jessica Smith</v>
      </c>
      <c r="F265" s="16" t="str">
        <f aca="false">Purchase_Orders!G262</f>
        <v>Sierra Johnson</v>
      </c>
      <c r="G265" s="16" t="str">
        <f aca="false">IF(E265=F265,"VIOLATION - Same Person Requested &amp; Approved","OK")</f>
        <v>OK</v>
      </c>
    </row>
    <row r="266" customFormat="false" ht="15" hidden="false" customHeight="false" outlineLevel="0" collapsed="false">
      <c r="A266" s="16" t="str">
        <f aca="false">Purchase_Orders!A263</f>
        <v>PO10262</v>
      </c>
      <c r="B266" s="16" t="str">
        <f aca="false">Purchase_Orders!B263</f>
        <v>V1022</v>
      </c>
      <c r="C266" s="17" t="n">
        <f aca="false">Purchase_Orders!C263</f>
        <v>46050</v>
      </c>
      <c r="D266" s="18" t="n">
        <f aca="false">Purchase_Orders!D263</f>
        <v>5917.43</v>
      </c>
      <c r="E266" s="16" t="str">
        <f aca="false">Purchase_Orders!F263</f>
        <v>James Powers</v>
      </c>
      <c r="F266" s="16" t="str">
        <f aca="false">Purchase_Orders!G263</f>
        <v>Shannon Walker</v>
      </c>
      <c r="G266" s="16" t="str">
        <f aca="false">IF(E266=F266,"VIOLATION - Same Person Requested &amp; Approved","OK")</f>
        <v>OK</v>
      </c>
    </row>
    <row r="267" customFormat="false" ht="15" hidden="false" customHeight="false" outlineLevel="0" collapsed="false">
      <c r="A267" s="16" t="str">
        <f aca="false">Purchase_Orders!A264</f>
        <v>PO10263</v>
      </c>
      <c r="B267" s="16" t="str">
        <f aca="false">Purchase_Orders!B264</f>
        <v>V1003</v>
      </c>
      <c r="C267" s="17" t="n">
        <f aca="false">Purchase_Orders!C264</f>
        <v>45924</v>
      </c>
      <c r="D267" s="18" t="n">
        <f aca="false">Purchase_Orders!D264</f>
        <v>866.85</v>
      </c>
      <c r="E267" s="16" t="str">
        <f aca="false">Purchase_Orders!F264</f>
        <v>Christopher Bass</v>
      </c>
      <c r="F267" s="16" t="str">
        <f aca="false">Purchase_Orders!G264</f>
        <v>Julia Torres</v>
      </c>
      <c r="G267" s="16" t="str">
        <f aca="false">IF(E267=F267,"VIOLATION - Same Person Requested &amp; Approved","OK")</f>
        <v>OK</v>
      </c>
    </row>
    <row r="268" customFormat="false" ht="15" hidden="false" customHeight="false" outlineLevel="0" collapsed="false">
      <c r="A268" s="16" t="str">
        <f aca="false">Purchase_Orders!A265</f>
        <v>PO10264</v>
      </c>
      <c r="B268" s="16" t="str">
        <f aca="false">Purchase_Orders!B265</f>
        <v>V1017</v>
      </c>
      <c r="C268" s="17" t="n">
        <f aca="false">Purchase_Orders!C265</f>
        <v>46071</v>
      </c>
      <c r="D268" s="18" t="n">
        <f aca="false">Purchase_Orders!D265</f>
        <v>5943.52</v>
      </c>
      <c r="E268" s="16" t="str">
        <f aca="false">Purchase_Orders!F265</f>
        <v>Jimmy Murillo</v>
      </c>
      <c r="F268" s="16" t="str">
        <f aca="false">Purchase_Orders!G265</f>
        <v>Evelyn Galvan</v>
      </c>
      <c r="G268" s="16" t="str">
        <f aca="false">IF(E268=F268,"VIOLATION - Same Person Requested &amp; Approved","OK")</f>
        <v>OK</v>
      </c>
    </row>
    <row r="269" customFormat="false" ht="15" hidden="false" customHeight="false" outlineLevel="0" collapsed="false">
      <c r="A269" s="16" t="str">
        <f aca="false">Purchase_Orders!A266</f>
        <v>PO10265</v>
      </c>
      <c r="B269" s="16" t="str">
        <f aca="false">Purchase_Orders!B266</f>
        <v>V1016</v>
      </c>
      <c r="C269" s="17" t="n">
        <f aca="false">Purchase_Orders!C266</f>
        <v>46034</v>
      </c>
      <c r="D269" s="18" t="n">
        <f aca="false">Purchase_Orders!D266</f>
        <v>2495.51</v>
      </c>
      <c r="E269" s="16" t="str">
        <f aca="false">Purchase_Orders!F266</f>
        <v>Lisa Archer</v>
      </c>
      <c r="F269" s="16" t="str">
        <f aca="false">Purchase_Orders!G266</f>
        <v>Julia Torres</v>
      </c>
      <c r="G269" s="16" t="str">
        <f aca="false">IF(E269=F269,"VIOLATION - Same Person Requested &amp; Approved","OK")</f>
        <v>OK</v>
      </c>
    </row>
    <row r="270" customFormat="false" ht="15" hidden="false" customHeight="false" outlineLevel="0" collapsed="false">
      <c r="A270" s="16" t="str">
        <f aca="false">Purchase_Orders!A267</f>
        <v>PO10266</v>
      </c>
      <c r="B270" s="16" t="str">
        <f aca="false">Purchase_Orders!B267</f>
        <v>V1004</v>
      </c>
      <c r="C270" s="17" t="n">
        <f aca="false">Purchase_Orders!C267</f>
        <v>46010</v>
      </c>
      <c r="D270" s="18" t="n">
        <f aca="false">Purchase_Orders!D267</f>
        <v>482.15</v>
      </c>
      <c r="E270" s="16" t="str">
        <f aca="false">Purchase_Orders!F267</f>
        <v>Kevin Mills</v>
      </c>
      <c r="F270" s="16" t="str">
        <f aca="false">Purchase_Orders!G267</f>
        <v>Julia Torres</v>
      </c>
      <c r="G270" s="16" t="str">
        <f aca="false">IF(E270=F270,"VIOLATION - Same Person Requested &amp; Approved","OK")</f>
        <v>OK</v>
      </c>
    </row>
    <row r="271" customFormat="false" ht="15" hidden="false" customHeight="false" outlineLevel="0" collapsed="false">
      <c r="A271" s="16" t="str">
        <f aca="false">Purchase_Orders!A268</f>
        <v>PO10267</v>
      </c>
      <c r="B271" s="16" t="str">
        <f aca="false">Purchase_Orders!B268</f>
        <v>V1035</v>
      </c>
      <c r="C271" s="17" t="n">
        <f aca="false">Purchase_Orders!C268</f>
        <v>45925</v>
      </c>
      <c r="D271" s="18" t="n">
        <f aca="false">Purchase_Orders!D268</f>
        <v>1274.7</v>
      </c>
      <c r="E271" s="16" t="str">
        <f aca="false">Purchase_Orders!F268</f>
        <v>Cameron Parker</v>
      </c>
      <c r="F271" s="16" t="str">
        <f aca="false">Purchase_Orders!G268</f>
        <v>Sierra Johnson</v>
      </c>
      <c r="G271" s="16" t="str">
        <f aca="false">IF(E271=F271,"VIOLATION - Same Person Requested &amp; Approved","OK")</f>
        <v>OK</v>
      </c>
    </row>
    <row r="272" customFormat="false" ht="15" hidden="false" customHeight="false" outlineLevel="0" collapsed="false">
      <c r="A272" s="16" t="str">
        <f aca="false">Purchase_Orders!A269</f>
        <v>PO10268</v>
      </c>
      <c r="B272" s="16" t="str">
        <f aca="false">Purchase_Orders!B269</f>
        <v>V1003</v>
      </c>
      <c r="C272" s="17" t="n">
        <f aca="false">Purchase_Orders!C269</f>
        <v>46090</v>
      </c>
      <c r="D272" s="18" t="n">
        <f aca="false">Purchase_Orders!D269</f>
        <v>2055.42</v>
      </c>
      <c r="E272" s="16" t="str">
        <f aca="false">Purchase_Orders!F269</f>
        <v>Brian Rodriguez</v>
      </c>
      <c r="F272" s="16" t="str">
        <f aca="false">Purchase_Orders!G269</f>
        <v>Sharon Cochran</v>
      </c>
      <c r="G272" s="16" t="str">
        <f aca="false">IF(E272=F272,"VIOLATION - Same Person Requested &amp; Approved","OK")</f>
        <v>OK</v>
      </c>
    </row>
    <row r="273" customFormat="false" ht="15" hidden="false" customHeight="false" outlineLevel="0" collapsed="false">
      <c r="A273" s="16" t="str">
        <f aca="false">Purchase_Orders!A270</f>
        <v>PO10269</v>
      </c>
      <c r="B273" s="16" t="str">
        <f aca="false">Purchase_Orders!B270</f>
        <v>V1012</v>
      </c>
      <c r="C273" s="17" t="n">
        <f aca="false">Purchase_Orders!C270</f>
        <v>45708</v>
      </c>
      <c r="D273" s="18" t="n">
        <f aca="false">Purchase_Orders!D270</f>
        <v>8984.32</v>
      </c>
      <c r="E273" s="16" t="str">
        <f aca="false">Purchase_Orders!F270</f>
        <v>Christina Walters</v>
      </c>
      <c r="F273" s="16" t="str">
        <f aca="false">Purchase_Orders!G270</f>
        <v>Sharon Cochran</v>
      </c>
      <c r="G273" s="16" t="str">
        <f aca="false">IF(E273=F273,"VIOLATION - Same Person Requested &amp; Approved","OK")</f>
        <v>OK</v>
      </c>
    </row>
    <row r="274" customFormat="false" ht="15" hidden="false" customHeight="false" outlineLevel="0" collapsed="false">
      <c r="A274" s="16" t="str">
        <f aca="false">Purchase_Orders!A271</f>
        <v>PO10270</v>
      </c>
      <c r="B274" s="16" t="str">
        <f aca="false">Purchase_Orders!B271</f>
        <v>V1022</v>
      </c>
      <c r="C274" s="17" t="n">
        <f aca="false">Purchase_Orders!C271</f>
        <v>45778</v>
      </c>
      <c r="D274" s="18" t="n">
        <f aca="false">Purchase_Orders!D271</f>
        <v>4378.74</v>
      </c>
      <c r="E274" s="16" t="str">
        <f aca="false">Purchase_Orders!F271</f>
        <v>Aimee Montoya</v>
      </c>
      <c r="F274" s="16" t="str">
        <f aca="false">Purchase_Orders!G271</f>
        <v>Evelyn Galvan</v>
      </c>
      <c r="G274" s="16" t="str">
        <f aca="false">IF(E274=F274,"VIOLATION - Same Person Requested &amp; Approved","OK")</f>
        <v>OK</v>
      </c>
    </row>
    <row r="275" customFormat="false" ht="15" hidden="false" customHeight="false" outlineLevel="0" collapsed="false">
      <c r="A275" s="16" t="str">
        <f aca="false">Purchase_Orders!A272</f>
        <v>PO10271</v>
      </c>
      <c r="B275" s="16" t="str">
        <f aca="false">Purchase_Orders!B272</f>
        <v>V1030</v>
      </c>
      <c r="C275" s="17" t="n">
        <f aca="false">Purchase_Orders!C272</f>
        <v>46035</v>
      </c>
      <c r="D275" s="18" t="n">
        <f aca="false">Purchase_Orders!D272</f>
        <v>519.69</v>
      </c>
      <c r="E275" s="16" t="str">
        <f aca="false">Purchase_Orders!F272</f>
        <v>Anna Henderson</v>
      </c>
      <c r="F275" s="16" t="str">
        <f aca="false">Purchase_Orders!G272</f>
        <v>Sharon Cherry</v>
      </c>
      <c r="G275" s="16" t="str">
        <f aca="false">IF(E275=F275,"VIOLATION - Same Person Requested &amp; Approved","OK")</f>
        <v>OK</v>
      </c>
    </row>
    <row r="276" customFormat="false" ht="15" hidden="false" customHeight="false" outlineLevel="0" collapsed="false">
      <c r="A276" s="16" t="str">
        <f aca="false">Purchase_Orders!A273</f>
        <v>PO10272</v>
      </c>
      <c r="B276" s="16" t="str">
        <f aca="false">Purchase_Orders!B273</f>
        <v>V1017</v>
      </c>
      <c r="C276" s="17" t="n">
        <f aca="false">Purchase_Orders!C273</f>
        <v>45824</v>
      </c>
      <c r="D276" s="18" t="n">
        <f aca="false">Purchase_Orders!D273</f>
        <v>2656.9</v>
      </c>
      <c r="E276" s="16" t="str">
        <f aca="false">Purchase_Orders!F273</f>
        <v>Jessica Smith</v>
      </c>
      <c r="F276" s="16" t="str">
        <f aca="false">Purchase_Orders!G273</f>
        <v>Richard Rodriguez</v>
      </c>
      <c r="G276" s="16" t="str">
        <f aca="false">IF(E276=F276,"VIOLATION - Same Person Requested &amp; Approved","OK")</f>
        <v>OK</v>
      </c>
    </row>
    <row r="277" customFormat="false" ht="15" hidden="false" customHeight="false" outlineLevel="0" collapsed="false">
      <c r="A277" s="16" t="str">
        <f aca="false">Purchase_Orders!A274</f>
        <v>PO10273</v>
      </c>
      <c r="B277" s="16" t="str">
        <f aca="false">Purchase_Orders!B274</f>
        <v>V1016</v>
      </c>
      <c r="C277" s="17" t="n">
        <f aca="false">Purchase_Orders!C274</f>
        <v>45974</v>
      </c>
      <c r="D277" s="18" t="n">
        <f aca="false">Purchase_Orders!D274</f>
        <v>611.97</v>
      </c>
      <c r="E277" s="16" t="str">
        <f aca="false">Purchase_Orders!F274</f>
        <v>Rebecca Valencia</v>
      </c>
      <c r="F277" s="16" t="str">
        <f aca="false">Purchase_Orders!G274</f>
        <v>Rebecca Valencia</v>
      </c>
      <c r="G277" s="16" t="str">
        <f aca="false">IF(E277=F277,"VIOLATION - Same Person Requested &amp; Approved","OK")</f>
        <v>VIOLATION - Same Person Requested &amp; Approved</v>
      </c>
    </row>
    <row r="278" customFormat="false" ht="15" hidden="false" customHeight="false" outlineLevel="0" collapsed="false">
      <c r="A278" s="16" t="str">
        <f aca="false">Purchase_Orders!A275</f>
        <v>PO10274</v>
      </c>
      <c r="B278" s="16" t="str">
        <f aca="false">Purchase_Orders!B275</f>
        <v>V1015</v>
      </c>
      <c r="C278" s="17" t="n">
        <f aca="false">Purchase_Orders!C275</f>
        <v>45915</v>
      </c>
      <c r="D278" s="18" t="n">
        <f aca="false">Purchase_Orders!D275</f>
        <v>3378.98</v>
      </c>
      <c r="E278" s="16" t="str">
        <f aca="false">Purchase_Orders!F275</f>
        <v>Cameron Parker</v>
      </c>
      <c r="F278" s="16" t="str">
        <f aca="false">Purchase_Orders!G275</f>
        <v>Shannon Walker</v>
      </c>
      <c r="G278" s="16" t="str">
        <f aca="false">IF(E278=F278,"VIOLATION - Same Person Requested &amp; Approved","OK")</f>
        <v>OK</v>
      </c>
    </row>
    <row r="279" customFormat="false" ht="15" hidden="false" customHeight="false" outlineLevel="0" collapsed="false">
      <c r="A279" s="16" t="str">
        <f aca="false">Purchase_Orders!A276</f>
        <v>PO10275</v>
      </c>
      <c r="B279" s="16" t="str">
        <f aca="false">Purchase_Orders!B276</f>
        <v>V1026</v>
      </c>
      <c r="C279" s="17" t="n">
        <f aca="false">Purchase_Orders!C276</f>
        <v>45947</v>
      </c>
      <c r="D279" s="18" t="n">
        <f aca="false">Purchase_Orders!D276</f>
        <v>1729.73</v>
      </c>
      <c r="E279" s="16" t="str">
        <f aca="false">Purchase_Orders!F276</f>
        <v>Jessica Smith</v>
      </c>
      <c r="F279" s="16" t="str">
        <f aca="false">Purchase_Orders!G276</f>
        <v>Marc Moore</v>
      </c>
      <c r="G279" s="16" t="str">
        <f aca="false">IF(E279=F279,"VIOLATION - Same Person Requested &amp; Approved","OK")</f>
        <v>OK</v>
      </c>
    </row>
    <row r="280" customFormat="false" ht="15" hidden="false" customHeight="false" outlineLevel="0" collapsed="false">
      <c r="A280" s="16" t="str">
        <f aca="false">Purchase_Orders!A277</f>
        <v>PO10276</v>
      </c>
      <c r="B280" s="16" t="str">
        <f aca="false">Purchase_Orders!B277</f>
        <v>V1005</v>
      </c>
      <c r="C280" s="17" t="n">
        <f aca="false">Purchase_Orders!C277</f>
        <v>45889</v>
      </c>
      <c r="D280" s="18" t="n">
        <f aca="false">Purchase_Orders!D277</f>
        <v>225.68</v>
      </c>
      <c r="E280" s="16" t="str">
        <f aca="false">Purchase_Orders!F277</f>
        <v>Christine Wright</v>
      </c>
      <c r="F280" s="16" t="str">
        <f aca="false">Purchase_Orders!G277</f>
        <v>Julia Torres</v>
      </c>
      <c r="G280" s="16" t="str">
        <f aca="false">IF(E280=F280,"VIOLATION - Same Person Requested &amp; Approved","OK")</f>
        <v>OK</v>
      </c>
    </row>
    <row r="281" customFormat="false" ht="15" hidden="false" customHeight="false" outlineLevel="0" collapsed="false">
      <c r="A281" s="16" t="str">
        <f aca="false">Purchase_Orders!A278</f>
        <v>PO10277</v>
      </c>
      <c r="B281" s="16" t="str">
        <f aca="false">Purchase_Orders!B278</f>
        <v>V1004</v>
      </c>
      <c r="C281" s="17" t="n">
        <f aca="false">Purchase_Orders!C278</f>
        <v>46064</v>
      </c>
      <c r="D281" s="18" t="n">
        <f aca="false">Purchase_Orders!D278</f>
        <v>1424.85</v>
      </c>
      <c r="E281" s="16" t="str">
        <f aca="false">Purchase_Orders!F278</f>
        <v>Aimee Montoya</v>
      </c>
      <c r="F281" s="16" t="str">
        <f aca="false">Purchase_Orders!G278</f>
        <v>Evelyn Galvan</v>
      </c>
      <c r="G281" s="16" t="str">
        <f aca="false">IF(E281=F281,"VIOLATION - Same Person Requested &amp; Approved","OK")</f>
        <v>OK</v>
      </c>
    </row>
    <row r="282" customFormat="false" ht="15" hidden="false" customHeight="false" outlineLevel="0" collapsed="false">
      <c r="A282" s="16" t="str">
        <f aca="false">Purchase_Orders!A279</f>
        <v>PO10278</v>
      </c>
      <c r="B282" s="16" t="str">
        <f aca="false">Purchase_Orders!B279</f>
        <v>V1040</v>
      </c>
      <c r="C282" s="17" t="n">
        <f aca="false">Purchase_Orders!C279</f>
        <v>45838</v>
      </c>
      <c r="D282" s="18" t="n">
        <f aca="false">Purchase_Orders!D279</f>
        <v>643.44</v>
      </c>
      <c r="E282" s="16" t="str">
        <f aca="false">Purchase_Orders!F279</f>
        <v>Brian Rodriguez</v>
      </c>
      <c r="F282" s="16" t="str">
        <f aca="false">Purchase_Orders!G279</f>
        <v>Evelyn Galvan</v>
      </c>
      <c r="G282" s="16" t="str">
        <f aca="false">IF(E282=F282,"VIOLATION - Same Person Requested &amp; Approved","OK")</f>
        <v>OK</v>
      </c>
    </row>
    <row r="283" customFormat="false" ht="15" hidden="false" customHeight="false" outlineLevel="0" collapsed="false">
      <c r="A283" s="16" t="str">
        <f aca="false">Purchase_Orders!A280</f>
        <v>PO10279</v>
      </c>
      <c r="B283" s="16" t="str">
        <f aca="false">Purchase_Orders!B280</f>
        <v>V1018</v>
      </c>
      <c r="C283" s="17" t="n">
        <f aca="false">Purchase_Orders!C280</f>
        <v>46041</v>
      </c>
      <c r="D283" s="18" t="n">
        <f aca="false">Purchase_Orders!D280</f>
        <v>560.8</v>
      </c>
      <c r="E283" s="16" t="str">
        <f aca="false">Purchase_Orders!F280</f>
        <v>Stephen Mckee</v>
      </c>
      <c r="F283" s="16" t="str">
        <f aca="false">Purchase_Orders!G280</f>
        <v>Sharon Cochran</v>
      </c>
      <c r="G283" s="16" t="str">
        <f aca="false">IF(E283=F283,"VIOLATION - Same Person Requested &amp; Approved","OK")</f>
        <v>OK</v>
      </c>
    </row>
    <row r="284" customFormat="false" ht="15" hidden="false" customHeight="false" outlineLevel="0" collapsed="false">
      <c r="A284" s="16" t="str">
        <f aca="false">Purchase_Orders!A281</f>
        <v>PO10280</v>
      </c>
      <c r="B284" s="16" t="str">
        <f aca="false">Purchase_Orders!B281</f>
        <v>V1038</v>
      </c>
      <c r="C284" s="17" t="n">
        <f aca="false">Purchase_Orders!C281</f>
        <v>45805</v>
      </c>
      <c r="D284" s="18" t="n">
        <f aca="false">Purchase_Orders!D281</f>
        <v>259.23</v>
      </c>
      <c r="E284" s="16" t="str">
        <f aca="false">Purchase_Orders!F281</f>
        <v>Christine Wright</v>
      </c>
      <c r="F284" s="16" t="str">
        <f aca="false">Purchase_Orders!G281</f>
        <v>Sierra Johnson</v>
      </c>
      <c r="G284" s="16" t="str">
        <f aca="false">IF(E284=F284,"VIOLATION - Same Person Requested &amp; Approved","OK")</f>
        <v>OK</v>
      </c>
    </row>
    <row r="285" customFormat="false" ht="15" hidden="false" customHeight="false" outlineLevel="0" collapsed="false">
      <c r="A285" s="16" t="str">
        <f aca="false">Purchase_Orders!A282</f>
        <v>PO10281</v>
      </c>
      <c r="B285" s="16" t="str">
        <f aca="false">Purchase_Orders!B282</f>
        <v>V1011</v>
      </c>
      <c r="C285" s="17" t="n">
        <f aca="false">Purchase_Orders!C282</f>
        <v>45795</v>
      </c>
      <c r="D285" s="18" t="n">
        <f aca="false">Purchase_Orders!D282</f>
        <v>325.7</v>
      </c>
      <c r="E285" s="16" t="str">
        <f aca="false">Purchase_Orders!F282</f>
        <v>Sandra Aguilar</v>
      </c>
      <c r="F285" s="16" t="str">
        <f aca="false">Purchase_Orders!G282</f>
        <v>Marc Moore</v>
      </c>
      <c r="G285" s="16" t="str">
        <f aca="false">IF(E285=F285,"VIOLATION - Same Person Requested &amp; Approved","OK")</f>
        <v>OK</v>
      </c>
    </row>
    <row r="286" customFormat="false" ht="15" hidden="false" customHeight="false" outlineLevel="0" collapsed="false">
      <c r="A286" s="16" t="str">
        <f aca="false">Purchase_Orders!A283</f>
        <v>PO10282</v>
      </c>
      <c r="B286" s="16" t="str">
        <f aca="false">Purchase_Orders!B283</f>
        <v>V1031</v>
      </c>
      <c r="C286" s="17" t="n">
        <f aca="false">Purchase_Orders!C283</f>
        <v>45723</v>
      </c>
      <c r="D286" s="18" t="n">
        <f aca="false">Purchase_Orders!D283</f>
        <v>8611.23</v>
      </c>
      <c r="E286" s="16" t="str">
        <f aca="false">Purchase_Orders!F283</f>
        <v>John Whitehead</v>
      </c>
      <c r="F286" s="16" t="str">
        <f aca="false">Purchase_Orders!G283</f>
        <v>Marc Moore</v>
      </c>
      <c r="G286" s="16" t="str">
        <f aca="false">IF(E286=F286,"VIOLATION - Same Person Requested &amp; Approved","OK")</f>
        <v>OK</v>
      </c>
    </row>
    <row r="287" customFormat="false" ht="15" hidden="false" customHeight="false" outlineLevel="0" collapsed="false">
      <c r="A287" s="16" t="str">
        <f aca="false">Purchase_Orders!A284</f>
        <v>PO10283</v>
      </c>
      <c r="B287" s="16" t="str">
        <f aca="false">Purchase_Orders!B284</f>
        <v>V1005</v>
      </c>
      <c r="C287" s="17" t="n">
        <f aca="false">Purchase_Orders!C284</f>
        <v>45762</v>
      </c>
      <c r="D287" s="18" t="n">
        <f aca="false">Purchase_Orders!D284</f>
        <v>1496.91</v>
      </c>
      <c r="E287" s="16" t="str">
        <f aca="false">Purchase_Orders!F284</f>
        <v>Christine Wright</v>
      </c>
      <c r="F287" s="16" t="str">
        <f aca="false">Purchase_Orders!G284</f>
        <v>Sierra Johnson</v>
      </c>
      <c r="G287" s="16" t="str">
        <f aca="false">IF(E287=F287,"VIOLATION - Same Person Requested &amp; Approved","OK")</f>
        <v>OK</v>
      </c>
    </row>
    <row r="288" customFormat="false" ht="15" hidden="false" customHeight="false" outlineLevel="0" collapsed="false">
      <c r="A288" s="16" t="str">
        <f aca="false">Purchase_Orders!A285</f>
        <v>PO10284</v>
      </c>
      <c r="B288" s="16" t="str">
        <f aca="false">Purchase_Orders!B285</f>
        <v>V1031</v>
      </c>
      <c r="C288" s="17" t="n">
        <f aca="false">Purchase_Orders!C285</f>
        <v>45723</v>
      </c>
      <c r="D288" s="18" t="n">
        <f aca="false">Purchase_Orders!D285</f>
        <v>6053.15</v>
      </c>
      <c r="E288" s="16" t="str">
        <f aca="false">Purchase_Orders!F285</f>
        <v>Aimee Montoya</v>
      </c>
      <c r="F288" s="16" t="str">
        <f aca="false">Purchase_Orders!G285</f>
        <v>Richard Rodriguez</v>
      </c>
      <c r="G288" s="16" t="str">
        <f aca="false">IF(E288=F288,"VIOLATION - Same Person Requested &amp; Approved","OK")</f>
        <v>OK</v>
      </c>
    </row>
    <row r="289" customFormat="false" ht="15" hidden="false" customHeight="false" outlineLevel="0" collapsed="false">
      <c r="A289" s="16" t="str">
        <f aca="false">Purchase_Orders!A286</f>
        <v>PO10285</v>
      </c>
      <c r="B289" s="16" t="str">
        <f aca="false">Purchase_Orders!B286</f>
        <v>V1035</v>
      </c>
      <c r="C289" s="17" t="n">
        <f aca="false">Purchase_Orders!C286</f>
        <v>45950</v>
      </c>
      <c r="D289" s="18" t="n">
        <f aca="false">Purchase_Orders!D286</f>
        <v>3104.44</v>
      </c>
      <c r="E289" s="16" t="str">
        <f aca="false">Purchase_Orders!F286</f>
        <v>Angel Lewis MD</v>
      </c>
      <c r="F289" s="16" t="str">
        <f aca="false">Purchase_Orders!G286</f>
        <v>Evelyn Galvan</v>
      </c>
      <c r="G289" s="16" t="str">
        <f aca="false">IF(E289=F289,"VIOLATION - Same Person Requested &amp; Approved","OK")</f>
        <v>OK</v>
      </c>
    </row>
    <row r="290" customFormat="false" ht="15" hidden="false" customHeight="false" outlineLevel="0" collapsed="false">
      <c r="A290" s="16" t="str">
        <f aca="false">Purchase_Orders!A287</f>
        <v>PO10286</v>
      </c>
      <c r="B290" s="16" t="str">
        <f aca="false">Purchase_Orders!B287</f>
        <v>V1029</v>
      </c>
      <c r="C290" s="17" t="n">
        <f aca="false">Purchase_Orders!C287</f>
        <v>46073</v>
      </c>
      <c r="D290" s="18" t="n">
        <f aca="false">Purchase_Orders!D287</f>
        <v>1405.31</v>
      </c>
      <c r="E290" s="16" t="str">
        <f aca="false">Purchase_Orders!F287</f>
        <v>Deborah Figueroa</v>
      </c>
      <c r="F290" s="16" t="str">
        <f aca="false">Purchase_Orders!G287</f>
        <v>Richard Rodriguez</v>
      </c>
      <c r="G290" s="16" t="str">
        <f aca="false">IF(E290=F290,"VIOLATION - Same Person Requested &amp; Approved","OK")</f>
        <v>OK</v>
      </c>
    </row>
    <row r="291" customFormat="false" ht="15" hidden="false" customHeight="false" outlineLevel="0" collapsed="false">
      <c r="A291" s="16" t="str">
        <f aca="false">Purchase_Orders!A288</f>
        <v>PO10287</v>
      </c>
      <c r="B291" s="16" t="str">
        <f aca="false">Purchase_Orders!B288</f>
        <v>V1026</v>
      </c>
      <c r="C291" s="17" t="n">
        <f aca="false">Purchase_Orders!C288</f>
        <v>45758</v>
      </c>
      <c r="D291" s="18" t="n">
        <f aca="false">Purchase_Orders!D288</f>
        <v>3241.37</v>
      </c>
      <c r="E291" s="16" t="str">
        <f aca="false">Purchase_Orders!F288</f>
        <v>Lisa Archer</v>
      </c>
      <c r="F291" s="16" t="str">
        <f aca="false">Purchase_Orders!G288</f>
        <v>Sierra Johnson</v>
      </c>
      <c r="G291" s="16" t="str">
        <f aca="false">IF(E291=F291,"VIOLATION - Same Person Requested &amp; Approved","OK")</f>
        <v>OK</v>
      </c>
    </row>
    <row r="292" customFormat="false" ht="15" hidden="false" customHeight="false" outlineLevel="0" collapsed="false">
      <c r="A292" s="16" t="str">
        <f aca="false">Purchase_Orders!A289</f>
        <v>PO10288</v>
      </c>
      <c r="B292" s="16" t="str">
        <f aca="false">Purchase_Orders!B289</f>
        <v>V1036</v>
      </c>
      <c r="C292" s="17" t="n">
        <f aca="false">Purchase_Orders!C289</f>
        <v>45775</v>
      </c>
      <c r="D292" s="18" t="n">
        <f aca="false">Purchase_Orders!D289</f>
        <v>871.5</v>
      </c>
      <c r="E292" s="16" t="str">
        <f aca="false">Purchase_Orders!F289</f>
        <v>Anna Henderson</v>
      </c>
      <c r="F292" s="16" t="str">
        <f aca="false">Purchase_Orders!G289</f>
        <v>Sharon Cochran</v>
      </c>
      <c r="G292" s="16" t="str">
        <f aca="false">IF(E292=F292,"VIOLATION - Same Person Requested &amp; Approved","OK")</f>
        <v>OK</v>
      </c>
    </row>
    <row r="293" customFormat="false" ht="15" hidden="false" customHeight="false" outlineLevel="0" collapsed="false">
      <c r="A293" s="16" t="str">
        <f aca="false">Purchase_Orders!A290</f>
        <v>PO10289</v>
      </c>
      <c r="B293" s="16" t="str">
        <f aca="false">Purchase_Orders!B290</f>
        <v>V1019</v>
      </c>
      <c r="C293" s="17" t="n">
        <f aca="false">Purchase_Orders!C290</f>
        <v>45921</v>
      </c>
      <c r="D293" s="18" t="n">
        <f aca="false">Purchase_Orders!D290</f>
        <v>594.01</v>
      </c>
      <c r="E293" s="16" t="str">
        <f aca="false">Purchase_Orders!F290</f>
        <v>Matthew Mcmillan</v>
      </c>
      <c r="F293" s="16" t="str">
        <f aca="false">Purchase_Orders!G290</f>
        <v>Sharon Cherry</v>
      </c>
      <c r="G293" s="16" t="str">
        <f aca="false">IF(E293=F293,"VIOLATION - Same Person Requested &amp; Approved","OK")</f>
        <v>OK</v>
      </c>
    </row>
    <row r="294" customFormat="false" ht="15" hidden="false" customHeight="false" outlineLevel="0" collapsed="false">
      <c r="A294" s="16" t="str">
        <f aca="false">Purchase_Orders!A291</f>
        <v>PO10290</v>
      </c>
      <c r="B294" s="16" t="str">
        <f aca="false">Purchase_Orders!B291</f>
        <v>V1027</v>
      </c>
      <c r="C294" s="17" t="n">
        <f aca="false">Purchase_Orders!C291</f>
        <v>46052</v>
      </c>
      <c r="D294" s="18" t="n">
        <f aca="false">Purchase_Orders!D291</f>
        <v>2962.24</v>
      </c>
      <c r="E294" s="16" t="str">
        <f aca="false">Purchase_Orders!F291</f>
        <v>James Powers</v>
      </c>
      <c r="F294" s="16" t="str">
        <f aca="false">Purchase_Orders!G291</f>
        <v>Sierra Johnson</v>
      </c>
      <c r="G294" s="16" t="str">
        <f aca="false">IF(E294=F294,"VIOLATION - Same Person Requested &amp; Approved","OK")</f>
        <v>OK</v>
      </c>
    </row>
    <row r="295" customFormat="false" ht="15" hidden="false" customHeight="false" outlineLevel="0" collapsed="false">
      <c r="A295" s="16" t="str">
        <f aca="false">Purchase_Orders!A292</f>
        <v>PO10291</v>
      </c>
      <c r="B295" s="16" t="str">
        <f aca="false">Purchase_Orders!B292</f>
        <v>V1029</v>
      </c>
      <c r="C295" s="17" t="n">
        <f aca="false">Purchase_Orders!C292</f>
        <v>46190</v>
      </c>
      <c r="D295" s="18" t="n">
        <f aca="false">Purchase_Orders!D292</f>
        <v>201.83</v>
      </c>
      <c r="E295" s="16" t="str">
        <f aca="false">Purchase_Orders!F292</f>
        <v>Christopher Bass</v>
      </c>
      <c r="F295" s="16" t="str">
        <f aca="false">Purchase_Orders!G292</f>
        <v>Shannon Walker</v>
      </c>
      <c r="G295" s="16" t="str">
        <f aca="false">IF(E295=F295,"VIOLATION - Same Person Requested &amp; Approved","OK")</f>
        <v>OK</v>
      </c>
    </row>
    <row r="296" customFormat="false" ht="15" hidden="false" customHeight="false" outlineLevel="0" collapsed="false">
      <c r="A296" s="16" t="str">
        <f aca="false">Purchase_Orders!A293</f>
        <v>PO10292</v>
      </c>
      <c r="B296" s="16" t="str">
        <f aca="false">Purchase_Orders!B293</f>
        <v>V1022</v>
      </c>
      <c r="C296" s="17" t="n">
        <f aca="false">Purchase_Orders!C293</f>
        <v>45943</v>
      </c>
      <c r="D296" s="18" t="n">
        <f aca="false">Purchase_Orders!D293</f>
        <v>7560.72</v>
      </c>
      <c r="E296" s="16" t="str">
        <f aca="false">Purchase_Orders!F293</f>
        <v>Deborah Figueroa</v>
      </c>
      <c r="F296" s="16" t="str">
        <f aca="false">Purchase_Orders!G293</f>
        <v>Richard Rodriguez</v>
      </c>
      <c r="G296" s="16" t="str">
        <f aca="false">IF(E296=F296,"VIOLATION - Same Person Requested &amp; Approved","OK")</f>
        <v>OK</v>
      </c>
    </row>
    <row r="297" customFormat="false" ht="15" hidden="false" customHeight="false" outlineLevel="0" collapsed="false">
      <c r="A297" s="16" t="str">
        <f aca="false">Purchase_Orders!A294</f>
        <v>PO10293</v>
      </c>
      <c r="B297" s="16" t="str">
        <f aca="false">Purchase_Orders!B294</f>
        <v>V1032</v>
      </c>
      <c r="C297" s="17" t="n">
        <f aca="false">Purchase_Orders!C294</f>
        <v>45812</v>
      </c>
      <c r="D297" s="18" t="n">
        <f aca="false">Purchase_Orders!D294</f>
        <v>2957.14</v>
      </c>
      <c r="E297" s="16" t="str">
        <f aca="false">Purchase_Orders!F294</f>
        <v>Denise Jacobs</v>
      </c>
      <c r="F297" s="16" t="str">
        <f aca="false">Purchase_Orders!G294</f>
        <v>Marc Moore</v>
      </c>
      <c r="G297" s="16" t="str">
        <f aca="false">IF(E297=F297,"VIOLATION - Same Person Requested &amp; Approved","OK")</f>
        <v>OK</v>
      </c>
    </row>
    <row r="298" customFormat="false" ht="15" hidden="false" customHeight="false" outlineLevel="0" collapsed="false">
      <c r="A298" s="16" t="str">
        <f aca="false">Purchase_Orders!A295</f>
        <v>PO10294</v>
      </c>
      <c r="B298" s="16" t="str">
        <f aca="false">Purchase_Orders!B295</f>
        <v>V1023</v>
      </c>
      <c r="C298" s="17" t="n">
        <f aca="false">Purchase_Orders!C295</f>
        <v>45712</v>
      </c>
      <c r="D298" s="18" t="n">
        <f aca="false">Purchase_Orders!D295</f>
        <v>1792.24</v>
      </c>
      <c r="E298" s="16" t="str">
        <f aca="false">Purchase_Orders!F295</f>
        <v>Eugene Walton</v>
      </c>
      <c r="F298" s="16" t="str">
        <f aca="false">Purchase_Orders!G295</f>
        <v>Julia Torres</v>
      </c>
      <c r="G298" s="16" t="str">
        <f aca="false">IF(E298=F298,"VIOLATION - Same Person Requested &amp; Approved","OK")</f>
        <v>OK</v>
      </c>
    </row>
    <row r="299" customFormat="false" ht="15" hidden="false" customHeight="false" outlineLevel="0" collapsed="false">
      <c r="A299" s="16" t="str">
        <f aca="false">Purchase_Orders!A296</f>
        <v>PO10295</v>
      </c>
      <c r="B299" s="16" t="str">
        <f aca="false">Purchase_Orders!B296</f>
        <v>V1034</v>
      </c>
      <c r="C299" s="17" t="n">
        <f aca="false">Purchase_Orders!C296</f>
        <v>45763</v>
      </c>
      <c r="D299" s="18" t="n">
        <f aca="false">Purchase_Orders!D296</f>
        <v>3587.55</v>
      </c>
      <c r="E299" s="16" t="str">
        <f aca="false">Purchase_Orders!F296</f>
        <v>Christine Wright</v>
      </c>
      <c r="F299" s="16" t="str">
        <f aca="false">Purchase_Orders!G296</f>
        <v>Sharon Cochran</v>
      </c>
      <c r="G299" s="16" t="str">
        <f aca="false">IF(E299=F299,"VIOLATION - Same Person Requested &amp; Approved","OK")</f>
        <v>OK</v>
      </c>
    </row>
    <row r="300" customFormat="false" ht="15" hidden="false" customHeight="false" outlineLevel="0" collapsed="false">
      <c r="A300" s="16" t="str">
        <f aca="false">Purchase_Orders!A297</f>
        <v>PO10296</v>
      </c>
      <c r="B300" s="16" t="str">
        <f aca="false">Purchase_Orders!B297</f>
        <v>V1027</v>
      </c>
      <c r="C300" s="17" t="n">
        <f aca="false">Purchase_Orders!C297</f>
        <v>45781</v>
      </c>
      <c r="D300" s="18" t="n">
        <f aca="false">Purchase_Orders!D297</f>
        <v>13244.8</v>
      </c>
      <c r="E300" s="16" t="str">
        <f aca="false">Purchase_Orders!F297</f>
        <v>Sandra Aguilar</v>
      </c>
      <c r="F300" s="16" t="str">
        <f aca="false">Purchase_Orders!G297</f>
        <v>Richard Rodriguez</v>
      </c>
      <c r="G300" s="16" t="str">
        <f aca="false">IF(E300=F300,"VIOLATION - Same Person Requested &amp; Approved","OK")</f>
        <v>OK</v>
      </c>
    </row>
    <row r="301" customFormat="false" ht="15" hidden="false" customHeight="false" outlineLevel="0" collapsed="false">
      <c r="A301" s="16" t="str">
        <f aca="false">Purchase_Orders!A298</f>
        <v>PO10297</v>
      </c>
      <c r="B301" s="16" t="str">
        <f aca="false">Purchase_Orders!B298</f>
        <v>V1035</v>
      </c>
      <c r="C301" s="17" t="n">
        <f aca="false">Purchase_Orders!C298</f>
        <v>45755</v>
      </c>
      <c r="D301" s="18" t="n">
        <f aca="false">Purchase_Orders!D298</f>
        <v>810.36</v>
      </c>
      <c r="E301" s="16" t="str">
        <f aca="false">Purchase_Orders!F298</f>
        <v>Christopher Bass</v>
      </c>
      <c r="F301" s="16" t="str">
        <f aca="false">Purchase_Orders!G298</f>
        <v>Christopher Bass</v>
      </c>
      <c r="G301" s="16" t="str">
        <f aca="false">IF(E301=F301,"VIOLATION - Same Person Requested &amp; Approved","OK")</f>
        <v>VIOLATION - Same Person Requested &amp; Approved</v>
      </c>
    </row>
    <row r="302" customFormat="false" ht="15" hidden="false" customHeight="false" outlineLevel="0" collapsed="false">
      <c r="A302" s="16" t="str">
        <f aca="false">Purchase_Orders!A299</f>
        <v>PO10298</v>
      </c>
      <c r="B302" s="16" t="str">
        <f aca="false">Purchase_Orders!B299</f>
        <v>V1009</v>
      </c>
      <c r="C302" s="17" t="n">
        <f aca="false">Purchase_Orders!C299</f>
        <v>45665</v>
      </c>
      <c r="D302" s="18" t="n">
        <f aca="false">Purchase_Orders!D299</f>
        <v>256.08</v>
      </c>
      <c r="E302" s="16" t="str">
        <f aca="false">Purchase_Orders!F299</f>
        <v>Deborah Figueroa</v>
      </c>
      <c r="F302" s="16" t="str">
        <f aca="false">Purchase_Orders!G299</f>
        <v>Richard Rodriguez</v>
      </c>
      <c r="G302" s="16" t="str">
        <f aca="false">IF(E302=F302,"VIOLATION - Same Person Requested &amp; Approved","OK")</f>
        <v>OK</v>
      </c>
    </row>
    <row r="303" customFormat="false" ht="15" hidden="false" customHeight="false" outlineLevel="0" collapsed="false">
      <c r="A303" s="16" t="str">
        <f aca="false">Purchase_Orders!A300</f>
        <v>PO10299</v>
      </c>
      <c r="B303" s="16" t="str">
        <f aca="false">Purchase_Orders!B300</f>
        <v>V1010</v>
      </c>
      <c r="C303" s="17" t="n">
        <f aca="false">Purchase_Orders!C300</f>
        <v>45949</v>
      </c>
      <c r="D303" s="18" t="n">
        <f aca="false">Purchase_Orders!D300</f>
        <v>8486.94</v>
      </c>
      <c r="E303" s="16" t="str">
        <f aca="false">Purchase_Orders!F300</f>
        <v>Christopher Bass</v>
      </c>
      <c r="F303" s="16" t="str">
        <f aca="false">Purchase_Orders!G300</f>
        <v>Sharon Cherry</v>
      </c>
      <c r="G303" s="16" t="str">
        <f aca="false">IF(E303=F303,"VIOLATION - Same Person Requested &amp; Approved","OK")</f>
        <v>OK</v>
      </c>
    </row>
    <row r="304" customFormat="false" ht="15" hidden="false" customHeight="false" outlineLevel="0" collapsed="false">
      <c r="A304" s="16" t="str">
        <f aca="false">Purchase_Orders!A301</f>
        <v>PO10300</v>
      </c>
      <c r="B304" s="16" t="str">
        <f aca="false">Purchase_Orders!B301</f>
        <v>V1013</v>
      </c>
      <c r="C304" s="17" t="n">
        <f aca="false">Purchase_Orders!C301</f>
        <v>45807</v>
      </c>
      <c r="D304" s="18" t="n">
        <f aca="false">Purchase_Orders!D301</f>
        <v>3079.87</v>
      </c>
      <c r="E304" s="16" t="str">
        <f aca="false">Purchase_Orders!F301</f>
        <v>John Whitehead</v>
      </c>
      <c r="F304" s="16" t="str">
        <f aca="false">Purchase_Orders!G301</f>
        <v>Sharon Cochran</v>
      </c>
      <c r="G304" s="16" t="str">
        <f aca="false">IF(E304=F304,"VIOLATION - Same Person Requested &amp; Approved","OK")</f>
        <v>OK</v>
      </c>
    </row>
    <row r="305" customFormat="false" ht="15" hidden="false" customHeight="false" outlineLevel="0" collapsed="false">
      <c r="A305" s="16" t="str">
        <f aca="false">Purchase_Orders!A302</f>
        <v>PO10301</v>
      </c>
      <c r="B305" s="16" t="str">
        <f aca="false">Purchase_Orders!B302</f>
        <v>V1018</v>
      </c>
      <c r="C305" s="17" t="n">
        <f aca="false">Purchase_Orders!C302</f>
        <v>46188</v>
      </c>
      <c r="D305" s="18" t="n">
        <f aca="false">Purchase_Orders!D302</f>
        <v>1424.65</v>
      </c>
      <c r="E305" s="16" t="str">
        <f aca="false">Purchase_Orders!F302</f>
        <v>Eugene Walton</v>
      </c>
      <c r="F305" s="16" t="str">
        <f aca="false">Purchase_Orders!G302</f>
        <v>Sierra Johnson</v>
      </c>
      <c r="G305" s="16" t="str">
        <f aca="false">IF(E305=F305,"VIOLATION - Same Person Requested &amp; Approved","OK")</f>
        <v>OK</v>
      </c>
    </row>
    <row r="306" customFormat="false" ht="15" hidden="false" customHeight="false" outlineLevel="0" collapsed="false">
      <c r="A306" s="16" t="str">
        <f aca="false">Purchase_Orders!A303</f>
        <v>PO10302</v>
      </c>
      <c r="B306" s="16" t="str">
        <f aca="false">Purchase_Orders!B303</f>
        <v>V1037</v>
      </c>
      <c r="C306" s="17" t="n">
        <f aca="false">Purchase_Orders!C303</f>
        <v>45959</v>
      </c>
      <c r="D306" s="18" t="n">
        <f aca="false">Purchase_Orders!D303</f>
        <v>4491.48</v>
      </c>
      <c r="E306" s="16" t="str">
        <f aca="false">Purchase_Orders!F303</f>
        <v>Christina Moran</v>
      </c>
      <c r="F306" s="16" t="str">
        <f aca="false">Purchase_Orders!G303</f>
        <v>Sharon Cochran</v>
      </c>
      <c r="G306" s="16" t="str">
        <f aca="false">IF(E306=F306,"VIOLATION - Same Person Requested &amp; Approved","OK")</f>
        <v>OK</v>
      </c>
    </row>
    <row r="307" customFormat="false" ht="15" hidden="false" customHeight="false" outlineLevel="0" collapsed="false">
      <c r="A307" s="16" t="str">
        <f aca="false">Purchase_Orders!A304</f>
        <v>PO10303</v>
      </c>
      <c r="B307" s="16" t="str">
        <f aca="false">Purchase_Orders!B304</f>
        <v>V1005</v>
      </c>
      <c r="C307" s="17" t="n">
        <f aca="false">Purchase_Orders!C304</f>
        <v>46038</v>
      </c>
      <c r="D307" s="18" t="n">
        <f aca="false">Purchase_Orders!D304</f>
        <v>1494.98</v>
      </c>
      <c r="E307" s="16" t="str">
        <f aca="false">Purchase_Orders!F304</f>
        <v>Eugene Walton</v>
      </c>
      <c r="F307" s="16" t="str">
        <f aca="false">Purchase_Orders!G304</f>
        <v>Sharon Cherry</v>
      </c>
      <c r="G307" s="16" t="str">
        <f aca="false">IF(E307=F307,"VIOLATION - Same Person Requested &amp; Approved","OK")</f>
        <v>OK</v>
      </c>
    </row>
    <row r="308" customFormat="false" ht="15" hidden="false" customHeight="false" outlineLevel="0" collapsed="false">
      <c r="A308" s="16" t="str">
        <f aca="false">Purchase_Orders!A305</f>
        <v>PO10304</v>
      </c>
      <c r="B308" s="16" t="str">
        <f aca="false">Purchase_Orders!B305</f>
        <v>V1033</v>
      </c>
      <c r="C308" s="17" t="n">
        <f aca="false">Purchase_Orders!C305</f>
        <v>45726</v>
      </c>
      <c r="D308" s="18" t="n">
        <f aca="false">Purchase_Orders!D305</f>
        <v>1119.52</v>
      </c>
      <c r="E308" s="16" t="str">
        <f aca="false">Purchase_Orders!F305</f>
        <v>Deborah Figueroa</v>
      </c>
      <c r="F308" s="16" t="str">
        <f aca="false">Purchase_Orders!G305</f>
        <v>Sierra Johnson</v>
      </c>
      <c r="G308" s="16" t="str">
        <f aca="false">IF(E308=F308,"VIOLATION - Same Person Requested &amp; Approved","OK")</f>
        <v>OK</v>
      </c>
    </row>
    <row r="309" customFormat="false" ht="15" hidden="false" customHeight="false" outlineLevel="0" collapsed="false">
      <c r="A309" s="16" t="str">
        <f aca="false">Purchase_Orders!A306</f>
        <v>PO10305</v>
      </c>
      <c r="B309" s="16" t="str">
        <f aca="false">Purchase_Orders!B306</f>
        <v>V1006</v>
      </c>
      <c r="C309" s="17" t="n">
        <f aca="false">Purchase_Orders!C306</f>
        <v>46131</v>
      </c>
      <c r="D309" s="18" t="n">
        <f aca="false">Purchase_Orders!D306</f>
        <v>531.72</v>
      </c>
      <c r="E309" s="16" t="str">
        <f aca="false">Purchase_Orders!F306</f>
        <v>Brian Rodriguez</v>
      </c>
      <c r="F309" s="16" t="str">
        <f aca="false">Purchase_Orders!G306</f>
        <v>Shannon Walker</v>
      </c>
      <c r="G309" s="16" t="str">
        <f aca="false">IF(E309=F309,"VIOLATION - Same Person Requested &amp; Approved","OK")</f>
        <v>OK</v>
      </c>
    </row>
    <row r="310" customFormat="false" ht="15" hidden="false" customHeight="false" outlineLevel="0" collapsed="false">
      <c r="A310" s="16" t="str">
        <f aca="false">Purchase_Orders!A307</f>
        <v>PO10306</v>
      </c>
      <c r="B310" s="16" t="str">
        <f aca="false">Purchase_Orders!B307</f>
        <v>V1038</v>
      </c>
      <c r="C310" s="17" t="n">
        <f aca="false">Purchase_Orders!C307</f>
        <v>45925</v>
      </c>
      <c r="D310" s="18" t="n">
        <f aca="false">Purchase_Orders!D307</f>
        <v>3672.05</v>
      </c>
      <c r="E310" s="16" t="str">
        <f aca="false">Purchase_Orders!F307</f>
        <v>Christine Wright</v>
      </c>
      <c r="F310" s="16" t="str">
        <f aca="false">Purchase_Orders!G307</f>
        <v>Sierra Johnson</v>
      </c>
      <c r="G310" s="16" t="str">
        <f aca="false">IF(E310=F310,"VIOLATION - Same Person Requested &amp; Approved","OK")</f>
        <v>OK</v>
      </c>
    </row>
    <row r="311" customFormat="false" ht="15" hidden="false" customHeight="false" outlineLevel="0" collapsed="false">
      <c r="A311" s="16" t="str">
        <f aca="false">Purchase_Orders!A308</f>
        <v>PO10307</v>
      </c>
      <c r="B311" s="16" t="str">
        <f aca="false">Purchase_Orders!B308</f>
        <v>V1019</v>
      </c>
      <c r="C311" s="17" t="n">
        <f aca="false">Purchase_Orders!C308</f>
        <v>46133</v>
      </c>
      <c r="D311" s="18" t="n">
        <f aca="false">Purchase_Orders!D308</f>
        <v>6043.12</v>
      </c>
      <c r="E311" s="16" t="str">
        <f aca="false">Purchase_Orders!F308</f>
        <v>Sandra Aguilar</v>
      </c>
      <c r="F311" s="16" t="str">
        <f aca="false">Purchase_Orders!G308</f>
        <v>Sharon Cherry</v>
      </c>
      <c r="G311" s="16" t="str">
        <f aca="false">IF(E311=F311,"VIOLATION - Same Person Requested &amp; Approved","OK")</f>
        <v>OK</v>
      </c>
    </row>
    <row r="312" customFormat="false" ht="15" hidden="false" customHeight="false" outlineLevel="0" collapsed="false">
      <c r="A312" s="16" t="str">
        <f aca="false">Purchase_Orders!A309</f>
        <v>PO10308</v>
      </c>
      <c r="B312" s="16" t="str">
        <f aca="false">Purchase_Orders!B309</f>
        <v>V1014</v>
      </c>
      <c r="C312" s="17" t="n">
        <f aca="false">Purchase_Orders!C309</f>
        <v>45970</v>
      </c>
      <c r="D312" s="18" t="n">
        <f aca="false">Purchase_Orders!D309</f>
        <v>1017.03</v>
      </c>
      <c r="E312" s="16" t="str">
        <f aca="false">Purchase_Orders!F309</f>
        <v>Stephen Mckee</v>
      </c>
      <c r="F312" s="16" t="str">
        <f aca="false">Purchase_Orders!G309</f>
        <v>Shannon Walker</v>
      </c>
      <c r="G312" s="16" t="str">
        <f aca="false">IF(E312=F312,"VIOLATION - Same Person Requested &amp; Approved","OK")</f>
        <v>OK</v>
      </c>
    </row>
    <row r="313" customFormat="false" ht="15" hidden="false" customHeight="false" outlineLevel="0" collapsed="false">
      <c r="A313" s="16" t="str">
        <f aca="false">Purchase_Orders!A310</f>
        <v>PO10309</v>
      </c>
      <c r="B313" s="16" t="str">
        <f aca="false">Purchase_Orders!B310</f>
        <v>V1017</v>
      </c>
      <c r="C313" s="17" t="n">
        <f aca="false">Purchase_Orders!C310</f>
        <v>45913</v>
      </c>
      <c r="D313" s="18" t="n">
        <f aca="false">Purchase_Orders!D310</f>
        <v>33982.32</v>
      </c>
      <c r="E313" s="16" t="str">
        <f aca="false">Purchase_Orders!F310</f>
        <v>Lisa Archer</v>
      </c>
      <c r="F313" s="16" t="str">
        <f aca="false">Purchase_Orders!G310</f>
        <v>Marc Moore</v>
      </c>
      <c r="G313" s="16" t="str">
        <f aca="false">IF(E313=F313,"VIOLATION - Same Person Requested &amp; Approved","OK")</f>
        <v>OK</v>
      </c>
    </row>
    <row r="314" customFormat="false" ht="15" hidden="false" customHeight="false" outlineLevel="0" collapsed="false">
      <c r="A314" s="16" t="str">
        <f aca="false">Purchase_Orders!A311</f>
        <v>PO10310</v>
      </c>
      <c r="B314" s="16" t="str">
        <f aca="false">Purchase_Orders!B311</f>
        <v>V1026</v>
      </c>
      <c r="C314" s="17" t="n">
        <f aca="false">Purchase_Orders!C311</f>
        <v>45898</v>
      </c>
      <c r="D314" s="18" t="n">
        <f aca="false">Purchase_Orders!D311</f>
        <v>2011.97</v>
      </c>
      <c r="E314" s="16" t="str">
        <f aca="false">Purchase_Orders!F311</f>
        <v>Shirley Suarez</v>
      </c>
      <c r="F314" s="16" t="str">
        <f aca="false">Purchase_Orders!G311</f>
        <v>Julia Torres</v>
      </c>
      <c r="G314" s="16" t="str">
        <f aca="false">IF(E314=F314,"VIOLATION - Same Person Requested &amp; Approved","OK")</f>
        <v>OK</v>
      </c>
    </row>
    <row r="315" customFormat="false" ht="15" hidden="false" customHeight="false" outlineLevel="0" collapsed="false">
      <c r="A315" s="16" t="str">
        <f aca="false">Purchase_Orders!A312</f>
        <v>PO10311</v>
      </c>
      <c r="B315" s="16" t="str">
        <f aca="false">Purchase_Orders!B312</f>
        <v>V1016</v>
      </c>
      <c r="C315" s="17" t="n">
        <f aca="false">Purchase_Orders!C312</f>
        <v>45758</v>
      </c>
      <c r="D315" s="18" t="n">
        <f aca="false">Purchase_Orders!D312</f>
        <v>1329.7</v>
      </c>
      <c r="E315" s="16" t="str">
        <f aca="false">Purchase_Orders!F312</f>
        <v>Christopher Bass</v>
      </c>
      <c r="F315" s="16" t="str">
        <f aca="false">Purchase_Orders!G312</f>
        <v>Richard Rodriguez</v>
      </c>
      <c r="G315" s="16" t="str">
        <f aca="false">IF(E315=F315,"VIOLATION - Same Person Requested &amp; Approved","OK")</f>
        <v>OK</v>
      </c>
    </row>
    <row r="316" customFormat="false" ht="15" hidden="false" customHeight="false" outlineLevel="0" collapsed="false">
      <c r="A316" s="16" t="str">
        <f aca="false">Purchase_Orders!A313</f>
        <v>PO10312</v>
      </c>
      <c r="B316" s="16" t="str">
        <f aca="false">Purchase_Orders!B313</f>
        <v>V1026</v>
      </c>
      <c r="C316" s="17" t="n">
        <f aca="false">Purchase_Orders!C313</f>
        <v>45686</v>
      </c>
      <c r="D316" s="18" t="n">
        <f aca="false">Purchase_Orders!D313</f>
        <v>1801.08</v>
      </c>
      <c r="E316" s="16" t="str">
        <f aca="false">Purchase_Orders!F313</f>
        <v>Cameron Parker</v>
      </c>
      <c r="F316" s="16" t="str">
        <f aca="false">Purchase_Orders!G313</f>
        <v>Richard Rodriguez</v>
      </c>
      <c r="G316" s="16" t="str">
        <f aca="false">IF(E316=F316,"VIOLATION - Same Person Requested &amp; Approved","OK")</f>
        <v>OK</v>
      </c>
    </row>
    <row r="317" customFormat="false" ht="15" hidden="false" customHeight="false" outlineLevel="0" collapsed="false">
      <c r="A317" s="16" t="str">
        <f aca="false">Purchase_Orders!A314</f>
        <v>PO10313</v>
      </c>
      <c r="B317" s="16" t="str">
        <f aca="false">Purchase_Orders!B314</f>
        <v>V1031</v>
      </c>
      <c r="C317" s="17" t="n">
        <f aca="false">Purchase_Orders!C314</f>
        <v>46170</v>
      </c>
      <c r="D317" s="18" t="n">
        <f aca="false">Purchase_Orders!D314</f>
        <v>275.18</v>
      </c>
      <c r="E317" s="16" t="str">
        <f aca="false">Purchase_Orders!F314</f>
        <v>Sandra Aguilar</v>
      </c>
      <c r="F317" s="16" t="str">
        <f aca="false">Purchase_Orders!G314</f>
        <v>Richard Rodriguez</v>
      </c>
      <c r="G317" s="16" t="str">
        <f aca="false">IF(E317=F317,"VIOLATION - Same Person Requested &amp; Approved","OK")</f>
        <v>OK</v>
      </c>
    </row>
    <row r="318" customFormat="false" ht="15" hidden="false" customHeight="false" outlineLevel="0" collapsed="false">
      <c r="A318" s="16" t="str">
        <f aca="false">Purchase_Orders!A315</f>
        <v>PO10314</v>
      </c>
      <c r="B318" s="16" t="str">
        <f aca="false">Purchase_Orders!B315</f>
        <v>V1002</v>
      </c>
      <c r="C318" s="17" t="n">
        <f aca="false">Purchase_Orders!C315</f>
        <v>45918</v>
      </c>
      <c r="D318" s="18" t="n">
        <f aca="false">Purchase_Orders!D315</f>
        <v>2929.12</v>
      </c>
      <c r="E318" s="16" t="str">
        <f aca="false">Purchase_Orders!F315</f>
        <v>Lisa Archer</v>
      </c>
      <c r="F318" s="16" t="str">
        <f aca="false">Purchase_Orders!G315</f>
        <v>Evelyn Galvan</v>
      </c>
      <c r="G318" s="16" t="str">
        <f aca="false">IF(E318=F318,"VIOLATION - Same Person Requested &amp; Approved","OK")</f>
        <v>OK</v>
      </c>
    </row>
    <row r="319" customFormat="false" ht="15" hidden="false" customHeight="false" outlineLevel="0" collapsed="false">
      <c r="A319" s="16" t="str">
        <f aca="false">Purchase_Orders!A316</f>
        <v>PO10315</v>
      </c>
      <c r="B319" s="16" t="str">
        <f aca="false">Purchase_Orders!B316</f>
        <v>V1015</v>
      </c>
      <c r="C319" s="17" t="n">
        <f aca="false">Purchase_Orders!C316</f>
        <v>46106</v>
      </c>
      <c r="D319" s="18" t="n">
        <f aca="false">Purchase_Orders!D316</f>
        <v>2560.65</v>
      </c>
      <c r="E319" s="16" t="str">
        <f aca="false">Purchase_Orders!F316</f>
        <v>John Whitehead</v>
      </c>
      <c r="F319" s="16" t="str">
        <f aca="false">Purchase_Orders!G316</f>
        <v>Sharon Cherry</v>
      </c>
      <c r="G319" s="16" t="str">
        <f aca="false">IF(E319=F319,"VIOLATION - Same Person Requested &amp; Approved","OK")</f>
        <v>OK</v>
      </c>
    </row>
    <row r="320" customFormat="false" ht="15" hidden="false" customHeight="false" outlineLevel="0" collapsed="false">
      <c r="A320" s="16" t="str">
        <f aca="false">Purchase_Orders!A317</f>
        <v>PO10316</v>
      </c>
      <c r="B320" s="16" t="str">
        <f aca="false">Purchase_Orders!B317</f>
        <v>V1016</v>
      </c>
      <c r="C320" s="17" t="n">
        <f aca="false">Purchase_Orders!C317</f>
        <v>45876</v>
      </c>
      <c r="D320" s="18" t="n">
        <f aca="false">Purchase_Orders!D317</f>
        <v>1086.25</v>
      </c>
      <c r="E320" s="16" t="str">
        <f aca="false">Purchase_Orders!F317</f>
        <v>Sandra Aguilar</v>
      </c>
      <c r="F320" s="16" t="str">
        <f aca="false">Purchase_Orders!G317</f>
        <v>Marc Moore</v>
      </c>
      <c r="G320" s="16" t="str">
        <f aca="false">IF(E320=F320,"VIOLATION - Same Person Requested &amp; Approved","OK")</f>
        <v>OK</v>
      </c>
    </row>
    <row r="321" customFormat="false" ht="15" hidden="false" customHeight="false" outlineLevel="0" collapsed="false">
      <c r="A321" s="16" t="str">
        <f aca="false">Purchase_Orders!A318</f>
        <v>PO10317</v>
      </c>
      <c r="B321" s="16" t="str">
        <f aca="false">Purchase_Orders!B318</f>
        <v>V1039</v>
      </c>
      <c r="C321" s="17" t="n">
        <f aca="false">Purchase_Orders!C318</f>
        <v>45698</v>
      </c>
      <c r="D321" s="18" t="n">
        <f aca="false">Purchase_Orders!D318</f>
        <v>3484.24</v>
      </c>
      <c r="E321" s="16" t="str">
        <f aca="false">Purchase_Orders!F318</f>
        <v>Matthew Mcmillan</v>
      </c>
      <c r="F321" s="16" t="str">
        <f aca="false">Purchase_Orders!G318</f>
        <v>Evelyn Galvan</v>
      </c>
      <c r="G321" s="16" t="str">
        <f aca="false">IF(E321=F321,"VIOLATION - Same Person Requested &amp; Approved","OK")</f>
        <v>OK</v>
      </c>
    </row>
    <row r="322" customFormat="false" ht="15" hidden="false" customHeight="false" outlineLevel="0" collapsed="false">
      <c r="A322" s="16" t="str">
        <f aca="false">Purchase_Orders!A319</f>
        <v>PO10318</v>
      </c>
      <c r="B322" s="16" t="str">
        <f aca="false">Purchase_Orders!B319</f>
        <v>V1025</v>
      </c>
      <c r="C322" s="17" t="n">
        <f aca="false">Purchase_Orders!C319</f>
        <v>46001</v>
      </c>
      <c r="D322" s="18" t="n">
        <f aca="false">Purchase_Orders!D319</f>
        <v>4212.6</v>
      </c>
      <c r="E322" s="16" t="str">
        <f aca="false">Purchase_Orders!F319</f>
        <v>Jessica Smith</v>
      </c>
      <c r="F322" s="16" t="str">
        <f aca="false">Purchase_Orders!G319</f>
        <v>Evelyn Galvan</v>
      </c>
      <c r="G322" s="16" t="str">
        <f aca="false">IF(E322=F322,"VIOLATION - Same Person Requested &amp; Approved","OK")</f>
        <v>OK</v>
      </c>
    </row>
    <row r="323" customFormat="false" ht="15" hidden="false" customHeight="false" outlineLevel="0" collapsed="false">
      <c r="A323" s="16" t="str">
        <f aca="false">Purchase_Orders!A320</f>
        <v>PO10319</v>
      </c>
      <c r="B323" s="16" t="str">
        <f aca="false">Purchase_Orders!B320</f>
        <v>V1032</v>
      </c>
      <c r="C323" s="17" t="n">
        <f aca="false">Purchase_Orders!C320</f>
        <v>45687</v>
      </c>
      <c r="D323" s="18" t="n">
        <f aca="false">Purchase_Orders!D320</f>
        <v>2560.27</v>
      </c>
      <c r="E323" s="16" t="str">
        <f aca="false">Purchase_Orders!F320</f>
        <v>Richard Henson</v>
      </c>
      <c r="F323" s="16" t="str">
        <f aca="false">Purchase_Orders!G320</f>
        <v>Evelyn Galvan</v>
      </c>
      <c r="G323" s="16" t="str">
        <f aca="false">IF(E323=F323,"VIOLATION - Same Person Requested &amp; Approved","OK")</f>
        <v>OK</v>
      </c>
    </row>
    <row r="324" customFormat="false" ht="15" hidden="false" customHeight="false" outlineLevel="0" collapsed="false">
      <c r="A324" s="16" t="str">
        <f aca="false">Purchase_Orders!A321</f>
        <v>PO10320</v>
      </c>
      <c r="B324" s="16" t="str">
        <f aca="false">Purchase_Orders!B321</f>
        <v>V1025</v>
      </c>
      <c r="C324" s="17" t="n">
        <f aca="false">Purchase_Orders!C321</f>
        <v>45739</v>
      </c>
      <c r="D324" s="18" t="n">
        <f aca="false">Purchase_Orders!D321</f>
        <v>3373.65</v>
      </c>
      <c r="E324" s="16" t="str">
        <f aca="false">Purchase_Orders!F321</f>
        <v>Christopher Bass</v>
      </c>
      <c r="F324" s="16" t="str">
        <f aca="false">Purchase_Orders!G321</f>
        <v>Richard Rodriguez</v>
      </c>
      <c r="G324" s="16" t="str">
        <f aca="false">IF(E324=F324,"VIOLATION - Same Person Requested &amp; Approved","OK")</f>
        <v>OK</v>
      </c>
    </row>
    <row r="325" customFormat="false" ht="15" hidden="false" customHeight="false" outlineLevel="0" collapsed="false">
      <c r="A325" s="16" t="str">
        <f aca="false">Purchase_Orders!A322</f>
        <v>PO10321</v>
      </c>
      <c r="B325" s="16" t="str">
        <f aca="false">Purchase_Orders!B322</f>
        <v>V1031</v>
      </c>
      <c r="C325" s="17" t="n">
        <f aca="false">Purchase_Orders!C322</f>
        <v>45964</v>
      </c>
      <c r="D325" s="18" t="n">
        <f aca="false">Purchase_Orders!D322</f>
        <v>1093.64</v>
      </c>
      <c r="E325" s="16" t="str">
        <f aca="false">Purchase_Orders!F322</f>
        <v>Stephen Mckee</v>
      </c>
      <c r="F325" s="16" t="str">
        <f aca="false">Purchase_Orders!G322</f>
        <v>Marc Moore</v>
      </c>
      <c r="G325" s="16" t="str">
        <f aca="false">IF(E325=F325,"VIOLATION - Same Person Requested &amp; Approved","OK")</f>
        <v>OK</v>
      </c>
    </row>
    <row r="326" customFormat="false" ht="15" hidden="false" customHeight="false" outlineLevel="0" collapsed="false">
      <c r="A326" s="16" t="str">
        <f aca="false">Purchase_Orders!A323</f>
        <v>PO10322</v>
      </c>
      <c r="B326" s="16" t="str">
        <f aca="false">Purchase_Orders!B323</f>
        <v>V1038</v>
      </c>
      <c r="C326" s="17" t="n">
        <f aca="false">Purchase_Orders!C323</f>
        <v>45823</v>
      </c>
      <c r="D326" s="18" t="n">
        <f aca="false">Purchase_Orders!D323</f>
        <v>1134.36</v>
      </c>
      <c r="E326" s="16" t="str">
        <f aca="false">Purchase_Orders!F323</f>
        <v>Jimmy Murillo</v>
      </c>
      <c r="F326" s="16" t="str">
        <f aca="false">Purchase_Orders!G323</f>
        <v>Sierra Johnson</v>
      </c>
      <c r="G326" s="16" t="str">
        <f aca="false">IF(E326=F326,"VIOLATION - Same Person Requested &amp; Approved","OK")</f>
        <v>OK</v>
      </c>
    </row>
    <row r="327" customFormat="false" ht="15" hidden="false" customHeight="false" outlineLevel="0" collapsed="false">
      <c r="A327" s="16" t="str">
        <f aca="false">Purchase_Orders!A324</f>
        <v>PO10323</v>
      </c>
      <c r="B327" s="16" t="str">
        <f aca="false">Purchase_Orders!B324</f>
        <v>V1034</v>
      </c>
      <c r="C327" s="17" t="n">
        <f aca="false">Purchase_Orders!C324</f>
        <v>46199</v>
      </c>
      <c r="D327" s="18" t="n">
        <f aca="false">Purchase_Orders!D324</f>
        <v>15734.46</v>
      </c>
      <c r="E327" s="16" t="str">
        <f aca="false">Purchase_Orders!F324</f>
        <v>Angel Lewis MD</v>
      </c>
      <c r="F327" s="16" t="str">
        <f aca="false">Purchase_Orders!G324</f>
        <v>Sharon Cherry</v>
      </c>
      <c r="G327" s="16" t="str">
        <f aca="false">IF(E327=F327,"VIOLATION - Same Person Requested &amp; Approved","OK")</f>
        <v>OK</v>
      </c>
    </row>
    <row r="328" customFormat="false" ht="15" hidden="false" customHeight="false" outlineLevel="0" collapsed="false">
      <c r="A328" s="16" t="str">
        <f aca="false">Purchase_Orders!A325</f>
        <v>PO10324</v>
      </c>
      <c r="B328" s="16" t="str">
        <f aca="false">Purchase_Orders!B325</f>
        <v>V1016</v>
      </c>
      <c r="C328" s="17" t="n">
        <f aca="false">Purchase_Orders!C325</f>
        <v>45722</v>
      </c>
      <c r="D328" s="18" t="n">
        <f aca="false">Purchase_Orders!D325</f>
        <v>1731.84</v>
      </c>
      <c r="E328" s="16" t="str">
        <f aca="false">Purchase_Orders!F325</f>
        <v>Kevin Mills</v>
      </c>
      <c r="F328" s="16" t="str">
        <f aca="false">Purchase_Orders!G325</f>
        <v>Kevin Mills</v>
      </c>
      <c r="G328" s="16" t="str">
        <f aca="false">IF(E328=F328,"VIOLATION - Same Person Requested &amp; Approved","OK")</f>
        <v>VIOLATION - Same Person Requested &amp; Approved</v>
      </c>
    </row>
    <row r="329" customFormat="false" ht="15" hidden="false" customHeight="false" outlineLevel="0" collapsed="false">
      <c r="A329" s="16" t="str">
        <f aca="false">Purchase_Orders!A326</f>
        <v>PO10325</v>
      </c>
      <c r="B329" s="16" t="str">
        <f aca="false">Purchase_Orders!B326</f>
        <v>V1022</v>
      </c>
      <c r="C329" s="17" t="n">
        <f aca="false">Purchase_Orders!C326</f>
        <v>46074</v>
      </c>
      <c r="D329" s="18" t="n">
        <f aca="false">Purchase_Orders!D326</f>
        <v>861.14</v>
      </c>
      <c r="E329" s="16" t="str">
        <f aca="false">Purchase_Orders!F326</f>
        <v>Christopher Bass</v>
      </c>
      <c r="F329" s="16" t="str">
        <f aca="false">Purchase_Orders!G326</f>
        <v>Christopher Bass</v>
      </c>
      <c r="G329" s="16" t="str">
        <f aca="false">IF(E329=F329,"VIOLATION - Same Person Requested &amp; Approved","OK")</f>
        <v>VIOLATION - Same Person Requested &amp; Approved</v>
      </c>
    </row>
    <row r="330" customFormat="false" ht="15" hidden="false" customHeight="false" outlineLevel="0" collapsed="false">
      <c r="A330" s="16" t="str">
        <f aca="false">Purchase_Orders!A327</f>
        <v>PO10326</v>
      </c>
      <c r="B330" s="16" t="str">
        <f aca="false">Purchase_Orders!B327</f>
        <v>V1009</v>
      </c>
      <c r="C330" s="17" t="n">
        <f aca="false">Purchase_Orders!C327</f>
        <v>45988</v>
      </c>
      <c r="D330" s="18" t="n">
        <f aca="false">Purchase_Orders!D327</f>
        <v>4424.59</v>
      </c>
      <c r="E330" s="16" t="str">
        <f aca="false">Purchase_Orders!F327</f>
        <v>Lisa Archer</v>
      </c>
      <c r="F330" s="16" t="str">
        <f aca="false">Purchase_Orders!G327</f>
        <v>Marc Moore</v>
      </c>
      <c r="G330" s="16" t="str">
        <f aca="false">IF(E330=F330,"VIOLATION - Same Person Requested &amp; Approved","OK")</f>
        <v>OK</v>
      </c>
    </row>
    <row r="331" customFormat="false" ht="15" hidden="false" customHeight="false" outlineLevel="0" collapsed="false">
      <c r="A331" s="16" t="str">
        <f aca="false">Purchase_Orders!A328</f>
        <v>PO10327</v>
      </c>
      <c r="B331" s="16" t="str">
        <f aca="false">Purchase_Orders!B328</f>
        <v>V1014</v>
      </c>
      <c r="C331" s="17" t="n">
        <f aca="false">Purchase_Orders!C328</f>
        <v>46088</v>
      </c>
      <c r="D331" s="18" t="n">
        <f aca="false">Purchase_Orders!D328</f>
        <v>2063.03</v>
      </c>
      <c r="E331" s="16" t="str">
        <f aca="false">Purchase_Orders!F328</f>
        <v>Christina Walters</v>
      </c>
      <c r="F331" s="16" t="str">
        <f aca="false">Purchase_Orders!G328</f>
        <v>Sharon Cherry</v>
      </c>
      <c r="G331" s="16" t="str">
        <f aca="false">IF(E331=F331,"VIOLATION - Same Person Requested &amp; Approved","OK")</f>
        <v>OK</v>
      </c>
    </row>
    <row r="332" customFormat="false" ht="15" hidden="false" customHeight="false" outlineLevel="0" collapsed="false">
      <c r="A332" s="16" t="str">
        <f aca="false">Purchase_Orders!A329</f>
        <v>PO10328</v>
      </c>
      <c r="B332" s="16" t="str">
        <f aca="false">Purchase_Orders!B329</f>
        <v>V1006</v>
      </c>
      <c r="C332" s="17" t="n">
        <f aca="false">Purchase_Orders!C329</f>
        <v>45780</v>
      </c>
      <c r="D332" s="18" t="n">
        <f aca="false">Purchase_Orders!D329</f>
        <v>606.42</v>
      </c>
      <c r="E332" s="16" t="str">
        <f aca="false">Purchase_Orders!F329</f>
        <v>Anna Henderson</v>
      </c>
      <c r="F332" s="16" t="str">
        <f aca="false">Purchase_Orders!G329</f>
        <v>Julia Torres</v>
      </c>
      <c r="G332" s="16" t="str">
        <f aca="false">IF(E332=F332,"VIOLATION - Same Person Requested &amp; Approved","OK")</f>
        <v>OK</v>
      </c>
    </row>
    <row r="333" customFormat="false" ht="15" hidden="false" customHeight="false" outlineLevel="0" collapsed="false">
      <c r="A333" s="16" t="str">
        <f aca="false">Purchase_Orders!A330</f>
        <v>PO10329</v>
      </c>
      <c r="B333" s="16" t="str">
        <f aca="false">Purchase_Orders!B330</f>
        <v>V1002</v>
      </c>
      <c r="C333" s="17" t="n">
        <f aca="false">Purchase_Orders!C330</f>
        <v>45942</v>
      </c>
      <c r="D333" s="18" t="n">
        <f aca="false">Purchase_Orders!D330</f>
        <v>1652.62</v>
      </c>
      <c r="E333" s="16" t="str">
        <f aca="false">Purchase_Orders!F330</f>
        <v>Aaron Wise</v>
      </c>
      <c r="F333" s="16" t="str">
        <f aca="false">Purchase_Orders!G330</f>
        <v>Sharon Cherry</v>
      </c>
      <c r="G333" s="16" t="str">
        <f aca="false">IF(E333=F333,"VIOLATION - Same Person Requested &amp; Approved","OK")</f>
        <v>OK</v>
      </c>
    </row>
    <row r="334" customFormat="false" ht="15" hidden="false" customHeight="false" outlineLevel="0" collapsed="false">
      <c r="A334" s="16" t="str">
        <f aca="false">Purchase_Orders!A331</f>
        <v>PO10330</v>
      </c>
      <c r="B334" s="16" t="str">
        <f aca="false">Purchase_Orders!B331</f>
        <v>V1012</v>
      </c>
      <c r="C334" s="17" t="n">
        <f aca="false">Purchase_Orders!C331</f>
        <v>45903</v>
      </c>
      <c r="D334" s="18" t="n">
        <f aca="false">Purchase_Orders!D331</f>
        <v>609.35</v>
      </c>
      <c r="E334" s="16" t="str">
        <f aca="false">Purchase_Orders!F331</f>
        <v>Christopher Bass</v>
      </c>
      <c r="F334" s="16" t="str">
        <f aca="false">Purchase_Orders!G331</f>
        <v>Marc Moore</v>
      </c>
      <c r="G334" s="16" t="str">
        <f aca="false">IF(E334=F334,"VIOLATION - Same Person Requested &amp; Approved","OK")</f>
        <v>OK</v>
      </c>
    </row>
    <row r="335" customFormat="false" ht="15" hidden="false" customHeight="false" outlineLevel="0" collapsed="false">
      <c r="A335" s="16" t="str">
        <f aca="false">Purchase_Orders!A332</f>
        <v>PO10331</v>
      </c>
      <c r="B335" s="16" t="str">
        <f aca="false">Purchase_Orders!B332</f>
        <v>V1011</v>
      </c>
      <c r="C335" s="17" t="n">
        <f aca="false">Purchase_Orders!C332</f>
        <v>45899</v>
      </c>
      <c r="D335" s="18" t="n">
        <f aca="false">Purchase_Orders!D332</f>
        <v>1216.45</v>
      </c>
      <c r="E335" s="16" t="str">
        <f aca="false">Purchase_Orders!F332</f>
        <v>Cameron Parker</v>
      </c>
      <c r="F335" s="16" t="str">
        <f aca="false">Purchase_Orders!G332</f>
        <v>Sharon Cochran</v>
      </c>
      <c r="G335" s="16" t="str">
        <f aca="false">IF(E335=F335,"VIOLATION - Same Person Requested &amp; Approved","OK")</f>
        <v>OK</v>
      </c>
    </row>
    <row r="336" customFormat="false" ht="15" hidden="false" customHeight="false" outlineLevel="0" collapsed="false">
      <c r="A336" s="16" t="str">
        <f aca="false">Purchase_Orders!A333</f>
        <v>PO10332</v>
      </c>
      <c r="B336" s="16" t="str">
        <f aca="false">Purchase_Orders!B333</f>
        <v>V1037</v>
      </c>
      <c r="C336" s="17" t="n">
        <f aca="false">Purchase_Orders!C333</f>
        <v>46126</v>
      </c>
      <c r="D336" s="18" t="n">
        <f aca="false">Purchase_Orders!D333</f>
        <v>3585.97</v>
      </c>
      <c r="E336" s="16" t="str">
        <f aca="false">Purchase_Orders!F333</f>
        <v>Kevin Mills</v>
      </c>
      <c r="F336" s="16" t="str">
        <f aca="false">Purchase_Orders!G333</f>
        <v>Marc Moore</v>
      </c>
      <c r="G336" s="16" t="str">
        <f aca="false">IF(E336=F336,"VIOLATION - Same Person Requested &amp; Approved","OK")</f>
        <v>OK</v>
      </c>
    </row>
    <row r="337" customFormat="false" ht="15" hidden="false" customHeight="false" outlineLevel="0" collapsed="false">
      <c r="A337" s="16" t="str">
        <f aca="false">Purchase_Orders!A334</f>
        <v>PO10333</v>
      </c>
      <c r="B337" s="16" t="str">
        <f aca="false">Purchase_Orders!B334</f>
        <v>V1037</v>
      </c>
      <c r="C337" s="17" t="n">
        <f aca="false">Purchase_Orders!C334</f>
        <v>46197</v>
      </c>
      <c r="D337" s="18" t="n">
        <f aca="false">Purchase_Orders!D334</f>
        <v>10917.62</v>
      </c>
      <c r="E337" s="16" t="str">
        <f aca="false">Purchase_Orders!F334</f>
        <v>Denise Jacobs</v>
      </c>
      <c r="F337" s="16" t="str">
        <f aca="false">Purchase_Orders!G334</f>
        <v>Shannon Walker</v>
      </c>
      <c r="G337" s="16" t="str">
        <f aca="false">IF(E337=F337,"VIOLATION - Same Person Requested &amp; Approved","OK")</f>
        <v>OK</v>
      </c>
    </row>
    <row r="338" customFormat="false" ht="15" hidden="false" customHeight="false" outlineLevel="0" collapsed="false">
      <c r="A338" s="16" t="str">
        <f aca="false">Purchase_Orders!A335</f>
        <v>PO10334</v>
      </c>
      <c r="B338" s="16" t="str">
        <f aca="false">Purchase_Orders!B335</f>
        <v>V1006</v>
      </c>
      <c r="C338" s="17" t="n">
        <f aca="false">Purchase_Orders!C335</f>
        <v>45824</v>
      </c>
      <c r="D338" s="18" t="n">
        <f aca="false">Purchase_Orders!D335</f>
        <v>5413.88</v>
      </c>
      <c r="E338" s="16" t="str">
        <f aca="false">Purchase_Orders!F335</f>
        <v>Anna Henderson</v>
      </c>
      <c r="F338" s="16" t="str">
        <f aca="false">Purchase_Orders!G335</f>
        <v>Julia Torres</v>
      </c>
      <c r="G338" s="16" t="str">
        <f aca="false">IF(E338=F338,"VIOLATION - Same Person Requested &amp; Approved","OK")</f>
        <v>OK</v>
      </c>
    </row>
    <row r="339" customFormat="false" ht="15" hidden="false" customHeight="false" outlineLevel="0" collapsed="false">
      <c r="A339" s="16" t="str">
        <f aca="false">Purchase_Orders!A336</f>
        <v>PO10335</v>
      </c>
      <c r="B339" s="16" t="str">
        <f aca="false">Purchase_Orders!B336</f>
        <v>V1029</v>
      </c>
      <c r="C339" s="17" t="n">
        <f aca="false">Purchase_Orders!C336</f>
        <v>45996</v>
      </c>
      <c r="D339" s="18" t="n">
        <f aca="false">Purchase_Orders!D336</f>
        <v>4075.62</v>
      </c>
      <c r="E339" s="16" t="str">
        <f aca="false">Purchase_Orders!F336</f>
        <v>James Powers</v>
      </c>
      <c r="F339" s="16" t="str">
        <f aca="false">Purchase_Orders!G336</f>
        <v>Richard Rodriguez</v>
      </c>
      <c r="G339" s="16" t="str">
        <f aca="false">IF(E339=F339,"VIOLATION - Same Person Requested &amp; Approved","OK")</f>
        <v>OK</v>
      </c>
    </row>
    <row r="340" customFormat="false" ht="15" hidden="false" customHeight="false" outlineLevel="0" collapsed="false">
      <c r="A340" s="16" t="str">
        <f aca="false">Purchase_Orders!A337</f>
        <v>PO10336</v>
      </c>
      <c r="B340" s="16" t="str">
        <f aca="false">Purchase_Orders!B337</f>
        <v>V1037</v>
      </c>
      <c r="C340" s="17" t="n">
        <f aca="false">Purchase_Orders!C337</f>
        <v>45990</v>
      </c>
      <c r="D340" s="18" t="n">
        <f aca="false">Purchase_Orders!D337</f>
        <v>674.21</v>
      </c>
      <c r="E340" s="16" t="str">
        <f aca="false">Purchase_Orders!F337</f>
        <v>James Powers</v>
      </c>
      <c r="F340" s="16" t="str">
        <f aca="false">Purchase_Orders!G337</f>
        <v>Sierra Johnson</v>
      </c>
      <c r="G340" s="16" t="str">
        <f aca="false">IF(E340=F340,"VIOLATION - Same Person Requested &amp; Approved","OK")</f>
        <v>OK</v>
      </c>
    </row>
    <row r="341" customFormat="false" ht="15" hidden="false" customHeight="false" outlineLevel="0" collapsed="false">
      <c r="A341" s="16" t="str">
        <f aca="false">Purchase_Orders!A338</f>
        <v>PO10337</v>
      </c>
      <c r="B341" s="16" t="str">
        <f aca="false">Purchase_Orders!B338</f>
        <v>V1007</v>
      </c>
      <c r="C341" s="17" t="n">
        <f aca="false">Purchase_Orders!C338</f>
        <v>46061</v>
      </c>
      <c r="D341" s="18" t="n">
        <f aca="false">Purchase_Orders!D338</f>
        <v>1314.98</v>
      </c>
      <c r="E341" s="16" t="str">
        <f aca="false">Purchase_Orders!F338</f>
        <v>Sandra Aguilar</v>
      </c>
      <c r="F341" s="16" t="str">
        <f aca="false">Purchase_Orders!G338</f>
        <v>Richard Rodriguez</v>
      </c>
      <c r="G341" s="16" t="str">
        <f aca="false">IF(E341=F341,"VIOLATION - Same Person Requested &amp; Approved","OK")</f>
        <v>OK</v>
      </c>
    </row>
    <row r="342" customFormat="false" ht="15" hidden="false" customHeight="false" outlineLevel="0" collapsed="false">
      <c r="A342" s="16" t="str">
        <f aca="false">Purchase_Orders!A339</f>
        <v>PO10338</v>
      </c>
      <c r="B342" s="16" t="str">
        <f aca="false">Purchase_Orders!B339</f>
        <v>V1040</v>
      </c>
      <c r="C342" s="17" t="n">
        <f aca="false">Purchase_Orders!C339</f>
        <v>46174</v>
      </c>
      <c r="D342" s="18" t="n">
        <f aca="false">Purchase_Orders!D339</f>
        <v>499.83</v>
      </c>
      <c r="E342" s="16" t="str">
        <f aca="false">Purchase_Orders!F339</f>
        <v>Stephen Mckee</v>
      </c>
      <c r="F342" s="16" t="str">
        <f aca="false">Purchase_Orders!G339</f>
        <v>Sharon Cochran</v>
      </c>
      <c r="G342" s="16" t="str">
        <f aca="false">IF(E342=F342,"VIOLATION - Same Person Requested &amp; Approved","OK")</f>
        <v>OK</v>
      </c>
    </row>
    <row r="343" customFormat="false" ht="15" hidden="false" customHeight="false" outlineLevel="0" collapsed="false">
      <c r="A343" s="16" t="str">
        <f aca="false">Purchase_Orders!A340</f>
        <v>PO10339</v>
      </c>
      <c r="B343" s="16" t="str">
        <f aca="false">Purchase_Orders!B340</f>
        <v>V1040</v>
      </c>
      <c r="C343" s="17" t="n">
        <f aca="false">Purchase_Orders!C340</f>
        <v>45771</v>
      </c>
      <c r="D343" s="18" t="n">
        <f aca="false">Purchase_Orders!D340</f>
        <v>427.04</v>
      </c>
      <c r="E343" s="16" t="str">
        <f aca="false">Purchase_Orders!F340</f>
        <v>Stephen Mckee</v>
      </c>
      <c r="F343" s="16" t="str">
        <f aca="false">Purchase_Orders!G340</f>
        <v>Shannon Walker</v>
      </c>
      <c r="G343" s="16" t="str">
        <f aca="false">IF(E343=F343,"VIOLATION - Same Person Requested &amp; Approved","OK")</f>
        <v>OK</v>
      </c>
    </row>
    <row r="344" customFormat="false" ht="15" hidden="false" customHeight="false" outlineLevel="0" collapsed="false">
      <c r="A344" s="16" t="str">
        <f aca="false">Purchase_Orders!A341</f>
        <v>PO10340</v>
      </c>
      <c r="B344" s="16" t="str">
        <f aca="false">Purchase_Orders!B341</f>
        <v>V1003</v>
      </c>
      <c r="C344" s="17" t="n">
        <f aca="false">Purchase_Orders!C341</f>
        <v>45773</v>
      </c>
      <c r="D344" s="18" t="n">
        <f aca="false">Purchase_Orders!D341</f>
        <v>1109.9</v>
      </c>
      <c r="E344" s="16" t="str">
        <f aca="false">Purchase_Orders!F341</f>
        <v>Rebecca Valencia</v>
      </c>
      <c r="F344" s="16" t="str">
        <f aca="false">Purchase_Orders!G341</f>
        <v>Sharon Cherry</v>
      </c>
      <c r="G344" s="16" t="str">
        <f aca="false">IF(E344=F344,"VIOLATION - Same Person Requested &amp; Approved","OK")</f>
        <v>OK</v>
      </c>
    </row>
    <row r="345" customFormat="false" ht="15" hidden="false" customHeight="false" outlineLevel="0" collapsed="false">
      <c r="A345" s="16" t="str">
        <f aca="false">Purchase_Orders!A342</f>
        <v>PO10341</v>
      </c>
      <c r="B345" s="16" t="str">
        <f aca="false">Purchase_Orders!B342</f>
        <v>V1001</v>
      </c>
      <c r="C345" s="17" t="n">
        <f aca="false">Purchase_Orders!C342</f>
        <v>46017</v>
      </c>
      <c r="D345" s="18" t="n">
        <f aca="false">Purchase_Orders!D342</f>
        <v>3284.61</v>
      </c>
      <c r="E345" s="16" t="str">
        <f aca="false">Purchase_Orders!F342</f>
        <v>Sandra Aguilar</v>
      </c>
      <c r="F345" s="16" t="str">
        <f aca="false">Purchase_Orders!G342</f>
        <v>Evelyn Galvan</v>
      </c>
      <c r="G345" s="16" t="str">
        <f aca="false">IF(E345=F345,"VIOLATION - Same Person Requested &amp; Approved","OK")</f>
        <v>OK</v>
      </c>
    </row>
    <row r="346" customFormat="false" ht="15" hidden="false" customHeight="false" outlineLevel="0" collapsed="false">
      <c r="A346" s="16" t="str">
        <f aca="false">Purchase_Orders!A343</f>
        <v>PO10342</v>
      </c>
      <c r="B346" s="16" t="str">
        <f aca="false">Purchase_Orders!B343</f>
        <v>V1028</v>
      </c>
      <c r="C346" s="17" t="n">
        <f aca="false">Purchase_Orders!C343</f>
        <v>45743</v>
      </c>
      <c r="D346" s="18" t="n">
        <f aca="false">Purchase_Orders!D343</f>
        <v>2187.07</v>
      </c>
      <c r="E346" s="16" t="str">
        <f aca="false">Purchase_Orders!F343</f>
        <v>Christopher Bass</v>
      </c>
      <c r="F346" s="16" t="str">
        <f aca="false">Purchase_Orders!G343</f>
        <v>Shannon Walker</v>
      </c>
      <c r="G346" s="16" t="str">
        <f aca="false">IF(E346=F346,"VIOLATION - Same Person Requested &amp; Approved","OK")</f>
        <v>OK</v>
      </c>
    </row>
    <row r="347" customFormat="false" ht="15" hidden="false" customHeight="false" outlineLevel="0" collapsed="false">
      <c r="A347" s="16" t="str">
        <f aca="false">Purchase_Orders!A344</f>
        <v>PO10343</v>
      </c>
      <c r="B347" s="16" t="str">
        <f aca="false">Purchase_Orders!B344</f>
        <v>V1026</v>
      </c>
      <c r="C347" s="17" t="n">
        <f aca="false">Purchase_Orders!C344</f>
        <v>45752</v>
      </c>
      <c r="D347" s="18" t="n">
        <f aca="false">Purchase_Orders!D344</f>
        <v>4407.35</v>
      </c>
      <c r="E347" s="16" t="str">
        <f aca="false">Purchase_Orders!F344</f>
        <v>John Whitehead</v>
      </c>
      <c r="F347" s="16" t="str">
        <f aca="false">Purchase_Orders!G344</f>
        <v>Shannon Walker</v>
      </c>
      <c r="G347" s="16" t="str">
        <f aca="false">IF(E347=F347,"VIOLATION - Same Person Requested &amp; Approved","OK")</f>
        <v>OK</v>
      </c>
    </row>
    <row r="348" customFormat="false" ht="15" hidden="false" customHeight="false" outlineLevel="0" collapsed="false">
      <c r="A348" s="16" t="str">
        <f aca="false">Purchase_Orders!A345</f>
        <v>PO10344</v>
      </c>
      <c r="B348" s="16" t="str">
        <f aca="false">Purchase_Orders!B345</f>
        <v>V1024</v>
      </c>
      <c r="C348" s="17" t="n">
        <f aca="false">Purchase_Orders!C345</f>
        <v>45698</v>
      </c>
      <c r="D348" s="18" t="n">
        <f aca="false">Purchase_Orders!D345</f>
        <v>814.56</v>
      </c>
      <c r="E348" s="16" t="str">
        <f aca="false">Purchase_Orders!F345</f>
        <v>Eugene Walton</v>
      </c>
      <c r="F348" s="16" t="str">
        <f aca="false">Purchase_Orders!G345</f>
        <v>Richard Rodriguez</v>
      </c>
      <c r="G348" s="16" t="str">
        <f aca="false">IF(E348=F348,"VIOLATION - Same Person Requested &amp; Approved","OK")</f>
        <v>OK</v>
      </c>
    </row>
    <row r="349" customFormat="false" ht="15" hidden="false" customHeight="false" outlineLevel="0" collapsed="false">
      <c r="A349" s="16" t="str">
        <f aca="false">Purchase_Orders!A346</f>
        <v>PO10345</v>
      </c>
      <c r="B349" s="16" t="str">
        <f aca="false">Purchase_Orders!B346</f>
        <v>V1003</v>
      </c>
      <c r="C349" s="17" t="n">
        <f aca="false">Purchase_Orders!C346</f>
        <v>45659</v>
      </c>
      <c r="D349" s="18" t="n">
        <f aca="false">Purchase_Orders!D346</f>
        <v>988.16</v>
      </c>
      <c r="E349" s="16" t="str">
        <f aca="false">Purchase_Orders!F346</f>
        <v>Cameron Parker</v>
      </c>
      <c r="F349" s="16" t="str">
        <f aca="false">Purchase_Orders!G346</f>
        <v>Sharon Cochran</v>
      </c>
      <c r="G349" s="16" t="str">
        <f aca="false">IF(E349=F349,"VIOLATION - Same Person Requested &amp; Approved","OK")</f>
        <v>OK</v>
      </c>
    </row>
    <row r="350" customFormat="false" ht="15" hidden="false" customHeight="false" outlineLevel="0" collapsed="false">
      <c r="A350" s="16" t="str">
        <f aca="false">Purchase_Orders!A347</f>
        <v>PO10346</v>
      </c>
      <c r="B350" s="16" t="str">
        <f aca="false">Purchase_Orders!B347</f>
        <v>V1003</v>
      </c>
      <c r="C350" s="17" t="n">
        <f aca="false">Purchase_Orders!C347</f>
        <v>45903</v>
      </c>
      <c r="D350" s="18" t="n">
        <f aca="false">Purchase_Orders!D347</f>
        <v>721.3</v>
      </c>
      <c r="E350" s="16" t="str">
        <f aca="false">Purchase_Orders!F347</f>
        <v>Jimmy Murillo</v>
      </c>
      <c r="F350" s="16" t="str">
        <f aca="false">Purchase_Orders!G347</f>
        <v>Julia Torres</v>
      </c>
      <c r="G350" s="16" t="str">
        <f aca="false">IF(E350=F350,"VIOLATION - Same Person Requested &amp; Approved","OK")</f>
        <v>OK</v>
      </c>
    </row>
    <row r="351" customFormat="false" ht="15" hidden="false" customHeight="false" outlineLevel="0" collapsed="false">
      <c r="A351" s="16" t="str">
        <f aca="false">Purchase_Orders!A348</f>
        <v>PO10347</v>
      </c>
      <c r="B351" s="16" t="str">
        <f aca="false">Purchase_Orders!B348</f>
        <v>V1004</v>
      </c>
      <c r="C351" s="17" t="n">
        <f aca="false">Purchase_Orders!C348</f>
        <v>45981</v>
      </c>
      <c r="D351" s="18" t="n">
        <f aca="false">Purchase_Orders!D348</f>
        <v>5762.48</v>
      </c>
      <c r="E351" s="16" t="str">
        <f aca="false">Purchase_Orders!F348</f>
        <v>James Powers</v>
      </c>
      <c r="F351" s="16" t="str">
        <f aca="false">Purchase_Orders!G348</f>
        <v>Sharon Cherry</v>
      </c>
      <c r="G351" s="16" t="str">
        <f aca="false">IF(E351=F351,"VIOLATION - Same Person Requested &amp; Approved","OK")</f>
        <v>OK</v>
      </c>
    </row>
    <row r="352" customFormat="false" ht="15" hidden="false" customHeight="false" outlineLevel="0" collapsed="false">
      <c r="A352" s="16" t="str">
        <f aca="false">Purchase_Orders!A349</f>
        <v>PO10348</v>
      </c>
      <c r="B352" s="16" t="str">
        <f aca="false">Purchase_Orders!B349</f>
        <v>V1005</v>
      </c>
      <c r="C352" s="17" t="n">
        <f aca="false">Purchase_Orders!C349</f>
        <v>45816</v>
      </c>
      <c r="D352" s="18" t="n">
        <f aca="false">Purchase_Orders!D349</f>
        <v>3958.91</v>
      </c>
      <c r="E352" s="16" t="str">
        <f aca="false">Purchase_Orders!F349</f>
        <v>Christine Wright</v>
      </c>
      <c r="F352" s="16" t="str">
        <f aca="false">Purchase_Orders!G349</f>
        <v>Richard Rodriguez</v>
      </c>
      <c r="G352" s="16" t="str">
        <f aca="false">IF(E352=F352,"VIOLATION - Same Person Requested &amp; Approved","OK")</f>
        <v>OK</v>
      </c>
    </row>
    <row r="353" customFormat="false" ht="15" hidden="false" customHeight="false" outlineLevel="0" collapsed="false">
      <c r="A353" s="16" t="str">
        <f aca="false">Purchase_Orders!A350</f>
        <v>PO10349</v>
      </c>
      <c r="B353" s="16" t="str">
        <f aca="false">Purchase_Orders!B350</f>
        <v>V1001</v>
      </c>
      <c r="C353" s="17" t="n">
        <f aca="false">Purchase_Orders!C350</f>
        <v>45784</v>
      </c>
      <c r="D353" s="18" t="n">
        <f aca="false">Purchase_Orders!D350</f>
        <v>3469.23</v>
      </c>
      <c r="E353" s="16" t="str">
        <f aca="false">Purchase_Orders!F350</f>
        <v>Deborah Figueroa</v>
      </c>
      <c r="F353" s="16" t="str">
        <f aca="false">Purchase_Orders!G350</f>
        <v>Marc Moore</v>
      </c>
      <c r="G353" s="16" t="str">
        <f aca="false">IF(E353=F353,"VIOLATION - Same Person Requested &amp; Approved","OK")</f>
        <v>OK</v>
      </c>
    </row>
    <row r="354" customFormat="false" ht="15" hidden="false" customHeight="false" outlineLevel="0" collapsed="false">
      <c r="A354" s="16" t="str">
        <f aca="false">Purchase_Orders!A351</f>
        <v>PO10350</v>
      </c>
      <c r="B354" s="16" t="str">
        <f aca="false">Purchase_Orders!B351</f>
        <v>V1027</v>
      </c>
      <c r="C354" s="17" t="n">
        <f aca="false">Purchase_Orders!C351</f>
        <v>46043</v>
      </c>
      <c r="D354" s="18" t="n">
        <f aca="false">Purchase_Orders!D351</f>
        <v>1655.98</v>
      </c>
      <c r="E354" s="16" t="str">
        <f aca="false">Purchase_Orders!F351</f>
        <v>Deborah Figueroa</v>
      </c>
      <c r="F354" s="16" t="str">
        <f aca="false">Purchase_Orders!G351</f>
        <v>Richard Rodriguez</v>
      </c>
      <c r="G354" s="16" t="str">
        <f aca="false">IF(E354=F354,"VIOLATION - Same Person Requested &amp; Approved","OK")</f>
        <v>OK</v>
      </c>
    </row>
    <row r="355" customFormat="false" ht="15" hidden="false" customHeight="false" outlineLevel="0" collapsed="false">
      <c r="A355" s="16" t="str">
        <f aca="false">Purchase_Orders!A352</f>
        <v>PO10351</v>
      </c>
      <c r="B355" s="16" t="str">
        <f aca="false">Purchase_Orders!B352</f>
        <v>V1025</v>
      </c>
      <c r="C355" s="17" t="n">
        <f aca="false">Purchase_Orders!C352</f>
        <v>46041</v>
      </c>
      <c r="D355" s="18" t="n">
        <f aca="false">Purchase_Orders!D352</f>
        <v>1396.44</v>
      </c>
      <c r="E355" s="16" t="str">
        <f aca="false">Purchase_Orders!F352</f>
        <v>Christina Walters</v>
      </c>
      <c r="F355" s="16" t="str">
        <f aca="false">Purchase_Orders!G352</f>
        <v>Richard Rodriguez</v>
      </c>
      <c r="G355" s="16" t="str">
        <f aca="false">IF(E355=F355,"VIOLATION - Same Person Requested &amp; Approved","OK")</f>
        <v>OK</v>
      </c>
    </row>
    <row r="356" customFormat="false" ht="15" hidden="false" customHeight="false" outlineLevel="0" collapsed="false">
      <c r="A356" s="16" t="str">
        <f aca="false">Purchase_Orders!A353</f>
        <v>PO10352</v>
      </c>
      <c r="B356" s="16" t="str">
        <f aca="false">Purchase_Orders!B353</f>
        <v>V1001</v>
      </c>
      <c r="C356" s="17" t="n">
        <f aca="false">Purchase_Orders!C353</f>
        <v>45905</v>
      </c>
      <c r="D356" s="18" t="n">
        <f aca="false">Purchase_Orders!D353</f>
        <v>1682.49</v>
      </c>
      <c r="E356" s="16" t="str">
        <f aca="false">Purchase_Orders!F353</f>
        <v>Richard Henson</v>
      </c>
      <c r="F356" s="16" t="str">
        <f aca="false">Purchase_Orders!G353</f>
        <v>Shannon Walker</v>
      </c>
      <c r="G356" s="16" t="str">
        <f aca="false">IF(E356=F356,"VIOLATION - Same Person Requested &amp; Approved","OK")</f>
        <v>OK</v>
      </c>
    </row>
    <row r="357" customFormat="false" ht="15" hidden="false" customHeight="false" outlineLevel="0" collapsed="false">
      <c r="A357" s="16" t="str">
        <f aca="false">Purchase_Orders!A354</f>
        <v>PO10353</v>
      </c>
      <c r="B357" s="16" t="str">
        <f aca="false">Purchase_Orders!B354</f>
        <v>V1037</v>
      </c>
      <c r="C357" s="17" t="n">
        <f aca="false">Purchase_Orders!C354</f>
        <v>46032</v>
      </c>
      <c r="D357" s="18" t="n">
        <f aca="false">Purchase_Orders!D354</f>
        <v>1974.18</v>
      </c>
      <c r="E357" s="16" t="str">
        <f aca="false">Purchase_Orders!F354</f>
        <v>Christine Wright</v>
      </c>
      <c r="F357" s="16" t="str">
        <f aca="false">Purchase_Orders!G354</f>
        <v>Marc Moore</v>
      </c>
      <c r="G357" s="16" t="str">
        <f aca="false">IF(E357=F357,"VIOLATION - Same Person Requested &amp; Approved","OK")</f>
        <v>OK</v>
      </c>
    </row>
    <row r="358" customFormat="false" ht="15" hidden="false" customHeight="false" outlineLevel="0" collapsed="false">
      <c r="A358" s="16" t="str">
        <f aca="false">Purchase_Orders!A355</f>
        <v>PO10354</v>
      </c>
      <c r="B358" s="16" t="str">
        <f aca="false">Purchase_Orders!B355</f>
        <v>V1005</v>
      </c>
      <c r="C358" s="17" t="n">
        <f aca="false">Purchase_Orders!C355</f>
        <v>46161</v>
      </c>
      <c r="D358" s="18" t="n">
        <f aca="false">Purchase_Orders!D355</f>
        <v>2573.5</v>
      </c>
      <c r="E358" s="16" t="str">
        <f aca="false">Purchase_Orders!F355</f>
        <v>Stephen Mckee</v>
      </c>
      <c r="F358" s="16" t="str">
        <f aca="false">Purchase_Orders!G355</f>
        <v>Sharon Cochran</v>
      </c>
      <c r="G358" s="16" t="str">
        <f aca="false">IF(E358=F358,"VIOLATION - Same Person Requested &amp; Approved","OK")</f>
        <v>OK</v>
      </c>
    </row>
    <row r="359" customFormat="false" ht="15" hidden="false" customHeight="false" outlineLevel="0" collapsed="false">
      <c r="A359" s="16" t="str">
        <f aca="false">Purchase_Orders!A356</f>
        <v>PO10355</v>
      </c>
      <c r="B359" s="16" t="str">
        <f aca="false">Purchase_Orders!B356</f>
        <v>V1033</v>
      </c>
      <c r="C359" s="17" t="n">
        <f aca="false">Purchase_Orders!C356</f>
        <v>46087</v>
      </c>
      <c r="D359" s="18" t="n">
        <f aca="false">Purchase_Orders!D356</f>
        <v>3009.14</v>
      </c>
      <c r="E359" s="16" t="str">
        <f aca="false">Purchase_Orders!F356</f>
        <v>Jessica Smith</v>
      </c>
      <c r="F359" s="16" t="str">
        <f aca="false">Purchase_Orders!G356</f>
        <v>Evelyn Galvan</v>
      </c>
      <c r="G359" s="16" t="str">
        <f aca="false">IF(E359=F359,"VIOLATION - Same Person Requested &amp; Approved","OK")</f>
        <v>OK</v>
      </c>
    </row>
    <row r="360" customFormat="false" ht="15" hidden="false" customHeight="false" outlineLevel="0" collapsed="false">
      <c r="A360" s="16" t="str">
        <f aca="false">Purchase_Orders!A357</f>
        <v>PO10356</v>
      </c>
      <c r="B360" s="16" t="str">
        <f aca="false">Purchase_Orders!B357</f>
        <v>V1020</v>
      </c>
      <c r="C360" s="17" t="n">
        <f aca="false">Purchase_Orders!C357</f>
        <v>45998</v>
      </c>
      <c r="D360" s="18" t="n">
        <f aca="false">Purchase_Orders!D357</f>
        <v>2928.06</v>
      </c>
      <c r="E360" s="16" t="str">
        <f aca="false">Purchase_Orders!F357</f>
        <v>Anna Henderson</v>
      </c>
      <c r="F360" s="16" t="str">
        <f aca="false">Purchase_Orders!G357</f>
        <v>Evelyn Galvan</v>
      </c>
      <c r="G360" s="16" t="str">
        <f aca="false">IF(E360=F360,"VIOLATION - Same Person Requested &amp; Approved","OK")</f>
        <v>OK</v>
      </c>
    </row>
    <row r="361" customFormat="false" ht="15" hidden="false" customHeight="false" outlineLevel="0" collapsed="false">
      <c r="A361" s="16" t="str">
        <f aca="false">Purchase_Orders!A358</f>
        <v>PO10357</v>
      </c>
      <c r="B361" s="16" t="str">
        <f aca="false">Purchase_Orders!B358</f>
        <v>V1040</v>
      </c>
      <c r="C361" s="17" t="n">
        <f aca="false">Purchase_Orders!C358</f>
        <v>46018</v>
      </c>
      <c r="D361" s="18" t="n">
        <f aca="false">Purchase_Orders!D358</f>
        <v>3306.72</v>
      </c>
      <c r="E361" s="16" t="str">
        <f aca="false">Purchase_Orders!F358</f>
        <v>Brian Rodriguez</v>
      </c>
      <c r="F361" s="16" t="str">
        <f aca="false">Purchase_Orders!G358</f>
        <v>Richard Rodriguez</v>
      </c>
      <c r="G361" s="16" t="str">
        <f aca="false">IF(E361=F361,"VIOLATION - Same Person Requested &amp; Approved","OK")</f>
        <v>OK</v>
      </c>
    </row>
    <row r="362" customFormat="false" ht="15" hidden="false" customHeight="false" outlineLevel="0" collapsed="false">
      <c r="A362" s="16" t="str">
        <f aca="false">Purchase_Orders!A359</f>
        <v>PO10358</v>
      </c>
      <c r="B362" s="16" t="str">
        <f aca="false">Purchase_Orders!B359</f>
        <v>V1019</v>
      </c>
      <c r="C362" s="17" t="n">
        <f aca="false">Purchase_Orders!C359</f>
        <v>46166</v>
      </c>
      <c r="D362" s="18" t="n">
        <f aca="false">Purchase_Orders!D359</f>
        <v>7330.11</v>
      </c>
      <c r="E362" s="16" t="str">
        <f aca="false">Purchase_Orders!F359</f>
        <v>Lisa Archer</v>
      </c>
      <c r="F362" s="16" t="str">
        <f aca="false">Purchase_Orders!G359</f>
        <v>Evelyn Galvan</v>
      </c>
      <c r="G362" s="16" t="str">
        <f aca="false">IF(E362=F362,"VIOLATION - Same Person Requested &amp; Approved","OK")</f>
        <v>OK</v>
      </c>
    </row>
    <row r="363" customFormat="false" ht="15" hidden="false" customHeight="false" outlineLevel="0" collapsed="false">
      <c r="A363" s="16" t="str">
        <f aca="false">Purchase_Orders!A360</f>
        <v>PO10359</v>
      </c>
      <c r="B363" s="16" t="str">
        <f aca="false">Purchase_Orders!B360</f>
        <v>V1040</v>
      </c>
      <c r="C363" s="17" t="n">
        <f aca="false">Purchase_Orders!C360</f>
        <v>45889</v>
      </c>
      <c r="D363" s="18" t="n">
        <f aca="false">Purchase_Orders!D360</f>
        <v>305.65</v>
      </c>
      <c r="E363" s="16" t="str">
        <f aca="false">Purchase_Orders!F360</f>
        <v>Deborah Figueroa</v>
      </c>
      <c r="F363" s="16" t="str">
        <f aca="false">Purchase_Orders!G360</f>
        <v>Marc Moore</v>
      </c>
      <c r="G363" s="16" t="str">
        <f aca="false">IF(E363=F363,"VIOLATION - Same Person Requested &amp; Approved","OK")</f>
        <v>OK</v>
      </c>
    </row>
    <row r="364" customFormat="false" ht="15" hidden="false" customHeight="false" outlineLevel="0" collapsed="false">
      <c r="A364" s="16" t="str">
        <f aca="false">Purchase_Orders!A361</f>
        <v>PO10360</v>
      </c>
      <c r="B364" s="16" t="str">
        <f aca="false">Purchase_Orders!B361</f>
        <v>V1012</v>
      </c>
      <c r="C364" s="17" t="n">
        <f aca="false">Purchase_Orders!C361</f>
        <v>45954</v>
      </c>
      <c r="D364" s="18" t="n">
        <f aca="false">Purchase_Orders!D361</f>
        <v>695.44</v>
      </c>
      <c r="E364" s="16" t="str">
        <f aca="false">Purchase_Orders!F361</f>
        <v>Cameron Parker</v>
      </c>
      <c r="F364" s="16" t="str">
        <f aca="false">Purchase_Orders!G361</f>
        <v>Cameron Parker</v>
      </c>
      <c r="G364" s="16" t="str">
        <f aca="false">IF(E364=F364,"VIOLATION - Same Person Requested &amp; Approved","OK")</f>
        <v>VIOLATION - Same Person Requested &amp; Approved</v>
      </c>
    </row>
    <row r="365" customFormat="false" ht="15" hidden="false" customHeight="false" outlineLevel="0" collapsed="false">
      <c r="A365" s="16" t="str">
        <f aca="false">Purchase_Orders!A362</f>
        <v>PO10361</v>
      </c>
      <c r="B365" s="16" t="str">
        <f aca="false">Purchase_Orders!B362</f>
        <v>V1004</v>
      </c>
      <c r="C365" s="17" t="n">
        <f aca="false">Purchase_Orders!C362</f>
        <v>46010</v>
      </c>
      <c r="D365" s="18" t="n">
        <f aca="false">Purchase_Orders!D362</f>
        <v>8378.51</v>
      </c>
      <c r="E365" s="16" t="str">
        <f aca="false">Purchase_Orders!F362</f>
        <v>Lisa Archer</v>
      </c>
      <c r="F365" s="16" t="str">
        <f aca="false">Purchase_Orders!G362</f>
        <v>Sharon Cochran</v>
      </c>
      <c r="G365" s="16" t="str">
        <f aca="false">IF(E365=F365,"VIOLATION - Same Person Requested &amp; Approved","OK")</f>
        <v>OK</v>
      </c>
    </row>
    <row r="366" customFormat="false" ht="15" hidden="false" customHeight="false" outlineLevel="0" collapsed="false">
      <c r="A366" s="16" t="str">
        <f aca="false">Purchase_Orders!A363</f>
        <v>PO10362</v>
      </c>
      <c r="B366" s="16" t="str">
        <f aca="false">Purchase_Orders!B363</f>
        <v>V1005</v>
      </c>
      <c r="C366" s="17" t="n">
        <f aca="false">Purchase_Orders!C363</f>
        <v>46153</v>
      </c>
      <c r="D366" s="18" t="n">
        <f aca="false">Purchase_Orders!D363</f>
        <v>1194.11</v>
      </c>
      <c r="E366" s="16" t="str">
        <f aca="false">Purchase_Orders!F363</f>
        <v>Brian Rodriguez</v>
      </c>
      <c r="F366" s="16" t="str">
        <f aca="false">Purchase_Orders!G363</f>
        <v>Marc Moore</v>
      </c>
      <c r="G366" s="16" t="str">
        <f aca="false">IF(E366=F366,"VIOLATION - Same Person Requested &amp; Approved","OK")</f>
        <v>OK</v>
      </c>
    </row>
    <row r="367" customFormat="false" ht="15" hidden="false" customHeight="false" outlineLevel="0" collapsed="false">
      <c r="A367" s="16" t="str">
        <f aca="false">Purchase_Orders!A364</f>
        <v>PO10363</v>
      </c>
      <c r="B367" s="16" t="str">
        <f aca="false">Purchase_Orders!B364</f>
        <v>V1013</v>
      </c>
      <c r="C367" s="17" t="n">
        <f aca="false">Purchase_Orders!C364</f>
        <v>46108</v>
      </c>
      <c r="D367" s="18" t="n">
        <f aca="false">Purchase_Orders!D364</f>
        <v>755.76</v>
      </c>
      <c r="E367" s="16" t="str">
        <f aca="false">Purchase_Orders!F364</f>
        <v>Jimmy Murillo</v>
      </c>
      <c r="F367" s="16" t="str">
        <f aca="false">Purchase_Orders!G364</f>
        <v>Shannon Walker</v>
      </c>
      <c r="G367" s="16" t="str">
        <f aca="false">IF(E367=F367,"VIOLATION - Same Person Requested &amp; Approved","OK")</f>
        <v>OK</v>
      </c>
    </row>
    <row r="368" customFormat="false" ht="15" hidden="false" customHeight="false" outlineLevel="0" collapsed="false">
      <c r="A368" s="16" t="str">
        <f aca="false">Purchase_Orders!A365</f>
        <v>PO10364</v>
      </c>
      <c r="B368" s="16" t="str">
        <f aca="false">Purchase_Orders!B365</f>
        <v>V1033</v>
      </c>
      <c r="C368" s="17" t="n">
        <f aca="false">Purchase_Orders!C365</f>
        <v>45696</v>
      </c>
      <c r="D368" s="18" t="n">
        <f aca="false">Purchase_Orders!D365</f>
        <v>14821.15</v>
      </c>
      <c r="E368" s="16" t="str">
        <f aca="false">Purchase_Orders!F365</f>
        <v>Christine Wright</v>
      </c>
      <c r="F368" s="16" t="str">
        <f aca="false">Purchase_Orders!G365</f>
        <v>Marc Moore</v>
      </c>
      <c r="G368" s="16" t="str">
        <f aca="false">IF(E368=F368,"VIOLATION - Same Person Requested &amp; Approved","OK")</f>
        <v>OK</v>
      </c>
    </row>
    <row r="369" customFormat="false" ht="15" hidden="false" customHeight="false" outlineLevel="0" collapsed="false">
      <c r="A369" s="16" t="str">
        <f aca="false">Purchase_Orders!A366</f>
        <v>PO10365</v>
      </c>
      <c r="B369" s="16" t="str">
        <f aca="false">Purchase_Orders!B366</f>
        <v>V1014</v>
      </c>
      <c r="C369" s="17" t="n">
        <f aca="false">Purchase_Orders!C366</f>
        <v>45748</v>
      </c>
      <c r="D369" s="18" t="n">
        <f aca="false">Purchase_Orders!D366</f>
        <v>5777.41</v>
      </c>
      <c r="E369" s="16" t="str">
        <f aca="false">Purchase_Orders!F366</f>
        <v>Aaron Wise</v>
      </c>
      <c r="F369" s="16" t="str">
        <f aca="false">Purchase_Orders!G366</f>
        <v>Evelyn Galvan</v>
      </c>
      <c r="G369" s="16" t="str">
        <f aca="false">IF(E369=F369,"VIOLATION - Same Person Requested &amp; Approved","OK")</f>
        <v>OK</v>
      </c>
    </row>
    <row r="370" customFormat="false" ht="15" hidden="false" customHeight="false" outlineLevel="0" collapsed="false">
      <c r="A370" s="16" t="str">
        <f aca="false">Purchase_Orders!A367</f>
        <v>PO10366</v>
      </c>
      <c r="B370" s="16" t="str">
        <f aca="false">Purchase_Orders!B367</f>
        <v>V1037</v>
      </c>
      <c r="C370" s="17" t="n">
        <f aca="false">Purchase_Orders!C367</f>
        <v>45825</v>
      </c>
      <c r="D370" s="18" t="n">
        <f aca="false">Purchase_Orders!D367</f>
        <v>4303.23</v>
      </c>
      <c r="E370" s="16" t="str">
        <f aca="false">Purchase_Orders!F367</f>
        <v>John Whitehead</v>
      </c>
      <c r="F370" s="16" t="str">
        <f aca="false">Purchase_Orders!G367</f>
        <v>Richard Rodriguez</v>
      </c>
      <c r="G370" s="16" t="str">
        <f aca="false">IF(E370=F370,"VIOLATION - Same Person Requested &amp; Approved","OK")</f>
        <v>OK</v>
      </c>
    </row>
    <row r="371" customFormat="false" ht="15" hidden="false" customHeight="false" outlineLevel="0" collapsed="false">
      <c r="A371" s="16" t="str">
        <f aca="false">Purchase_Orders!A368</f>
        <v>PO10367</v>
      </c>
      <c r="B371" s="16" t="str">
        <f aca="false">Purchase_Orders!B368</f>
        <v>V1035</v>
      </c>
      <c r="C371" s="17" t="n">
        <f aca="false">Purchase_Orders!C368</f>
        <v>46066</v>
      </c>
      <c r="D371" s="18" t="n">
        <f aca="false">Purchase_Orders!D368</f>
        <v>525.18</v>
      </c>
      <c r="E371" s="16" t="str">
        <f aca="false">Purchase_Orders!F368</f>
        <v>Aimee Montoya</v>
      </c>
      <c r="F371" s="16" t="str">
        <f aca="false">Purchase_Orders!G368</f>
        <v>Richard Rodriguez</v>
      </c>
      <c r="G371" s="16" t="str">
        <f aca="false">IF(E371=F371,"VIOLATION - Same Person Requested &amp; Approved","OK")</f>
        <v>OK</v>
      </c>
    </row>
    <row r="372" customFormat="false" ht="15" hidden="false" customHeight="false" outlineLevel="0" collapsed="false">
      <c r="A372" s="16" t="str">
        <f aca="false">Purchase_Orders!A369</f>
        <v>PO10368</v>
      </c>
      <c r="B372" s="16" t="str">
        <f aca="false">Purchase_Orders!B369</f>
        <v>V1020</v>
      </c>
      <c r="C372" s="17" t="n">
        <f aca="false">Purchase_Orders!C369</f>
        <v>45968</v>
      </c>
      <c r="D372" s="18" t="n">
        <f aca="false">Purchase_Orders!D369</f>
        <v>2740.38</v>
      </c>
      <c r="E372" s="16" t="str">
        <f aca="false">Purchase_Orders!F369</f>
        <v>Jessica Smith</v>
      </c>
      <c r="F372" s="16" t="str">
        <f aca="false">Purchase_Orders!G369</f>
        <v>Sharon Cherry</v>
      </c>
      <c r="G372" s="16" t="str">
        <f aca="false">IF(E372=F372,"VIOLATION - Same Person Requested &amp; Approved","OK")</f>
        <v>OK</v>
      </c>
    </row>
    <row r="373" customFormat="false" ht="15" hidden="false" customHeight="false" outlineLevel="0" collapsed="false">
      <c r="A373" s="16" t="str">
        <f aca="false">Purchase_Orders!A370</f>
        <v>PO10369</v>
      </c>
      <c r="B373" s="16" t="str">
        <f aca="false">Purchase_Orders!B370</f>
        <v>V1008</v>
      </c>
      <c r="C373" s="17" t="n">
        <f aca="false">Purchase_Orders!C370</f>
        <v>45815</v>
      </c>
      <c r="D373" s="18" t="n">
        <f aca="false">Purchase_Orders!D370</f>
        <v>9606.11</v>
      </c>
      <c r="E373" s="16" t="str">
        <f aca="false">Purchase_Orders!F370</f>
        <v>Jimmy Murillo</v>
      </c>
      <c r="F373" s="16" t="str">
        <f aca="false">Purchase_Orders!G370</f>
        <v>Sierra Johnson</v>
      </c>
      <c r="G373" s="16" t="str">
        <f aca="false">IF(E373=F373,"VIOLATION - Same Person Requested &amp; Approved","OK")</f>
        <v>OK</v>
      </c>
    </row>
    <row r="374" customFormat="false" ht="15" hidden="false" customHeight="false" outlineLevel="0" collapsed="false">
      <c r="A374" s="16" t="str">
        <f aca="false">Purchase_Orders!A371</f>
        <v>PO10370</v>
      </c>
      <c r="B374" s="16" t="str">
        <f aca="false">Purchase_Orders!B371</f>
        <v>V1021</v>
      </c>
      <c r="C374" s="17" t="n">
        <f aca="false">Purchase_Orders!C371</f>
        <v>45725</v>
      </c>
      <c r="D374" s="18" t="n">
        <f aca="false">Purchase_Orders!D371</f>
        <v>3156.13</v>
      </c>
      <c r="E374" s="16" t="str">
        <f aca="false">Purchase_Orders!F371</f>
        <v>Christina Moran</v>
      </c>
      <c r="F374" s="16" t="str">
        <f aca="false">Purchase_Orders!G371</f>
        <v>Sharon Cherry</v>
      </c>
      <c r="G374" s="16" t="str">
        <f aca="false">IF(E374=F374,"VIOLATION - Same Person Requested &amp; Approved","OK")</f>
        <v>OK</v>
      </c>
    </row>
    <row r="375" customFormat="false" ht="15" hidden="false" customHeight="false" outlineLevel="0" collapsed="false">
      <c r="A375" s="16" t="str">
        <f aca="false">Purchase_Orders!A372</f>
        <v>PO10371</v>
      </c>
      <c r="B375" s="16" t="str">
        <f aca="false">Purchase_Orders!B372</f>
        <v>V1012</v>
      </c>
      <c r="C375" s="17" t="n">
        <f aca="false">Purchase_Orders!C372</f>
        <v>46033</v>
      </c>
      <c r="D375" s="18" t="n">
        <f aca="false">Purchase_Orders!D372</f>
        <v>1799.63</v>
      </c>
      <c r="E375" s="16" t="str">
        <f aca="false">Purchase_Orders!F372</f>
        <v>Cameron Parker</v>
      </c>
      <c r="F375" s="16" t="str">
        <f aca="false">Purchase_Orders!G372</f>
        <v>Shannon Walker</v>
      </c>
      <c r="G375" s="16" t="str">
        <f aca="false">IF(E375=F375,"VIOLATION - Same Person Requested &amp; Approved","OK")</f>
        <v>OK</v>
      </c>
    </row>
    <row r="376" customFormat="false" ht="15" hidden="false" customHeight="false" outlineLevel="0" collapsed="false">
      <c r="A376" s="16" t="str">
        <f aca="false">Purchase_Orders!A373</f>
        <v>PO10372</v>
      </c>
      <c r="B376" s="16" t="str">
        <f aca="false">Purchase_Orders!B373</f>
        <v>V1037</v>
      </c>
      <c r="C376" s="17" t="n">
        <f aca="false">Purchase_Orders!C373</f>
        <v>46039</v>
      </c>
      <c r="D376" s="18" t="n">
        <f aca="false">Purchase_Orders!D373</f>
        <v>4160.94</v>
      </c>
      <c r="E376" s="16" t="str">
        <f aca="false">Purchase_Orders!F373</f>
        <v>John Whitehead</v>
      </c>
      <c r="F376" s="16" t="str">
        <f aca="false">Purchase_Orders!G373</f>
        <v>Shannon Walker</v>
      </c>
      <c r="G376" s="16" t="str">
        <f aca="false">IF(E376=F376,"VIOLATION - Same Person Requested &amp; Approved","OK")</f>
        <v>OK</v>
      </c>
    </row>
    <row r="377" customFormat="false" ht="15" hidden="false" customHeight="false" outlineLevel="0" collapsed="false">
      <c r="A377" s="16" t="str">
        <f aca="false">Purchase_Orders!A374</f>
        <v>PO10373</v>
      </c>
      <c r="B377" s="16" t="str">
        <f aca="false">Purchase_Orders!B374</f>
        <v>V1004</v>
      </c>
      <c r="C377" s="17" t="n">
        <f aca="false">Purchase_Orders!C374</f>
        <v>46171</v>
      </c>
      <c r="D377" s="18" t="n">
        <f aca="false">Purchase_Orders!D374</f>
        <v>1683.7</v>
      </c>
      <c r="E377" s="16" t="str">
        <f aca="false">Purchase_Orders!F374</f>
        <v>Richard Henson</v>
      </c>
      <c r="F377" s="16" t="str">
        <f aca="false">Purchase_Orders!G374</f>
        <v>Sharon Cherry</v>
      </c>
      <c r="G377" s="16" t="str">
        <f aca="false">IF(E377=F377,"VIOLATION - Same Person Requested &amp; Approved","OK")</f>
        <v>OK</v>
      </c>
    </row>
    <row r="378" customFormat="false" ht="15" hidden="false" customHeight="false" outlineLevel="0" collapsed="false">
      <c r="A378" s="16" t="str">
        <f aca="false">Purchase_Orders!A375</f>
        <v>PO10374</v>
      </c>
      <c r="B378" s="16" t="str">
        <f aca="false">Purchase_Orders!B375</f>
        <v>V1004</v>
      </c>
      <c r="C378" s="17" t="n">
        <f aca="false">Purchase_Orders!C375</f>
        <v>45930</v>
      </c>
      <c r="D378" s="18" t="n">
        <f aca="false">Purchase_Orders!D375</f>
        <v>2002.66</v>
      </c>
      <c r="E378" s="16" t="str">
        <f aca="false">Purchase_Orders!F375</f>
        <v>Eugene Walton</v>
      </c>
      <c r="F378" s="16" t="str">
        <f aca="false">Purchase_Orders!G375</f>
        <v>Sharon Cochran</v>
      </c>
      <c r="G378" s="16" t="str">
        <f aca="false">IF(E378=F378,"VIOLATION - Same Person Requested &amp; Approved","OK")</f>
        <v>OK</v>
      </c>
    </row>
    <row r="379" customFormat="false" ht="15" hidden="false" customHeight="false" outlineLevel="0" collapsed="false">
      <c r="A379" s="16" t="str">
        <f aca="false">Purchase_Orders!A376</f>
        <v>PO10375</v>
      </c>
      <c r="B379" s="16" t="str">
        <f aca="false">Purchase_Orders!B376</f>
        <v>V1024</v>
      </c>
      <c r="C379" s="17" t="n">
        <f aca="false">Purchase_Orders!C376</f>
        <v>45927</v>
      </c>
      <c r="D379" s="18" t="n">
        <f aca="false">Purchase_Orders!D376</f>
        <v>1387.72</v>
      </c>
      <c r="E379" s="16" t="str">
        <f aca="false">Purchase_Orders!F376</f>
        <v>Jessica Smith</v>
      </c>
      <c r="F379" s="16" t="str">
        <f aca="false">Purchase_Orders!G376</f>
        <v>Julia Torres</v>
      </c>
      <c r="G379" s="16" t="str">
        <f aca="false">IF(E379=F379,"VIOLATION - Same Person Requested &amp; Approved","OK")</f>
        <v>OK</v>
      </c>
    </row>
    <row r="380" customFormat="false" ht="15" hidden="false" customHeight="false" outlineLevel="0" collapsed="false">
      <c r="A380" s="16" t="str">
        <f aca="false">Purchase_Orders!A377</f>
        <v>PO10376</v>
      </c>
      <c r="B380" s="16" t="str">
        <f aca="false">Purchase_Orders!B377</f>
        <v>V1034</v>
      </c>
      <c r="C380" s="17" t="n">
        <f aca="false">Purchase_Orders!C377</f>
        <v>45701</v>
      </c>
      <c r="D380" s="18" t="n">
        <f aca="false">Purchase_Orders!D377</f>
        <v>2387.19</v>
      </c>
      <c r="E380" s="16" t="str">
        <f aca="false">Purchase_Orders!F377</f>
        <v>Aimee Montoya</v>
      </c>
      <c r="F380" s="16" t="str">
        <f aca="false">Purchase_Orders!G377</f>
        <v>Marc Moore</v>
      </c>
      <c r="G380" s="16" t="str">
        <f aca="false">IF(E380=F380,"VIOLATION - Same Person Requested &amp; Approved","OK")</f>
        <v>OK</v>
      </c>
    </row>
    <row r="381" customFormat="false" ht="15" hidden="false" customHeight="false" outlineLevel="0" collapsed="false">
      <c r="A381" s="16" t="str">
        <f aca="false">Purchase_Orders!A378</f>
        <v>PO10377</v>
      </c>
      <c r="B381" s="16" t="str">
        <f aca="false">Purchase_Orders!B378</f>
        <v>V1015</v>
      </c>
      <c r="C381" s="17" t="n">
        <f aca="false">Purchase_Orders!C378</f>
        <v>45679</v>
      </c>
      <c r="D381" s="18" t="n">
        <f aca="false">Purchase_Orders!D378</f>
        <v>4785.43</v>
      </c>
      <c r="E381" s="16" t="str">
        <f aca="false">Purchase_Orders!F378</f>
        <v>Stephen Mckee</v>
      </c>
      <c r="F381" s="16" t="str">
        <f aca="false">Purchase_Orders!G378</f>
        <v>Stephen Mckee</v>
      </c>
      <c r="G381" s="16" t="str">
        <f aca="false">IF(E381=F381,"VIOLATION - Same Person Requested &amp; Approved","OK")</f>
        <v>VIOLATION - Same Person Requested &amp; Approved</v>
      </c>
    </row>
    <row r="382" customFormat="false" ht="15" hidden="false" customHeight="false" outlineLevel="0" collapsed="false">
      <c r="A382" s="16" t="str">
        <f aca="false">Purchase_Orders!A379</f>
        <v>PO10378</v>
      </c>
      <c r="B382" s="16" t="str">
        <f aca="false">Purchase_Orders!B379</f>
        <v>V1004</v>
      </c>
      <c r="C382" s="17" t="n">
        <f aca="false">Purchase_Orders!C379</f>
        <v>45893</v>
      </c>
      <c r="D382" s="18" t="n">
        <f aca="false">Purchase_Orders!D379</f>
        <v>476.74</v>
      </c>
      <c r="E382" s="16" t="str">
        <f aca="false">Purchase_Orders!F379</f>
        <v>Aimee Montoya</v>
      </c>
      <c r="F382" s="16" t="str">
        <f aca="false">Purchase_Orders!G379</f>
        <v>Evelyn Galvan</v>
      </c>
      <c r="G382" s="16" t="str">
        <f aca="false">IF(E382=F382,"VIOLATION - Same Person Requested &amp; Approved","OK")</f>
        <v>OK</v>
      </c>
    </row>
    <row r="383" customFormat="false" ht="15" hidden="false" customHeight="false" outlineLevel="0" collapsed="false">
      <c r="A383" s="16" t="str">
        <f aca="false">Purchase_Orders!A380</f>
        <v>PO10379</v>
      </c>
      <c r="B383" s="16" t="str">
        <f aca="false">Purchase_Orders!B380</f>
        <v>V1027</v>
      </c>
      <c r="C383" s="17" t="n">
        <f aca="false">Purchase_Orders!C380</f>
        <v>45833</v>
      </c>
      <c r="D383" s="18" t="n">
        <f aca="false">Purchase_Orders!D380</f>
        <v>327.34</v>
      </c>
      <c r="E383" s="16" t="str">
        <f aca="false">Purchase_Orders!F380</f>
        <v>Richard Henson</v>
      </c>
      <c r="F383" s="16" t="str">
        <f aca="false">Purchase_Orders!G380</f>
        <v>Sharon Cochran</v>
      </c>
      <c r="G383" s="16" t="str">
        <f aca="false">IF(E383=F383,"VIOLATION - Same Person Requested &amp; Approved","OK")</f>
        <v>OK</v>
      </c>
    </row>
    <row r="384" customFormat="false" ht="15" hidden="false" customHeight="false" outlineLevel="0" collapsed="false">
      <c r="A384" s="16" t="str">
        <f aca="false">Purchase_Orders!A381</f>
        <v>PO10380</v>
      </c>
      <c r="B384" s="16" t="str">
        <f aca="false">Purchase_Orders!B381</f>
        <v>V1004</v>
      </c>
      <c r="C384" s="17" t="n">
        <f aca="false">Purchase_Orders!C381</f>
        <v>45794</v>
      </c>
      <c r="D384" s="18" t="n">
        <f aca="false">Purchase_Orders!D381</f>
        <v>2106.84</v>
      </c>
      <c r="E384" s="16" t="str">
        <f aca="false">Purchase_Orders!F381</f>
        <v>Eugene Walton</v>
      </c>
      <c r="F384" s="16" t="str">
        <f aca="false">Purchase_Orders!G381</f>
        <v>Marc Moore</v>
      </c>
      <c r="G384" s="16" t="str">
        <f aca="false">IF(E384=F384,"VIOLATION - Same Person Requested &amp; Approved","OK")</f>
        <v>OK</v>
      </c>
    </row>
    <row r="385" customFormat="false" ht="15" hidden="false" customHeight="false" outlineLevel="0" collapsed="false">
      <c r="A385" s="16" t="str">
        <f aca="false">Purchase_Orders!A382</f>
        <v>PO10381</v>
      </c>
      <c r="B385" s="16" t="str">
        <f aca="false">Purchase_Orders!B382</f>
        <v>V1020</v>
      </c>
      <c r="C385" s="17" t="n">
        <f aca="false">Purchase_Orders!C382</f>
        <v>45707</v>
      </c>
      <c r="D385" s="18" t="n">
        <f aca="false">Purchase_Orders!D382</f>
        <v>175.5</v>
      </c>
      <c r="E385" s="16" t="str">
        <f aca="false">Purchase_Orders!F382</f>
        <v>Christina Walters</v>
      </c>
      <c r="F385" s="16" t="str">
        <f aca="false">Purchase_Orders!G382</f>
        <v>Sierra Johnson</v>
      </c>
      <c r="G385" s="16" t="str">
        <f aca="false">IF(E385=F385,"VIOLATION - Same Person Requested &amp; Approved","OK")</f>
        <v>OK</v>
      </c>
    </row>
    <row r="386" customFormat="false" ht="15" hidden="false" customHeight="false" outlineLevel="0" collapsed="false">
      <c r="A386" s="16" t="str">
        <f aca="false">Purchase_Orders!A383</f>
        <v>PO10382</v>
      </c>
      <c r="B386" s="16" t="str">
        <f aca="false">Purchase_Orders!B383</f>
        <v>V1011</v>
      </c>
      <c r="C386" s="17" t="n">
        <f aca="false">Purchase_Orders!C383</f>
        <v>46182</v>
      </c>
      <c r="D386" s="18" t="n">
        <f aca="false">Purchase_Orders!D383</f>
        <v>7138.19</v>
      </c>
      <c r="E386" s="16" t="str">
        <f aca="false">Purchase_Orders!F383</f>
        <v>Deborah Figueroa</v>
      </c>
      <c r="F386" s="16" t="str">
        <f aca="false">Purchase_Orders!G383</f>
        <v>Evelyn Galvan</v>
      </c>
      <c r="G386" s="16" t="str">
        <f aca="false">IF(E386=F386,"VIOLATION - Same Person Requested &amp; Approved","OK")</f>
        <v>OK</v>
      </c>
    </row>
    <row r="387" customFormat="false" ht="15" hidden="false" customHeight="false" outlineLevel="0" collapsed="false">
      <c r="A387" s="16" t="str">
        <f aca="false">Purchase_Orders!A384</f>
        <v>PO10383</v>
      </c>
      <c r="B387" s="16" t="str">
        <f aca="false">Purchase_Orders!B384</f>
        <v>V1024</v>
      </c>
      <c r="C387" s="17" t="n">
        <f aca="false">Purchase_Orders!C384</f>
        <v>46113</v>
      </c>
      <c r="D387" s="18" t="n">
        <f aca="false">Purchase_Orders!D384</f>
        <v>3683.41</v>
      </c>
      <c r="E387" s="16" t="str">
        <f aca="false">Purchase_Orders!F384</f>
        <v>Cameron Parker</v>
      </c>
      <c r="F387" s="16" t="str">
        <f aca="false">Purchase_Orders!G384</f>
        <v>Richard Rodriguez</v>
      </c>
      <c r="G387" s="16" t="str">
        <f aca="false">IF(E387=F387,"VIOLATION - Same Person Requested &amp; Approved","OK")</f>
        <v>OK</v>
      </c>
    </row>
    <row r="388" customFormat="false" ht="15" hidden="false" customHeight="false" outlineLevel="0" collapsed="false">
      <c r="A388" s="16" t="str">
        <f aca="false">Purchase_Orders!A385</f>
        <v>PO10384</v>
      </c>
      <c r="B388" s="16" t="str">
        <f aca="false">Purchase_Orders!B385</f>
        <v>V1038</v>
      </c>
      <c r="C388" s="17" t="n">
        <f aca="false">Purchase_Orders!C385</f>
        <v>45971</v>
      </c>
      <c r="D388" s="18" t="n">
        <f aca="false">Purchase_Orders!D385</f>
        <v>851.6</v>
      </c>
      <c r="E388" s="16" t="str">
        <f aca="false">Purchase_Orders!F385</f>
        <v>Christine Wright</v>
      </c>
      <c r="F388" s="16" t="str">
        <f aca="false">Purchase_Orders!G385</f>
        <v>Marc Moore</v>
      </c>
      <c r="G388" s="16" t="str">
        <f aca="false">IF(E388=F388,"VIOLATION - Same Person Requested &amp; Approved","OK")</f>
        <v>OK</v>
      </c>
    </row>
    <row r="389" customFormat="false" ht="15" hidden="false" customHeight="false" outlineLevel="0" collapsed="false">
      <c r="A389" s="16" t="str">
        <f aca="false">Purchase_Orders!A386</f>
        <v>PO10385</v>
      </c>
      <c r="B389" s="16" t="str">
        <f aca="false">Purchase_Orders!B386</f>
        <v>V1001</v>
      </c>
      <c r="C389" s="17" t="n">
        <f aca="false">Purchase_Orders!C386</f>
        <v>46176</v>
      </c>
      <c r="D389" s="18" t="n">
        <f aca="false">Purchase_Orders!D386</f>
        <v>321.55</v>
      </c>
      <c r="E389" s="16" t="str">
        <f aca="false">Purchase_Orders!F386</f>
        <v>John Whitehead</v>
      </c>
      <c r="F389" s="16" t="str">
        <f aca="false">Purchase_Orders!G386</f>
        <v>Sharon Cherry</v>
      </c>
      <c r="G389" s="16" t="str">
        <f aca="false">IF(E389=F389,"VIOLATION - Same Person Requested &amp; Approved","OK")</f>
        <v>OK</v>
      </c>
    </row>
    <row r="390" customFormat="false" ht="15" hidden="false" customHeight="false" outlineLevel="0" collapsed="false">
      <c r="A390" s="16" t="str">
        <f aca="false">Purchase_Orders!A387</f>
        <v>PO10386</v>
      </c>
      <c r="B390" s="16" t="str">
        <f aca="false">Purchase_Orders!B387</f>
        <v>V1016</v>
      </c>
      <c r="C390" s="17" t="n">
        <f aca="false">Purchase_Orders!C387</f>
        <v>46202</v>
      </c>
      <c r="D390" s="18" t="n">
        <f aca="false">Purchase_Orders!D387</f>
        <v>2982.17</v>
      </c>
      <c r="E390" s="16" t="str">
        <f aca="false">Purchase_Orders!F387</f>
        <v>Jessica Smith</v>
      </c>
      <c r="F390" s="16" t="str">
        <f aca="false">Purchase_Orders!G387</f>
        <v>Shannon Walker</v>
      </c>
      <c r="G390" s="16" t="str">
        <f aca="false">IF(E390=F390,"VIOLATION - Same Person Requested &amp; Approved","OK")</f>
        <v>OK</v>
      </c>
    </row>
    <row r="391" customFormat="false" ht="15" hidden="false" customHeight="false" outlineLevel="0" collapsed="false">
      <c r="A391" s="16" t="str">
        <f aca="false">Purchase_Orders!A388</f>
        <v>PO10387</v>
      </c>
      <c r="B391" s="16" t="str">
        <f aca="false">Purchase_Orders!B388</f>
        <v>V1008</v>
      </c>
      <c r="C391" s="17" t="n">
        <f aca="false">Purchase_Orders!C388</f>
        <v>46024</v>
      </c>
      <c r="D391" s="18" t="n">
        <f aca="false">Purchase_Orders!D388</f>
        <v>688.7</v>
      </c>
      <c r="E391" s="16" t="str">
        <f aca="false">Purchase_Orders!F388</f>
        <v>Rebecca Valencia</v>
      </c>
      <c r="F391" s="16" t="str">
        <f aca="false">Purchase_Orders!G388</f>
        <v>Shannon Walker</v>
      </c>
      <c r="G391" s="16" t="str">
        <f aca="false">IF(E391=F391,"VIOLATION - Same Person Requested &amp; Approved","OK")</f>
        <v>OK</v>
      </c>
    </row>
    <row r="392" customFormat="false" ht="15" hidden="false" customHeight="false" outlineLevel="0" collapsed="false">
      <c r="A392" s="16" t="str">
        <f aca="false">Purchase_Orders!A389</f>
        <v>PO10388</v>
      </c>
      <c r="B392" s="16" t="str">
        <f aca="false">Purchase_Orders!B389</f>
        <v>V1025</v>
      </c>
      <c r="C392" s="17" t="n">
        <f aca="false">Purchase_Orders!C389</f>
        <v>45804</v>
      </c>
      <c r="D392" s="18" t="n">
        <f aca="false">Purchase_Orders!D389</f>
        <v>8582.35</v>
      </c>
      <c r="E392" s="16" t="str">
        <f aca="false">Purchase_Orders!F389</f>
        <v>Denise Jacobs</v>
      </c>
      <c r="F392" s="16" t="str">
        <f aca="false">Purchase_Orders!G389</f>
        <v>Marc Moore</v>
      </c>
      <c r="G392" s="16" t="str">
        <f aca="false">IF(E392=F392,"VIOLATION - Same Person Requested &amp; Approved","OK")</f>
        <v>OK</v>
      </c>
    </row>
    <row r="393" customFormat="false" ht="15" hidden="false" customHeight="false" outlineLevel="0" collapsed="false">
      <c r="A393" s="16" t="str">
        <f aca="false">Purchase_Orders!A390</f>
        <v>PO10389</v>
      </c>
      <c r="B393" s="16" t="str">
        <f aca="false">Purchase_Orders!B390</f>
        <v>V1011</v>
      </c>
      <c r="C393" s="17" t="n">
        <f aca="false">Purchase_Orders!C390</f>
        <v>45679</v>
      </c>
      <c r="D393" s="18" t="n">
        <f aca="false">Purchase_Orders!D390</f>
        <v>4765.55</v>
      </c>
      <c r="E393" s="16" t="str">
        <f aca="false">Purchase_Orders!F390</f>
        <v>Angel Lewis MD</v>
      </c>
      <c r="F393" s="16" t="str">
        <f aca="false">Purchase_Orders!G390</f>
        <v>Julia Torres</v>
      </c>
      <c r="G393" s="16" t="str">
        <f aca="false">IF(E393=F393,"VIOLATION - Same Person Requested &amp; Approved","OK")</f>
        <v>OK</v>
      </c>
    </row>
    <row r="394" customFormat="false" ht="15" hidden="false" customHeight="false" outlineLevel="0" collapsed="false">
      <c r="A394" s="16" t="str">
        <f aca="false">Purchase_Orders!A391</f>
        <v>PO10390</v>
      </c>
      <c r="B394" s="16" t="str">
        <f aca="false">Purchase_Orders!B391</f>
        <v>V1002</v>
      </c>
      <c r="C394" s="17" t="n">
        <f aca="false">Purchase_Orders!C391</f>
        <v>46070</v>
      </c>
      <c r="D394" s="18" t="n">
        <f aca="false">Purchase_Orders!D391</f>
        <v>3276.88</v>
      </c>
      <c r="E394" s="16" t="str">
        <f aca="false">Purchase_Orders!F391</f>
        <v>Brian Rodriguez</v>
      </c>
      <c r="F394" s="16" t="str">
        <f aca="false">Purchase_Orders!G391</f>
        <v>Sharon Cherry</v>
      </c>
      <c r="G394" s="16" t="str">
        <f aca="false">IF(E394=F394,"VIOLATION - Same Person Requested &amp; Approved","OK")</f>
        <v>OK</v>
      </c>
    </row>
    <row r="395" customFormat="false" ht="15" hidden="false" customHeight="false" outlineLevel="0" collapsed="false">
      <c r="A395" s="16" t="str">
        <f aca="false">Purchase_Orders!A392</f>
        <v>PO10391</v>
      </c>
      <c r="B395" s="16" t="str">
        <f aca="false">Purchase_Orders!B392</f>
        <v>V1033</v>
      </c>
      <c r="C395" s="17" t="n">
        <f aca="false">Purchase_Orders!C392</f>
        <v>45914</v>
      </c>
      <c r="D395" s="18" t="n">
        <f aca="false">Purchase_Orders!D392</f>
        <v>1027.11</v>
      </c>
      <c r="E395" s="16" t="str">
        <f aca="false">Purchase_Orders!F392</f>
        <v>Eugene Walton</v>
      </c>
      <c r="F395" s="16" t="str">
        <f aca="false">Purchase_Orders!G392</f>
        <v>Evelyn Galvan</v>
      </c>
      <c r="G395" s="16" t="str">
        <f aca="false">IF(E395=F395,"VIOLATION - Same Person Requested &amp; Approved","OK")</f>
        <v>OK</v>
      </c>
    </row>
    <row r="396" customFormat="false" ht="15" hidden="false" customHeight="false" outlineLevel="0" collapsed="false">
      <c r="A396" s="16" t="str">
        <f aca="false">Purchase_Orders!A393</f>
        <v>PO10392</v>
      </c>
      <c r="B396" s="16" t="str">
        <f aca="false">Purchase_Orders!B393</f>
        <v>V1030</v>
      </c>
      <c r="C396" s="17" t="n">
        <f aca="false">Purchase_Orders!C393</f>
        <v>46013</v>
      </c>
      <c r="D396" s="18" t="n">
        <f aca="false">Purchase_Orders!D393</f>
        <v>4853.33</v>
      </c>
      <c r="E396" s="16" t="str">
        <f aca="false">Purchase_Orders!F393</f>
        <v>Denise Jacobs</v>
      </c>
      <c r="F396" s="16" t="str">
        <f aca="false">Purchase_Orders!G393</f>
        <v>Sharon Cherry</v>
      </c>
      <c r="G396" s="16" t="str">
        <f aca="false">IF(E396=F396,"VIOLATION - Same Person Requested &amp; Approved","OK")</f>
        <v>OK</v>
      </c>
    </row>
    <row r="397" customFormat="false" ht="15" hidden="false" customHeight="false" outlineLevel="0" collapsed="false">
      <c r="A397" s="16" t="str">
        <f aca="false">Purchase_Orders!A394</f>
        <v>PO10393</v>
      </c>
      <c r="B397" s="16" t="str">
        <f aca="false">Purchase_Orders!B394</f>
        <v>V1017</v>
      </c>
      <c r="C397" s="17" t="n">
        <f aca="false">Purchase_Orders!C394</f>
        <v>46157</v>
      </c>
      <c r="D397" s="18" t="n">
        <f aca="false">Purchase_Orders!D394</f>
        <v>4213.88</v>
      </c>
      <c r="E397" s="16" t="str">
        <f aca="false">Purchase_Orders!F394</f>
        <v>Aimee Montoya</v>
      </c>
      <c r="F397" s="16" t="str">
        <f aca="false">Purchase_Orders!G394</f>
        <v>Richard Rodriguez</v>
      </c>
      <c r="G397" s="16" t="str">
        <f aca="false">IF(E397=F397,"VIOLATION - Same Person Requested &amp; Approved","OK")</f>
        <v>OK</v>
      </c>
    </row>
    <row r="398" customFormat="false" ht="15" hidden="false" customHeight="false" outlineLevel="0" collapsed="false">
      <c r="A398" s="16" t="str">
        <f aca="false">Purchase_Orders!A395</f>
        <v>PO10394</v>
      </c>
      <c r="B398" s="16" t="str">
        <f aca="false">Purchase_Orders!B395</f>
        <v>V1018</v>
      </c>
      <c r="C398" s="17" t="n">
        <f aca="false">Purchase_Orders!C395</f>
        <v>45756</v>
      </c>
      <c r="D398" s="18" t="n">
        <f aca="false">Purchase_Orders!D395</f>
        <v>1024.13</v>
      </c>
      <c r="E398" s="16" t="str">
        <f aca="false">Purchase_Orders!F395</f>
        <v>Richard Henson</v>
      </c>
      <c r="F398" s="16" t="str">
        <f aca="false">Purchase_Orders!G395</f>
        <v>Sierra Johnson</v>
      </c>
      <c r="G398" s="16" t="str">
        <f aca="false">IF(E398=F398,"VIOLATION - Same Person Requested &amp; Approved","OK")</f>
        <v>OK</v>
      </c>
    </row>
    <row r="399" customFormat="false" ht="15" hidden="false" customHeight="false" outlineLevel="0" collapsed="false">
      <c r="A399" s="16" t="str">
        <f aca="false">Purchase_Orders!A396</f>
        <v>PO10395</v>
      </c>
      <c r="B399" s="16" t="str">
        <f aca="false">Purchase_Orders!B396</f>
        <v>V1002</v>
      </c>
      <c r="C399" s="17" t="n">
        <f aca="false">Purchase_Orders!C396</f>
        <v>45977</v>
      </c>
      <c r="D399" s="18" t="n">
        <f aca="false">Purchase_Orders!D396</f>
        <v>6836.7</v>
      </c>
      <c r="E399" s="16" t="str">
        <f aca="false">Purchase_Orders!F396</f>
        <v>Sandra Aguilar</v>
      </c>
      <c r="F399" s="16" t="str">
        <f aca="false">Purchase_Orders!G396</f>
        <v>Sharon Cherry</v>
      </c>
      <c r="G399" s="16" t="str">
        <f aca="false">IF(E399=F399,"VIOLATION - Same Person Requested &amp; Approved","OK")</f>
        <v>OK</v>
      </c>
    </row>
    <row r="400" customFormat="false" ht="15" hidden="false" customHeight="false" outlineLevel="0" collapsed="false">
      <c r="A400" s="16" t="str">
        <f aca="false">Purchase_Orders!A397</f>
        <v>PO10396</v>
      </c>
      <c r="B400" s="16" t="str">
        <f aca="false">Purchase_Orders!B397</f>
        <v>V1029</v>
      </c>
      <c r="C400" s="17" t="n">
        <f aca="false">Purchase_Orders!C397</f>
        <v>46003</v>
      </c>
      <c r="D400" s="18" t="n">
        <f aca="false">Purchase_Orders!D397</f>
        <v>2800.96</v>
      </c>
      <c r="E400" s="16" t="str">
        <f aca="false">Purchase_Orders!F397</f>
        <v>Shirley Suarez</v>
      </c>
      <c r="F400" s="16" t="str">
        <f aca="false">Purchase_Orders!G397</f>
        <v>Richard Rodriguez</v>
      </c>
      <c r="G400" s="16" t="str">
        <f aca="false">IF(E400=F400,"VIOLATION - Same Person Requested &amp; Approved","OK")</f>
        <v>OK</v>
      </c>
    </row>
    <row r="401" customFormat="false" ht="15" hidden="false" customHeight="false" outlineLevel="0" collapsed="false">
      <c r="A401" s="16" t="str">
        <f aca="false">Purchase_Orders!A398</f>
        <v>PO10397</v>
      </c>
      <c r="B401" s="16" t="str">
        <f aca="false">Purchase_Orders!B398</f>
        <v>V1004</v>
      </c>
      <c r="C401" s="17" t="n">
        <f aca="false">Purchase_Orders!C398</f>
        <v>45925</v>
      </c>
      <c r="D401" s="18" t="n">
        <f aca="false">Purchase_Orders!D398</f>
        <v>2607.21</v>
      </c>
      <c r="E401" s="16" t="str">
        <f aca="false">Purchase_Orders!F398</f>
        <v>Sandra Aguilar</v>
      </c>
      <c r="F401" s="16" t="str">
        <f aca="false">Purchase_Orders!G398</f>
        <v>Sierra Johnson</v>
      </c>
      <c r="G401" s="16" t="str">
        <f aca="false">IF(E401=F401,"VIOLATION - Same Person Requested &amp; Approved","OK")</f>
        <v>OK</v>
      </c>
    </row>
    <row r="402" customFormat="false" ht="15" hidden="false" customHeight="false" outlineLevel="0" collapsed="false">
      <c r="A402" s="16" t="str">
        <f aca="false">Purchase_Orders!A399</f>
        <v>PO10398</v>
      </c>
      <c r="B402" s="16" t="str">
        <f aca="false">Purchase_Orders!B399</f>
        <v>V1014</v>
      </c>
      <c r="C402" s="17" t="n">
        <f aca="false">Purchase_Orders!C399</f>
        <v>45707</v>
      </c>
      <c r="D402" s="18" t="n">
        <f aca="false">Purchase_Orders!D399</f>
        <v>3346.97</v>
      </c>
      <c r="E402" s="16" t="str">
        <f aca="false">Purchase_Orders!F399</f>
        <v>Jimmy Murillo</v>
      </c>
      <c r="F402" s="16" t="str">
        <f aca="false">Purchase_Orders!G399</f>
        <v>Sharon Cochran</v>
      </c>
      <c r="G402" s="16" t="str">
        <f aca="false">IF(E402=F402,"VIOLATION - Same Person Requested &amp; Approved","OK")</f>
        <v>OK</v>
      </c>
    </row>
    <row r="403" customFormat="false" ht="15" hidden="false" customHeight="false" outlineLevel="0" collapsed="false">
      <c r="A403" s="16" t="str">
        <f aca="false">Purchase_Orders!A400</f>
        <v>PO10399</v>
      </c>
      <c r="B403" s="16" t="str">
        <f aca="false">Purchase_Orders!B400</f>
        <v>V1028</v>
      </c>
      <c r="C403" s="17" t="n">
        <f aca="false">Purchase_Orders!C400</f>
        <v>45847</v>
      </c>
      <c r="D403" s="18" t="n">
        <f aca="false">Purchase_Orders!D400</f>
        <v>927.7</v>
      </c>
      <c r="E403" s="16" t="str">
        <f aca="false">Purchase_Orders!F400</f>
        <v>Stephen Mckee</v>
      </c>
      <c r="F403" s="16" t="str">
        <f aca="false">Purchase_Orders!G400</f>
        <v>Sierra Johnson</v>
      </c>
      <c r="G403" s="16" t="str">
        <f aca="false">IF(E403=F403,"VIOLATION - Same Person Requested &amp; Approved","OK")</f>
        <v>OK</v>
      </c>
    </row>
    <row r="404" customFormat="false" ht="15" hidden="false" customHeight="false" outlineLevel="0" collapsed="false">
      <c r="A404" s="16" t="str">
        <f aca="false">Purchase_Orders!A401</f>
        <v>PO10400</v>
      </c>
      <c r="B404" s="16" t="str">
        <f aca="false">Purchase_Orders!B401</f>
        <v>V1018</v>
      </c>
      <c r="C404" s="17" t="n">
        <f aca="false">Purchase_Orders!C401</f>
        <v>45839</v>
      </c>
      <c r="D404" s="18" t="n">
        <f aca="false">Purchase_Orders!D401</f>
        <v>1759.54</v>
      </c>
      <c r="E404" s="16" t="str">
        <f aca="false">Purchase_Orders!F401</f>
        <v>Sandra Aguilar</v>
      </c>
      <c r="F404" s="16" t="str">
        <f aca="false">Purchase_Orders!G401</f>
        <v>Sharon Cherry</v>
      </c>
      <c r="G404" s="16" t="str">
        <f aca="false">IF(E404=F404,"VIOLATION - Same Person Requested &amp; Approved","OK")</f>
        <v>OK</v>
      </c>
    </row>
    <row r="405" customFormat="false" ht="15" hidden="false" customHeight="false" outlineLevel="0" collapsed="false">
      <c r="A405" s="16" t="str">
        <f aca="false">Purchase_Orders!A402</f>
        <v>PO10401</v>
      </c>
      <c r="B405" s="16" t="str">
        <f aca="false">Purchase_Orders!B402</f>
        <v>V1029</v>
      </c>
      <c r="C405" s="17" t="n">
        <f aca="false">Purchase_Orders!C402</f>
        <v>46023</v>
      </c>
      <c r="D405" s="18" t="n">
        <f aca="false">Purchase_Orders!D402</f>
        <v>1478.45</v>
      </c>
      <c r="E405" s="16" t="str">
        <f aca="false">Purchase_Orders!F402</f>
        <v>Richard Henson</v>
      </c>
      <c r="F405" s="16" t="str">
        <f aca="false">Purchase_Orders!G402</f>
        <v>Julia Torres</v>
      </c>
      <c r="G405" s="16" t="str">
        <f aca="false">IF(E405=F405,"VIOLATION - Same Person Requested &amp; Approved","OK")</f>
        <v>OK</v>
      </c>
    </row>
    <row r="406" customFormat="false" ht="15" hidden="false" customHeight="false" outlineLevel="0" collapsed="false">
      <c r="A406" s="16" t="str">
        <f aca="false">Purchase_Orders!A403</f>
        <v>PO10402</v>
      </c>
      <c r="B406" s="16" t="str">
        <f aca="false">Purchase_Orders!B403</f>
        <v>V1026</v>
      </c>
      <c r="C406" s="17" t="n">
        <f aca="false">Purchase_Orders!C403</f>
        <v>46125</v>
      </c>
      <c r="D406" s="18" t="n">
        <f aca="false">Purchase_Orders!D403</f>
        <v>5195.5</v>
      </c>
      <c r="E406" s="16" t="str">
        <f aca="false">Purchase_Orders!F403</f>
        <v>Jessica Smith</v>
      </c>
      <c r="F406" s="16" t="str">
        <f aca="false">Purchase_Orders!G403</f>
        <v>Julia Torres</v>
      </c>
      <c r="G406" s="16" t="str">
        <f aca="false">IF(E406=F406,"VIOLATION - Same Person Requested &amp; Approved","OK")</f>
        <v>OK</v>
      </c>
    </row>
    <row r="407" customFormat="false" ht="15" hidden="false" customHeight="false" outlineLevel="0" collapsed="false">
      <c r="A407" s="16" t="str">
        <f aca="false">Purchase_Orders!A404</f>
        <v>PO10403</v>
      </c>
      <c r="B407" s="16" t="str">
        <f aca="false">Purchase_Orders!B404</f>
        <v>V1025</v>
      </c>
      <c r="C407" s="17" t="n">
        <f aca="false">Purchase_Orders!C404</f>
        <v>45837</v>
      </c>
      <c r="D407" s="18" t="n">
        <f aca="false">Purchase_Orders!D404</f>
        <v>3949.44</v>
      </c>
      <c r="E407" s="16" t="str">
        <f aca="false">Purchase_Orders!F404</f>
        <v>Jessica Smith</v>
      </c>
      <c r="F407" s="16" t="str">
        <f aca="false">Purchase_Orders!G404</f>
        <v>Richard Rodriguez</v>
      </c>
      <c r="G407" s="16" t="str">
        <f aca="false">IF(E407=F407,"VIOLATION - Same Person Requested &amp; Approved","OK")</f>
        <v>OK</v>
      </c>
    </row>
    <row r="408" customFormat="false" ht="15" hidden="false" customHeight="false" outlineLevel="0" collapsed="false">
      <c r="A408" s="16" t="str">
        <f aca="false">Purchase_Orders!A405</f>
        <v>PO10404</v>
      </c>
      <c r="B408" s="16" t="str">
        <f aca="false">Purchase_Orders!B405</f>
        <v>V1031</v>
      </c>
      <c r="C408" s="17" t="n">
        <f aca="false">Purchase_Orders!C405</f>
        <v>46036</v>
      </c>
      <c r="D408" s="18" t="n">
        <f aca="false">Purchase_Orders!D405</f>
        <v>1752.88</v>
      </c>
      <c r="E408" s="16" t="str">
        <f aca="false">Purchase_Orders!F405</f>
        <v>Sandra Aguilar</v>
      </c>
      <c r="F408" s="16" t="str">
        <f aca="false">Purchase_Orders!G405</f>
        <v>Richard Rodriguez</v>
      </c>
      <c r="G408" s="16" t="str">
        <f aca="false">IF(E408=F408,"VIOLATION - Same Person Requested &amp; Approved","OK")</f>
        <v>OK</v>
      </c>
    </row>
    <row r="409" customFormat="false" ht="15" hidden="false" customHeight="false" outlineLevel="0" collapsed="false">
      <c r="A409" s="16" t="str">
        <f aca="false">Purchase_Orders!A406</f>
        <v>PO10405</v>
      </c>
      <c r="B409" s="16" t="str">
        <f aca="false">Purchase_Orders!B406</f>
        <v>V1003</v>
      </c>
      <c r="C409" s="17" t="n">
        <f aca="false">Purchase_Orders!C406</f>
        <v>45815</v>
      </c>
      <c r="D409" s="18" t="n">
        <f aca="false">Purchase_Orders!D406</f>
        <v>3826.85</v>
      </c>
      <c r="E409" s="16" t="str">
        <f aca="false">Purchase_Orders!F406</f>
        <v>James Powers</v>
      </c>
      <c r="F409" s="16" t="str">
        <f aca="false">Purchase_Orders!G406</f>
        <v>Julia Torres</v>
      </c>
      <c r="G409" s="16" t="str">
        <f aca="false">IF(E409=F409,"VIOLATION - Same Person Requested &amp; Approved","OK")</f>
        <v>OK</v>
      </c>
    </row>
    <row r="410" customFormat="false" ht="15" hidden="false" customHeight="false" outlineLevel="0" collapsed="false">
      <c r="A410" s="16" t="str">
        <f aca="false">Purchase_Orders!A407</f>
        <v>PO10406</v>
      </c>
      <c r="B410" s="16" t="str">
        <f aca="false">Purchase_Orders!B407</f>
        <v>V1013</v>
      </c>
      <c r="C410" s="17" t="n">
        <f aca="false">Purchase_Orders!C407</f>
        <v>46173</v>
      </c>
      <c r="D410" s="18" t="n">
        <f aca="false">Purchase_Orders!D407</f>
        <v>1836.32</v>
      </c>
      <c r="E410" s="16" t="str">
        <f aca="false">Purchase_Orders!F407</f>
        <v>Aimee Montoya</v>
      </c>
      <c r="F410" s="16" t="str">
        <f aca="false">Purchase_Orders!G407</f>
        <v>Sharon Cochran</v>
      </c>
      <c r="G410" s="16" t="str">
        <f aca="false">IF(E410=F410,"VIOLATION - Same Person Requested &amp; Approved","OK")</f>
        <v>OK</v>
      </c>
    </row>
    <row r="411" customFormat="false" ht="15" hidden="false" customHeight="false" outlineLevel="0" collapsed="false">
      <c r="A411" s="16" t="str">
        <f aca="false">Purchase_Orders!A408</f>
        <v>PO10407</v>
      </c>
      <c r="B411" s="16" t="str">
        <f aca="false">Purchase_Orders!B408</f>
        <v>V1019</v>
      </c>
      <c r="C411" s="17" t="n">
        <f aca="false">Purchase_Orders!C408</f>
        <v>46101</v>
      </c>
      <c r="D411" s="18" t="n">
        <f aca="false">Purchase_Orders!D408</f>
        <v>933.1</v>
      </c>
      <c r="E411" s="16" t="str">
        <f aca="false">Purchase_Orders!F408</f>
        <v>Brian Rodriguez</v>
      </c>
      <c r="F411" s="16" t="str">
        <f aca="false">Purchase_Orders!G408</f>
        <v>Sharon Cherry</v>
      </c>
      <c r="G411" s="16" t="str">
        <f aca="false">IF(E411=F411,"VIOLATION - Same Person Requested &amp; Approved","OK")</f>
        <v>OK</v>
      </c>
    </row>
    <row r="412" customFormat="false" ht="15" hidden="false" customHeight="false" outlineLevel="0" collapsed="false">
      <c r="A412" s="16" t="str">
        <f aca="false">Purchase_Orders!A409</f>
        <v>PO10408</v>
      </c>
      <c r="B412" s="16" t="str">
        <f aca="false">Purchase_Orders!B409</f>
        <v>V1012</v>
      </c>
      <c r="C412" s="17" t="n">
        <f aca="false">Purchase_Orders!C409</f>
        <v>45957</v>
      </c>
      <c r="D412" s="18" t="n">
        <f aca="false">Purchase_Orders!D409</f>
        <v>6538.37</v>
      </c>
      <c r="E412" s="16" t="str">
        <f aca="false">Purchase_Orders!F409</f>
        <v>John Whitehead</v>
      </c>
      <c r="F412" s="16" t="str">
        <f aca="false">Purchase_Orders!G409</f>
        <v>Marc Moore</v>
      </c>
      <c r="G412" s="16" t="str">
        <f aca="false">IF(E412=F412,"VIOLATION - Same Person Requested &amp; Approved","OK")</f>
        <v>OK</v>
      </c>
    </row>
    <row r="413" customFormat="false" ht="15" hidden="false" customHeight="false" outlineLevel="0" collapsed="false">
      <c r="A413" s="16" t="str">
        <f aca="false">Purchase_Orders!A410</f>
        <v>PO10409</v>
      </c>
      <c r="B413" s="16" t="str">
        <f aca="false">Purchase_Orders!B410</f>
        <v>V1022</v>
      </c>
      <c r="C413" s="17" t="n">
        <f aca="false">Purchase_Orders!C410</f>
        <v>45905</v>
      </c>
      <c r="D413" s="18" t="n">
        <f aca="false">Purchase_Orders!D410</f>
        <v>3586.35</v>
      </c>
      <c r="E413" s="16" t="str">
        <f aca="false">Purchase_Orders!F410</f>
        <v>Aimee Montoya</v>
      </c>
      <c r="F413" s="16" t="str">
        <f aca="false">Purchase_Orders!G410</f>
        <v>Sharon Cherry</v>
      </c>
      <c r="G413" s="16" t="str">
        <f aca="false">IF(E413=F413,"VIOLATION - Same Person Requested &amp; Approved","OK")</f>
        <v>OK</v>
      </c>
    </row>
    <row r="414" customFormat="false" ht="15" hidden="false" customHeight="false" outlineLevel="0" collapsed="false">
      <c r="A414" s="16" t="str">
        <f aca="false">Purchase_Orders!A411</f>
        <v>PO10410</v>
      </c>
      <c r="B414" s="16" t="str">
        <f aca="false">Purchase_Orders!B411</f>
        <v>V1029</v>
      </c>
      <c r="C414" s="17" t="n">
        <f aca="false">Purchase_Orders!C411</f>
        <v>45829</v>
      </c>
      <c r="D414" s="18" t="n">
        <f aca="false">Purchase_Orders!D411</f>
        <v>3705.05</v>
      </c>
      <c r="E414" s="16" t="str">
        <f aca="false">Purchase_Orders!F411</f>
        <v>James Powers</v>
      </c>
      <c r="F414" s="16" t="str">
        <f aca="false">Purchase_Orders!G411</f>
        <v>Shannon Walker</v>
      </c>
      <c r="G414" s="16" t="str">
        <f aca="false">IF(E414=F414,"VIOLATION - Same Person Requested &amp; Approved","OK")</f>
        <v>OK</v>
      </c>
    </row>
    <row r="415" customFormat="false" ht="15" hidden="false" customHeight="false" outlineLevel="0" collapsed="false">
      <c r="A415" s="16" t="str">
        <f aca="false">Purchase_Orders!A412</f>
        <v>PO10411</v>
      </c>
      <c r="B415" s="16" t="str">
        <f aca="false">Purchase_Orders!B412</f>
        <v>V1005</v>
      </c>
      <c r="C415" s="17" t="n">
        <f aca="false">Purchase_Orders!C412</f>
        <v>45834</v>
      </c>
      <c r="D415" s="18" t="n">
        <f aca="false">Purchase_Orders!D412</f>
        <v>4579.99</v>
      </c>
      <c r="E415" s="16" t="str">
        <f aca="false">Purchase_Orders!F412</f>
        <v>Deborah Figueroa</v>
      </c>
      <c r="F415" s="16" t="str">
        <f aca="false">Purchase_Orders!G412</f>
        <v>Marc Moore</v>
      </c>
      <c r="G415" s="16" t="str">
        <f aca="false">IF(E415=F415,"VIOLATION - Same Person Requested &amp; Approved","OK")</f>
        <v>OK</v>
      </c>
    </row>
    <row r="416" customFormat="false" ht="15" hidden="false" customHeight="false" outlineLevel="0" collapsed="false">
      <c r="A416" s="16" t="str">
        <f aca="false">Purchase_Orders!A413</f>
        <v>PO10412</v>
      </c>
      <c r="B416" s="16" t="str">
        <f aca="false">Purchase_Orders!B413</f>
        <v>V1015</v>
      </c>
      <c r="C416" s="17" t="n">
        <f aca="false">Purchase_Orders!C413</f>
        <v>46186</v>
      </c>
      <c r="D416" s="18" t="n">
        <f aca="false">Purchase_Orders!D413</f>
        <v>439.82</v>
      </c>
      <c r="E416" s="16" t="str">
        <f aca="false">Purchase_Orders!F413</f>
        <v>Jessica Smith</v>
      </c>
      <c r="F416" s="16" t="str">
        <f aca="false">Purchase_Orders!G413</f>
        <v>Evelyn Galvan</v>
      </c>
      <c r="G416" s="16" t="str">
        <f aca="false">IF(E416=F416,"VIOLATION - Same Person Requested &amp; Approved","OK")</f>
        <v>OK</v>
      </c>
    </row>
    <row r="417" customFormat="false" ht="15" hidden="false" customHeight="false" outlineLevel="0" collapsed="false">
      <c r="A417" s="16" t="str">
        <f aca="false">Purchase_Orders!A414</f>
        <v>PO10413</v>
      </c>
      <c r="B417" s="16" t="str">
        <f aca="false">Purchase_Orders!B414</f>
        <v>V1010</v>
      </c>
      <c r="C417" s="17" t="n">
        <f aca="false">Purchase_Orders!C414</f>
        <v>45878</v>
      </c>
      <c r="D417" s="18" t="n">
        <f aca="false">Purchase_Orders!D414</f>
        <v>1348.19</v>
      </c>
      <c r="E417" s="16" t="str">
        <f aca="false">Purchase_Orders!F414</f>
        <v>Anna Henderson</v>
      </c>
      <c r="F417" s="16" t="str">
        <f aca="false">Purchase_Orders!G414</f>
        <v>Sierra Johnson</v>
      </c>
      <c r="G417" s="16" t="str">
        <f aca="false">IF(E417=F417,"VIOLATION - Same Person Requested &amp; Approved","OK")</f>
        <v>OK</v>
      </c>
    </row>
    <row r="418" customFormat="false" ht="15" hidden="false" customHeight="false" outlineLevel="0" collapsed="false">
      <c r="A418" s="16" t="str">
        <f aca="false">Purchase_Orders!A415</f>
        <v>PO10414</v>
      </c>
      <c r="B418" s="16" t="str">
        <f aca="false">Purchase_Orders!B415</f>
        <v>V1018</v>
      </c>
      <c r="C418" s="17" t="n">
        <f aca="false">Purchase_Orders!C415</f>
        <v>45938</v>
      </c>
      <c r="D418" s="18" t="n">
        <f aca="false">Purchase_Orders!D415</f>
        <v>2579.5</v>
      </c>
      <c r="E418" s="16" t="str">
        <f aca="false">Purchase_Orders!F415</f>
        <v>John Whitehead</v>
      </c>
      <c r="F418" s="16" t="str">
        <f aca="false">Purchase_Orders!G415</f>
        <v>Sharon Cherry</v>
      </c>
      <c r="G418" s="16" t="str">
        <f aca="false">IF(E418=F418,"VIOLATION - Same Person Requested &amp; Approved","OK")</f>
        <v>OK</v>
      </c>
    </row>
    <row r="419" customFormat="false" ht="15" hidden="false" customHeight="false" outlineLevel="0" collapsed="false">
      <c r="A419" s="16" t="str">
        <f aca="false">Purchase_Orders!A416</f>
        <v>PO10415</v>
      </c>
      <c r="B419" s="16" t="str">
        <f aca="false">Purchase_Orders!B416</f>
        <v>V1001</v>
      </c>
      <c r="C419" s="17" t="n">
        <f aca="false">Purchase_Orders!C416</f>
        <v>46196</v>
      </c>
      <c r="D419" s="18" t="n">
        <f aca="false">Purchase_Orders!D416</f>
        <v>1874.41</v>
      </c>
      <c r="E419" s="16" t="str">
        <f aca="false">Purchase_Orders!F416</f>
        <v>Matthew Mcmillan</v>
      </c>
      <c r="F419" s="16" t="str">
        <f aca="false">Purchase_Orders!G416</f>
        <v>Sharon Cherry</v>
      </c>
      <c r="G419" s="16" t="str">
        <f aca="false">IF(E419=F419,"VIOLATION - Same Person Requested &amp; Approved","OK")</f>
        <v>OK</v>
      </c>
    </row>
    <row r="420" customFormat="false" ht="15" hidden="false" customHeight="false" outlineLevel="0" collapsed="false">
      <c r="A420" s="16" t="str">
        <f aca="false">Purchase_Orders!A417</f>
        <v>PO10416</v>
      </c>
      <c r="B420" s="16" t="str">
        <f aca="false">Purchase_Orders!B417</f>
        <v>V1034</v>
      </c>
      <c r="C420" s="17" t="n">
        <f aca="false">Purchase_Orders!C417</f>
        <v>46016</v>
      </c>
      <c r="D420" s="18" t="n">
        <f aca="false">Purchase_Orders!D417</f>
        <v>1850.75</v>
      </c>
      <c r="E420" s="16" t="str">
        <f aca="false">Purchase_Orders!F417</f>
        <v>Angel Lewis MD</v>
      </c>
      <c r="F420" s="16" t="str">
        <f aca="false">Purchase_Orders!G417</f>
        <v>Marc Moore</v>
      </c>
      <c r="G420" s="16" t="str">
        <f aca="false">IF(E420=F420,"VIOLATION - Same Person Requested &amp; Approved","OK")</f>
        <v>OK</v>
      </c>
    </row>
    <row r="421" customFormat="false" ht="15" hidden="false" customHeight="false" outlineLevel="0" collapsed="false">
      <c r="A421" s="16" t="str">
        <f aca="false">Purchase_Orders!A418</f>
        <v>PO10417</v>
      </c>
      <c r="B421" s="16" t="str">
        <f aca="false">Purchase_Orders!B418</f>
        <v>V1006</v>
      </c>
      <c r="C421" s="17" t="n">
        <f aca="false">Purchase_Orders!C418</f>
        <v>45953</v>
      </c>
      <c r="D421" s="18" t="n">
        <f aca="false">Purchase_Orders!D418</f>
        <v>1673.73</v>
      </c>
      <c r="E421" s="16" t="str">
        <f aca="false">Purchase_Orders!F418</f>
        <v>John Whitehead</v>
      </c>
      <c r="F421" s="16" t="str">
        <f aca="false">Purchase_Orders!G418</f>
        <v>Julia Torres</v>
      </c>
      <c r="G421" s="16" t="str">
        <f aca="false">IF(E421=F421,"VIOLATION - Same Person Requested &amp; Approved","OK")</f>
        <v>OK</v>
      </c>
    </row>
    <row r="422" customFormat="false" ht="15" hidden="false" customHeight="false" outlineLevel="0" collapsed="false">
      <c r="A422" s="16" t="str">
        <f aca="false">Purchase_Orders!A419</f>
        <v>PO10418</v>
      </c>
      <c r="B422" s="16" t="str">
        <f aca="false">Purchase_Orders!B419</f>
        <v>V1002</v>
      </c>
      <c r="C422" s="17" t="n">
        <f aca="false">Purchase_Orders!C419</f>
        <v>45883</v>
      </c>
      <c r="D422" s="18" t="n">
        <f aca="false">Purchase_Orders!D419</f>
        <v>3328.14</v>
      </c>
      <c r="E422" s="16" t="str">
        <f aca="false">Purchase_Orders!F419</f>
        <v>Stephen Mckee</v>
      </c>
      <c r="F422" s="16" t="str">
        <f aca="false">Purchase_Orders!G419</f>
        <v>Sierra Johnson</v>
      </c>
      <c r="G422" s="16" t="str">
        <f aca="false">IF(E422=F422,"VIOLATION - Same Person Requested &amp; Approved","OK")</f>
        <v>OK</v>
      </c>
    </row>
    <row r="423" customFormat="false" ht="15" hidden="false" customHeight="false" outlineLevel="0" collapsed="false">
      <c r="A423" s="16" t="str">
        <f aca="false">Purchase_Orders!A420</f>
        <v>PO10419</v>
      </c>
      <c r="B423" s="16" t="str">
        <f aca="false">Purchase_Orders!B420</f>
        <v>V1022</v>
      </c>
      <c r="C423" s="17" t="n">
        <f aca="false">Purchase_Orders!C420</f>
        <v>45760</v>
      </c>
      <c r="D423" s="18" t="n">
        <f aca="false">Purchase_Orders!D420</f>
        <v>537.31</v>
      </c>
      <c r="E423" s="16" t="str">
        <f aca="false">Purchase_Orders!F420</f>
        <v>Aimee Montoya</v>
      </c>
      <c r="F423" s="16" t="str">
        <f aca="false">Purchase_Orders!G420</f>
        <v>Shannon Walker</v>
      </c>
      <c r="G423" s="16" t="str">
        <f aca="false">IF(E423=F423,"VIOLATION - Same Person Requested &amp; Approved","OK")</f>
        <v>OK</v>
      </c>
    </row>
    <row r="424" customFormat="false" ht="15" hidden="false" customHeight="false" outlineLevel="0" collapsed="false">
      <c r="A424" s="16" t="str">
        <f aca="false">Purchase_Orders!A421</f>
        <v>PO10420</v>
      </c>
      <c r="B424" s="16" t="str">
        <f aca="false">Purchase_Orders!B421</f>
        <v>V1007</v>
      </c>
      <c r="C424" s="17" t="n">
        <f aca="false">Purchase_Orders!C421</f>
        <v>45855</v>
      </c>
      <c r="D424" s="18" t="n">
        <f aca="false">Purchase_Orders!D421</f>
        <v>1115.7</v>
      </c>
      <c r="E424" s="16" t="str">
        <f aca="false">Purchase_Orders!F421</f>
        <v>Matthew Mcmillan</v>
      </c>
      <c r="F424" s="16" t="str">
        <f aca="false">Purchase_Orders!G421</f>
        <v>Marc Moore</v>
      </c>
      <c r="G424" s="16" t="str">
        <f aca="false">IF(E424=F424,"VIOLATION - Same Person Requested &amp; Approved","OK")</f>
        <v>OK</v>
      </c>
    </row>
    <row r="425" customFormat="false" ht="15" hidden="false" customHeight="false" outlineLevel="0" collapsed="false">
      <c r="A425" s="16" t="str">
        <f aca="false">Purchase_Orders!A422</f>
        <v>PO10421</v>
      </c>
      <c r="B425" s="16" t="str">
        <f aca="false">Purchase_Orders!B422</f>
        <v>V1019</v>
      </c>
      <c r="C425" s="17" t="n">
        <f aca="false">Purchase_Orders!C422</f>
        <v>46070</v>
      </c>
      <c r="D425" s="18" t="n">
        <f aca="false">Purchase_Orders!D422</f>
        <v>1572.78</v>
      </c>
      <c r="E425" s="16" t="str">
        <f aca="false">Purchase_Orders!F422</f>
        <v>Sandra Aguilar</v>
      </c>
      <c r="F425" s="16" t="str">
        <f aca="false">Purchase_Orders!G422</f>
        <v>Richard Rodriguez</v>
      </c>
      <c r="G425" s="16" t="str">
        <f aca="false">IF(E425=F425,"VIOLATION - Same Person Requested &amp; Approved","OK")</f>
        <v>OK</v>
      </c>
    </row>
    <row r="426" customFormat="false" ht="15" hidden="false" customHeight="false" outlineLevel="0" collapsed="false">
      <c r="A426" s="16" t="str">
        <f aca="false">Purchase_Orders!A423</f>
        <v>PO10422</v>
      </c>
      <c r="B426" s="16" t="str">
        <f aca="false">Purchase_Orders!B423</f>
        <v>V1025</v>
      </c>
      <c r="C426" s="17" t="n">
        <f aca="false">Purchase_Orders!C423</f>
        <v>45998</v>
      </c>
      <c r="D426" s="18" t="n">
        <f aca="false">Purchase_Orders!D423</f>
        <v>1440.58</v>
      </c>
      <c r="E426" s="16" t="str">
        <f aca="false">Purchase_Orders!F423</f>
        <v>Eugene Walton</v>
      </c>
      <c r="F426" s="16" t="str">
        <f aca="false">Purchase_Orders!G423</f>
        <v>Shannon Walker</v>
      </c>
      <c r="G426" s="16" t="str">
        <f aca="false">IF(E426=F426,"VIOLATION - Same Person Requested &amp; Approved","OK")</f>
        <v>OK</v>
      </c>
    </row>
    <row r="427" customFormat="false" ht="15" hidden="false" customHeight="false" outlineLevel="0" collapsed="false">
      <c r="A427" s="16" t="str">
        <f aca="false">Purchase_Orders!A424</f>
        <v>PO10423</v>
      </c>
      <c r="B427" s="16" t="str">
        <f aca="false">Purchase_Orders!B424</f>
        <v>V1020</v>
      </c>
      <c r="C427" s="17" t="n">
        <f aca="false">Purchase_Orders!C424</f>
        <v>46072</v>
      </c>
      <c r="D427" s="18" t="n">
        <f aca="false">Purchase_Orders!D424</f>
        <v>308.34</v>
      </c>
      <c r="E427" s="16" t="str">
        <f aca="false">Purchase_Orders!F424</f>
        <v>Christine Wright</v>
      </c>
      <c r="F427" s="16" t="str">
        <f aca="false">Purchase_Orders!G424</f>
        <v>Sierra Johnson</v>
      </c>
      <c r="G427" s="16" t="str">
        <f aca="false">IF(E427=F427,"VIOLATION - Same Person Requested &amp; Approved","OK")</f>
        <v>OK</v>
      </c>
    </row>
    <row r="428" customFormat="false" ht="15" hidden="false" customHeight="false" outlineLevel="0" collapsed="false">
      <c r="A428" s="16" t="str">
        <f aca="false">Purchase_Orders!A425</f>
        <v>PO10424</v>
      </c>
      <c r="B428" s="16" t="str">
        <f aca="false">Purchase_Orders!B425</f>
        <v>V1034</v>
      </c>
      <c r="C428" s="17" t="n">
        <f aca="false">Purchase_Orders!C425</f>
        <v>45768</v>
      </c>
      <c r="D428" s="18" t="n">
        <f aca="false">Purchase_Orders!D425</f>
        <v>303.89</v>
      </c>
      <c r="E428" s="16" t="str">
        <f aca="false">Purchase_Orders!F425</f>
        <v>Jessica Smith</v>
      </c>
      <c r="F428" s="16" t="str">
        <f aca="false">Purchase_Orders!G425</f>
        <v>Sierra Johnson</v>
      </c>
      <c r="G428" s="16" t="str">
        <f aca="false">IF(E428=F428,"VIOLATION - Same Person Requested &amp; Approved","OK")</f>
        <v>OK</v>
      </c>
    </row>
    <row r="429" customFormat="false" ht="15" hidden="false" customHeight="false" outlineLevel="0" collapsed="false">
      <c r="A429" s="16" t="str">
        <f aca="false">Purchase_Orders!A426</f>
        <v>PO10425</v>
      </c>
      <c r="B429" s="16" t="str">
        <f aca="false">Purchase_Orders!B426</f>
        <v>V1023</v>
      </c>
      <c r="C429" s="17" t="n">
        <f aca="false">Purchase_Orders!C426</f>
        <v>45957</v>
      </c>
      <c r="D429" s="18" t="n">
        <f aca="false">Purchase_Orders!D426</f>
        <v>4223.32</v>
      </c>
      <c r="E429" s="16" t="str">
        <f aca="false">Purchase_Orders!F426</f>
        <v>Aimee Montoya</v>
      </c>
      <c r="F429" s="16" t="str">
        <f aca="false">Purchase_Orders!G426</f>
        <v>Shannon Walker</v>
      </c>
      <c r="G429" s="16" t="str">
        <f aca="false">IF(E429=F429,"VIOLATION - Same Person Requested &amp; Approved","OK")</f>
        <v>OK</v>
      </c>
    </row>
    <row r="430" customFormat="false" ht="15" hidden="false" customHeight="false" outlineLevel="0" collapsed="false">
      <c r="A430" s="16" t="str">
        <f aca="false">Purchase_Orders!A427</f>
        <v>PO10426</v>
      </c>
      <c r="B430" s="16" t="str">
        <f aca="false">Purchase_Orders!B427</f>
        <v>V1015</v>
      </c>
      <c r="C430" s="17" t="n">
        <f aca="false">Purchase_Orders!C427</f>
        <v>46163</v>
      </c>
      <c r="D430" s="18" t="n">
        <f aca="false">Purchase_Orders!D427</f>
        <v>1084.38</v>
      </c>
      <c r="E430" s="16" t="str">
        <f aca="false">Purchase_Orders!F427</f>
        <v>Rebecca Valencia</v>
      </c>
      <c r="F430" s="16" t="str">
        <f aca="false">Purchase_Orders!G427</f>
        <v>Sharon Cherry</v>
      </c>
      <c r="G430" s="16" t="str">
        <f aca="false">IF(E430=F430,"VIOLATION - Same Person Requested &amp; Approved","OK")</f>
        <v>OK</v>
      </c>
    </row>
    <row r="431" customFormat="false" ht="15" hidden="false" customHeight="false" outlineLevel="0" collapsed="false">
      <c r="A431" s="16" t="str">
        <f aca="false">Purchase_Orders!A428</f>
        <v>PO10427</v>
      </c>
      <c r="B431" s="16" t="str">
        <f aca="false">Purchase_Orders!B428</f>
        <v>V1037</v>
      </c>
      <c r="C431" s="17" t="n">
        <f aca="false">Purchase_Orders!C428</f>
        <v>45896</v>
      </c>
      <c r="D431" s="18" t="n">
        <f aca="false">Purchase_Orders!D428</f>
        <v>3288.85</v>
      </c>
      <c r="E431" s="16" t="str">
        <f aca="false">Purchase_Orders!F428</f>
        <v>Denise Jacobs</v>
      </c>
      <c r="F431" s="16" t="str">
        <f aca="false">Purchase_Orders!G428</f>
        <v>Richard Rodriguez</v>
      </c>
      <c r="G431" s="16" t="str">
        <f aca="false">IF(E431=F431,"VIOLATION - Same Person Requested &amp; Approved","OK")</f>
        <v>OK</v>
      </c>
    </row>
    <row r="432" customFormat="false" ht="15" hidden="false" customHeight="false" outlineLevel="0" collapsed="false">
      <c r="A432" s="16" t="str">
        <f aca="false">Purchase_Orders!A429</f>
        <v>PO10428</v>
      </c>
      <c r="B432" s="16" t="str">
        <f aca="false">Purchase_Orders!B429</f>
        <v>V1002</v>
      </c>
      <c r="C432" s="17" t="n">
        <f aca="false">Purchase_Orders!C429</f>
        <v>46038</v>
      </c>
      <c r="D432" s="18" t="n">
        <f aca="false">Purchase_Orders!D429</f>
        <v>2979.58</v>
      </c>
      <c r="E432" s="16" t="str">
        <f aca="false">Purchase_Orders!F429</f>
        <v>Cameron Parker</v>
      </c>
      <c r="F432" s="16" t="str">
        <f aca="false">Purchase_Orders!G429</f>
        <v>Sharon Cherry</v>
      </c>
      <c r="G432" s="16" t="str">
        <f aca="false">IF(E432=F432,"VIOLATION - Same Person Requested &amp; Approved","OK")</f>
        <v>OK</v>
      </c>
    </row>
    <row r="433" customFormat="false" ht="15" hidden="false" customHeight="false" outlineLevel="0" collapsed="false">
      <c r="A433" s="16" t="str">
        <f aca="false">Purchase_Orders!A430</f>
        <v>PO10429</v>
      </c>
      <c r="B433" s="16" t="str">
        <f aca="false">Purchase_Orders!B430</f>
        <v>V1018</v>
      </c>
      <c r="C433" s="17" t="n">
        <f aca="false">Purchase_Orders!C430</f>
        <v>45724</v>
      </c>
      <c r="D433" s="18" t="n">
        <f aca="false">Purchase_Orders!D430</f>
        <v>209.66</v>
      </c>
      <c r="E433" s="16" t="str">
        <f aca="false">Purchase_Orders!F430</f>
        <v>Christina Walters</v>
      </c>
      <c r="F433" s="16" t="str">
        <f aca="false">Purchase_Orders!G430</f>
        <v>Christina Walters</v>
      </c>
      <c r="G433" s="16" t="str">
        <f aca="false">IF(E433=F433,"VIOLATION - Same Person Requested &amp; Approved","OK")</f>
        <v>VIOLATION - Same Person Requested &amp; Approved</v>
      </c>
    </row>
    <row r="434" customFormat="false" ht="15" hidden="false" customHeight="false" outlineLevel="0" collapsed="false">
      <c r="A434" s="16" t="str">
        <f aca="false">Purchase_Orders!A431</f>
        <v>PO10430</v>
      </c>
      <c r="B434" s="16" t="str">
        <f aca="false">Purchase_Orders!B431</f>
        <v>V1037</v>
      </c>
      <c r="C434" s="17" t="n">
        <f aca="false">Purchase_Orders!C431</f>
        <v>46188</v>
      </c>
      <c r="D434" s="18" t="n">
        <f aca="false">Purchase_Orders!D431</f>
        <v>3415.67</v>
      </c>
      <c r="E434" s="16" t="str">
        <f aca="false">Purchase_Orders!F431</f>
        <v>Aimee Montoya</v>
      </c>
      <c r="F434" s="16" t="str">
        <f aca="false">Purchase_Orders!G431</f>
        <v>Sierra Johnson</v>
      </c>
      <c r="G434" s="16" t="str">
        <f aca="false">IF(E434=F434,"VIOLATION - Same Person Requested &amp; Approved","OK")</f>
        <v>OK</v>
      </c>
    </row>
    <row r="435" customFormat="false" ht="15" hidden="false" customHeight="false" outlineLevel="0" collapsed="false">
      <c r="A435" s="16" t="str">
        <f aca="false">Purchase_Orders!A432</f>
        <v>PO10431</v>
      </c>
      <c r="B435" s="16" t="str">
        <f aca="false">Purchase_Orders!B432</f>
        <v>V1026</v>
      </c>
      <c r="C435" s="17" t="n">
        <f aca="false">Purchase_Orders!C432</f>
        <v>45989</v>
      </c>
      <c r="D435" s="18" t="n">
        <f aca="false">Purchase_Orders!D432</f>
        <v>1992.56</v>
      </c>
      <c r="E435" s="16" t="str">
        <f aca="false">Purchase_Orders!F432</f>
        <v>Matthew Mcmillan</v>
      </c>
      <c r="F435" s="16" t="str">
        <f aca="false">Purchase_Orders!G432</f>
        <v>Julia Torres</v>
      </c>
      <c r="G435" s="16" t="str">
        <f aca="false">IF(E435=F435,"VIOLATION - Same Person Requested &amp; Approved","OK")</f>
        <v>OK</v>
      </c>
    </row>
    <row r="436" customFormat="false" ht="15" hidden="false" customHeight="false" outlineLevel="0" collapsed="false">
      <c r="A436" s="16" t="str">
        <f aca="false">Purchase_Orders!A433</f>
        <v>PO10432</v>
      </c>
      <c r="B436" s="16" t="str">
        <f aca="false">Purchase_Orders!B433</f>
        <v>V1001</v>
      </c>
      <c r="C436" s="17" t="n">
        <f aca="false">Purchase_Orders!C433</f>
        <v>45788</v>
      </c>
      <c r="D436" s="18" t="n">
        <f aca="false">Purchase_Orders!D433</f>
        <v>2035.46</v>
      </c>
      <c r="E436" s="16" t="str">
        <f aca="false">Purchase_Orders!F433</f>
        <v>Jimmy Murillo</v>
      </c>
      <c r="F436" s="16" t="str">
        <f aca="false">Purchase_Orders!G433</f>
        <v>Sierra Johnson</v>
      </c>
      <c r="G436" s="16" t="str">
        <f aca="false">IF(E436=F436,"VIOLATION - Same Person Requested &amp; Approved","OK")</f>
        <v>OK</v>
      </c>
    </row>
    <row r="437" customFormat="false" ht="15" hidden="false" customHeight="false" outlineLevel="0" collapsed="false">
      <c r="A437" s="16" t="str">
        <f aca="false">Purchase_Orders!A434</f>
        <v>PO10433</v>
      </c>
      <c r="B437" s="16" t="str">
        <f aca="false">Purchase_Orders!B434</f>
        <v>V1006</v>
      </c>
      <c r="C437" s="17" t="n">
        <f aca="false">Purchase_Orders!C434</f>
        <v>45744</v>
      </c>
      <c r="D437" s="18" t="n">
        <f aca="false">Purchase_Orders!D434</f>
        <v>9019.36</v>
      </c>
      <c r="E437" s="16" t="str">
        <f aca="false">Purchase_Orders!F434</f>
        <v>Eugene Walton</v>
      </c>
      <c r="F437" s="16" t="str">
        <f aca="false">Purchase_Orders!G434</f>
        <v>Marc Moore</v>
      </c>
      <c r="G437" s="16" t="str">
        <f aca="false">IF(E437=F437,"VIOLATION - Same Person Requested &amp; Approved","OK")</f>
        <v>OK</v>
      </c>
    </row>
    <row r="438" customFormat="false" ht="15" hidden="false" customHeight="false" outlineLevel="0" collapsed="false">
      <c r="A438" s="16" t="str">
        <f aca="false">Purchase_Orders!A435</f>
        <v>PO10434</v>
      </c>
      <c r="B438" s="16" t="str">
        <f aca="false">Purchase_Orders!B435</f>
        <v>V1016</v>
      </c>
      <c r="C438" s="17" t="n">
        <f aca="false">Purchase_Orders!C435</f>
        <v>45958</v>
      </c>
      <c r="D438" s="18" t="n">
        <f aca="false">Purchase_Orders!D435</f>
        <v>1812.95</v>
      </c>
      <c r="E438" s="16" t="str">
        <f aca="false">Purchase_Orders!F435</f>
        <v>Richard Henson</v>
      </c>
      <c r="F438" s="16" t="str">
        <f aca="false">Purchase_Orders!G435</f>
        <v>Sierra Johnson</v>
      </c>
      <c r="G438" s="16" t="str">
        <f aca="false">IF(E438=F438,"VIOLATION - Same Person Requested &amp; Approved","OK")</f>
        <v>OK</v>
      </c>
    </row>
    <row r="439" customFormat="false" ht="15" hidden="false" customHeight="false" outlineLevel="0" collapsed="false">
      <c r="A439" s="16" t="str">
        <f aca="false">Purchase_Orders!A436</f>
        <v>PO10435</v>
      </c>
      <c r="B439" s="16" t="str">
        <f aca="false">Purchase_Orders!B436</f>
        <v>V1023</v>
      </c>
      <c r="C439" s="17" t="n">
        <f aca="false">Purchase_Orders!C436</f>
        <v>45958</v>
      </c>
      <c r="D439" s="18" t="n">
        <f aca="false">Purchase_Orders!D436</f>
        <v>939.2</v>
      </c>
      <c r="E439" s="16" t="str">
        <f aca="false">Purchase_Orders!F436</f>
        <v>Jimmy Murillo</v>
      </c>
      <c r="F439" s="16" t="str">
        <f aca="false">Purchase_Orders!G436</f>
        <v>Sierra Johnson</v>
      </c>
      <c r="G439" s="16" t="str">
        <f aca="false">IF(E439=F439,"VIOLATION - Same Person Requested &amp; Approved","OK")</f>
        <v>OK</v>
      </c>
    </row>
    <row r="440" customFormat="false" ht="15" hidden="false" customHeight="false" outlineLevel="0" collapsed="false">
      <c r="A440" s="16" t="str">
        <f aca="false">Purchase_Orders!A437</f>
        <v>PO10436</v>
      </c>
      <c r="B440" s="16" t="str">
        <f aca="false">Purchase_Orders!B437</f>
        <v>V1009</v>
      </c>
      <c r="C440" s="17" t="n">
        <f aca="false">Purchase_Orders!C437</f>
        <v>45708</v>
      </c>
      <c r="D440" s="18" t="n">
        <f aca="false">Purchase_Orders!D437</f>
        <v>2749.82</v>
      </c>
      <c r="E440" s="16" t="str">
        <f aca="false">Purchase_Orders!F437</f>
        <v>Rebecca Valencia</v>
      </c>
      <c r="F440" s="16" t="str">
        <f aca="false">Purchase_Orders!G437</f>
        <v>Sierra Johnson</v>
      </c>
      <c r="G440" s="16" t="str">
        <f aca="false">IF(E440=F440,"VIOLATION - Same Person Requested &amp; Approved","OK")</f>
        <v>OK</v>
      </c>
    </row>
    <row r="441" customFormat="false" ht="15" hidden="false" customHeight="false" outlineLevel="0" collapsed="false">
      <c r="A441" s="16" t="str">
        <f aca="false">Purchase_Orders!A438</f>
        <v>PO10437</v>
      </c>
      <c r="B441" s="16" t="str">
        <f aca="false">Purchase_Orders!B438</f>
        <v>V1017</v>
      </c>
      <c r="C441" s="17" t="n">
        <f aca="false">Purchase_Orders!C438</f>
        <v>46198</v>
      </c>
      <c r="D441" s="18" t="n">
        <f aca="false">Purchase_Orders!D438</f>
        <v>4037.07</v>
      </c>
      <c r="E441" s="16" t="str">
        <f aca="false">Purchase_Orders!F438</f>
        <v>Christina Moran</v>
      </c>
      <c r="F441" s="16" t="str">
        <f aca="false">Purchase_Orders!G438</f>
        <v>Shannon Walker</v>
      </c>
      <c r="G441" s="16" t="str">
        <f aca="false">IF(E441=F441,"VIOLATION - Same Person Requested &amp; Approved","OK")</f>
        <v>OK</v>
      </c>
    </row>
    <row r="442" customFormat="false" ht="15" hidden="false" customHeight="false" outlineLevel="0" collapsed="false">
      <c r="A442" s="16" t="str">
        <f aca="false">Purchase_Orders!A439</f>
        <v>PO10438</v>
      </c>
      <c r="B442" s="16" t="str">
        <f aca="false">Purchase_Orders!B439</f>
        <v>V1013</v>
      </c>
      <c r="C442" s="17" t="n">
        <f aca="false">Purchase_Orders!C439</f>
        <v>46155</v>
      </c>
      <c r="D442" s="18" t="n">
        <f aca="false">Purchase_Orders!D439</f>
        <v>1201.82</v>
      </c>
      <c r="E442" s="16" t="str">
        <f aca="false">Purchase_Orders!F439</f>
        <v>Christine Wright</v>
      </c>
      <c r="F442" s="16" t="str">
        <f aca="false">Purchase_Orders!G439</f>
        <v>Evelyn Galvan</v>
      </c>
      <c r="G442" s="16" t="str">
        <f aca="false">IF(E442=F442,"VIOLATION - Same Person Requested &amp; Approved","OK")</f>
        <v>OK</v>
      </c>
    </row>
    <row r="443" customFormat="false" ht="15" hidden="false" customHeight="false" outlineLevel="0" collapsed="false">
      <c r="A443" s="16" t="str">
        <f aca="false">Purchase_Orders!A440</f>
        <v>PO10439</v>
      </c>
      <c r="B443" s="16" t="str">
        <f aca="false">Purchase_Orders!B440</f>
        <v>V1010</v>
      </c>
      <c r="C443" s="17" t="n">
        <f aca="false">Purchase_Orders!C440</f>
        <v>45909</v>
      </c>
      <c r="D443" s="18" t="n">
        <f aca="false">Purchase_Orders!D440</f>
        <v>1494.41</v>
      </c>
      <c r="E443" s="16" t="str">
        <f aca="false">Purchase_Orders!F440</f>
        <v>Stephen Mckee</v>
      </c>
      <c r="F443" s="16" t="str">
        <f aca="false">Purchase_Orders!G440</f>
        <v>Sharon Cochran</v>
      </c>
      <c r="G443" s="16" t="str">
        <f aca="false">IF(E443=F443,"VIOLATION - Same Person Requested &amp; Approved","OK")</f>
        <v>OK</v>
      </c>
    </row>
    <row r="444" customFormat="false" ht="15" hidden="false" customHeight="false" outlineLevel="0" collapsed="false">
      <c r="A444" s="16" t="str">
        <f aca="false">Purchase_Orders!A441</f>
        <v>PO10440</v>
      </c>
      <c r="B444" s="16" t="str">
        <f aca="false">Purchase_Orders!B441</f>
        <v>V1002</v>
      </c>
      <c r="C444" s="17" t="n">
        <f aca="false">Purchase_Orders!C441</f>
        <v>45722</v>
      </c>
      <c r="D444" s="18" t="n">
        <f aca="false">Purchase_Orders!D441</f>
        <v>791.01</v>
      </c>
      <c r="E444" s="16" t="str">
        <f aca="false">Purchase_Orders!F441</f>
        <v>John Whitehead</v>
      </c>
      <c r="F444" s="16" t="str">
        <f aca="false">Purchase_Orders!G441</f>
        <v>Evelyn Galvan</v>
      </c>
      <c r="G444" s="16" t="str">
        <f aca="false">IF(E444=F444,"VIOLATION - Same Person Requested &amp; Approved","OK")</f>
        <v>OK</v>
      </c>
    </row>
    <row r="445" customFormat="false" ht="15" hidden="false" customHeight="false" outlineLevel="0" collapsed="false">
      <c r="A445" s="16" t="str">
        <f aca="false">Purchase_Orders!A442</f>
        <v>PO10441</v>
      </c>
      <c r="B445" s="16" t="str">
        <f aca="false">Purchase_Orders!B442</f>
        <v>V1018</v>
      </c>
      <c r="C445" s="17" t="n">
        <f aca="false">Purchase_Orders!C442</f>
        <v>46111</v>
      </c>
      <c r="D445" s="18" t="n">
        <f aca="false">Purchase_Orders!D442</f>
        <v>2064.66</v>
      </c>
      <c r="E445" s="16" t="str">
        <f aca="false">Purchase_Orders!F442</f>
        <v>Aimee Montoya</v>
      </c>
      <c r="F445" s="16" t="str">
        <f aca="false">Purchase_Orders!G442</f>
        <v>Julia Torres</v>
      </c>
      <c r="G445" s="16" t="str">
        <f aca="false">IF(E445=F445,"VIOLATION - Same Person Requested &amp; Approved","OK")</f>
        <v>OK</v>
      </c>
    </row>
    <row r="446" customFormat="false" ht="15" hidden="false" customHeight="false" outlineLevel="0" collapsed="false">
      <c r="A446" s="16" t="str">
        <f aca="false">Purchase_Orders!A443</f>
        <v>PO10442</v>
      </c>
      <c r="B446" s="16" t="str">
        <f aca="false">Purchase_Orders!B443</f>
        <v>V1018</v>
      </c>
      <c r="C446" s="17" t="n">
        <f aca="false">Purchase_Orders!C443</f>
        <v>45929</v>
      </c>
      <c r="D446" s="18" t="n">
        <f aca="false">Purchase_Orders!D443</f>
        <v>882.52</v>
      </c>
      <c r="E446" s="16" t="str">
        <f aca="false">Purchase_Orders!F443</f>
        <v>Shirley Suarez</v>
      </c>
      <c r="F446" s="16" t="str">
        <f aca="false">Purchase_Orders!G443</f>
        <v>Richard Rodriguez</v>
      </c>
      <c r="G446" s="16" t="str">
        <f aca="false">IF(E446=F446,"VIOLATION - Same Person Requested &amp; Approved","OK")</f>
        <v>OK</v>
      </c>
    </row>
    <row r="447" customFormat="false" ht="15" hidden="false" customHeight="false" outlineLevel="0" collapsed="false">
      <c r="A447" s="16" t="str">
        <f aca="false">Purchase_Orders!A444</f>
        <v>PO10443</v>
      </c>
      <c r="B447" s="16" t="str">
        <f aca="false">Purchase_Orders!B444</f>
        <v>V1028</v>
      </c>
      <c r="C447" s="17" t="n">
        <f aca="false">Purchase_Orders!C444</f>
        <v>46048</v>
      </c>
      <c r="D447" s="18" t="n">
        <f aca="false">Purchase_Orders!D444</f>
        <v>3855.85</v>
      </c>
      <c r="E447" s="16" t="str">
        <f aca="false">Purchase_Orders!F444</f>
        <v>Jessica Smith</v>
      </c>
      <c r="F447" s="16" t="str">
        <f aca="false">Purchase_Orders!G444</f>
        <v>Julia Torres</v>
      </c>
      <c r="G447" s="16" t="str">
        <f aca="false">IF(E447=F447,"VIOLATION - Same Person Requested &amp; Approved","OK")</f>
        <v>OK</v>
      </c>
    </row>
    <row r="448" customFormat="false" ht="15" hidden="false" customHeight="false" outlineLevel="0" collapsed="false">
      <c r="A448" s="16" t="str">
        <f aca="false">Purchase_Orders!A445</f>
        <v>PO10444</v>
      </c>
      <c r="B448" s="16" t="str">
        <f aca="false">Purchase_Orders!B445</f>
        <v>V1027</v>
      </c>
      <c r="C448" s="17" t="n">
        <f aca="false">Purchase_Orders!C445</f>
        <v>45935</v>
      </c>
      <c r="D448" s="18" t="n">
        <f aca="false">Purchase_Orders!D445</f>
        <v>1396.94</v>
      </c>
      <c r="E448" s="16" t="str">
        <f aca="false">Purchase_Orders!F445</f>
        <v>Aimee Montoya</v>
      </c>
      <c r="F448" s="16" t="str">
        <f aca="false">Purchase_Orders!G445</f>
        <v>Shannon Walker</v>
      </c>
      <c r="G448" s="16" t="str">
        <f aca="false">IF(E448=F448,"VIOLATION - Same Person Requested &amp; Approved","OK")</f>
        <v>OK</v>
      </c>
    </row>
    <row r="449" customFormat="false" ht="15" hidden="false" customHeight="false" outlineLevel="0" collapsed="false">
      <c r="A449" s="16" t="str">
        <f aca="false">Purchase_Orders!A446</f>
        <v>PO10445</v>
      </c>
      <c r="B449" s="16" t="str">
        <f aca="false">Purchase_Orders!B446</f>
        <v>V1038</v>
      </c>
      <c r="C449" s="17" t="n">
        <f aca="false">Purchase_Orders!C446</f>
        <v>45807</v>
      </c>
      <c r="D449" s="18" t="n">
        <f aca="false">Purchase_Orders!D446</f>
        <v>1284.51</v>
      </c>
      <c r="E449" s="16" t="str">
        <f aca="false">Purchase_Orders!F446</f>
        <v>Christina Walters</v>
      </c>
      <c r="F449" s="16" t="str">
        <f aca="false">Purchase_Orders!G446</f>
        <v>Sierra Johnson</v>
      </c>
      <c r="G449" s="16" t="str">
        <f aca="false">IF(E449=F449,"VIOLATION - Same Person Requested &amp; Approved","OK")</f>
        <v>OK</v>
      </c>
    </row>
    <row r="450" customFormat="false" ht="15" hidden="false" customHeight="false" outlineLevel="0" collapsed="false">
      <c r="A450" s="16" t="str">
        <f aca="false">Purchase_Orders!A447</f>
        <v>PO10446</v>
      </c>
      <c r="B450" s="16" t="str">
        <f aca="false">Purchase_Orders!B447</f>
        <v>V1030</v>
      </c>
      <c r="C450" s="17" t="n">
        <f aca="false">Purchase_Orders!C447</f>
        <v>46112</v>
      </c>
      <c r="D450" s="18" t="n">
        <f aca="false">Purchase_Orders!D447</f>
        <v>3088.46</v>
      </c>
      <c r="E450" s="16" t="str">
        <f aca="false">Purchase_Orders!F447</f>
        <v>Stephen Mckee</v>
      </c>
      <c r="F450" s="16" t="str">
        <f aca="false">Purchase_Orders!G447</f>
        <v>Sierra Johnson</v>
      </c>
      <c r="G450" s="16" t="str">
        <f aca="false">IF(E450=F450,"VIOLATION - Same Person Requested &amp; Approved","OK")</f>
        <v>OK</v>
      </c>
    </row>
    <row r="451" customFormat="false" ht="15" hidden="false" customHeight="false" outlineLevel="0" collapsed="false">
      <c r="A451" s="16" t="str">
        <f aca="false">Purchase_Orders!A448</f>
        <v>PO10447</v>
      </c>
      <c r="B451" s="16" t="str">
        <f aca="false">Purchase_Orders!B448</f>
        <v>V1027</v>
      </c>
      <c r="C451" s="17" t="n">
        <f aca="false">Purchase_Orders!C448</f>
        <v>46192</v>
      </c>
      <c r="D451" s="18" t="n">
        <f aca="false">Purchase_Orders!D448</f>
        <v>10752.87</v>
      </c>
      <c r="E451" s="16" t="str">
        <f aca="false">Purchase_Orders!F448</f>
        <v>Christina Moran</v>
      </c>
      <c r="F451" s="16" t="str">
        <f aca="false">Purchase_Orders!G448</f>
        <v>Julia Torres</v>
      </c>
      <c r="G451" s="16" t="str">
        <f aca="false">IF(E451=F451,"VIOLATION - Same Person Requested &amp; Approved","OK")</f>
        <v>OK</v>
      </c>
    </row>
    <row r="452" customFormat="false" ht="15" hidden="false" customHeight="false" outlineLevel="0" collapsed="false">
      <c r="A452" s="16" t="str">
        <f aca="false">Purchase_Orders!A449</f>
        <v>PO10448</v>
      </c>
      <c r="B452" s="16" t="str">
        <f aca="false">Purchase_Orders!B449</f>
        <v>V1009</v>
      </c>
      <c r="C452" s="17" t="n">
        <f aca="false">Purchase_Orders!C449</f>
        <v>45790</v>
      </c>
      <c r="D452" s="18" t="n">
        <f aca="false">Purchase_Orders!D449</f>
        <v>3083.99</v>
      </c>
      <c r="E452" s="16" t="str">
        <f aca="false">Purchase_Orders!F449</f>
        <v>Deborah Figueroa</v>
      </c>
      <c r="F452" s="16" t="str">
        <f aca="false">Purchase_Orders!G449</f>
        <v>Sharon Cherry</v>
      </c>
      <c r="G452" s="16" t="str">
        <f aca="false">IF(E452=F452,"VIOLATION - Same Person Requested &amp; Approved","OK")</f>
        <v>OK</v>
      </c>
    </row>
    <row r="453" customFormat="false" ht="15" hidden="false" customHeight="false" outlineLevel="0" collapsed="false">
      <c r="A453" s="16" t="str">
        <f aca="false">Purchase_Orders!A450</f>
        <v>PO10449</v>
      </c>
      <c r="B453" s="16" t="str">
        <f aca="false">Purchase_Orders!B450</f>
        <v>V1009</v>
      </c>
      <c r="C453" s="17" t="n">
        <f aca="false">Purchase_Orders!C450</f>
        <v>45958</v>
      </c>
      <c r="D453" s="18" t="n">
        <f aca="false">Purchase_Orders!D450</f>
        <v>2900.7</v>
      </c>
      <c r="E453" s="16" t="str">
        <f aca="false">Purchase_Orders!F450</f>
        <v>Aaron Wise</v>
      </c>
      <c r="F453" s="16" t="str">
        <f aca="false">Purchase_Orders!G450</f>
        <v>Sharon Cherry</v>
      </c>
      <c r="G453" s="16" t="str">
        <f aca="false">IF(E453=F453,"VIOLATION - Same Person Requested &amp; Approved","OK")</f>
        <v>OK</v>
      </c>
    </row>
    <row r="454" customFormat="false" ht="15" hidden="false" customHeight="false" outlineLevel="0" collapsed="false">
      <c r="A454" s="16" t="str">
        <f aca="false">Purchase_Orders!A451</f>
        <v>PO10450</v>
      </c>
      <c r="B454" s="16" t="str">
        <f aca="false">Purchase_Orders!B451</f>
        <v>V1019</v>
      </c>
      <c r="C454" s="17" t="n">
        <f aca="false">Purchase_Orders!C451</f>
        <v>45867</v>
      </c>
      <c r="D454" s="18" t="n">
        <f aca="false">Purchase_Orders!D451</f>
        <v>1846.25</v>
      </c>
      <c r="E454" s="16" t="str">
        <f aca="false">Purchase_Orders!F451</f>
        <v>Richard Henson</v>
      </c>
      <c r="F454" s="16" t="str">
        <f aca="false">Purchase_Orders!G451</f>
        <v>Sierra Johnson</v>
      </c>
      <c r="G454" s="16" t="str">
        <f aca="false">IF(E454=F454,"VIOLATION - Same Person Requested &amp; Approved","OK")</f>
        <v>OK</v>
      </c>
    </row>
    <row r="455" customFormat="false" ht="15" hidden="false" customHeight="false" outlineLevel="0" collapsed="false">
      <c r="A455" s="16" t="str">
        <f aca="false">Purchase_Orders!A452</f>
        <v>PO10451</v>
      </c>
      <c r="B455" s="16" t="str">
        <f aca="false">Purchase_Orders!B452</f>
        <v>V1011</v>
      </c>
      <c r="C455" s="17" t="n">
        <f aca="false">Purchase_Orders!C452</f>
        <v>46160</v>
      </c>
      <c r="D455" s="18" t="n">
        <f aca="false">Purchase_Orders!D452</f>
        <v>1227.72</v>
      </c>
      <c r="E455" s="16" t="str">
        <f aca="false">Purchase_Orders!F452</f>
        <v>Aaron Wise</v>
      </c>
      <c r="F455" s="16" t="str">
        <f aca="false">Purchase_Orders!G452</f>
        <v>Sierra Johnson</v>
      </c>
      <c r="G455" s="16" t="str">
        <f aca="false">IF(E455=F455,"VIOLATION - Same Person Requested &amp; Approved","OK")</f>
        <v>OK</v>
      </c>
    </row>
    <row r="456" customFormat="false" ht="15" hidden="false" customHeight="false" outlineLevel="0" collapsed="false">
      <c r="A456" s="16" t="str">
        <f aca="false">Purchase_Orders!A453</f>
        <v>PO10452</v>
      </c>
      <c r="B456" s="16" t="str">
        <f aca="false">Purchase_Orders!B453</f>
        <v>V1040</v>
      </c>
      <c r="C456" s="17" t="n">
        <f aca="false">Purchase_Orders!C453</f>
        <v>45934</v>
      </c>
      <c r="D456" s="18" t="n">
        <f aca="false">Purchase_Orders!D453</f>
        <v>705.45</v>
      </c>
      <c r="E456" s="16" t="str">
        <f aca="false">Purchase_Orders!F453</f>
        <v>James Powers</v>
      </c>
      <c r="F456" s="16" t="str">
        <f aca="false">Purchase_Orders!G453</f>
        <v>Evelyn Galvan</v>
      </c>
      <c r="G456" s="16" t="str">
        <f aca="false">IF(E456=F456,"VIOLATION - Same Person Requested &amp; Approved","OK")</f>
        <v>OK</v>
      </c>
    </row>
    <row r="457" customFormat="false" ht="15" hidden="false" customHeight="false" outlineLevel="0" collapsed="false">
      <c r="A457" s="16" t="str">
        <f aca="false">Purchase_Orders!A454</f>
        <v>PO10453</v>
      </c>
      <c r="B457" s="16" t="str">
        <f aca="false">Purchase_Orders!B454</f>
        <v>V1026</v>
      </c>
      <c r="C457" s="17" t="n">
        <f aca="false">Purchase_Orders!C454</f>
        <v>46137</v>
      </c>
      <c r="D457" s="18" t="n">
        <f aca="false">Purchase_Orders!D454</f>
        <v>12801.13</v>
      </c>
      <c r="E457" s="16" t="str">
        <f aca="false">Purchase_Orders!F454</f>
        <v>Brian Rodriguez</v>
      </c>
      <c r="F457" s="16" t="str">
        <f aca="false">Purchase_Orders!G454</f>
        <v>Marc Moore</v>
      </c>
      <c r="G457" s="16" t="str">
        <f aca="false">IF(E457=F457,"VIOLATION - Same Person Requested &amp; Approved","OK")</f>
        <v>OK</v>
      </c>
    </row>
    <row r="458" customFormat="false" ht="15" hidden="false" customHeight="false" outlineLevel="0" collapsed="false">
      <c r="A458" s="16" t="str">
        <f aca="false">Purchase_Orders!A455</f>
        <v>PO10454</v>
      </c>
      <c r="B458" s="16" t="str">
        <f aca="false">Purchase_Orders!B455</f>
        <v>V1016</v>
      </c>
      <c r="C458" s="17" t="n">
        <f aca="false">Purchase_Orders!C455</f>
        <v>46128</v>
      </c>
      <c r="D458" s="18" t="n">
        <f aca="false">Purchase_Orders!D455</f>
        <v>4660.66</v>
      </c>
      <c r="E458" s="16" t="str">
        <f aca="false">Purchase_Orders!F455</f>
        <v>Denise Jacobs</v>
      </c>
      <c r="F458" s="16" t="str">
        <f aca="false">Purchase_Orders!G455</f>
        <v>Richard Rodriguez</v>
      </c>
      <c r="G458" s="16" t="str">
        <f aca="false">IF(E458=F458,"VIOLATION - Same Person Requested &amp; Approved","OK")</f>
        <v>OK</v>
      </c>
    </row>
    <row r="459" customFormat="false" ht="15" hidden="false" customHeight="false" outlineLevel="0" collapsed="false">
      <c r="A459" s="16" t="str">
        <f aca="false">Purchase_Orders!A456</f>
        <v>PO10455</v>
      </c>
      <c r="B459" s="16" t="str">
        <f aca="false">Purchase_Orders!B456</f>
        <v>V1011</v>
      </c>
      <c r="C459" s="17" t="n">
        <f aca="false">Purchase_Orders!C456</f>
        <v>45808</v>
      </c>
      <c r="D459" s="18" t="n">
        <f aca="false">Purchase_Orders!D456</f>
        <v>4354.54</v>
      </c>
      <c r="E459" s="16" t="str">
        <f aca="false">Purchase_Orders!F456</f>
        <v>James Powers</v>
      </c>
      <c r="F459" s="16" t="str">
        <f aca="false">Purchase_Orders!G456</f>
        <v>Richard Rodriguez</v>
      </c>
      <c r="G459" s="16" t="str">
        <f aca="false">IF(E459=F459,"VIOLATION - Same Person Requested &amp; Approved","OK")</f>
        <v>OK</v>
      </c>
    </row>
    <row r="460" customFormat="false" ht="15" hidden="false" customHeight="false" outlineLevel="0" collapsed="false">
      <c r="A460" s="16" t="str">
        <f aca="false">Purchase_Orders!A457</f>
        <v>PO10456</v>
      </c>
      <c r="B460" s="16" t="str">
        <f aca="false">Purchase_Orders!B457</f>
        <v>V1007</v>
      </c>
      <c r="C460" s="17" t="n">
        <f aca="false">Purchase_Orders!C457</f>
        <v>46088</v>
      </c>
      <c r="D460" s="18" t="n">
        <f aca="false">Purchase_Orders!D457</f>
        <v>1820.28</v>
      </c>
      <c r="E460" s="16" t="str">
        <f aca="false">Purchase_Orders!F457</f>
        <v>Matthew Mcmillan</v>
      </c>
      <c r="F460" s="16" t="str">
        <f aca="false">Purchase_Orders!G457</f>
        <v>Sharon Cherry</v>
      </c>
      <c r="G460" s="16" t="str">
        <f aca="false">IF(E460=F460,"VIOLATION - Same Person Requested &amp; Approved","OK")</f>
        <v>OK</v>
      </c>
    </row>
    <row r="461" customFormat="false" ht="15" hidden="false" customHeight="false" outlineLevel="0" collapsed="false">
      <c r="A461" s="16" t="str">
        <f aca="false">Purchase_Orders!A458</f>
        <v>PO10457</v>
      </c>
      <c r="B461" s="16" t="str">
        <f aca="false">Purchase_Orders!B458</f>
        <v>V1001</v>
      </c>
      <c r="C461" s="17" t="n">
        <f aca="false">Purchase_Orders!C458</f>
        <v>45884</v>
      </c>
      <c r="D461" s="18" t="n">
        <f aca="false">Purchase_Orders!D458</f>
        <v>513.07</v>
      </c>
      <c r="E461" s="16" t="str">
        <f aca="false">Purchase_Orders!F458</f>
        <v>Sandra Aguilar</v>
      </c>
      <c r="F461" s="16" t="str">
        <f aca="false">Purchase_Orders!G458</f>
        <v>Richard Rodriguez</v>
      </c>
      <c r="G461" s="16" t="str">
        <f aca="false">IF(E461=F461,"VIOLATION - Same Person Requested &amp; Approved","OK")</f>
        <v>OK</v>
      </c>
    </row>
    <row r="462" customFormat="false" ht="15" hidden="false" customHeight="false" outlineLevel="0" collapsed="false">
      <c r="A462" s="16" t="str">
        <f aca="false">Purchase_Orders!A459</f>
        <v>PO10458</v>
      </c>
      <c r="B462" s="16" t="str">
        <f aca="false">Purchase_Orders!B459</f>
        <v>V1028</v>
      </c>
      <c r="C462" s="17" t="n">
        <f aca="false">Purchase_Orders!C459</f>
        <v>46167</v>
      </c>
      <c r="D462" s="18" t="n">
        <f aca="false">Purchase_Orders!D459</f>
        <v>4649.2</v>
      </c>
      <c r="E462" s="16" t="str">
        <f aca="false">Purchase_Orders!F459</f>
        <v>Jimmy Murillo</v>
      </c>
      <c r="F462" s="16" t="str">
        <f aca="false">Purchase_Orders!G459</f>
        <v>Marc Moore</v>
      </c>
      <c r="G462" s="16" t="str">
        <f aca="false">IF(E462=F462,"VIOLATION - Same Person Requested &amp; Approved","OK")</f>
        <v>OK</v>
      </c>
    </row>
    <row r="463" customFormat="false" ht="15" hidden="false" customHeight="false" outlineLevel="0" collapsed="false">
      <c r="A463" s="16" t="str">
        <f aca="false">Purchase_Orders!A460</f>
        <v>PO10459</v>
      </c>
      <c r="B463" s="16" t="str">
        <f aca="false">Purchase_Orders!B460</f>
        <v>V1013</v>
      </c>
      <c r="C463" s="17" t="n">
        <f aca="false">Purchase_Orders!C460</f>
        <v>45934</v>
      </c>
      <c r="D463" s="18" t="n">
        <f aca="false">Purchase_Orders!D460</f>
        <v>1334.13</v>
      </c>
      <c r="E463" s="16" t="str">
        <f aca="false">Purchase_Orders!F460</f>
        <v>Anna Henderson</v>
      </c>
      <c r="F463" s="16" t="str">
        <f aca="false">Purchase_Orders!G460</f>
        <v>Sierra Johnson</v>
      </c>
      <c r="G463" s="16" t="str">
        <f aca="false">IF(E463=F463,"VIOLATION - Same Person Requested &amp; Approved","OK")</f>
        <v>OK</v>
      </c>
    </row>
    <row r="464" customFormat="false" ht="15" hidden="false" customHeight="false" outlineLevel="0" collapsed="false">
      <c r="A464" s="16" t="str">
        <f aca="false">Purchase_Orders!A461</f>
        <v>PO10460</v>
      </c>
      <c r="B464" s="16" t="str">
        <f aca="false">Purchase_Orders!B461</f>
        <v>V1011</v>
      </c>
      <c r="C464" s="17" t="n">
        <f aca="false">Purchase_Orders!C461</f>
        <v>46105</v>
      </c>
      <c r="D464" s="18" t="n">
        <f aca="false">Purchase_Orders!D461</f>
        <v>2328.91</v>
      </c>
      <c r="E464" s="16" t="str">
        <f aca="false">Purchase_Orders!F461</f>
        <v>Anna Henderson</v>
      </c>
      <c r="F464" s="16" t="str">
        <f aca="false">Purchase_Orders!G461</f>
        <v>Julia Torres</v>
      </c>
      <c r="G464" s="16" t="str">
        <f aca="false">IF(E464=F464,"VIOLATION - Same Person Requested &amp; Approved","OK")</f>
        <v>OK</v>
      </c>
    </row>
    <row r="465" customFormat="false" ht="15" hidden="false" customHeight="false" outlineLevel="0" collapsed="false">
      <c r="A465" s="16" t="str">
        <f aca="false">Purchase_Orders!A462</f>
        <v>PO10461</v>
      </c>
      <c r="B465" s="16" t="str">
        <f aca="false">Purchase_Orders!B462</f>
        <v>V1036</v>
      </c>
      <c r="C465" s="17" t="n">
        <f aca="false">Purchase_Orders!C462</f>
        <v>45812</v>
      </c>
      <c r="D465" s="18" t="n">
        <f aca="false">Purchase_Orders!D462</f>
        <v>460.42</v>
      </c>
      <c r="E465" s="16" t="str">
        <f aca="false">Purchase_Orders!F462</f>
        <v>James Powers</v>
      </c>
      <c r="F465" s="16" t="str">
        <f aca="false">Purchase_Orders!G462</f>
        <v>Marc Moore</v>
      </c>
      <c r="G465" s="16" t="str">
        <f aca="false">IF(E465=F465,"VIOLATION - Same Person Requested &amp; Approved","OK")</f>
        <v>OK</v>
      </c>
    </row>
    <row r="466" customFormat="false" ht="15" hidden="false" customHeight="false" outlineLevel="0" collapsed="false">
      <c r="A466" s="16" t="str">
        <f aca="false">Purchase_Orders!A463</f>
        <v>PO10462</v>
      </c>
      <c r="B466" s="16" t="str">
        <f aca="false">Purchase_Orders!B463</f>
        <v>V1030</v>
      </c>
      <c r="C466" s="17" t="n">
        <f aca="false">Purchase_Orders!C463</f>
        <v>45820</v>
      </c>
      <c r="D466" s="18" t="n">
        <f aca="false">Purchase_Orders!D463</f>
        <v>820.42</v>
      </c>
      <c r="E466" s="16" t="str">
        <f aca="false">Purchase_Orders!F463</f>
        <v>Jimmy Murillo</v>
      </c>
      <c r="F466" s="16" t="str">
        <f aca="false">Purchase_Orders!G463</f>
        <v>Shannon Walker</v>
      </c>
      <c r="G466" s="16" t="str">
        <f aca="false">IF(E466=F466,"VIOLATION - Same Person Requested &amp; Approved","OK")</f>
        <v>OK</v>
      </c>
    </row>
    <row r="467" customFormat="false" ht="15" hidden="false" customHeight="false" outlineLevel="0" collapsed="false">
      <c r="A467" s="16" t="str">
        <f aca="false">Purchase_Orders!A464</f>
        <v>PO10463</v>
      </c>
      <c r="B467" s="16" t="str">
        <f aca="false">Purchase_Orders!B464</f>
        <v>V1028</v>
      </c>
      <c r="C467" s="17" t="n">
        <f aca="false">Purchase_Orders!C464</f>
        <v>45977</v>
      </c>
      <c r="D467" s="18" t="n">
        <f aca="false">Purchase_Orders!D464</f>
        <v>1135.98</v>
      </c>
      <c r="E467" s="16" t="str">
        <f aca="false">Purchase_Orders!F464</f>
        <v>Aimee Montoya</v>
      </c>
      <c r="F467" s="16" t="str">
        <f aca="false">Purchase_Orders!G464</f>
        <v>Evelyn Galvan</v>
      </c>
      <c r="G467" s="16" t="str">
        <f aca="false">IF(E467=F467,"VIOLATION - Same Person Requested &amp; Approved","OK")</f>
        <v>OK</v>
      </c>
    </row>
    <row r="468" customFormat="false" ht="15" hidden="false" customHeight="false" outlineLevel="0" collapsed="false">
      <c r="A468" s="16" t="str">
        <f aca="false">Purchase_Orders!A465</f>
        <v>PO10464</v>
      </c>
      <c r="B468" s="16" t="str">
        <f aca="false">Purchase_Orders!B465</f>
        <v>V1007</v>
      </c>
      <c r="C468" s="17" t="n">
        <f aca="false">Purchase_Orders!C465</f>
        <v>46202</v>
      </c>
      <c r="D468" s="18" t="n">
        <f aca="false">Purchase_Orders!D465</f>
        <v>5599.82</v>
      </c>
      <c r="E468" s="16" t="str">
        <f aca="false">Purchase_Orders!F465</f>
        <v>Christina Moran</v>
      </c>
      <c r="F468" s="16" t="str">
        <f aca="false">Purchase_Orders!G465</f>
        <v>Evelyn Galvan</v>
      </c>
      <c r="G468" s="16" t="str">
        <f aca="false">IF(E468=F468,"VIOLATION - Same Person Requested &amp; Approved","OK")</f>
        <v>OK</v>
      </c>
    </row>
    <row r="469" customFormat="false" ht="15" hidden="false" customHeight="false" outlineLevel="0" collapsed="false">
      <c r="A469" s="16" t="str">
        <f aca="false">Purchase_Orders!A466</f>
        <v>PO10465</v>
      </c>
      <c r="B469" s="16" t="str">
        <f aca="false">Purchase_Orders!B466</f>
        <v>V1001</v>
      </c>
      <c r="C469" s="17" t="n">
        <f aca="false">Purchase_Orders!C466</f>
        <v>45924</v>
      </c>
      <c r="D469" s="18" t="n">
        <f aca="false">Purchase_Orders!D466</f>
        <v>15313.53</v>
      </c>
      <c r="E469" s="16" t="str">
        <f aca="false">Purchase_Orders!F466</f>
        <v>Stephen Mckee</v>
      </c>
      <c r="F469" s="16" t="str">
        <f aca="false">Purchase_Orders!G466</f>
        <v>Julia Torres</v>
      </c>
      <c r="G469" s="16" t="str">
        <f aca="false">IF(E469=F469,"VIOLATION - Same Person Requested &amp; Approved","OK")</f>
        <v>OK</v>
      </c>
    </row>
    <row r="470" customFormat="false" ht="15" hidden="false" customHeight="false" outlineLevel="0" collapsed="false">
      <c r="A470" s="16" t="str">
        <f aca="false">Purchase_Orders!A467</f>
        <v>PO10466</v>
      </c>
      <c r="B470" s="16" t="str">
        <f aca="false">Purchase_Orders!B467</f>
        <v>V1007</v>
      </c>
      <c r="C470" s="17" t="n">
        <f aca="false">Purchase_Orders!C467</f>
        <v>45738</v>
      </c>
      <c r="D470" s="18" t="n">
        <f aca="false">Purchase_Orders!D467</f>
        <v>653.1</v>
      </c>
      <c r="E470" s="16" t="str">
        <f aca="false">Purchase_Orders!F467</f>
        <v>Anna Henderson</v>
      </c>
      <c r="F470" s="16" t="str">
        <f aca="false">Purchase_Orders!G467</f>
        <v>Marc Moore</v>
      </c>
      <c r="G470" s="16" t="str">
        <f aca="false">IF(E470=F470,"VIOLATION - Same Person Requested &amp; Approved","OK")</f>
        <v>OK</v>
      </c>
    </row>
    <row r="471" customFormat="false" ht="15" hidden="false" customHeight="false" outlineLevel="0" collapsed="false">
      <c r="A471" s="16" t="str">
        <f aca="false">Purchase_Orders!A468</f>
        <v>PO10467</v>
      </c>
      <c r="B471" s="16" t="str">
        <f aca="false">Purchase_Orders!B468</f>
        <v>V1008</v>
      </c>
      <c r="C471" s="17" t="n">
        <f aca="false">Purchase_Orders!C468</f>
        <v>45951</v>
      </c>
      <c r="D471" s="18" t="n">
        <f aca="false">Purchase_Orders!D468</f>
        <v>2324.66</v>
      </c>
      <c r="E471" s="16" t="str">
        <f aca="false">Purchase_Orders!F468</f>
        <v>Jessica Smith</v>
      </c>
      <c r="F471" s="16" t="str">
        <f aca="false">Purchase_Orders!G468</f>
        <v>Evelyn Galvan</v>
      </c>
      <c r="G471" s="16" t="str">
        <f aca="false">IF(E471=F471,"VIOLATION - Same Person Requested &amp; Approved","OK")</f>
        <v>OK</v>
      </c>
    </row>
    <row r="472" customFormat="false" ht="15" hidden="false" customHeight="false" outlineLevel="0" collapsed="false">
      <c r="A472" s="16" t="str">
        <f aca="false">Purchase_Orders!A469</f>
        <v>PO10468</v>
      </c>
      <c r="B472" s="16" t="str">
        <f aca="false">Purchase_Orders!B469</f>
        <v>V1031</v>
      </c>
      <c r="C472" s="17" t="n">
        <f aca="false">Purchase_Orders!C469</f>
        <v>45846</v>
      </c>
      <c r="D472" s="18" t="n">
        <f aca="false">Purchase_Orders!D469</f>
        <v>1644.55</v>
      </c>
      <c r="E472" s="16" t="str">
        <f aca="false">Purchase_Orders!F469</f>
        <v>Aimee Montoya</v>
      </c>
      <c r="F472" s="16" t="str">
        <f aca="false">Purchase_Orders!G469</f>
        <v>Aimee Montoya</v>
      </c>
      <c r="G472" s="16" t="str">
        <f aca="false">IF(E472=F472,"VIOLATION - Same Person Requested &amp; Approved","OK")</f>
        <v>VIOLATION - Same Person Requested &amp; Approved</v>
      </c>
    </row>
    <row r="473" customFormat="false" ht="15" hidden="false" customHeight="false" outlineLevel="0" collapsed="false">
      <c r="A473" s="16" t="str">
        <f aca="false">Purchase_Orders!A470</f>
        <v>PO10469</v>
      </c>
      <c r="B473" s="16" t="str">
        <f aca="false">Purchase_Orders!B470</f>
        <v>V1003</v>
      </c>
      <c r="C473" s="17" t="n">
        <f aca="false">Purchase_Orders!C470</f>
        <v>45958</v>
      </c>
      <c r="D473" s="18" t="n">
        <f aca="false">Purchase_Orders!D470</f>
        <v>236.77</v>
      </c>
      <c r="E473" s="16" t="str">
        <f aca="false">Purchase_Orders!F470</f>
        <v>Brian Rodriguez</v>
      </c>
      <c r="F473" s="16" t="str">
        <f aca="false">Purchase_Orders!G470</f>
        <v>Evelyn Galvan</v>
      </c>
      <c r="G473" s="16" t="str">
        <f aca="false">IF(E473=F473,"VIOLATION - Same Person Requested &amp; Approved","OK")</f>
        <v>OK</v>
      </c>
    </row>
    <row r="474" customFormat="false" ht="15" hidden="false" customHeight="false" outlineLevel="0" collapsed="false">
      <c r="A474" s="16" t="str">
        <f aca="false">Purchase_Orders!A471</f>
        <v>PO10470</v>
      </c>
      <c r="B474" s="16" t="str">
        <f aca="false">Purchase_Orders!B471</f>
        <v>V1025</v>
      </c>
      <c r="C474" s="17" t="n">
        <f aca="false">Purchase_Orders!C471</f>
        <v>45954</v>
      </c>
      <c r="D474" s="18" t="n">
        <f aca="false">Purchase_Orders!D471</f>
        <v>1018.47</v>
      </c>
      <c r="E474" s="16" t="str">
        <f aca="false">Purchase_Orders!F471</f>
        <v>Angel Lewis MD</v>
      </c>
      <c r="F474" s="16" t="str">
        <f aca="false">Purchase_Orders!G471</f>
        <v>Sharon Cherry</v>
      </c>
      <c r="G474" s="16" t="str">
        <f aca="false">IF(E474=F474,"VIOLATION - Same Person Requested &amp; Approved","OK")</f>
        <v>OK</v>
      </c>
    </row>
    <row r="475" customFormat="false" ht="15" hidden="false" customHeight="false" outlineLevel="0" collapsed="false">
      <c r="A475" s="16" t="str">
        <f aca="false">Purchase_Orders!A472</f>
        <v>PO10471</v>
      </c>
      <c r="B475" s="16" t="str">
        <f aca="false">Purchase_Orders!B472</f>
        <v>V1024</v>
      </c>
      <c r="C475" s="17" t="n">
        <f aca="false">Purchase_Orders!C472</f>
        <v>45906</v>
      </c>
      <c r="D475" s="18" t="n">
        <f aca="false">Purchase_Orders!D472</f>
        <v>3142.38</v>
      </c>
      <c r="E475" s="16" t="str">
        <f aca="false">Purchase_Orders!F472</f>
        <v>Brian Rodriguez</v>
      </c>
      <c r="F475" s="16" t="str">
        <f aca="false">Purchase_Orders!G472</f>
        <v>Sharon Cherry</v>
      </c>
      <c r="G475" s="16" t="str">
        <f aca="false">IF(E475=F475,"VIOLATION - Same Person Requested &amp; Approved","OK")</f>
        <v>OK</v>
      </c>
    </row>
    <row r="476" customFormat="false" ht="15" hidden="false" customHeight="false" outlineLevel="0" collapsed="false">
      <c r="A476" s="16" t="str">
        <f aca="false">Purchase_Orders!A473</f>
        <v>PO10472</v>
      </c>
      <c r="B476" s="16" t="str">
        <f aca="false">Purchase_Orders!B473</f>
        <v>V1034</v>
      </c>
      <c r="C476" s="17" t="n">
        <f aca="false">Purchase_Orders!C473</f>
        <v>45833</v>
      </c>
      <c r="D476" s="18" t="n">
        <f aca="false">Purchase_Orders!D473</f>
        <v>2788.31</v>
      </c>
      <c r="E476" s="16" t="str">
        <f aca="false">Purchase_Orders!F473</f>
        <v>Deborah Figueroa</v>
      </c>
      <c r="F476" s="16" t="str">
        <f aca="false">Purchase_Orders!G473</f>
        <v>Marc Moore</v>
      </c>
      <c r="G476" s="16" t="str">
        <f aca="false">IF(E476=F476,"VIOLATION - Same Person Requested &amp; Approved","OK")</f>
        <v>OK</v>
      </c>
    </row>
    <row r="477" customFormat="false" ht="15" hidden="false" customHeight="false" outlineLevel="0" collapsed="false">
      <c r="A477" s="16" t="str">
        <f aca="false">Purchase_Orders!A474</f>
        <v>PO10473</v>
      </c>
      <c r="B477" s="16" t="str">
        <f aca="false">Purchase_Orders!B474</f>
        <v>V1022</v>
      </c>
      <c r="C477" s="17" t="n">
        <f aca="false">Purchase_Orders!C474</f>
        <v>45760</v>
      </c>
      <c r="D477" s="18" t="n">
        <f aca="false">Purchase_Orders!D474</f>
        <v>12520.7</v>
      </c>
      <c r="E477" s="16" t="str">
        <f aca="false">Purchase_Orders!F474</f>
        <v>Anna Henderson</v>
      </c>
      <c r="F477" s="16" t="str">
        <f aca="false">Purchase_Orders!G474</f>
        <v>Marc Moore</v>
      </c>
      <c r="G477" s="16" t="str">
        <f aca="false">IF(E477=F477,"VIOLATION - Same Person Requested &amp; Approved","OK")</f>
        <v>OK</v>
      </c>
    </row>
    <row r="478" customFormat="false" ht="15" hidden="false" customHeight="false" outlineLevel="0" collapsed="false">
      <c r="A478" s="16" t="str">
        <f aca="false">Purchase_Orders!A475</f>
        <v>PO10474</v>
      </c>
      <c r="B478" s="16" t="str">
        <f aca="false">Purchase_Orders!B475</f>
        <v>V1019</v>
      </c>
      <c r="C478" s="17" t="n">
        <f aca="false">Purchase_Orders!C475</f>
        <v>46038</v>
      </c>
      <c r="D478" s="18" t="n">
        <f aca="false">Purchase_Orders!D475</f>
        <v>1099.38</v>
      </c>
      <c r="E478" s="16" t="str">
        <f aca="false">Purchase_Orders!F475</f>
        <v>Brian Rodriguez</v>
      </c>
      <c r="F478" s="16" t="str">
        <f aca="false">Purchase_Orders!G475</f>
        <v>Sharon Cochran</v>
      </c>
      <c r="G478" s="16" t="str">
        <f aca="false">IF(E478=F478,"VIOLATION - Same Person Requested &amp; Approved","OK")</f>
        <v>OK</v>
      </c>
    </row>
    <row r="479" customFormat="false" ht="15" hidden="false" customHeight="false" outlineLevel="0" collapsed="false">
      <c r="A479" s="16" t="str">
        <f aca="false">Purchase_Orders!A476</f>
        <v>PO10475</v>
      </c>
      <c r="B479" s="16" t="str">
        <f aca="false">Purchase_Orders!B476</f>
        <v>V1023</v>
      </c>
      <c r="C479" s="17" t="n">
        <f aca="false">Purchase_Orders!C476</f>
        <v>45969</v>
      </c>
      <c r="D479" s="18" t="n">
        <f aca="false">Purchase_Orders!D476</f>
        <v>3207.79</v>
      </c>
      <c r="E479" s="16" t="str">
        <f aca="false">Purchase_Orders!F476</f>
        <v>Brian Rodriguez</v>
      </c>
      <c r="F479" s="16" t="str">
        <f aca="false">Purchase_Orders!G476</f>
        <v>Sharon Cherry</v>
      </c>
      <c r="G479" s="16" t="str">
        <f aca="false">IF(E479=F479,"VIOLATION - Same Person Requested &amp; Approved","OK")</f>
        <v>OK</v>
      </c>
    </row>
    <row r="480" customFormat="false" ht="15" hidden="false" customHeight="false" outlineLevel="0" collapsed="false">
      <c r="A480" s="16" t="str">
        <f aca="false">Purchase_Orders!A477</f>
        <v>PO10476</v>
      </c>
      <c r="B480" s="16" t="str">
        <f aca="false">Purchase_Orders!B477</f>
        <v>V1001</v>
      </c>
      <c r="C480" s="17" t="n">
        <f aca="false">Purchase_Orders!C477</f>
        <v>45785</v>
      </c>
      <c r="D480" s="18" t="n">
        <f aca="false">Purchase_Orders!D477</f>
        <v>182.59</v>
      </c>
      <c r="E480" s="16" t="str">
        <f aca="false">Purchase_Orders!F477</f>
        <v>Christine Wright</v>
      </c>
      <c r="F480" s="16" t="str">
        <f aca="false">Purchase_Orders!G477</f>
        <v>Sharon Cherry</v>
      </c>
      <c r="G480" s="16" t="str">
        <f aca="false">IF(E480=F480,"VIOLATION - Same Person Requested &amp; Approved","OK")</f>
        <v>OK</v>
      </c>
    </row>
    <row r="481" customFormat="false" ht="15" hidden="false" customHeight="false" outlineLevel="0" collapsed="false">
      <c r="A481" s="16" t="str">
        <f aca="false">Purchase_Orders!A478</f>
        <v>PO10477</v>
      </c>
      <c r="B481" s="16" t="str">
        <f aca="false">Purchase_Orders!B478</f>
        <v>V1040</v>
      </c>
      <c r="C481" s="17" t="n">
        <f aca="false">Purchase_Orders!C478</f>
        <v>46080</v>
      </c>
      <c r="D481" s="18" t="n">
        <f aca="false">Purchase_Orders!D478</f>
        <v>1223.73</v>
      </c>
      <c r="E481" s="16" t="str">
        <f aca="false">Purchase_Orders!F478</f>
        <v>Christine Wright</v>
      </c>
      <c r="F481" s="16" t="str">
        <f aca="false">Purchase_Orders!G478</f>
        <v>Richard Rodriguez</v>
      </c>
      <c r="G481" s="16" t="str">
        <f aca="false">IF(E481=F481,"VIOLATION - Same Person Requested &amp; Approved","OK")</f>
        <v>OK</v>
      </c>
    </row>
    <row r="482" customFormat="false" ht="15" hidden="false" customHeight="false" outlineLevel="0" collapsed="false">
      <c r="A482" s="16" t="str">
        <f aca="false">Purchase_Orders!A479</f>
        <v>PO10478</v>
      </c>
      <c r="B482" s="16" t="str">
        <f aca="false">Purchase_Orders!B479</f>
        <v>V1015</v>
      </c>
      <c r="C482" s="17" t="n">
        <f aca="false">Purchase_Orders!C479</f>
        <v>45681</v>
      </c>
      <c r="D482" s="18" t="n">
        <f aca="false">Purchase_Orders!D479</f>
        <v>585.34</v>
      </c>
      <c r="E482" s="16" t="str">
        <f aca="false">Purchase_Orders!F479</f>
        <v>Brian Rodriguez</v>
      </c>
      <c r="F482" s="16" t="str">
        <f aca="false">Purchase_Orders!G479</f>
        <v>Richard Rodriguez</v>
      </c>
      <c r="G482" s="16" t="str">
        <f aca="false">IF(E482=F482,"VIOLATION - Same Person Requested &amp; Approved","OK")</f>
        <v>OK</v>
      </c>
    </row>
    <row r="483" customFormat="false" ht="15" hidden="false" customHeight="false" outlineLevel="0" collapsed="false">
      <c r="A483" s="16" t="str">
        <f aca="false">Purchase_Orders!A480</f>
        <v>PO10479</v>
      </c>
      <c r="B483" s="16" t="str">
        <f aca="false">Purchase_Orders!B480</f>
        <v>V1039</v>
      </c>
      <c r="C483" s="17" t="n">
        <f aca="false">Purchase_Orders!C480</f>
        <v>46063</v>
      </c>
      <c r="D483" s="18" t="n">
        <f aca="false">Purchase_Orders!D480</f>
        <v>40497.91</v>
      </c>
      <c r="E483" s="16" t="str">
        <f aca="false">Purchase_Orders!F480</f>
        <v>Angel Lewis MD</v>
      </c>
      <c r="F483" s="16" t="str">
        <f aca="false">Purchase_Orders!G480</f>
        <v>Julia Torres</v>
      </c>
      <c r="G483" s="16" t="str">
        <f aca="false">IF(E483=F483,"VIOLATION - Same Person Requested &amp; Approved","OK")</f>
        <v>OK</v>
      </c>
    </row>
    <row r="484" customFormat="false" ht="15" hidden="false" customHeight="false" outlineLevel="0" collapsed="false">
      <c r="A484" s="16" t="str">
        <f aca="false">Purchase_Orders!A481</f>
        <v>PO10480</v>
      </c>
      <c r="B484" s="16" t="str">
        <f aca="false">Purchase_Orders!B481</f>
        <v>V1016</v>
      </c>
      <c r="C484" s="17" t="n">
        <f aca="false">Purchase_Orders!C481</f>
        <v>46042</v>
      </c>
      <c r="D484" s="18" t="n">
        <f aca="false">Purchase_Orders!D481</f>
        <v>8071.8</v>
      </c>
      <c r="E484" s="16" t="str">
        <f aca="false">Purchase_Orders!F481</f>
        <v>Anna Henderson</v>
      </c>
      <c r="F484" s="16" t="str">
        <f aca="false">Purchase_Orders!G481</f>
        <v>Sierra Johnson</v>
      </c>
      <c r="G484" s="16" t="str">
        <f aca="false">IF(E484=F484,"VIOLATION - Same Person Requested &amp; Approved","OK")</f>
        <v>OK</v>
      </c>
    </row>
    <row r="485" customFormat="false" ht="15" hidden="false" customHeight="false" outlineLevel="0" collapsed="false">
      <c r="A485" s="16" t="str">
        <f aca="false">Purchase_Orders!A482</f>
        <v>PO10481</v>
      </c>
      <c r="B485" s="16" t="str">
        <f aca="false">Purchase_Orders!B482</f>
        <v>V1017</v>
      </c>
      <c r="C485" s="17" t="n">
        <f aca="false">Purchase_Orders!C482</f>
        <v>46100</v>
      </c>
      <c r="D485" s="18" t="n">
        <f aca="false">Purchase_Orders!D482</f>
        <v>11046.74</v>
      </c>
      <c r="E485" s="16" t="str">
        <f aca="false">Purchase_Orders!F482</f>
        <v>James Powers</v>
      </c>
      <c r="F485" s="16" t="str">
        <f aca="false">Purchase_Orders!G482</f>
        <v>Julia Torres</v>
      </c>
      <c r="G485" s="16" t="str">
        <f aca="false">IF(E485=F485,"VIOLATION - Same Person Requested &amp; Approved","OK")</f>
        <v>OK</v>
      </c>
    </row>
    <row r="486" customFormat="false" ht="15" hidden="false" customHeight="false" outlineLevel="0" collapsed="false">
      <c r="A486" s="16" t="str">
        <f aca="false">Purchase_Orders!A483</f>
        <v>PO10482</v>
      </c>
      <c r="B486" s="16" t="str">
        <f aca="false">Purchase_Orders!B483</f>
        <v>V1012</v>
      </c>
      <c r="C486" s="17" t="n">
        <f aca="false">Purchase_Orders!C483</f>
        <v>45868</v>
      </c>
      <c r="D486" s="18" t="n">
        <f aca="false">Purchase_Orders!D483</f>
        <v>1395.93</v>
      </c>
      <c r="E486" s="16" t="str">
        <f aca="false">Purchase_Orders!F483</f>
        <v>Shirley Suarez</v>
      </c>
      <c r="F486" s="16" t="str">
        <f aca="false">Purchase_Orders!G483</f>
        <v>Marc Moore</v>
      </c>
      <c r="G486" s="16" t="str">
        <f aca="false">IF(E486=F486,"VIOLATION - Same Person Requested &amp; Approved","OK")</f>
        <v>OK</v>
      </c>
    </row>
    <row r="487" customFormat="false" ht="15" hidden="false" customHeight="false" outlineLevel="0" collapsed="false">
      <c r="A487" s="16" t="str">
        <f aca="false">Purchase_Orders!A484</f>
        <v>PO10483</v>
      </c>
      <c r="B487" s="16" t="str">
        <f aca="false">Purchase_Orders!B484</f>
        <v>V1019</v>
      </c>
      <c r="C487" s="17" t="n">
        <f aca="false">Purchase_Orders!C484</f>
        <v>46019</v>
      </c>
      <c r="D487" s="18" t="n">
        <f aca="false">Purchase_Orders!D484</f>
        <v>2578.48</v>
      </c>
      <c r="E487" s="16" t="str">
        <f aca="false">Purchase_Orders!F484</f>
        <v>Christina Moran</v>
      </c>
      <c r="F487" s="16" t="str">
        <f aca="false">Purchase_Orders!G484</f>
        <v>Richard Rodriguez</v>
      </c>
      <c r="G487" s="16" t="str">
        <f aca="false">IF(E487=F487,"VIOLATION - Same Person Requested &amp; Approved","OK")</f>
        <v>OK</v>
      </c>
    </row>
    <row r="488" customFormat="false" ht="15" hidden="false" customHeight="false" outlineLevel="0" collapsed="false">
      <c r="A488" s="16" t="str">
        <f aca="false">Purchase_Orders!A485</f>
        <v>PO10484</v>
      </c>
      <c r="B488" s="16" t="str">
        <f aca="false">Purchase_Orders!B485</f>
        <v>V1004</v>
      </c>
      <c r="C488" s="17" t="n">
        <f aca="false">Purchase_Orders!C485</f>
        <v>46105</v>
      </c>
      <c r="D488" s="18" t="n">
        <f aca="false">Purchase_Orders!D485</f>
        <v>891.87</v>
      </c>
      <c r="E488" s="16" t="str">
        <f aca="false">Purchase_Orders!F485</f>
        <v>Aaron Wise</v>
      </c>
      <c r="F488" s="16" t="str">
        <f aca="false">Purchase_Orders!G485</f>
        <v>Shannon Walker</v>
      </c>
      <c r="G488" s="16" t="str">
        <f aca="false">IF(E488=F488,"VIOLATION - Same Person Requested &amp; Approved","OK")</f>
        <v>OK</v>
      </c>
    </row>
    <row r="489" customFormat="false" ht="15" hidden="false" customHeight="false" outlineLevel="0" collapsed="false">
      <c r="A489" s="16" t="str">
        <f aca="false">Purchase_Orders!A486</f>
        <v>PO10485</v>
      </c>
      <c r="B489" s="16" t="str">
        <f aca="false">Purchase_Orders!B486</f>
        <v>V1005</v>
      </c>
      <c r="C489" s="17" t="n">
        <f aca="false">Purchase_Orders!C486</f>
        <v>46192</v>
      </c>
      <c r="D489" s="18" t="n">
        <f aca="false">Purchase_Orders!D486</f>
        <v>2408.27</v>
      </c>
      <c r="E489" s="16" t="str">
        <f aca="false">Purchase_Orders!F486</f>
        <v>Deborah Figueroa</v>
      </c>
      <c r="F489" s="16" t="str">
        <f aca="false">Purchase_Orders!G486</f>
        <v>Julia Torres</v>
      </c>
      <c r="G489" s="16" t="str">
        <f aca="false">IF(E489=F489,"VIOLATION - Same Person Requested &amp; Approved","OK")</f>
        <v>OK</v>
      </c>
    </row>
    <row r="490" customFormat="false" ht="15" hidden="false" customHeight="false" outlineLevel="0" collapsed="false">
      <c r="A490" s="16" t="str">
        <f aca="false">Purchase_Orders!A487</f>
        <v>PO10486</v>
      </c>
      <c r="B490" s="16" t="str">
        <f aca="false">Purchase_Orders!B487</f>
        <v>V1006</v>
      </c>
      <c r="C490" s="17" t="n">
        <f aca="false">Purchase_Orders!C487</f>
        <v>45927</v>
      </c>
      <c r="D490" s="18" t="n">
        <f aca="false">Purchase_Orders!D487</f>
        <v>1155.61</v>
      </c>
      <c r="E490" s="16" t="str">
        <f aca="false">Purchase_Orders!F487</f>
        <v>Richard Henson</v>
      </c>
      <c r="F490" s="16" t="str">
        <f aca="false">Purchase_Orders!G487</f>
        <v>Evelyn Galvan</v>
      </c>
      <c r="G490" s="16" t="str">
        <f aca="false">IF(E490=F490,"VIOLATION - Same Person Requested &amp; Approved","OK")</f>
        <v>OK</v>
      </c>
    </row>
    <row r="491" customFormat="false" ht="15" hidden="false" customHeight="false" outlineLevel="0" collapsed="false">
      <c r="A491" s="16" t="str">
        <f aca="false">Purchase_Orders!A488</f>
        <v>PO10487</v>
      </c>
      <c r="B491" s="16" t="str">
        <f aca="false">Purchase_Orders!B488</f>
        <v>V1007</v>
      </c>
      <c r="C491" s="17" t="n">
        <f aca="false">Purchase_Orders!C488</f>
        <v>45678</v>
      </c>
      <c r="D491" s="18" t="n">
        <f aca="false">Purchase_Orders!D488</f>
        <v>542.8</v>
      </c>
      <c r="E491" s="16" t="str">
        <f aca="false">Purchase_Orders!F488</f>
        <v>Richard Henson</v>
      </c>
      <c r="F491" s="16" t="str">
        <f aca="false">Purchase_Orders!G488</f>
        <v>Marc Moore</v>
      </c>
      <c r="G491" s="16" t="str">
        <f aca="false">IF(E491=F491,"VIOLATION - Same Person Requested &amp; Approved","OK")</f>
        <v>OK</v>
      </c>
    </row>
    <row r="492" customFormat="false" ht="15" hidden="false" customHeight="false" outlineLevel="0" collapsed="false">
      <c r="A492" s="16" t="str">
        <f aca="false">Purchase_Orders!A489</f>
        <v>PO10488</v>
      </c>
      <c r="B492" s="16" t="str">
        <f aca="false">Purchase_Orders!B489</f>
        <v>V1021</v>
      </c>
      <c r="C492" s="17" t="n">
        <f aca="false">Purchase_Orders!C489</f>
        <v>45931</v>
      </c>
      <c r="D492" s="18" t="n">
        <f aca="false">Purchase_Orders!D489</f>
        <v>1208.25</v>
      </c>
      <c r="E492" s="16" t="str">
        <f aca="false">Purchase_Orders!F489</f>
        <v>Matthew Mcmillan</v>
      </c>
      <c r="F492" s="16" t="str">
        <f aca="false">Purchase_Orders!G489</f>
        <v>Sharon Cochran</v>
      </c>
      <c r="G492" s="16" t="str">
        <f aca="false">IF(E492=F492,"VIOLATION - Same Person Requested &amp; Approved","OK")</f>
        <v>OK</v>
      </c>
    </row>
    <row r="493" customFormat="false" ht="15" hidden="false" customHeight="false" outlineLevel="0" collapsed="false">
      <c r="A493" s="16" t="str">
        <f aca="false">Purchase_Orders!A490</f>
        <v>PO10489</v>
      </c>
      <c r="B493" s="16" t="str">
        <f aca="false">Purchase_Orders!B490</f>
        <v>V1038</v>
      </c>
      <c r="C493" s="17" t="n">
        <f aca="false">Purchase_Orders!C490</f>
        <v>45979</v>
      </c>
      <c r="D493" s="18" t="n">
        <f aca="false">Purchase_Orders!D490</f>
        <v>1492.36</v>
      </c>
      <c r="E493" s="16" t="str">
        <f aca="false">Purchase_Orders!F490</f>
        <v>Brian Rodriguez</v>
      </c>
      <c r="F493" s="16" t="str">
        <f aca="false">Purchase_Orders!G490</f>
        <v>Shannon Walker</v>
      </c>
      <c r="G493" s="16" t="str">
        <f aca="false">IF(E493=F493,"VIOLATION - Same Person Requested &amp; Approved","OK")</f>
        <v>OK</v>
      </c>
    </row>
    <row r="494" customFormat="false" ht="15" hidden="false" customHeight="false" outlineLevel="0" collapsed="false">
      <c r="A494" s="16" t="str">
        <f aca="false">Purchase_Orders!A491</f>
        <v>PO10490</v>
      </c>
      <c r="B494" s="16" t="str">
        <f aca="false">Purchase_Orders!B491</f>
        <v>V1013</v>
      </c>
      <c r="C494" s="17" t="n">
        <f aca="false">Purchase_Orders!C491</f>
        <v>46131</v>
      </c>
      <c r="D494" s="18" t="n">
        <f aca="false">Purchase_Orders!D491</f>
        <v>794.59</v>
      </c>
      <c r="E494" s="16" t="str">
        <f aca="false">Purchase_Orders!F491</f>
        <v>Christine Wright</v>
      </c>
      <c r="F494" s="16" t="str">
        <f aca="false">Purchase_Orders!G491</f>
        <v>Julia Torres</v>
      </c>
      <c r="G494" s="16" t="str">
        <f aca="false">IF(E494=F494,"VIOLATION - Same Person Requested &amp; Approved","OK")</f>
        <v>OK</v>
      </c>
    </row>
    <row r="495" customFormat="false" ht="15" hidden="false" customHeight="false" outlineLevel="0" collapsed="false">
      <c r="A495" s="16" t="str">
        <f aca="false">Purchase_Orders!A492</f>
        <v>PO10491</v>
      </c>
      <c r="B495" s="16" t="str">
        <f aca="false">Purchase_Orders!B492</f>
        <v>V1016</v>
      </c>
      <c r="C495" s="17" t="n">
        <f aca="false">Purchase_Orders!C492</f>
        <v>46134</v>
      </c>
      <c r="D495" s="18" t="n">
        <f aca="false">Purchase_Orders!D492</f>
        <v>13637.91</v>
      </c>
      <c r="E495" s="16" t="str">
        <f aca="false">Purchase_Orders!F492</f>
        <v>Denise Jacobs</v>
      </c>
      <c r="F495" s="16" t="str">
        <f aca="false">Purchase_Orders!G492</f>
        <v>Richard Rodriguez</v>
      </c>
      <c r="G495" s="16" t="str">
        <f aca="false">IF(E495=F495,"VIOLATION - Same Person Requested &amp; Approved","OK")</f>
        <v>OK</v>
      </c>
    </row>
    <row r="496" customFormat="false" ht="15" hidden="false" customHeight="false" outlineLevel="0" collapsed="false">
      <c r="A496" s="16" t="str">
        <f aca="false">Purchase_Orders!A493</f>
        <v>PO10492</v>
      </c>
      <c r="B496" s="16" t="str">
        <f aca="false">Purchase_Orders!B493</f>
        <v>V1004</v>
      </c>
      <c r="C496" s="17" t="n">
        <f aca="false">Purchase_Orders!C493</f>
        <v>45897</v>
      </c>
      <c r="D496" s="18" t="n">
        <f aca="false">Purchase_Orders!D493</f>
        <v>984.21</v>
      </c>
      <c r="E496" s="16" t="str">
        <f aca="false">Purchase_Orders!F493</f>
        <v>Anna Henderson</v>
      </c>
      <c r="F496" s="16" t="str">
        <f aca="false">Purchase_Orders!G493</f>
        <v>Julia Torres</v>
      </c>
      <c r="G496" s="16" t="str">
        <f aca="false">IF(E496=F496,"VIOLATION - Same Person Requested &amp; Approved","OK")</f>
        <v>OK</v>
      </c>
    </row>
    <row r="497" customFormat="false" ht="15" hidden="false" customHeight="false" outlineLevel="0" collapsed="false">
      <c r="A497" s="16" t="str">
        <f aca="false">Purchase_Orders!A494</f>
        <v>PO10493</v>
      </c>
      <c r="B497" s="16" t="str">
        <f aca="false">Purchase_Orders!B494</f>
        <v>V1012</v>
      </c>
      <c r="C497" s="17" t="n">
        <f aca="false">Purchase_Orders!C494</f>
        <v>45944</v>
      </c>
      <c r="D497" s="18" t="n">
        <f aca="false">Purchase_Orders!D494</f>
        <v>2718.82</v>
      </c>
      <c r="E497" s="16" t="str">
        <f aca="false">Purchase_Orders!F494</f>
        <v>Aaron Wise</v>
      </c>
      <c r="F497" s="16" t="str">
        <f aca="false">Purchase_Orders!G494</f>
        <v>Sharon Cochran</v>
      </c>
      <c r="G497" s="16" t="str">
        <f aca="false">IF(E497=F497,"VIOLATION - Same Person Requested &amp; Approved","OK")</f>
        <v>OK</v>
      </c>
    </row>
    <row r="498" customFormat="false" ht="15" hidden="false" customHeight="false" outlineLevel="0" collapsed="false">
      <c r="A498" s="16" t="str">
        <f aca="false">Purchase_Orders!A495</f>
        <v>PO10494</v>
      </c>
      <c r="B498" s="16" t="str">
        <f aca="false">Purchase_Orders!B495</f>
        <v>V1027</v>
      </c>
      <c r="C498" s="17" t="n">
        <f aca="false">Purchase_Orders!C495</f>
        <v>45907</v>
      </c>
      <c r="D498" s="18" t="n">
        <f aca="false">Purchase_Orders!D495</f>
        <v>607.61</v>
      </c>
      <c r="E498" s="16" t="str">
        <f aca="false">Purchase_Orders!F495</f>
        <v>Christine Wright</v>
      </c>
      <c r="F498" s="16" t="str">
        <f aca="false">Purchase_Orders!G495</f>
        <v>Shannon Walker</v>
      </c>
      <c r="G498" s="16" t="str">
        <f aca="false">IF(E498=F498,"VIOLATION - Same Person Requested &amp; Approved","OK")</f>
        <v>OK</v>
      </c>
    </row>
    <row r="499" customFormat="false" ht="15" hidden="false" customHeight="false" outlineLevel="0" collapsed="false">
      <c r="A499" s="16" t="str">
        <f aca="false">Purchase_Orders!A496</f>
        <v>PO10495</v>
      </c>
      <c r="B499" s="16" t="str">
        <f aca="false">Purchase_Orders!B496</f>
        <v>V1015</v>
      </c>
      <c r="C499" s="17" t="n">
        <f aca="false">Purchase_Orders!C496</f>
        <v>46051</v>
      </c>
      <c r="D499" s="18" t="n">
        <f aca="false">Purchase_Orders!D496</f>
        <v>10927.52</v>
      </c>
      <c r="E499" s="16" t="str">
        <f aca="false">Purchase_Orders!F496</f>
        <v>Stephen Mckee</v>
      </c>
      <c r="F499" s="16" t="str">
        <f aca="false">Purchase_Orders!G496</f>
        <v>Sierra Johnson</v>
      </c>
      <c r="G499" s="16" t="str">
        <f aca="false">IF(E499=F499,"VIOLATION - Same Person Requested &amp; Approved","OK")</f>
        <v>OK</v>
      </c>
    </row>
    <row r="500" customFormat="false" ht="15" hidden="false" customHeight="false" outlineLevel="0" collapsed="false">
      <c r="A500" s="16" t="str">
        <f aca="false">Purchase_Orders!A497</f>
        <v>PO10496</v>
      </c>
      <c r="B500" s="16" t="str">
        <f aca="false">Purchase_Orders!B497</f>
        <v>V1021</v>
      </c>
      <c r="C500" s="17" t="n">
        <f aca="false">Purchase_Orders!C497</f>
        <v>45881</v>
      </c>
      <c r="D500" s="18" t="n">
        <f aca="false">Purchase_Orders!D497</f>
        <v>1732.45</v>
      </c>
      <c r="E500" s="16" t="str">
        <f aca="false">Purchase_Orders!F497</f>
        <v>Matthew Mcmillan</v>
      </c>
      <c r="F500" s="16" t="str">
        <f aca="false">Purchase_Orders!G497</f>
        <v>Sharon Cherry</v>
      </c>
      <c r="G500" s="16" t="str">
        <f aca="false">IF(E500=F500,"VIOLATION - Same Person Requested &amp; Approved","OK")</f>
        <v>OK</v>
      </c>
    </row>
    <row r="501" customFormat="false" ht="15" hidden="false" customHeight="false" outlineLevel="0" collapsed="false">
      <c r="A501" s="16" t="str">
        <f aca="false">Purchase_Orders!A498</f>
        <v>PO10497</v>
      </c>
      <c r="B501" s="16" t="str">
        <f aca="false">Purchase_Orders!B498</f>
        <v>V1014</v>
      </c>
      <c r="C501" s="17" t="n">
        <f aca="false">Purchase_Orders!C498</f>
        <v>46014</v>
      </c>
      <c r="D501" s="18" t="n">
        <f aca="false">Purchase_Orders!D498</f>
        <v>790.15</v>
      </c>
      <c r="E501" s="16" t="str">
        <f aca="false">Purchase_Orders!F498</f>
        <v>Cameron Parker</v>
      </c>
      <c r="F501" s="16" t="str">
        <f aca="false">Purchase_Orders!G498</f>
        <v>Sharon Cochran</v>
      </c>
      <c r="G501" s="16" t="str">
        <f aca="false">IF(E501=F501,"VIOLATION - Same Person Requested &amp; Approved","OK")</f>
        <v>OK</v>
      </c>
    </row>
    <row r="502" customFormat="false" ht="15" hidden="false" customHeight="false" outlineLevel="0" collapsed="false">
      <c r="A502" s="16" t="str">
        <f aca="false">Purchase_Orders!A499</f>
        <v>PO10498</v>
      </c>
      <c r="B502" s="16" t="str">
        <f aca="false">Purchase_Orders!B499</f>
        <v>V1009</v>
      </c>
      <c r="C502" s="17" t="n">
        <f aca="false">Purchase_Orders!C499</f>
        <v>45742</v>
      </c>
      <c r="D502" s="18" t="n">
        <f aca="false">Purchase_Orders!D499</f>
        <v>2141.21</v>
      </c>
      <c r="E502" s="16" t="str">
        <f aca="false">Purchase_Orders!F499</f>
        <v>Stephen Mckee</v>
      </c>
      <c r="F502" s="16" t="str">
        <f aca="false">Purchase_Orders!G499</f>
        <v>Shannon Walker</v>
      </c>
      <c r="G502" s="16" t="str">
        <f aca="false">IF(E502=F502,"VIOLATION - Same Person Requested &amp; Approved","OK")</f>
        <v>OK</v>
      </c>
    </row>
    <row r="503" customFormat="false" ht="15" hidden="false" customHeight="false" outlineLevel="0" collapsed="false">
      <c r="A503" s="16" t="str">
        <f aca="false">Purchase_Orders!A500</f>
        <v>PO10499</v>
      </c>
      <c r="B503" s="16" t="str">
        <f aca="false">Purchase_Orders!B500</f>
        <v>V1010</v>
      </c>
      <c r="C503" s="17" t="n">
        <f aca="false">Purchase_Orders!C500</f>
        <v>45913</v>
      </c>
      <c r="D503" s="18" t="n">
        <f aca="false">Purchase_Orders!D500</f>
        <v>426.29</v>
      </c>
      <c r="E503" s="16" t="str">
        <f aca="false">Purchase_Orders!F500</f>
        <v>John Whitehead</v>
      </c>
      <c r="F503" s="16" t="str">
        <f aca="false">Purchase_Orders!G500</f>
        <v>Richard Rodriguez</v>
      </c>
      <c r="G503" s="16" t="str">
        <f aca="false">IF(E503=F503,"VIOLATION - Same Person Requested &amp; Approved","OK")</f>
        <v>OK</v>
      </c>
    </row>
    <row r="504" customFormat="false" ht="15" hidden="false" customHeight="false" outlineLevel="0" collapsed="false">
      <c r="A504" s="16" t="str">
        <f aca="false">Purchase_Orders!A501</f>
        <v>PO10500</v>
      </c>
      <c r="B504" s="16" t="str">
        <f aca="false">Purchase_Orders!B501</f>
        <v>V1016</v>
      </c>
      <c r="C504" s="17" t="n">
        <f aca="false">Purchase_Orders!C501</f>
        <v>46186</v>
      </c>
      <c r="D504" s="18" t="n">
        <f aca="false">Purchase_Orders!D501</f>
        <v>1888.48</v>
      </c>
      <c r="E504" s="16" t="str">
        <f aca="false">Purchase_Orders!F501</f>
        <v>Christine Wright</v>
      </c>
      <c r="F504" s="16" t="str">
        <f aca="false">Purchase_Orders!G501</f>
        <v>Richard Rodriguez</v>
      </c>
      <c r="G504" s="16" t="str">
        <f aca="false">IF(E504=F504,"VIOLATION - Same Person Requested &amp; Approved","OK")</f>
        <v>OK</v>
      </c>
    </row>
    <row r="505" customFormat="false" ht="15" hidden="false" customHeight="false" outlineLevel="0" collapsed="false">
      <c r="A505" s="16" t="str">
        <f aca="false">Purchase_Orders!A502</f>
        <v>PO10501</v>
      </c>
      <c r="B505" s="16" t="str">
        <f aca="false">Purchase_Orders!B502</f>
        <v>V1030</v>
      </c>
      <c r="C505" s="17" t="n">
        <f aca="false">Purchase_Orders!C502</f>
        <v>45842</v>
      </c>
      <c r="D505" s="18" t="n">
        <f aca="false">Purchase_Orders!D502</f>
        <v>3958.3</v>
      </c>
      <c r="E505" s="16" t="str">
        <f aca="false">Purchase_Orders!F502</f>
        <v>Christina Walters</v>
      </c>
      <c r="F505" s="16" t="str">
        <f aca="false">Purchase_Orders!G502</f>
        <v>Sharon Cochran</v>
      </c>
      <c r="G505" s="16" t="str">
        <f aca="false">IF(E505=F505,"VIOLATION - Same Person Requested &amp; Approved","OK")</f>
        <v>OK</v>
      </c>
    </row>
    <row r="506" customFormat="false" ht="15" hidden="false" customHeight="false" outlineLevel="0" collapsed="false">
      <c r="A506" s="16" t="str">
        <f aca="false">Purchase_Orders!A503</f>
        <v>PO10502</v>
      </c>
      <c r="B506" s="16" t="str">
        <f aca="false">Purchase_Orders!B503</f>
        <v>V1025</v>
      </c>
      <c r="C506" s="17" t="n">
        <f aca="false">Purchase_Orders!C503</f>
        <v>46035</v>
      </c>
      <c r="D506" s="18" t="n">
        <f aca="false">Purchase_Orders!D503</f>
        <v>3426.38</v>
      </c>
      <c r="E506" s="16" t="str">
        <f aca="false">Purchase_Orders!F503</f>
        <v>Christina Moran</v>
      </c>
      <c r="F506" s="16" t="str">
        <f aca="false">Purchase_Orders!G503</f>
        <v>Sharon Cherry</v>
      </c>
      <c r="G506" s="16" t="str">
        <f aca="false">IF(E506=F506,"VIOLATION - Same Person Requested &amp; Approved","OK")</f>
        <v>OK</v>
      </c>
    </row>
    <row r="507" customFormat="false" ht="15" hidden="false" customHeight="false" outlineLevel="0" collapsed="false">
      <c r="A507" s="16" t="str">
        <f aca="false">Purchase_Orders!A504</f>
        <v>PO10503</v>
      </c>
      <c r="B507" s="16" t="str">
        <f aca="false">Purchase_Orders!B504</f>
        <v>V1033</v>
      </c>
      <c r="C507" s="17" t="n">
        <f aca="false">Purchase_Orders!C504</f>
        <v>46012</v>
      </c>
      <c r="D507" s="18" t="n">
        <f aca="false">Purchase_Orders!D504</f>
        <v>663.66</v>
      </c>
      <c r="E507" s="16" t="str">
        <f aca="false">Purchase_Orders!F504</f>
        <v>Denise Jacobs</v>
      </c>
      <c r="F507" s="16" t="str">
        <f aca="false">Purchase_Orders!G504</f>
        <v>Richard Rodriguez</v>
      </c>
      <c r="G507" s="16" t="str">
        <f aca="false">IF(E507=F507,"VIOLATION - Same Person Requested &amp; Approved","OK")</f>
        <v>OK</v>
      </c>
    </row>
    <row r="508" customFormat="false" ht="15" hidden="false" customHeight="false" outlineLevel="0" collapsed="false">
      <c r="A508" s="16" t="str">
        <f aca="false">Purchase_Orders!A505</f>
        <v>PO10504</v>
      </c>
      <c r="B508" s="16" t="str">
        <f aca="false">Purchase_Orders!B505</f>
        <v>V1024</v>
      </c>
      <c r="C508" s="17" t="n">
        <f aca="false">Purchase_Orders!C505</f>
        <v>46122</v>
      </c>
      <c r="D508" s="18" t="n">
        <f aca="false">Purchase_Orders!D505</f>
        <v>1251.61</v>
      </c>
      <c r="E508" s="16" t="str">
        <f aca="false">Purchase_Orders!F505</f>
        <v>Christine Wright</v>
      </c>
      <c r="F508" s="16" t="str">
        <f aca="false">Purchase_Orders!G505</f>
        <v>Sierra Johnson</v>
      </c>
      <c r="G508" s="16" t="str">
        <f aca="false">IF(E508=F508,"VIOLATION - Same Person Requested &amp; Approved","OK")</f>
        <v>OK</v>
      </c>
    </row>
    <row r="509" customFormat="false" ht="15" hidden="false" customHeight="false" outlineLevel="0" collapsed="false">
      <c r="A509" s="16" t="str">
        <f aca="false">Purchase_Orders!A506</f>
        <v>PO10505</v>
      </c>
      <c r="B509" s="16" t="str">
        <f aca="false">Purchase_Orders!B506</f>
        <v>V1010</v>
      </c>
      <c r="C509" s="17" t="n">
        <f aca="false">Purchase_Orders!C506</f>
        <v>46122</v>
      </c>
      <c r="D509" s="18" t="n">
        <f aca="false">Purchase_Orders!D506</f>
        <v>980.08</v>
      </c>
      <c r="E509" s="16" t="str">
        <f aca="false">Purchase_Orders!F506</f>
        <v>Jimmy Murillo</v>
      </c>
      <c r="F509" s="16" t="str">
        <f aca="false">Purchase_Orders!G506</f>
        <v>Julia Torres</v>
      </c>
      <c r="G509" s="16" t="str">
        <f aca="false">IF(E509=F509,"VIOLATION - Same Person Requested &amp; Approved","OK")</f>
        <v>OK</v>
      </c>
    </row>
    <row r="510" customFormat="false" ht="15" hidden="false" customHeight="false" outlineLevel="0" collapsed="false">
      <c r="A510" s="16" t="str">
        <f aca="false">Purchase_Orders!A507</f>
        <v>PO10506</v>
      </c>
      <c r="B510" s="16" t="str">
        <f aca="false">Purchase_Orders!B507</f>
        <v>V1004</v>
      </c>
      <c r="C510" s="17" t="n">
        <f aca="false">Purchase_Orders!C507</f>
        <v>46126</v>
      </c>
      <c r="D510" s="18" t="n">
        <f aca="false">Purchase_Orders!D507</f>
        <v>2579.28</v>
      </c>
      <c r="E510" s="16" t="str">
        <f aca="false">Purchase_Orders!F507</f>
        <v>James Powers</v>
      </c>
      <c r="F510" s="16" t="str">
        <f aca="false">Purchase_Orders!G507</f>
        <v>Evelyn Galvan</v>
      </c>
      <c r="G510" s="16" t="str">
        <f aca="false">IF(E510=F510,"VIOLATION - Same Person Requested &amp; Approved","OK")</f>
        <v>OK</v>
      </c>
    </row>
    <row r="511" customFormat="false" ht="15" hidden="false" customHeight="false" outlineLevel="0" collapsed="false">
      <c r="A511" s="16" t="str">
        <f aca="false">Purchase_Orders!A508</f>
        <v>PO10507</v>
      </c>
      <c r="B511" s="16" t="str">
        <f aca="false">Purchase_Orders!B508</f>
        <v>V1029</v>
      </c>
      <c r="C511" s="17" t="n">
        <f aca="false">Purchase_Orders!C508</f>
        <v>45865</v>
      </c>
      <c r="D511" s="18" t="n">
        <f aca="false">Purchase_Orders!D508</f>
        <v>3221.77</v>
      </c>
      <c r="E511" s="16" t="str">
        <f aca="false">Purchase_Orders!F508</f>
        <v>Brian Rodriguez</v>
      </c>
      <c r="F511" s="16" t="str">
        <f aca="false">Purchase_Orders!G508</f>
        <v>Richard Rodriguez</v>
      </c>
      <c r="G511" s="16" t="str">
        <f aca="false">IF(E511=F511,"VIOLATION - Same Person Requested &amp; Approved","OK")</f>
        <v>OK</v>
      </c>
    </row>
    <row r="512" customFormat="false" ht="15" hidden="false" customHeight="false" outlineLevel="0" collapsed="false">
      <c r="A512" s="16" t="str">
        <f aca="false">Purchase_Orders!A509</f>
        <v>PO10508</v>
      </c>
      <c r="B512" s="16" t="str">
        <f aca="false">Purchase_Orders!B509</f>
        <v>V1029</v>
      </c>
      <c r="C512" s="17" t="n">
        <f aca="false">Purchase_Orders!C509</f>
        <v>45830</v>
      </c>
      <c r="D512" s="18" t="n">
        <f aca="false">Purchase_Orders!D509</f>
        <v>130.66</v>
      </c>
      <c r="E512" s="16" t="str">
        <f aca="false">Purchase_Orders!F509</f>
        <v>Jessica Smith</v>
      </c>
      <c r="F512" s="16" t="str">
        <f aca="false">Purchase_Orders!G509</f>
        <v>Marc Moore</v>
      </c>
      <c r="G512" s="16" t="str">
        <f aca="false">IF(E512=F512,"VIOLATION - Same Person Requested &amp; Approved","OK")</f>
        <v>OK</v>
      </c>
    </row>
    <row r="513" customFormat="false" ht="15" hidden="false" customHeight="false" outlineLevel="0" collapsed="false">
      <c r="A513" s="16" t="str">
        <f aca="false">Purchase_Orders!A510</f>
        <v>PO10509</v>
      </c>
      <c r="B513" s="16" t="str">
        <f aca="false">Purchase_Orders!B510</f>
        <v>V1014</v>
      </c>
      <c r="C513" s="17" t="n">
        <f aca="false">Purchase_Orders!C510</f>
        <v>46049</v>
      </c>
      <c r="D513" s="18" t="n">
        <f aca="false">Purchase_Orders!D510</f>
        <v>1768.65</v>
      </c>
      <c r="E513" s="16" t="str">
        <f aca="false">Purchase_Orders!F510</f>
        <v>Cameron Parker</v>
      </c>
      <c r="F513" s="16" t="str">
        <f aca="false">Purchase_Orders!G510</f>
        <v>Julia Torres</v>
      </c>
      <c r="G513" s="16" t="str">
        <f aca="false">IF(E513=F513,"VIOLATION - Same Person Requested &amp; Approved","OK")</f>
        <v>OK</v>
      </c>
    </row>
    <row r="514" customFormat="false" ht="15" hidden="false" customHeight="false" outlineLevel="0" collapsed="false">
      <c r="A514" s="16" t="str">
        <f aca="false">Purchase_Orders!A511</f>
        <v>PO10510</v>
      </c>
      <c r="B514" s="16" t="str">
        <f aca="false">Purchase_Orders!B511</f>
        <v>V1034</v>
      </c>
      <c r="C514" s="17" t="n">
        <f aca="false">Purchase_Orders!C511</f>
        <v>46071</v>
      </c>
      <c r="D514" s="18" t="n">
        <f aca="false">Purchase_Orders!D511</f>
        <v>359.03</v>
      </c>
      <c r="E514" s="16" t="str">
        <f aca="false">Purchase_Orders!F511</f>
        <v>Brian Rodriguez</v>
      </c>
      <c r="F514" s="16" t="str">
        <f aca="false">Purchase_Orders!G511</f>
        <v>Julia Torres</v>
      </c>
      <c r="G514" s="16" t="str">
        <f aca="false">IF(E514=F514,"VIOLATION - Same Person Requested &amp; Approved","OK")</f>
        <v>OK</v>
      </c>
    </row>
    <row r="515" customFormat="false" ht="15" hidden="false" customHeight="false" outlineLevel="0" collapsed="false">
      <c r="A515" s="16" t="str">
        <f aca="false">Purchase_Orders!A512</f>
        <v>PO10511</v>
      </c>
      <c r="B515" s="16" t="str">
        <f aca="false">Purchase_Orders!B512</f>
        <v>V1017</v>
      </c>
      <c r="C515" s="17" t="n">
        <f aca="false">Purchase_Orders!C512</f>
        <v>46133</v>
      </c>
      <c r="D515" s="18" t="n">
        <f aca="false">Purchase_Orders!D512</f>
        <v>2508.58</v>
      </c>
      <c r="E515" s="16" t="str">
        <f aca="false">Purchase_Orders!F512</f>
        <v>Jessica Smith</v>
      </c>
      <c r="F515" s="16" t="str">
        <f aca="false">Purchase_Orders!G512</f>
        <v>Sierra Johnson</v>
      </c>
      <c r="G515" s="16" t="str">
        <f aca="false">IF(E515=F515,"VIOLATION - Same Person Requested &amp; Approved","OK")</f>
        <v>OK</v>
      </c>
    </row>
    <row r="516" customFormat="false" ht="15" hidden="false" customHeight="false" outlineLevel="0" collapsed="false">
      <c r="A516" s="16" t="str">
        <f aca="false">Purchase_Orders!A513</f>
        <v>PO10512</v>
      </c>
      <c r="B516" s="16" t="str">
        <f aca="false">Purchase_Orders!B513</f>
        <v>V1016</v>
      </c>
      <c r="C516" s="17" t="n">
        <f aca="false">Purchase_Orders!C513</f>
        <v>45677</v>
      </c>
      <c r="D516" s="18" t="n">
        <f aca="false">Purchase_Orders!D513</f>
        <v>730.52</v>
      </c>
      <c r="E516" s="16" t="str">
        <f aca="false">Purchase_Orders!F513</f>
        <v>Denise Jacobs</v>
      </c>
      <c r="F516" s="16" t="str">
        <f aca="false">Purchase_Orders!G513</f>
        <v>Richard Rodriguez</v>
      </c>
      <c r="G516" s="16" t="str">
        <f aca="false">IF(E516=F516,"VIOLATION - Same Person Requested &amp; Approved","OK")</f>
        <v>OK</v>
      </c>
    </row>
    <row r="517" customFormat="false" ht="15" hidden="false" customHeight="false" outlineLevel="0" collapsed="false">
      <c r="A517" s="16" t="str">
        <f aca="false">Purchase_Orders!A514</f>
        <v>PO10513</v>
      </c>
      <c r="B517" s="16" t="str">
        <f aca="false">Purchase_Orders!B514</f>
        <v>V1010</v>
      </c>
      <c r="C517" s="17" t="n">
        <f aca="false">Purchase_Orders!C514</f>
        <v>45695</v>
      </c>
      <c r="D517" s="18" t="n">
        <f aca="false">Purchase_Orders!D514</f>
        <v>1846.15</v>
      </c>
      <c r="E517" s="16" t="str">
        <f aca="false">Purchase_Orders!F514</f>
        <v>Christopher Bass</v>
      </c>
      <c r="F517" s="16" t="str">
        <f aca="false">Purchase_Orders!G514</f>
        <v>Christopher Bass</v>
      </c>
      <c r="G517" s="16" t="str">
        <f aca="false">IF(E517=F517,"VIOLATION - Same Person Requested &amp; Approved","OK")</f>
        <v>VIOLATION - Same Person Requested &amp; Approved</v>
      </c>
    </row>
    <row r="518" customFormat="false" ht="15" hidden="false" customHeight="false" outlineLevel="0" collapsed="false">
      <c r="A518" s="16" t="str">
        <f aca="false">Purchase_Orders!A515</f>
        <v>PO10514</v>
      </c>
      <c r="B518" s="16" t="str">
        <f aca="false">Purchase_Orders!B515</f>
        <v>V1018</v>
      </c>
      <c r="C518" s="17" t="n">
        <f aca="false">Purchase_Orders!C515</f>
        <v>46001</v>
      </c>
      <c r="D518" s="18" t="n">
        <f aca="false">Purchase_Orders!D515</f>
        <v>1888.25</v>
      </c>
      <c r="E518" s="16" t="str">
        <f aca="false">Purchase_Orders!F515</f>
        <v>Angel Lewis MD</v>
      </c>
      <c r="F518" s="16" t="str">
        <f aca="false">Purchase_Orders!G515</f>
        <v>Julia Torres</v>
      </c>
      <c r="G518" s="16" t="str">
        <f aca="false">IF(E518=F518,"VIOLATION - Same Person Requested &amp; Approved","OK")</f>
        <v>OK</v>
      </c>
    </row>
    <row r="519" customFormat="false" ht="15" hidden="false" customHeight="false" outlineLevel="0" collapsed="false">
      <c r="A519" s="16" t="str">
        <f aca="false">Purchase_Orders!A516</f>
        <v>PO10515</v>
      </c>
      <c r="B519" s="16" t="str">
        <f aca="false">Purchase_Orders!B516</f>
        <v>V1032</v>
      </c>
      <c r="C519" s="17" t="n">
        <f aca="false">Purchase_Orders!C516</f>
        <v>46159</v>
      </c>
      <c r="D519" s="18" t="n">
        <f aca="false">Purchase_Orders!D516</f>
        <v>3364.21</v>
      </c>
      <c r="E519" s="16" t="str">
        <f aca="false">Purchase_Orders!F516</f>
        <v>Deborah Figueroa</v>
      </c>
      <c r="F519" s="16" t="str">
        <f aca="false">Purchase_Orders!G516</f>
        <v>Sharon Cherry</v>
      </c>
      <c r="G519" s="16" t="str">
        <f aca="false">IF(E519=F519,"VIOLATION - Same Person Requested &amp; Approved","OK")</f>
        <v>OK</v>
      </c>
    </row>
    <row r="520" customFormat="false" ht="15" hidden="false" customHeight="false" outlineLevel="0" collapsed="false">
      <c r="A520" s="16" t="str">
        <f aca="false">Purchase_Orders!A517</f>
        <v>PO10516</v>
      </c>
      <c r="B520" s="16" t="str">
        <f aca="false">Purchase_Orders!B517</f>
        <v>V1032</v>
      </c>
      <c r="C520" s="17" t="n">
        <f aca="false">Purchase_Orders!C517</f>
        <v>46201</v>
      </c>
      <c r="D520" s="18" t="n">
        <f aca="false">Purchase_Orders!D517</f>
        <v>503.75</v>
      </c>
      <c r="E520" s="16" t="str">
        <f aca="false">Purchase_Orders!F517</f>
        <v>Lisa Archer</v>
      </c>
      <c r="F520" s="16" t="str">
        <f aca="false">Purchase_Orders!G517</f>
        <v>Julia Torres</v>
      </c>
      <c r="G520" s="16" t="str">
        <f aca="false">IF(E520=F520,"VIOLATION - Same Person Requested &amp; Approved","OK")</f>
        <v>OK</v>
      </c>
    </row>
    <row r="521" customFormat="false" ht="15" hidden="false" customHeight="false" outlineLevel="0" collapsed="false">
      <c r="A521" s="16" t="str">
        <f aca="false">Purchase_Orders!A518</f>
        <v>PO10517</v>
      </c>
      <c r="B521" s="16" t="str">
        <f aca="false">Purchase_Orders!B518</f>
        <v>V1012</v>
      </c>
      <c r="C521" s="17" t="n">
        <f aca="false">Purchase_Orders!C518</f>
        <v>46064</v>
      </c>
      <c r="D521" s="18" t="n">
        <f aca="false">Purchase_Orders!D518</f>
        <v>28542.14</v>
      </c>
      <c r="E521" s="16" t="str">
        <f aca="false">Purchase_Orders!F518</f>
        <v>Stephen Mckee</v>
      </c>
      <c r="F521" s="16" t="str">
        <f aca="false">Purchase_Orders!G518</f>
        <v>Sharon Cochran</v>
      </c>
      <c r="G521" s="16" t="str">
        <f aca="false">IF(E521=F521,"VIOLATION - Same Person Requested &amp; Approved","OK")</f>
        <v>OK</v>
      </c>
    </row>
    <row r="522" customFormat="false" ht="15" hidden="false" customHeight="false" outlineLevel="0" collapsed="false">
      <c r="A522" s="16" t="str">
        <f aca="false">Purchase_Orders!A519</f>
        <v>PO10518</v>
      </c>
      <c r="B522" s="16" t="str">
        <f aca="false">Purchase_Orders!B519</f>
        <v>V1033</v>
      </c>
      <c r="C522" s="17" t="n">
        <f aca="false">Purchase_Orders!C519</f>
        <v>45894</v>
      </c>
      <c r="D522" s="18" t="n">
        <f aca="false">Purchase_Orders!D519</f>
        <v>13194.36</v>
      </c>
      <c r="E522" s="16" t="str">
        <f aca="false">Purchase_Orders!F519</f>
        <v>Anna Henderson</v>
      </c>
      <c r="F522" s="16" t="str">
        <f aca="false">Purchase_Orders!G519</f>
        <v>Evelyn Galvan</v>
      </c>
      <c r="G522" s="16" t="str">
        <f aca="false">IF(E522=F522,"VIOLATION - Same Person Requested &amp; Approved","OK")</f>
        <v>OK</v>
      </c>
    </row>
    <row r="523" customFormat="false" ht="15" hidden="false" customHeight="false" outlineLevel="0" collapsed="false">
      <c r="A523" s="16" t="str">
        <f aca="false">Purchase_Orders!A520</f>
        <v>PO10519</v>
      </c>
      <c r="B523" s="16" t="str">
        <f aca="false">Purchase_Orders!B520</f>
        <v>V1019</v>
      </c>
      <c r="C523" s="17" t="n">
        <f aca="false">Purchase_Orders!C520</f>
        <v>45711</v>
      </c>
      <c r="D523" s="18" t="n">
        <f aca="false">Purchase_Orders!D520</f>
        <v>4569.01</v>
      </c>
      <c r="E523" s="16" t="str">
        <f aca="false">Purchase_Orders!F520</f>
        <v>James Powers</v>
      </c>
      <c r="F523" s="16" t="str">
        <f aca="false">Purchase_Orders!G520</f>
        <v>Julia Torres</v>
      </c>
      <c r="G523" s="16" t="str">
        <f aca="false">IF(E523=F523,"VIOLATION - Same Person Requested &amp; Approved","OK")</f>
        <v>OK</v>
      </c>
    </row>
    <row r="524" customFormat="false" ht="15" hidden="false" customHeight="false" outlineLevel="0" collapsed="false">
      <c r="A524" s="16" t="str">
        <f aca="false">Purchase_Orders!A521</f>
        <v>PO10520</v>
      </c>
      <c r="B524" s="16" t="str">
        <f aca="false">Purchase_Orders!B521</f>
        <v>V1034</v>
      </c>
      <c r="C524" s="17" t="n">
        <f aca="false">Purchase_Orders!C521</f>
        <v>46003</v>
      </c>
      <c r="D524" s="18" t="n">
        <f aca="false">Purchase_Orders!D521</f>
        <v>999.65</v>
      </c>
      <c r="E524" s="16" t="str">
        <f aca="false">Purchase_Orders!F521</f>
        <v>Rebecca Valencia</v>
      </c>
      <c r="F524" s="16" t="str">
        <f aca="false">Purchase_Orders!G521</f>
        <v>Julia Torres</v>
      </c>
      <c r="G524" s="16" t="str">
        <f aca="false">IF(E524=F524,"VIOLATION - Same Person Requested &amp; Approved","OK")</f>
        <v>OK</v>
      </c>
    </row>
    <row r="525" customFormat="false" ht="15" hidden="false" customHeight="false" outlineLevel="0" collapsed="false">
      <c r="A525" s="16" t="str">
        <f aca="false">Purchase_Orders!A522</f>
        <v>PO10521</v>
      </c>
      <c r="B525" s="16" t="str">
        <f aca="false">Purchase_Orders!B522</f>
        <v>V1010</v>
      </c>
      <c r="C525" s="17" t="n">
        <f aca="false">Purchase_Orders!C522</f>
        <v>46133</v>
      </c>
      <c r="D525" s="18" t="n">
        <f aca="false">Purchase_Orders!D522</f>
        <v>2025.11</v>
      </c>
      <c r="E525" s="16" t="str">
        <f aca="false">Purchase_Orders!F522</f>
        <v>Cameron Parker</v>
      </c>
      <c r="F525" s="16" t="str">
        <f aca="false">Purchase_Orders!G522</f>
        <v>Richard Rodriguez</v>
      </c>
      <c r="G525" s="16" t="str">
        <f aca="false">IF(E525=F525,"VIOLATION - Same Person Requested &amp; Approved","OK")</f>
        <v>OK</v>
      </c>
    </row>
    <row r="526" customFormat="false" ht="15" hidden="false" customHeight="false" outlineLevel="0" collapsed="false">
      <c r="A526" s="16" t="str">
        <f aca="false">Purchase_Orders!A523</f>
        <v>PO10522</v>
      </c>
      <c r="B526" s="16" t="str">
        <f aca="false">Purchase_Orders!B523</f>
        <v>V1013</v>
      </c>
      <c r="C526" s="17" t="n">
        <f aca="false">Purchase_Orders!C523</f>
        <v>45899</v>
      </c>
      <c r="D526" s="18" t="n">
        <f aca="false">Purchase_Orders!D523</f>
        <v>1346.34</v>
      </c>
      <c r="E526" s="16" t="str">
        <f aca="false">Purchase_Orders!F523</f>
        <v>Rebecca Valencia</v>
      </c>
      <c r="F526" s="16" t="str">
        <f aca="false">Purchase_Orders!G523</f>
        <v>Sharon Cherry</v>
      </c>
      <c r="G526" s="16" t="str">
        <f aca="false">IF(E526=F526,"VIOLATION - Same Person Requested &amp; Approved","OK")</f>
        <v>OK</v>
      </c>
    </row>
    <row r="527" customFormat="false" ht="15" hidden="false" customHeight="false" outlineLevel="0" collapsed="false">
      <c r="A527" s="16" t="str">
        <f aca="false">Purchase_Orders!A524</f>
        <v>PO10523</v>
      </c>
      <c r="B527" s="16" t="str">
        <f aca="false">Purchase_Orders!B524</f>
        <v>V1017</v>
      </c>
      <c r="C527" s="17" t="n">
        <f aca="false">Purchase_Orders!C524</f>
        <v>46036</v>
      </c>
      <c r="D527" s="18" t="n">
        <f aca="false">Purchase_Orders!D524</f>
        <v>473.72</v>
      </c>
      <c r="E527" s="16" t="str">
        <f aca="false">Purchase_Orders!F524</f>
        <v>Aimee Montoya</v>
      </c>
      <c r="F527" s="16" t="str">
        <f aca="false">Purchase_Orders!G524</f>
        <v>Sharon Cochran</v>
      </c>
      <c r="G527" s="16" t="str">
        <f aca="false">IF(E527=F527,"VIOLATION - Same Person Requested &amp; Approved","OK")</f>
        <v>OK</v>
      </c>
    </row>
    <row r="528" customFormat="false" ht="15" hidden="false" customHeight="false" outlineLevel="0" collapsed="false">
      <c r="A528" s="16" t="str">
        <f aca="false">Purchase_Orders!A525</f>
        <v>PO10524</v>
      </c>
      <c r="B528" s="16" t="str">
        <f aca="false">Purchase_Orders!B525</f>
        <v>V1031</v>
      </c>
      <c r="C528" s="17" t="n">
        <f aca="false">Purchase_Orders!C525</f>
        <v>46150</v>
      </c>
      <c r="D528" s="18" t="n">
        <f aca="false">Purchase_Orders!D525</f>
        <v>6567.49</v>
      </c>
      <c r="E528" s="16" t="str">
        <f aca="false">Purchase_Orders!F525</f>
        <v>Rebecca Valencia</v>
      </c>
      <c r="F528" s="16" t="str">
        <f aca="false">Purchase_Orders!G525</f>
        <v>Sierra Johnson</v>
      </c>
      <c r="G528" s="16" t="str">
        <f aca="false">IF(E528=F528,"VIOLATION - Same Person Requested &amp; Approved","OK")</f>
        <v>OK</v>
      </c>
    </row>
    <row r="529" customFormat="false" ht="15" hidden="false" customHeight="false" outlineLevel="0" collapsed="false">
      <c r="A529" s="16" t="str">
        <f aca="false">Purchase_Orders!A526</f>
        <v>PO10525</v>
      </c>
      <c r="B529" s="16" t="str">
        <f aca="false">Purchase_Orders!B526</f>
        <v>V1017</v>
      </c>
      <c r="C529" s="17" t="n">
        <f aca="false">Purchase_Orders!C526</f>
        <v>45683</v>
      </c>
      <c r="D529" s="18" t="n">
        <f aca="false">Purchase_Orders!D526</f>
        <v>2503.97</v>
      </c>
      <c r="E529" s="16" t="str">
        <f aca="false">Purchase_Orders!F526</f>
        <v>Aaron Wise</v>
      </c>
      <c r="F529" s="16" t="str">
        <f aca="false">Purchase_Orders!G526</f>
        <v>Evelyn Galvan</v>
      </c>
      <c r="G529" s="16" t="str">
        <f aca="false">IF(E529=F529,"VIOLATION - Same Person Requested &amp; Approved","OK")</f>
        <v>OK</v>
      </c>
    </row>
    <row r="530" customFormat="false" ht="15" hidden="false" customHeight="false" outlineLevel="0" collapsed="false">
      <c r="A530" s="16" t="str">
        <f aca="false">Purchase_Orders!A527</f>
        <v>PO10526</v>
      </c>
      <c r="B530" s="16" t="str">
        <f aca="false">Purchase_Orders!B527</f>
        <v>V1029</v>
      </c>
      <c r="C530" s="17" t="n">
        <f aca="false">Purchase_Orders!C527</f>
        <v>46091</v>
      </c>
      <c r="D530" s="18" t="n">
        <f aca="false">Purchase_Orders!D527</f>
        <v>4513.74</v>
      </c>
      <c r="E530" s="16" t="str">
        <f aca="false">Purchase_Orders!F527</f>
        <v>Shirley Suarez</v>
      </c>
      <c r="F530" s="16" t="str">
        <f aca="false">Purchase_Orders!G527</f>
        <v>Sierra Johnson</v>
      </c>
      <c r="G530" s="16" t="str">
        <f aca="false">IF(E530=F530,"VIOLATION - Same Person Requested &amp; Approved","OK")</f>
        <v>OK</v>
      </c>
    </row>
    <row r="531" customFormat="false" ht="15" hidden="false" customHeight="false" outlineLevel="0" collapsed="false">
      <c r="A531" s="16" t="str">
        <f aca="false">Purchase_Orders!A528</f>
        <v>PO10527</v>
      </c>
      <c r="B531" s="16" t="str">
        <f aca="false">Purchase_Orders!B528</f>
        <v>V1028</v>
      </c>
      <c r="C531" s="17" t="n">
        <f aca="false">Purchase_Orders!C528</f>
        <v>45817</v>
      </c>
      <c r="D531" s="18" t="n">
        <f aca="false">Purchase_Orders!D528</f>
        <v>1308.52</v>
      </c>
      <c r="E531" s="16" t="str">
        <f aca="false">Purchase_Orders!F528</f>
        <v>Anna Henderson</v>
      </c>
      <c r="F531" s="16" t="str">
        <f aca="false">Purchase_Orders!G528</f>
        <v>Marc Moore</v>
      </c>
      <c r="G531" s="16" t="str">
        <f aca="false">IF(E531=F531,"VIOLATION - Same Person Requested &amp; Approved","OK")</f>
        <v>OK</v>
      </c>
    </row>
    <row r="532" customFormat="false" ht="15" hidden="false" customHeight="false" outlineLevel="0" collapsed="false">
      <c r="A532" s="16" t="str">
        <f aca="false">Purchase_Orders!A529</f>
        <v>PO10528</v>
      </c>
      <c r="B532" s="16" t="str">
        <f aca="false">Purchase_Orders!B529</f>
        <v>V1028</v>
      </c>
      <c r="C532" s="17" t="n">
        <f aca="false">Purchase_Orders!C529</f>
        <v>45862</v>
      </c>
      <c r="D532" s="18" t="n">
        <f aca="false">Purchase_Orders!D529</f>
        <v>2254.68</v>
      </c>
      <c r="E532" s="16" t="str">
        <f aca="false">Purchase_Orders!F529</f>
        <v>Jessica Smith</v>
      </c>
      <c r="F532" s="16" t="str">
        <f aca="false">Purchase_Orders!G529</f>
        <v>Richard Rodriguez</v>
      </c>
      <c r="G532" s="16" t="str">
        <f aca="false">IF(E532=F532,"VIOLATION - Same Person Requested &amp; Approved","OK")</f>
        <v>OK</v>
      </c>
    </row>
    <row r="533" customFormat="false" ht="15" hidden="false" customHeight="false" outlineLevel="0" collapsed="false">
      <c r="A533" s="16" t="str">
        <f aca="false">Purchase_Orders!A530</f>
        <v>PO10529</v>
      </c>
      <c r="B533" s="16" t="str">
        <f aca="false">Purchase_Orders!B530</f>
        <v>V1023</v>
      </c>
      <c r="C533" s="17" t="n">
        <f aca="false">Purchase_Orders!C530</f>
        <v>45737</v>
      </c>
      <c r="D533" s="18" t="n">
        <f aca="false">Purchase_Orders!D530</f>
        <v>5770.92</v>
      </c>
      <c r="E533" s="16" t="str">
        <f aca="false">Purchase_Orders!F530</f>
        <v>Deborah Figueroa</v>
      </c>
      <c r="F533" s="16" t="str">
        <f aca="false">Purchase_Orders!G530</f>
        <v>Sierra Johnson</v>
      </c>
      <c r="G533" s="16" t="str">
        <f aca="false">IF(E533=F533,"VIOLATION - Same Person Requested &amp; Approved","OK")</f>
        <v>OK</v>
      </c>
    </row>
    <row r="534" customFormat="false" ht="15" hidden="false" customHeight="false" outlineLevel="0" collapsed="false">
      <c r="A534" s="16" t="str">
        <f aca="false">Purchase_Orders!A531</f>
        <v>PO10530</v>
      </c>
      <c r="B534" s="16" t="str">
        <f aca="false">Purchase_Orders!B531</f>
        <v>V1016</v>
      </c>
      <c r="C534" s="17" t="n">
        <f aca="false">Purchase_Orders!C531</f>
        <v>45947</v>
      </c>
      <c r="D534" s="18" t="n">
        <f aca="false">Purchase_Orders!D531</f>
        <v>2271.46</v>
      </c>
      <c r="E534" s="16" t="str">
        <f aca="false">Purchase_Orders!F531</f>
        <v>James Powers</v>
      </c>
      <c r="F534" s="16" t="str">
        <f aca="false">Purchase_Orders!G531</f>
        <v>Sharon Cherry</v>
      </c>
      <c r="G534" s="16" t="str">
        <f aca="false">IF(E534=F534,"VIOLATION - Same Person Requested &amp; Approved","OK")</f>
        <v>OK</v>
      </c>
    </row>
    <row r="535" customFormat="false" ht="15" hidden="false" customHeight="false" outlineLevel="0" collapsed="false">
      <c r="A535" s="16" t="str">
        <f aca="false">Purchase_Orders!A532</f>
        <v>PO10531</v>
      </c>
      <c r="B535" s="16" t="str">
        <f aca="false">Purchase_Orders!B532</f>
        <v>V1012</v>
      </c>
      <c r="C535" s="17" t="n">
        <f aca="false">Purchase_Orders!C532</f>
        <v>45966</v>
      </c>
      <c r="D535" s="18" t="n">
        <f aca="false">Purchase_Orders!D532</f>
        <v>567.17</v>
      </c>
      <c r="E535" s="16" t="str">
        <f aca="false">Purchase_Orders!F532</f>
        <v>Rebecca Valencia</v>
      </c>
      <c r="F535" s="16" t="str">
        <f aca="false">Purchase_Orders!G532</f>
        <v>Julia Torres</v>
      </c>
      <c r="G535" s="16" t="str">
        <f aca="false">IF(E535=F535,"VIOLATION - Same Person Requested &amp; Approved","OK")</f>
        <v>OK</v>
      </c>
    </row>
    <row r="536" customFormat="false" ht="15" hidden="false" customHeight="false" outlineLevel="0" collapsed="false">
      <c r="A536" s="16" t="str">
        <f aca="false">Purchase_Orders!A533</f>
        <v>PO10532</v>
      </c>
      <c r="B536" s="16" t="str">
        <f aca="false">Purchase_Orders!B533</f>
        <v>V1010</v>
      </c>
      <c r="C536" s="17" t="n">
        <f aca="false">Purchase_Orders!C533</f>
        <v>46089</v>
      </c>
      <c r="D536" s="18" t="n">
        <f aca="false">Purchase_Orders!D533</f>
        <v>4021.66</v>
      </c>
      <c r="E536" s="16" t="str">
        <f aca="false">Purchase_Orders!F533</f>
        <v>Richard Henson</v>
      </c>
      <c r="F536" s="16" t="str">
        <f aca="false">Purchase_Orders!G533</f>
        <v>Shannon Walker</v>
      </c>
      <c r="G536" s="16" t="str">
        <f aca="false">IF(E536=F536,"VIOLATION - Same Person Requested &amp; Approved","OK")</f>
        <v>OK</v>
      </c>
    </row>
    <row r="537" customFormat="false" ht="15" hidden="false" customHeight="false" outlineLevel="0" collapsed="false">
      <c r="A537" s="16" t="str">
        <f aca="false">Purchase_Orders!A534</f>
        <v>PO10533</v>
      </c>
      <c r="B537" s="16" t="str">
        <f aca="false">Purchase_Orders!B534</f>
        <v>V1020</v>
      </c>
      <c r="C537" s="17" t="n">
        <f aca="false">Purchase_Orders!C534</f>
        <v>45750</v>
      </c>
      <c r="D537" s="18" t="n">
        <f aca="false">Purchase_Orders!D534</f>
        <v>2676.69</v>
      </c>
      <c r="E537" s="16" t="str">
        <f aca="false">Purchase_Orders!F534</f>
        <v>James Powers</v>
      </c>
      <c r="F537" s="16" t="str">
        <f aca="false">Purchase_Orders!G534</f>
        <v>Sierra Johnson</v>
      </c>
      <c r="G537" s="16" t="str">
        <f aca="false">IF(E537=F537,"VIOLATION - Same Person Requested &amp; Approved","OK")</f>
        <v>OK</v>
      </c>
    </row>
    <row r="538" customFormat="false" ht="15" hidden="false" customHeight="false" outlineLevel="0" collapsed="false">
      <c r="A538" s="16" t="str">
        <f aca="false">Purchase_Orders!A535</f>
        <v>PO10534</v>
      </c>
      <c r="B538" s="16" t="str">
        <f aca="false">Purchase_Orders!B535</f>
        <v>V1002</v>
      </c>
      <c r="C538" s="17" t="n">
        <f aca="false">Purchase_Orders!C535</f>
        <v>45701</v>
      </c>
      <c r="D538" s="18" t="n">
        <f aca="false">Purchase_Orders!D535</f>
        <v>21176.94</v>
      </c>
      <c r="E538" s="16" t="str">
        <f aca="false">Purchase_Orders!F535</f>
        <v>Sandra Aguilar</v>
      </c>
      <c r="F538" s="16" t="str">
        <f aca="false">Purchase_Orders!G535</f>
        <v>Sharon Cherry</v>
      </c>
      <c r="G538" s="16" t="str">
        <f aca="false">IF(E538=F538,"VIOLATION - Same Person Requested &amp; Approved","OK")</f>
        <v>OK</v>
      </c>
    </row>
    <row r="539" customFormat="false" ht="15" hidden="false" customHeight="false" outlineLevel="0" collapsed="false">
      <c r="A539" s="16" t="str">
        <f aca="false">Purchase_Orders!A536</f>
        <v>PO10535</v>
      </c>
      <c r="B539" s="16" t="str">
        <f aca="false">Purchase_Orders!B536</f>
        <v>V1010</v>
      </c>
      <c r="C539" s="17" t="n">
        <f aca="false">Purchase_Orders!C536</f>
        <v>46132</v>
      </c>
      <c r="D539" s="18" t="n">
        <f aca="false">Purchase_Orders!D536</f>
        <v>3298.58</v>
      </c>
      <c r="E539" s="16" t="str">
        <f aca="false">Purchase_Orders!F536</f>
        <v>Cameron Parker</v>
      </c>
      <c r="F539" s="16" t="str">
        <f aca="false">Purchase_Orders!G536</f>
        <v>Richard Rodriguez</v>
      </c>
      <c r="G539" s="16" t="str">
        <f aca="false">IF(E539=F539,"VIOLATION - Same Person Requested &amp; Approved","OK")</f>
        <v>OK</v>
      </c>
    </row>
    <row r="540" customFormat="false" ht="15" hidden="false" customHeight="false" outlineLevel="0" collapsed="false">
      <c r="A540" s="16" t="str">
        <f aca="false">Purchase_Orders!A537</f>
        <v>PO10536</v>
      </c>
      <c r="B540" s="16" t="str">
        <f aca="false">Purchase_Orders!B537</f>
        <v>V1031</v>
      </c>
      <c r="C540" s="17" t="n">
        <f aca="false">Purchase_Orders!C537</f>
        <v>45995</v>
      </c>
      <c r="D540" s="18" t="n">
        <f aca="false">Purchase_Orders!D537</f>
        <v>6459.27</v>
      </c>
      <c r="E540" s="16" t="str">
        <f aca="false">Purchase_Orders!F537</f>
        <v>Richard Henson</v>
      </c>
      <c r="F540" s="16" t="str">
        <f aca="false">Purchase_Orders!G537</f>
        <v>Sierra Johnson</v>
      </c>
      <c r="G540" s="16" t="str">
        <f aca="false">IF(E540=F540,"VIOLATION - Same Person Requested &amp; Approved","OK")</f>
        <v>OK</v>
      </c>
    </row>
    <row r="541" customFormat="false" ht="15" hidden="false" customHeight="false" outlineLevel="0" collapsed="false">
      <c r="A541" s="16" t="str">
        <f aca="false">Purchase_Orders!A538</f>
        <v>PO10537</v>
      </c>
      <c r="B541" s="16" t="str">
        <f aca="false">Purchase_Orders!B538</f>
        <v>V1012</v>
      </c>
      <c r="C541" s="17" t="n">
        <f aca="false">Purchase_Orders!C538</f>
        <v>45789</v>
      </c>
      <c r="D541" s="18" t="n">
        <f aca="false">Purchase_Orders!D538</f>
        <v>622.67</v>
      </c>
      <c r="E541" s="16" t="str">
        <f aca="false">Purchase_Orders!F538</f>
        <v>Jimmy Murillo</v>
      </c>
      <c r="F541" s="16" t="str">
        <f aca="false">Purchase_Orders!G538</f>
        <v>Shannon Walker</v>
      </c>
      <c r="G541" s="16" t="str">
        <f aca="false">IF(E541=F541,"VIOLATION - Same Person Requested &amp; Approved","OK")</f>
        <v>OK</v>
      </c>
    </row>
    <row r="542" customFormat="false" ht="15" hidden="false" customHeight="false" outlineLevel="0" collapsed="false">
      <c r="A542" s="16" t="str">
        <f aca="false">Purchase_Orders!A539</f>
        <v>PO10538</v>
      </c>
      <c r="B542" s="16" t="str">
        <f aca="false">Purchase_Orders!B539</f>
        <v>V1035</v>
      </c>
      <c r="C542" s="17" t="n">
        <f aca="false">Purchase_Orders!C539</f>
        <v>46155</v>
      </c>
      <c r="D542" s="18" t="n">
        <f aca="false">Purchase_Orders!D539</f>
        <v>591.95</v>
      </c>
      <c r="E542" s="16" t="str">
        <f aca="false">Purchase_Orders!F539</f>
        <v>Christina Moran</v>
      </c>
      <c r="F542" s="16" t="str">
        <f aca="false">Purchase_Orders!G539</f>
        <v>Sharon Cherry</v>
      </c>
      <c r="G542" s="16" t="str">
        <f aca="false">IF(E542=F542,"VIOLATION - Same Person Requested &amp; Approved","OK")</f>
        <v>OK</v>
      </c>
    </row>
    <row r="543" customFormat="false" ht="15" hidden="false" customHeight="false" outlineLevel="0" collapsed="false">
      <c r="A543" s="16" t="str">
        <f aca="false">Purchase_Orders!A540</f>
        <v>PO10539</v>
      </c>
      <c r="B543" s="16" t="str">
        <f aca="false">Purchase_Orders!B540</f>
        <v>V1005</v>
      </c>
      <c r="C543" s="17" t="n">
        <f aca="false">Purchase_Orders!C540</f>
        <v>45735</v>
      </c>
      <c r="D543" s="18" t="n">
        <f aca="false">Purchase_Orders!D540</f>
        <v>4894.13</v>
      </c>
      <c r="E543" s="16" t="str">
        <f aca="false">Purchase_Orders!F540</f>
        <v>Aimee Montoya</v>
      </c>
      <c r="F543" s="16" t="str">
        <f aca="false">Purchase_Orders!G540</f>
        <v>Sierra Johnson</v>
      </c>
      <c r="G543" s="16" t="str">
        <f aca="false">IF(E543=F543,"VIOLATION - Same Person Requested &amp; Approved","OK")</f>
        <v>OK</v>
      </c>
    </row>
    <row r="544" customFormat="false" ht="15" hidden="false" customHeight="false" outlineLevel="0" collapsed="false">
      <c r="A544" s="16" t="str">
        <f aca="false">Purchase_Orders!A541</f>
        <v>PO10540</v>
      </c>
      <c r="B544" s="16" t="str">
        <f aca="false">Purchase_Orders!B541</f>
        <v>V1024</v>
      </c>
      <c r="C544" s="17" t="n">
        <f aca="false">Purchase_Orders!C541</f>
        <v>45909</v>
      </c>
      <c r="D544" s="18" t="n">
        <f aca="false">Purchase_Orders!D541</f>
        <v>640.41</v>
      </c>
      <c r="E544" s="16" t="str">
        <f aca="false">Purchase_Orders!F541</f>
        <v>Rebecca Valencia</v>
      </c>
      <c r="F544" s="16" t="str">
        <f aca="false">Purchase_Orders!G541</f>
        <v>Evelyn Galvan</v>
      </c>
      <c r="G544" s="16" t="str">
        <f aca="false">IF(E544=F544,"VIOLATION - Same Person Requested &amp; Approved","OK")</f>
        <v>OK</v>
      </c>
    </row>
    <row r="545" customFormat="false" ht="15" hidden="false" customHeight="false" outlineLevel="0" collapsed="false">
      <c r="A545" s="16" t="str">
        <f aca="false">Purchase_Orders!A542</f>
        <v>PO10541</v>
      </c>
      <c r="B545" s="16" t="str">
        <f aca="false">Purchase_Orders!B542</f>
        <v>V1016</v>
      </c>
      <c r="C545" s="17" t="n">
        <f aca="false">Purchase_Orders!C542</f>
        <v>45796</v>
      </c>
      <c r="D545" s="18" t="n">
        <f aca="false">Purchase_Orders!D542</f>
        <v>6607.07</v>
      </c>
      <c r="E545" s="16" t="str">
        <f aca="false">Purchase_Orders!F542</f>
        <v>Aaron Wise</v>
      </c>
      <c r="F545" s="16" t="str">
        <f aca="false">Purchase_Orders!G542</f>
        <v>Sharon Cochran</v>
      </c>
      <c r="G545" s="16" t="str">
        <f aca="false">IF(E545=F545,"VIOLATION - Same Person Requested &amp; Approved","OK")</f>
        <v>OK</v>
      </c>
    </row>
    <row r="546" customFormat="false" ht="15" hidden="false" customHeight="false" outlineLevel="0" collapsed="false">
      <c r="A546" s="16" t="str">
        <f aca="false">Purchase_Orders!A543</f>
        <v>PO10542</v>
      </c>
      <c r="B546" s="16" t="str">
        <f aca="false">Purchase_Orders!B543</f>
        <v>V1028</v>
      </c>
      <c r="C546" s="17" t="n">
        <f aca="false">Purchase_Orders!C543</f>
        <v>45797</v>
      </c>
      <c r="D546" s="18" t="n">
        <f aca="false">Purchase_Orders!D543</f>
        <v>525.01</v>
      </c>
      <c r="E546" s="16" t="str">
        <f aca="false">Purchase_Orders!F543</f>
        <v>Lisa Archer</v>
      </c>
      <c r="F546" s="16" t="str">
        <f aca="false">Purchase_Orders!G543</f>
        <v>Evelyn Galvan</v>
      </c>
      <c r="G546" s="16" t="str">
        <f aca="false">IF(E546=F546,"VIOLATION - Same Person Requested &amp; Approved","OK")</f>
        <v>OK</v>
      </c>
    </row>
    <row r="547" customFormat="false" ht="15" hidden="false" customHeight="false" outlineLevel="0" collapsed="false">
      <c r="A547" s="16" t="str">
        <f aca="false">Purchase_Orders!A544</f>
        <v>PO10543</v>
      </c>
      <c r="B547" s="16" t="str">
        <f aca="false">Purchase_Orders!B544</f>
        <v>V1022</v>
      </c>
      <c r="C547" s="17" t="n">
        <f aca="false">Purchase_Orders!C544</f>
        <v>45663</v>
      </c>
      <c r="D547" s="18" t="n">
        <f aca="false">Purchase_Orders!D544</f>
        <v>517.06</v>
      </c>
      <c r="E547" s="16" t="str">
        <f aca="false">Purchase_Orders!F544</f>
        <v>Deborah Figueroa</v>
      </c>
      <c r="F547" s="16" t="str">
        <f aca="false">Purchase_Orders!G544</f>
        <v>Sharon Cochran</v>
      </c>
      <c r="G547" s="16" t="str">
        <f aca="false">IF(E547=F547,"VIOLATION - Same Person Requested &amp; Approved","OK")</f>
        <v>OK</v>
      </c>
    </row>
    <row r="548" customFormat="false" ht="15" hidden="false" customHeight="false" outlineLevel="0" collapsed="false">
      <c r="A548" s="16" t="str">
        <f aca="false">Purchase_Orders!A545</f>
        <v>PO10544</v>
      </c>
      <c r="B548" s="16" t="str">
        <f aca="false">Purchase_Orders!B545</f>
        <v>V1011</v>
      </c>
      <c r="C548" s="17" t="n">
        <f aca="false">Purchase_Orders!C545</f>
        <v>46096</v>
      </c>
      <c r="D548" s="18" t="n">
        <f aca="false">Purchase_Orders!D545</f>
        <v>316.1</v>
      </c>
      <c r="E548" s="16" t="str">
        <f aca="false">Purchase_Orders!F545</f>
        <v>Aimee Montoya</v>
      </c>
      <c r="F548" s="16" t="str">
        <f aca="false">Purchase_Orders!G545</f>
        <v>Sharon Cherry</v>
      </c>
      <c r="G548" s="16" t="str">
        <f aca="false">IF(E548=F548,"VIOLATION - Same Person Requested &amp; Approved","OK")</f>
        <v>OK</v>
      </c>
    </row>
    <row r="549" customFormat="false" ht="15" hidden="false" customHeight="false" outlineLevel="0" collapsed="false">
      <c r="A549" s="16" t="str">
        <f aca="false">Purchase_Orders!A546</f>
        <v>PO10545</v>
      </c>
      <c r="B549" s="16" t="str">
        <f aca="false">Purchase_Orders!B546</f>
        <v>V1034</v>
      </c>
      <c r="C549" s="17" t="n">
        <f aca="false">Purchase_Orders!C546</f>
        <v>46149</v>
      </c>
      <c r="D549" s="18" t="n">
        <f aca="false">Purchase_Orders!D546</f>
        <v>4436.8</v>
      </c>
      <c r="E549" s="16" t="str">
        <f aca="false">Purchase_Orders!F546</f>
        <v>Angel Lewis MD</v>
      </c>
      <c r="F549" s="16" t="str">
        <f aca="false">Purchase_Orders!G546</f>
        <v>Sierra Johnson</v>
      </c>
      <c r="G549" s="16" t="str">
        <f aca="false">IF(E549=F549,"VIOLATION - Same Person Requested &amp; Approved","OK")</f>
        <v>OK</v>
      </c>
    </row>
    <row r="550" customFormat="false" ht="15" hidden="false" customHeight="false" outlineLevel="0" collapsed="false">
      <c r="A550" s="16" t="str">
        <f aca="false">Purchase_Orders!A547</f>
        <v>PO10546</v>
      </c>
      <c r="B550" s="16" t="str">
        <f aca="false">Purchase_Orders!B547</f>
        <v>V1026</v>
      </c>
      <c r="C550" s="17" t="n">
        <f aca="false">Purchase_Orders!C547</f>
        <v>46027</v>
      </c>
      <c r="D550" s="18" t="n">
        <f aca="false">Purchase_Orders!D547</f>
        <v>6594.42</v>
      </c>
      <c r="E550" s="16" t="str">
        <f aca="false">Purchase_Orders!F547</f>
        <v>Stephen Mckee</v>
      </c>
      <c r="F550" s="16" t="str">
        <f aca="false">Purchase_Orders!G547</f>
        <v>Richard Rodriguez</v>
      </c>
      <c r="G550" s="16" t="str">
        <f aca="false">IF(E550=F550,"VIOLATION - Same Person Requested &amp; Approved","OK")</f>
        <v>OK</v>
      </c>
    </row>
    <row r="551" customFormat="false" ht="15" hidden="false" customHeight="false" outlineLevel="0" collapsed="false">
      <c r="A551" s="16" t="str">
        <f aca="false">Purchase_Orders!A548</f>
        <v>PO10547</v>
      </c>
      <c r="B551" s="16" t="str">
        <f aca="false">Purchase_Orders!B548</f>
        <v>V1027</v>
      </c>
      <c r="C551" s="17" t="n">
        <f aca="false">Purchase_Orders!C548</f>
        <v>45744</v>
      </c>
      <c r="D551" s="18" t="n">
        <f aca="false">Purchase_Orders!D548</f>
        <v>836.54</v>
      </c>
      <c r="E551" s="16" t="str">
        <f aca="false">Purchase_Orders!F548</f>
        <v>Jessica Smith</v>
      </c>
      <c r="F551" s="16" t="str">
        <f aca="false">Purchase_Orders!G548</f>
        <v>Marc Moore</v>
      </c>
      <c r="G551" s="16" t="str">
        <f aca="false">IF(E551=F551,"VIOLATION - Same Person Requested &amp; Approved","OK")</f>
        <v>OK</v>
      </c>
    </row>
    <row r="552" customFormat="false" ht="15" hidden="false" customHeight="false" outlineLevel="0" collapsed="false">
      <c r="A552" s="16" t="str">
        <f aca="false">Purchase_Orders!A549</f>
        <v>PO10548</v>
      </c>
      <c r="B552" s="16" t="str">
        <f aca="false">Purchase_Orders!B549</f>
        <v>V1020</v>
      </c>
      <c r="C552" s="17" t="n">
        <f aca="false">Purchase_Orders!C549</f>
        <v>45898</v>
      </c>
      <c r="D552" s="18" t="n">
        <f aca="false">Purchase_Orders!D549</f>
        <v>1170.71</v>
      </c>
      <c r="E552" s="16" t="str">
        <f aca="false">Purchase_Orders!F549</f>
        <v>Kevin Mills</v>
      </c>
      <c r="F552" s="16" t="str">
        <f aca="false">Purchase_Orders!G549</f>
        <v>Sharon Cherry</v>
      </c>
      <c r="G552" s="16" t="str">
        <f aca="false">IF(E552=F552,"VIOLATION - Same Person Requested &amp; Approved","OK")</f>
        <v>OK</v>
      </c>
    </row>
    <row r="553" customFormat="false" ht="15" hidden="false" customHeight="false" outlineLevel="0" collapsed="false">
      <c r="A553" s="16" t="str">
        <f aca="false">Purchase_Orders!A550</f>
        <v>PO10549</v>
      </c>
      <c r="B553" s="16" t="str">
        <f aca="false">Purchase_Orders!B550</f>
        <v>V1027</v>
      </c>
      <c r="C553" s="17" t="n">
        <f aca="false">Purchase_Orders!C550</f>
        <v>45846</v>
      </c>
      <c r="D553" s="18" t="n">
        <f aca="false">Purchase_Orders!D550</f>
        <v>4155.49</v>
      </c>
      <c r="E553" s="16" t="str">
        <f aca="false">Purchase_Orders!F550</f>
        <v>Sandra Aguilar</v>
      </c>
      <c r="F553" s="16" t="str">
        <f aca="false">Purchase_Orders!G550</f>
        <v>Sharon Cochran</v>
      </c>
      <c r="G553" s="16" t="str">
        <f aca="false">IF(E553=F553,"VIOLATION - Same Person Requested &amp; Approved","OK")</f>
        <v>OK</v>
      </c>
    </row>
    <row r="554" customFormat="false" ht="15" hidden="false" customHeight="false" outlineLevel="0" collapsed="false">
      <c r="A554" s="16" t="str">
        <f aca="false">Purchase_Orders!A551</f>
        <v>PO10550</v>
      </c>
      <c r="B554" s="16" t="str">
        <f aca="false">Purchase_Orders!B551</f>
        <v>V1028</v>
      </c>
      <c r="C554" s="17" t="n">
        <f aca="false">Purchase_Orders!C551</f>
        <v>45978</v>
      </c>
      <c r="D554" s="18" t="n">
        <f aca="false">Purchase_Orders!D551</f>
        <v>813.95</v>
      </c>
      <c r="E554" s="16" t="str">
        <f aca="false">Purchase_Orders!F551</f>
        <v>Richard Henson</v>
      </c>
      <c r="F554" s="16" t="str">
        <f aca="false">Purchase_Orders!G551</f>
        <v>Shannon Walker</v>
      </c>
      <c r="G554" s="16" t="str">
        <f aca="false">IF(E554=F554,"VIOLATION - Same Person Requested &amp; Approved","OK")</f>
        <v>OK</v>
      </c>
    </row>
    <row r="555" customFormat="false" ht="15" hidden="false" customHeight="false" outlineLevel="0" collapsed="false">
      <c r="A555" s="16" t="str">
        <f aca="false">Purchase_Orders!A552</f>
        <v>PO10551</v>
      </c>
      <c r="B555" s="16" t="str">
        <f aca="false">Purchase_Orders!B552</f>
        <v>V1021</v>
      </c>
      <c r="C555" s="17" t="n">
        <f aca="false">Purchase_Orders!C552</f>
        <v>46006</v>
      </c>
      <c r="D555" s="18" t="n">
        <f aca="false">Purchase_Orders!D552</f>
        <v>219.09</v>
      </c>
      <c r="E555" s="16" t="str">
        <f aca="false">Purchase_Orders!F552</f>
        <v>Kevin Mills</v>
      </c>
      <c r="F555" s="16" t="str">
        <f aca="false">Purchase_Orders!G552</f>
        <v>Julia Torres</v>
      </c>
      <c r="G555" s="16" t="str">
        <f aca="false">IF(E555=F555,"VIOLATION - Same Person Requested &amp; Approved","OK")</f>
        <v>OK</v>
      </c>
    </row>
    <row r="556" customFormat="false" ht="15" hidden="false" customHeight="false" outlineLevel="0" collapsed="false">
      <c r="A556" s="16" t="str">
        <f aca="false">Purchase_Orders!A553</f>
        <v>PO10552</v>
      </c>
      <c r="B556" s="16" t="str">
        <f aca="false">Purchase_Orders!B553</f>
        <v>V1018</v>
      </c>
      <c r="C556" s="17" t="n">
        <f aca="false">Purchase_Orders!C553</f>
        <v>45889</v>
      </c>
      <c r="D556" s="18" t="n">
        <f aca="false">Purchase_Orders!D553</f>
        <v>313.99</v>
      </c>
      <c r="E556" s="16" t="str">
        <f aca="false">Purchase_Orders!F553</f>
        <v>Deborah Figueroa</v>
      </c>
      <c r="F556" s="16" t="str">
        <f aca="false">Purchase_Orders!G553</f>
        <v>Sharon Cochran</v>
      </c>
      <c r="G556" s="16" t="str">
        <f aca="false">IF(E556=F556,"VIOLATION - Same Person Requested &amp; Approved","OK")</f>
        <v>OK</v>
      </c>
    </row>
    <row r="557" customFormat="false" ht="15" hidden="false" customHeight="false" outlineLevel="0" collapsed="false">
      <c r="A557" s="16" t="str">
        <f aca="false">Purchase_Orders!A554</f>
        <v>PO10553</v>
      </c>
      <c r="B557" s="16" t="str">
        <f aca="false">Purchase_Orders!B554</f>
        <v>V1005</v>
      </c>
      <c r="C557" s="17" t="n">
        <f aca="false">Purchase_Orders!C554</f>
        <v>45794</v>
      </c>
      <c r="D557" s="18" t="n">
        <f aca="false">Purchase_Orders!D554</f>
        <v>7086.46</v>
      </c>
      <c r="E557" s="16" t="str">
        <f aca="false">Purchase_Orders!F554</f>
        <v>Aimee Montoya</v>
      </c>
      <c r="F557" s="16" t="str">
        <f aca="false">Purchase_Orders!G554</f>
        <v>Julia Torres</v>
      </c>
      <c r="G557" s="16" t="str">
        <f aca="false">IF(E557=F557,"VIOLATION - Same Person Requested &amp; Approved","OK")</f>
        <v>OK</v>
      </c>
    </row>
    <row r="558" customFormat="false" ht="15" hidden="false" customHeight="false" outlineLevel="0" collapsed="false">
      <c r="A558" s="16" t="str">
        <f aca="false">Purchase_Orders!A555</f>
        <v>PO10554</v>
      </c>
      <c r="B558" s="16" t="str">
        <f aca="false">Purchase_Orders!B555</f>
        <v>V1021</v>
      </c>
      <c r="C558" s="17" t="n">
        <f aca="false">Purchase_Orders!C555</f>
        <v>46118</v>
      </c>
      <c r="D558" s="18" t="n">
        <f aca="false">Purchase_Orders!D555</f>
        <v>5679.33</v>
      </c>
      <c r="E558" s="16" t="str">
        <f aca="false">Purchase_Orders!F555</f>
        <v>Cameron Parker</v>
      </c>
      <c r="F558" s="16" t="str">
        <f aca="false">Purchase_Orders!G555</f>
        <v>Shannon Walker</v>
      </c>
      <c r="G558" s="16" t="str">
        <f aca="false">IF(E558=F558,"VIOLATION - Same Person Requested &amp; Approved","OK")</f>
        <v>OK</v>
      </c>
    </row>
    <row r="559" customFormat="false" ht="15" hidden="false" customHeight="false" outlineLevel="0" collapsed="false">
      <c r="A559" s="16" t="str">
        <f aca="false">Purchase_Orders!A556</f>
        <v>PO10555</v>
      </c>
      <c r="B559" s="16" t="str">
        <f aca="false">Purchase_Orders!B556</f>
        <v>V1005</v>
      </c>
      <c r="C559" s="17" t="n">
        <f aca="false">Purchase_Orders!C556</f>
        <v>45766</v>
      </c>
      <c r="D559" s="18" t="n">
        <f aca="false">Purchase_Orders!D556</f>
        <v>745.67</v>
      </c>
      <c r="E559" s="16" t="str">
        <f aca="false">Purchase_Orders!F556</f>
        <v>James Powers</v>
      </c>
      <c r="F559" s="16" t="str">
        <f aca="false">Purchase_Orders!G556</f>
        <v>Marc Moore</v>
      </c>
      <c r="G559" s="16" t="str">
        <f aca="false">IF(E559=F559,"VIOLATION - Same Person Requested &amp; Approved","OK")</f>
        <v>OK</v>
      </c>
    </row>
    <row r="560" customFormat="false" ht="15" hidden="false" customHeight="false" outlineLevel="0" collapsed="false">
      <c r="A560" s="16" t="str">
        <f aca="false">Purchase_Orders!A557</f>
        <v>PO10556</v>
      </c>
      <c r="B560" s="16" t="str">
        <f aca="false">Purchase_Orders!B557</f>
        <v>V1038</v>
      </c>
      <c r="C560" s="17" t="n">
        <f aca="false">Purchase_Orders!C557</f>
        <v>45867</v>
      </c>
      <c r="D560" s="18" t="n">
        <f aca="false">Purchase_Orders!D557</f>
        <v>2119.2</v>
      </c>
      <c r="E560" s="16" t="str">
        <f aca="false">Purchase_Orders!F557</f>
        <v>Christina Walters</v>
      </c>
      <c r="F560" s="16" t="str">
        <f aca="false">Purchase_Orders!G557</f>
        <v>Julia Torres</v>
      </c>
      <c r="G560" s="16" t="str">
        <f aca="false">IF(E560=F560,"VIOLATION - Same Person Requested &amp; Approved","OK")</f>
        <v>OK</v>
      </c>
    </row>
    <row r="561" customFormat="false" ht="15" hidden="false" customHeight="false" outlineLevel="0" collapsed="false">
      <c r="A561" s="16" t="str">
        <f aca="false">Purchase_Orders!A558</f>
        <v>PO10557</v>
      </c>
      <c r="B561" s="16" t="str">
        <f aca="false">Purchase_Orders!B558</f>
        <v>V1015</v>
      </c>
      <c r="C561" s="17" t="n">
        <f aca="false">Purchase_Orders!C558</f>
        <v>45921</v>
      </c>
      <c r="D561" s="18" t="n">
        <f aca="false">Purchase_Orders!D558</f>
        <v>202.78</v>
      </c>
      <c r="E561" s="16" t="str">
        <f aca="false">Purchase_Orders!F558</f>
        <v>Matthew Mcmillan</v>
      </c>
      <c r="F561" s="16" t="str">
        <f aca="false">Purchase_Orders!G558</f>
        <v>Sierra Johnson</v>
      </c>
      <c r="G561" s="16" t="str">
        <f aca="false">IF(E561=F561,"VIOLATION - Same Person Requested &amp; Approved","OK")</f>
        <v>OK</v>
      </c>
    </row>
    <row r="562" customFormat="false" ht="15" hidden="false" customHeight="false" outlineLevel="0" collapsed="false">
      <c r="A562" s="16" t="str">
        <f aca="false">Purchase_Orders!A559</f>
        <v>PO10558</v>
      </c>
      <c r="B562" s="16" t="str">
        <f aca="false">Purchase_Orders!B559</f>
        <v>V1023</v>
      </c>
      <c r="C562" s="17" t="n">
        <f aca="false">Purchase_Orders!C559</f>
        <v>45787</v>
      </c>
      <c r="D562" s="18" t="n">
        <f aca="false">Purchase_Orders!D559</f>
        <v>1869.57</v>
      </c>
      <c r="E562" s="16" t="str">
        <f aca="false">Purchase_Orders!F559</f>
        <v>Rebecca Valencia</v>
      </c>
      <c r="F562" s="16" t="str">
        <f aca="false">Purchase_Orders!G559</f>
        <v>Richard Rodriguez</v>
      </c>
      <c r="G562" s="16" t="str">
        <f aca="false">IF(E562=F562,"VIOLATION - Same Person Requested &amp; Approved","OK")</f>
        <v>OK</v>
      </c>
    </row>
    <row r="563" customFormat="false" ht="15" hidden="false" customHeight="false" outlineLevel="0" collapsed="false">
      <c r="A563" s="16" t="str">
        <f aca="false">Purchase_Orders!A560</f>
        <v>PO10559</v>
      </c>
      <c r="B563" s="16" t="str">
        <f aca="false">Purchase_Orders!B560</f>
        <v>V1012</v>
      </c>
      <c r="C563" s="17" t="n">
        <f aca="false">Purchase_Orders!C560</f>
        <v>45969</v>
      </c>
      <c r="D563" s="18" t="n">
        <f aca="false">Purchase_Orders!D560</f>
        <v>1002.81</v>
      </c>
      <c r="E563" s="16" t="str">
        <f aca="false">Purchase_Orders!F560</f>
        <v>Brian Rodriguez</v>
      </c>
      <c r="F563" s="16" t="str">
        <f aca="false">Purchase_Orders!G560</f>
        <v>Shannon Walker</v>
      </c>
      <c r="G563" s="16" t="str">
        <f aca="false">IF(E563=F563,"VIOLATION - Same Person Requested &amp; Approved","OK")</f>
        <v>OK</v>
      </c>
    </row>
    <row r="564" customFormat="false" ht="15" hidden="false" customHeight="false" outlineLevel="0" collapsed="false">
      <c r="A564" s="16" t="str">
        <f aca="false">Purchase_Orders!A561</f>
        <v>PO10560</v>
      </c>
      <c r="B564" s="16" t="str">
        <f aca="false">Purchase_Orders!B561</f>
        <v>V1019</v>
      </c>
      <c r="C564" s="17" t="n">
        <f aca="false">Purchase_Orders!C561</f>
        <v>45971</v>
      </c>
      <c r="D564" s="18" t="n">
        <f aca="false">Purchase_Orders!D561</f>
        <v>829.86</v>
      </c>
      <c r="E564" s="16" t="str">
        <f aca="false">Purchase_Orders!F561</f>
        <v>Brian Rodriguez</v>
      </c>
      <c r="F564" s="16" t="str">
        <f aca="false">Purchase_Orders!G561</f>
        <v>Sharon Cherry</v>
      </c>
      <c r="G564" s="16" t="str">
        <f aca="false">IF(E564=F564,"VIOLATION - Same Person Requested &amp; Approved","OK")</f>
        <v>OK</v>
      </c>
    </row>
    <row r="565" customFormat="false" ht="15" hidden="false" customHeight="false" outlineLevel="0" collapsed="false">
      <c r="A565" s="16" t="str">
        <f aca="false">Purchase_Orders!A562</f>
        <v>PO10561</v>
      </c>
      <c r="B565" s="16" t="str">
        <f aca="false">Purchase_Orders!B562</f>
        <v>V1038</v>
      </c>
      <c r="C565" s="17" t="n">
        <f aca="false">Purchase_Orders!C562</f>
        <v>46199</v>
      </c>
      <c r="D565" s="18" t="n">
        <f aca="false">Purchase_Orders!D562</f>
        <v>1964.42</v>
      </c>
      <c r="E565" s="16" t="str">
        <f aca="false">Purchase_Orders!F562</f>
        <v>John Whitehead</v>
      </c>
      <c r="F565" s="16" t="str">
        <f aca="false">Purchase_Orders!G562</f>
        <v>Sharon Cherry</v>
      </c>
      <c r="G565" s="16" t="str">
        <f aca="false">IF(E565=F565,"VIOLATION - Same Person Requested &amp; Approved","OK")</f>
        <v>OK</v>
      </c>
    </row>
    <row r="566" customFormat="false" ht="15" hidden="false" customHeight="false" outlineLevel="0" collapsed="false">
      <c r="A566" s="16" t="str">
        <f aca="false">Purchase_Orders!A563</f>
        <v>PO10562</v>
      </c>
      <c r="B566" s="16" t="str">
        <f aca="false">Purchase_Orders!B563</f>
        <v>V1028</v>
      </c>
      <c r="C566" s="17" t="n">
        <f aca="false">Purchase_Orders!C563</f>
        <v>45818</v>
      </c>
      <c r="D566" s="18" t="n">
        <f aca="false">Purchase_Orders!D563</f>
        <v>3096.07</v>
      </c>
      <c r="E566" s="16" t="str">
        <f aca="false">Purchase_Orders!F563</f>
        <v>Christopher Bass</v>
      </c>
      <c r="F566" s="16" t="str">
        <f aca="false">Purchase_Orders!G563</f>
        <v>Sierra Johnson</v>
      </c>
      <c r="G566" s="16" t="str">
        <f aca="false">IF(E566=F566,"VIOLATION - Same Person Requested &amp; Approved","OK")</f>
        <v>OK</v>
      </c>
    </row>
    <row r="567" customFormat="false" ht="15" hidden="false" customHeight="false" outlineLevel="0" collapsed="false">
      <c r="A567" s="16" t="str">
        <f aca="false">Purchase_Orders!A564</f>
        <v>PO10563</v>
      </c>
      <c r="B567" s="16" t="str">
        <f aca="false">Purchase_Orders!B564</f>
        <v>V1021</v>
      </c>
      <c r="C567" s="17" t="n">
        <f aca="false">Purchase_Orders!C564</f>
        <v>46190</v>
      </c>
      <c r="D567" s="18" t="n">
        <f aca="false">Purchase_Orders!D564</f>
        <v>1700.5</v>
      </c>
      <c r="E567" s="16" t="str">
        <f aca="false">Purchase_Orders!F564</f>
        <v>Aimee Montoya</v>
      </c>
      <c r="F567" s="16" t="str">
        <f aca="false">Purchase_Orders!G564</f>
        <v>Shannon Walker</v>
      </c>
      <c r="G567" s="16" t="str">
        <f aca="false">IF(E567=F567,"VIOLATION - Same Person Requested &amp; Approved","OK")</f>
        <v>OK</v>
      </c>
    </row>
    <row r="568" customFormat="false" ht="15" hidden="false" customHeight="false" outlineLevel="0" collapsed="false">
      <c r="A568" s="16" t="str">
        <f aca="false">Purchase_Orders!A565</f>
        <v>PO10564</v>
      </c>
      <c r="B568" s="16" t="str">
        <f aca="false">Purchase_Orders!B565</f>
        <v>V1003</v>
      </c>
      <c r="C568" s="17" t="n">
        <f aca="false">Purchase_Orders!C565</f>
        <v>46016</v>
      </c>
      <c r="D568" s="18" t="n">
        <f aca="false">Purchase_Orders!D565</f>
        <v>1462.27</v>
      </c>
      <c r="E568" s="16" t="str">
        <f aca="false">Purchase_Orders!F565</f>
        <v>Christina Walters</v>
      </c>
      <c r="F568" s="16" t="str">
        <f aca="false">Purchase_Orders!G565</f>
        <v>Evelyn Galvan</v>
      </c>
      <c r="G568" s="16" t="str">
        <f aca="false">IF(E568=F568,"VIOLATION - Same Person Requested &amp; Approved","OK")</f>
        <v>OK</v>
      </c>
    </row>
    <row r="569" customFormat="false" ht="15" hidden="false" customHeight="false" outlineLevel="0" collapsed="false">
      <c r="A569" s="16" t="str">
        <f aca="false">Purchase_Orders!A566</f>
        <v>PO10565</v>
      </c>
      <c r="B569" s="16" t="str">
        <f aca="false">Purchase_Orders!B566</f>
        <v>V1023</v>
      </c>
      <c r="C569" s="17" t="n">
        <f aca="false">Purchase_Orders!C566</f>
        <v>45807</v>
      </c>
      <c r="D569" s="18" t="n">
        <f aca="false">Purchase_Orders!D566</f>
        <v>1476.77</v>
      </c>
      <c r="E569" s="16" t="str">
        <f aca="false">Purchase_Orders!F566</f>
        <v>Angel Lewis MD</v>
      </c>
      <c r="F569" s="16" t="str">
        <f aca="false">Purchase_Orders!G566</f>
        <v>Richard Rodriguez</v>
      </c>
      <c r="G569" s="16" t="str">
        <f aca="false">IF(E569=F569,"VIOLATION - Same Person Requested &amp; Approved","OK")</f>
        <v>OK</v>
      </c>
    </row>
    <row r="570" customFormat="false" ht="15" hidden="false" customHeight="false" outlineLevel="0" collapsed="false">
      <c r="A570" s="16" t="str">
        <f aca="false">Purchase_Orders!A567</f>
        <v>PO10566</v>
      </c>
      <c r="B570" s="16" t="str">
        <f aca="false">Purchase_Orders!B567</f>
        <v>V1036</v>
      </c>
      <c r="C570" s="17" t="n">
        <f aca="false">Purchase_Orders!C567</f>
        <v>45966</v>
      </c>
      <c r="D570" s="18" t="n">
        <f aca="false">Purchase_Orders!D567</f>
        <v>3152.95</v>
      </c>
      <c r="E570" s="16" t="str">
        <f aca="false">Purchase_Orders!F567</f>
        <v>Christine Wright</v>
      </c>
      <c r="F570" s="16" t="str">
        <f aca="false">Purchase_Orders!G567</f>
        <v>Richard Rodriguez</v>
      </c>
      <c r="G570" s="16" t="str">
        <f aca="false">IF(E570=F570,"VIOLATION - Same Person Requested &amp; Approved","OK")</f>
        <v>OK</v>
      </c>
    </row>
    <row r="571" customFormat="false" ht="15" hidden="false" customHeight="false" outlineLevel="0" collapsed="false">
      <c r="A571" s="16" t="str">
        <f aca="false">Purchase_Orders!A568</f>
        <v>PO10567</v>
      </c>
      <c r="B571" s="16" t="str">
        <f aca="false">Purchase_Orders!B568</f>
        <v>V1003</v>
      </c>
      <c r="C571" s="17" t="n">
        <f aca="false">Purchase_Orders!C568</f>
        <v>46031</v>
      </c>
      <c r="D571" s="18" t="n">
        <f aca="false">Purchase_Orders!D568</f>
        <v>3405.2</v>
      </c>
      <c r="E571" s="16" t="str">
        <f aca="false">Purchase_Orders!F568</f>
        <v>Angel Lewis MD</v>
      </c>
      <c r="F571" s="16" t="str">
        <f aca="false">Purchase_Orders!G568</f>
        <v>Julia Torres</v>
      </c>
      <c r="G571" s="16" t="str">
        <f aca="false">IF(E571=F571,"VIOLATION - Same Person Requested &amp; Approved","OK")</f>
        <v>OK</v>
      </c>
    </row>
    <row r="572" customFormat="false" ht="15" hidden="false" customHeight="false" outlineLevel="0" collapsed="false">
      <c r="A572" s="16" t="str">
        <f aca="false">Purchase_Orders!A569</f>
        <v>PO10568</v>
      </c>
      <c r="B572" s="16" t="str">
        <f aca="false">Purchase_Orders!B569</f>
        <v>V1013</v>
      </c>
      <c r="C572" s="17" t="n">
        <f aca="false">Purchase_Orders!C569</f>
        <v>46063</v>
      </c>
      <c r="D572" s="18" t="n">
        <f aca="false">Purchase_Orders!D569</f>
        <v>290.16</v>
      </c>
      <c r="E572" s="16" t="str">
        <f aca="false">Purchase_Orders!F569</f>
        <v>John Whitehead</v>
      </c>
      <c r="F572" s="16" t="str">
        <f aca="false">Purchase_Orders!G569</f>
        <v>Julia Torres</v>
      </c>
      <c r="G572" s="16" t="str">
        <f aca="false">IF(E572=F572,"VIOLATION - Same Person Requested &amp; Approved","OK")</f>
        <v>OK</v>
      </c>
    </row>
    <row r="573" customFormat="false" ht="15" hidden="false" customHeight="false" outlineLevel="0" collapsed="false">
      <c r="A573" s="16" t="str">
        <f aca="false">Purchase_Orders!A570</f>
        <v>PO10569</v>
      </c>
      <c r="B573" s="16" t="str">
        <f aca="false">Purchase_Orders!B570</f>
        <v>V1030</v>
      </c>
      <c r="C573" s="17" t="n">
        <f aca="false">Purchase_Orders!C570</f>
        <v>45684</v>
      </c>
      <c r="D573" s="18" t="n">
        <f aca="false">Purchase_Orders!D570</f>
        <v>3177.82</v>
      </c>
      <c r="E573" s="16" t="str">
        <f aca="false">Purchase_Orders!F570</f>
        <v>Anna Henderson</v>
      </c>
      <c r="F573" s="16" t="str">
        <f aca="false">Purchase_Orders!G570</f>
        <v>Marc Moore</v>
      </c>
      <c r="G573" s="16" t="str">
        <f aca="false">IF(E573=F573,"VIOLATION - Same Person Requested &amp; Approved","OK")</f>
        <v>OK</v>
      </c>
    </row>
    <row r="574" customFormat="false" ht="15" hidden="false" customHeight="false" outlineLevel="0" collapsed="false">
      <c r="A574" s="16" t="str">
        <f aca="false">Purchase_Orders!A571</f>
        <v>PO10570</v>
      </c>
      <c r="B574" s="16" t="str">
        <f aca="false">Purchase_Orders!B571</f>
        <v>V1012</v>
      </c>
      <c r="C574" s="17" t="n">
        <f aca="false">Purchase_Orders!C571</f>
        <v>45988</v>
      </c>
      <c r="D574" s="18" t="n">
        <f aca="false">Purchase_Orders!D571</f>
        <v>723.11</v>
      </c>
      <c r="E574" s="16" t="str">
        <f aca="false">Purchase_Orders!F571</f>
        <v>Denise Jacobs</v>
      </c>
      <c r="F574" s="16" t="str">
        <f aca="false">Purchase_Orders!G571</f>
        <v>Julia Torres</v>
      </c>
      <c r="G574" s="16" t="str">
        <f aca="false">IF(E574=F574,"VIOLATION - Same Person Requested &amp; Approved","OK")</f>
        <v>OK</v>
      </c>
    </row>
    <row r="575" customFormat="false" ht="15" hidden="false" customHeight="false" outlineLevel="0" collapsed="false">
      <c r="A575" s="16" t="str">
        <f aca="false">Purchase_Orders!A572</f>
        <v>PO10571</v>
      </c>
      <c r="B575" s="16" t="str">
        <f aca="false">Purchase_Orders!B572</f>
        <v>V1009</v>
      </c>
      <c r="C575" s="17" t="n">
        <f aca="false">Purchase_Orders!C572</f>
        <v>45928</v>
      </c>
      <c r="D575" s="18" t="n">
        <f aca="false">Purchase_Orders!D572</f>
        <v>2363.54</v>
      </c>
      <c r="E575" s="16" t="str">
        <f aca="false">Purchase_Orders!F572</f>
        <v>Shirley Suarez</v>
      </c>
      <c r="F575" s="16" t="str">
        <f aca="false">Purchase_Orders!G572</f>
        <v>Richard Rodriguez</v>
      </c>
      <c r="G575" s="16" t="str">
        <f aca="false">IF(E575=F575,"VIOLATION - Same Person Requested &amp; Approved","OK")</f>
        <v>OK</v>
      </c>
    </row>
    <row r="576" customFormat="false" ht="15" hidden="false" customHeight="false" outlineLevel="0" collapsed="false">
      <c r="A576" s="16" t="str">
        <f aca="false">Purchase_Orders!A573</f>
        <v>PO10572</v>
      </c>
      <c r="B576" s="16" t="str">
        <f aca="false">Purchase_Orders!B573</f>
        <v>V1006</v>
      </c>
      <c r="C576" s="17" t="n">
        <f aca="false">Purchase_Orders!C573</f>
        <v>46150</v>
      </c>
      <c r="D576" s="18" t="n">
        <f aca="false">Purchase_Orders!D573</f>
        <v>1328.83</v>
      </c>
      <c r="E576" s="16" t="str">
        <f aca="false">Purchase_Orders!F573</f>
        <v>Aimee Montoya</v>
      </c>
      <c r="F576" s="16" t="str">
        <f aca="false">Purchase_Orders!G573</f>
        <v>Julia Torres</v>
      </c>
      <c r="G576" s="16" t="str">
        <f aca="false">IF(E576=F576,"VIOLATION - Same Person Requested &amp; Approved","OK")</f>
        <v>OK</v>
      </c>
    </row>
    <row r="577" customFormat="false" ht="15" hidden="false" customHeight="false" outlineLevel="0" collapsed="false">
      <c r="A577" s="16" t="str">
        <f aca="false">Purchase_Orders!A574</f>
        <v>PO10573</v>
      </c>
      <c r="B577" s="16" t="str">
        <f aca="false">Purchase_Orders!B574</f>
        <v>V1020</v>
      </c>
      <c r="C577" s="17" t="n">
        <f aca="false">Purchase_Orders!C574</f>
        <v>45813</v>
      </c>
      <c r="D577" s="18" t="n">
        <f aca="false">Purchase_Orders!D574</f>
        <v>825.32</v>
      </c>
      <c r="E577" s="16" t="str">
        <f aca="false">Purchase_Orders!F574</f>
        <v>Sandra Aguilar</v>
      </c>
      <c r="F577" s="16" t="str">
        <f aca="false">Purchase_Orders!G574</f>
        <v>Julia Torres</v>
      </c>
      <c r="G577" s="16" t="str">
        <f aca="false">IF(E577=F577,"VIOLATION - Same Person Requested &amp; Approved","OK")</f>
        <v>OK</v>
      </c>
    </row>
    <row r="578" customFormat="false" ht="15" hidden="false" customHeight="false" outlineLevel="0" collapsed="false">
      <c r="A578" s="16" t="str">
        <f aca="false">Purchase_Orders!A575</f>
        <v>PO10574</v>
      </c>
      <c r="B578" s="16" t="str">
        <f aca="false">Purchase_Orders!B575</f>
        <v>V1036</v>
      </c>
      <c r="C578" s="17" t="n">
        <f aca="false">Purchase_Orders!C575</f>
        <v>46093</v>
      </c>
      <c r="D578" s="18" t="n">
        <f aca="false">Purchase_Orders!D575</f>
        <v>3318.83</v>
      </c>
      <c r="E578" s="16" t="str">
        <f aca="false">Purchase_Orders!F575</f>
        <v>Kevin Mills</v>
      </c>
      <c r="F578" s="16" t="str">
        <f aca="false">Purchase_Orders!G575</f>
        <v>Sharon Cherry</v>
      </c>
      <c r="G578" s="16" t="str">
        <f aca="false">IF(E578=F578,"VIOLATION - Same Person Requested &amp; Approved","OK")</f>
        <v>OK</v>
      </c>
    </row>
    <row r="579" customFormat="false" ht="15" hidden="false" customHeight="false" outlineLevel="0" collapsed="false">
      <c r="A579" s="16" t="str">
        <f aca="false">Purchase_Orders!A576</f>
        <v>PO10575</v>
      </c>
      <c r="B579" s="16" t="str">
        <f aca="false">Purchase_Orders!B576</f>
        <v>V1007</v>
      </c>
      <c r="C579" s="17" t="n">
        <f aca="false">Purchase_Orders!C576</f>
        <v>45988</v>
      </c>
      <c r="D579" s="18" t="n">
        <f aca="false">Purchase_Orders!D576</f>
        <v>2949.36</v>
      </c>
      <c r="E579" s="16" t="str">
        <f aca="false">Purchase_Orders!F576</f>
        <v>Lisa Archer</v>
      </c>
      <c r="F579" s="16" t="str">
        <f aca="false">Purchase_Orders!G576</f>
        <v>Richard Rodriguez</v>
      </c>
      <c r="G579" s="16" t="str">
        <f aca="false">IF(E579=F579,"VIOLATION - Same Person Requested &amp; Approved","OK")</f>
        <v>OK</v>
      </c>
    </row>
    <row r="580" customFormat="false" ht="15" hidden="false" customHeight="false" outlineLevel="0" collapsed="false">
      <c r="A580" s="16" t="str">
        <f aca="false">Purchase_Orders!A577</f>
        <v>PO10576</v>
      </c>
      <c r="B580" s="16" t="str">
        <f aca="false">Purchase_Orders!B577</f>
        <v>V1008</v>
      </c>
      <c r="C580" s="17" t="n">
        <f aca="false">Purchase_Orders!C577</f>
        <v>45850</v>
      </c>
      <c r="D580" s="18" t="n">
        <f aca="false">Purchase_Orders!D577</f>
        <v>1733.53</v>
      </c>
      <c r="E580" s="16" t="str">
        <f aca="false">Purchase_Orders!F577</f>
        <v>Brian Rodriguez</v>
      </c>
      <c r="F580" s="16" t="str">
        <f aca="false">Purchase_Orders!G577</f>
        <v>Marc Moore</v>
      </c>
      <c r="G580" s="16" t="str">
        <f aca="false">IF(E580=F580,"VIOLATION - Same Person Requested &amp; Approved","OK")</f>
        <v>OK</v>
      </c>
    </row>
    <row r="581" customFormat="false" ht="15" hidden="false" customHeight="false" outlineLevel="0" collapsed="false">
      <c r="A581" s="16" t="str">
        <f aca="false">Purchase_Orders!A578</f>
        <v>PO10577</v>
      </c>
      <c r="B581" s="16" t="str">
        <f aca="false">Purchase_Orders!B578</f>
        <v>V1035</v>
      </c>
      <c r="C581" s="17" t="n">
        <f aca="false">Purchase_Orders!C578</f>
        <v>46004</v>
      </c>
      <c r="D581" s="18" t="n">
        <f aca="false">Purchase_Orders!D578</f>
        <v>2308.67</v>
      </c>
      <c r="E581" s="16" t="str">
        <f aca="false">Purchase_Orders!F578</f>
        <v>Jessica Smith</v>
      </c>
      <c r="F581" s="16" t="str">
        <f aca="false">Purchase_Orders!G578</f>
        <v>Evelyn Galvan</v>
      </c>
      <c r="G581" s="16" t="str">
        <f aca="false">IF(E581=F581,"VIOLATION - Same Person Requested &amp; Approved","OK")</f>
        <v>OK</v>
      </c>
    </row>
    <row r="582" customFormat="false" ht="15" hidden="false" customHeight="false" outlineLevel="0" collapsed="false">
      <c r="A582" s="16" t="str">
        <f aca="false">Purchase_Orders!A579</f>
        <v>PO10578</v>
      </c>
      <c r="B582" s="16" t="str">
        <f aca="false">Purchase_Orders!B579</f>
        <v>V1029</v>
      </c>
      <c r="C582" s="17" t="n">
        <f aca="false">Purchase_Orders!C579</f>
        <v>45996</v>
      </c>
      <c r="D582" s="18" t="n">
        <f aca="false">Purchase_Orders!D579</f>
        <v>3697.76</v>
      </c>
      <c r="E582" s="16" t="str">
        <f aca="false">Purchase_Orders!F579</f>
        <v>Aimee Montoya</v>
      </c>
      <c r="F582" s="16" t="str">
        <f aca="false">Purchase_Orders!G579</f>
        <v>Sharon Cherry</v>
      </c>
      <c r="G582" s="16" t="str">
        <f aca="false">IF(E582=F582,"VIOLATION - Same Person Requested &amp; Approved","OK")</f>
        <v>OK</v>
      </c>
    </row>
    <row r="583" customFormat="false" ht="15" hidden="false" customHeight="false" outlineLevel="0" collapsed="false">
      <c r="A583" s="16" t="str">
        <f aca="false">Purchase_Orders!A580</f>
        <v>PO10579</v>
      </c>
      <c r="B583" s="16" t="str">
        <f aca="false">Purchase_Orders!B580</f>
        <v>V1013</v>
      </c>
      <c r="C583" s="17" t="n">
        <f aca="false">Purchase_Orders!C580</f>
        <v>46027</v>
      </c>
      <c r="D583" s="18" t="n">
        <f aca="false">Purchase_Orders!D580</f>
        <v>1532.53</v>
      </c>
      <c r="E583" s="16" t="str">
        <f aca="false">Purchase_Orders!F580</f>
        <v>John Whitehead</v>
      </c>
      <c r="F583" s="16" t="str">
        <f aca="false">Purchase_Orders!G580</f>
        <v>Sharon Cochran</v>
      </c>
      <c r="G583" s="16" t="str">
        <f aca="false">IF(E583=F583,"VIOLATION - Same Person Requested &amp; Approved","OK")</f>
        <v>OK</v>
      </c>
    </row>
    <row r="584" customFormat="false" ht="15" hidden="false" customHeight="false" outlineLevel="0" collapsed="false">
      <c r="A584" s="16" t="str">
        <f aca="false">Purchase_Orders!A581</f>
        <v>PO10580</v>
      </c>
      <c r="B584" s="16" t="str">
        <f aca="false">Purchase_Orders!B581</f>
        <v>V1018</v>
      </c>
      <c r="C584" s="17" t="n">
        <f aca="false">Purchase_Orders!C581</f>
        <v>46050</v>
      </c>
      <c r="D584" s="18" t="n">
        <f aca="false">Purchase_Orders!D581</f>
        <v>354.2</v>
      </c>
      <c r="E584" s="16" t="str">
        <f aca="false">Purchase_Orders!F581</f>
        <v>Stephen Mckee</v>
      </c>
      <c r="F584" s="16" t="str">
        <f aca="false">Purchase_Orders!G581</f>
        <v>Sharon Cherry</v>
      </c>
      <c r="G584" s="16" t="str">
        <f aca="false">IF(E584=F584,"VIOLATION - Same Person Requested &amp; Approved","OK")</f>
        <v>OK</v>
      </c>
    </row>
    <row r="585" customFormat="false" ht="15" hidden="false" customHeight="false" outlineLevel="0" collapsed="false">
      <c r="A585" s="16" t="str">
        <f aca="false">Purchase_Orders!A582</f>
        <v>PO10581</v>
      </c>
      <c r="B585" s="16" t="str">
        <f aca="false">Purchase_Orders!B582</f>
        <v>V1021</v>
      </c>
      <c r="C585" s="17" t="n">
        <f aca="false">Purchase_Orders!C582</f>
        <v>46017</v>
      </c>
      <c r="D585" s="18" t="n">
        <f aca="false">Purchase_Orders!D582</f>
        <v>1077.17</v>
      </c>
      <c r="E585" s="16" t="str">
        <f aca="false">Purchase_Orders!F582</f>
        <v>Eugene Walton</v>
      </c>
      <c r="F585" s="16" t="str">
        <f aca="false">Purchase_Orders!G582</f>
        <v>Shannon Walker</v>
      </c>
      <c r="G585" s="16" t="str">
        <f aca="false">IF(E585=F585,"VIOLATION - Same Person Requested &amp; Approved","OK")</f>
        <v>OK</v>
      </c>
    </row>
    <row r="586" customFormat="false" ht="15" hidden="false" customHeight="false" outlineLevel="0" collapsed="false">
      <c r="A586" s="16" t="str">
        <f aca="false">Purchase_Orders!A583</f>
        <v>PO10582</v>
      </c>
      <c r="B586" s="16" t="str">
        <f aca="false">Purchase_Orders!B583</f>
        <v>V1015</v>
      </c>
      <c r="C586" s="17" t="n">
        <f aca="false">Purchase_Orders!C583</f>
        <v>46114</v>
      </c>
      <c r="D586" s="18" t="n">
        <f aca="false">Purchase_Orders!D583</f>
        <v>968.37</v>
      </c>
      <c r="E586" s="16" t="str">
        <f aca="false">Purchase_Orders!F583</f>
        <v>Matthew Mcmillan</v>
      </c>
      <c r="F586" s="16" t="str">
        <f aca="false">Purchase_Orders!G583</f>
        <v>Richard Rodriguez</v>
      </c>
      <c r="G586" s="16" t="str">
        <f aca="false">IF(E586=F586,"VIOLATION - Same Person Requested &amp; Approved","OK")</f>
        <v>OK</v>
      </c>
    </row>
    <row r="587" customFormat="false" ht="15" hidden="false" customHeight="false" outlineLevel="0" collapsed="false">
      <c r="A587" s="16" t="str">
        <f aca="false">Purchase_Orders!A584</f>
        <v>PO10583</v>
      </c>
      <c r="B587" s="16" t="str">
        <f aca="false">Purchase_Orders!B584</f>
        <v>V1005</v>
      </c>
      <c r="C587" s="17" t="n">
        <f aca="false">Purchase_Orders!C584</f>
        <v>46000</v>
      </c>
      <c r="D587" s="18" t="n">
        <f aca="false">Purchase_Orders!D584</f>
        <v>1370.11</v>
      </c>
      <c r="E587" s="16" t="str">
        <f aca="false">Purchase_Orders!F584</f>
        <v>Shirley Suarez</v>
      </c>
      <c r="F587" s="16" t="str">
        <f aca="false">Purchase_Orders!G584</f>
        <v>Shannon Walker</v>
      </c>
      <c r="G587" s="16" t="str">
        <f aca="false">IF(E587=F587,"VIOLATION - Same Person Requested &amp; Approved","OK")</f>
        <v>OK</v>
      </c>
    </row>
    <row r="588" customFormat="false" ht="15" hidden="false" customHeight="false" outlineLevel="0" collapsed="false">
      <c r="A588" s="16" t="str">
        <f aca="false">Purchase_Orders!A585</f>
        <v>PO10584</v>
      </c>
      <c r="B588" s="16" t="str">
        <f aca="false">Purchase_Orders!B585</f>
        <v>V1006</v>
      </c>
      <c r="C588" s="17" t="n">
        <f aca="false">Purchase_Orders!C585</f>
        <v>46150</v>
      </c>
      <c r="D588" s="18" t="n">
        <f aca="false">Purchase_Orders!D585</f>
        <v>27454.9</v>
      </c>
      <c r="E588" s="16" t="str">
        <f aca="false">Purchase_Orders!F585</f>
        <v>Christina Moran</v>
      </c>
      <c r="F588" s="16" t="str">
        <f aca="false">Purchase_Orders!G585</f>
        <v>Marc Moore</v>
      </c>
      <c r="G588" s="16" t="str">
        <f aca="false">IF(E588=F588,"VIOLATION - Same Person Requested &amp; Approved","OK")</f>
        <v>OK</v>
      </c>
    </row>
    <row r="589" customFormat="false" ht="15" hidden="false" customHeight="false" outlineLevel="0" collapsed="false">
      <c r="A589" s="16" t="str">
        <f aca="false">Purchase_Orders!A586</f>
        <v>PO10585</v>
      </c>
      <c r="B589" s="16" t="str">
        <f aca="false">Purchase_Orders!B586</f>
        <v>V1030</v>
      </c>
      <c r="C589" s="17" t="n">
        <f aca="false">Purchase_Orders!C586</f>
        <v>46010</v>
      </c>
      <c r="D589" s="18" t="n">
        <f aca="false">Purchase_Orders!D586</f>
        <v>3138.5</v>
      </c>
      <c r="E589" s="16" t="str">
        <f aca="false">Purchase_Orders!F586</f>
        <v>Matthew Mcmillan</v>
      </c>
      <c r="F589" s="16" t="str">
        <f aca="false">Purchase_Orders!G586</f>
        <v>Julia Torres</v>
      </c>
      <c r="G589" s="16" t="str">
        <f aca="false">IF(E589=F589,"VIOLATION - Same Person Requested &amp; Approved","OK")</f>
        <v>OK</v>
      </c>
    </row>
    <row r="590" customFormat="false" ht="15" hidden="false" customHeight="false" outlineLevel="0" collapsed="false">
      <c r="A590" s="16" t="str">
        <f aca="false">Purchase_Orders!A587</f>
        <v>PO10586</v>
      </c>
      <c r="B590" s="16" t="str">
        <f aca="false">Purchase_Orders!B587</f>
        <v>V1011</v>
      </c>
      <c r="C590" s="17" t="n">
        <f aca="false">Purchase_Orders!C587</f>
        <v>45826</v>
      </c>
      <c r="D590" s="18" t="n">
        <f aca="false">Purchase_Orders!D587</f>
        <v>4085.56</v>
      </c>
      <c r="E590" s="16" t="str">
        <f aca="false">Purchase_Orders!F587</f>
        <v>Jimmy Murillo</v>
      </c>
      <c r="F590" s="16" t="str">
        <f aca="false">Purchase_Orders!G587</f>
        <v>Sierra Johnson</v>
      </c>
      <c r="G590" s="16" t="str">
        <f aca="false">IF(E590=F590,"VIOLATION - Same Person Requested &amp; Approved","OK")</f>
        <v>OK</v>
      </c>
    </row>
    <row r="591" customFormat="false" ht="15" hidden="false" customHeight="false" outlineLevel="0" collapsed="false">
      <c r="A591" s="16" t="str">
        <f aca="false">Purchase_Orders!A588</f>
        <v>PO10587</v>
      </c>
      <c r="B591" s="16" t="str">
        <f aca="false">Purchase_Orders!B588</f>
        <v>V1001</v>
      </c>
      <c r="C591" s="17" t="n">
        <f aca="false">Purchase_Orders!C588</f>
        <v>45898</v>
      </c>
      <c r="D591" s="18" t="n">
        <f aca="false">Purchase_Orders!D588</f>
        <v>2086.29</v>
      </c>
      <c r="E591" s="16" t="str">
        <f aca="false">Purchase_Orders!F588</f>
        <v>Stephen Mckee</v>
      </c>
      <c r="F591" s="16" t="str">
        <f aca="false">Purchase_Orders!G588</f>
        <v>Richard Rodriguez</v>
      </c>
      <c r="G591" s="16" t="str">
        <f aca="false">IF(E591=F591,"VIOLATION - Same Person Requested &amp; Approved","OK")</f>
        <v>OK</v>
      </c>
    </row>
    <row r="592" customFormat="false" ht="15" hidden="false" customHeight="false" outlineLevel="0" collapsed="false">
      <c r="A592" s="16" t="str">
        <f aca="false">Purchase_Orders!A589</f>
        <v>PO10588</v>
      </c>
      <c r="B592" s="16" t="str">
        <f aca="false">Purchase_Orders!B589</f>
        <v>V1027</v>
      </c>
      <c r="C592" s="17" t="n">
        <f aca="false">Purchase_Orders!C589</f>
        <v>45973</v>
      </c>
      <c r="D592" s="18" t="n">
        <f aca="false">Purchase_Orders!D589</f>
        <v>345.65</v>
      </c>
      <c r="E592" s="16" t="str">
        <f aca="false">Purchase_Orders!F589</f>
        <v>Stephen Mckee</v>
      </c>
      <c r="F592" s="16" t="str">
        <f aca="false">Purchase_Orders!G589</f>
        <v>Sharon Cochran</v>
      </c>
      <c r="G592" s="16" t="str">
        <f aca="false">IF(E592=F592,"VIOLATION - Same Person Requested &amp; Approved","OK")</f>
        <v>OK</v>
      </c>
    </row>
    <row r="593" customFormat="false" ht="15" hidden="false" customHeight="false" outlineLevel="0" collapsed="false">
      <c r="A593" s="16" t="str">
        <f aca="false">Purchase_Orders!A590</f>
        <v>PO10589</v>
      </c>
      <c r="B593" s="16" t="str">
        <f aca="false">Purchase_Orders!B590</f>
        <v>V1020</v>
      </c>
      <c r="C593" s="17" t="n">
        <f aca="false">Purchase_Orders!C590</f>
        <v>46057</v>
      </c>
      <c r="D593" s="18" t="n">
        <f aca="false">Purchase_Orders!D590</f>
        <v>1516.39</v>
      </c>
      <c r="E593" s="16" t="str">
        <f aca="false">Purchase_Orders!F590</f>
        <v>Aaron Wise</v>
      </c>
      <c r="F593" s="16" t="str">
        <f aca="false">Purchase_Orders!G590</f>
        <v>Julia Torres</v>
      </c>
      <c r="G593" s="16" t="str">
        <f aca="false">IF(E593=F593,"VIOLATION - Same Person Requested &amp; Approved","OK")</f>
        <v>OK</v>
      </c>
    </row>
    <row r="594" customFormat="false" ht="15" hidden="false" customHeight="false" outlineLevel="0" collapsed="false">
      <c r="A594" s="16" t="str">
        <f aca="false">Purchase_Orders!A591</f>
        <v>PO10590</v>
      </c>
      <c r="B594" s="16" t="str">
        <f aca="false">Purchase_Orders!B591</f>
        <v>V1001</v>
      </c>
      <c r="C594" s="17" t="n">
        <f aca="false">Purchase_Orders!C591</f>
        <v>45707</v>
      </c>
      <c r="D594" s="18" t="n">
        <f aca="false">Purchase_Orders!D591</f>
        <v>19832.55</v>
      </c>
      <c r="E594" s="16" t="str">
        <f aca="false">Purchase_Orders!F591</f>
        <v>Aimee Montoya</v>
      </c>
      <c r="F594" s="16" t="str">
        <f aca="false">Purchase_Orders!G591</f>
        <v>Julia Torres</v>
      </c>
      <c r="G594" s="16" t="str">
        <f aca="false">IF(E594=F594,"VIOLATION - Same Person Requested &amp; Approved","OK")</f>
        <v>OK</v>
      </c>
    </row>
    <row r="595" customFormat="false" ht="15" hidden="false" customHeight="false" outlineLevel="0" collapsed="false">
      <c r="A595" s="16" t="str">
        <f aca="false">Purchase_Orders!A592</f>
        <v>PO10591</v>
      </c>
      <c r="B595" s="16" t="str">
        <f aca="false">Purchase_Orders!B592</f>
        <v>V1012</v>
      </c>
      <c r="C595" s="17" t="n">
        <f aca="false">Purchase_Orders!C592</f>
        <v>45818</v>
      </c>
      <c r="D595" s="18" t="n">
        <f aca="false">Purchase_Orders!D592</f>
        <v>1703.61</v>
      </c>
      <c r="E595" s="16" t="str">
        <f aca="false">Purchase_Orders!F592</f>
        <v>Brian Rodriguez</v>
      </c>
      <c r="F595" s="16" t="str">
        <f aca="false">Purchase_Orders!G592</f>
        <v>Richard Rodriguez</v>
      </c>
      <c r="G595" s="16" t="str">
        <f aca="false">IF(E595=F595,"VIOLATION - Same Person Requested &amp; Approved","OK")</f>
        <v>OK</v>
      </c>
    </row>
    <row r="596" customFormat="false" ht="15" hidden="false" customHeight="false" outlineLevel="0" collapsed="false">
      <c r="A596" s="16" t="str">
        <f aca="false">Purchase_Orders!A593</f>
        <v>PO10592</v>
      </c>
      <c r="B596" s="16" t="str">
        <f aca="false">Purchase_Orders!B593</f>
        <v>V1009</v>
      </c>
      <c r="C596" s="17" t="n">
        <f aca="false">Purchase_Orders!C593</f>
        <v>46065</v>
      </c>
      <c r="D596" s="18" t="n">
        <f aca="false">Purchase_Orders!D593</f>
        <v>2360.64</v>
      </c>
      <c r="E596" s="16" t="str">
        <f aca="false">Purchase_Orders!F593</f>
        <v>Christina Walters</v>
      </c>
      <c r="F596" s="16" t="str">
        <f aca="false">Purchase_Orders!G593</f>
        <v>Sharon Cochran</v>
      </c>
      <c r="G596" s="16" t="str">
        <f aca="false">IF(E596=F596,"VIOLATION - Same Person Requested &amp; Approved","OK")</f>
        <v>OK</v>
      </c>
    </row>
    <row r="597" customFormat="false" ht="15" hidden="false" customHeight="false" outlineLevel="0" collapsed="false">
      <c r="A597" s="16" t="str">
        <f aca="false">Purchase_Orders!A594</f>
        <v>PO10593</v>
      </c>
      <c r="B597" s="16" t="str">
        <f aca="false">Purchase_Orders!B594</f>
        <v>V1009</v>
      </c>
      <c r="C597" s="17" t="n">
        <f aca="false">Purchase_Orders!C594</f>
        <v>45753</v>
      </c>
      <c r="D597" s="18" t="n">
        <f aca="false">Purchase_Orders!D594</f>
        <v>1484.72</v>
      </c>
      <c r="E597" s="16" t="str">
        <f aca="false">Purchase_Orders!F594</f>
        <v>Christine Wright</v>
      </c>
      <c r="F597" s="16" t="str">
        <f aca="false">Purchase_Orders!G594</f>
        <v>Marc Moore</v>
      </c>
      <c r="G597" s="16" t="str">
        <f aca="false">IF(E597=F597,"VIOLATION - Same Person Requested &amp; Approved","OK")</f>
        <v>OK</v>
      </c>
    </row>
    <row r="598" customFormat="false" ht="15" hidden="false" customHeight="false" outlineLevel="0" collapsed="false">
      <c r="A598" s="16" t="str">
        <f aca="false">Purchase_Orders!A595</f>
        <v>PO10594</v>
      </c>
      <c r="B598" s="16" t="str">
        <f aca="false">Purchase_Orders!B595</f>
        <v>V1018</v>
      </c>
      <c r="C598" s="17" t="n">
        <f aca="false">Purchase_Orders!C595</f>
        <v>45730</v>
      </c>
      <c r="D598" s="18" t="n">
        <f aca="false">Purchase_Orders!D595</f>
        <v>1627.91</v>
      </c>
      <c r="E598" s="16" t="str">
        <f aca="false">Purchase_Orders!F595</f>
        <v>Lisa Archer</v>
      </c>
      <c r="F598" s="16" t="str">
        <f aca="false">Purchase_Orders!G595</f>
        <v>Evelyn Galvan</v>
      </c>
      <c r="G598" s="16" t="str">
        <f aca="false">IF(E598=F598,"VIOLATION - Same Person Requested &amp; Approved","OK")</f>
        <v>OK</v>
      </c>
    </row>
    <row r="599" customFormat="false" ht="15" hidden="false" customHeight="false" outlineLevel="0" collapsed="false">
      <c r="A599" s="16" t="str">
        <f aca="false">Purchase_Orders!A596</f>
        <v>PO10595</v>
      </c>
      <c r="B599" s="16" t="str">
        <f aca="false">Purchase_Orders!B596</f>
        <v>V1001</v>
      </c>
      <c r="C599" s="17" t="n">
        <f aca="false">Purchase_Orders!C596</f>
        <v>45951</v>
      </c>
      <c r="D599" s="18" t="n">
        <f aca="false">Purchase_Orders!D596</f>
        <v>1090.07</v>
      </c>
      <c r="E599" s="16" t="str">
        <f aca="false">Purchase_Orders!F596</f>
        <v>Jessica Smith</v>
      </c>
      <c r="F599" s="16" t="str">
        <f aca="false">Purchase_Orders!G596</f>
        <v>Julia Torres</v>
      </c>
      <c r="G599" s="16" t="str">
        <f aca="false">IF(E599=F599,"VIOLATION - Same Person Requested &amp; Approved","OK")</f>
        <v>OK</v>
      </c>
    </row>
    <row r="600" customFormat="false" ht="15" hidden="false" customHeight="false" outlineLevel="0" collapsed="false">
      <c r="A600" s="16" t="str">
        <f aca="false">Purchase_Orders!A597</f>
        <v>PO10596</v>
      </c>
      <c r="B600" s="16" t="str">
        <f aca="false">Purchase_Orders!B597</f>
        <v>V1036</v>
      </c>
      <c r="C600" s="17" t="n">
        <f aca="false">Purchase_Orders!C597</f>
        <v>46187</v>
      </c>
      <c r="D600" s="18" t="n">
        <f aca="false">Purchase_Orders!D597</f>
        <v>4290.25</v>
      </c>
      <c r="E600" s="16" t="str">
        <f aca="false">Purchase_Orders!F597</f>
        <v>Sandra Aguilar</v>
      </c>
      <c r="F600" s="16" t="str">
        <f aca="false">Purchase_Orders!G597</f>
        <v>Shannon Walker</v>
      </c>
      <c r="G600" s="16" t="str">
        <f aca="false">IF(E600=F600,"VIOLATION - Same Person Requested &amp; Approved","OK")</f>
        <v>OK</v>
      </c>
    </row>
    <row r="601" customFormat="false" ht="15" hidden="false" customHeight="false" outlineLevel="0" collapsed="false">
      <c r="A601" s="16" t="str">
        <f aca="false">Purchase_Orders!A598</f>
        <v>PO10597</v>
      </c>
      <c r="B601" s="16" t="str">
        <f aca="false">Purchase_Orders!B598</f>
        <v>V1025</v>
      </c>
      <c r="C601" s="17" t="n">
        <f aca="false">Purchase_Orders!C598</f>
        <v>45947</v>
      </c>
      <c r="D601" s="18" t="n">
        <f aca="false">Purchase_Orders!D598</f>
        <v>60188.25</v>
      </c>
      <c r="E601" s="16" t="str">
        <f aca="false">Purchase_Orders!F598</f>
        <v>Cameron Parker</v>
      </c>
      <c r="F601" s="16" t="str">
        <f aca="false">Purchase_Orders!G598</f>
        <v>Evelyn Galvan</v>
      </c>
      <c r="G601" s="16" t="str">
        <f aca="false">IF(E601=F601,"VIOLATION - Same Person Requested &amp; Approved","OK")</f>
        <v>OK</v>
      </c>
    </row>
    <row r="602" customFormat="false" ht="15" hidden="false" customHeight="false" outlineLevel="0" collapsed="false">
      <c r="A602" s="16" t="str">
        <f aca="false">Purchase_Orders!A599</f>
        <v>PO10598</v>
      </c>
      <c r="B602" s="16" t="str">
        <f aca="false">Purchase_Orders!B599</f>
        <v>V1034</v>
      </c>
      <c r="C602" s="17" t="n">
        <f aca="false">Purchase_Orders!C599</f>
        <v>46155</v>
      </c>
      <c r="D602" s="18" t="n">
        <f aca="false">Purchase_Orders!D599</f>
        <v>7933.72</v>
      </c>
      <c r="E602" s="16" t="str">
        <f aca="false">Purchase_Orders!F599</f>
        <v>Rebecca Valencia</v>
      </c>
      <c r="F602" s="16" t="str">
        <f aca="false">Purchase_Orders!G599</f>
        <v>Sharon Cherry</v>
      </c>
      <c r="G602" s="16" t="str">
        <f aca="false">IF(E602=F602,"VIOLATION - Same Person Requested &amp; Approved","OK")</f>
        <v>OK</v>
      </c>
    </row>
    <row r="603" customFormat="false" ht="15" hidden="false" customHeight="false" outlineLevel="0" collapsed="false">
      <c r="A603" s="16" t="str">
        <f aca="false">Purchase_Orders!A600</f>
        <v>PO10599</v>
      </c>
      <c r="B603" s="16" t="str">
        <f aca="false">Purchase_Orders!B600</f>
        <v>V1024</v>
      </c>
      <c r="C603" s="17" t="n">
        <f aca="false">Purchase_Orders!C600</f>
        <v>46110</v>
      </c>
      <c r="D603" s="18" t="n">
        <f aca="false">Purchase_Orders!D600</f>
        <v>2753.96</v>
      </c>
      <c r="E603" s="16" t="str">
        <f aca="false">Purchase_Orders!F600</f>
        <v>John Whitehead</v>
      </c>
      <c r="F603" s="16" t="str">
        <f aca="false">Purchase_Orders!G600</f>
        <v>Richard Rodriguez</v>
      </c>
      <c r="G603" s="16" t="str">
        <f aca="false">IF(E603=F603,"VIOLATION - Same Person Requested &amp; Approved","OK")</f>
        <v>OK</v>
      </c>
    </row>
    <row r="604" customFormat="false" ht="15" hidden="false" customHeight="false" outlineLevel="0" collapsed="false">
      <c r="A604" s="16" t="str">
        <f aca="false">Purchase_Orders!A601</f>
        <v>PO10600</v>
      </c>
      <c r="B604" s="16" t="str">
        <f aca="false">Purchase_Orders!B601</f>
        <v>V1013</v>
      </c>
      <c r="C604" s="17" t="n">
        <f aca="false">Purchase_Orders!C601</f>
        <v>45798</v>
      </c>
      <c r="D604" s="18" t="n">
        <f aca="false">Purchase_Orders!D601</f>
        <v>5478.24</v>
      </c>
      <c r="E604" s="16" t="str">
        <f aca="false">Purchase_Orders!F601</f>
        <v>Christina Walters</v>
      </c>
      <c r="F604" s="16" t="str">
        <f aca="false">Purchase_Orders!G601</f>
        <v>Evelyn Galvan</v>
      </c>
      <c r="G604" s="16" t="str">
        <f aca="false">IF(E604=F604,"VIOLATION - Same Person Requested &amp; Approved","OK")</f>
        <v>OK</v>
      </c>
    </row>
    <row r="605" customFormat="false" ht="15" hidden="false" customHeight="false" outlineLevel="0" collapsed="false">
      <c r="A605" s="16" t="str">
        <f aca="false">Purchase_Orders!A602</f>
        <v>PO10601</v>
      </c>
      <c r="B605" s="16" t="str">
        <f aca="false">Purchase_Orders!B602</f>
        <v>V1009</v>
      </c>
      <c r="C605" s="17" t="n">
        <f aca="false">Purchase_Orders!C602</f>
        <v>46107</v>
      </c>
      <c r="D605" s="18" t="n">
        <f aca="false">Purchase_Orders!D602</f>
        <v>581.73</v>
      </c>
      <c r="E605" s="16" t="str">
        <f aca="false">Purchase_Orders!F602</f>
        <v>Richard Henson</v>
      </c>
      <c r="F605" s="16" t="str">
        <f aca="false">Purchase_Orders!G602</f>
        <v>Julia Torres</v>
      </c>
      <c r="G605" s="16" t="str">
        <f aca="false">IF(E605=F605,"VIOLATION - Same Person Requested &amp; Approved","OK")</f>
        <v>OK</v>
      </c>
    </row>
    <row r="606" customFormat="false" ht="15" hidden="false" customHeight="false" outlineLevel="0" collapsed="false">
      <c r="A606" s="16" t="str">
        <f aca="false">Purchase_Orders!A603</f>
        <v>PO10602</v>
      </c>
      <c r="B606" s="16" t="str">
        <f aca="false">Purchase_Orders!B603</f>
        <v>V1005</v>
      </c>
      <c r="C606" s="17" t="n">
        <f aca="false">Purchase_Orders!C603</f>
        <v>45920</v>
      </c>
      <c r="D606" s="18" t="n">
        <f aca="false">Purchase_Orders!D603</f>
        <v>2739.78</v>
      </c>
      <c r="E606" s="16" t="str">
        <f aca="false">Purchase_Orders!F603</f>
        <v>Christine Wright</v>
      </c>
      <c r="F606" s="16" t="str">
        <f aca="false">Purchase_Orders!G603</f>
        <v>Marc Moore</v>
      </c>
      <c r="G606" s="16" t="str">
        <f aca="false">IF(E606=F606,"VIOLATION - Same Person Requested &amp; Approved","OK")</f>
        <v>OK</v>
      </c>
    </row>
    <row r="607" customFormat="false" ht="15" hidden="false" customHeight="false" outlineLevel="0" collapsed="false">
      <c r="A607" s="16" t="str">
        <f aca="false">Purchase_Orders!A604</f>
        <v>PO10603</v>
      </c>
      <c r="B607" s="16" t="str">
        <f aca="false">Purchase_Orders!B604</f>
        <v>V1011</v>
      </c>
      <c r="C607" s="17" t="n">
        <f aca="false">Purchase_Orders!C604</f>
        <v>46097</v>
      </c>
      <c r="D607" s="18" t="n">
        <f aca="false">Purchase_Orders!D604</f>
        <v>329.34</v>
      </c>
      <c r="E607" s="16" t="str">
        <f aca="false">Purchase_Orders!F604</f>
        <v>Aaron Wise</v>
      </c>
      <c r="F607" s="16" t="str">
        <f aca="false">Purchase_Orders!G604</f>
        <v>Evelyn Galvan</v>
      </c>
      <c r="G607" s="16" t="str">
        <f aca="false">IF(E607=F607,"VIOLATION - Same Person Requested &amp; Approved","OK")</f>
        <v>OK</v>
      </c>
    </row>
    <row r="608" customFormat="false" ht="15" hidden="false" customHeight="false" outlineLevel="0" collapsed="false">
      <c r="A608" s="16" t="str">
        <f aca="false">Purchase_Orders!A605</f>
        <v>PO10604</v>
      </c>
      <c r="B608" s="16" t="str">
        <f aca="false">Purchase_Orders!B605</f>
        <v>V1027</v>
      </c>
      <c r="C608" s="17" t="n">
        <f aca="false">Purchase_Orders!C605</f>
        <v>46064</v>
      </c>
      <c r="D608" s="18" t="n">
        <f aca="false">Purchase_Orders!D605</f>
        <v>1253.19</v>
      </c>
      <c r="E608" s="16" t="str">
        <f aca="false">Purchase_Orders!F605</f>
        <v>Cameron Parker</v>
      </c>
      <c r="F608" s="16" t="str">
        <f aca="false">Purchase_Orders!G605</f>
        <v>Julia Torres</v>
      </c>
      <c r="G608" s="16" t="str">
        <f aca="false">IF(E608=F608,"VIOLATION - Same Person Requested &amp; Approved","OK")</f>
        <v>OK</v>
      </c>
    </row>
    <row r="609" customFormat="false" ht="15" hidden="false" customHeight="false" outlineLevel="0" collapsed="false">
      <c r="A609" s="16" t="str">
        <f aca="false">Purchase_Orders!A606</f>
        <v>PO10605</v>
      </c>
      <c r="B609" s="16" t="str">
        <f aca="false">Purchase_Orders!B606</f>
        <v>V1024</v>
      </c>
      <c r="C609" s="17" t="n">
        <f aca="false">Purchase_Orders!C606</f>
        <v>45842</v>
      </c>
      <c r="D609" s="18" t="n">
        <f aca="false">Purchase_Orders!D606</f>
        <v>5307.07</v>
      </c>
      <c r="E609" s="16" t="str">
        <f aca="false">Purchase_Orders!F606</f>
        <v>Matthew Mcmillan</v>
      </c>
      <c r="F609" s="16" t="str">
        <f aca="false">Purchase_Orders!G606</f>
        <v>Sierra Johnson</v>
      </c>
      <c r="G609" s="16" t="str">
        <f aca="false">IF(E609=F609,"VIOLATION - Same Person Requested &amp; Approved","OK")</f>
        <v>OK</v>
      </c>
    </row>
    <row r="610" customFormat="false" ht="15" hidden="false" customHeight="false" outlineLevel="0" collapsed="false">
      <c r="A610" s="16" t="str">
        <f aca="false">Purchase_Orders!A607</f>
        <v>PO10606</v>
      </c>
      <c r="B610" s="16" t="str">
        <f aca="false">Purchase_Orders!B607</f>
        <v>V1004</v>
      </c>
      <c r="C610" s="17" t="n">
        <f aca="false">Purchase_Orders!C607</f>
        <v>45720</v>
      </c>
      <c r="D610" s="18" t="n">
        <f aca="false">Purchase_Orders!D607</f>
        <v>4575.5</v>
      </c>
      <c r="E610" s="16" t="str">
        <f aca="false">Purchase_Orders!F607</f>
        <v>Deborah Figueroa</v>
      </c>
      <c r="F610" s="16" t="str">
        <f aca="false">Purchase_Orders!G607</f>
        <v>Richard Rodriguez</v>
      </c>
      <c r="G610" s="16" t="str">
        <f aca="false">IF(E610=F610,"VIOLATION - Same Person Requested &amp; Approved","OK")</f>
        <v>OK</v>
      </c>
    </row>
    <row r="611" customFormat="false" ht="15" hidden="false" customHeight="false" outlineLevel="0" collapsed="false">
      <c r="A611" s="16" t="str">
        <f aca="false">Purchase_Orders!A608</f>
        <v>PO10607</v>
      </c>
      <c r="B611" s="16" t="str">
        <f aca="false">Purchase_Orders!B608</f>
        <v>V1013</v>
      </c>
      <c r="C611" s="17" t="n">
        <f aca="false">Purchase_Orders!C608</f>
        <v>46182</v>
      </c>
      <c r="D611" s="18" t="n">
        <f aca="false">Purchase_Orders!D608</f>
        <v>9603.81</v>
      </c>
      <c r="E611" s="16" t="str">
        <f aca="false">Purchase_Orders!F608</f>
        <v>Cameron Parker</v>
      </c>
      <c r="F611" s="16" t="str">
        <f aca="false">Purchase_Orders!G608</f>
        <v>Sharon Cochran</v>
      </c>
      <c r="G611" s="16" t="str">
        <f aca="false">IF(E611=F611,"VIOLATION - Same Person Requested &amp; Approved","OK")</f>
        <v>OK</v>
      </c>
    </row>
    <row r="612" customFormat="false" ht="15" hidden="false" customHeight="false" outlineLevel="0" collapsed="false">
      <c r="A612" s="16" t="str">
        <f aca="false">Purchase_Orders!A609</f>
        <v>PO10608</v>
      </c>
      <c r="B612" s="16" t="str">
        <f aca="false">Purchase_Orders!B609</f>
        <v>V1024</v>
      </c>
      <c r="C612" s="17" t="n">
        <f aca="false">Purchase_Orders!C609</f>
        <v>45734</v>
      </c>
      <c r="D612" s="18" t="n">
        <f aca="false">Purchase_Orders!D609</f>
        <v>4978.47</v>
      </c>
      <c r="E612" s="16" t="str">
        <f aca="false">Purchase_Orders!F609</f>
        <v>Shirley Suarez</v>
      </c>
      <c r="F612" s="16" t="str">
        <f aca="false">Purchase_Orders!G609</f>
        <v>Evelyn Galvan</v>
      </c>
      <c r="G612" s="16" t="str">
        <f aca="false">IF(E612=F612,"VIOLATION - Same Person Requested &amp; Approved","OK")</f>
        <v>OK</v>
      </c>
    </row>
    <row r="613" customFormat="false" ht="15" hidden="false" customHeight="false" outlineLevel="0" collapsed="false">
      <c r="A613" s="16" t="str">
        <f aca="false">Purchase_Orders!A610</f>
        <v>PO10609</v>
      </c>
      <c r="B613" s="16" t="str">
        <f aca="false">Purchase_Orders!B610</f>
        <v>V1031</v>
      </c>
      <c r="C613" s="17" t="n">
        <f aca="false">Purchase_Orders!C610</f>
        <v>46184</v>
      </c>
      <c r="D613" s="18" t="n">
        <f aca="false">Purchase_Orders!D610</f>
        <v>4144.18</v>
      </c>
      <c r="E613" s="16" t="str">
        <f aca="false">Purchase_Orders!F610</f>
        <v>Aimee Montoya</v>
      </c>
      <c r="F613" s="16" t="str">
        <f aca="false">Purchase_Orders!G610</f>
        <v>Evelyn Galvan</v>
      </c>
      <c r="G613" s="16" t="str">
        <f aca="false">IF(E613=F613,"VIOLATION - Same Person Requested &amp; Approved","OK")</f>
        <v>OK</v>
      </c>
    </row>
    <row r="614" customFormat="false" ht="15" hidden="false" customHeight="false" outlineLevel="0" collapsed="false">
      <c r="A614" s="16" t="str">
        <f aca="false">Purchase_Orders!A611</f>
        <v>PO10610</v>
      </c>
      <c r="B614" s="16" t="str">
        <f aca="false">Purchase_Orders!B611</f>
        <v>V1024</v>
      </c>
      <c r="C614" s="17" t="n">
        <f aca="false">Purchase_Orders!C611</f>
        <v>46126</v>
      </c>
      <c r="D614" s="18" t="n">
        <f aca="false">Purchase_Orders!D611</f>
        <v>4005.11</v>
      </c>
      <c r="E614" s="16" t="str">
        <f aca="false">Purchase_Orders!F611</f>
        <v>Aimee Montoya</v>
      </c>
      <c r="F614" s="16" t="str">
        <f aca="false">Purchase_Orders!G611</f>
        <v>Sharon Cochran</v>
      </c>
      <c r="G614" s="16" t="str">
        <f aca="false">IF(E614=F614,"VIOLATION - Same Person Requested &amp; Approved","OK")</f>
        <v>OK</v>
      </c>
    </row>
    <row r="615" customFormat="false" ht="15" hidden="false" customHeight="false" outlineLevel="0" collapsed="false">
      <c r="A615" s="16" t="str">
        <f aca="false">Purchase_Orders!A612</f>
        <v>PO10611</v>
      </c>
      <c r="B615" s="16" t="str">
        <f aca="false">Purchase_Orders!B612</f>
        <v>V1003</v>
      </c>
      <c r="C615" s="17" t="n">
        <f aca="false">Purchase_Orders!C612</f>
        <v>46052</v>
      </c>
      <c r="D615" s="18" t="n">
        <f aca="false">Purchase_Orders!D612</f>
        <v>1866.99</v>
      </c>
      <c r="E615" s="16" t="str">
        <f aca="false">Purchase_Orders!F612</f>
        <v>Rebecca Valencia</v>
      </c>
      <c r="F615" s="16" t="str">
        <f aca="false">Purchase_Orders!G612</f>
        <v>Julia Torres</v>
      </c>
      <c r="G615" s="16" t="str">
        <f aca="false">IF(E615=F615,"VIOLATION - Same Person Requested &amp; Approved","OK")</f>
        <v>OK</v>
      </c>
    </row>
    <row r="616" customFormat="false" ht="15" hidden="false" customHeight="false" outlineLevel="0" collapsed="false">
      <c r="A616" s="16" t="str">
        <f aca="false">Purchase_Orders!A613</f>
        <v>PO10612</v>
      </c>
      <c r="B616" s="16" t="str">
        <f aca="false">Purchase_Orders!B613</f>
        <v>V1031</v>
      </c>
      <c r="C616" s="17" t="n">
        <f aca="false">Purchase_Orders!C613</f>
        <v>46192</v>
      </c>
      <c r="D616" s="18" t="n">
        <f aca="false">Purchase_Orders!D613</f>
        <v>21270.63</v>
      </c>
      <c r="E616" s="16" t="str">
        <f aca="false">Purchase_Orders!F613</f>
        <v>Brian Rodriguez</v>
      </c>
      <c r="F616" s="16" t="str">
        <f aca="false">Purchase_Orders!G613</f>
        <v>Sharon Cochran</v>
      </c>
      <c r="G616" s="16" t="str">
        <f aca="false">IF(E616=F616,"VIOLATION - Same Person Requested &amp; Approved","OK")</f>
        <v>OK</v>
      </c>
    </row>
    <row r="617" customFormat="false" ht="15" hidden="false" customHeight="false" outlineLevel="0" collapsed="false">
      <c r="A617" s="16" t="str">
        <f aca="false">Purchase_Orders!A614</f>
        <v>PO10613</v>
      </c>
      <c r="B617" s="16" t="str">
        <f aca="false">Purchase_Orders!B614</f>
        <v>V1031</v>
      </c>
      <c r="C617" s="17" t="n">
        <f aca="false">Purchase_Orders!C614</f>
        <v>46185</v>
      </c>
      <c r="D617" s="18" t="n">
        <f aca="false">Purchase_Orders!D614</f>
        <v>10172.24</v>
      </c>
      <c r="E617" s="16" t="str">
        <f aca="false">Purchase_Orders!F614</f>
        <v>Jessica Smith</v>
      </c>
      <c r="F617" s="16" t="str">
        <f aca="false">Purchase_Orders!G614</f>
        <v>Shannon Walker</v>
      </c>
      <c r="G617" s="16" t="str">
        <f aca="false">IF(E617=F617,"VIOLATION - Same Person Requested &amp; Approved","OK")</f>
        <v>OK</v>
      </c>
    </row>
    <row r="618" customFormat="false" ht="15" hidden="false" customHeight="false" outlineLevel="0" collapsed="false">
      <c r="A618" s="16" t="str">
        <f aca="false">Purchase_Orders!A615</f>
        <v>PO10614</v>
      </c>
      <c r="B618" s="16" t="str">
        <f aca="false">Purchase_Orders!B615</f>
        <v>V1032</v>
      </c>
      <c r="C618" s="17" t="n">
        <f aca="false">Purchase_Orders!C615</f>
        <v>46096</v>
      </c>
      <c r="D618" s="18" t="n">
        <f aca="false">Purchase_Orders!D615</f>
        <v>718.68</v>
      </c>
      <c r="E618" s="16" t="str">
        <f aca="false">Purchase_Orders!F615</f>
        <v>Denise Jacobs</v>
      </c>
      <c r="F618" s="16" t="str">
        <f aca="false">Purchase_Orders!G615</f>
        <v>Richard Rodriguez</v>
      </c>
      <c r="G618" s="16" t="str">
        <f aca="false">IF(E618=F618,"VIOLATION - Same Person Requested &amp; Approved","OK")</f>
        <v>OK</v>
      </c>
    </row>
    <row r="619" customFormat="false" ht="15" hidden="false" customHeight="false" outlineLevel="0" collapsed="false">
      <c r="A619" s="16" t="str">
        <f aca="false">Purchase_Orders!A616</f>
        <v>PO10615</v>
      </c>
      <c r="B619" s="16" t="str">
        <f aca="false">Purchase_Orders!B616</f>
        <v>V1033</v>
      </c>
      <c r="C619" s="17" t="n">
        <f aca="false">Purchase_Orders!C616</f>
        <v>45857</v>
      </c>
      <c r="D619" s="18" t="n">
        <f aca="false">Purchase_Orders!D616</f>
        <v>666.83</v>
      </c>
      <c r="E619" s="16" t="str">
        <f aca="false">Purchase_Orders!F616</f>
        <v>Jimmy Murillo</v>
      </c>
      <c r="F619" s="16" t="str">
        <f aca="false">Purchase_Orders!G616</f>
        <v>Sharon Cochran</v>
      </c>
      <c r="G619" s="16" t="str">
        <f aca="false">IF(E619=F619,"VIOLATION - Same Person Requested &amp; Approved","OK")</f>
        <v>OK</v>
      </c>
    </row>
    <row r="620" customFormat="false" ht="15" hidden="false" customHeight="false" outlineLevel="0" collapsed="false">
      <c r="A620" s="16" t="str">
        <f aca="false">Purchase_Orders!A617</f>
        <v>PO10616</v>
      </c>
      <c r="B620" s="16" t="str">
        <f aca="false">Purchase_Orders!B617</f>
        <v>V1003</v>
      </c>
      <c r="C620" s="17" t="n">
        <f aca="false">Purchase_Orders!C617</f>
        <v>46088</v>
      </c>
      <c r="D620" s="18" t="n">
        <f aca="false">Purchase_Orders!D617</f>
        <v>1590.48</v>
      </c>
      <c r="E620" s="16" t="str">
        <f aca="false">Purchase_Orders!F617</f>
        <v>Rebecca Valencia</v>
      </c>
      <c r="F620" s="16" t="str">
        <f aca="false">Purchase_Orders!G617</f>
        <v>Sharon Cherry</v>
      </c>
      <c r="G620" s="16" t="str">
        <f aca="false">IF(E620=F620,"VIOLATION - Same Person Requested &amp; Approved","OK")</f>
        <v>OK</v>
      </c>
    </row>
    <row r="621" customFormat="false" ht="15" hidden="false" customHeight="false" outlineLevel="0" collapsed="false">
      <c r="A621" s="16" t="str">
        <f aca="false">Purchase_Orders!A618</f>
        <v>PO10617</v>
      </c>
      <c r="B621" s="16" t="str">
        <f aca="false">Purchase_Orders!B618</f>
        <v>V1007</v>
      </c>
      <c r="C621" s="17" t="n">
        <f aca="false">Purchase_Orders!C618</f>
        <v>45665</v>
      </c>
      <c r="D621" s="18" t="n">
        <f aca="false">Purchase_Orders!D618</f>
        <v>4880.22</v>
      </c>
      <c r="E621" s="16" t="str">
        <f aca="false">Purchase_Orders!F618</f>
        <v>John Whitehead</v>
      </c>
      <c r="F621" s="16" t="str">
        <f aca="false">Purchase_Orders!G618</f>
        <v>Sharon Cochran</v>
      </c>
      <c r="G621" s="16" t="str">
        <f aca="false">IF(E621=F621,"VIOLATION - Same Person Requested &amp; Approved","OK")</f>
        <v>OK</v>
      </c>
    </row>
    <row r="622" customFormat="false" ht="15" hidden="false" customHeight="false" outlineLevel="0" collapsed="false">
      <c r="A622" s="16" t="str">
        <f aca="false">Purchase_Orders!A619</f>
        <v>PO10618</v>
      </c>
      <c r="B622" s="16" t="str">
        <f aca="false">Purchase_Orders!B619</f>
        <v>V1024</v>
      </c>
      <c r="C622" s="17" t="n">
        <f aca="false">Purchase_Orders!C619</f>
        <v>45950</v>
      </c>
      <c r="D622" s="18" t="n">
        <f aca="false">Purchase_Orders!D619</f>
        <v>2581.16</v>
      </c>
      <c r="E622" s="16" t="str">
        <f aca="false">Purchase_Orders!F619</f>
        <v>Shirley Suarez</v>
      </c>
      <c r="F622" s="16" t="str">
        <f aca="false">Purchase_Orders!G619</f>
        <v>Evelyn Galvan</v>
      </c>
      <c r="G622" s="16" t="str">
        <f aca="false">IF(E622=F622,"VIOLATION - Same Person Requested &amp; Approved","OK")</f>
        <v>OK</v>
      </c>
    </row>
    <row r="623" customFormat="false" ht="15" hidden="false" customHeight="false" outlineLevel="0" collapsed="false">
      <c r="A623" s="16" t="str">
        <f aca="false">Purchase_Orders!A620</f>
        <v>PO10619</v>
      </c>
      <c r="B623" s="16" t="str">
        <f aca="false">Purchase_Orders!B620</f>
        <v>V1037</v>
      </c>
      <c r="C623" s="17" t="n">
        <f aca="false">Purchase_Orders!C620</f>
        <v>45905</v>
      </c>
      <c r="D623" s="18" t="n">
        <f aca="false">Purchase_Orders!D620</f>
        <v>2022.62</v>
      </c>
      <c r="E623" s="16" t="str">
        <f aca="false">Purchase_Orders!F620</f>
        <v>Lisa Archer</v>
      </c>
      <c r="F623" s="16" t="str">
        <f aca="false">Purchase_Orders!G620</f>
        <v>Sharon Cochran</v>
      </c>
      <c r="G623" s="16" t="str">
        <f aca="false">IF(E623=F623,"VIOLATION - Same Person Requested &amp; Approved","OK")</f>
        <v>OK</v>
      </c>
    </row>
    <row r="624" customFormat="false" ht="15" hidden="false" customHeight="false" outlineLevel="0" collapsed="false">
      <c r="A624" s="16" t="str">
        <f aca="false">Purchase_Orders!A621</f>
        <v>PO10620</v>
      </c>
      <c r="B624" s="16" t="str">
        <f aca="false">Purchase_Orders!B621</f>
        <v>V1032</v>
      </c>
      <c r="C624" s="17" t="n">
        <f aca="false">Purchase_Orders!C621</f>
        <v>46024</v>
      </c>
      <c r="D624" s="18" t="n">
        <f aca="false">Purchase_Orders!D621</f>
        <v>2330.25</v>
      </c>
      <c r="E624" s="16" t="str">
        <f aca="false">Purchase_Orders!F621</f>
        <v>Stephen Mckee</v>
      </c>
      <c r="F624" s="16" t="str">
        <f aca="false">Purchase_Orders!G621</f>
        <v>Evelyn Galvan</v>
      </c>
      <c r="G624" s="16" t="str">
        <f aca="false">IF(E624=F624,"VIOLATION - Same Person Requested &amp; Approved","OK")</f>
        <v>OK</v>
      </c>
    </row>
    <row r="625" customFormat="false" ht="15" hidden="false" customHeight="false" outlineLevel="0" collapsed="false">
      <c r="A625" s="16" t="str">
        <f aca="false">Purchase_Orders!A622</f>
        <v>PO10621</v>
      </c>
      <c r="B625" s="16" t="str">
        <f aca="false">Purchase_Orders!B622</f>
        <v>V1029</v>
      </c>
      <c r="C625" s="17" t="n">
        <f aca="false">Purchase_Orders!C622</f>
        <v>46024</v>
      </c>
      <c r="D625" s="18" t="n">
        <f aca="false">Purchase_Orders!D622</f>
        <v>1142.31</v>
      </c>
      <c r="E625" s="16" t="str">
        <f aca="false">Purchase_Orders!F622</f>
        <v>Cameron Parker</v>
      </c>
      <c r="F625" s="16" t="str">
        <f aca="false">Purchase_Orders!G622</f>
        <v>Evelyn Galvan</v>
      </c>
      <c r="G625" s="16" t="str">
        <f aca="false">IF(E625=F625,"VIOLATION - Same Person Requested &amp; Approved","OK")</f>
        <v>OK</v>
      </c>
    </row>
    <row r="626" customFormat="false" ht="15" hidden="false" customHeight="false" outlineLevel="0" collapsed="false">
      <c r="A626" s="16" t="str">
        <f aca="false">Purchase_Orders!A623</f>
        <v>PO10622</v>
      </c>
      <c r="B626" s="16" t="str">
        <f aca="false">Purchase_Orders!B623</f>
        <v>V1030</v>
      </c>
      <c r="C626" s="17" t="n">
        <f aca="false">Purchase_Orders!C623</f>
        <v>45976</v>
      </c>
      <c r="D626" s="18" t="n">
        <f aca="false">Purchase_Orders!D623</f>
        <v>5378.13</v>
      </c>
      <c r="E626" s="16" t="str">
        <f aca="false">Purchase_Orders!F623</f>
        <v>Christina Moran</v>
      </c>
      <c r="F626" s="16" t="str">
        <f aca="false">Purchase_Orders!G623</f>
        <v>Sharon Cherry</v>
      </c>
      <c r="G626" s="16" t="str">
        <f aca="false">IF(E626=F626,"VIOLATION - Same Person Requested &amp; Approved","OK")</f>
        <v>OK</v>
      </c>
    </row>
    <row r="627" customFormat="false" ht="15" hidden="false" customHeight="false" outlineLevel="0" collapsed="false">
      <c r="A627" s="16" t="str">
        <f aca="false">Purchase_Orders!A624</f>
        <v>PO10623</v>
      </c>
      <c r="B627" s="16" t="str">
        <f aca="false">Purchase_Orders!B624</f>
        <v>V1002</v>
      </c>
      <c r="C627" s="17" t="n">
        <f aca="false">Purchase_Orders!C624</f>
        <v>46106</v>
      </c>
      <c r="D627" s="18" t="n">
        <f aca="false">Purchase_Orders!D624</f>
        <v>1479.77</v>
      </c>
      <c r="E627" s="16" t="str">
        <f aca="false">Purchase_Orders!F624</f>
        <v>Rebecca Valencia</v>
      </c>
      <c r="F627" s="16" t="str">
        <f aca="false">Purchase_Orders!G624</f>
        <v>Julia Torres</v>
      </c>
      <c r="G627" s="16" t="str">
        <f aca="false">IF(E627=F627,"VIOLATION - Same Person Requested &amp; Approved","OK")</f>
        <v>OK</v>
      </c>
    </row>
    <row r="628" customFormat="false" ht="15" hidden="false" customHeight="false" outlineLevel="0" collapsed="false">
      <c r="A628" s="16" t="str">
        <f aca="false">Purchase_Orders!A625</f>
        <v>PO10624</v>
      </c>
      <c r="B628" s="16" t="str">
        <f aca="false">Purchase_Orders!B625</f>
        <v>V1011</v>
      </c>
      <c r="C628" s="17" t="n">
        <f aca="false">Purchase_Orders!C625</f>
        <v>46170</v>
      </c>
      <c r="D628" s="18" t="n">
        <f aca="false">Purchase_Orders!D625</f>
        <v>2544.31</v>
      </c>
      <c r="E628" s="16" t="str">
        <f aca="false">Purchase_Orders!F625</f>
        <v>Richard Henson</v>
      </c>
      <c r="F628" s="16" t="str">
        <f aca="false">Purchase_Orders!G625</f>
        <v>Richard Henson</v>
      </c>
      <c r="G628" s="16" t="str">
        <f aca="false">IF(E628=F628,"VIOLATION - Same Person Requested &amp; Approved","OK")</f>
        <v>VIOLATION - Same Person Requested &amp; Approved</v>
      </c>
    </row>
    <row r="629" customFormat="false" ht="15" hidden="false" customHeight="false" outlineLevel="0" collapsed="false">
      <c r="A629" s="16" t="str">
        <f aca="false">Purchase_Orders!A626</f>
        <v>PO10625</v>
      </c>
      <c r="B629" s="16" t="str">
        <f aca="false">Purchase_Orders!B626</f>
        <v>V1007</v>
      </c>
      <c r="C629" s="17" t="n">
        <f aca="false">Purchase_Orders!C626</f>
        <v>45717</v>
      </c>
      <c r="D629" s="18" t="n">
        <f aca="false">Purchase_Orders!D626</f>
        <v>1679.49</v>
      </c>
      <c r="E629" s="16" t="str">
        <f aca="false">Purchase_Orders!F626</f>
        <v>Deborah Figueroa</v>
      </c>
      <c r="F629" s="16" t="str">
        <f aca="false">Purchase_Orders!G626</f>
        <v>Sierra Johnson</v>
      </c>
      <c r="G629" s="16" t="str">
        <f aca="false">IF(E629=F629,"VIOLATION - Same Person Requested &amp; Approved","OK")</f>
        <v>OK</v>
      </c>
    </row>
    <row r="630" customFormat="false" ht="15" hidden="false" customHeight="false" outlineLevel="0" collapsed="false">
      <c r="A630" s="16" t="str">
        <f aca="false">Purchase_Orders!A627</f>
        <v>PO10626</v>
      </c>
      <c r="B630" s="16" t="str">
        <f aca="false">Purchase_Orders!B627</f>
        <v>V1034</v>
      </c>
      <c r="C630" s="17" t="n">
        <f aca="false">Purchase_Orders!C627</f>
        <v>45785</v>
      </c>
      <c r="D630" s="18" t="n">
        <f aca="false">Purchase_Orders!D627</f>
        <v>2035.58</v>
      </c>
      <c r="E630" s="16" t="str">
        <f aca="false">Purchase_Orders!F627</f>
        <v>Anna Henderson</v>
      </c>
      <c r="F630" s="16" t="str">
        <f aca="false">Purchase_Orders!G627</f>
        <v>Julia Torres</v>
      </c>
      <c r="G630" s="16" t="str">
        <f aca="false">IF(E630=F630,"VIOLATION - Same Person Requested &amp; Approved","OK")</f>
        <v>OK</v>
      </c>
    </row>
    <row r="631" customFormat="false" ht="15" hidden="false" customHeight="false" outlineLevel="0" collapsed="false">
      <c r="A631" s="16" t="str">
        <f aca="false">Purchase_Orders!A628</f>
        <v>PO10627</v>
      </c>
      <c r="B631" s="16" t="str">
        <f aca="false">Purchase_Orders!B628</f>
        <v>V1025</v>
      </c>
      <c r="C631" s="17" t="n">
        <f aca="false">Purchase_Orders!C628</f>
        <v>45671</v>
      </c>
      <c r="D631" s="18" t="n">
        <f aca="false">Purchase_Orders!D628</f>
        <v>1499.87</v>
      </c>
      <c r="E631" s="16" t="str">
        <f aca="false">Purchase_Orders!F628</f>
        <v>Richard Henson</v>
      </c>
      <c r="F631" s="16" t="str">
        <f aca="false">Purchase_Orders!G628</f>
        <v>Sharon Cochran</v>
      </c>
      <c r="G631" s="16" t="str">
        <f aca="false">IF(E631=F631,"VIOLATION - Same Person Requested &amp; Approved","OK")</f>
        <v>OK</v>
      </c>
    </row>
    <row r="632" customFormat="false" ht="15" hidden="false" customHeight="false" outlineLevel="0" collapsed="false">
      <c r="A632" s="16" t="str">
        <f aca="false">Purchase_Orders!A629</f>
        <v>PO10628</v>
      </c>
      <c r="B632" s="16" t="str">
        <f aca="false">Purchase_Orders!B629</f>
        <v>V1005</v>
      </c>
      <c r="C632" s="17" t="n">
        <f aca="false">Purchase_Orders!C629</f>
        <v>46139</v>
      </c>
      <c r="D632" s="18" t="n">
        <f aca="false">Purchase_Orders!D629</f>
        <v>2691.6</v>
      </c>
      <c r="E632" s="16" t="str">
        <f aca="false">Purchase_Orders!F629</f>
        <v>Sandra Aguilar</v>
      </c>
      <c r="F632" s="16" t="str">
        <f aca="false">Purchase_Orders!G629</f>
        <v>Marc Moore</v>
      </c>
      <c r="G632" s="16" t="str">
        <f aca="false">IF(E632=F632,"VIOLATION - Same Person Requested &amp; Approved","OK")</f>
        <v>OK</v>
      </c>
    </row>
    <row r="633" customFormat="false" ht="15" hidden="false" customHeight="false" outlineLevel="0" collapsed="false">
      <c r="A633" s="16" t="str">
        <f aca="false">Purchase_Orders!A630</f>
        <v>PO10629</v>
      </c>
      <c r="B633" s="16" t="str">
        <f aca="false">Purchase_Orders!B630</f>
        <v>V1008</v>
      </c>
      <c r="C633" s="17" t="n">
        <f aca="false">Purchase_Orders!C630</f>
        <v>45963</v>
      </c>
      <c r="D633" s="18" t="n">
        <f aca="false">Purchase_Orders!D630</f>
        <v>687.41</v>
      </c>
      <c r="E633" s="16" t="str">
        <f aca="false">Purchase_Orders!F630</f>
        <v>James Powers</v>
      </c>
      <c r="F633" s="16" t="str">
        <f aca="false">Purchase_Orders!G630</f>
        <v>Evelyn Galvan</v>
      </c>
      <c r="G633" s="16" t="str">
        <f aca="false">IF(E633=F633,"VIOLATION - Same Person Requested &amp; Approved","OK")</f>
        <v>OK</v>
      </c>
    </row>
    <row r="634" customFormat="false" ht="15" hidden="false" customHeight="false" outlineLevel="0" collapsed="false">
      <c r="A634" s="16" t="str">
        <f aca="false">Purchase_Orders!A631</f>
        <v>PO10630</v>
      </c>
      <c r="B634" s="16" t="str">
        <f aca="false">Purchase_Orders!B631</f>
        <v>V1031</v>
      </c>
      <c r="C634" s="17" t="n">
        <f aca="false">Purchase_Orders!C631</f>
        <v>46156</v>
      </c>
      <c r="D634" s="18" t="n">
        <f aca="false">Purchase_Orders!D631</f>
        <v>824.85</v>
      </c>
      <c r="E634" s="16" t="str">
        <f aca="false">Purchase_Orders!F631</f>
        <v>Christine Wright</v>
      </c>
      <c r="F634" s="16" t="str">
        <f aca="false">Purchase_Orders!G631</f>
        <v>Marc Moore</v>
      </c>
      <c r="G634" s="16" t="str">
        <f aca="false">IF(E634=F634,"VIOLATION - Same Person Requested &amp; Approved","OK")</f>
        <v>OK</v>
      </c>
    </row>
    <row r="635" customFormat="false" ht="15" hidden="false" customHeight="false" outlineLevel="0" collapsed="false">
      <c r="A635" s="16" t="str">
        <f aca="false">Purchase_Orders!A632</f>
        <v>PO10631</v>
      </c>
      <c r="B635" s="16" t="str">
        <f aca="false">Purchase_Orders!B632</f>
        <v>V1017</v>
      </c>
      <c r="C635" s="17" t="n">
        <f aca="false">Purchase_Orders!C632</f>
        <v>45778</v>
      </c>
      <c r="D635" s="18" t="n">
        <f aca="false">Purchase_Orders!D632</f>
        <v>1560.82</v>
      </c>
      <c r="E635" s="16" t="str">
        <f aca="false">Purchase_Orders!F632</f>
        <v>Angel Lewis MD</v>
      </c>
      <c r="F635" s="16" t="str">
        <f aca="false">Purchase_Orders!G632</f>
        <v>Shannon Walker</v>
      </c>
      <c r="G635" s="16" t="str">
        <f aca="false">IF(E635=F635,"VIOLATION - Same Person Requested &amp; Approved","OK")</f>
        <v>OK</v>
      </c>
    </row>
    <row r="636" customFormat="false" ht="15" hidden="false" customHeight="false" outlineLevel="0" collapsed="false">
      <c r="A636" s="16" t="str">
        <f aca="false">Purchase_Orders!A633</f>
        <v>PO10632</v>
      </c>
      <c r="B636" s="16" t="str">
        <f aca="false">Purchase_Orders!B633</f>
        <v>V1001</v>
      </c>
      <c r="C636" s="17" t="n">
        <f aca="false">Purchase_Orders!C633</f>
        <v>45692</v>
      </c>
      <c r="D636" s="18" t="n">
        <f aca="false">Purchase_Orders!D633</f>
        <v>113.06</v>
      </c>
      <c r="E636" s="16" t="str">
        <f aca="false">Purchase_Orders!F633</f>
        <v>Angel Lewis MD</v>
      </c>
      <c r="F636" s="16" t="str">
        <f aca="false">Purchase_Orders!G633</f>
        <v>Marc Moore</v>
      </c>
      <c r="G636" s="16" t="str">
        <f aca="false">IF(E636=F636,"VIOLATION - Same Person Requested &amp; Approved","OK")</f>
        <v>OK</v>
      </c>
    </row>
    <row r="637" customFormat="false" ht="15" hidden="false" customHeight="false" outlineLevel="0" collapsed="false">
      <c r="A637" s="16" t="str">
        <f aca="false">Purchase_Orders!A634</f>
        <v>PO10633</v>
      </c>
      <c r="B637" s="16" t="str">
        <f aca="false">Purchase_Orders!B634</f>
        <v>V1032</v>
      </c>
      <c r="C637" s="17" t="n">
        <f aca="false">Purchase_Orders!C634</f>
        <v>46107</v>
      </c>
      <c r="D637" s="18" t="n">
        <f aca="false">Purchase_Orders!D634</f>
        <v>827.43</v>
      </c>
      <c r="E637" s="16" t="str">
        <f aca="false">Purchase_Orders!F634</f>
        <v>Denise Jacobs</v>
      </c>
      <c r="F637" s="16" t="str">
        <f aca="false">Purchase_Orders!G634</f>
        <v>Julia Torres</v>
      </c>
      <c r="G637" s="16" t="str">
        <f aca="false">IF(E637=F637,"VIOLATION - Same Person Requested &amp; Approved","OK")</f>
        <v>OK</v>
      </c>
    </row>
    <row r="638" customFormat="false" ht="15" hidden="false" customHeight="false" outlineLevel="0" collapsed="false">
      <c r="A638" s="16" t="str">
        <f aca="false">Purchase_Orders!A635</f>
        <v>PO10634</v>
      </c>
      <c r="B638" s="16" t="str">
        <f aca="false">Purchase_Orders!B635</f>
        <v>V1036</v>
      </c>
      <c r="C638" s="17" t="n">
        <f aca="false">Purchase_Orders!C635</f>
        <v>46153</v>
      </c>
      <c r="D638" s="18" t="n">
        <f aca="false">Purchase_Orders!D635</f>
        <v>11648.06</v>
      </c>
      <c r="E638" s="16" t="str">
        <f aca="false">Purchase_Orders!F635</f>
        <v>Christine Wright</v>
      </c>
      <c r="F638" s="16" t="str">
        <f aca="false">Purchase_Orders!G635</f>
        <v>Sharon Cochran</v>
      </c>
      <c r="G638" s="16" t="str">
        <f aca="false">IF(E638=F638,"VIOLATION - Same Person Requested &amp; Approved","OK")</f>
        <v>OK</v>
      </c>
    </row>
    <row r="639" customFormat="false" ht="15" hidden="false" customHeight="false" outlineLevel="0" collapsed="false">
      <c r="A639" s="16" t="str">
        <f aca="false">Purchase_Orders!A636</f>
        <v>PO10635</v>
      </c>
      <c r="B639" s="16" t="str">
        <f aca="false">Purchase_Orders!B636</f>
        <v>V1012</v>
      </c>
      <c r="C639" s="17" t="n">
        <f aca="false">Purchase_Orders!C636</f>
        <v>45822</v>
      </c>
      <c r="D639" s="18" t="n">
        <f aca="false">Purchase_Orders!D636</f>
        <v>12577.05</v>
      </c>
      <c r="E639" s="16" t="str">
        <f aca="false">Purchase_Orders!F636</f>
        <v>Kevin Mills</v>
      </c>
      <c r="F639" s="16" t="str">
        <f aca="false">Purchase_Orders!G636</f>
        <v>Sharon Cochran</v>
      </c>
      <c r="G639" s="16" t="str">
        <f aca="false">IF(E639=F639,"VIOLATION - Same Person Requested &amp; Approved","OK")</f>
        <v>OK</v>
      </c>
    </row>
    <row r="640" customFormat="false" ht="15" hidden="false" customHeight="false" outlineLevel="0" collapsed="false">
      <c r="A640" s="16" t="str">
        <f aca="false">Purchase_Orders!A637</f>
        <v>PO10636</v>
      </c>
      <c r="B640" s="16" t="str">
        <f aca="false">Purchase_Orders!B637</f>
        <v>V1010</v>
      </c>
      <c r="C640" s="17" t="n">
        <f aca="false">Purchase_Orders!C637</f>
        <v>45880</v>
      </c>
      <c r="D640" s="18" t="n">
        <f aca="false">Purchase_Orders!D637</f>
        <v>1362.33</v>
      </c>
      <c r="E640" s="16" t="str">
        <f aca="false">Purchase_Orders!F637</f>
        <v>Eugene Walton</v>
      </c>
      <c r="F640" s="16" t="str">
        <f aca="false">Purchase_Orders!G637</f>
        <v>Richard Rodriguez</v>
      </c>
      <c r="G640" s="16" t="str">
        <f aca="false">IF(E640=F640,"VIOLATION - Same Person Requested &amp; Approved","OK")</f>
        <v>OK</v>
      </c>
    </row>
    <row r="641" customFormat="false" ht="15" hidden="false" customHeight="false" outlineLevel="0" collapsed="false">
      <c r="A641" s="16" t="str">
        <f aca="false">Purchase_Orders!A638</f>
        <v>PO10637</v>
      </c>
      <c r="B641" s="16" t="str">
        <f aca="false">Purchase_Orders!B638</f>
        <v>V1034</v>
      </c>
      <c r="C641" s="17" t="n">
        <f aca="false">Purchase_Orders!C638</f>
        <v>45734</v>
      </c>
      <c r="D641" s="18" t="n">
        <f aca="false">Purchase_Orders!D638</f>
        <v>2061.29</v>
      </c>
      <c r="E641" s="16" t="str">
        <f aca="false">Purchase_Orders!F638</f>
        <v>Sandra Aguilar</v>
      </c>
      <c r="F641" s="16" t="str">
        <f aca="false">Purchase_Orders!G638</f>
        <v>Julia Torres</v>
      </c>
      <c r="G641" s="16" t="str">
        <f aca="false">IF(E641=F641,"VIOLATION - Same Person Requested &amp; Approved","OK")</f>
        <v>OK</v>
      </c>
    </row>
    <row r="642" customFormat="false" ht="15" hidden="false" customHeight="false" outlineLevel="0" collapsed="false">
      <c r="A642" s="16" t="str">
        <f aca="false">Purchase_Orders!A639</f>
        <v>PO10638</v>
      </c>
      <c r="B642" s="16" t="str">
        <f aca="false">Purchase_Orders!B639</f>
        <v>V1002</v>
      </c>
      <c r="C642" s="17" t="n">
        <f aca="false">Purchase_Orders!C639</f>
        <v>46173</v>
      </c>
      <c r="D642" s="18" t="n">
        <f aca="false">Purchase_Orders!D639</f>
        <v>1760.94</v>
      </c>
      <c r="E642" s="16" t="str">
        <f aca="false">Purchase_Orders!F639</f>
        <v>Jimmy Murillo</v>
      </c>
      <c r="F642" s="16" t="str">
        <f aca="false">Purchase_Orders!G639</f>
        <v>Julia Torres</v>
      </c>
      <c r="G642" s="16" t="str">
        <f aca="false">IF(E642=F642,"VIOLATION - Same Person Requested &amp; Approved","OK")</f>
        <v>OK</v>
      </c>
    </row>
    <row r="643" customFormat="false" ht="15" hidden="false" customHeight="false" outlineLevel="0" collapsed="false">
      <c r="A643" s="16" t="str">
        <f aca="false">Purchase_Orders!A640</f>
        <v>PO10639</v>
      </c>
      <c r="B643" s="16" t="str">
        <f aca="false">Purchase_Orders!B640</f>
        <v>V1009</v>
      </c>
      <c r="C643" s="17" t="n">
        <f aca="false">Purchase_Orders!C640</f>
        <v>45823</v>
      </c>
      <c r="D643" s="18" t="n">
        <f aca="false">Purchase_Orders!D640</f>
        <v>4559.69</v>
      </c>
      <c r="E643" s="16" t="str">
        <f aca="false">Purchase_Orders!F640</f>
        <v>Eugene Walton</v>
      </c>
      <c r="F643" s="16" t="str">
        <f aca="false">Purchase_Orders!G640</f>
        <v>Richard Rodriguez</v>
      </c>
      <c r="G643" s="16" t="str">
        <f aca="false">IF(E643=F643,"VIOLATION - Same Person Requested &amp; Approved","OK")</f>
        <v>OK</v>
      </c>
    </row>
    <row r="644" customFormat="false" ht="15" hidden="false" customHeight="false" outlineLevel="0" collapsed="false">
      <c r="A644" s="16" t="str">
        <f aca="false">Purchase_Orders!A641</f>
        <v>PO10640</v>
      </c>
      <c r="B644" s="16" t="str">
        <f aca="false">Purchase_Orders!B641</f>
        <v>V1032</v>
      </c>
      <c r="C644" s="17" t="n">
        <f aca="false">Purchase_Orders!C641</f>
        <v>45926</v>
      </c>
      <c r="D644" s="18" t="n">
        <f aca="false">Purchase_Orders!D641</f>
        <v>285.04</v>
      </c>
      <c r="E644" s="16" t="str">
        <f aca="false">Purchase_Orders!F641</f>
        <v>John Whitehead</v>
      </c>
      <c r="F644" s="16" t="str">
        <f aca="false">Purchase_Orders!G641</f>
        <v>Sharon Cochran</v>
      </c>
      <c r="G644" s="16" t="str">
        <f aca="false">IF(E644=F644,"VIOLATION - Same Person Requested &amp; Approved","OK")</f>
        <v>OK</v>
      </c>
    </row>
    <row r="645" customFormat="false" ht="15" hidden="false" customHeight="false" outlineLevel="0" collapsed="false">
      <c r="A645" s="16" t="str">
        <f aca="false">Purchase_Orders!A642</f>
        <v>PO10641</v>
      </c>
      <c r="B645" s="16" t="str">
        <f aca="false">Purchase_Orders!B642</f>
        <v>V1028</v>
      </c>
      <c r="C645" s="17" t="n">
        <f aca="false">Purchase_Orders!C642</f>
        <v>45710</v>
      </c>
      <c r="D645" s="18" t="n">
        <f aca="false">Purchase_Orders!D642</f>
        <v>2954.28</v>
      </c>
      <c r="E645" s="16" t="str">
        <f aca="false">Purchase_Orders!F642</f>
        <v>Kevin Mills</v>
      </c>
      <c r="F645" s="16" t="str">
        <f aca="false">Purchase_Orders!G642</f>
        <v>Richard Rodriguez</v>
      </c>
      <c r="G645" s="16" t="str">
        <f aca="false">IF(E645=F645,"VIOLATION - Same Person Requested &amp; Approved","OK")</f>
        <v>OK</v>
      </c>
    </row>
    <row r="646" customFormat="false" ht="15" hidden="false" customHeight="false" outlineLevel="0" collapsed="false">
      <c r="A646" s="16" t="str">
        <f aca="false">Purchase_Orders!A643</f>
        <v>PO10642</v>
      </c>
      <c r="B646" s="16" t="str">
        <f aca="false">Purchase_Orders!B643</f>
        <v>V1040</v>
      </c>
      <c r="C646" s="17" t="n">
        <f aca="false">Purchase_Orders!C643</f>
        <v>46141</v>
      </c>
      <c r="D646" s="18" t="n">
        <f aca="false">Purchase_Orders!D643</f>
        <v>894.04</v>
      </c>
      <c r="E646" s="16" t="str">
        <f aca="false">Purchase_Orders!F643</f>
        <v>Jessica Smith</v>
      </c>
      <c r="F646" s="16" t="str">
        <f aca="false">Purchase_Orders!G643</f>
        <v>Evelyn Galvan</v>
      </c>
      <c r="G646" s="16" t="str">
        <f aca="false">IF(E646=F646,"VIOLATION - Same Person Requested &amp; Approved","OK")</f>
        <v>OK</v>
      </c>
    </row>
    <row r="647" customFormat="false" ht="15" hidden="false" customHeight="false" outlineLevel="0" collapsed="false">
      <c r="A647" s="16" t="str">
        <f aca="false">Purchase_Orders!A644</f>
        <v>PO10643</v>
      </c>
      <c r="B647" s="16" t="str">
        <f aca="false">Purchase_Orders!B644</f>
        <v>V1028</v>
      </c>
      <c r="C647" s="17" t="n">
        <f aca="false">Purchase_Orders!C644</f>
        <v>45731</v>
      </c>
      <c r="D647" s="18" t="n">
        <f aca="false">Purchase_Orders!D644</f>
        <v>603.77</v>
      </c>
      <c r="E647" s="16" t="str">
        <f aca="false">Purchase_Orders!F644</f>
        <v>Sandra Aguilar</v>
      </c>
      <c r="F647" s="16" t="str">
        <f aca="false">Purchase_Orders!G644</f>
        <v>Shannon Walker</v>
      </c>
      <c r="G647" s="16" t="str">
        <f aca="false">IF(E647=F647,"VIOLATION - Same Person Requested &amp; Approved","OK")</f>
        <v>OK</v>
      </c>
    </row>
    <row r="648" customFormat="false" ht="15" hidden="false" customHeight="false" outlineLevel="0" collapsed="false">
      <c r="A648" s="16" t="str">
        <f aca="false">Purchase_Orders!A645</f>
        <v>PO10644</v>
      </c>
      <c r="B648" s="16" t="str">
        <f aca="false">Purchase_Orders!B645</f>
        <v>V1027</v>
      </c>
      <c r="C648" s="17" t="n">
        <f aca="false">Purchase_Orders!C645</f>
        <v>45905</v>
      </c>
      <c r="D648" s="18" t="n">
        <f aca="false">Purchase_Orders!D645</f>
        <v>2681.96</v>
      </c>
      <c r="E648" s="16" t="str">
        <f aca="false">Purchase_Orders!F645</f>
        <v>Aaron Wise</v>
      </c>
      <c r="F648" s="16" t="str">
        <f aca="false">Purchase_Orders!G645</f>
        <v>Richard Rodriguez</v>
      </c>
      <c r="G648" s="16" t="str">
        <f aca="false">IF(E648=F648,"VIOLATION - Same Person Requested &amp; Approved","OK")</f>
        <v>OK</v>
      </c>
    </row>
    <row r="649" customFormat="false" ht="15" hidden="false" customHeight="false" outlineLevel="0" collapsed="false">
      <c r="A649" s="16" t="str">
        <f aca="false">Purchase_Orders!A646</f>
        <v>PO10645</v>
      </c>
      <c r="B649" s="16" t="str">
        <f aca="false">Purchase_Orders!B646</f>
        <v>V1040</v>
      </c>
      <c r="C649" s="17" t="n">
        <f aca="false">Purchase_Orders!C646</f>
        <v>46023</v>
      </c>
      <c r="D649" s="18" t="n">
        <f aca="false">Purchase_Orders!D646</f>
        <v>767.92</v>
      </c>
      <c r="E649" s="16" t="str">
        <f aca="false">Purchase_Orders!F646</f>
        <v>Cameron Parker</v>
      </c>
      <c r="F649" s="16" t="str">
        <f aca="false">Purchase_Orders!G646</f>
        <v>Sharon Cherry</v>
      </c>
      <c r="G649" s="16" t="str">
        <f aca="false">IF(E649=F649,"VIOLATION - Same Person Requested &amp; Approved","OK")</f>
        <v>OK</v>
      </c>
    </row>
    <row r="650" customFormat="false" ht="15" hidden="false" customHeight="false" outlineLevel="0" collapsed="false">
      <c r="A650" s="16" t="str">
        <f aca="false">Purchase_Orders!A647</f>
        <v>PO10646</v>
      </c>
      <c r="B650" s="16" t="str">
        <f aca="false">Purchase_Orders!B647</f>
        <v>V1010</v>
      </c>
      <c r="C650" s="17" t="n">
        <f aca="false">Purchase_Orders!C647</f>
        <v>46063</v>
      </c>
      <c r="D650" s="18" t="n">
        <f aca="false">Purchase_Orders!D647</f>
        <v>2186.62</v>
      </c>
      <c r="E650" s="16" t="str">
        <f aca="false">Purchase_Orders!F647</f>
        <v>Jimmy Murillo</v>
      </c>
      <c r="F650" s="16" t="str">
        <f aca="false">Purchase_Orders!G647</f>
        <v>Julia Torres</v>
      </c>
      <c r="G650" s="16" t="str">
        <f aca="false">IF(E650=F650,"VIOLATION - Same Person Requested &amp; Approved","OK")</f>
        <v>OK</v>
      </c>
    </row>
    <row r="651" customFormat="false" ht="15" hidden="false" customHeight="false" outlineLevel="0" collapsed="false">
      <c r="A651" s="16" t="str">
        <f aca="false">Purchase_Orders!A648</f>
        <v>PO10647</v>
      </c>
      <c r="B651" s="16" t="str">
        <f aca="false">Purchase_Orders!B648</f>
        <v>V1022</v>
      </c>
      <c r="C651" s="17" t="n">
        <f aca="false">Purchase_Orders!C648</f>
        <v>46173</v>
      </c>
      <c r="D651" s="18" t="n">
        <f aca="false">Purchase_Orders!D648</f>
        <v>2778.4</v>
      </c>
      <c r="E651" s="16" t="str">
        <f aca="false">Purchase_Orders!F648</f>
        <v>Christopher Bass</v>
      </c>
      <c r="F651" s="16" t="str">
        <f aca="false">Purchase_Orders!G648</f>
        <v>Marc Moore</v>
      </c>
      <c r="G651" s="16" t="str">
        <f aca="false">IF(E651=F651,"VIOLATION - Same Person Requested &amp; Approved","OK")</f>
        <v>OK</v>
      </c>
    </row>
    <row r="652" customFormat="false" ht="15" hidden="false" customHeight="false" outlineLevel="0" collapsed="false">
      <c r="A652" s="16" t="str">
        <f aca="false">Purchase_Orders!A649</f>
        <v>PO10648</v>
      </c>
      <c r="B652" s="16" t="str">
        <f aca="false">Purchase_Orders!B649</f>
        <v>V1037</v>
      </c>
      <c r="C652" s="17" t="n">
        <f aca="false">Purchase_Orders!C649</f>
        <v>45886</v>
      </c>
      <c r="D652" s="18" t="n">
        <f aca="false">Purchase_Orders!D649</f>
        <v>989.27</v>
      </c>
      <c r="E652" s="16" t="str">
        <f aca="false">Purchase_Orders!F649</f>
        <v>Christopher Bass</v>
      </c>
      <c r="F652" s="16" t="str">
        <f aca="false">Purchase_Orders!G649</f>
        <v>Julia Torres</v>
      </c>
      <c r="G652" s="16" t="str">
        <f aca="false">IF(E652=F652,"VIOLATION - Same Person Requested &amp; Approved","OK")</f>
        <v>OK</v>
      </c>
    </row>
    <row r="653" customFormat="false" ht="15" hidden="false" customHeight="false" outlineLevel="0" collapsed="false">
      <c r="A653" s="16" t="str">
        <f aca="false">Purchase_Orders!A650</f>
        <v>PO10649</v>
      </c>
      <c r="B653" s="16" t="str">
        <f aca="false">Purchase_Orders!B650</f>
        <v>V1032</v>
      </c>
      <c r="C653" s="17" t="n">
        <f aca="false">Purchase_Orders!C650</f>
        <v>46062</v>
      </c>
      <c r="D653" s="18" t="n">
        <f aca="false">Purchase_Orders!D650</f>
        <v>1556.9</v>
      </c>
      <c r="E653" s="16" t="str">
        <f aca="false">Purchase_Orders!F650</f>
        <v>Matthew Mcmillan</v>
      </c>
      <c r="F653" s="16" t="str">
        <f aca="false">Purchase_Orders!G650</f>
        <v>Sharon Cochran</v>
      </c>
      <c r="G653" s="16" t="str">
        <f aca="false">IF(E653=F653,"VIOLATION - Same Person Requested &amp; Approved","OK")</f>
        <v>OK</v>
      </c>
    </row>
    <row r="654" customFormat="false" ht="15" hidden="false" customHeight="false" outlineLevel="0" collapsed="false">
      <c r="A654" s="16" t="str">
        <f aca="false">Purchase_Orders!A651</f>
        <v>PO10650</v>
      </c>
      <c r="B654" s="16" t="str">
        <f aca="false">Purchase_Orders!B651</f>
        <v>V1011</v>
      </c>
      <c r="C654" s="17" t="n">
        <f aca="false">Purchase_Orders!C651</f>
        <v>45742</v>
      </c>
      <c r="D654" s="18" t="n">
        <f aca="false">Purchase_Orders!D651</f>
        <v>6662.15</v>
      </c>
      <c r="E654" s="16" t="str">
        <f aca="false">Purchase_Orders!F651</f>
        <v>Jessica Smith</v>
      </c>
      <c r="F654" s="16" t="str">
        <f aca="false">Purchase_Orders!G651</f>
        <v>Marc Moore</v>
      </c>
      <c r="G654" s="16" t="str">
        <f aca="false">IF(E654=F654,"VIOLATION - Same Person Requested &amp; Approved","OK")</f>
        <v>OK</v>
      </c>
    </row>
    <row r="655" customFormat="false" ht="15" hidden="false" customHeight="false" outlineLevel="0" collapsed="false">
      <c r="A655" s="16" t="str">
        <f aca="false">Purchase_Orders!A652</f>
        <v>PO10651</v>
      </c>
      <c r="B655" s="16" t="str">
        <f aca="false">Purchase_Orders!B652</f>
        <v>V1039</v>
      </c>
      <c r="C655" s="17" t="n">
        <f aca="false">Purchase_Orders!C652</f>
        <v>45884</v>
      </c>
      <c r="D655" s="18" t="n">
        <f aca="false">Purchase_Orders!D652</f>
        <v>5757.86</v>
      </c>
      <c r="E655" s="16" t="str">
        <f aca="false">Purchase_Orders!F652</f>
        <v>Brian Rodriguez</v>
      </c>
      <c r="F655" s="16" t="str">
        <f aca="false">Purchase_Orders!G652</f>
        <v>Evelyn Galvan</v>
      </c>
      <c r="G655" s="16" t="str">
        <f aca="false">IF(E655=F655,"VIOLATION - Same Person Requested &amp; Approved","OK")</f>
        <v>OK</v>
      </c>
    </row>
    <row r="656" customFormat="false" ht="15" hidden="false" customHeight="false" outlineLevel="0" collapsed="false">
      <c r="A656" s="16" t="str">
        <f aca="false">Purchase_Orders!A653</f>
        <v>PO10652</v>
      </c>
      <c r="B656" s="16" t="str">
        <f aca="false">Purchase_Orders!B653</f>
        <v>V1030</v>
      </c>
      <c r="C656" s="17" t="n">
        <f aca="false">Purchase_Orders!C653</f>
        <v>45711</v>
      </c>
      <c r="D656" s="18" t="n">
        <f aca="false">Purchase_Orders!D653</f>
        <v>6110.21</v>
      </c>
      <c r="E656" s="16" t="str">
        <f aca="false">Purchase_Orders!F653</f>
        <v>Eugene Walton</v>
      </c>
      <c r="F656" s="16" t="str">
        <f aca="false">Purchase_Orders!G653</f>
        <v>Julia Torres</v>
      </c>
      <c r="G656" s="16" t="str">
        <f aca="false">IF(E656=F656,"VIOLATION - Same Person Requested &amp; Approved","OK")</f>
        <v>OK</v>
      </c>
    </row>
    <row r="657" customFormat="false" ht="15" hidden="false" customHeight="false" outlineLevel="0" collapsed="false">
      <c r="A657" s="16" t="str">
        <f aca="false">Purchase_Orders!A654</f>
        <v>PO10653</v>
      </c>
      <c r="B657" s="16" t="str">
        <f aca="false">Purchase_Orders!B654</f>
        <v>V1029</v>
      </c>
      <c r="C657" s="17" t="n">
        <f aca="false">Purchase_Orders!C654</f>
        <v>45924</v>
      </c>
      <c r="D657" s="18" t="n">
        <f aca="false">Purchase_Orders!D654</f>
        <v>228.89</v>
      </c>
      <c r="E657" s="16" t="str">
        <f aca="false">Purchase_Orders!F654</f>
        <v>Denise Jacobs</v>
      </c>
      <c r="F657" s="16" t="str">
        <f aca="false">Purchase_Orders!G654</f>
        <v>Sharon Cochran</v>
      </c>
      <c r="G657" s="16" t="str">
        <f aca="false">IF(E657=F657,"VIOLATION - Same Person Requested &amp; Approved","OK")</f>
        <v>OK</v>
      </c>
    </row>
    <row r="658" customFormat="false" ht="15" hidden="false" customHeight="false" outlineLevel="0" collapsed="false">
      <c r="A658" s="16" t="str">
        <f aca="false">Purchase_Orders!A655</f>
        <v>PO10654</v>
      </c>
      <c r="B658" s="16" t="str">
        <f aca="false">Purchase_Orders!B655</f>
        <v>V1020</v>
      </c>
      <c r="C658" s="17" t="n">
        <f aca="false">Purchase_Orders!C655</f>
        <v>45880</v>
      </c>
      <c r="D658" s="18" t="n">
        <f aca="false">Purchase_Orders!D655</f>
        <v>887.06</v>
      </c>
      <c r="E658" s="16" t="str">
        <f aca="false">Purchase_Orders!F655</f>
        <v>Sandra Aguilar</v>
      </c>
      <c r="F658" s="16" t="str">
        <f aca="false">Purchase_Orders!G655</f>
        <v>Sharon Cochran</v>
      </c>
      <c r="G658" s="16" t="str">
        <f aca="false">IF(E658=F658,"VIOLATION - Same Person Requested &amp; Approved","OK")</f>
        <v>OK</v>
      </c>
    </row>
    <row r="659" customFormat="false" ht="15" hidden="false" customHeight="false" outlineLevel="0" collapsed="false">
      <c r="A659" s="16" t="str">
        <f aca="false">Purchase_Orders!A656</f>
        <v>PO10655</v>
      </c>
      <c r="B659" s="16" t="str">
        <f aca="false">Purchase_Orders!B656</f>
        <v>V1002</v>
      </c>
      <c r="C659" s="17" t="n">
        <f aca="false">Purchase_Orders!C656</f>
        <v>46176</v>
      </c>
      <c r="D659" s="18" t="n">
        <f aca="false">Purchase_Orders!D656</f>
        <v>2875.96</v>
      </c>
      <c r="E659" s="16" t="str">
        <f aca="false">Purchase_Orders!F656</f>
        <v>Christopher Bass</v>
      </c>
      <c r="F659" s="16" t="str">
        <f aca="false">Purchase_Orders!G656</f>
        <v>Evelyn Galvan</v>
      </c>
      <c r="G659" s="16" t="str">
        <f aca="false">IF(E659=F659,"VIOLATION - Same Person Requested &amp; Approved","OK")</f>
        <v>OK</v>
      </c>
    </row>
    <row r="660" customFormat="false" ht="15" hidden="false" customHeight="false" outlineLevel="0" collapsed="false">
      <c r="A660" s="16" t="str">
        <f aca="false">Purchase_Orders!A657</f>
        <v>PO10656</v>
      </c>
      <c r="B660" s="16" t="str">
        <f aca="false">Purchase_Orders!B657</f>
        <v>V1004</v>
      </c>
      <c r="C660" s="17" t="n">
        <f aca="false">Purchase_Orders!C657</f>
        <v>45675</v>
      </c>
      <c r="D660" s="18" t="n">
        <f aca="false">Purchase_Orders!D657</f>
        <v>3337.25</v>
      </c>
      <c r="E660" s="16" t="str">
        <f aca="false">Purchase_Orders!F657</f>
        <v>Anna Henderson</v>
      </c>
      <c r="F660" s="16" t="str">
        <f aca="false">Purchase_Orders!G657</f>
        <v>Sierra Johnson</v>
      </c>
      <c r="G660" s="16" t="str">
        <f aca="false">IF(E660=F660,"VIOLATION - Same Person Requested &amp; Approved","OK")</f>
        <v>OK</v>
      </c>
    </row>
    <row r="661" customFormat="false" ht="15" hidden="false" customHeight="false" outlineLevel="0" collapsed="false">
      <c r="A661" s="16" t="str">
        <f aca="false">Purchase_Orders!A658</f>
        <v>PO10657</v>
      </c>
      <c r="B661" s="16" t="str">
        <f aca="false">Purchase_Orders!B658</f>
        <v>V1038</v>
      </c>
      <c r="C661" s="17" t="n">
        <f aca="false">Purchase_Orders!C658</f>
        <v>45859</v>
      </c>
      <c r="D661" s="18" t="n">
        <f aca="false">Purchase_Orders!D658</f>
        <v>3555.6</v>
      </c>
      <c r="E661" s="16" t="str">
        <f aca="false">Purchase_Orders!F658</f>
        <v>Stephen Mckee</v>
      </c>
      <c r="F661" s="16" t="str">
        <f aca="false">Purchase_Orders!G658</f>
        <v>Richard Rodriguez</v>
      </c>
      <c r="G661" s="16" t="str">
        <f aca="false">IF(E661=F661,"VIOLATION - Same Person Requested &amp; Approved","OK")</f>
        <v>OK</v>
      </c>
    </row>
    <row r="662" customFormat="false" ht="15" hidden="false" customHeight="false" outlineLevel="0" collapsed="false">
      <c r="A662" s="16" t="str">
        <f aca="false">Purchase_Orders!A659</f>
        <v>PO10658</v>
      </c>
      <c r="B662" s="16" t="str">
        <f aca="false">Purchase_Orders!B659</f>
        <v>V1012</v>
      </c>
      <c r="C662" s="17" t="n">
        <f aca="false">Purchase_Orders!C659</f>
        <v>45899</v>
      </c>
      <c r="D662" s="18" t="n">
        <f aca="false">Purchase_Orders!D659</f>
        <v>313.22</v>
      </c>
      <c r="E662" s="16" t="str">
        <f aca="false">Purchase_Orders!F659</f>
        <v>Deborah Figueroa</v>
      </c>
      <c r="F662" s="16" t="str">
        <f aca="false">Purchase_Orders!G659</f>
        <v>Julia Torres</v>
      </c>
      <c r="G662" s="16" t="str">
        <f aca="false">IF(E662=F662,"VIOLATION - Same Person Requested &amp; Approved","OK")</f>
        <v>OK</v>
      </c>
    </row>
    <row r="663" customFormat="false" ht="15" hidden="false" customHeight="false" outlineLevel="0" collapsed="false">
      <c r="A663" s="16" t="str">
        <f aca="false">Purchase_Orders!A660</f>
        <v>PO10659</v>
      </c>
      <c r="B663" s="16" t="str">
        <f aca="false">Purchase_Orders!B660</f>
        <v>V1001</v>
      </c>
      <c r="C663" s="17" t="n">
        <f aca="false">Purchase_Orders!C660</f>
        <v>46176</v>
      </c>
      <c r="D663" s="18" t="n">
        <f aca="false">Purchase_Orders!D660</f>
        <v>36063.86</v>
      </c>
      <c r="E663" s="16" t="str">
        <f aca="false">Purchase_Orders!F660</f>
        <v>Cameron Parker</v>
      </c>
      <c r="F663" s="16" t="str">
        <f aca="false">Purchase_Orders!G660</f>
        <v>Evelyn Galvan</v>
      </c>
      <c r="G663" s="16" t="str">
        <f aca="false">IF(E663=F663,"VIOLATION - Same Person Requested &amp; Approved","OK")</f>
        <v>OK</v>
      </c>
    </row>
    <row r="664" customFormat="false" ht="15" hidden="false" customHeight="false" outlineLevel="0" collapsed="false">
      <c r="A664" s="16" t="str">
        <f aca="false">Purchase_Orders!A661</f>
        <v>PO10660</v>
      </c>
      <c r="B664" s="16" t="str">
        <f aca="false">Purchase_Orders!B661</f>
        <v>V1007</v>
      </c>
      <c r="C664" s="17" t="n">
        <f aca="false">Purchase_Orders!C661</f>
        <v>46124</v>
      </c>
      <c r="D664" s="18" t="n">
        <f aca="false">Purchase_Orders!D661</f>
        <v>1139.17</v>
      </c>
      <c r="E664" s="16" t="str">
        <f aca="false">Purchase_Orders!F661</f>
        <v>Cameron Parker</v>
      </c>
      <c r="F664" s="16" t="str">
        <f aca="false">Purchase_Orders!G661</f>
        <v>Sharon Cherry</v>
      </c>
      <c r="G664" s="16" t="str">
        <f aca="false">IF(E664=F664,"VIOLATION - Same Person Requested &amp; Approved","OK")</f>
        <v>OK</v>
      </c>
    </row>
    <row r="665" customFormat="false" ht="15" hidden="false" customHeight="false" outlineLevel="0" collapsed="false">
      <c r="A665" s="16" t="str">
        <f aca="false">Purchase_Orders!A662</f>
        <v>PO10661</v>
      </c>
      <c r="B665" s="16" t="str">
        <f aca="false">Purchase_Orders!B662</f>
        <v>V1025</v>
      </c>
      <c r="C665" s="17" t="n">
        <f aca="false">Purchase_Orders!C662</f>
        <v>45712</v>
      </c>
      <c r="D665" s="18" t="n">
        <f aca="false">Purchase_Orders!D662</f>
        <v>989.07</v>
      </c>
      <c r="E665" s="16" t="str">
        <f aca="false">Purchase_Orders!F662</f>
        <v>Aaron Wise</v>
      </c>
      <c r="F665" s="16" t="str">
        <f aca="false">Purchase_Orders!G662</f>
        <v>Richard Rodriguez</v>
      </c>
      <c r="G665" s="16" t="str">
        <f aca="false">IF(E665=F665,"VIOLATION - Same Person Requested &amp; Approved","OK")</f>
        <v>OK</v>
      </c>
    </row>
    <row r="666" customFormat="false" ht="15" hidden="false" customHeight="false" outlineLevel="0" collapsed="false">
      <c r="A666" s="16" t="str">
        <f aca="false">Purchase_Orders!A663</f>
        <v>PO10662</v>
      </c>
      <c r="B666" s="16" t="str">
        <f aca="false">Purchase_Orders!B663</f>
        <v>V1039</v>
      </c>
      <c r="C666" s="17" t="n">
        <f aca="false">Purchase_Orders!C663</f>
        <v>46031</v>
      </c>
      <c r="D666" s="18" t="n">
        <f aca="false">Purchase_Orders!D663</f>
        <v>2423.18</v>
      </c>
      <c r="E666" s="16" t="str">
        <f aca="false">Purchase_Orders!F663</f>
        <v>Jessica Smith</v>
      </c>
      <c r="F666" s="16" t="str">
        <f aca="false">Purchase_Orders!G663</f>
        <v>Sharon Cherry</v>
      </c>
      <c r="G666" s="16" t="str">
        <f aca="false">IF(E666=F666,"VIOLATION - Same Person Requested &amp; Approved","OK")</f>
        <v>OK</v>
      </c>
    </row>
    <row r="667" customFormat="false" ht="15" hidden="false" customHeight="false" outlineLevel="0" collapsed="false">
      <c r="A667" s="16" t="str">
        <f aca="false">Purchase_Orders!A664</f>
        <v>PO10663</v>
      </c>
      <c r="B667" s="16" t="str">
        <f aca="false">Purchase_Orders!B664</f>
        <v>V1032</v>
      </c>
      <c r="C667" s="17" t="n">
        <f aca="false">Purchase_Orders!C664</f>
        <v>45954</v>
      </c>
      <c r="D667" s="18" t="n">
        <f aca="false">Purchase_Orders!D664</f>
        <v>2408.69</v>
      </c>
      <c r="E667" s="16" t="str">
        <f aca="false">Purchase_Orders!F664</f>
        <v>Deborah Figueroa</v>
      </c>
      <c r="F667" s="16" t="str">
        <f aca="false">Purchase_Orders!G664</f>
        <v>Evelyn Galvan</v>
      </c>
      <c r="G667" s="16" t="str">
        <f aca="false">IF(E667=F667,"VIOLATION - Same Person Requested &amp; Approved","OK")</f>
        <v>OK</v>
      </c>
    </row>
    <row r="668" customFormat="false" ht="15" hidden="false" customHeight="false" outlineLevel="0" collapsed="false">
      <c r="A668" s="16" t="str">
        <f aca="false">Purchase_Orders!A665</f>
        <v>PO10664</v>
      </c>
      <c r="B668" s="16" t="str">
        <f aca="false">Purchase_Orders!B665</f>
        <v>V1001</v>
      </c>
      <c r="C668" s="17" t="n">
        <f aca="false">Purchase_Orders!C665</f>
        <v>46190</v>
      </c>
      <c r="D668" s="18" t="n">
        <f aca="false">Purchase_Orders!D665</f>
        <v>1303.38</v>
      </c>
      <c r="E668" s="16" t="str">
        <f aca="false">Purchase_Orders!F665</f>
        <v>Jimmy Murillo</v>
      </c>
      <c r="F668" s="16" t="str">
        <f aca="false">Purchase_Orders!G665</f>
        <v>Sierra Johnson</v>
      </c>
      <c r="G668" s="16" t="str">
        <f aca="false">IF(E668=F668,"VIOLATION - Same Person Requested &amp; Approved","OK")</f>
        <v>OK</v>
      </c>
    </row>
    <row r="669" customFormat="false" ht="15" hidden="false" customHeight="false" outlineLevel="0" collapsed="false">
      <c r="A669" s="16" t="str">
        <f aca="false">Purchase_Orders!A666</f>
        <v>PO10665</v>
      </c>
      <c r="B669" s="16" t="str">
        <f aca="false">Purchase_Orders!B666</f>
        <v>V1019</v>
      </c>
      <c r="C669" s="17" t="n">
        <f aca="false">Purchase_Orders!C666</f>
        <v>45853</v>
      </c>
      <c r="D669" s="18" t="n">
        <f aca="false">Purchase_Orders!D666</f>
        <v>414.94</v>
      </c>
      <c r="E669" s="16" t="str">
        <f aca="false">Purchase_Orders!F666</f>
        <v>Aaron Wise</v>
      </c>
      <c r="F669" s="16" t="str">
        <f aca="false">Purchase_Orders!G666</f>
        <v>Julia Torres</v>
      </c>
      <c r="G669" s="16" t="str">
        <f aca="false">IF(E669=F669,"VIOLATION - Same Person Requested &amp; Approved","OK")</f>
        <v>OK</v>
      </c>
    </row>
    <row r="670" customFormat="false" ht="15" hidden="false" customHeight="false" outlineLevel="0" collapsed="false">
      <c r="A670" s="16" t="str">
        <f aca="false">Purchase_Orders!A667</f>
        <v>PO10666</v>
      </c>
      <c r="B670" s="16" t="str">
        <f aca="false">Purchase_Orders!B667</f>
        <v>V1030</v>
      </c>
      <c r="C670" s="17" t="n">
        <f aca="false">Purchase_Orders!C667</f>
        <v>45874</v>
      </c>
      <c r="D670" s="18" t="n">
        <f aca="false">Purchase_Orders!D667</f>
        <v>526.61</v>
      </c>
      <c r="E670" s="16" t="str">
        <f aca="false">Purchase_Orders!F667</f>
        <v>Shirley Suarez</v>
      </c>
      <c r="F670" s="16" t="str">
        <f aca="false">Purchase_Orders!G667</f>
        <v>Julia Torres</v>
      </c>
      <c r="G670" s="16" t="str">
        <f aca="false">IF(E670=F670,"VIOLATION - Same Person Requested &amp; Approved","OK")</f>
        <v>OK</v>
      </c>
    </row>
    <row r="671" customFormat="false" ht="15" hidden="false" customHeight="false" outlineLevel="0" collapsed="false">
      <c r="A671" s="16" t="str">
        <f aca="false">Purchase_Orders!A668</f>
        <v>PO10667</v>
      </c>
      <c r="B671" s="16" t="str">
        <f aca="false">Purchase_Orders!B668</f>
        <v>V1008</v>
      </c>
      <c r="C671" s="17" t="n">
        <f aca="false">Purchase_Orders!C668</f>
        <v>45761</v>
      </c>
      <c r="D671" s="18" t="n">
        <f aca="false">Purchase_Orders!D668</f>
        <v>1428.02</v>
      </c>
      <c r="E671" s="16" t="str">
        <f aca="false">Purchase_Orders!F668</f>
        <v>Aaron Wise</v>
      </c>
      <c r="F671" s="16" t="str">
        <f aca="false">Purchase_Orders!G668</f>
        <v>Julia Torres</v>
      </c>
      <c r="G671" s="16" t="str">
        <f aca="false">IF(E671=F671,"VIOLATION - Same Person Requested &amp; Approved","OK")</f>
        <v>OK</v>
      </c>
    </row>
    <row r="672" customFormat="false" ht="15" hidden="false" customHeight="false" outlineLevel="0" collapsed="false">
      <c r="A672" s="16" t="str">
        <f aca="false">Purchase_Orders!A669</f>
        <v>PO10668</v>
      </c>
      <c r="B672" s="16" t="str">
        <f aca="false">Purchase_Orders!B669</f>
        <v>V1008</v>
      </c>
      <c r="C672" s="17" t="n">
        <f aca="false">Purchase_Orders!C669</f>
        <v>45724</v>
      </c>
      <c r="D672" s="18" t="n">
        <f aca="false">Purchase_Orders!D669</f>
        <v>3315.09</v>
      </c>
      <c r="E672" s="16" t="str">
        <f aca="false">Purchase_Orders!F669</f>
        <v>John Whitehead</v>
      </c>
      <c r="F672" s="16" t="str">
        <f aca="false">Purchase_Orders!G669</f>
        <v>Sierra Johnson</v>
      </c>
      <c r="G672" s="16" t="str">
        <f aca="false">IF(E672=F672,"VIOLATION - Same Person Requested &amp; Approved","OK")</f>
        <v>OK</v>
      </c>
    </row>
    <row r="673" customFormat="false" ht="15" hidden="false" customHeight="false" outlineLevel="0" collapsed="false">
      <c r="A673" s="16" t="str">
        <f aca="false">Purchase_Orders!A670</f>
        <v>PO10669</v>
      </c>
      <c r="B673" s="16" t="str">
        <f aca="false">Purchase_Orders!B670</f>
        <v>V1009</v>
      </c>
      <c r="C673" s="17" t="n">
        <f aca="false">Purchase_Orders!C670</f>
        <v>46120</v>
      </c>
      <c r="D673" s="18" t="n">
        <f aca="false">Purchase_Orders!D670</f>
        <v>1645.78</v>
      </c>
      <c r="E673" s="16" t="str">
        <f aca="false">Purchase_Orders!F670</f>
        <v>John Whitehead</v>
      </c>
      <c r="F673" s="16" t="str">
        <f aca="false">Purchase_Orders!G670</f>
        <v>Marc Moore</v>
      </c>
      <c r="G673" s="16" t="str">
        <f aca="false">IF(E673=F673,"VIOLATION - Same Person Requested &amp; Approved","OK")</f>
        <v>OK</v>
      </c>
    </row>
    <row r="674" customFormat="false" ht="15" hidden="false" customHeight="false" outlineLevel="0" collapsed="false">
      <c r="A674" s="16" t="str">
        <f aca="false">Purchase_Orders!A671</f>
        <v>PO10670</v>
      </c>
      <c r="B674" s="16" t="str">
        <f aca="false">Purchase_Orders!B671</f>
        <v>V1009</v>
      </c>
      <c r="C674" s="17" t="n">
        <f aca="false">Purchase_Orders!C671</f>
        <v>45905</v>
      </c>
      <c r="D674" s="18" t="n">
        <f aca="false">Purchase_Orders!D671</f>
        <v>2048.02</v>
      </c>
      <c r="E674" s="16" t="str">
        <f aca="false">Purchase_Orders!F671</f>
        <v>Cameron Parker</v>
      </c>
      <c r="F674" s="16" t="str">
        <f aca="false">Purchase_Orders!G671</f>
        <v>Sharon Cochran</v>
      </c>
      <c r="G674" s="16" t="str">
        <f aca="false">IF(E674=F674,"VIOLATION - Same Person Requested &amp; Approved","OK")</f>
        <v>OK</v>
      </c>
    </row>
    <row r="675" customFormat="false" ht="15" hidden="false" customHeight="false" outlineLevel="0" collapsed="false">
      <c r="A675" s="16" t="str">
        <f aca="false">Purchase_Orders!A672</f>
        <v>PO10671</v>
      </c>
      <c r="B675" s="16" t="str">
        <f aca="false">Purchase_Orders!B672</f>
        <v>V1025</v>
      </c>
      <c r="C675" s="17" t="n">
        <f aca="false">Purchase_Orders!C672</f>
        <v>46019</v>
      </c>
      <c r="D675" s="18" t="n">
        <f aca="false">Purchase_Orders!D672</f>
        <v>1796.9</v>
      </c>
      <c r="E675" s="16" t="str">
        <f aca="false">Purchase_Orders!F672</f>
        <v>Denise Jacobs</v>
      </c>
      <c r="F675" s="16" t="str">
        <f aca="false">Purchase_Orders!G672</f>
        <v>Sharon Cochran</v>
      </c>
      <c r="G675" s="16" t="str">
        <f aca="false">IF(E675=F675,"VIOLATION - Same Person Requested &amp; Approved","OK")</f>
        <v>OK</v>
      </c>
    </row>
    <row r="676" customFormat="false" ht="15" hidden="false" customHeight="false" outlineLevel="0" collapsed="false">
      <c r="A676" s="16" t="str">
        <f aca="false">Purchase_Orders!A673</f>
        <v>PO10672</v>
      </c>
      <c r="B676" s="16" t="str">
        <f aca="false">Purchase_Orders!B673</f>
        <v>V1012</v>
      </c>
      <c r="C676" s="17" t="n">
        <f aca="false">Purchase_Orders!C673</f>
        <v>46007</v>
      </c>
      <c r="D676" s="18" t="n">
        <f aca="false">Purchase_Orders!D673</f>
        <v>2764.38</v>
      </c>
      <c r="E676" s="16" t="str">
        <f aca="false">Purchase_Orders!F673</f>
        <v>Christine Wright</v>
      </c>
      <c r="F676" s="16" t="str">
        <f aca="false">Purchase_Orders!G673</f>
        <v>Evelyn Galvan</v>
      </c>
      <c r="G676" s="16" t="str">
        <f aca="false">IF(E676=F676,"VIOLATION - Same Person Requested &amp; Approved","OK")</f>
        <v>OK</v>
      </c>
    </row>
    <row r="677" customFormat="false" ht="15" hidden="false" customHeight="false" outlineLevel="0" collapsed="false">
      <c r="A677" s="16" t="str">
        <f aca="false">Purchase_Orders!A674</f>
        <v>PO10673</v>
      </c>
      <c r="B677" s="16" t="str">
        <f aca="false">Purchase_Orders!B674</f>
        <v>V1012</v>
      </c>
      <c r="C677" s="17" t="n">
        <f aca="false">Purchase_Orders!C674</f>
        <v>45983</v>
      </c>
      <c r="D677" s="18" t="n">
        <f aca="false">Purchase_Orders!D674</f>
        <v>3596.65</v>
      </c>
      <c r="E677" s="16" t="str">
        <f aca="false">Purchase_Orders!F674</f>
        <v>Christina Moran</v>
      </c>
      <c r="F677" s="16" t="str">
        <f aca="false">Purchase_Orders!G674</f>
        <v>Shannon Walker</v>
      </c>
      <c r="G677" s="16" t="str">
        <f aca="false">IF(E677=F677,"VIOLATION - Same Person Requested &amp; Approved","OK")</f>
        <v>OK</v>
      </c>
    </row>
    <row r="678" customFormat="false" ht="15" hidden="false" customHeight="false" outlineLevel="0" collapsed="false">
      <c r="A678" s="16" t="str">
        <f aca="false">Purchase_Orders!A675</f>
        <v>PO10674</v>
      </c>
      <c r="B678" s="16" t="str">
        <f aca="false">Purchase_Orders!B675</f>
        <v>V1007</v>
      </c>
      <c r="C678" s="17" t="n">
        <f aca="false">Purchase_Orders!C675</f>
        <v>45669</v>
      </c>
      <c r="D678" s="18" t="n">
        <f aca="false">Purchase_Orders!D675</f>
        <v>3806.21</v>
      </c>
      <c r="E678" s="16" t="str">
        <f aca="false">Purchase_Orders!F675</f>
        <v>James Powers</v>
      </c>
      <c r="F678" s="16" t="str">
        <f aca="false">Purchase_Orders!G675</f>
        <v>Marc Moore</v>
      </c>
      <c r="G678" s="16" t="str">
        <f aca="false">IF(E678=F678,"VIOLATION - Same Person Requested &amp; Approved","OK")</f>
        <v>OK</v>
      </c>
    </row>
    <row r="679" customFormat="false" ht="15" hidden="false" customHeight="false" outlineLevel="0" collapsed="false">
      <c r="A679" s="16" t="str">
        <f aca="false">Purchase_Orders!A676</f>
        <v>PO10675</v>
      </c>
      <c r="B679" s="16" t="str">
        <f aca="false">Purchase_Orders!B676</f>
        <v>V1039</v>
      </c>
      <c r="C679" s="17" t="n">
        <f aca="false">Purchase_Orders!C676</f>
        <v>46086</v>
      </c>
      <c r="D679" s="18" t="n">
        <f aca="false">Purchase_Orders!D676</f>
        <v>2397.02</v>
      </c>
      <c r="E679" s="16" t="str">
        <f aca="false">Purchase_Orders!F676</f>
        <v>James Powers</v>
      </c>
      <c r="F679" s="16" t="str">
        <f aca="false">Purchase_Orders!G676</f>
        <v>Julia Torres</v>
      </c>
      <c r="G679" s="16" t="str">
        <f aca="false">IF(E679=F679,"VIOLATION - Same Person Requested &amp; Approved","OK")</f>
        <v>OK</v>
      </c>
    </row>
    <row r="680" customFormat="false" ht="15" hidden="false" customHeight="false" outlineLevel="0" collapsed="false">
      <c r="A680" s="16" t="str">
        <f aca="false">Purchase_Orders!A677</f>
        <v>PO10676</v>
      </c>
      <c r="B680" s="16" t="str">
        <f aca="false">Purchase_Orders!B677</f>
        <v>V1035</v>
      </c>
      <c r="C680" s="17" t="n">
        <f aca="false">Purchase_Orders!C677</f>
        <v>45790</v>
      </c>
      <c r="D680" s="18" t="n">
        <f aca="false">Purchase_Orders!D677</f>
        <v>15935.12</v>
      </c>
      <c r="E680" s="16" t="str">
        <f aca="false">Purchase_Orders!F677</f>
        <v>Christina Walters</v>
      </c>
      <c r="F680" s="16" t="str">
        <f aca="false">Purchase_Orders!G677</f>
        <v>Sierra Johnson</v>
      </c>
      <c r="G680" s="16" t="str">
        <f aca="false">IF(E680=F680,"VIOLATION - Same Person Requested &amp; Approved","OK")</f>
        <v>OK</v>
      </c>
    </row>
    <row r="681" customFormat="false" ht="15" hidden="false" customHeight="false" outlineLevel="0" collapsed="false">
      <c r="A681" s="16" t="str">
        <f aca="false">Purchase_Orders!A678</f>
        <v>PO10677</v>
      </c>
      <c r="B681" s="16" t="str">
        <f aca="false">Purchase_Orders!B678</f>
        <v>V1028</v>
      </c>
      <c r="C681" s="17" t="n">
        <f aca="false">Purchase_Orders!C678</f>
        <v>45726</v>
      </c>
      <c r="D681" s="18" t="n">
        <f aca="false">Purchase_Orders!D678</f>
        <v>524.67</v>
      </c>
      <c r="E681" s="16" t="str">
        <f aca="false">Purchase_Orders!F678</f>
        <v>Richard Henson</v>
      </c>
      <c r="F681" s="16" t="str">
        <f aca="false">Purchase_Orders!G678</f>
        <v>Shannon Walker</v>
      </c>
      <c r="G681" s="16" t="str">
        <f aca="false">IF(E681=F681,"VIOLATION - Same Person Requested &amp; Approved","OK")</f>
        <v>OK</v>
      </c>
    </row>
    <row r="682" customFormat="false" ht="15" hidden="false" customHeight="false" outlineLevel="0" collapsed="false">
      <c r="A682" s="16" t="str">
        <f aca="false">Purchase_Orders!A679</f>
        <v>PO10678</v>
      </c>
      <c r="B682" s="16" t="str">
        <f aca="false">Purchase_Orders!B679</f>
        <v>V1036</v>
      </c>
      <c r="C682" s="17" t="n">
        <f aca="false">Purchase_Orders!C679</f>
        <v>45965</v>
      </c>
      <c r="D682" s="18" t="n">
        <f aca="false">Purchase_Orders!D679</f>
        <v>331.41</v>
      </c>
      <c r="E682" s="16" t="str">
        <f aca="false">Purchase_Orders!F679</f>
        <v>Denise Jacobs</v>
      </c>
      <c r="F682" s="16" t="str">
        <f aca="false">Purchase_Orders!G679</f>
        <v>Julia Torres</v>
      </c>
      <c r="G682" s="16" t="str">
        <f aca="false">IF(E682=F682,"VIOLATION - Same Person Requested &amp; Approved","OK")</f>
        <v>OK</v>
      </c>
    </row>
    <row r="683" customFormat="false" ht="15" hidden="false" customHeight="false" outlineLevel="0" collapsed="false">
      <c r="A683" s="16" t="str">
        <f aca="false">Purchase_Orders!A680</f>
        <v>PO10679</v>
      </c>
      <c r="B683" s="16" t="str">
        <f aca="false">Purchase_Orders!B680</f>
        <v>V1040</v>
      </c>
      <c r="C683" s="17" t="n">
        <f aca="false">Purchase_Orders!C680</f>
        <v>45695</v>
      </c>
      <c r="D683" s="18" t="n">
        <f aca="false">Purchase_Orders!D680</f>
        <v>979.13</v>
      </c>
      <c r="E683" s="16" t="str">
        <f aca="false">Purchase_Orders!F680</f>
        <v>Denise Jacobs</v>
      </c>
      <c r="F683" s="16" t="str">
        <f aca="false">Purchase_Orders!G680</f>
        <v>Shannon Walker</v>
      </c>
      <c r="G683" s="16" t="str">
        <f aca="false">IF(E683=F683,"VIOLATION - Same Person Requested &amp; Approved","OK")</f>
        <v>OK</v>
      </c>
    </row>
    <row r="684" customFormat="false" ht="15" hidden="false" customHeight="false" outlineLevel="0" collapsed="false">
      <c r="A684" s="16" t="str">
        <f aca="false">Purchase_Orders!A681</f>
        <v>PO10680</v>
      </c>
      <c r="B684" s="16" t="str">
        <f aca="false">Purchase_Orders!B681</f>
        <v>V1006</v>
      </c>
      <c r="C684" s="17" t="n">
        <f aca="false">Purchase_Orders!C681</f>
        <v>46075</v>
      </c>
      <c r="D684" s="18" t="n">
        <f aca="false">Purchase_Orders!D681</f>
        <v>3602.11</v>
      </c>
      <c r="E684" s="16" t="str">
        <f aca="false">Purchase_Orders!F681</f>
        <v>Cameron Parker</v>
      </c>
      <c r="F684" s="16" t="str">
        <f aca="false">Purchase_Orders!G681</f>
        <v>Sierra Johnson</v>
      </c>
      <c r="G684" s="16" t="str">
        <f aca="false">IF(E684=F684,"VIOLATION - Same Person Requested &amp; Approved","OK")</f>
        <v>OK</v>
      </c>
    </row>
    <row r="685" customFormat="false" ht="15" hidden="false" customHeight="false" outlineLevel="0" collapsed="false">
      <c r="A685" s="16" t="str">
        <f aca="false">Purchase_Orders!A682</f>
        <v>PO10681</v>
      </c>
      <c r="B685" s="16" t="str">
        <f aca="false">Purchase_Orders!B682</f>
        <v>V1015</v>
      </c>
      <c r="C685" s="17" t="n">
        <f aca="false">Purchase_Orders!C682</f>
        <v>45770</v>
      </c>
      <c r="D685" s="18" t="n">
        <f aca="false">Purchase_Orders!D682</f>
        <v>579.61</v>
      </c>
      <c r="E685" s="16" t="str">
        <f aca="false">Purchase_Orders!F682</f>
        <v>Brian Rodriguez</v>
      </c>
      <c r="F685" s="16" t="str">
        <f aca="false">Purchase_Orders!G682</f>
        <v>Sharon Cherry</v>
      </c>
      <c r="G685" s="16" t="str">
        <f aca="false">IF(E685=F685,"VIOLATION - Same Person Requested &amp; Approved","OK")</f>
        <v>OK</v>
      </c>
    </row>
    <row r="686" customFormat="false" ht="15" hidden="false" customHeight="false" outlineLevel="0" collapsed="false">
      <c r="A686" s="16" t="str">
        <f aca="false">Purchase_Orders!A683</f>
        <v>PO10682</v>
      </c>
      <c r="B686" s="16" t="str">
        <f aca="false">Purchase_Orders!B683</f>
        <v>V1018</v>
      </c>
      <c r="C686" s="17" t="n">
        <f aca="false">Purchase_Orders!C683</f>
        <v>45775</v>
      </c>
      <c r="D686" s="18" t="n">
        <f aca="false">Purchase_Orders!D683</f>
        <v>2463.86</v>
      </c>
      <c r="E686" s="16" t="str">
        <f aca="false">Purchase_Orders!F683</f>
        <v>Deborah Figueroa</v>
      </c>
      <c r="F686" s="16" t="str">
        <f aca="false">Purchase_Orders!G683</f>
        <v>Shannon Walker</v>
      </c>
      <c r="G686" s="16" t="str">
        <f aca="false">IF(E686=F686,"VIOLATION - Same Person Requested &amp; Approved","OK")</f>
        <v>OK</v>
      </c>
    </row>
    <row r="687" customFormat="false" ht="15" hidden="false" customHeight="false" outlineLevel="0" collapsed="false">
      <c r="A687" s="16" t="str">
        <f aca="false">Purchase_Orders!A684</f>
        <v>PO10683</v>
      </c>
      <c r="B687" s="16" t="str">
        <f aca="false">Purchase_Orders!B684</f>
        <v>V1020</v>
      </c>
      <c r="C687" s="17" t="n">
        <f aca="false">Purchase_Orders!C684</f>
        <v>46131</v>
      </c>
      <c r="D687" s="18" t="n">
        <f aca="false">Purchase_Orders!D684</f>
        <v>2741.68</v>
      </c>
      <c r="E687" s="16" t="str">
        <f aca="false">Purchase_Orders!F684</f>
        <v>Christine Wright</v>
      </c>
      <c r="F687" s="16" t="str">
        <f aca="false">Purchase_Orders!G684</f>
        <v>Evelyn Galvan</v>
      </c>
      <c r="G687" s="16" t="str">
        <f aca="false">IF(E687=F687,"VIOLATION - Same Person Requested &amp; Approved","OK")</f>
        <v>OK</v>
      </c>
    </row>
    <row r="688" customFormat="false" ht="15" hidden="false" customHeight="false" outlineLevel="0" collapsed="false">
      <c r="A688" s="16" t="str">
        <f aca="false">Purchase_Orders!A685</f>
        <v>PO10684</v>
      </c>
      <c r="B688" s="16" t="str">
        <f aca="false">Purchase_Orders!B685</f>
        <v>V1022</v>
      </c>
      <c r="C688" s="17" t="n">
        <f aca="false">Purchase_Orders!C685</f>
        <v>45837</v>
      </c>
      <c r="D688" s="18" t="n">
        <f aca="false">Purchase_Orders!D685</f>
        <v>683.18</v>
      </c>
      <c r="E688" s="16" t="str">
        <f aca="false">Purchase_Orders!F685</f>
        <v>Richard Henson</v>
      </c>
      <c r="F688" s="16" t="str">
        <f aca="false">Purchase_Orders!G685</f>
        <v>Marc Moore</v>
      </c>
      <c r="G688" s="16" t="str">
        <f aca="false">IF(E688=F688,"VIOLATION - Same Person Requested &amp; Approved","OK")</f>
        <v>OK</v>
      </c>
    </row>
    <row r="689" customFormat="false" ht="15" hidden="false" customHeight="false" outlineLevel="0" collapsed="false">
      <c r="A689" s="16" t="str">
        <f aca="false">Purchase_Orders!A686</f>
        <v>PO10685</v>
      </c>
      <c r="B689" s="16" t="str">
        <f aca="false">Purchase_Orders!B686</f>
        <v>V1029</v>
      </c>
      <c r="C689" s="17" t="n">
        <f aca="false">Purchase_Orders!C686</f>
        <v>45738</v>
      </c>
      <c r="D689" s="18" t="n">
        <f aca="false">Purchase_Orders!D686</f>
        <v>1624.72</v>
      </c>
      <c r="E689" s="16" t="str">
        <f aca="false">Purchase_Orders!F686</f>
        <v>John Whitehead</v>
      </c>
      <c r="F689" s="16" t="str">
        <f aca="false">Purchase_Orders!G686</f>
        <v>Shannon Walker</v>
      </c>
      <c r="G689" s="16" t="str">
        <f aca="false">IF(E689=F689,"VIOLATION - Same Person Requested &amp; Approved","OK")</f>
        <v>OK</v>
      </c>
    </row>
    <row r="690" customFormat="false" ht="15" hidden="false" customHeight="false" outlineLevel="0" collapsed="false">
      <c r="A690" s="16" t="str">
        <f aca="false">Purchase_Orders!A687</f>
        <v>PO10686</v>
      </c>
      <c r="B690" s="16" t="str">
        <f aca="false">Purchase_Orders!B687</f>
        <v>V1018</v>
      </c>
      <c r="C690" s="17" t="n">
        <f aca="false">Purchase_Orders!C687</f>
        <v>46148</v>
      </c>
      <c r="D690" s="18" t="n">
        <f aca="false">Purchase_Orders!D687</f>
        <v>1846.75</v>
      </c>
      <c r="E690" s="16" t="str">
        <f aca="false">Purchase_Orders!F687</f>
        <v>Christopher Bass</v>
      </c>
      <c r="F690" s="16" t="str">
        <f aca="false">Purchase_Orders!G687</f>
        <v>Evelyn Galvan</v>
      </c>
      <c r="G690" s="16" t="str">
        <f aca="false">IF(E690=F690,"VIOLATION - Same Person Requested &amp; Approved","OK")</f>
        <v>OK</v>
      </c>
    </row>
    <row r="691" customFormat="false" ht="15" hidden="false" customHeight="false" outlineLevel="0" collapsed="false">
      <c r="A691" s="16" t="str">
        <f aca="false">Purchase_Orders!A688</f>
        <v>PO10687</v>
      </c>
      <c r="B691" s="16" t="str">
        <f aca="false">Purchase_Orders!B688</f>
        <v>V1034</v>
      </c>
      <c r="C691" s="17" t="n">
        <f aca="false">Purchase_Orders!C688</f>
        <v>45659</v>
      </c>
      <c r="D691" s="18" t="n">
        <f aca="false">Purchase_Orders!D688</f>
        <v>1307.64</v>
      </c>
      <c r="E691" s="16" t="str">
        <f aca="false">Purchase_Orders!F688</f>
        <v>Jimmy Murillo</v>
      </c>
      <c r="F691" s="16" t="str">
        <f aca="false">Purchase_Orders!G688</f>
        <v>Sharon Cochran</v>
      </c>
      <c r="G691" s="16" t="str">
        <f aca="false">IF(E691=F691,"VIOLATION - Same Person Requested &amp; Approved","OK")</f>
        <v>OK</v>
      </c>
    </row>
    <row r="692" customFormat="false" ht="15" hidden="false" customHeight="false" outlineLevel="0" collapsed="false">
      <c r="A692" s="16" t="str">
        <f aca="false">Purchase_Orders!A689</f>
        <v>PO10688</v>
      </c>
      <c r="B692" s="16" t="str">
        <f aca="false">Purchase_Orders!B689</f>
        <v>V1033</v>
      </c>
      <c r="C692" s="17" t="n">
        <f aca="false">Purchase_Orders!C689</f>
        <v>46125</v>
      </c>
      <c r="D692" s="18" t="n">
        <f aca="false">Purchase_Orders!D689</f>
        <v>1035.87</v>
      </c>
      <c r="E692" s="16" t="str">
        <f aca="false">Purchase_Orders!F689</f>
        <v>Christine Wright</v>
      </c>
      <c r="F692" s="16" t="str">
        <f aca="false">Purchase_Orders!G689</f>
        <v>Sharon Cherry</v>
      </c>
      <c r="G692" s="16" t="str">
        <f aca="false">IF(E692=F692,"VIOLATION - Same Person Requested &amp; Approved","OK")</f>
        <v>OK</v>
      </c>
    </row>
    <row r="693" customFormat="false" ht="15" hidden="false" customHeight="false" outlineLevel="0" collapsed="false">
      <c r="A693" s="16" t="str">
        <f aca="false">Purchase_Orders!A690</f>
        <v>PO10689</v>
      </c>
      <c r="B693" s="16" t="str">
        <f aca="false">Purchase_Orders!B690</f>
        <v>V1037</v>
      </c>
      <c r="C693" s="17" t="n">
        <f aca="false">Purchase_Orders!C690</f>
        <v>45736</v>
      </c>
      <c r="D693" s="18" t="n">
        <f aca="false">Purchase_Orders!D690</f>
        <v>7340.64</v>
      </c>
      <c r="E693" s="16" t="str">
        <f aca="false">Purchase_Orders!F690</f>
        <v>Cameron Parker</v>
      </c>
      <c r="F693" s="16" t="str">
        <f aca="false">Purchase_Orders!G690</f>
        <v>Shannon Walker</v>
      </c>
      <c r="G693" s="16" t="str">
        <f aca="false">IF(E693=F693,"VIOLATION - Same Person Requested &amp; Approved","OK")</f>
        <v>OK</v>
      </c>
    </row>
    <row r="694" customFormat="false" ht="15" hidden="false" customHeight="false" outlineLevel="0" collapsed="false">
      <c r="A694" s="16" t="str">
        <f aca="false">Purchase_Orders!A691</f>
        <v>PO10690</v>
      </c>
      <c r="B694" s="16" t="str">
        <f aca="false">Purchase_Orders!B691</f>
        <v>V1011</v>
      </c>
      <c r="C694" s="17" t="n">
        <f aca="false">Purchase_Orders!C691</f>
        <v>45728</v>
      </c>
      <c r="D694" s="18" t="n">
        <f aca="false">Purchase_Orders!D691</f>
        <v>957.43</v>
      </c>
      <c r="E694" s="16" t="str">
        <f aca="false">Purchase_Orders!F691</f>
        <v>Kevin Mills</v>
      </c>
      <c r="F694" s="16" t="str">
        <f aca="false">Purchase_Orders!G691</f>
        <v>Evelyn Galvan</v>
      </c>
      <c r="G694" s="16" t="str">
        <f aca="false">IF(E694=F694,"VIOLATION - Same Person Requested &amp; Approved","OK")</f>
        <v>OK</v>
      </c>
    </row>
    <row r="695" customFormat="false" ht="15" hidden="false" customHeight="false" outlineLevel="0" collapsed="false">
      <c r="A695" s="16" t="str">
        <f aca="false">Purchase_Orders!A692</f>
        <v>PO10691</v>
      </c>
      <c r="B695" s="16" t="str">
        <f aca="false">Purchase_Orders!B692</f>
        <v>V1010</v>
      </c>
      <c r="C695" s="17" t="n">
        <f aca="false">Purchase_Orders!C692</f>
        <v>45794</v>
      </c>
      <c r="D695" s="18" t="n">
        <f aca="false">Purchase_Orders!D692</f>
        <v>2237.12</v>
      </c>
      <c r="E695" s="16" t="str">
        <f aca="false">Purchase_Orders!F692</f>
        <v>Eugene Walton</v>
      </c>
      <c r="F695" s="16" t="str">
        <f aca="false">Purchase_Orders!G692</f>
        <v>Marc Moore</v>
      </c>
      <c r="G695" s="16" t="str">
        <f aca="false">IF(E695=F695,"VIOLATION - Same Person Requested &amp; Approved","OK")</f>
        <v>OK</v>
      </c>
    </row>
    <row r="696" customFormat="false" ht="15" hidden="false" customHeight="false" outlineLevel="0" collapsed="false">
      <c r="A696" s="16" t="str">
        <f aca="false">Purchase_Orders!A693</f>
        <v>PO10692</v>
      </c>
      <c r="B696" s="16" t="str">
        <f aca="false">Purchase_Orders!B693</f>
        <v>V1039</v>
      </c>
      <c r="C696" s="17" t="n">
        <f aca="false">Purchase_Orders!C693</f>
        <v>45753</v>
      </c>
      <c r="D696" s="18" t="n">
        <f aca="false">Purchase_Orders!D693</f>
        <v>370.92</v>
      </c>
      <c r="E696" s="16" t="str">
        <f aca="false">Purchase_Orders!F693</f>
        <v>Cameron Parker</v>
      </c>
      <c r="F696" s="16" t="str">
        <f aca="false">Purchase_Orders!G693</f>
        <v>Marc Moore</v>
      </c>
      <c r="G696" s="16" t="str">
        <f aca="false">IF(E696=F696,"VIOLATION - Same Person Requested &amp; Approved","OK")</f>
        <v>OK</v>
      </c>
    </row>
    <row r="697" customFormat="false" ht="15" hidden="false" customHeight="false" outlineLevel="0" collapsed="false">
      <c r="A697" s="16" t="str">
        <f aca="false">Purchase_Orders!A694</f>
        <v>PO10693</v>
      </c>
      <c r="B697" s="16" t="str">
        <f aca="false">Purchase_Orders!B694</f>
        <v>V1039</v>
      </c>
      <c r="C697" s="17" t="n">
        <f aca="false">Purchase_Orders!C694</f>
        <v>46018</v>
      </c>
      <c r="D697" s="18" t="n">
        <f aca="false">Purchase_Orders!D694</f>
        <v>629.25</v>
      </c>
      <c r="E697" s="16" t="str">
        <f aca="false">Purchase_Orders!F694</f>
        <v>Christina Moran</v>
      </c>
      <c r="F697" s="16" t="str">
        <f aca="false">Purchase_Orders!G694</f>
        <v>Shannon Walker</v>
      </c>
      <c r="G697" s="16" t="str">
        <f aca="false">IF(E697=F697,"VIOLATION - Same Person Requested &amp; Approved","OK")</f>
        <v>OK</v>
      </c>
    </row>
    <row r="698" customFormat="false" ht="15" hidden="false" customHeight="false" outlineLevel="0" collapsed="false">
      <c r="A698" s="16" t="str">
        <f aca="false">Purchase_Orders!A695</f>
        <v>PO10694</v>
      </c>
      <c r="B698" s="16" t="str">
        <f aca="false">Purchase_Orders!B695</f>
        <v>V1029</v>
      </c>
      <c r="C698" s="17" t="n">
        <f aca="false">Purchase_Orders!C695</f>
        <v>45672</v>
      </c>
      <c r="D698" s="18" t="n">
        <f aca="false">Purchase_Orders!D695</f>
        <v>20520.56</v>
      </c>
      <c r="E698" s="16" t="str">
        <f aca="false">Purchase_Orders!F695</f>
        <v>Deborah Figueroa</v>
      </c>
      <c r="F698" s="16" t="str">
        <f aca="false">Purchase_Orders!G695</f>
        <v>Evelyn Galvan</v>
      </c>
      <c r="G698" s="16" t="str">
        <f aca="false">IF(E698=F698,"VIOLATION - Same Person Requested &amp; Approved","OK")</f>
        <v>OK</v>
      </c>
    </row>
    <row r="699" customFormat="false" ht="15" hidden="false" customHeight="false" outlineLevel="0" collapsed="false">
      <c r="A699" s="16" t="str">
        <f aca="false">Purchase_Orders!A696</f>
        <v>PO10695</v>
      </c>
      <c r="B699" s="16" t="str">
        <f aca="false">Purchase_Orders!B696</f>
        <v>V1017</v>
      </c>
      <c r="C699" s="17" t="n">
        <f aca="false">Purchase_Orders!C696</f>
        <v>45666</v>
      </c>
      <c r="D699" s="18" t="n">
        <f aca="false">Purchase_Orders!D696</f>
        <v>2964.49</v>
      </c>
      <c r="E699" s="16" t="str">
        <f aca="false">Purchase_Orders!F696</f>
        <v>Richard Henson</v>
      </c>
      <c r="F699" s="16" t="str">
        <f aca="false">Purchase_Orders!G696</f>
        <v>Marc Moore</v>
      </c>
      <c r="G699" s="16" t="str">
        <f aca="false">IF(E699=F699,"VIOLATION - Same Person Requested &amp; Approved","OK")</f>
        <v>OK</v>
      </c>
    </row>
    <row r="700" customFormat="false" ht="15" hidden="false" customHeight="false" outlineLevel="0" collapsed="false">
      <c r="A700" s="16" t="str">
        <f aca="false">Purchase_Orders!A697</f>
        <v>PO10696</v>
      </c>
      <c r="B700" s="16" t="str">
        <f aca="false">Purchase_Orders!B697</f>
        <v>V1010</v>
      </c>
      <c r="C700" s="17" t="n">
        <f aca="false">Purchase_Orders!C697</f>
        <v>46088</v>
      </c>
      <c r="D700" s="18" t="n">
        <f aca="false">Purchase_Orders!D697</f>
        <v>3993.23</v>
      </c>
      <c r="E700" s="16" t="str">
        <f aca="false">Purchase_Orders!F697</f>
        <v>Aimee Montoya</v>
      </c>
      <c r="F700" s="16" t="str">
        <f aca="false">Purchase_Orders!G697</f>
        <v>Evelyn Galvan</v>
      </c>
      <c r="G700" s="16" t="str">
        <f aca="false">IF(E700=F700,"VIOLATION - Same Person Requested &amp; Approved","OK")</f>
        <v>OK</v>
      </c>
    </row>
    <row r="701" customFormat="false" ht="15" hidden="false" customHeight="false" outlineLevel="0" collapsed="false">
      <c r="A701" s="16" t="str">
        <f aca="false">Purchase_Orders!A698</f>
        <v>PO10697</v>
      </c>
      <c r="B701" s="16" t="str">
        <f aca="false">Purchase_Orders!B698</f>
        <v>V1035</v>
      </c>
      <c r="C701" s="17" t="n">
        <f aca="false">Purchase_Orders!C698</f>
        <v>45787</v>
      </c>
      <c r="D701" s="18" t="n">
        <f aca="false">Purchase_Orders!D698</f>
        <v>1604.06</v>
      </c>
      <c r="E701" s="16" t="str">
        <f aca="false">Purchase_Orders!F698</f>
        <v>Christine Wright</v>
      </c>
      <c r="F701" s="16" t="str">
        <f aca="false">Purchase_Orders!G698</f>
        <v>Richard Rodriguez</v>
      </c>
      <c r="G701" s="16" t="str">
        <f aca="false">IF(E701=F701,"VIOLATION - Same Person Requested &amp; Approved","OK")</f>
        <v>OK</v>
      </c>
    </row>
    <row r="702" customFormat="false" ht="15" hidden="false" customHeight="false" outlineLevel="0" collapsed="false">
      <c r="A702" s="16" t="str">
        <f aca="false">Purchase_Orders!A699</f>
        <v>PO10698</v>
      </c>
      <c r="B702" s="16" t="str">
        <f aca="false">Purchase_Orders!B699</f>
        <v>V1039</v>
      </c>
      <c r="C702" s="17" t="n">
        <f aca="false">Purchase_Orders!C699</f>
        <v>45834</v>
      </c>
      <c r="D702" s="18" t="n">
        <f aca="false">Purchase_Orders!D699</f>
        <v>2211.07</v>
      </c>
      <c r="E702" s="16" t="str">
        <f aca="false">Purchase_Orders!F699</f>
        <v>Richard Henson</v>
      </c>
      <c r="F702" s="16" t="str">
        <f aca="false">Purchase_Orders!G699</f>
        <v>Richard Rodriguez</v>
      </c>
      <c r="G702" s="16" t="str">
        <f aca="false">IF(E702=F702,"VIOLATION - Same Person Requested &amp; Approved","OK")</f>
        <v>OK</v>
      </c>
    </row>
    <row r="703" customFormat="false" ht="15" hidden="false" customHeight="false" outlineLevel="0" collapsed="false">
      <c r="A703" s="16" t="str">
        <f aca="false">Purchase_Orders!A700</f>
        <v>PO10699</v>
      </c>
      <c r="B703" s="16" t="str">
        <f aca="false">Purchase_Orders!B700</f>
        <v>V1010</v>
      </c>
      <c r="C703" s="17" t="n">
        <f aca="false">Purchase_Orders!C700</f>
        <v>45752</v>
      </c>
      <c r="D703" s="18" t="n">
        <f aca="false">Purchase_Orders!D700</f>
        <v>1034.65</v>
      </c>
      <c r="E703" s="16" t="str">
        <f aca="false">Purchase_Orders!F700</f>
        <v>Jimmy Murillo</v>
      </c>
      <c r="F703" s="16" t="str">
        <f aca="false">Purchase_Orders!G700</f>
        <v>Evelyn Galvan</v>
      </c>
      <c r="G703" s="16" t="str">
        <f aca="false">IF(E703=F703,"VIOLATION - Same Person Requested &amp; Approved","OK")</f>
        <v>OK</v>
      </c>
    </row>
    <row r="704" customFormat="false" ht="15" hidden="false" customHeight="false" outlineLevel="0" collapsed="false">
      <c r="A704" s="16" t="str">
        <f aca="false">Purchase_Orders!A701</f>
        <v>PO10700</v>
      </c>
      <c r="B704" s="16" t="str">
        <f aca="false">Purchase_Orders!B701</f>
        <v>V1014</v>
      </c>
      <c r="C704" s="17" t="n">
        <f aca="false">Purchase_Orders!C701</f>
        <v>45686</v>
      </c>
      <c r="D704" s="18" t="n">
        <f aca="false">Purchase_Orders!D701</f>
        <v>6197.2</v>
      </c>
      <c r="E704" s="16" t="str">
        <f aca="false">Purchase_Orders!F701</f>
        <v>Lisa Archer</v>
      </c>
      <c r="F704" s="16" t="str">
        <f aca="false">Purchase_Orders!G701</f>
        <v>Marc Moore</v>
      </c>
      <c r="G704" s="16" t="str">
        <f aca="false">IF(E704=F704,"VIOLATION - Same Person Requested &amp; Approved","OK")</f>
        <v>OK</v>
      </c>
    </row>
    <row r="705" customFormat="false" ht="15" hidden="false" customHeight="false" outlineLevel="0" collapsed="false">
      <c r="A705" s="16" t="str">
        <f aca="false">Purchase_Orders!A702</f>
        <v>PO10701</v>
      </c>
      <c r="B705" s="16" t="str">
        <f aca="false">Purchase_Orders!B702</f>
        <v>V1032</v>
      </c>
      <c r="C705" s="17" t="n">
        <f aca="false">Purchase_Orders!C702</f>
        <v>46062</v>
      </c>
      <c r="D705" s="18" t="n">
        <f aca="false">Purchase_Orders!D702</f>
        <v>1848.76</v>
      </c>
      <c r="E705" s="16" t="str">
        <f aca="false">Purchase_Orders!F702</f>
        <v>Jessica Smith</v>
      </c>
      <c r="F705" s="16" t="str">
        <f aca="false">Purchase_Orders!G702</f>
        <v>Sierra Johnson</v>
      </c>
      <c r="G705" s="16" t="str">
        <f aca="false">IF(E705=F705,"VIOLATION - Same Person Requested &amp; Approved","OK")</f>
        <v>OK</v>
      </c>
    </row>
    <row r="706" customFormat="false" ht="15" hidden="false" customHeight="false" outlineLevel="0" collapsed="false">
      <c r="A706" s="16" t="str">
        <f aca="false">Purchase_Orders!A703</f>
        <v>PO10702</v>
      </c>
      <c r="B706" s="16" t="str">
        <f aca="false">Purchase_Orders!B703</f>
        <v>V1039</v>
      </c>
      <c r="C706" s="17" t="n">
        <f aca="false">Purchase_Orders!C703</f>
        <v>45944</v>
      </c>
      <c r="D706" s="18" t="n">
        <f aca="false">Purchase_Orders!D703</f>
        <v>2842.44</v>
      </c>
      <c r="E706" s="16" t="str">
        <f aca="false">Purchase_Orders!F703</f>
        <v>Christina Walters</v>
      </c>
      <c r="F706" s="16" t="str">
        <f aca="false">Purchase_Orders!G703</f>
        <v>Julia Torres</v>
      </c>
      <c r="G706" s="16" t="str">
        <f aca="false">IF(E706=F706,"VIOLATION - Same Person Requested &amp; Approved","OK")</f>
        <v>OK</v>
      </c>
    </row>
    <row r="707" customFormat="false" ht="15" hidden="false" customHeight="false" outlineLevel="0" collapsed="false">
      <c r="A707" s="16" t="str">
        <f aca="false">Purchase_Orders!A704</f>
        <v>PO10703</v>
      </c>
      <c r="B707" s="16" t="str">
        <f aca="false">Purchase_Orders!B704</f>
        <v>V1018</v>
      </c>
      <c r="C707" s="17" t="n">
        <f aca="false">Purchase_Orders!C704</f>
        <v>46064</v>
      </c>
      <c r="D707" s="18" t="n">
        <f aca="false">Purchase_Orders!D704</f>
        <v>2826.44</v>
      </c>
      <c r="E707" s="16" t="str">
        <f aca="false">Purchase_Orders!F704</f>
        <v>Brian Rodriguez</v>
      </c>
      <c r="F707" s="16" t="str">
        <f aca="false">Purchase_Orders!G704</f>
        <v>Shannon Walker</v>
      </c>
      <c r="G707" s="16" t="str">
        <f aca="false">IF(E707=F707,"VIOLATION - Same Person Requested &amp; Approved","OK")</f>
        <v>OK</v>
      </c>
    </row>
    <row r="708" customFormat="false" ht="15" hidden="false" customHeight="false" outlineLevel="0" collapsed="false">
      <c r="A708" s="16" t="str">
        <f aca="false">Purchase_Orders!A705</f>
        <v>PO10704</v>
      </c>
      <c r="B708" s="16" t="str">
        <f aca="false">Purchase_Orders!B705</f>
        <v>V1040</v>
      </c>
      <c r="C708" s="17" t="n">
        <f aca="false">Purchase_Orders!C705</f>
        <v>45917</v>
      </c>
      <c r="D708" s="18" t="n">
        <f aca="false">Purchase_Orders!D705</f>
        <v>9307.71</v>
      </c>
      <c r="E708" s="16" t="str">
        <f aca="false">Purchase_Orders!F705</f>
        <v>Matthew Mcmillan</v>
      </c>
      <c r="F708" s="16" t="str">
        <f aca="false">Purchase_Orders!G705</f>
        <v>Shannon Walker</v>
      </c>
      <c r="G708" s="16" t="str">
        <f aca="false">IF(E708=F708,"VIOLATION - Same Person Requested &amp; Approved","OK")</f>
        <v>OK</v>
      </c>
    </row>
    <row r="709" customFormat="false" ht="15" hidden="false" customHeight="false" outlineLevel="0" collapsed="false">
      <c r="A709" s="16" t="str">
        <f aca="false">Purchase_Orders!A706</f>
        <v>PO10705</v>
      </c>
      <c r="B709" s="16" t="str">
        <f aca="false">Purchase_Orders!B706</f>
        <v>V1038</v>
      </c>
      <c r="C709" s="17" t="n">
        <f aca="false">Purchase_Orders!C706</f>
        <v>46082</v>
      </c>
      <c r="D709" s="18" t="n">
        <f aca="false">Purchase_Orders!D706</f>
        <v>4662.39</v>
      </c>
      <c r="E709" s="16" t="str">
        <f aca="false">Purchase_Orders!F706</f>
        <v>Aimee Montoya</v>
      </c>
      <c r="F709" s="16" t="str">
        <f aca="false">Purchase_Orders!G706</f>
        <v>Shannon Walker</v>
      </c>
      <c r="G709" s="16" t="str">
        <f aca="false">IF(E709=F709,"VIOLATION - Same Person Requested &amp; Approved","OK")</f>
        <v>OK</v>
      </c>
    </row>
    <row r="710" customFormat="false" ht="15" hidden="false" customHeight="false" outlineLevel="0" collapsed="false">
      <c r="A710" s="16" t="str">
        <f aca="false">Purchase_Orders!A707</f>
        <v>PO10706</v>
      </c>
      <c r="B710" s="16" t="str">
        <f aca="false">Purchase_Orders!B707</f>
        <v>V1040</v>
      </c>
      <c r="C710" s="17" t="n">
        <f aca="false">Purchase_Orders!C707</f>
        <v>45937</v>
      </c>
      <c r="D710" s="18" t="n">
        <f aca="false">Purchase_Orders!D707</f>
        <v>369.39</v>
      </c>
      <c r="E710" s="16" t="str">
        <f aca="false">Purchase_Orders!F707</f>
        <v>Deborah Figueroa</v>
      </c>
      <c r="F710" s="16" t="str">
        <f aca="false">Purchase_Orders!G707</f>
        <v>Julia Torres</v>
      </c>
      <c r="G710" s="16" t="str">
        <f aca="false">IF(E710=F710,"VIOLATION - Same Person Requested &amp; Approved","OK")</f>
        <v>OK</v>
      </c>
    </row>
    <row r="711" customFormat="false" ht="15" hidden="false" customHeight="false" outlineLevel="0" collapsed="false">
      <c r="A711" s="16" t="str">
        <f aca="false">Purchase_Orders!A708</f>
        <v>PO10707</v>
      </c>
      <c r="B711" s="16" t="str">
        <f aca="false">Purchase_Orders!B708</f>
        <v>V1035</v>
      </c>
      <c r="C711" s="17" t="n">
        <f aca="false">Purchase_Orders!C708</f>
        <v>45717</v>
      </c>
      <c r="D711" s="18" t="n">
        <f aca="false">Purchase_Orders!D708</f>
        <v>21261.93</v>
      </c>
      <c r="E711" s="16" t="str">
        <f aca="false">Purchase_Orders!F708</f>
        <v>Christopher Bass</v>
      </c>
      <c r="F711" s="16" t="str">
        <f aca="false">Purchase_Orders!G708</f>
        <v>Sharon Cochran</v>
      </c>
      <c r="G711" s="16" t="str">
        <f aca="false">IF(E711=F711,"VIOLATION - Same Person Requested &amp; Approved","OK")</f>
        <v>OK</v>
      </c>
    </row>
    <row r="712" customFormat="false" ht="15" hidden="false" customHeight="false" outlineLevel="0" collapsed="false">
      <c r="A712" s="16" t="str">
        <f aca="false">Purchase_Orders!A709</f>
        <v>PO10708</v>
      </c>
      <c r="B712" s="16" t="str">
        <f aca="false">Purchase_Orders!B709</f>
        <v>V1027</v>
      </c>
      <c r="C712" s="17" t="n">
        <f aca="false">Purchase_Orders!C709</f>
        <v>45932</v>
      </c>
      <c r="D712" s="18" t="n">
        <f aca="false">Purchase_Orders!D709</f>
        <v>739.64</v>
      </c>
      <c r="E712" s="16" t="str">
        <f aca="false">Purchase_Orders!F709</f>
        <v>Jimmy Murillo</v>
      </c>
      <c r="F712" s="16" t="str">
        <f aca="false">Purchase_Orders!G709</f>
        <v>Julia Torres</v>
      </c>
      <c r="G712" s="16" t="str">
        <f aca="false">IF(E712=F712,"VIOLATION - Same Person Requested &amp; Approved","OK")</f>
        <v>OK</v>
      </c>
    </row>
    <row r="713" customFormat="false" ht="15" hidden="false" customHeight="false" outlineLevel="0" collapsed="false">
      <c r="A713" s="16" t="str">
        <f aca="false">Purchase_Orders!A710</f>
        <v>PO10709</v>
      </c>
      <c r="B713" s="16" t="str">
        <f aca="false">Purchase_Orders!B710</f>
        <v>V1020</v>
      </c>
      <c r="C713" s="17" t="n">
        <f aca="false">Purchase_Orders!C710</f>
        <v>46173</v>
      </c>
      <c r="D713" s="18" t="n">
        <f aca="false">Purchase_Orders!D710</f>
        <v>5478.42</v>
      </c>
      <c r="E713" s="16" t="str">
        <f aca="false">Purchase_Orders!F710</f>
        <v>Deborah Figueroa</v>
      </c>
      <c r="F713" s="16" t="str">
        <f aca="false">Purchase_Orders!G710</f>
        <v>Shannon Walker</v>
      </c>
      <c r="G713" s="16" t="str">
        <f aca="false">IF(E713=F713,"VIOLATION - Same Person Requested &amp; Approved","OK")</f>
        <v>OK</v>
      </c>
    </row>
    <row r="714" customFormat="false" ht="15" hidden="false" customHeight="false" outlineLevel="0" collapsed="false">
      <c r="A714" s="16" t="str">
        <f aca="false">Purchase_Orders!A711</f>
        <v>PO10710</v>
      </c>
      <c r="B714" s="16" t="str">
        <f aca="false">Purchase_Orders!B711</f>
        <v>V1030</v>
      </c>
      <c r="C714" s="17" t="n">
        <f aca="false">Purchase_Orders!C711</f>
        <v>45681</v>
      </c>
      <c r="D714" s="18" t="n">
        <f aca="false">Purchase_Orders!D711</f>
        <v>1081.06</v>
      </c>
      <c r="E714" s="16" t="str">
        <f aca="false">Purchase_Orders!F711</f>
        <v>Deborah Figueroa</v>
      </c>
      <c r="F714" s="16" t="str">
        <f aca="false">Purchase_Orders!G711</f>
        <v>Sierra Johnson</v>
      </c>
      <c r="G714" s="16" t="str">
        <f aca="false">IF(E714=F714,"VIOLATION - Same Person Requested &amp; Approved","OK")</f>
        <v>OK</v>
      </c>
    </row>
    <row r="715" customFormat="false" ht="15" hidden="false" customHeight="false" outlineLevel="0" collapsed="false">
      <c r="A715" s="16" t="str">
        <f aca="false">Purchase_Orders!A712</f>
        <v>PO10711</v>
      </c>
      <c r="B715" s="16" t="str">
        <f aca="false">Purchase_Orders!B712</f>
        <v>V1023</v>
      </c>
      <c r="C715" s="17" t="n">
        <f aca="false">Purchase_Orders!C712</f>
        <v>46084</v>
      </c>
      <c r="D715" s="18" t="n">
        <f aca="false">Purchase_Orders!D712</f>
        <v>199.69</v>
      </c>
      <c r="E715" s="16" t="str">
        <f aca="false">Purchase_Orders!F712</f>
        <v>Lisa Archer</v>
      </c>
      <c r="F715" s="16" t="str">
        <f aca="false">Purchase_Orders!G712</f>
        <v>Evelyn Galvan</v>
      </c>
      <c r="G715" s="16" t="str">
        <f aca="false">IF(E715=F715,"VIOLATION - Same Person Requested &amp; Approved","OK")</f>
        <v>OK</v>
      </c>
    </row>
    <row r="716" customFormat="false" ht="15" hidden="false" customHeight="false" outlineLevel="0" collapsed="false">
      <c r="A716" s="16" t="str">
        <f aca="false">Purchase_Orders!A713</f>
        <v>PO10712</v>
      </c>
      <c r="B716" s="16" t="str">
        <f aca="false">Purchase_Orders!B713</f>
        <v>V1039</v>
      </c>
      <c r="C716" s="17" t="n">
        <f aca="false">Purchase_Orders!C713</f>
        <v>46130</v>
      </c>
      <c r="D716" s="18" t="n">
        <f aca="false">Purchase_Orders!D713</f>
        <v>1143.13</v>
      </c>
      <c r="E716" s="16" t="str">
        <f aca="false">Purchase_Orders!F713</f>
        <v>James Powers</v>
      </c>
      <c r="F716" s="16" t="str">
        <f aca="false">Purchase_Orders!G713</f>
        <v>Julia Torres</v>
      </c>
      <c r="G716" s="16" t="str">
        <f aca="false">IF(E716=F716,"VIOLATION - Same Person Requested &amp; Approved","OK")</f>
        <v>OK</v>
      </c>
    </row>
    <row r="717" customFormat="false" ht="15" hidden="false" customHeight="false" outlineLevel="0" collapsed="false">
      <c r="A717" s="16" t="str">
        <f aca="false">Purchase_Orders!A714</f>
        <v>PO10713</v>
      </c>
      <c r="B717" s="16" t="str">
        <f aca="false">Purchase_Orders!B714</f>
        <v>V1033</v>
      </c>
      <c r="C717" s="17" t="n">
        <f aca="false">Purchase_Orders!C714</f>
        <v>45942</v>
      </c>
      <c r="D717" s="18" t="n">
        <f aca="false">Purchase_Orders!D714</f>
        <v>3047.46</v>
      </c>
      <c r="E717" s="16" t="str">
        <f aca="false">Purchase_Orders!F714</f>
        <v>James Powers</v>
      </c>
      <c r="F717" s="16" t="str">
        <f aca="false">Purchase_Orders!G714</f>
        <v>Evelyn Galvan</v>
      </c>
      <c r="G717" s="16" t="str">
        <f aca="false">IF(E717=F717,"VIOLATION - Same Person Requested &amp; Approved","OK")</f>
        <v>OK</v>
      </c>
    </row>
    <row r="718" customFormat="false" ht="15" hidden="false" customHeight="false" outlineLevel="0" collapsed="false">
      <c r="A718" s="16" t="str">
        <f aca="false">Purchase_Orders!A715</f>
        <v>PO10714</v>
      </c>
      <c r="B718" s="16" t="str">
        <f aca="false">Purchase_Orders!B715</f>
        <v>V1011</v>
      </c>
      <c r="C718" s="17" t="n">
        <f aca="false">Purchase_Orders!C715</f>
        <v>45907</v>
      </c>
      <c r="D718" s="18" t="n">
        <f aca="false">Purchase_Orders!D715</f>
        <v>1913.88</v>
      </c>
      <c r="E718" s="16" t="str">
        <f aca="false">Purchase_Orders!F715</f>
        <v>Denise Jacobs</v>
      </c>
      <c r="F718" s="16" t="str">
        <f aca="false">Purchase_Orders!G715</f>
        <v>Marc Moore</v>
      </c>
      <c r="G718" s="16" t="str">
        <f aca="false">IF(E718=F718,"VIOLATION - Same Person Requested &amp; Approved","OK")</f>
        <v>OK</v>
      </c>
    </row>
    <row r="719" customFormat="false" ht="15" hidden="false" customHeight="false" outlineLevel="0" collapsed="false">
      <c r="A719" s="16" t="str">
        <f aca="false">Purchase_Orders!A716</f>
        <v>PO10715</v>
      </c>
      <c r="B719" s="16" t="str">
        <f aca="false">Purchase_Orders!B716</f>
        <v>V1008</v>
      </c>
      <c r="C719" s="17" t="n">
        <f aca="false">Purchase_Orders!C716</f>
        <v>46183</v>
      </c>
      <c r="D719" s="18" t="n">
        <f aca="false">Purchase_Orders!D716</f>
        <v>866.83</v>
      </c>
      <c r="E719" s="16" t="str">
        <f aca="false">Purchase_Orders!F716</f>
        <v>Shirley Suarez</v>
      </c>
      <c r="F719" s="16" t="str">
        <f aca="false">Purchase_Orders!G716</f>
        <v>Evelyn Galvan</v>
      </c>
      <c r="G719" s="16" t="str">
        <f aca="false">IF(E719=F719,"VIOLATION - Same Person Requested &amp; Approved","OK")</f>
        <v>OK</v>
      </c>
    </row>
    <row r="720" customFormat="false" ht="15" hidden="false" customHeight="false" outlineLevel="0" collapsed="false">
      <c r="A720" s="16" t="str">
        <f aca="false">Purchase_Orders!A717</f>
        <v>PO10716</v>
      </c>
      <c r="B720" s="16" t="str">
        <f aca="false">Purchase_Orders!B717</f>
        <v>V1021</v>
      </c>
      <c r="C720" s="17" t="n">
        <f aca="false">Purchase_Orders!C717</f>
        <v>45691</v>
      </c>
      <c r="D720" s="18" t="n">
        <f aca="false">Purchase_Orders!D717</f>
        <v>9584.39</v>
      </c>
      <c r="E720" s="16" t="str">
        <f aca="false">Purchase_Orders!F717</f>
        <v>Matthew Mcmillan</v>
      </c>
      <c r="F720" s="16" t="str">
        <f aca="false">Purchase_Orders!G717</f>
        <v>Sharon Cochran</v>
      </c>
      <c r="G720" s="16" t="str">
        <f aca="false">IF(E720=F720,"VIOLATION - Same Person Requested &amp; Approved","OK")</f>
        <v>OK</v>
      </c>
    </row>
    <row r="721" customFormat="false" ht="15" hidden="false" customHeight="false" outlineLevel="0" collapsed="false">
      <c r="A721" s="16" t="str">
        <f aca="false">Purchase_Orders!A718</f>
        <v>PO10717</v>
      </c>
      <c r="B721" s="16" t="str">
        <f aca="false">Purchase_Orders!B718</f>
        <v>V1007</v>
      </c>
      <c r="C721" s="17" t="n">
        <f aca="false">Purchase_Orders!C718</f>
        <v>45919</v>
      </c>
      <c r="D721" s="18" t="n">
        <f aca="false">Purchase_Orders!D718</f>
        <v>1413.3</v>
      </c>
      <c r="E721" s="16" t="str">
        <f aca="false">Purchase_Orders!F718</f>
        <v>Kevin Mills</v>
      </c>
      <c r="F721" s="16" t="str">
        <f aca="false">Purchase_Orders!G718</f>
        <v>Evelyn Galvan</v>
      </c>
      <c r="G721" s="16" t="str">
        <f aca="false">IF(E721=F721,"VIOLATION - Same Person Requested &amp; Approved","OK")</f>
        <v>OK</v>
      </c>
    </row>
    <row r="722" customFormat="false" ht="15" hidden="false" customHeight="false" outlineLevel="0" collapsed="false">
      <c r="A722" s="16" t="str">
        <f aca="false">Purchase_Orders!A719</f>
        <v>PO10718</v>
      </c>
      <c r="B722" s="16" t="str">
        <f aca="false">Purchase_Orders!B719</f>
        <v>V1035</v>
      </c>
      <c r="C722" s="17" t="n">
        <f aca="false">Purchase_Orders!C719</f>
        <v>45876</v>
      </c>
      <c r="D722" s="18" t="n">
        <f aca="false">Purchase_Orders!D719</f>
        <v>9255.12</v>
      </c>
      <c r="E722" s="16" t="str">
        <f aca="false">Purchase_Orders!F719</f>
        <v>Christine Wright</v>
      </c>
      <c r="F722" s="16" t="str">
        <f aca="false">Purchase_Orders!G719</f>
        <v>Sharon Cherry</v>
      </c>
      <c r="G722" s="16" t="str">
        <f aca="false">IF(E722=F722,"VIOLATION - Same Person Requested &amp; Approved","OK")</f>
        <v>OK</v>
      </c>
    </row>
    <row r="723" customFormat="false" ht="15" hidden="false" customHeight="false" outlineLevel="0" collapsed="false">
      <c r="A723" s="16" t="str">
        <f aca="false">Purchase_Orders!A720</f>
        <v>PO10719</v>
      </c>
      <c r="B723" s="16" t="str">
        <f aca="false">Purchase_Orders!B720</f>
        <v>V1030</v>
      </c>
      <c r="C723" s="17" t="n">
        <f aca="false">Purchase_Orders!C720</f>
        <v>46031</v>
      </c>
      <c r="D723" s="18" t="n">
        <f aca="false">Purchase_Orders!D720</f>
        <v>363.94</v>
      </c>
      <c r="E723" s="16" t="str">
        <f aca="false">Purchase_Orders!F720</f>
        <v>Richard Henson</v>
      </c>
      <c r="F723" s="16" t="str">
        <f aca="false">Purchase_Orders!G720</f>
        <v>Julia Torres</v>
      </c>
      <c r="G723" s="16" t="str">
        <f aca="false">IF(E723=F723,"VIOLATION - Same Person Requested &amp; Approved","OK")</f>
        <v>OK</v>
      </c>
    </row>
    <row r="724" customFormat="false" ht="15" hidden="false" customHeight="false" outlineLevel="0" collapsed="false">
      <c r="A724" s="16" t="str">
        <f aca="false">Purchase_Orders!A721</f>
        <v>PO10720</v>
      </c>
      <c r="B724" s="16" t="str">
        <f aca="false">Purchase_Orders!B721</f>
        <v>V1009</v>
      </c>
      <c r="C724" s="17" t="n">
        <f aca="false">Purchase_Orders!C721</f>
        <v>45925</v>
      </c>
      <c r="D724" s="18" t="n">
        <f aca="false">Purchase_Orders!D721</f>
        <v>12071.44</v>
      </c>
      <c r="E724" s="16" t="str">
        <f aca="false">Purchase_Orders!F721</f>
        <v>Rebecca Valencia</v>
      </c>
      <c r="F724" s="16" t="str">
        <f aca="false">Purchase_Orders!G721</f>
        <v>Evelyn Galvan</v>
      </c>
      <c r="G724" s="16" t="str">
        <f aca="false">IF(E724=F724,"VIOLATION - Same Person Requested &amp; Approved","OK")</f>
        <v>OK</v>
      </c>
    </row>
    <row r="725" customFormat="false" ht="15" hidden="false" customHeight="false" outlineLevel="0" collapsed="false">
      <c r="A725" s="16" t="str">
        <f aca="false">Purchase_Orders!A722</f>
        <v>PO10721</v>
      </c>
      <c r="B725" s="16" t="str">
        <f aca="false">Purchase_Orders!B722</f>
        <v>V1006</v>
      </c>
      <c r="C725" s="17" t="n">
        <f aca="false">Purchase_Orders!C722</f>
        <v>46153</v>
      </c>
      <c r="D725" s="18" t="n">
        <f aca="false">Purchase_Orders!D722</f>
        <v>296.66</v>
      </c>
      <c r="E725" s="16" t="str">
        <f aca="false">Purchase_Orders!F722</f>
        <v>Christopher Bass</v>
      </c>
      <c r="F725" s="16" t="str">
        <f aca="false">Purchase_Orders!G722</f>
        <v>Richard Rodriguez</v>
      </c>
      <c r="G725" s="16" t="str">
        <f aca="false">IF(E725=F725,"VIOLATION - Same Person Requested &amp; Approved","OK")</f>
        <v>OK</v>
      </c>
    </row>
    <row r="726" customFormat="false" ht="15" hidden="false" customHeight="false" outlineLevel="0" collapsed="false">
      <c r="A726" s="16" t="str">
        <f aca="false">Purchase_Orders!A723</f>
        <v>PO10722</v>
      </c>
      <c r="B726" s="16" t="str">
        <f aca="false">Purchase_Orders!B723</f>
        <v>V1039</v>
      </c>
      <c r="C726" s="17" t="n">
        <f aca="false">Purchase_Orders!C723</f>
        <v>45698</v>
      </c>
      <c r="D726" s="18" t="n">
        <f aca="false">Purchase_Orders!D723</f>
        <v>146.21</v>
      </c>
      <c r="E726" s="16" t="str">
        <f aca="false">Purchase_Orders!F723</f>
        <v>Denise Jacobs</v>
      </c>
      <c r="F726" s="16" t="str">
        <f aca="false">Purchase_Orders!G723</f>
        <v>Julia Torres</v>
      </c>
      <c r="G726" s="16" t="str">
        <f aca="false">IF(E726=F726,"VIOLATION - Same Person Requested &amp; Approved","OK")</f>
        <v>OK</v>
      </c>
    </row>
    <row r="727" customFormat="false" ht="15" hidden="false" customHeight="false" outlineLevel="0" collapsed="false">
      <c r="A727" s="16" t="str">
        <f aca="false">Purchase_Orders!A724</f>
        <v>PO10723</v>
      </c>
      <c r="B727" s="16" t="str">
        <f aca="false">Purchase_Orders!B724</f>
        <v>V1015</v>
      </c>
      <c r="C727" s="17" t="n">
        <f aca="false">Purchase_Orders!C724</f>
        <v>45702</v>
      </c>
      <c r="D727" s="18" t="n">
        <f aca="false">Purchase_Orders!D724</f>
        <v>2671.57</v>
      </c>
      <c r="E727" s="16" t="str">
        <f aca="false">Purchase_Orders!F724</f>
        <v>Brian Rodriguez</v>
      </c>
      <c r="F727" s="16" t="str">
        <f aca="false">Purchase_Orders!G724</f>
        <v>Sharon Cochran</v>
      </c>
      <c r="G727" s="16" t="str">
        <f aca="false">IF(E727=F727,"VIOLATION - Same Person Requested &amp; Approved","OK")</f>
        <v>OK</v>
      </c>
    </row>
    <row r="728" customFormat="false" ht="15" hidden="false" customHeight="false" outlineLevel="0" collapsed="false">
      <c r="A728" s="16" t="str">
        <f aca="false">Purchase_Orders!A725</f>
        <v>PO10724</v>
      </c>
      <c r="B728" s="16" t="str">
        <f aca="false">Purchase_Orders!B725</f>
        <v>V1021</v>
      </c>
      <c r="C728" s="17" t="n">
        <f aca="false">Purchase_Orders!C725</f>
        <v>45989</v>
      </c>
      <c r="D728" s="18" t="n">
        <f aca="false">Purchase_Orders!D725</f>
        <v>1652.24</v>
      </c>
      <c r="E728" s="16" t="str">
        <f aca="false">Purchase_Orders!F725</f>
        <v>Aaron Wise</v>
      </c>
      <c r="F728" s="16" t="str">
        <f aca="false">Purchase_Orders!G725</f>
        <v>Julia Torres</v>
      </c>
      <c r="G728" s="16" t="str">
        <f aca="false">IF(E728=F728,"VIOLATION - Same Person Requested &amp; Approved","OK")</f>
        <v>OK</v>
      </c>
    </row>
    <row r="729" customFormat="false" ht="15" hidden="false" customHeight="false" outlineLevel="0" collapsed="false">
      <c r="A729" s="16" t="str">
        <f aca="false">Purchase_Orders!A726</f>
        <v>PO10725</v>
      </c>
      <c r="B729" s="16" t="str">
        <f aca="false">Purchase_Orders!B726</f>
        <v>V1006</v>
      </c>
      <c r="C729" s="17" t="n">
        <f aca="false">Purchase_Orders!C726</f>
        <v>45693</v>
      </c>
      <c r="D729" s="18" t="n">
        <f aca="false">Purchase_Orders!D726</f>
        <v>2766.5</v>
      </c>
      <c r="E729" s="16" t="str">
        <f aca="false">Purchase_Orders!F726</f>
        <v>Christine Wright</v>
      </c>
      <c r="F729" s="16" t="str">
        <f aca="false">Purchase_Orders!G726</f>
        <v>Julia Torres</v>
      </c>
      <c r="G729" s="16" t="str">
        <f aca="false">IF(E729=F729,"VIOLATION - Same Person Requested &amp; Approved","OK")</f>
        <v>OK</v>
      </c>
    </row>
    <row r="730" customFormat="false" ht="15" hidden="false" customHeight="false" outlineLevel="0" collapsed="false">
      <c r="A730" s="16" t="str">
        <f aca="false">Purchase_Orders!A727</f>
        <v>PO10726</v>
      </c>
      <c r="B730" s="16" t="str">
        <f aca="false">Purchase_Orders!B727</f>
        <v>V1029</v>
      </c>
      <c r="C730" s="17" t="n">
        <f aca="false">Purchase_Orders!C727</f>
        <v>45807</v>
      </c>
      <c r="D730" s="18" t="n">
        <f aca="false">Purchase_Orders!D727</f>
        <v>5537.55</v>
      </c>
      <c r="E730" s="16" t="str">
        <f aca="false">Purchase_Orders!F727</f>
        <v>Matthew Mcmillan</v>
      </c>
      <c r="F730" s="16" t="str">
        <f aca="false">Purchase_Orders!G727</f>
        <v>Evelyn Galvan</v>
      </c>
      <c r="G730" s="16" t="str">
        <f aca="false">IF(E730=F730,"VIOLATION - Same Person Requested &amp; Approved","OK")</f>
        <v>OK</v>
      </c>
    </row>
    <row r="731" customFormat="false" ht="15" hidden="false" customHeight="false" outlineLevel="0" collapsed="false">
      <c r="A731" s="16" t="str">
        <f aca="false">Purchase_Orders!A728</f>
        <v>PO10727</v>
      </c>
      <c r="B731" s="16" t="str">
        <f aca="false">Purchase_Orders!B728</f>
        <v>V1031</v>
      </c>
      <c r="C731" s="17" t="n">
        <f aca="false">Purchase_Orders!C728</f>
        <v>46003</v>
      </c>
      <c r="D731" s="18" t="n">
        <f aca="false">Purchase_Orders!D728</f>
        <v>4823.29</v>
      </c>
      <c r="E731" s="16" t="str">
        <f aca="false">Purchase_Orders!F728</f>
        <v>Christina Walters</v>
      </c>
      <c r="F731" s="16" t="str">
        <f aca="false">Purchase_Orders!G728</f>
        <v>Marc Moore</v>
      </c>
      <c r="G731" s="16" t="str">
        <f aca="false">IF(E731=F731,"VIOLATION - Same Person Requested &amp; Approved","OK")</f>
        <v>OK</v>
      </c>
    </row>
    <row r="732" customFormat="false" ht="15" hidden="false" customHeight="false" outlineLevel="0" collapsed="false">
      <c r="A732" s="16" t="str">
        <f aca="false">Purchase_Orders!A729</f>
        <v>PO10728</v>
      </c>
      <c r="B732" s="16" t="str">
        <f aca="false">Purchase_Orders!B729</f>
        <v>V1013</v>
      </c>
      <c r="C732" s="17" t="n">
        <f aca="false">Purchase_Orders!C729</f>
        <v>45956</v>
      </c>
      <c r="D732" s="18" t="n">
        <f aca="false">Purchase_Orders!D729</f>
        <v>2004.87</v>
      </c>
      <c r="E732" s="16" t="str">
        <f aca="false">Purchase_Orders!F729</f>
        <v>Christopher Bass</v>
      </c>
      <c r="F732" s="16" t="str">
        <f aca="false">Purchase_Orders!G729</f>
        <v>Christopher Bass</v>
      </c>
      <c r="G732" s="16" t="str">
        <f aca="false">IF(E732=F732,"VIOLATION - Same Person Requested &amp; Approved","OK")</f>
        <v>VIOLATION - Same Person Requested &amp; Approved</v>
      </c>
    </row>
    <row r="733" customFormat="false" ht="15" hidden="false" customHeight="false" outlineLevel="0" collapsed="false">
      <c r="A733" s="16" t="str">
        <f aca="false">Purchase_Orders!A730</f>
        <v>PO10729</v>
      </c>
      <c r="B733" s="16" t="str">
        <f aca="false">Purchase_Orders!B730</f>
        <v>V1023</v>
      </c>
      <c r="C733" s="17" t="n">
        <f aca="false">Purchase_Orders!C730</f>
        <v>45835</v>
      </c>
      <c r="D733" s="18" t="n">
        <f aca="false">Purchase_Orders!D730</f>
        <v>368.64</v>
      </c>
      <c r="E733" s="16" t="str">
        <f aca="false">Purchase_Orders!F730</f>
        <v>Deborah Figueroa</v>
      </c>
      <c r="F733" s="16" t="str">
        <f aca="false">Purchase_Orders!G730</f>
        <v>Shannon Walker</v>
      </c>
      <c r="G733" s="16" t="str">
        <f aca="false">IF(E733=F733,"VIOLATION - Same Person Requested &amp; Approved","OK")</f>
        <v>OK</v>
      </c>
    </row>
    <row r="734" customFormat="false" ht="15" hidden="false" customHeight="false" outlineLevel="0" collapsed="false">
      <c r="A734" s="16" t="str">
        <f aca="false">Purchase_Orders!A731</f>
        <v>PO10730</v>
      </c>
      <c r="B734" s="16" t="str">
        <f aca="false">Purchase_Orders!B731</f>
        <v>V1033</v>
      </c>
      <c r="C734" s="17" t="n">
        <f aca="false">Purchase_Orders!C731</f>
        <v>46200</v>
      </c>
      <c r="D734" s="18" t="n">
        <f aca="false">Purchase_Orders!D731</f>
        <v>687.31</v>
      </c>
      <c r="E734" s="16" t="str">
        <f aca="false">Purchase_Orders!F731</f>
        <v>Shirley Suarez</v>
      </c>
      <c r="F734" s="16" t="str">
        <f aca="false">Purchase_Orders!G731</f>
        <v>Richard Rodriguez</v>
      </c>
      <c r="G734" s="16" t="str">
        <f aca="false">IF(E734=F734,"VIOLATION - Same Person Requested &amp; Approved","OK")</f>
        <v>OK</v>
      </c>
    </row>
    <row r="735" customFormat="false" ht="15" hidden="false" customHeight="false" outlineLevel="0" collapsed="false">
      <c r="A735" s="16" t="str">
        <f aca="false">Purchase_Orders!A732</f>
        <v>PO10731</v>
      </c>
      <c r="B735" s="16" t="str">
        <f aca="false">Purchase_Orders!B732</f>
        <v>V1011</v>
      </c>
      <c r="C735" s="17" t="n">
        <f aca="false">Purchase_Orders!C732</f>
        <v>45947</v>
      </c>
      <c r="D735" s="18" t="n">
        <f aca="false">Purchase_Orders!D732</f>
        <v>18808.64</v>
      </c>
      <c r="E735" s="16" t="str">
        <f aca="false">Purchase_Orders!F732</f>
        <v>Jessica Smith</v>
      </c>
      <c r="F735" s="16" t="str">
        <f aca="false">Purchase_Orders!G732</f>
        <v>Evelyn Galvan</v>
      </c>
      <c r="G735" s="16" t="str">
        <f aca="false">IF(E735=F735,"VIOLATION - Same Person Requested &amp; Approved","OK")</f>
        <v>OK</v>
      </c>
    </row>
    <row r="736" customFormat="false" ht="15" hidden="false" customHeight="false" outlineLevel="0" collapsed="false">
      <c r="A736" s="16" t="str">
        <f aca="false">Purchase_Orders!A733</f>
        <v>PO10732</v>
      </c>
      <c r="B736" s="16" t="str">
        <f aca="false">Purchase_Orders!B733</f>
        <v>V1003</v>
      </c>
      <c r="C736" s="17" t="n">
        <f aca="false">Purchase_Orders!C733</f>
        <v>45905</v>
      </c>
      <c r="D736" s="18" t="n">
        <f aca="false">Purchase_Orders!D733</f>
        <v>2123.75</v>
      </c>
      <c r="E736" s="16" t="str">
        <f aca="false">Purchase_Orders!F733</f>
        <v>Sandra Aguilar</v>
      </c>
      <c r="F736" s="16" t="str">
        <f aca="false">Purchase_Orders!G733</f>
        <v>Richard Rodriguez</v>
      </c>
      <c r="G736" s="16" t="str">
        <f aca="false">IF(E736=F736,"VIOLATION - Same Person Requested &amp; Approved","OK")</f>
        <v>OK</v>
      </c>
    </row>
    <row r="737" customFormat="false" ht="15" hidden="false" customHeight="false" outlineLevel="0" collapsed="false">
      <c r="A737" s="16" t="str">
        <f aca="false">Purchase_Orders!A734</f>
        <v>PO10733</v>
      </c>
      <c r="B737" s="16" t="str">
        <f aca="false">Purchase_Orders!B734</f>
        <v>V1010</v>
      </c>
      <c r="C737" s="17" t="n">
        <f aca="false">Purchase_Orders!C734</f>
        <v>45987</v>
      </c>
      <c r="D737" s="18" t="n">
        <f aca="false">Purchase_Orders!D734</f>
        <v>2641.8</v>
      </c>
      <c r="E737" s="16" t="str">
        <f aca="false">Purchase_Orders!F734</f>
        <v>Anna Henderson</v>
      </c>
      <c r="F737" s="16" t="str">
        <f aca="false">Purchase_Orders!G734</f>
        <v>Julia Torres</v>
      </c>
      <c r="G737" s="16" t="str">
        <f aca="false">IF(E737=F737,"VIOLATION - Same Person Requested &amp; Approved","OK")</f>
        <v>OK</v>
      </c>
    </row>
    <row r="738" customFormat="false" ht="15" hidden="false" customHeight="false" outlineLevel="0" collapsed="false">
      <c r="A738" s="16" t="str">
        <f aca="false">Purchase_Orders!A735</f>
        <v>PO10734</v>
      </c>
      <c r="B738" s="16" t="str">
        <f aca="false">Purchase_Orders!B735</f>
        <v>V1015</v>
      </c>
      <c r="C738" s="17" t="n">
        <f aca="false">Purchase_Orders!C735</f>
        <v>45712</v>
      </c>
      <c r="D738" s="18" t="n">
        <f aca="false">Purchase_Orders!D735</f>
        <v>2661.22</v>
      </c>
      <c r="E738" s="16" t="str">
        <f aca="false">Purchase_Orders!F735</f>
        <v>Christine Wright</v>
      </c>
      <c r="F738" s="16" t="str">
        <f aca="false">Purchase_Orders!G735</f>
        <v>Richard Rodriguez</v>
      </c>
      <c r="G738" s="16" t="str">
        <f aca="false">IF(E738=F738,"VIOLATION - Same Person Requested &amp; Approved","OK")</f>
        <v>OK</v>
      </c>
    </row>
    <row r="739" customFormat="false" ht="15" hidden="false" customHeight="false" outlineLevel="0" collapsed="false">
      <c r="A739" s="16" t="str">
        <f aca="false">Purchase_Orders!A736</f>
        <v>PO10735</v>
      </c>
      <c r="B739" s="16" t="str">
        <f aca="false">Purchase_Orders!B736</f>
        <v>V1022</v>
      </c>
      <c r="C739" s="17" t="n">
        <f aca="false">Purchase_Orders!C736</f>
        <v>46040</v>
      </c>
      <c r="D739" s="18" t="n">
        <f aca="false">Purchase_Orders!D736</f>
        <v>2608</v>
      </c>
      <c r="E739" s="16" t="str">
        <f aca="false">Purchase_Orders!F736</f>
        <v>Christine Wright</v>
      </c>
      <c r="F739" s="16" t="str">
        <f aca="false">Purchase_Orders!G736</f>
        <v>Julia Torres</v>
      </c>
      <c r="G739" s="16" t="str">
        <f aca="false">IF(E739=F739,"VIOLATION - Same Person Requested &amp; Approved","OK")</f>
        <v>OK</v>
      </c>
    </row>
    <row r="740" customFormat="false" ht="15" hidden="false" customHeight="false" outlineLevel="0" collapsed="false">
      <c r="A740" s="16" t="str">
        <f aca="false">Purchase_Orders!A737</f>
        <v>PO10736</v>
      </c>
      <c r="B740" s="16" t="str">
        <f aca="false">Purchase_Orders!B737</f>
        <v>V1033</v>
      </c>
      <c r="C740" s="17" t="n">
        <f aca="false">Purchase_Orders!C737</f>
        <v>46122</v>
      </c>
      <c r="D740" s="18" t="n">
        <f aca="false">Purchase_Orders!D737</f>
        <v>19774.14</v>
      </c>
      <c r="E740" s="16" t="str">
        <f aca="false">Purchase_Orders!F737</f>
        <v>Deborah Figueroa</v>
      </c>
      <c r="F740" s="16" t="str">
        <f aca="false">Purchase_Orders!G737</f>
        <v>Marc Moore</v>
      </c>
      <c r="G740" s="16" t="str">
        <f aca="false">IF(E740=F740,"VIOLATION - Same Person Requested &amp; Approved","OK")</f>
        <v>OK</v>
      </c>
    </row>
    <row r="741" customFormat="false" ht="15" hidden="false" customHeight="false" outlineLevel="0" collapsed="false">
      <c r="A741" s="16" t="str">
        <f aca="false">Purchase_Orders!A738</f>
        <v>PO10737</v>
      </c>
      <c r="B741" s="16" t="str">
        <f aca="false">Purchase_Orders!B738</f>
        <v>V1018</v>
      </c>
      <c r="C741" s="17" t="n">
        <f aca="false">Purchase_Orders!C738</f>
        <v>46012</v>
      </c>
      <c r="D741" s="18" t="n">
        <f aca="false">Purchase_Orders!D738</f>
        <v>393.39</v>
      </c>
      <c r="E741" s="16" t="str">
        <f aca="false">Purchase_Orders!F738</f>
        <v>James Powers</v>
      </c>
      <c r="F741" s="16" t="str">
        <f aca="false">Purchase_Orders!G738</f>
        <v>Marc Moore</v>
      </c>
      <c r="G741" s="16" t="str">
        <f aca="false">IF(E741=F741,"VIOLATION - Same Person Requested &amp; Approved","OK")</f>
        <v>OK</v>
      </c>
    </row>
    <row r="742" customFormat="false" ht="15" hidden="false" customHeight="false" outlineLevel="0" collapsed="false">
      <c r="A742" s="16" t="str">
        <f aca="false">Purchase_Orders!A739</f>
        <v>PO10738</v>
      </c>
      <c r="B742" s="16" t="str">
        <f aca="false">Purchase_Orders!B739</f>
        <v>V1014</v>
      </c>
      <c r="C742" s="17" t="n">
        <f aca="false">Purchase_Orders!C739</f>
        <v>46077</v>
      </c>
      <c r="D742" s="18" t="n">
        <f aca="false">Purchase_Orders!D739</f>
        <v>473.84</v>
      </c>
      <c r="E742" s="16" t="str">
        <f aca="false">Purchase_Orders!F739</f>
        <v>Christina Walters</v>
      </c>
      <c r="F742" s="16" t="str">
        <f aca="false">Purchase_Orders!G739</f>
        <v>Sierra Johnson</v>
      </c>
      <c r="G742" s="16" t="str">
        <f aca="false">IF(E742=F742,"VIOLATION - Same Person Requested &amp; Approved","OK")</f>
        <v>OK</v>
      </c>
    </row>
    <row r="743" customFormat="false" ht="15" hidden="false" customHeight="false" outlineLevel="0" collapsed="false">
      <c r="A743" s="16" t="str">
        <f aca="false">Purchase_Orders!A740</f>
        <v>PO10739</v>
      </c>
      <c r="B743" s="16" t="str">
        <f aca="false">Purchase_Orders!B740</f>
        <v>V1026</v>
      </c>
      <c r="C743" s="17" t="n">
        <f aca="false">Purchase_Orders!C740</f>
        <v>46050</v>
      </c>
      <c r="D743" s="18" t="n">
        <f aca="false">Purchase_Orders!D740</f>
        <v>19934.95</v>
      </c>
      <c r="E743" s="16" t="str">
        <f aca="false">Purchase_Orders!F740</f>
        <v>Christopher Bass</v>
      </c>
      <c r="F743" s="16" t="str">
        <f aca="false">Purchase_Orders!G740</f>
        <v>Sharon Cherry</v>
      </c>
      <c r="G743" s="16" t="str">
        <f aca="false">IF(E743=F743,"VIOLATION - Same Person Requested &amp; Approved","OK")</f>
        <v>OK</v>
      </c>
    </row>
    <row r="744" customFormat="false" ht="15" hidden="false" customHeight="false" outlineLevel="0" collapsed="false">
      <c r="A744" s="16" t="str">
        <f aca="false">Purchase_Orders!A741</f>
        <v>PO10740</v>
      </c>
      <c r="B744" s="16" t="str">
        <f aca="false">Purchase_Orders!B741</f>
        <v>V1008</v>
      </c>
      <c r="C744" s="17" t="n">
        <f aca="false">Purchase_Orders!C741</f>
        <v>45775</v>
      </c>
      <c r="D744" s="18" t="n">
        <f aca="false">Purchase_Orders!D741</f>
        <v>812.03</v>
      </c>
      <c r="E744" s="16" t="str">
        <f aca="false">Purchase_Orders!F741</f>
        <v>Kevin Mills</v>
      </c>
      <c r="F744" s="16" t="str">
        <f aca="false">Purchase_Orders!G741</f>
        <v>Evelyn Galvan</v>
      </c>
      <c r="G744" s="16" t="str">
        <f aca="false">IF(E744=F744,"VIOLATION - Same Person Requested &amp; Approved","OK")</f>
        <v>OK</v>
      </c>
    </row>
    <row r="745" customFormat="false" ht="15" hidden="false" customHeight="false" outlineLevel="0" collapsed="false">
      <c r="A745" s="16" t="str">
        <f aca="false">Purchase_Orders!A742</f>
        <v>PO10741</v>
      </c>
      <c r="B745" s="16" t="str">
        <f aca="false">Purchase_Orders!B742</f>
        <v>V1025</v>
      </c>
      <c r="C745" s="17" t="n">
        <f aca="false">Purchase_Orders!C742</f>
        <v>45904</v>
      </c>
      <c r="D745" s="18" t="n">
        <f aca="false">Purchase_Orders!D742</f>
        <v>26179.49</v>
      </c>
      <c r="E745" s="16" t="str">
        <f aca="false">Purchase_Orders!F742</f>
        <v>Brian Rodriguez</v>
      </c>
      <c r="F745" s="16" t="str">
        <f aca="false">Purchase_Orders!G742</f>
        <v>Marc Moore</v>
      </c>
      <c r="G745" s="16" t="str">
        <f aca="false">IF(E745=F745,"VIOLATION - Same Person Requested &amp; Approved","OK")</f>
        <v>OK</v>
      </c>
    </row>
    <row r="746" customFormat="false" ht="15" hidden="false" customHeight="false" outlineLevel="0" collapsed="false">
      <c r="A746" s="16" t="str">
        <f aca="false">Purchase_Orders!A743</f>
        <v>PO10742</v>
      </c>
      <c r="B746" s="16" t="str">
        <f aca="false">Purchase_Orders!B743</f>
        <v>V1007</v>
      </c>
      <c r="C746" s="17" t="n">
        <f aca="false">Purchase_Orders!C743</f>
        <v>45782</v>
      </c>
      <c r="D746" s="18" t="n">
        <f aca="false">Purchase_Orders!D743</f>
        <v>8117.27</v>
      </c>
      <c r="E746" s="16" t="str">
        <f aca="false">Purchase_Orders!F743</f>
        <v>Cameron Parker</v>
      </c>
      <c r="F746" s="16" t="str">
        <f aca="false">Purchase_Orders!G743</f>
        <v>Julia Torres</v>
      </c>
      <c r="G746" s="16" t="str">
        <f aca="false">IF(E746=F746,"VIOLATION - Same Person Requested &amp; Approved","OK")</f>
        <v>OK</v>
      </c>
    </row>
    <row r="747" customFormat="false" ht="15" hidden="false" customHeight="false" outlineLevel="0" collapsed="false">
      <c r="A747" s="16" t="str">
        <f aca="false">Purchase_Orders!A744</f>
        <v>PO10743</v>
      </c>
      <c r="B747" s="16" t="str">
        <f aca="false">Purchase_Orders!B744</f>
        <v>V1038</v>
      </c>
      <c r="C747" s="17" t="n">
        <f aca="false">Purchase_Orders!C744</f>
        <v>45842</v>
      </c>
      <c r="D747" s="18" t="n">
        <f aca="false">Purchase_Orders!D744</f>
        <v>9161.11</v>
      </c>
      <c r="E747" s="16" t="str">
        <f aca="false">Purchase_Orders!F744</f>
        <v>Kevin Mills</v>
      </c>
      <c r="F747" s="16" t="str">
        <f aca="false">Purchase_Orders!G744</f>
        <v>Marc Moore</v>
      </c>
      <c r="G747" s="16" t="str">
        <f aca="false">IF(E747=F747,"VIOLATION - Same Person Requested &amp; Approved","OK")</f>
        <v>OK</v>
      </c>
    </row>
    <row r="748" customFormat="false" ht="15" hidden="false" customHeight="false" outlineLevel="0" collapsed="false">
      <c r="A748" s="16" t="str">
        <f aca="false">Purchase_Orders!A745</f>
        <v>PO10744</v>
      </c>
      <c r="B748" s="16" t="str">
        <f aca="false">Purchase_Orders!B745</f>
        <v>V1022</v>
      </c>
      <c r="C748" s="17" t="n">
        <f aca="false">Purchase_Orders!C745</f>
        <v>45905</v>
      </c>
      <c r="D748" s="18" t="n">
        <f aca="false">Purchase_Orders!D745</f>
        <v>1056.4</v>
      </c>
      <c r="E748" s="16" t="str">
        <f aca="false">Purchase_Orders!F745</f>
        <v>Christina Walters</v>
      </c>
      <c r="F748" s="16" t="str">
        <f aca="false">Purchase_Orders!G745</f>
        <v>Christina Walters</v>
      </c>
      <c r="G748" s="16" t="str">
        <f aca="false">IF(E748=F748,"VIOLATION - Same Person Requested &amp; Approved","OK")</f>
        <v>VIOLATION - Same Person Requested &amp; Approved</v>
      </c>
    </row>
    <row r="749" customFormat="false" ht="15" hidden="false" customHeight="false" outlineLevel="0" collapsed="false">
      <c r="A749" s="16" t="str">
        <f aca="false">Purchase_Orders!A746</f>
        <v>PO10745</v>
      </c>
      <c r="B749" s="16" t="str">
        <f aca="false">Purchase_Orders!B746</f>
        <v>V1015</v>
      </c>
      <c r="C749" s="17" t="n">
        <f aca="false">Purchase_Orders!C746</f>
        <v>45884</v>
      </c>
      <c r="D749" s="18" t="n">
        <f aca="false">Purchase_Orders!D746</f>
        <v>3577.81</v>
      </c>
      <c r="E749" s="16" t="str">
        <f aca="false">Purchase_Orders!F746</f>
        <v>Christine Wright</v>
      </c>
      <c r="F749" s="16" t="str">
        <f aca="false">Purchase_Orders!G746</f>
        <v>Sharon Cochran</v>
      </c>
      <c r="G749" s="16" t="str">
        <f aca="false">IF(E749=F749,"VIOLATION - Same Person Requested &amp; Approved","OK")</f>
        <v>OK</v>
      </c>
    </row>
    <row r="750" customFormat="false" ht="15" hidden="false" customHeight="false" outlineLevel="0" collapsed="false">
      <c r="A750" s="16" t="str">
        <f aca="false">Purchase_Orders!A747</f>
        <v>PO10746</v>
      </c>
      <c r="B750" s="16" t="str">
        <f aca="false">Purchase_Orders!B747</f>
        <v>V1006</v>
      </c>
      <c r="C750" s="17" t="n">
        <f aca="false">Purchase_Orders!C747</f>
        <v>45709</v>
      </c>
      <c r="D750" s="18" t="n">
        <f aca="false">Purchase_Orders!D747</f>
        <v>1478.7</v>
      </c>
      <c r="E750" s="16" t="str">
        <f aca="false">Purchase_Orders!F747</f>
        <v>Aimee Montoya</v>
      </c>
      <c r="F750" s="16" t="str">
        <f aca="false">Purchase_Orders!G747</f>
        <v>Marc Moore</v>
      </c>
      <c r="G750" s="16" t="str">
        <f aca="false">IF(E750=F750,"VIOLATION - Same Person Requested &amp; Approved","OK")</f>
        <v>OK</v>
      </c>
    </row>
    <row r="751" customFormat="false" ht="15" hidden="false" customHeight="false" outlineLevel="0" collapsed="false">
      <c r="A751" s="16" t="str">
        <f aca="false">Purchase_Orders!A748</f>
        <v>PO10747</v>
      </c>
      <c r="B751" s="16" t="str">
        <f aca="false">Purchase_Orders!B748</f>
        <v>V1026</v>
      </c>
      <c r="C751" s="17" t="n">
        <f aca="false">Purchase_Orders!C748</f>
        <v>45890</v>
      </c>
      <c r="D751" s="18" t="n">
        <f aca="false">Purchase_Orders!D748</f>
        <v>5071.62</v>
      </c>
      <c r="E751" s="16" t="str">
        <f aca="false">Purchase_Orders!F748</f>
        <v>Rebecca Valencia</v>
      </c>
      <c r="F751" s="16" t="str">
        <f aca="false">Purchase_Orders!G748</f>
        <v>Shannon Walker</v>
      </c>
      <c r="G751" s="16" t="str">
        <f aca="false">IF(E751=F751,"VIOLATION - Same Person Requested &amp; Approved","OK")</f>
        <v>OK</v>
      </c>
    </row>
    <row r="752" customFormat="false" ht="15" hidden="false" customHeight="false" outlineLevel="0" collapsed="false">
      <c r="A752" s="16" t="str">
        <f aca="false">Purchase_Orders!A749</f>
        <v>PO10748</v>
      </c>
      <c r="B752" s="16" t="str">
        <f aca="false">Purchase_Orders!B749</f>
        <v>V1033</v>
      </c>
      <c r="C752" s="17" t="n">
        <f aca="false">Purchase_Orders!C749</f>
        <v>46020</v>
      </c>
      <c r="D752" s="18" t="n">
        <f aca="false">Purchase_Orders!D749</f>
        <v>3714.97</v>
      </c>
      <c r="E752" s="16" t="str">
        <f aca="false">Purchase_Orders!F749</f>
        <v>Angel Lewis MD</v>
      </c>
      <c r="F752" s="16" t="str">
        <f aca="false">Purchase_Orders!G749</f>
        <v>Sharon Cherry</v>
      </c>
      <c r="G752" s="16" t="str">
        <f aca="false">IF(E752=F752,"VIOLATION - Same Person Requested &amp; Approved","OK")</f>
        <v>OK</v>
      </c>
    </row>
    <row r="753" customFormat="false" ht="15" hidden="false" customHeight="false" outlineLevel="0" collapsed="false">
      <c r="A753" s="16" t="str">
        <f aca="false">Purchase_Orders!A750</f>
        <v>PO10749</v>
      </c>
      <c r="B753" s="16" t="str">
        <f aca="false">Purchase_Orders!B750</f>
        <v>V1025</v>
      </c>
      <c r="C753" s="17" t="n">
        <f aca="false">Purchase_Orders!C750</f>
        <v>45861</v>
      </c>
      <c r="D753" s="18" t="n">
        <f aca="false">Purchase_Orders!D750</f>
        <v>481.93</v>
      </c>
      <c r="E753" s="16" t="str">
        <f aca="false">Purchase_Orders!F750</f>
        <v>Aaron Wise</v>
      </c>
      <c r="F753" s="16" t="str">
        <f aca="false">Purchase_Orders!G750</f>
        <v>Sierra Johnson</v>
      </c>
      <c r="G753" s="16" t="str">
        <f aca="false">IF(E753=F753,"VIOLATION - Same Person Requested &amp; Approved","OK")</f>
        <v>OK</v>
      </c>
    </row>
    <row r="754" customFormat="false" ht="15" hidden="false" customHeight="false" outlineLevel="0" collapsed="false">
      <c r="A754" s="16" t="str">
        <f aca="false">Purchase_Orders!A751</f>
        <v>PO10750</v>
      </c>
      <c r="B754" s="16" t="str">
        <f aca="false">Purchase_Orders!B751</f>
        <v>V1012</v>
      </c>
      <c r="C754" s="17" t="n">
        <f aca="false">Purchase_Orders!C751</f>
        <v>45741</v>
      </c>
      <c r="D754" s="18" t="n">
        <f aca="false">Purchase_Orders!D751</f>
        <v>3419.93</v>
      </c>
      <c r="E754" s="16" t="str">
        <f aca="false">Purchase_Orders!F751</f>
        <v>Stephen Mckee</v>
      </c>
      <c r="F754" s="16" t="str">
        <f aca="false">Purchase_Orders!G751</f>
        <v>Sharon Cochran</v>
      </c>
      <c r="G754" s="16" t="str">
        <f aca="false">IF(E754=F754,"VIOLATION - Same Person Requested &amp; Approved","OK")</f>
        <v>OK</v>
      </c>
    </row>
    <row r="755" customFormat="false" ht="15" hidden="false" customHeight="false" outlineLevel="0" collapsed="false">
      <c r="A755" s="16" t="str">
        <f aca="false">Purchase_Orders!A752</f>
        <v>PO10751</v>
      </c>
      <c r="B755" s="16" t="str">
        <f aca="false">Purchase_Orders!B752</f>
        <v>V1002</v>
      </c>
      <c r="C755" s="17" t="n">
        <f aca="false">Purchase_Orders!C752</f>
        <v>46161</v>
      </c>
      <c r="D755" s="18" t="n">
        <f aca="false">Purchase_Orders!D752</f>
        <v>2429.18</v>
      </c>
      <c r="E755" s="16" t="str">
        <f aca="false">Purchase_Orders!F752</f>
        <v>Lisa Archer</v>
      </c>
      <c r="F755" s="16" t="str">
        <f aca="false">Purchase_Orders!G752</f>
        <v>Shannon Walker</v>
      </c>
      <c r="G755" s="16" t="str">
        <f aca="false">IF(E755=F755,"VIOLATION - Same Person Requested &amp; Approved","OK")</f>
        <v>OK</v>
      </c>
    </row>
    <row r="756" customFormat="false" ht="15" hidden="false" customHeight="false" outlineLevel="0" collapsed="false">
      <c r="A756" s="16" t="str">
        <f aca="false">Purchase_Orders!A753</f>
        <v>PO10752</v>
      </c>
      <c r="B756" s="16" t="str">
        <f aca="false">Purchase_Orders!B753</f>
        <v>V1010</v>
      </c>
      <c r="C756" s="17" t="n">
        <f aca="false">Purchase_Orders!C753</f>
        <v>45694</v>
      </c>
      <c r="D756" s="18" t="n">
        <f aca="false">Purchase_Orders!D753</f>
        <v>5420.25</v>
      </c>
      <c r="E756" s="16" t="str">
        <f aca="false">Purchase_Orders!F753</f>
        <v>Denise Jacobs</v>
      </c>
      <c r="F756" s="16" t="str">
        <f aca="false">Purchase_Orders!G753</f>
        <v>Julia Torres</v>
      </c>
      <c r="G756" s="16" t="str">
        <f aca="false">IF(E756=F756,"VIOLATION - Same Person Requested &amp; Approved","OK")</f>
        <v>OK</v>
      </c>
    </row>
    <row r="757" customFormat="false" ht="15" hidden="false" customHeight="false" outlineLevel="0" collapsed="false">
      <c r="A757" s="16" t="str">
        <f aca="false">Purchase_Orders!A754</f>
        <v>PO10753</v>
      </c>
      <c r="B757" s="16" t="str">
        <f aca="false">Purchase_Orders!B754</f>
        <v>V1007</v>
      </c>
      <c r="C757" s="17" t="n">
        <f aca="false">Purchase_Orders!C754</f>
        <v>46111</v>
      </c>
      <c r="D757" s="18" t="n">
        <f aca="false">Purchase_Orders!D754</f>
        <v>4765.29</v>
      </c>
      <c r="E757" s="16" t="str">
        <f aca="false">Purchase_Orders!F754</f>
        <v>Rebecca Valencia</v>
      </c>
      <c r="F757" s="16" t="str">
        <f aca="false">Purchase_Orders!G754</f>
        <v>Evelyn Galvan</v>
      </c>
      <c r="G757" s="16" t="str">
        <f aca="false">IF(E757=F757,"VIOLATION - Same Person Requested &amp; Approved","OK")</f>
        <v>OK</v>
      </c>
    </row>
    <row r="758" customFormat="false" ht="15" hidden="false" customHeight="false" outlineLevel="0" collapsed="false">
      <c r="A758" s="16" t="str">
        <f aca="false">Purchase_Orders!A755</f>
        <v>PO10754</v>
      </c>
      <c r="B758" s="16" t="str">
        <f aca="false">Purchase_Orders!B755</f>
        <v>V1034</v>
      </c>
      <c r="C758" s="17" t="n">
        <f aca="false">Purchase_Orders!C755</f>
        <v>45708</v>
      </c>
      <c r="D758" s="18" t="n">
        <f aca="false">Purchase_Orders!D755</f>
        <v>5970.05</v>
      </c>
      <c r="E758" s="16" t="str">
        <f aca="false">Purchase_Orders!F755</f>
        <v>James Powers</v>
      </c>
      <c r="F758" s="16" t="str">
        <f aca="false">Purchase_Orders!G755</f>
        <v>Marc Moore</v>
      </c>
      <c r="G758" s="16" t="str">
        <f aca="false">IF(E758=F758,"VIOLATION - Same Person Requested &amp; Approved","OK")</f>
        <v>OK</v>
      </c>
    </row>
    <row r="759" customFormat="false" ht="15" hidden="false" customHeight="false" outlineLevel="0" collapsed="false">
      <c r="A759" s="16" t="str">
        <f aca="false">Purchase_Orders!A756</f>
        <v>PO10755</v>
      </c>
      <c r="B759" s="16" t="str">
        <f aca="false">Purchase_Orders!B756</f>
        <v>V1020</v>
      </c>
      <c r="C759" s="17" t="n">
        <f aca="false">Purchase_Orders!C756</f>
        <v>45710</v>
      </c>
      <c r="D759" s="18" t="n">
        <f aca="false">Purchase_Orders!D756</f>
        <v>1166.53</v>
      </c>
      <c r="E759" s="16" t="str">
        <f aca="false">Purchase_Orders!F756</f>
        <v>Denise Jacobs</v>
      </c>
      <c r="F759" s="16" t="str">
        <f aca="false">Purchase_Orders!G756</f>
        <v>Shannon Walker</v>
      </c>
      <c r="G759" s="16" t="str">
        <f aca="false">IF(E759=F759,"VIOLATION - Same Person Requested &amp; Approved","OK")</f>
        <v>OK</v>
      </c>
    </row>
    <row r="760" customFormat="false" ht="15" hidden="false" customHeight="false" outlineLevel="0" collapsed="false">
      <c r="A760" s="16" t="str">
        <f aca="false">Purchase_Orders!A757</f>
        <v>PO10756</v>
      </c>
      <c r="B760" s="16" t="str">
        <f aca="false">Purchase_Orders!B757</f>
        <v>V1040</v>
      </c>
      <c r="C760" s="17" t="n">
        <f aca="false">Purchase_Orders!C757</f>
        <v>46060</v>
      </c>
      <c r="D760" s="18" t="n">
        <f aca="false">Purchase_Orders!D757</f>
        <v>305.02</v>
      </c>
      <c r="E760" s="16" t="str">
        <f aca="false">Purchase_Orders!F757</f>
        <v>Christina Moran</v>
      </c>
      <c r="F760" s="16" t="str">
        <f aca="false">Purchase_Orders!G757</f>
        <v>Marc Moore</v>
      </c>
      <c r="G760" s="16" t="str">
        <f aca="false">IF(E760=F760,"VIOLATION - Same Person Requested &amp; Approved","OK")</f>
        <v>OK</v>
      </c>
    </row>
    <row r="761" customFormat="false" ht="15" hidden="false" customHeight="false" outlineLevel="0" collapsed="false">
      <c r="A761" s="16" t="str">
        <f aca="false">Purchase_Orders!A758</f>
        <v>PO10757</v>
      </c>
      <c r="B761" s="16" t="str">
        <f aca="false">Purchase_Orders!B758</f>
        <v>V1008</v>
      </c>
      <c r="C761" s="17" t="n">
        <f aca="false">Purchase_Orders!C758</f>
        <v>46100</v>
      </c>
      <c r="D761" s="18" t="n">
        <f aca="false">Purchase_Orders!D758</f>
        <v>888.47</v>
      </c>
      <c r="E761" s="16" t="str">
        <f aca="false">Purchase_Orders!F758</f>
        <v>James Powers</v>
      </c>
      <c r="F761" s="16" t="str">
        <f aca="false">Purchase_Orders!G758</f>
        <v>Julia Torres</v>
      </c>
      <c r="G761" s="16" t="str">
        <f aca="false">IF(E761=F761,"VIOLATION - Same Person Requested &amp; Approved","OK")</f>
        <v>OK</v>
      </c>
    </row>
    <row r="762" customFormat="false" ht="15" hidden="false" customHeight="false" outlineLevel="0" collapsed="false">
      <c r="A762" s="16" t="str">
        <f aca="false">Purchase_Orders!A759</f>
        <v>PO10758</v>
      </c>
      <c r="B762" s="16" t="str">
        <f aca="false">Purchase_Orders!B759</f>
        <v>V1013</v>
      </c>
      <c r="C762" s="17" t="n">
        <f aca="false">Purchase_Orders!C759</f>
        <v>45961</v>
      </c>
      <c r="D762" s="18" t="n">
        <f aca="false">Purchase_Orders!D759</f>
        <v>5589.33</v>
      </c>
      <c r="E762" s="16" t="str">
        <f aca="false">Purchase_Orders!F759</f>
        <v>Sandra Aguilar</v>
      </c>
      <c r="F762" s="16" t="str">
        <f aca="false">Purchase_Orders!G759</f>
        <v>Richard Rodriguez</v>
      </c>
      <c r="G762" s="16" t="str">
        <f aca="false">IF(E762=F762,"VIOLATION - Same Person Requested &amp; Approved","OK")</f>
        <v>OK</v>
      </c>
    </row>
    <row r="763" customFormat="false" ht="15" hidden="false" customHeight="false" outlineLevel="0" collapsed="false">
      <c r="A763" s="16" t="str">
        <f aca="false">Purchase_Orders!A760</f>
        <v>PO10759</v>
      </c>
      <c r="B763" s="16" t="str">
        <f aca="false">Purchase_Orders!B760</f>
        <v>V1025</v>
      </c>
      <c r="C763" s="17" t="n">
        <f aca="false">Purchase_Orders!C760</f>
        <v>45977</v>
      </c>
      <c r="D763" s="18" t="n">
        <f aca="false">Purchase_Orders!D760</f>
        <v>1679.37</v>
      </c>
      <c r="E763" s="16" t="str">
        <f aca="false">Purchase_Orders!F760</f>
        <v>Eugene Walton</v>
      </c>
      <c r="F763" s="16" t="str">
        <f aca="false">Purchase_Orders!G760</f>
        <v>Marc Moore</v>
      </c>
      <c r="G763" s="16" t="str">
        <f aca="false">IF(E763=F763,"VIOLATION - Same Person Requested &amp; Approved","OK")</f>
        <v>OK</v>
      </c>
    </row>
    <row r="764" customFormat="false" ht="15" hidden="false" customHeight="false" outlineLevel="0" collapsed="false">
      <c r="A764" s="16" t="str">
        <f aca="false">Purchase_Orders!A761</f>
        <v>PO10760</v>
      </c>
      <c r="B764" s="16" t="str">
        <f aca="false">Purchase_Orders!B761</f>
        <v>V1029</v>
      </c>
      <c r="C764" s="17" t="n">
        <f aca="false">Purchase_Orders!C761</f>
        <v>45964</v>
      </c>
      <c r="D764" s="18" t="n">
        <f aca="false">Purchase_Orders!D761</f>
        <v>723.52</v>
      </c>
      <c r="E764" s="16" t="str">
        <f aca="false">Purchase_Orders!F761</f>
        <v>Rebecca Valencia</v>
      </c>
      <c r="F764" s="16" t="str">
        <f aca="false">Purchase_Orders!G761</f>
        <v>Julia Torres</v>
      </c>
      <c r="G764" s="16" t="str">
        <f aca="false">IF(E764=F764,"VIOLATION - Same Person Requested &amp; Approved","OK")</f>
        <v>OK</v>
      </c>
    </row>
    <row r="765" customFormat="false" ht="15" hidden="false" customHeight="false" outlineLevel="0" collapsed="false">
      <c r="A765" s="16" t="str">
        <f aca="false">Purchase_Orders!A762</f>
        <v>PO10761</v>
      </c>
      <c r="B765" s="16" t="str">
        <f aca="false">Purchase_Orders!B762</f>
        <v>V1027</v>
      </c>
      <c r="C765" s="17" t="n">
        <f aca="false">Purchase_Orders!C762</f>
        <v>45837</v>
      </c>
      <c r="D765" s="18" t="n">
        <f aca="false">Purchase_Orders!D762</f>
        <v>3110.63</v>
      </c>
      <c r="E765" s="16" t="str">
        <f aca="false">Purchase_Orders!F762</f>
        <v>James Powers</v>
      </c>
      <c r="F765" s="16" t="str">
        <f aca="false">Purchase_Orders!G762</f>
        <v>Sharon Cochran</v>
      </c>
      <c r="G765" s="16" t="str">
        <f aca="false">IF(E765=F765,"VIOLATION - Same Person Requested &amp; Approved","OK")</f>
        <v>OK</v>
      </c>
    </row>
    <row r="766" customFormat="false" ht="15" hidden="false" customHeight="false" outlineLevel="0" collapsed="false">
      <c r="A766" s="16" t="str">
        <f aca="false">Purchase_Orders!A763</f>
        <v>PO10762</v>
      </c>
      <c r="B766" s="16" t="str">
        <f aca="false">Purchase_Orders!B763</f>
        <v>V1040</v>
      </c>
      <c r="C766" s="17" t="n">
        <f aca="false">Purchase_Orders!C763</f>
        <v>45724</v>
      </c>
      <c r="D766" s="18" t="n">
        <f aca="false">Purchase_Orders!D763</f>
        <v>1751.47</v>
      </c>
      <c r="E766" s="16" t="str">
        <f aca="false">Purchase_Orders!F763</f>
        <v>Jessica Smith</v>
      </c>
      <c r="F766" s="16" t="str">
        <f aca="false">Purchase_Orders!G763</f>
        <v>Marc Moore</v>
      </c>
      <c r="G766" s="16" t="str">
        <f aca="false">IF(E766=F766,"VIOLATION - Same Person Requested &amp; Approved","OK")</f>
        <v>OK</v>
      </c>
    </row>
    <row r="767" customFormat="false" ht="15" hidden="false" customHeight="false" outlineLevel="0" collapsed="false">
      <c r="A767" s="16" t="str">
        <f aca="false">Purchase_Orders!A764</f>
        <v>PO10763</v>
      </c>
      <c r="B767" s="16" t="str">
        <f aca="false">Purchase_Orders!B764</f>
        <v>V1014</v>
      </c>
      <c r="C767" s="17" t="n">
        <f aca="false">Purchase_Orders!C764</f>
        <v>45850</v>
      </c>
      <c r="D767" s="18" t="n">
        <f aca="false">Purchase_Orders!D764</f>
        <v>17936.73</v>
      </c>
      <c r="E767" s="16" t="str">
        <f aca="false">Purchase_Orders!F764</f>
        <v>Matthew Mcmillan</v>
      </c>
      <c r="F767" s="16" t="str">
        <f aca="false">Purchase_Orders!G764</f>
        <v>Marc Moore</v>
      </c>
      <c r="G767" s="16" t="str">
        <f aca="false">IF(E767=F767,"VIOLATION - Same Person Requested &amp; Approved","OK")</f>
        <v>OK</v>
      </c>
    </row>
    <row r="768" customFormat="false" ht="15" hidden="false" customHeight="false" outlineLevel="0" collapsed="false">
      <c r="A768" s="16" t="str">
        <f aca="false">Purchase_Orders!A765</f>
        <v>PO10764</v>
      </c>
      <c r="B768" s="16" t="str">
        <f aca="false">Purchase_Orders!B765</f>
        <v>V1039</v>
      </c>
      <c r="C768" s="17" t="n">
        <f aca="false">Purchase_Orders!C765</f>
        <v>46020</v>
      </c>
      <c r="D768" s="18" t="n">
        <f aca="false">Purchase_Orders!D765</f>
        <v>7872.8</v>
      </c>
      <c r="E768" s="16" t="str">
        <f aca="false">Purchase_Orders!F765</f>
        <v>Jessica Smith</v>
      </c>
      <c r="F768" s="16" t="str">
        <f aca="false">Purchase_Orders!G765</f>
        <v>Sierra Johnson</v>
      </c>
      <c r="G768" s="16" t="str">
        <f aca="false">IF(E768=F768,"VIOLATION - Same Person Requested &amp; Approved","OK")</f>
        <v>OK</v>
      </c>
    </row>
    <row r="769" customFormat="false" ht="15" hidden="false" customHeight="false" outlineLevel="0" collapsed="false">
      <c r="A769" s="16" t="str">
        <f aca="false">Purchase_Orders!A766</f>
        <v>PO10765</v>
      </c>
      <c r="B769" s="16" t="str">
        <f aca="false">Purchase_Orders!B766</f>
        <v>V1029</v>
      </c>
      <c r="C769" s="17" t="n">
        <f aca="false">Purchase_Orders!C766</f>
        <v>46066</v>
      </c>
      <c r="D769" s="18" t="n">
        <f aca="false">Purchase_Orders!D766</f>
        <v>886.11</v>
      </c>
      <c r="E769" s="16" t="str">
        <f aca="false">Purchase_Orders!F766</f>
        <v>Rebecca Valencia</v>
      </c>
      <c r="F769" s="16" t="str">
        <f aca="false">Purchase_Orders!G766</f>
        <v>Shannon Walker</v>
      </c>
      <c r="G769" s="16" t="str">
        <f aca="false">IF(E769=F769,"VIOLATION - Same Person Requested &amp; Approved","OK")</f>
        <v>OK</v>
      </c>
    </row>
    <row r="770" customFormat="false" ht="15" hidden="false" customHeight="false" outlineLevel="0" collapsed="false">
      <c r="A770" s="16" t="str">
        <f aca="false">Purchase_Orders!A767</f>
        <v>PO10766</v>
      </c>
      <c r="B770" s="16" t="str">
        <f aca="false">Purchase_Orders!B767</f>
        <v>V1010</v>
      </c>
      <c r="C770" s="17" t="n">
        <f aca="false">Purchase_Orders!C767</f>
        <v>46131</v>
      </c>
      <c r="D770" s="18" t="n">
        <f aca="false">Purchase_Orders!D767</f>
        <v>944.22</v>
      </c>
      <c r="E770" s="16" t="str">
        <f aca="false">Purchase_Orders!F767</f>
        <v>Aimee Montoya</v>
      </c>
      <c r="F770" s="16" t="str">
        <f aca="false">Purchase_Orders!G767</f>
        <v>Sierra Johnson</v>
      </c>
      <c r="G770" s="16" t="str">
        <f aca="false">IF(E770=F770,"VIOLATION - Same Person Requested &amp; Approved","OK")</f>
        <v>OK</v>
      </c>
    </row>
    <row r="771" customFormat="false" ht="15" hidden="false" customHeight="false" outlineLevel="0" collapsed="false">
      <c r="A771" s="16" t="str">
        <f aca="false">Purchase_Orders!A768</f>
        <v>PO10767</v>
      </c>
      <c r="B771" s="16" t="str">
        <f aca="false">Purchase_Orders!B768</f>
        <v>V1022</v>
      </c>
      <c r="C771" s="17" t="n">
        <f aca="false">Purchase_Orders!C768</f>
        <v>46050</v>
      </c>
      <c r="D771" s="18" t="n">
        <f aca="false">Purchase_Orders!D768</f>
        <v>270.06</v>
      </c>
      <c r="E771" s="16" t="str">
        <f aca="false">Purchase_Orders!F768</f>
        <v>Jessica Smith</v>
      </c>
      <c r="F771" s="16" t="str">
        <f aca="false">Purchase_Orders!G768</f>
        <v>Shannon Walker</v>
      </c>
      <c r="G771" s="16" t="str">
        <f aca="false">IF(E771=F771,"VIOLATION - Same Person Requested &amp; Approved","OK")</f>
        <v>OK</v>
      </c>
    </row>
    <row r="772" customFormat="false" ht="15" hidden="false" customHeight="false" outlineLevel="0" collapsed="false">
      <c r="A772" s="16" t="str">
        <f aca="false">Purchase_Orders!A769</f>
        <v>PO10768</v>
      </c>
      <c r="B772" s="16" t="str">
        <f aca="false">Purchase_Orders!B769</f>
        <v>V1025</v>
      </c>
      <c r="C772" s="17" t="n">
        <f aca="false">Purchase_Orders!C769</f>
        <v>46185</v>
      </c>
      <c r="D772" s="18" t="n">
        <f aca="false">Purchase_Orders!D769</f>
        <v>6371.15</v>
      </c>
      <c r="E772" s="16" t="str">
        <f aca="false">Purchase_Orders!F769</f>
        <v>Deborah Figueroa</v>
      </c>
      <c r="F772" s="16" t="str">
        <f aca="false">Purchase_Orders!G769</f>
        <v>Richard Rodriguez</v>
      </c>
      <c r="G772" s="16" t="str">
        <f aca="false">IF(E772=F772,"VIOLATION - Same Person Requested &amp; Approved","OK")</f>
        <v>OK</v>
      </c>
    </row>
    <row r="773" customFormat="false" ht="15" hidden="false" customHeight="false" outlineLevel="0" collapsed="false">
      <c r="A773" s="16" t="str">
        <f aca="false">Purchase_Orders!A770</f>
        <v>PO10769</v>
      </c>
      <c r="B773" s="16" t="str">
        <f aca="false">Purchase_Orders!B770</f>
        <v>V1028</v>
      </c>
      <c r="C773" s="17" t="n">
        <f aca="false">Purchase_Orders!C770</f>
        <v>45985</v>
      </c>
      <c r="D773" s="18" t="n">
        <f aca="false">Purchase_Orders!D770</f>
        <v>2179.28</v>
      </c>
      <c r="E773" s="16" t="str">
        <f aca="false">Purchase_Orders!F770</f>
        <v>Christine Wright</v>
      </c>
      <c r="F773" s="16" t="str">
        <f aca="false">Purchase_Orders!G770</f>
        <v>Sierra Johnson</v>
      </c>
      <c r="G773" s="16" t="str">
        <f aca="false">IF(E773=F773,"VIOLATION - Same Person Requested &amp; Approved","OK")</f>
        <v>OK</v>
      </c>
    </row>
    <row r="774" customFormat="false" ht="15" hidden="false" customHeight="false" outlineLevel="0" collapsed="false">
      <c r="A774" s="16" t="str">
        <f aca="false">Purchase_Orders!A771</f>
        <v>PO10770</v>
      </c>
      <c r="B774" s="16" t="str">
        <f aca="false">Purchase_Orders!B771</f>
        <v>V1032</v>
      </c>
      <c r="C774" s="17" t="n">
        <f aca="false">Purchase_Orders!C771</f>
        <v>45849</v>
      </c>
      <c r="D774" s="18" t="n">
        <f aca="false">Purchase_Orders!D771</f>
        <v>4559.19</v>
      </c>
      <c r="E774" s="16" t="str">
        <f aca="false">Purchase_Orders!F771</f>
        <v>Rebecca Valencia</v>
      </c>
      <c r="F774" s="16" t="str">
        <f aca="false">Purchase_Orders!G771</f>
        <v>Sharon Cherry</v>
      </c>
      <c r="G774" s="16" t="str">
        <f aca="false">IF(E774=F774,"VIOLATION - Same Person Requested &amp; Approved","OK")</f>
        <v>OK</v>
      </c>
    </row>
    <row r="775" customFormat="false" ht="15" hidden="false" customHeight="false" outlineLevel="0" collapsed="false">
      <c r="A775" s="16" t="str">
        <f aca="false">Purchase_Orders!A772</f>
        <v>PO10771</v>
      </c>
      <c r="B775" s="16" t="str">
        <f aca="false">Purchase_Orders!B772</f>
        <v>V1037</v>
      </c>
      <c r="C775" s="17" t="n">
        <f aca="false">Purchase_Orders!C772</f>
        <v>45972</v>
      </c>
      <c r="D775" s="18" t="n">
        <f aca="false">Purchase_Orders!D772</f>
        <v>1738.1</v>
      </c>
      <c r="E775" s="16" t="str">
        <f aca="false">Purchase_Orders!F772</f>
        <v>Brian Rodriguez</v>
      </c>
      <c r="F775" s="16" t="str">
        <f aca="false">Purchase_Orders!G772</f>
        <v>Marc Moore</v>
      </c>
      <c r="G775" s="16" t="str">
        <f aca="false">IF(E775=F775,"VIOLATION - Same Person Requested &amp; Approved","OK")</f>
        <v>OK</v>
      </c>
    </row>
    <row r="776" customFormat="false" ht="15" hidden="false" customHeight="false" outlineLevel="0" collapsed="false">
      <c r="A776" s="16" t="str">
        <f aca="false">Purchase_Orders!A773</f>
        <v>PO10772</v>
      </c>
      <c r="B776" s="16" t="str">
        <f aca="false">Purchase_Orders!B773</f>
        <v>V1010</v>
      </c>
      <c r="C776" s="17" t="n">
        <f aca="false">Purchase_Orders!C773</f>
        <v>45773</v>
      </c>
      <c r="D776" s="18" t="n">
        <f aca="false">Purchase_Orders!D773</f>
        <v>8655.91</v>
      </c>
      <c r="E776" s="16" t="str">
        <f aca="false">Purchase_Orders!F773</f>
        <v>Christopher Bass</v>
      </c>
      <c r="F776" s="16" t="str">
        <f aca="false">Purchase_Orders!G773</f>
        <v>Sharon Cherry</v>
      </c>
      <c r="G776" s="16" t="str">
        <f aca="false">IF(E776=F776,"VIOLATION - Same Person Requested &amp; Approved","OK")</f>
        <v>OK</v>
      </c>
    </row>
    <row r="777" customFormat="false" ht="15" hidden="false" customHeight="false" outlineLevel="0" collapsed="false">
      <c r="A777" s="16" t="str">
        <f aca="false">Purchase_Orders!A774</f>
        <v>PO10773</v>
      </c>
      <c r="B777" s="16" t="str">
        <f aca="false">Purchase_Orders!B774</f>
        <v>V1028</v>
      </c>
      <c r="C777" s="17" t="n">
        <f aca="false">Purchase_Orders!C774</f>
        <v>46015</v>
      </c>
      <c r="D777" s="18" t="n">
        <f aca="false">Purchase_Orders!D774</f>
        <v>3002.81</v>
      </c>
      <c r="E777" s="16" t="str">
        <f aca="false">Purchase_Orders!F774</f>
        <v>Richard Henson</v>
      </c>
      <c r="F777" s="16" t="str">
        <f aca="false">Purchase_Orders!G774</f>
        <v>Shannon Walker</v>
      </c>
      <c r="G777" s="16" t="str">
        <f aca="false">IF(E777=F777,"VIOLATION - Same Person Requested &amp; Approved","OK")</f>
        <v>OK</v>
      </c>
    </row>
    <row r="778" customFormat="false" ht="15" hidden="false" customHeight="false" outlineLevel="0" collapsed="false">
      <c r="A778" s="16" t="str">
        <f aca="false">Purchase_Orders!A775</f>
        <v>PO10774</v>
      </c>
      <c r="B778" s="16" t="str">
        <f aca="false">Purchase_Orders!B775</f>
        <v>V1038</v>
      </c>
      <c r="C778" s="17" t="n">
        <f aca="false">Purchase_Orders!C775</f>
        <v>45780</v>
      </c>
      <c r="D778" s="18" t="n">
        <f aca="false">Purchase_Orders!D775</f>
        <v>2069.86</v>
      </c>
      <c r="E778" s="16" t="str">
        <f aca="false">Purchase_Orders!F775</f>
        <v>Matthew Mcmillan</v>
      </c>
      <c r="F778" s="16" t="str">
        <f aca="false">Purchase_Orders!G775</f>
        <v>Marc Moore</v>
      </c>
      <c r="G778" s="16" t="str">
        <f aca="false">IF(E778=F778,"VIOLATION - Same Person Requested &amp; Approved","OK")</f>
        <v>OK</v>
      </c>
    </row>
    <row r="779" customFormat="false" ht="15" hidden="false" customHeight="false" outlineLevel="0" collapsed="false">
      <c r="A779" s="16" t="str">
        <f aca="false">Purchase_Orders!A776</f>
        <v>PO10775</v>
      </c>
      <c r="B779" s="16" t="str">
        <f aca="false">Purchase_Orders!B776</f>
        <v>V1019</v>
      </c>
      <c r="C779" s="17" t="n">
        <f aca="false">Purchase_Orders!C776</f>
        <v>45716</v>
      </c>
      <c r="D779" s="18" t="n">
        <f aca="false">Purchase_Orders!D776</f>
        <v>1217.09</v>
      </c>
      <c r="E779" s="16" t="str">
        <f aca="false">Purchase_Orders!F776</f>
        <v>John Whitehead</v>
      </c>
      <c r="F779" s="16" t="str">
        <f aca="false">Purchase_Orders!G776</f>
        <v>Julia Torres</v>
      </c>
      <c r="G779" s="16" t="str">
        <f aca="false">IF(E779=F779,"VIOLATION - Same Person Requested &amp; Approved","OK")</f>
        <v>OK</v>
      </c>
    </row>
    <row r="780" customFormat="false" ht="15" hidden="false" customHeight="false" outlineLevel="0" collapsed="false">
      <c r="A780" s="16" t="str">
        <f aca="false">Purchase_Orders!A777</f>
        <v>PO10776</v>
      </c>
      <c r="B780" s="16" t="str">
        <f aca="false">Purchase_Orders!B777</f>
        <v>V1009</v>
      </c>
      <c r="C780" s="17" t="n">
        <f aca="false">Purchase_Orders!C777</f>
        <v>46118</v>
      </c>
      <c r="D780" s="18" t="n">
        <f aca="false">Purchase_Orders!D777</f>
        <v>680.64</v>
      </c>
      <c r="E780" s="16" t="str">
        <f aca="false">Purchase_Orders!F777</f>
        <v>Deborah Figueroa</v>
      </c>
      <c r="F780" s="16" t="str">
        <f aca="false">Purchase_Orders!G777</f>
        <v>Shannon Walker</v>
      </c>
      <c r="G780" s="16" t="str">
        <f aca="false">IF(E780=F780,"VIOLATION - Same Person Requested &amp; Approved","OK")</f>
        <v>OK</v>
      </c>
    </row>
    <row r="781" customFormat="false" ht="15" hidden="false" customHeight="false" outlineLevel="0" collapsed="false">
      <c r="A781" s="16" t="str">
        <f aca="false">Purchase_Orders!A778</f>
        <v>PO10777</v>
      </c>
      <c r="B781" s="16" t="str">
        <f aca="false">Purchase_Orders!B778</f>
        <v>V1035</v>
      </c>
      <c r="C781" s="17" t="n">
        <f aca="false">Purchase_Orders!C778</f>
        <v>45858</v>
      </c>
      <c r="D781" s="18" t="n">
        <f aca="false">Purchase_Orders!D778</f>
        <v>1467.37</v>
      </c>
      <c r="E781" s="16" t="str">
        <f aca="false">Purchase_Orders!F778</f>
        <v>Cameron Parker</v>
      </c>
      <c r="F781" s="16" t="str">
        <f aca="false">Purchase_Orders!G778</f>
        <v>Shannon Walker</v>
      </c>
      <c r="G781" s="16" t="str">
        <f aca="false">IF(E781=F781,"VIOLATION - Same Person Requested &amp; Approved","OK")</f>
        <v>OK</v>
      </c>
    </row>
    <row r="782" customFormat="false" ht="15" hidden="false" customHeight="false" outlineLevel="0" collapsed="false">
      <c r="A782" s="16" t="str">
        <f aca="false">Purchase_Orders!A779</f>
        <v>PO10778</v>
      </c>
      <c r="B782" s="16" t="str">
        <f aca="false">Purchase_Orders!B779</f>
        <v>V1011</v>
      </c>
      <c r="C782" s="17" t="n">
        <f aca="false">Purchase_Orders!C779</f>
        <v>46073</v>
      </c>
      <c r="D782" s="18" t="n">
        <f aca="false">Purchase_Orders!D779</f>
        <v>816.48</v>
      </c>
      <c r="E782" s="16" t="str">
        <f aca="false">Purchase_Orders!F779</f>
        <v>Stephen Mckee</v>
      </c>
      <c r="F782" s="16" t="str">
        <f aca="false">Purchase_Orders!G779</f>
        <v>Sharon Cochran</v>
      </c>
      <c r="G782" s="16" t="str">
        <f aca="false">IF(E782=F782,"VIOLATION - Same Person Requested &amp; Approved","OK")</f>
        <v>OK</v>
      </c>
    </row>
    <row r="783" customFormat="false" ht="15" hidden="false" customHeight="false" outlineLevel="0" collapsed="false">
      <c r="A783" s="16" t="str">
        <f aca="false">Purchase_Orders!A780</f>
        <v>PO10779</v>
      </c>
      <c r="B783" s="16" t="str">
        <f aca="false">Purchase_Orders!B780</f>
        <v>V1002</v>
      </c>
      <c r="C783" s="17" t="n">
        <f aca="false">Purchase_Orders!C780</f>
        <v>45970</v>
      </c>
      <c r="D783" s="18" t="n">
        <f aca="false">Purchase_Orders!D780</f>
        <v>1016.58</v>
      </c>
      <c r="E783" s="16" t="str">
        <f aca="false">Purchase_Orders!F780</f>
        <v>Rebecca Valencia</v>
      </c>
      <c r="F783" s="16" t="str">
        <f aca="false">Purchase_Orders!G780</f>
        <v>Sharon Cherry</v>
      </c>
      <c r="G783" s="16" t="str">
        <f aca="false">IF(E783=F783,"VIOLATION - Same Person Requested &amp; Approved","OK")</f>
        <v>OK</v>
      </c>
    </row>
    <row r="784" customFormat="false" ht="15" hidden="false" customHeight="false" outlineLevel="0" collapsed="false">
      <c r="A784" s="16" t="str">
        <f aca="false">Purchase_Orders!A781</f>
        <v>PO10780</v>
      </c>
      <c r="B784" s="16" t="str">
        <f aca="false">Purchase_Orders!B781</f>
        <v>V1035</v>
      </c>
      <c r="C784" s="17" t="n">
        <f aca="false">Purchase_Orders!C781</f>
        <v>46097</v>
      </c>
      <c r="D784" s="18" t="n">
        <f aca="false">Purchase_Orders!D781</f>
        <v>7498.53</v>
      </c>
      <c r="E784" s="16" t="str">
        <f aca="false">Purchase_Orders!F781</f>
        <v>Jimmy Murillo</v>
      </c>
      <c r="F784" s="16" t="str">
        <f aca="false">Purchase_Orders!G781</f>
        <v>Shannon Walker</v>
      </c>
      <c r="G784" s="16" t="str">
        <f aca="false">IF(E784=F784,"VIOLATION - Same Person Requested &amp; Approved","OK")</f>
        <v>OK</v>
      </c>
    </row>
    <row r="785" customFormat="false" ht="15" hidden="false" customHeight="false" outlineLevel="0" collapsed="false">
      <c r="A785" s="16" t="str">
        <f aca="false">Purchase_Orders!A782</f>
        <v>PO10781</v>
      </c>
      <c r="B785" s="16" t="str">
        <f aca="false">Purchase_Orders!B782</f>
        <v>V1039</v>
      </c>
      <c r="C785" s="17" t="n">
        <f aca="false">Purchase_Orders!C782</f>
        <v>46118</v>
      </c>
      <c r="D785" s="18" t="n">
        <f aca="false">Purchase_Orders!D782</f>
        <v>348.88</v>
      </c>
      <c r="E785" s="16" t="str">
        <f aca="false">Purchase_Orders!F782</f>
        <v>Sandra Aguilar</v>
      </c>
      <c r="F785" s="16" t="str">
        <f aca="false">Purchase_Orders!G782</f>
        <v>Sierra Johnson</v>
      </c>
      <c r="G785" s="16" t="str">
        <f aca="false">IF(E785=F785,"VIOLATION - Same Person Requested &amp; Approved","OK")</f>
        <v>OK</v>
      </c>
    </row>
    <row r="786" customFormat="false" ht="15" hidden="false" customHeight="false" outlineLevel="0" collapsed="false">
      <c r="A786" s="16" t="str">
        <f aca="false">Purchase_Orders!A783</f>
        <v>PO10782</v>
      </c>
      <c r="B786" s="16" t="str">
        <f aca="false">Purchase_Orders!B783</f>
        <v>V1034</v>
      </c>
      <c r="C786" s="17" t="n">
        <f aca="false">Purchase_Orders!C783</f>
        <v>46189</v>
      </c>
      <c r="D786" s="18" t="n">
        <f aca="false">Purchase_Orders!D783</f>
        <v>200.9</v>
      </c>
      <c r="E786" s="16" t="str">
        <f aca="false">Purchase_Orders!F783</f>
        <v>Matthew Mcmillan</v>
      </c>
      <c r="F786" s="16" t="str">
        <f aca="false">Purchase_Orders!G783</f>
        <v>Richard Rodriguez</v>
      </c>
      <c r="G786" s="16" t="str">
        <f aca="false">IF(E786=F786,"VIOLATION - Same Person Requested &amp; Approved","OK")</f>
        <v>OK</v>
      </c>
    </row>
    <row r="787" customFormat="false" ht="15" hidden="false" customHeight="false" outlineLevel="0" collapsed="false">
      <c r="A787" s="16" t="str">
        <f aca="false">Purchase_Orders!A784</f>
        <v>PO10783</v>
      </c>
      <c r="B787" s="16" t="str">
        <f aca="false">Purchase_Orders!B784</f>
        <v>V1004</v>
      </c>
      <c r="C787" s="17" t="n">
        <f aca="false">Purchase_Orders!C784</f>
        <v>46104</v>
      </c>
      <c r="D787" s="18" t="n">
        <f aca="false">Purchase_Orders!D784</f>
        <v>1497.3</v>
      </c>
      <c r="E787" s="16" t="str">
        <f aca="false">Purchase_Orders!F784</f>
        <v>Kevin Mills</v>
      </c>
      <c r="F787" s="16" t="str">
        <f aca="false">Purchase_Orders!G784</f>
        <v>Sharon Cochran</v>
      </c>
      <c r="G787" s="16" t="str">
        <f aca="false">IF(E787=F787,"VIOLATION - Same Person Requested &amp; Approved","OK")</f>
        <v>OK</v>
      </c>
    </row>
    <row r="788" customFormat="false" ht="15" hidden="false" customHeight="false" outlineLevel="0" collapsed="false">
      <c r="A788" s="16" t="str">
        <f aca="false">Purchase_Orders!A785</f>
        <v>PO10784</v>
      </c>
      <c r="B788" s="16" t="str">
        <f aca="false">Purchase_Orders!B785</f>
        <v>V1004</v>
      </c>
      <c r="C788" s="17" t="n">
        <f aca="false">Purchase_Orders!C785</f>
        <v>45992</v>
      </c>
      <c r="D788" s="18" t="n">
        <f aca="false">Purchase_Orders!D785</f>
        <v>2626.17</v>
      </c>
      <c r="E788" s="16" t="str">
        <f aca="false">Purchase_Orders!F785</f>
        <v>Richard Henson</v>
      </c>
      <c r="F788" s="16" t="str">
        <f aca="false">Purchase_Orders!G785</f>
        <v>Sharon Cochran</v>
      </c>
      <c r="G788" s="16" t="str">
        <f aca="false">IF(E788=F788,"VIOLATION - Same Person Requested &amp; Approved","OK")</f>
        <v>OK</v>
      </c>
    </row>
    <row r="789" customFormat="false" ht="15" hidden="false" customHeight="false" outlineLevel="0" collapsed="false">
      <c r="A789" s="16" t="str">
        <f aca="false">Purchase_Orders!A786</f>
        <v>PO10785</v>
      </c>
      <c r="B789" s="16" t="str">
        <f aca="false">Purchase_Orders!B786</f>
        <v>V1013</v>
      </c>
      <c r="C789" s="17" t="n">
        <f aca="false">Purchase_Orders!C786</f>
        <v>46008</v>
      </c>
      <c r="D789" s="18" t="n">
        <f aca="false">Purchase_Orders!D786</f>
        <v>2091.54</v>
      </c>
      <c r="E789" s="16" t="str">
        <f aca="false">Purchase_Orders!F786</f>
        <v>James Powers</v>
      </c>
      <c r="F789" s="16" t="str">
        <f aca="false">Purchase_Orders!G786</f>
        <v>Sierra Johnson</v>
      </c>
      <c r="G789" s="16" t="str">
        <f aca="false">IF(E789=F789,"VIOLATION - Same Person Requested &amp; Approved","OK")</f>
        <v>OK</v>
      </c>
    </row>
    <row r="790" customFormat="false" ht="15" hidden="false" customHeight="false" outlineLevel="0" collapsed="false">
      <c r="A790" s="16" t="str">
        <f aca="false">Purchase_Orders!A787</f>
        <v>PO10786</v>
      </c>
      <c r="B790" s="16" t="str">
        <f aca="false">Purchase_Orders!B787</f>
        <v>V1030</v>
      </c>
      <c r="C790" s="17" t="n">
        <f aca="false">Purchase_Orders!C787</f>
        <v>45672</v>
      </c>
      <c r="D790" s="18" t="n">
        <f aca="false">Purchase_Orders!D787</f>
        <v>994.15</v>
      </c>
      <c r="E790" s="16" t="str">
        <f aca="false">Purchase_Orders!F787</f>
        <v>Deborah Figueroa</v>
      </c>
      <c r="F790" s="16" t="str">
        <f aca="false">Purchase_Orders!G787</f>
        <v>Shannon Walker</v>
      </c>
      <c r="G790" s="16" t="str">
        <f aca="false">IF(E790=F790,"VIOLATION - Same Person Requested &amp; Approved","OK")</f>
        <v>OK</v>
      </c>
    </row>
    <row r="791" customFormat="false" ht="15" hidden="false" customHeight="false" outlineLevel="0" collapsed="false">
      <c r="A791" s="16" t="str">
        <f aca="false">Purchase_Orders!A788</f>
        <v>PO10787</v>
      </c>
      <c r="B791" s="16" t="str">
        <f aca="false">Purchase_Orders!B788</f>
        <v>V1016</v>
      </c>
      <c r="C791" s="17" t="n">
        <f aca="false">Purchase_Orders!C788</f>
        <v>46164</v>
      </c>
      <c r="D791" s="18" t="n">
        <f aca="false">Purchase_Orders!D788</f>
        <v>2802.36</v>
      </c>
      <c r="E791" s="16" t="str">
        <f aca="false">Purchase_Orders!F788</f>
        <v>James Powers</v>
      </c>
      <c r="F791" s="16" t="str">
        <f aca="false">Purchase_Orders!G788</f>
        <v>Richard Rodriguez</v>
      </c>
      <c r="G791" s="16" t="str">
        <f aca="false">IF(E791=F791,"VIOLATION - Same Person Requested &amp; Approved","OK")</f>
        <v>OK</v>
      </c>
    </row>
    <row r="792" customFormat="false" ht="15" hidden="false" customHeight="false" outlineLevel="0" collapsed="false">
      <c r="A792" s="16" t="str">
        <f aca="false">Purchase_Orders!A789</f>
        <v>PO10788</v>
      </c>
      <c r="B792" s="16" t="str">
        <f aca="false">Purchase_Orders!B789</f>
        <v>V1031</v>
      </c>
      <c r="C792" s="17" t="n">
        <f aca="false">Purchase_Orders!C789</f>
        <v>46110</v>
      </c>
      <c r="D792" s="18" t="n">
        <f aca="false">Purchase_Orders!D789</f>
        <v>851.07</v>
      </c>
      <c r="E792" s="16" t="str">
        <f aca="false">Purchase_Orders!F789</f>
        <v>Stephen Mckee</v>
      </c>
      <c r="F792" s="16" t="str">
        <f aca="false">Purchase_Orders!G789</f>
        <v>Richard Rodriguez</v>
      </c>
      <c r="G792" s="16" t="str">
        <f aca="false">IF(E792=F792,"VIOLATION - Same Person Requested &amp; Approved","OK")</f>
        <v>OK</v>
      </c>
    </row>
    <row r="793" customFormat="false" ht="15" hidden="false" customHeight="false" outlineLevel="0" collapsed="false">
      <c r="A793" s="16" t="str">
        <f aca="false">Purchase_Orders!A790</f>
        <v>PO10789</v>
      </c>
      <c r="B793" s="16" t="str">
        <f aca="false">Purchase_Orders!B790</f>
        <v>V1037</v>
      </c>
      <c r="C793" s="17" t="n">
        <f aca="false">Purchase_Orders!C790</f>
        <v>45803</v>
      </c>
      <c r="D793" s="18" t="n">
        <f aca="false">Purchase_Orders!D790</f>
        <v>14407.31</v>
      </c>
      <c r="E793" s="16" t="str">
        <f aca="false">Purchase_Orders!F790</f>
        <v>Kevin Mills</v>
      </c>
      <c r="F793" s="16" t="str">
        <f aca="false">Purchase_Orders!G790</f>
        <v>Sharon Cochran</v>
      </c>
      <c r="G793" s="16" t="str">
        <f aca="false">IF(E793=F793,"VIOLATION - Same Person Requested &amp; Approved","OK")</f>
        <v>OK</v>
      </c>
    </row>
    <row r="794" customFormat="false" ht="15" hidden="false" customHeight="false" outlineLevel="0" collapsed="false">
      <c r="A794" s="16" t="str">
        <f aca="false">Purchase_Orders!A791</f>
        <v>PO10790</v>
      </c>
      <c r="B794" s="16" t="str">
        <f aca="false">Purchase_Orders!B791</f>
        <v>V1039</v>
      </c>
      <c r="C794" s="17" t="n">
        <f aca="false">Purchase_Orders!C791</f>
        <v>45756</v>
      </c>
      <c r="D794" s="18" t="n">
        <f aca="false">Purchase_Orders!D791</f>
        <v>562.05</v>
      </c>
      <c r="E794" s="16" t="str">
        <f aca="false">Purchase_Orders!F791</f>
        <v>Richard Henson</v>
      </c>
      <c r="F794" s="16" t="str">
        <f aca="false">Purchase_Orders!G791</f>
        <v>Sharon Cherry</v>
      </c>
      <c r="G794" s="16" t="str">
        <f aca="false">IF(E794=F794,"VIOLATION - Same Person Requested &amp; Approved","OK")</f>
        <v>OK</v>
      </c>
    </row>
    <row r="795" customFormat="false" ht="15" hidden="false" customHeight="false" outlineLevel="0" collapsed="false">
      <c r="A795" s="16" t="str">
        <f aca="false">Purchase_Orders!A792</f>
        <v>PO10791</v>
      </c>
      <c r="B795" s="16" t="str">
        <f aca="false">Purchase_Orders!B792</f>
        <v>V1036</v>
      </c>
      <c r="C795" s="17" t="n">
        <f aca="false">Purchase_Orders!C792</f>
        <v>46040</v>
      </c>
      <c r="D795" s="18" t="n">
        <f aca="false">Purchase_Orders!D792</f>
        <v>4017.91</v>
      </c>
      <c r="E795" s="16" t="str">
        <f aca="false">Purchase_Orders!F792</f>
        <v>Deborah Figueroa</v>
      </c>
      <c r="F795" s="16" t="str">
        <f aca="false">Purchase_Orders!G792</f>
        <v>Evelyn Galvan</v>
      </c>
      <c r="G795" s="16" t="str">
        <f aca="false">IF(E795=F795,"VIOLATION - Same Person Requested &amp; Approved","OK")</f>
        <v>OK</v>
      </c>
    </row>
    <row r="796" customFormat="false" ht="15" hidden="false" customHeight="false" outlineLevel="0" collapsed="false">
      <c r="A796" s="16" t="str">
        <f aca="false">Purchase_Orders!A793</f>
        <v>PO10792</v>
      </c>
      <c r="B796" s="16" t="str">
        <f aca="false">Purchase_Orders!B793</f>
        <v>V1031</v>
      </c>
      <c r="C796" s="17" t="n">
        <f aca="false">Purchase_Orders!C793</f>
        <v>45826</v>
      </c>
      <c r="D796" s="18" t="n">
        <f aca="false">Purchase_Orders!D793</f>
        <v>9338.22</v>
      </c>
      <c r="E796" s="16" t="str">
        <f aca="false">Purchase_Orders!F793</f>
        <v>Angel Lewis MD</v>
      </c>
      <c r="F796" s="16" t="str">
        <f aca="false">Purchase_Orders!G793</f>
        <v>Shannon Walker</v>
      </c>
      <c r="G796" s="16" t="str">
        <f aca="false">IF(E796=F796,"VIOLATION - Same Person Requested &amp; Approved","OK")</f>
        <v>OK</v>
      </c>
    </row>
    <row r="797" customFormat="false" ht="15" hidden="false" customHeight="false" outlineLevel="0" collapsed="false">
      <c r="A797" s="16" t="str">
        <f aca="false">Purchase_Orders!A794</f>
        <v>PO10793</v>
      </c>
      <c r="B797" s="16" t="str">
        <f aca="false">Purchase_Orders!B794</f>
        <v>V1028</v>
      </c>
      <c r="C797" s="17" t="n">
        <f aca="false">Purchase_Orders!C794</f>
        <v>45843</v>
      </c>
      <c r="D797" s="18" t="n">
        <f aca="false">Purchase_Orders!D794</f>
        <v>474.6</v>
      </c>
      <c r="E797" s="16" t="str">
        <f aca="false">Purchase_Orders!F794</f>
        <v>Lisa Archer</v>
      </c>
      <c r="F797" s="16" t="str">
        <f aca="false">Purchase_Orders!G794</f>
        <v>Sharon Cochran</v>
      </c>
      <c r="G797" s="16" t="str">
        <f aca="false">IF(E797=F797,"VIOLATION - Same Person Requested &amp; Approved","OK")</f>
        <v>OK</v>
      </c>
    </row>
    <row r="798" customFormat="false" ht="15" hidden="false" customHeight="false" outlineLevel="0" collapsed="false">
      <c r="A798" s="16" t="str">
        <f aca="false">Purchase_Orders!A795</f>
        <v>PO10794</v>
      </c>
      <c r="B798" s="16" t="str">
        <f aca="false">Purchase_Orders!B795</f>
        <v>V1023</v>
      </c>
      <c r="C798" s="17" t="n">
        <f aca="false">Purchase_Orders!C795</f>
        <v>45661</v>
      </c>
      <c r="D798" s="18" t="n">
        <f aca="false">Purchase_Orders!D795</f>
        <v>857.39</v>
      </c>
      <c r="E798" s="16" t="str">
        <f aca="false">Purchase_Orders!F795</f>
        <v>Jimmy Murillo</v>
      </c>
      <c r="F798" s="16" t="str">
        <f aca="false">Purchase_Orders!G795</f>
        <v>Sharon Cherry</v>
      </c>
      <c r="G798" s="16" t="str">
        <f aca="false">IF(E798=F798,"VIOLATION - Same Person Requested &amp; Approved","OK")</f>
        <v>OK</v>
      </c>
    </row>
    <row r="799" customFormat="false" ht="15" hidden="false" customHeight="false" outlineLevel="0" collapsed="false">
      <c r="A799" s="16" t="str">
        <f aca="false">Purchase_Orders!A796</f>
        <v>PO10795</v>
      </c>
      <c r="B799" s="16" t="str">
        <f aca="false">Purchase_Orders!B796</f>
        <v>V1003</v>
      </c>
      <c r="C799" s="17" t="n">
        <f aca="false">Purchase_Orders!C796</f>
        <v>46132</v>
      </c>
      <c r="D799" s="18" t="n">
        <f aca="false">Purchase_Orders!D796</f>
        <v>8319.43</v>
      </c>
      <c r="E799" s="16" t="str">
        <f aca="false">Purchase_Orders!F796</f>
        <v>Lisa Archer</v>
      </c>
      <c r="F799" s="16" t="str">
        <f aca="false">Purchase_Orders!G796</f>
        <v>Shannon Walker</v>
      </c>
      <c r="G799" s="16" t="str">
        <f aca="false">IF(E799=F799,"VIOLATION - Same Person Requested &amp; Approved","OK")</f>
        <v>OK</v>
      </c>
    </row>
    <row r="800" customFormat="false" ht="15" hidden="false" customHeight="false" outlineLevel="0" collapsed="false">
      <c r="A800" s="16" t="str">
        <f aca="false">Purchase_Orders!A797</f>
        <v>PO10796</v>
      </c>
      <c r="B800" s="16" t="str">
        <f aca="false">Purchase_Orders!B797</f>
        <v>V1030</v>
      </c>
      <c r="C800" s="17" t="n">
        <f aca="false">Purchase_Orders!C797</f>
        <v>45966</v>
      </c>
      <c r="D800" s="18" t="n">
        <f aca="false">Purchase_Orders!D797</f>
        <v>259.66</v>
      </c>
      <c r="E800" s="16" t="str">
        <f aca="false">Purchase_Orders!F797</f>
        <v>James Powers</v>
      </c>
      <c r="F800" s="16" t="str">
        <f aca="false">Purchase_Orders!G797</f>
        <v>Richard Rodriguez</v>
      </c>
      <c r="G800" s="16" t="str">
        <f aca="false">IF(E800=F800,"VIOLATION - Same Person Requested &amp; Approved","OK")</f>
        <v>OK</v>
      </c>
    </row>
    <row r="801" customFormat="false" ht="15" hidden="false" customHeight="false" outlineLevel="0" collapsed="false">
      <c r="A801" s="16" t="str">
        <f aca="false">Purchase_Orders!A798</f>
        <v>PO10797</v>
      </c>
      <c r="B801" s="16" t="str">
        <f aca="false">Purchase_Orders!B798</f>
        <v>V1025</v>
      </c>
      <c r="C801" s="17" t="n">
        <f aca="false">Purchase_Orders!C798</f>
        <v>45876</v>
      </c>
      <c r="D801" s="18" t="n">
        <f aca="false">Purchase_Orders!D798</f>
        <v>1164.71</v>
      </c>
      <c r="E801" s="16" t="str">
        <f aca="false">Purchase_Orders!F798</f>
        <v>Christopher Bass</v>
      </c>
      <c r="F801" s="16" t="str">
        <f aca="false">Purchase_Orders!G798</f>
        <v>Julia Torres</v>
      </c>
      <c r="G801" s="16" t="str">
        <f aca="false">IF(E801=F801,"VIOLATION - Same Person Requested &amp; Approved","OK")</f>
        <v>OK</v>
      </c>
    </row>
    <row r="802" customFormat="false" ht="15" hidden="false" customHeight="false" outlineLevel="0" collapsed="false">
      <c r="A802" s="16" t="str">
        <f aca="false">Purchase_Orders!A799</f>
        <v>PO10798</v>
      </c>
      <c r="B802" s="16" t="str">
        <f aca="false">Purchase_Orders!B799</f>
        <v>V1002</v>
      </c>
      <c r="C802" s="17" t="n">
        <f aca="false">Purchase_Orders!C799</f>
        <v>45735</v>
      </c>
      <c r="D802" s="18" t="n">
        <f aca="false">Purchase_Orders!D799</f>
        <v>820.16</v>
      </c>
      <c r="E802" s="16" t="str">
        <f aca="false">Purchase_Orders!F799</f>
        <v>Shirley Suarez</v>
      </c>
      <c r="F802" s="16" t="str">
        <f aca="false">Purchase_Orders!G799</f>
        <v>Julia Torres</v>
      </c>
      <c r="G802" s="16" t="str">
        <f aca="false">IF(E802=F802,"VIOLATION - Same Person Requested &amp; Approved","OK")</f>
        <v>OK</v>
      </c>
    </row>
    <row r="803" customFormat="false" ht="15" hidden="false" customHeight="false" outlineLevel="0" collapsed="false">
      <c r="A803" s="16" t="str">
        <f aca="false">Purchase_Orders!A800</f>
        <v>PO10799</v>
      </c>
      <c r="B803" s="16" t="str">
        <f aca="false">Purchase_Orders!B800</f>
        <v>V1030</v>
      </c>
      <c r="C803" s="17" t="n">
        <f aca="false">Purchase_Orders!C800</f>
        <v>46003</v>
      </c>
      <c r="D803" s="18" t="n">
        <f aca="false">Purchase_Orders!D800</f>
        <v>309.11</v>
      </c>
      <c r="E803" s="16" t="str">
        <f aca="false">Purchase_Orders!F800</f>
        <v>Aimee Montoya</v>
      </c>
      <c r="F803" s="16" t="str">
        <f aca="false">Purchase_Orders!G800</f>
        <v>Marc Moore</v>
      </c>
      <c r="G803" s="16" t="str">
        <f aca="false">IF(E803=F803,"VIOLATION - Same Person Requested &amp; Approved","OK")</f>
        <v>OK</v>
      </c>
    </row>
    <row r="804" customFormat="false" ht="15" hidden="false" customHeight="false" outlineLevel="0" collapsed="false">
      <c r="A804" s="16" t="str">
        <f aca="false">Purchase_Orders!A801</f>
        <v>PO10800</v>
      </c>
      <c r="B804" s="16" t="str">
        <f aca="false">Purchase_Orders!B801</f>
        <v>V1024</v>
      </c>
      <c r="C804" s="17" t="n">
        <f aca="false">Purchase_Orders!C801</f>
        <v>45674</v>
      </c>
      <c r="D804" s="18" t="n">
        <f aca="false">Purchase_Orders!D801</f>
        <v>1722.25</v>
      </c>
      <c r="E804" s="16" t="str">
        <f aca="false">Purchase_Orders!F801</f>
        <v>Matthew Mcmillan</v>
      </c>
      <c r="F804" s="16" t="str">
        <f aca="false">Purchase_Orders!G801</f>
        <v>Shannon Walker</v>
      </c>
      <c r="G804" s="16" t="str">
        <f aca="false">IF(E804=F804,"VIOLATION - Same Person Requested &amp; Approved","OK")</f>
        <v>OK</v>
      </c>
    </row>
    <row r="805" customFormat="false" ht="15" hidden="false" customHeight="false" outlineLevel="0" collapsed="false">
      <c r="A805" s="16" t="str">
        <f aca="false">Purchase_Orders!A802</f>
        <v>PO10801</v>
      </c>
      <c r="B805" s="16" t="str">
        <f aca="false">Purchase_Orders!B802</f>
        <v>V1004</v>
      </c>
      <c r="C805" s="17" t="n">
        <f aca="false">Purchase_Orders!C802</f>
        <v>46064</v>
      </c>
      <c r="D805" s="18" t="n">
        <f aca="false">Purchase_Orders!D802</f>
        <v>1834.48</v>
      </c>
      <c r="E805" s="16" t="str">
        <f aca="false">Purchase_Orders!F802</f>
        <v>Matthew Mcmillan</v>
      </c>
      <c r="F805" s="16" t="str">
        <f aca="false">Purchase_Orders!G802</f>
        <v>Julia Torres</v>
      </c>
      <c r="G805" s="16" t="str">
        <f aca="false">IF(E805=F805,"VIOLATION - Same Person Requested &amp; Approved","OK")</f>
        <v>OK</v>
      </c>
    </row>
    <row r="806" customFormat="false" ht="15" hidden="false" customHeight="false" outlineLevel="0" collapsed="false">
      <c r="A806" s="16" t="str">
        <f aca="false">Purchase_Orders!A803</f>
        <v>PO10802</v>
      </c>
      <c r="B806" s="16" t="str">
        <f aca="false">Purchase_Orders!B803</f>
        <v>V1025</v>
      </c>
      <c r="C806" s="17" t="n">
        <f aca="false">Purchase_Orders!C803</f>
        <v>45775</v>
      </c>
      <c r="D806" s="18" t="n">
        <f aca="false">Purchase_Orders!D803</f>
        <v>2011.1</v>
      </c>
      <c r="E806" s="16" t="str">
        <f aca="false">Purchase_Orders!F803</f>
        <v>Sandra Aguilar</v>
      </c>
      <c r="F806" s="16" t="str">
        <f aca="false">Purchase_Orders!G803</f>
        <v>Sierra Johnson</v>
      </c>
      <c r="G806" s="16" t="str">
        <f aca="false">IF(E806=F806,"VIOLATION - Same Person Requested &amp; Approved","OK")</f>
        <v>OK</v>
      </c>
    </row>
    <row r="807" customFormat="false" ht="15" hidden="false" customHeight="false" outlineLevel="0" collapsed="false">
      <c r="A807" s="16" t="str">
        <f aca="false">Purchase_Orders!A804</f>
        <v>PO10803</v>
      </c>
      <c r="B807" s="16" t="str">
        <f aca="false">Purchase_Orders!B804</f>
        <v>V1004</v>
      </c>
      <c r="C807" s="17" t="n">
        <f aca="false">Purchase_Orders!C804</f>
        <v>45886</v>
      </c>
      <c r="D807" s="18" t="n">
        <f aca="false">Purchase_Orders!D804</f>
        <v>1373.43</v>
      </c>
      <c r="E807" s="16" t="str">
        <f aca="false">Purchase_Orders!F804</f>
        <v>Stephen Mckee</v>
      </c>
      <c r="F807" s="16" t="str">
        <f aca="false">Purchase_Orders!G804</f>
        <v>Evelyn Galvan</v>
      </c>
      <c r="G807" s="16" t="str">
        <f aca="false">IF(E807=F807,"VIOLATION - Same Person Requested &amp; Approved","OK")</f>
        <v>OK</v>
      </c>
    </row>
    <row r="808" customFormat="false" ht="15" hidden="false" customHeight="false" outlineLevel="0" collapsed="false">
      <c r="A808" s="16" t="str">
        <f aca="false">Purchase_Orders!A805</f>
        <v>PO10804</v>
      </c>
      <c r="B808" s="16" t="str">
        <f aca="false">Purchase_Orders!B805</f>
        <v>V1037</v>
      </c>
      <c r="C808" s="17" t="n">
        <f aca="false">Purchase_Orders!C805</f>
        <v>45843</v>
      </c>
      <c r="D808" s="18" t="n">
        <f aca="false">Purchase_Orders!D805</f>
        <v>2804.48</v>
      </c>
      <c r="E808" s="16" t="str">
        <f aca="false">Purchase_Orders!F805</f>
        <v>Angel Lewis MD</v>
      </c>
      <c r="F808" s="16" t="str">
        <f aca="false">Purchase_Orders!G805</f>
        <v>Shannon Walker</v>
      </c>
      <c r="G808" s="16" t="str">
        <f aca="false">IF(E808=F808,"VIOLATION - Same Person Requested &amp; Approved","OK")</f>
        <v>OK</v>
      </c>
    </row>
    <row r="809" customFormat="false" ht="15" hidden="false" customHeight="false" outlineLevel="0" collapsed="false">
      <c r="A809" s="16" t="str">
        <f aca="false">Purchase_Orders!A806</f>
        <v>PO10805</v>
      </c>
      <c r="B809" s="16" t="str">
        <f aca="false">Purchase_Orders!B806</f>
        <v>V1036</v>
      </c>
      <c r="C809" s="17" t="n">
        <f aca="false">Purchase_Orders!C806</f>
        <v>45859</v>
      </c>
      <c r="D809" s="18" t="n">
        <f aca="false">Purchase_Orders!D806</f>
        <v>241.56</v>
      </c>
      <c r="E809" s="16" t="str">
        <f aca="false">Purchase_Orders!F806</f>
        <v>Aimee Montoya</v>
      </c>
      <c r="F809" s="16" t="str">
        <f aca="false">Purchase_Orders!G806</f>
        <v>Julia Torres</v>
      </c>
      <c r="G809" s="16" t="str">
        <f aca="false">IF(E809=F809,"VIOLATION - Same Person Requested &amp; Approved","OK")</f>
        <v>OK</v>
      </c>
    </row>
    <row r="810" customFormat="false" ht="15" hidden="false" customHeight="false" outlineLevel="0" collapsed="false">
      <c r="A810" s="16" t="str">
        <f aca="false">Purchase_Orders!A807</f>
        <v>PO10806</v>
      </c>
      <c r="B810" s="16" t="str">
        <f aca="false">Purchase_Orders!B807</f>
        <v>V1024</v>
      </c>
      <c r="C810" s="17" t="n">
        <f aca="false">Purchase_Orders!C807</f>
        <v>46051</v>
      </c>
      <c r="D810" s="18" t="n">
        <f aca="false">Purchase_Orders!D807</f>
        <v>2328.97</v>
      </c>
      <c r="E810" s="16" t="str">
        <f aca="false">Purchase_Orders!F807</f>
        <v>Christopher Bass</v>
      </c>
      <c r="F810" s="16" t="str">
        <f aca="false">Purchase_Orders!G807</f>
        <v>Richard Rodriguez</v>
      </c>
      <c r="G810" s="16" t="str">
        <f aca="false">IF(E810=F810,"VIOLATION - Same Person Requested &amp; Approved","OK")</f>
        <v>OK</v>
      </c>
    </row>
    <row r="811" customFormat="false" ht="15" hidden="false" customHeight="false" outlineLevel="0" collapsed="false">
      <c r="A811" s="16" t="str">
        <f aca="false">Purchase_Orders!A808</f>
        <v>PO10807</v>
      </c>
      <c r="B811" s="16" t="str">
        <f aca="false">Purchase_Orders!B808</f>
        <v>V1030</v>
      </c>
      <c r="C811" s="17" t="n">
        <f aca="false">Purchase_Orders!C808</f>
        <v>46081</v>
      </c>
      <c r="D811" s="18" t="n">
        <f aca="false">Purchase_Orders!D808</f>
        <v>830.55</v>
      </c>
      <c r="E811" s="16" t="str">
        <f aca="false">Purchase_Orders!F808</f>
        <v>Denise Jacobs</v>
      </c>
      <c r="F811" s="16" t="str">
        <f aca="false">Purchase_Orders!G808</f>
        <v>Richard Rodriguez</v>
      </c>
      <c r="G811" s="16" t="str">
        <f aca="false">IF(E811=F811,"VIOLATION - Same Person Requested &amp; Approved","OK")</f>
        <v>OK</v>
      </c>
    </row>
    <row r="812" customFormat="false" ht="15" hidden="false" customHeight="false" outlineLevel="0" collapsed="false">
      <c r="A812" s="16" t="str">
        <f aca="false">Purchase_Orders!A809</f>
        <v>PO10808</v>
      </c>
      <c r="B812" s="16" t="str">
        <f aca="false">Purchase_Orders!B809</f>
        <v>V1029</v>
      </c>
      <c r="C812" s="17" t="n">
        <f aca="false">Purchase_Orders!C809</f>
        <v>45967</v>
      </c>
      <c r="D812" s="18" t="n">
        <f aca="false">Purchase_Orders!D809</f>
        <v>1962.84</v>
      </c>
      <c r="E812" s="16" t="str">
        <f aca="false">Purchase_Orders!F809</f>
        <v>Jessica Smith</v>
      </c>
      <c r="F812" s="16" t="str">
        <f aca="false">Purchase_Orders!G809</f>
        <v>Evelyn Galvan</v>
      </c>
      <c r="G812" s="16" t="str">
        <f aca="false">IF(E812=F812,"VIOLATION - Same Person Requested &amp; Approved","OK")</f>
        <v>OK</v>
      </c>
    </row>
    <row r="813" customFormat="false" ht="15" hidden="false" customHeight="false" outlineLevel="0" collapsed="false">
      <c r="A813" s="16" t="str">
        <f aca="false">Purchase_Orders!A810</f>
        <v>PO10809</v>
      </c>
      <c r="B813" s="16" t="str">
        <f aca="false">Purchase_Orders!B810</f>
        <v>V1026</v>
      </c>
      <c r="C813" s="17" t="n">
        <f aca="false">Purchase_Orders!C810</f>
        <v>45704</v>
      </c>
      <c r="D813" s="18" t="n">
        <f aca="false">Purchase_Orders!D810</f>
        <v>254.85</v>
      </c>
      <c r="E813" s="16" t="str">
        <f aca="false">Purchase_Orders!F810</f>
        <v>Deborah Figueroa</v>
      </c>
      <c r="F813" s="16" t="str">
        <f aca="false">Purchase_Orders!G810</f>
        <v>Sierra Johnson</v>
      </c>
      <c r="G813" s="16" t="str">
        <f aca="false">IF(E813=F813,"VIOLATION - Same Person Requested &amp; Approved","OK")</f>
        <v>OK</v>
      </c>
    </row>
    <row r="814" customFormat="false" ht="15" hidden="false" customHeight="false" outlineLevel="0" collapsed="false">
      <c r="A814" s="16" t="str">
        <f aca="false">Purchase_Orders!A811</f>
        <v>PO10810</v>
      </c>
      <c r="B814" s="16" t="str">
        <f aca="false">Purchase_Orders!B811</f>
        <v>V1038</v>
      </c>
      <c r="C814" s="17" t="n">
        <f aca="false">Purchase_Orders!C811</f>
        <v>45686</v>
      </c>
      <c r="D814" s="18" t="n">
        <f aca="false">Purchase_Orders!D811</f>
        <v>2755.05</v>
      </c>
      <c r="E814" s="16" t="str">
        <f aca="false">Purchase_Orders!F811</f>
        <v>Deborah Figueroa</v>
      </c>
      <c r="F814" s="16" t="str">
        <f aca="false">Purchase_Orders!G811</f>
        <v>Marc Moore</v>
      </c>
      <c r="G814" s="16" t="str">
        <f aca="false">IF(E814=F814,"VIOLATION - Same Person Requested &amp; Approved","OK")</f>
        <v>OK</v>
      </c>
    </row>
    <row r="815" customFormat="false" ht="15" hidden="false" customHeight="false" outlineLevel="0" collapsed="false">
      <c r="A815" s="16" t="str">
        <f aca="false">Purchase_Orders!A812</f>
        <v>PO10811</v>
      </c>
      <c r="B815" s="16" t="str">
        <f aca="false">Purchase_Orders!B812</f>
        <v>V1023</v>
      </c>
      <c r="C815" s="17" t="n">
        <f aca="false">Purchase_Orders!C812</f>
        <v>45743</v>
      </c>
      <c r="D815" s="18" t="n">
        <f aca="false">Purchase_Orders!D812</f>
        <v>6224.71</v>
      </c>
      <c r="E815" s="16" t="str">
        <f aca="false">Purchase_Orders!F812</f>
        <v>John Whitehead</v>
      </c>
      <c r="F815" s="16" t="str">
        <f aca="false">Purchase_Orders!G812</f>
        <v>Evelyn Galvan</v>
      </c>
      <c r="G815" s="16" t="str">
        <f aca="false">IF(E815=F815,"VIOLATION - Same Person Requested &amp; Approved","OK")</f>
        <v>OK</v>
      </c>
    </row>
    <row r="816" customFormat="false" ht="15" hidden="false" customHeight="false" outlineLevel="0" collapsed="false">
      <c r="A816" s="16" t="str">
        <f aca="false">Purchase_Orders!A813</f>
        <v>PO10812</v>
      </c>
      <c r="B816" s="16" t="str">
        <f aca="false">Purchase_Orders!B813</f>
        <v>V1033</v>
      </c>
      <c r="C816" s="17" t="n">
        <f aca="false">Purchase_Orders!C813</f>
        <v>45994</v>
      </c>
      <c r="D816" s="18" t="n">
        <f aca="false">Purchase_Orders!D813</f>
        <v>505.83</v>
      </c>
      <c r="E816" s="16" t="str">
        <f aca="false">Purchase_Orders!F813</f>
        <v>Aimee Montoya</v>
      </c>
      <c r="F816" s="16" t="str">
        <f aca="false">Purchase_Orders!G813</f>
        <v>Sharon Cherry</v>
      </c>
      <c r="G816" s="16" t="str">
        <f aca="false">IF(E816=F816,"VIOLATION - Same Person Requested &amp; Approved","OK")</f>
        <v>OK</v>
      </c>
    </row>
    <row r="817" customFormat="false" ht="15" hidden="false" customHeight="false" outlineLevel="0" collapsed="false">
      <c r="A817" s="16" t="str">
        <f aca="false">Purchase_Orders!A814</f>
        <v>PO10813</v>
      </c>
      <c r="B817" s="16" t="str">
        <f aca="false">Purchase_Orders!B814</f>
        <v>V1029</v>
      </c>
      <c r="C817" s="17" t="n">
        <f aca="false">Purchase_Orders!C814</f>
        <v>46025</v>
      </c>
      <c r="D817" s="18" t="n">
        <f aca="false">Purchase_Orders!D814</f>
        <v>3028.33</v>
      </c>
      <c r="E817" s="16" t="str">
        <f aca="false">Purchase_Orders!F814</f>
        <v>Christina Walters</v>
      </c>
      <c r="F817" s="16" t="str">
        <f aca="false">Purchase_Orders!G814</f>
        <v>Julia Torres</v>
      </c>
      <c r="G817" s="16" t="str">
        <f aca="false">IF(E817=F817,"VIOLATION - Same Person Requested &amp; Approved","OK")</f>
        <v>OK</v>
      </c>
    </row>
    <row r="818" customFormat="false" ht="15" hidden="false" customHeight="false" outlineLevel="0" collapsed="false">
      <c r="A818" s="16" t="str">
        <f aca="false">Purchase_Orders!A815</f>
        <v>PO10814</v>
      </c>
      <c r="B818" s="16" t="str">
        <f aca="false">Purchase_Orders!B815</f>
        <v>V1035</v>
      </c>
      <c r="C818" s="17" t="n">
        <f aca="false">Purchase_Orders!C815</f>
        <v>45806</v>
      </c>
      <c r="D818" s="18" t="n">
        <f aca="false">Purchase_Orders!D815</f>
        <v>556.23</v>
      </c>
      <c r="E818" s="16" t="str">
        <f aca="false">Purchase_Orders!F815</f>
        <v>Aimee Montoya</v>
      </c>
      <c r="F818" s="16" t="str">
        <f aca="false">Purchase_Orders!G815</f>
        <v>Evelyn Galvan</v>
      </c>
      <c r="G818" s="16" t="str">
        <f aca="false">IF(E818=F818,"VIOLATION - Same Person Requested &amp; Approved","OK")</f>
        <v>OK</v>
      </c>
    </row>
    <row r="819" customFormat="false" ht="15" hidden="false" customHeight="false" outlineLevel="0" collapsed="false">
      <c r="A819" s="16" t="str">
        <f aca="false">Purchase_Orders!A816</f>
        <v>PO10815</v>
      </c>
      <c r="B819" s="16" t="str">
        <f aca="false">Purchase_Orders!B816</f>
        <v>V1021</v>
      </c>
      <c r="C819" s="17" t="n">
        <f aca="false">Purchase_Orders!C816</f>
        <v>46018</v>
      </c>
      <c r="D819" s="18" t="n">
        <f aca="false">Purchase_Orders!D816</f>
        <v>12577.38</v>
      </c>
      <c r="E819" s="16" t="str">
        <f aca="false">Purchase_Orders!F816</f>
        <v>Jimmy Murillo</v>
      </c>
      <c r="F819" s="16" t="str">
        <f aca="false">Purchase_Orders!G816</f>
        <v>Shannon Walker</v>
      </c>
      <c r="G819" s="16" t="str">
        <f aca="false">IF(E819=F819,"VIOLATION - Same Person Requested &amp; Approved","OK")</f>
        <v>OK</v>
      </c>
    </row>
    <row r="820" customFormat="false" ht="15" hidden="false" customHeight="false" outlineLevel="0" collapsed="false">
      <c r="A820" s="16" t="str">
        <f aca="false">Purchase_Orders!A817</f>
        <v>PO10816</v>
      </c>
      <c r="B820" s="16" t="str">
        <f aca="false">Purchase_Orders!B817</f>
        <v>V1036</v>
      </c>
      <c r="C820" s="17" t="n">
        <f aca="false">Purchase_Orders!C817</f>
        <v>45922</v>
      </c>
      <c r="D820" s="18" t="n">
        <f aca="false">Purchase_Orders!D817</f>
        <v>5102.06</v>
      </c>
      <c r="E820" s="16" t="str">
        <f aca="false">Purchase_Orders!F817</f>
        <v>James Powers</v>
      </c>
      <c r="F820" s="16" t="str">
        <f aca="false">Purchase_Orders!G817</f>
        <v>Julia Torres</v>
      </c>
      <c r="G820" s="16" t="str">
        <f aca="false">IF(E820=F820,"VIOLATION - Same Person Requested &amp; Approved","OK")</f>
        <v>OK</v>
      </c>
    </row>
    <row r="821" customFormat="false" ht="15" hidden="false" customHeight="false" outlineLevel="0" collapsed="false">
      <c r="A821" s="16" t="str">
        <f aca="false">Purchase_Orders!A818</f>
        <v>PO10817</v>
      </c>
      <c r="B821" s="16" t="str">
        <f aca="false">Purchase_Orders!B818</f>
        <v>V1031</v>
      </c>
      <c r="C821" s="17" t="n">
        <f aca="false">Purchase_Orders!C818</f>
        <v>45898</v>
      </c>
      <c r="D821" s="18" t="n">
        <f aca="false">Purchase_Orders!D818</f>
        <v>854.6</v>
      </c>
      <c r="E821" s="16" t="str">
        <f aca="false">Purchase_Orders!F818</f>
        <v>Anna Henderson</v>
      </c>
      <c r="F821" s="16" t="str">
        <f aca="false">Purchase_Orders!G818</f>
        <v>Shannon Walker</v>
      </c>
      <c r="G821" s="16" t="str">
        <f aca="false">IF(E821=F821,"VIOLATION - Same Person Requested &amp; Approved","OK")</f>
        <v>OK</v>
      </c>
    </row>
    <row r="822" customFormat="false" ht="15" hidden="false" customHeight="false" outlineLevel="0" collapsed="false">
      <c r="A822" s="16" t="str">
        <f aca="false">Purchase_Orders!A819</f>
        <v>PO10818</v>
      </c>
      <c r="B822" s="16" t="str">
        <f aca="false">Purchase_Orders!B819</f>
        <v>V1040</v>
      </c>
      <c r="C822" s="17" t="n">
        <f aca="false">Purchase_Orders!C819</f>
        <v>45806</v>
      </c>
      <c r="D822" s="18" t="n">
        <f aca="false">Purchase_Orders!D819</f>
        <v>1844.19</v>
      </c>
      <c r="E822" s="16" t="str">
        <f aca="false">Purchase_Orders!F819</f>
        <v>Rebecca Valencia</v>
      </c>
      <c r="F822" s="16" t="str">
        <f aca="false">Purchase_Orders!G819</f>
        <v>Shannon Walker</v>
      </c>
      <c r="G822" s="16" t="str">
        <f aca="false">IF(E822=F822,"VIOLATION - Same Person Requested &amp; Approved","OK")</f>
        <v>OK</v>
      </c>
    </row>
    <row r="823" customFormat="false" ht="15" hidden="false" customHeight="false" outlineLevel="0" collapsed="false">
      <c r="A823" s="16" t="str">
        <f aca="false">Purchase_Orders!A820</f>
        <v>PO10819</v>
      </c>
      <c r="B823" s="16" t="str">
        <f aca="false">Purchase_Orders!B820</f>
        <v>V1016</v>
      </c>
      <c r="C823" s="17" t="n">
        <f aca="false">Purchase_Orders!C820</f>
        <v>46069</v>
      </c>
      <c r="D823" s="18" t="n">
        <f aca="false">Purchase_Orders!D820</f>
        <v>2123.23</v>
      </c>
      <c r="E823" s="16" t="str">
        <f aca="false">Purchase_Orders!F820</f>
        <v>Brian Rodriguez</v>
      </c>
      <c r="F823" s="16" t="str">
        <f aca="false">Purchase_Orders!G820</f>
        <v>Sharon Cherry</v>
      </c>
      <c r="G823" s="16" t="str">
        <f aca="false">IF(E823=F823,"VIOLATION - Same Person Requested &amp; Approved","OK")</f>
        <v>OK</v>
      </c>
    </row>
    <row r="824" customFormat="false" ht="15" hidden="false" customHeight="false" outlineLevel="0" collapsed="false">
      <c r="A824" s="16" t="str">
        <f aca="false">Purchase_Orders!A821</f>
        <v>PO10820</v>
      </c>
      <c r="B824" s="16" t="str">
        <f aca="false">Purchase_Orders!B821</f>
        <v>V1017</v>
      </c>
      <c r="C824" s="17" t="n">
        <f aca="false">Purchase_Orders!C821</f>
        <v>45720</v>
      </c>
      <c r="D824" s="18" t="n">
        <f aca="false">Purchase_Orders!D821</f>
        <v>424.45</v>
      </c>
      <c r="E824" s="16" t="str">
        <f aca="false">Purchase_Orders!F821</f>
        <v>Christopher Bass</v>
      </c>
      <c r="F824" s="16" t="str">
        <f aca="false">Purchase_Orders!G821</f>
        <v>Richard Rodriguez</v>
      </c>
      <c r="G824" s="16" t="str">
        <f aca="false">IF(E824=F824,"VIOLATION - Same Person Requested &amp; Approved","OK")</f>
        <v>OK</v>
      </c>
    </row>
    <row r="825" customFormat="false" ht="15" hidden="false" customHeight="false" outlineLevel="0" collapsed="false">
      <c r="A825" s="16" t="str">
        <f aca="false">Purchase_Orders!A822</f>
        <v>PO10821</v>
      </c>
      <c r="B825" s="16" t="str">
        <f aca="false">Purchase_Orders!B822</f>
        <v>V1006</v>
      </c>
      <c r="C825" s="17" t="n">
        <f aca="false">Purchase_Orders!C822</f>
        <v>45892</v>
      </c>
      <c r="D825" s="18" t="n">
        <f aca="false">Purchase_Orders!D822</f>
        <v>751.88</v>
      </c>
      <c r="E825" s="16" t="str">
        <f aca="false">Purchase_Orders!F822</f>
        <v>Stephen Mckee</v>
      </c>
      <c r="F825" s="16" t="str">
        <f aca="false">Purchase_Orders!G822</f>
        <v>Marc Moore</v>
      </c>
      <c r="G825" s="16" t="str">
        <f aca="false">IF(E825=F825,"VIOLATION - Same Person Requested &amp; Approved","OK")</f>
        <v>OK</v>
      </c>
    </row>
    <row r="826" customFormat="false" ht="15" hidden="false" customHeight="false" outlineLevel="0" collapsed="false">
      <c r="A826" s="16" t="str">
        <f aca="false">Purchase_Orders!A823</f>
        <v>PO10822</v>
      </c>
      <c r="B826" s="16" t="str">
        <f aca="false">Purchase_Orders!B823</f>
        <v>V1026</v>
      </c>
      <c r="C826" s="17" t="n">
        <f aca="false">Purchase_Orders!C823</f>
        <v>45812</v>
      </c>
      <c r="D826" s="18" t="n">
        <f aca="false">Purchase_Orders!D823</f>
        <v>2408.48</v>
      </c>
      <c r="E826" s="16" t="str">
        <f aca="false">Purchase_Orders!F823</f>
        <v>Sandra Aguilar</v>
      </c>
      <c r="F826" s="16" t="str">
        <f aca="false">Purchase_Orders!G823</f>
        <v>Shannon Walker</v>
      </c>
      <c r="G826" s="16" t="str">
        <f aca="false">IF(E826=F826,"VIOLATION - Same Person Requested &amp; Approved","OK")</f>
        <v>OK</v>
      </c>
    </row>
    <row r="827" customFormat="false" ht="15" hidden="false" customHeight="false" outlineLevel="0" collapsed="false">
      <c r="A827" s="16" t="str">
        <f aca="false">Purchase_Orders!A824</f>
        <v>PO10823</v>
      </c>
      <c r="B827" s="16" t="str">
        <f aca="false">Purchase_Orders!B824</f>
        <v>V1025</v>
      </c>
      <c r="C827" s="17" t="n">
        <f aca="false">Purchase_Orders!C824</f>
        <v>46027</v>
      </c>
      <c r="D827" s="18" t="n">
        <f aca="false">Purchase_Orders!D824</f>
        <v>197.82</v>
      </c>
      <c r="E827" s="16" t="str">
        <f aca="false">Purchase_Orders!F824</f>
        <v>Matthew Mcmillan</v>
      </c>
      <c r="F827" s="16" t="str">
        <f aca="false">Purchase_Orders!G824</f>
        <v>Shannon Walker</v>
      </c>
      <c r="G827" s="16" t="str">
        <f aca="false">IF(E827=F827,"VIOLATION - Same Person Requested &amp; Approved","OK")</f>
        <v>OK</v>
      </c>
    </row>
    <row r="828" customFormat="false" ht="15" hidden="false" customHeight="false" outlineLevel="0" collapsed="false">
      <c r="A828" s="16" t="str">
        <f aca="false">Purchase_Orders!A825</f>
        <v>PO10824</v>
      </c>
      <c r="B828" s="16" t="str">
        <f aca="false">Purchase_Orders!B825</f>
        <v>V1014</v>
      </c>
      <c r="C828" s="17" t="n">
        <f aca="false">Purchase_Orders!C825</f>
        <v>45923</v>
      </c>
      <c r="D828" s="18" t="n">
        <f aca="false">Purchase_Orders!D825</f>
        <v>5024.64</v>
      </c>
      <c r="E828" s="16" t="str">
        <f aca="false">Purchase_Orders!F825</f>
        <v>Eugene Walton</v>
      </c>
      <c r="F828" s="16" t="str">
        <f aca="false">Purchase_Orders!G825</f>
        <v>Sharon Cochran</v>
      </c>
      <c r="G828" s="16" t="str">
        <f aca="false">IF(E828=F828,"VIOLATION - Same Person Requested &amp; Approved","OK")</f>
        <v>OK</v>
      </c>
    </row>
    <row r="829" customFormat="false" ht="15" hidden="false" customHeight="false" outlineLevel="0" collapsed="false">
      <c r="A829" s="16" t="str">
        <f aca="false">Purchase_Orders!A826</f>
        <v>PO10825</v>
      </c>
      <c r="B829" s="16" t="str">
        <f aca="false">Purchase_Orders!B826</f>
        <v>V1034</v>
      </c>
      <c r="C829" s="17" t="n">
        <f aca="false">Purchase_Orders!C826</f>
        <v>46021</v>
      </c>
      <c r="D829" s="18" t="n">
        <f aca="false">Purchase_Orders!D826</f>
        <v>4289.12</v>
      </c>
      <c r="E829" s="16" t="str">
        <f aca="false">Purchase_Orders!F826</f>
        <v>Christine Wright</v>
      </c>
      <c r="F829" s="16" t="str">
        <f aca="false">Purchase_Orders!G826</f>
        <v>Evelyn Galvan</v>
      </c>
      <c r="G829" s="16" t="str">
        <f aca="false">IF(E829=F829,"VIOLATION - Same Person Requested &amp; Approved","OK")</f>
        <v>OK</v>
      </c>
    </row>
    <row r="830" customFormat="false" ht="15" hidden="false" customHeight="false" outlineLevel="0" collapsed="false">
      <c r="A830" s="16" t="str">
        <f aca="false">Purchase_Orders!A827</f>
        <v>PO10826</v>
      </c>
      <c r="B830" s="16" t="str">
        <f aca="false">Purchase_Orders!B827</f>
        <v>V1002</v>
      </c>
      <c r="C830" s="17" t="n">
        <f aca="false">Purchase_Orders!C827</f>
        <v>45682</v>
      </c>
      <c r="D830" s="18" t="n">
        <f aca="false">Purchase_Orders!D827</f>
        <v>264.62</v>
      </c>
      <c r="E830" s="16" t="str">
        <f aca="false">Purchase_Orders!F827</f>
        <v>Denise Jacobs</v>
      </c>
      <c r="F830" s="16" t="str">
        <f aca="false">Purchase_Orders!G827</f>
        <v>Julia Torres</v>
      </c>
      <c r="G830" s="16" t="str">
        <f aca="false">IF(E830=F830,"VIOLATION - Same Person Requested &amp; Approved","OK")</f>
        <v>OK</v>
      </c>
    </row>
    <row r="831" customFormat="false" ht="15" hidden="false" customHeight="false" outlineLevel="0" collapsed="false">
      <c r="A831" s="16" t="str">
        <f aca="false">Purchase_Orders!A828</f>
        <v>PO10827</v>
      </c>
      <c r="B831" s="16" t="str">
        <f aca="false">Purchase_Orders!B828</f>
        <v>V1002</v>
      </c>
      <c r="C831" s="17" t="n">
        <f aca="false">Purchase_Orders!C828</f>
        <v>45873</v>
      </c>
      <c r="D831" s="18" t="n">
        <f aca="false">Purchase_Orders!D828</f>
        <v>18783.05</v>
      </c>
      <c r="E831" s="16" t="str">
        <f aca="false">Purchase_Orders!F828</f>
        <v>Jessica Smith</v>
      </c>
      <c r="F831" s="16" t="str">
        <f aca="false">Purchase_Orders!G828</f>
        <v>Sierra Johnson</v>
      </c>
      <c r="G831" s="16" t="str">
        <f aca="false">IF(E831=F831,"VIOLATION - Same Person Requested &amp; Approved","OK")</f>
        <v>OK</v>
      </c>
    </row>
    <row r="832" customFormat="false" ht="15" hidden="false" customHeight="false" outlineLevel="0" collapsed="false">
      <c r="A832" s="16" t="str">
        <f aca="false">Purchase_Orders!A829</f>
        <v>PO10828</v>
      </c>
      <c r="B832" s="16" t="str">
        <f aca="false">Purchase_Orders!B829</f>
        <v>V1031</v>
      </c>
      <c r="C832" s="17" t="n">
        <f aca="false">Purchase_Orders!C829</f>
        <v>45984</v>
      </c>
      <c r="D832" s="18" t="n">
        <f aca="false">Purchase_Orders!D829</f>
        <v>796.83</v>
      </c>
      <c r="E832" s="16" t="str">
        <f aca="false">Purchase_Orders!F829</f>
        <v>Kevin Mills</v>
      </c>
      <c r="F832" s="16" t="str">
        <f aca="false">Purchase_Orders!G829</f>
        <v>Julia Torres</v>
      </c>
      <c r="G832" s="16" t="str">
        <f aca="false">IF(E832=F832,"VIOLATION - Same Person Requested &amp; Approved","OK")</f>
        <v>OK</v>
      </c>
    </row>
    <row r="833" customFormat="false" ht="15" hidden="false" customHeight="false" outlineLevel="0" collapsed="false">
      <c r="A833" s="16" t="str">
        <f aca="false">Purchase_Orders!A830</f>
        <v>PO10829</v>
      </c>
      <c r="B833" s="16" t="str">
        <f aca="false">Purchase_Orders!B830</f>
        <v>V1034</v>
      </c>
      <c r="C833" s="17" t="n">
        <f aca="false">Purchase_Orders!C830</f>
        <v>45662</v>
      </c>
      <c r="D833" s="18" t="n">
        <f aca="false">Purchase_Orders!D830</f>
        <v>115.93</v>
      </c>
      <c r="E833" s="16" t="str">
        <f aca="false">Purchase_Orders!F830</f>
        <v>Christina Walters</v>
      </c>
      <c r="F833" s="16" t="str">
        <f aca="false">Purchase_Orders!G830</f>
        <v>Sharon Cherry</v>
      </c>
      <c r="G833" s="16" t="str">
        <f aca="false">IF(E833=F833,"VIOLATION - Same Person Requested &amp; Approved","OK")</f>
        <v>OK</v>
      </c>
    </row>
    <row r="834" customFormat="false" ht="15" hidden="false" customHeight="false" outlineLevel="0" collapsed="false">
      <c r="A834" s="16" t="str">
        <f aca="false">Purchase_Orders!A831</f>
        <v>PO10830</v>
      </c>
      <c r="B834" s="16" t="str">
        <f aca="false">Purchase_Orders!B831</f>
        <v>V1039</v>
      </c>
      <c r="C834" s="17" t="n">
        <f aca="false">Purchase_Orders!C831</f>
        <v>45822</v>
      </c>
      <c r="D834" s="18" t="n">
        <f aca="false">Purchase_Orders!D831</f>
        <v>2115.29</v>
      </c>
      <c r="E834" s="16" t="str">
        <f aca="false">Purchase_Orders!F831</f>
        <v>Christine Wright</v>
      </c>
      <c r="F834" s="16" t="str">
        <f aca="false">Purchase_Orders!G831</f>
        <v>Sierra Johnson</v>
      </c>
      <c r="G834" s="16" t="str">
        <f aca="false">IF(E834=F834,"VIOLATION - Same Person Requested &amp; Approved","OK")</f>
        <v>OK</v>
      </c>
    </row>
    <row r="835" customFormat="false" ht="15" hidden="false" customHeight="false" outlineLevel="0" collapsed="false">
      <c r="A835" s="16" t="str">
        <f aca="false">Purchase_Orders!A832</f>
        <v>PO10831</v>
      </c>
      <c r="B835" s="16" t="str">
        <f aca="false">Purchase_Orders!B832</f>
        <v>V1037</v>
      </c>
      <c r="C835" s="17" t="n">
        <f aca="false">Purchase_Orders!C832</f>
        <v>45773</v>
      </c>
      <c r="D835" s="18" t="n">
        <f aca="false">Purchase_Orders!D832</f>
        <v>1027.6</v>
      </c>
      <c r="E835" s="16" t="str">
        <f aca="false">Purchase_Orders!F832</f>
        <v>Matthew Mcmillan</v>
      </c>
      <c r="F835" s="16" t="str">
        <f aca="false">Purchase_Orders!G832</f>
        <v>Julia Torres</v>
      </c>
      <c r="G835" s="16" t="str">
        <f aca="false">IF(E835=F835,"VIOLATION - Same Person Requested &amp; Approved","OK")</f>
        <v>OK</v>
      </c>
    </row>
    <row r="836" customFormat="false" ht="15" hidden="false" customHeight="false" outlineLevel="0" collapsed="false">
      <c r="A836" s="16" t="str">
        <f aca="false">Purchase_Orders!A833</f>
        <v>PO10832</v>
      </c>
      <c r="B836" s="16" t="str">
        <f aca="false">Purchase_Orders!B833</f>
        <v>V1003</v>
      </c>
      <c r="C836" s="17" t="n">
        <f aca="false">Purchase_Orders!C833</f>
        <v>45732</v>
      </c>
      <c r="D836" s="18" t="n">
        <f aca="false">Purchase_Orders!D833</f>
        <v>1165</v>
      </c>
      <c r="E836" s="16" t="str">
        <f aca="false">Purchase_Orders!F833</f>
        <v>Aaron Wise</v>
      </c>
      <c r="F836" s="16" t="str">
        <f aca="false">Purchase_Orders!G833</f>
        <v>Julia Torres</v>
      </c>
      <c r="G836" s="16" t="str">
        <f aca="false">IF(E836=F836,"VIOLATION - Same Person Requested &amp; Approved","OK")</f>
        <v>OK</v>
      </c>
    </row>
    <row r="837" customFormat="false" ht="15" hidden="false" customHeight="false" outlineLevel="0" collapsed="false">
      <c r="A837" s="16" t="str">
        <f aca="false">Purchase_Orders!A834</f>
        <v>PO10833</v>
      </c>
      <c r="B837" s="16" t="str">
        <f aca="false">Purchase_Orders!B834</f>
        <v>V1037</v>
      </c>
      <c r="C837" s="17" t="n">
        <f aca="false">Purchase_Orders!C834</f>
        <v>45797</v>
      </c>
      <c r="D837" s="18" t="n">
        <f aca="false">Purchase_Orders!D834</f>
        <v>1553.94</v>
      </c>
      <c r="E837" s="16" t="str">
        <f aca="false">Purchase_Orders!F834</f>
        <v>Eugene Walton</v>
      </c>
      <c r="F837" s="16" t="str">
        <f aca="false">Purchase_Orders!G834</f>
        <v>Julia Torres</v>
      </c>
      <c r="G837" s="16" t="str">
        <f aca="false">IF(E837=F837,"VIOLATION - Same Person Requested &amp; Approved","OK")</f>
        <v>OK</v>
      </c>
    </row>
    <row r="838" customFormat="false" ht="15" hidden="false" customHeight="false" outlineLevel="0" collapsed="false">
      <c r="A838" s="16" t="str">
        <f aca="false">Purchase_Orders!A835</f>
        <v>PO10834</v>
      </c>
      <c r="B838" s="16" t="str">
        <f aca="false">Purchase_Orders!B835</f>
        <v>V1024</v>
      </c>
      <c r="C838" s="17" t="n">
        <f aca="false">Purchase_Orders!C835</f>
        <v>45836</v>
      </c>
      <c r="D838" s="18" t="n">
        <f aca="false">Purchase_Orders!D835</f>
        <v>764.25</v>
      </c>
      <c r="E838" s="16" t="str">
        <f aca="false">Purchase_Orders!F835</f>
        <v>John Whitehead</v>
      </c>
      <c r="F838" s="16" t="str">
        <f aca="false">Purchase_Orders!G835</f>
        <v>Richard Rodriguez</v>
      </c>
      <c r="G838" s="16" t="str">
        <f aca="false">IF(E838=F838,"VIOLATION - Same Person Requested &amp; Approved","OK")</f>
        <v>OK</v>
      </c>
    </row>
    <row r="839" customFormat="false" ht="15" hidden="false" customHeight="false" outlineLevel="0" collapsed="false">
      <c r="A839" s="16" t="str">
        <f aca="false">Purchase_Orders!A836</f>
        <v>PO10835</v>
      </c>
      <c r="B839" s="16" t="str">
        <f aca="false">Purchase_Orders!B836</f>
        <v>V1022</v>
      </c>
      <c r="C839" s="17" t="n">
        <f aca="false">Purchase_Orders!C836</f>
        <v>45662</v>
      </c>
      <c r="D839" s="18" t="n">
        <f aca="false">Purchase_Orders!D836</f>
        <v>8318.12</v>
      </c>
      <c r="E839" s="16" t="str">
        <f aca="false">Purchase_Orders!F836</f>
        <v>Christina Moran</v>
      </c>
      <c r="F839" s="16" t="str">
        <f aca="false">Purchase_Orders!G836</f>
        <v>Christina Moran</v>
      </c>
      <c r="G839" s="16" t="str">
        <f aca="false">IF(E839=F839,"VIOLATION - Same Person Requested &amp; Approved","OK")</f>
        <v>VIOLATION - Same Person Requested &amp; Approved</v>
      </c>
    </row>
    <row r="840" customFormat="false" ht="15" hidden="false" customHeight="false" outlineLevel="0" collapsed="false">
      <c r="A840" s="16" t="str">
        <f aca="false">Purchase_Orders!A837</f>
        <v>PO10836</v>
      </c>
      <c r="B840" s="16" t="str">
        <f aca="false">Purchase_Orders!B837</f>
        <v>V1027</v>
      </c>
      <c r="C840" s="17" t="n">
        <f aca="false">Purchase_Orders!C837</f>
        <v>46065</v>
      </c>
      <c r="D840" s="18" t="n">
        <f aca="false">Purchase_Orders!D837</f>
        <v>2564.63</v>
      </c>
      <c r="E840" s="16" t="str">
        <f aca="false">Purchase_Orders!F837</f>
        <v>Matthew Mcmillan</v>
      </c>
      <c r="F840" s="16" t="str">
        <f aca="false">Purchase_Orders!G837</f>
        <v>Sharon Cherry</v>
      </c>
      <c r="G840" s="16" t="str">
        <f aca="false">IF(E840=F840,"VIOLATION - Same Person Requested &amp; Approved","OK")</f>
        <v>OK</v>
      </c>
    </row>
    <row r="841" customFormat="false" ht="15" hidden="false" customHeight="false" outlineLevel="0" collapsed="false">
      <c r="A841" s="16" t="str">
        <f aca="false">Purchase_Orders!A838</f>
        <v>PO10837</v>
      </c>
      <c r="B841" s="16" t="str">
        <f aca="false">Purchase_Orders!B838</f>
        <v>V1036</v>
      </c>
      <c r="C841" s="17" t="n">
        <f aca="false">Purchase_Orders!C838</f>
        <v>45753</v>
      </c>
      <c r="D841" s="18" t="n">
        <f aca="false">Purchase_Orders!D838</f>
        <v>5467.62</v>
      </c>
      <c r="E841" s="16" t="str">
        <f aca="false">Purchase_Orders!F838</f>
        <v>Angel Lewis MD</v>
      </c>
      <c r="F841" s="16" t="str">
        <f aca="false">Purchase_Orders!G838</f>
        <v>Evelyn Galvan</v>
      </c>
      <c r="G841" s="16" t="str">
        <f aca="false">IF(E841=F841,"VIOLATION - Same Person Requested &amp; Approved","OK")</f>
        <v>OK</v>
      </c>
    </row>
    <row r="842" customFormat="false" ht="15" hidden="false" customHeight="false" outlineLevel="0" collapsed="false">
      <c r="A842" s="16" t="str">
        <f aca="false">Purchase_Orders!A839</f>
        <v>PO10838</v>
      </c>
      <c r="B842" s="16" t="str">
        <f aca="false">Purchase_Orders!B839</f>
        <v>V1009</v>
      </c>
      <c r="C842" s="17" t="n">
        <f aca="false">Purchase_Orders!C839</f>
        <v>45865</v>
      </c>
      <c r="D842" s="18" t="n">
        <f aca="false">Purchase_Orders!D839</f>
        <v>4948.03</v>
      </c>
      <c r="E842" s="16" t="str">
        <f aca="false">Purchase_Orders!F839</f>
        <v>Deborah Figueroa</v>
      </c>
      <c r="F842" s="16" t="str">
        <f aca="false">Purchase_Orders!G839</f>
        <v>Sierra Johnson</v>
      </c>
      <c r="G842" s="16" t="str">
        <f aca="false">IF(E842=F842,"VIOLATION - Same Person Requested &amp; Approved","OK")</f>
        <v>OK</v>
      </c>
    </row>
    <row r="843" customFormat="false" ht="15" hidden="false" customHeight="false" outlineLevel="0" collapsed="false">
      <c r="A843" s="16" t="str">
        <f aca="false">Purchase_Orders!A840</f>
        <v>PO10839</v>
      </c>
      <c r="B843" s="16" t="str">
        <f aca="false">Purchase_Orders!B840</f>
        <v>V1029</v>
      </c>
      <c r="C843" s="17" t="n">
        <f aca="false">Purchase_Orders!C840</f>
        <v>46041</v>
      </c>
      <c r="D843" s="18" t="n">
        <f aca="false">Purchase_Orders!D840</f>
        <v>1631.21</v>
      </c>
      <c r="E843" s="16" t="str">
        <f aca="false">Purchase_Orders!F840</f>
        <v>Christina Walters</v>
      </c>
      <c r="F843" s="16" t="str">
        <f aca="false">Purchase_Orders!G840</f>
        <v>Julia Torres</v>
      </c>
      <c r="G843" s="16" t="str">
        <f aca="false">IF(E843=F843,"VIOLATION - Same Person Requested &amp; Approved","OK")</f>
        <v>OK</v>
      </c>
    </row>
    <row r="844" customFormat="false" ht="15" hidden="false" customHeight="false" outlineLevel="0" collapsed="false">
      <c r="A844" s="16" t="str">
        <f aca="false">Purchase_Orders!A841</f>
        <v>PO10840</v>
      </c>
      <c r="B844" s="16" t="str">
        <f aca="false">Purchase_Orders!B841</f>
        <v>V1040</v>
      </c>
      <c r="C844" s="17" t="n">
        <f aca="false">Purchase_Orders!C841</f>
        <v>45930</v>
      </c>
      <c r="D844" s="18" t="n">
        <f aca="false">Purchase_Orders!D841</f>
        <v>819.06</v>
      </c>
      <c r="E844" s="16" t="str">
        <f aca="false">Purchase_Orders!F841</f>
        <v>Denise Jacobs</v>
      </c>
      <c r="F844" s="16" t="str">
        <f aca="false">Purchase_Orders!G841</f>
        <v>Sierra Johnson</v>
      </c>
      <c r="G844" s="16" t="str">
        <f aca="false">IF(E844=F844,"VIOLATION - Same Person Requested &amp; Approved","OK")</f>
        <v>OK</v>
      </c>
    </row>
    <row r="845" customFormat="false" ht="15" hidden="false" customHeight="false" outlineLevel="0" collapsed="false">
      <c r="A845" s="16" t="str">
        <f aca="false">Purchase_Orders!A842</f>
        <v>PO10841</v>
      </c>
      <c r="B845" s="16" t="str">
        <f aca="false">Purchase_Orders!B842</f>
        <v>V1009</v>
      </c>
      <c r="C845" s="17" t="n">
        <f aca="false">Purchase_Orders!C842</f>
        <v>46112</v>
      </c>
      <c r="D845" s="18" t="n">
        <f aca="false">Purchase_Orders!D842</f>
        <v>1380.81</v>
      </c>
      <c r="E845" s="16" t="str">
        <f aca="false">Purchase_Orders!F842</f>
        <v>Cameron Parker</v>
      </c>
      <c r="F845" s="16" t="str">
        <f aca="false">Purchase_Orders!G842</f>
        <v>Shannon Walker</v>
      </c>
      <c r="G845" s="16" t="str">
        <f aca="false">IF(E845=F845,"VIOLATION - Same Person Requested &amp; Approved","OK")</f>
        <v>OK</v>
      </c>
    </row>
    <row r="846" customFormat="false" ht="15" hidden="false" customHeight="false" outlineLevel="0" collapsed="false">
      <c r="A846" s="16" t="str">
        <f aca="false">Purchase_Orders!A843</f>
        <v>PO10842</v>
      </c>
      <c r="B846" s="16" t="str">
        <f aca="false">Purchase_Orders!B843</f>
        <v>V1028</v>
      </c>
      <c r="C846" s="17" t="n">
        <f aca="false">Purchase_Orders!C843</f>
        <v>46097</v>
      </c>
      <c r="D846" s="18" t="n">
        <f aca="false">Purchase_Orders!D843</f>
        <v>537.91</v>
      </c>
      <c r="E846" s="16" t="str">
        <f aca="false">Purchase_Orders!F843</f>
        <v>Christine Wright</v>
      </c>
      <c r="F846" s="16" t="str">
        <f aca="false">Purchase_Orders!G843</f>
        <v>Evelyn Galvan</v>
      </c>
      <c r="G846" s="16" t="str">
        <f aca="false">IF(E846=F846,"VIOLATION - Same Person Requested &amp; Approved","OK")</f>
        <v>OK</v>
      </c>
    </row>
    <row r="847" customFormat="false" ht="15" hidden="false" customHeight="false" outlineLevel="0" collapsed="false">
      <c r="A847" s="16" t="str">
        <f aca="false">Purchase_Orders!A844</f>
        <v>PO10843</v>
      </c>
      <c r="B847" s="16" t="str">
        <f aca="false">Purchase_Orders!B844</f>
        <v>V1039</v>
      </c>
      <c r="C847" s="17" t="n">
        <f aca="false">Purchase_Orders!C844</f>
        <v>45697</v>
      </c>
      <c r="D847" s="18" t="n">
        <f aca="false">Purchase_Orders!D844</f>
        <v>2224.01</v>
      </c>
      <c r="E847" s="16" t="str">
        <f aca="false">Purchase_Orders!F844</f>
        <v>Christina Walters</v>
      </c>
      <c r="F847" s="16" t="str">
        <f aca="false">Purchase_Orders!G844</f>
        <v>Christina Walters</v>
      </c>
      <c r="G847" s="16" t="str">
        <f aca="false">IF(E847=F847,"VIOLATION - Same Person Requested &amp; Approved","OK")</f>
        <v>VIOLATION - Same Person Requested &amp; Approved</v>
      </c>
    </row>
    <row r="848" customFormat="false" ht="15" hidden="false" customHeight="false" outlineLevel="0" collapsed="false">
      <c r="A848" s="16" t="str">
        <f aca="false">Purchase_Orders!A845</f>
        <v>PO10844</v>
      </c>
      <c r="B848" s="16" t="str">
        <f aca="false">Purchase_Orders!B845</f>
        <v>V1019</v>
      </c>
      <c r="C848" s="17" t="n">
        <f aca="false">Purchase_Orders!C845</f>
        <v>46127</v>
      </c>
      <c r="D848" s="18" t="n">
        <f aca="false">Purchase_Orders!D845</f>
        <v>972.49</v>
      </c>
      <c r="E848" s="16" t="str">
        <f aca="false">Purchase_Orders!F845</f>
        <v>Shirley Suarez</v>
      </c>
      <c r="F848" s="16" t="str">
        <f aca="false">Purchase_Orders!G845</f>
        <v>Evelyn Galvan</v>
      </c>
      <c r="G848" s="16" t="str">
        <f aca="false">IF(E848=F848,"VIOLATION - Same Person Requested &amp; Approved","OK")</f>
        <v>OK</v>
      </c>
    </row>
    <row r="849" customFormat="false" ht="15" hidden="false" customHeight="false" outlineLevel="0" collapsed="false">
      <c r="A849" s="16" t="str">
        <f aca="false">Purchase_Orders!A846</f>
        <v>PO10845</v>
      </c>
      <c r="B849" s="16" t="str">
        <f aca="false">Purchase_Orders!B846</f>
        <v>V1012</v>
      </c>
      <c r="C849" s="17" t="n">
        <f aca="false">Purchase_Orders!C846</f>
        <v>45681</v>
      </c>
      <c r="D849" s="18" t="n">
        <f aca="false">Purchase_Orders!D846</f>
        <v>5021.94</v>
      </c>
      <c r="E849" s="16" t="str">
        <f aca="false">Purchase_Orders!F846</f>
        <v>Rebecca Valencia</v>
      </c>
      <c r="F849" s="16" t="str">
        <f aca="false">Purchase_Orders!G846</f>
        <v>Sharon Cherry</v>
      </c>
      <c r="G849" s="16" t="str">
        <f aca="false">IF(E849=F849,"VIOLATION - Same Person Requested &amp; Approved","OK")</f>
        <v>OK</v>
      </c>
    </row>
    <row r="850" customFormat="false" ht="15" hidden="false" customHeight="false" outlineLevel="0" collapsed="false">
      <c r="A850" s="16" t="str">
        <f aca="false">Purchase_Orders!A847</f>
        <v>PO10846</v>
      </c>
      <c r="B850" s="16" t="str">
        <f aca="false">Purchase_Orders!B847</f>
        <v>V1007</v>
      </c>
      <c r="C850" s="17" t="n">
        <f aca="false">Purchase_Orders!C847</f>
        <v>45668</v>
      </c>
      <c r="D850" s="18" t="n">
        <f aca="false">Purchase_Orders!D847</f>
        <v>5287.19</v>
      </c>
      <c r="E850" s="16" t="str">
        <f aca="false">Purchase_Orders!F847</f>
        <v>Deborah Figueroa</v>
      </c>
      <c r="F850" s="16" t="str">
        <f aca="false">Purchase_Orders!G847</f>
        <v>Sierra Johnson</v>
      </c>
      <c r="G850" s="16" t="str">
        <f aca="false">IF(E850=F850,"VIOLATION - Same Person Requested &amp; Approved","OK")</f>
        <v>OK</v>
      </c>
    </row>
    <row r="851" customFormat="false" ht="15" hidden="false" customHeight="false" outlineLevel="0" collapsed="false">
      <c r="A851" s="16" t="str">
        <f aca="false">Purchase_Orders!A848</f>
        <v>PO10847</v>
      </c>
      <c r="B851" s="16" t="str">
        <f aca="false">Purchase_Orders!B848</f>
        <v>V1020</v>
      </c>
      <c r="C851" s="17" t="n">
        <f aca="false">Purchase_Orders!C848</f>
        <v>46160</v>
      </c>
      <c r="D851" s="18" t="n">
        <f aca="false">Purchase_Orders!D848</f>
        <v>7892.6</v>
      </c>
      <c r="E851" s="16" t="str">
        <f aca="false">Purchase_Orders!F848</f>
        <v>Shirley Suarez</v>
      </c>
      <c r="F851" s="16" t="str">
        <f aca="false">Purchase_Orders!G848</f>
        <v>Julia Torres</v>
      </c>
      <c r="G851" s="16" t="str">
        <f aca="false">IF(E851=F851,"VIOLATION - Same Person Requested &amp; Approved","OK")</f>
        <v>OK</v>
      </c>
    </row>
    <row r="852" customFormat="false" ht="15" hidden="false" customHeight="false" outlineLevel="0" collapsed="false">
      <c r="A852" s="16" t="str">
        <f aca="false">Purchase_Orders!A849</f>
        <v>PO10848</v>
      </c>
      <c r="B852" s="16" t="str">
        <f aca="false">Purchase_Orders!B849</f>
        <v>V1029</v>
      </c>
      <c r="C852" s="17" t="n">
        <f aca="false">Purchase_Orders!C849</f>
        <v>46127</v>
      </c>
      <c r="D852" s="18" t="n">
        <f aca="false">Purchase_Orders!D849</f>
        <v>5336.94</v>
      </c>
      <c r="E852" s="16" t="str">
        <f aca="false">Purchase_Orders!F849</f>
        <v>Cameron Parker</v>
      </c>
      <c r="F852" s="16" t="str">
        <f aca="false">Purchase_Orders!G849</f>
        <v>Julia Torres</v>
      </c>
      <c r="G852" s="16" t="str">
        <f aca="false">IF(E852=F852,"VIOLATION - Same Person Requested &amp; Approved","OK")</f>
        <v>OK</v>
      </c>
    </row>
    <row r="853" customFormat="false" ht="15" hidden="false" customHeight="false" outlineLevel="0" collapsed="false">
      <c r="A853" s="16" t="str">
        <f aca="false">Purchase_Orders!A850</f>
        <v>PO10849</v>
      </c>
      <c r="B853" s="16" t="str">
        <f aca="false">Purchase_Orders!B850</f>
        <v>V1033</v>
      </c>
      <c r="C853" s="17" t="n">
        <f aca="false">Purchase_Orders!C850</f>
        <v>45971</v>
      </c>
      <c r="D853" s="18" t="n">
        <f aca="false">Purchase_Orders!D850</f>
        <v>2474.64</v>
      </c>
      <c r="E853" s="16" t="str">
        <f aca="false">Purchase_Orders!F850</f>
        <v>Sandra Aguilar</v>
      </c>
      <c r="F853" s="16" t="str">
        <f aca="false">Purchase_Orders!G850</f>
        <v>Richard Rodriguez</v>
      </c>
      <c r="G853" s="16" t="str">
        <f aca="false">IF(E853=F853,"VIOLATION - Same Person Requested &amp; Approved","OK")</f>
        <v>OK</v>
      </c>
    </row>
    <row r="854" customFormat="false" ht="15" hidden="false" customHeight="false" outlineLevel="0" collapsed="false">
      <c r="A854" s="16" t="str">
        <f aca="false">Purchase_Orders!A851</f>
        <v>PO10850</v>
      </c>
      <c r="B854" s="16" t="str">
        <f aca="false">Purchase_Orders!B851</f>
        <v>V1014</v>
      </c>
      <c r="C854" s="17" t="n">
        <f aca="false">Purchase_Orders!C851</f>
        <v>45970</v>
      </c>
      <c r="D854" s="18" t="n">
        <f aca="false">Purchase_Orders!D851</f>
        <v>4104.49</v>
      </c>
      <c r="E854" s="16" t="str">
        <f aca="false">Purchase_Orders!F851</f>
        <v>Stephen Mckee</v>
      </c>
      <c r="F854" s="16" t="str">
        <f aca="false">Purchase_Orders!G851</f>
        <v>Shannon Walker</v>
      </c>
      <c r="G854" s="16" t="str">
        <f aca="false">IF(E854=F854,"VIOLATION - Same Person Requested &amp; Approved","OK")</f>
        <v>OK</v>
      </c>
    </row>
    <row r="857" customFormat="false" ht="15" hidden="false" customHeight="false" outlineLevel="0" collapsed="false">
      <c r="A857" s="3" t="s">
        <v>5606</v>
      </c>
      <c r="B857" s="4" t="n">
        <f aca="false">COUNTIF($G$5:$G$854,"VIOLATION*")</f>
        <v>21</v>
      </c>
    </row>
  </sheetData>
  <autoFilter ref="A4:G8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7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5607</v>
      </c>
    </row>
    <row r="2" customFormat="false" ht="15" hidden="false" customHeight="false" outlineLevel="0" collapsed="false">
      <c r="A2" s="2" t="s">
        <v>5608</v>
      </c>
    </row>
    <row r="4" customFormat="false" ht="27.75" hidden="false" customHeight="true" outlineLevel="0" collapsed="false">
      <c r="A4" s="7" t="s">
        <v>2838</v>
      </c>
      <c r="B4" s="7" t="s">
        <v>63</v>
      </c>
      <c r="C4" s="7" t="s">
        <v>64</v>
      </c>
      <c r="D4" s="7" t="s">
        <v>66</v>
      </c>
      <c r="E4" s="7" t="s">
        <v>67</v>
      </c>
      <c r="F4" s="7" t="s">
        <v>2839</v>
      </c>
      <c r="G4" s="7" t="s">
        <v>2840</v>
      </c>
      <c r="H4" s="7" t="s">
        <v>5609</v>
      </c>
      <c r="I4" s="7" t="s">
        <v>5610</v>
      </c>
      <c r="J4" s="7" t="s">
        <v>5611</v>
      </c>
      <c r="K4" s="7" t="s">
        <v>5612</v>
      </c>
      <c r="L4" s="7" t="s">
        <v>5613</v>
      </c>
      <c r="M4" s="7" t="s">
        <v>5614</v>
      </c>
    </row>
    <row r="5" customFormat="false" ht="15" hidden="false" customHeight="false" outlineLevel="0" collapsed="false">
      <c r="A5" s="16" t="str">
        <f aca="false">Payment_Log_AP!A2</f>
        <v>PAY40001</v>
      </c>
      <c r="B5" s="16" t="str">
        <f aca="false">Payment_Log_AP!C2</f>
        <v>V1020</v>
      </c>
      <c r="C5" s="16" t="str">
        <f aca="false">IFERROR(INDEX(Vendor_Master!$B$2:$B$41,MATCH(B5,Vendor_Master!$A$2:$A$41,0)),"Unknown Vendor")</f>
        <v>Lewis-Porter</v>
      </c>
      <c r="D5" s="16" t="str">
        <f aca="false">IFERROR(INDEX(Vendor_Master!$D$2:$D$41,MATCH(B5,Vendor_Master!$A$2:$A$41,0)),"Unknown")</f>
        <v>UAE</v>
      </c>
      <c r="E5" s="17" t="n">
        <f aca="false">IFERROR(INDEX(Vendor_Master!$E$2:$E$41,MATCH(B5,Vendor_Master!$A$2:$A$41,0)),"")</f>
        <v>45947</v>
      </c>
      <c r="F5" s="17" t="n">
        <f aca="false">Payment_Log_AP!D2</f>
        <v>46142</v>
      </c>
      <c r="G5" s="18" t="n">
        <f aca="false">Payment_Log_AP!E2</f>
        <v>1417.41</v>
      </c>
      <c r="H5" s="16" t="n">
        <f aca="false">IF(G5&gt;=Assumptions!$B$7,40,IF(G5&gt;=Assumptions!$B$8,20,0))</f>
        <v>0</v>
      </c>
      <c r="I5" s="16" t="n">
        <f aca="false">IF(MOD(G5,500)=0,20,IF(MOD(G5,100)=0,10,0))</f>
        <v>0</v>
      </c>
      <c r="J5" s="16" t="n">
        <f aca="false">IF(AND(E5&lt;&gt;"",F5-E5&lt;=Assumptions!$B$9),25,0)</f>
        <v>0</v>
      </c>
      <c r="K5" s="16" t="n">
        <f aca="false">IF(ISNUMBER(SEARCH(D5,Assumptions!$B$10)),15,0)</f>
        <v>15</v>
      </c>
      <c r="L5" s="16" t="n">
        <f aca="false">H5+I5+J5+K5</f>
        <v>15</v>
      </c>
      <c r="M5" s="16" t="str">
        <f aca="false">IF(L5&gt;=60,"High",IF(L5&gt;=30,"Medium","Low"))</f>
        <v>Low</v>
      </c>
    </row>
    <row r="6" customFormat="false" ht="15" hidden="false" customHeight="false" outlineLevel="0" collapsed="false">
      <c r="A6" s="16" t="str">
        <f aca="false">Payment_Log_AP!A3</f>
        <v>PAY40002</v>
      </c>
      <c r="B6" s="16" t="str">
        <f aca="false">Payment_Log_AP!C3</f>
        <v>V1034</v>
      </c>
      <c r="C6" s="16" t="str">
        <f aca="false">IFERROR(INDEX(Vendor_Master!$B$2:$B$41,MATCH(B6,Vendor_Master!$A$2:$A$41,0)),"Unknown Vendor")</f>
        <v>Koch-Decker</v>
      </c>
      <c r="D6" s="16" t="str">
        <f aca="false">IFERROR(INDEX(Vendor_Master!$D$2:$D$41,MATCH(B6,Vendor_Master!$A$2:$A$41,0)),"Unknown")</f>
        <v>Germany</v>
      </c>
      <c r="E6" s="17" t="n">
        <f aca="false">IFERROR(INDEX(Vendor_Master!$E$2:$E$41,MATCH(B6,Vendor_Master!$A$2:$A$41,0)),"")</f>
        <v>44738</v>
      </c>
      <c r="F6" s="17" t="n">
        <f aca="false">Payment_Log_AP!D3</f>
        <v>45805</v>
      </c>
      <c r="G6" s="18" t="n">
        <f aca="false">Payment_Log_AP!E3</f>
        <v>1749.66</v>
      </c>
      <c r="H6" s="16" t="n">
        <f aca="false">IF(G6&gt;=Assumptions!$B$7,40,IF(G6&gt;=Assumptions!$B$8,20,0))</f>
        <v>0</v>
      </c>
      <c r="I6" s="16" t="n">
        <f aca="false">IF(MOD(G6,500)=0,20,IF(MOD(G6,100)=0,10,0))</f>
        <v>0</v>
      </c>
      <c r="J6" s="16" t="n">
        <f aca="false">IF(AND(E6&lt;&gt;"",F6-E6&lt;=Assumptions!$B$9),25,0)</f>
        <v>0</v>
      </c>
      <c r="K6" s="16" t="n">
        <f aca="false">IF(ISNUMBER(SEARCH(D6,Assumptions!$B$10)),15,0)</f>
        <v>0</v>
      </c>
      <c r="L6" s="16" t="n">
        <f aca="false">H6+I6+J6+K6</f>
        <v>0</v>
      </c>
      <c r="M6" s="16" t="str">
        <f aca="false">IF(L6&gt;=60,"High",IF(L6&gt;=30,"Medium","Low"))</f>
        <v>Low</v>
      </c>
    </row>
    <row r="7" customFormat="false" ht="15" hidden="false" customHeight="false" outlineLevel="0" collapsed="false">
      <c r="A7" s="16" t="str">
        <f aca="false">Payment_Log_AP!A4</f>
        <v>PAY40003</v>
      </c>
      <c r="B7" s="16" t="str">
        <f aca="false">Payment_Log_AP!C4</f>
        <v>V1014</v>
      </c>
      <c r="C7" s="16" t="str">
        <f aca="false">IFERROR(INDEX(Vendor_Master!$B$2:$B$41,MATCH(B7,Vendor_Master!$A$2:$A$41,0)),"Unknown Vendor")</f>
        <v>Flowers, Martin and Kelly</v>
      </c>
      <c r="D7" s="16" t="str">
        <f aca="false">IFERROR(INDEX(Vendor_Master!$D$2:$D$41,MATCH(B7,Vendor_Master!$A$2:$A$41,0)),"Unknown")</f>
        <v>India</v>
      </c>
      <c r="E7" s="17" t="n">
        <f aca="false">IFERROR(INDEX(Vendor_Master!$E$2:$E$41,MATCH(B7,Vendor_Master!$A$2:$A$41,0)),"")</f>
        <v>45001</v>
      </c>
      <c r="F7" s="17" t="n">
        <f aca="false">Payment_Log_AP!D4</f>
        <v>45683</v>
      </c>
      <c r="G7" s="18" t="n">
        <f aca="false">Payment_Log_AP!E4</f>
        <v>2691.35</v>
      </c>
      <c r="H7" s="16" t="n">
        <f aca="false">IF(G7&gt;=Assumptions!$B$7,40,IF(G7&gt;=Assumptions!$B$8,20,0))</f>
        <v>0</v>
      </c>
      <c r="I7" s="16" t="n">
        <f aca="false">IF(MOD(G7,500)=0,20,IF(MOD(G7,100)=0,10,0))</f>
        <v>0</v>
      </c>
      <c r="J7" s="16" t="n">
        <f aca="false">IF(AND(E7&lt;&gt;"",F7-E7&lt;=Assumptions!$B$9),25,0)</f>
        <v>0</v>
      </c>
      <c r="K7" s="16" t="n">
        <f aca="false">IF(ISNUMBER(SEARCH(D7,Assumptions!$B$10)),15,0)</f>
        <v>15</v>
      </c>
      <c r="L7" s="16" t="n">
        <f aca="false">H7+I7+J7+K7</f>
        <v>15</v>
      </c>
      <c r="M7" s="16" t="str">
        <f aca="false">IF(L7&gt;=60,"High",IF(L7&gt;=30,"Medium","Low"))</f>
        <v>Low</v>
      </c>
    </row>
    <row r="8" customFormat="false" ht="15" hidden="false" customHeight="false" outlineLevel="0" collapsed="false">
      <c r="A8" s="16" t="str">
        <f aca="false">Payment_Log_AP!A5</f>
        <v>PAY40004</v>
      </c>
      <c r="B8" s="16" t="str">
        <f aca="false">Payment_Log_AP!C5</f>
        <v>V1040</v>
      </c>
      <c r="C8" s="16" t="str">
        <f aca="false">IFERROR(INDEX(Vendor_Master!$B$2:$B$41,MATCH(B8,Vendor_Master!$A$2:$A$41,0)),"Unknown Vendor")</f>
        <v>Santos, Kim and Holmes</v>
      </c>
      <c r="D8" s="16" t="str">
        <f aca="false">IFERROR(INDEX(Vendor_Master!$D$2:$D$41,MATCH(B8,Vendor_Master!$A$2:$A$41,0)),"Unknown")</f>
        <v>India</v>
      </c>
      <c r="E8" s="17" t="n">
        <f aca="false">IFERROR(INDEX(Vendor_Master!$E$2:$E$41,MATCH(B8,Vendor_Master!$A$2:$A$41,0)),"")</f>
        <v>45192</v>
      </c>
      <c r="F8" s="17" t="n">
        <f aca="false">Payment_Log_AP!D5</f>
        <v>45805</v>
      </c>
      <c r="G8" s="18" t="n">
        <f aca="false">Payment_Log_AP!E5</f>
        <v>889.24</v>
      </c>
      <c r="H8" s="16" t="n">
        <f aca="false">IF(G8&gt;=Assumptions!$B$7,40,IF(G8&gt;=Assumptions!$B$8,20,0))</f>
        <v>0</v>
      </c>
      <c r="I8" s="16" t="n">
        <f aca="false">IF(MOD(G8,500)=0,20,IF(MOD(G8,100)=0,10,0))</f>
        <v>0</v>
      </c>
      <c r="J8" s="16" t="n">
        <f aca="false">IF(AND(E8&lt;&gt;"",F8-E8&lt;=Assumptions!$B$9),25,0)</f>
        <v>0</v>
      </c>
      <c r="K8" s="16" t="n">
        <f aca="false">IF(ISNUMBER(SEARCH(D8,Assumptions!$B$10)),15,0)</f>
        <v>15</v>
      </c>
      <c r="L8" s="16" t="n">
        <f aca="false">H8+I8+J8+K8</f>
        <v>15</v>
      </c>
      <c r="M8" s="16" t="str">
        <f aca="false">IF(L8&gt;=60,"High",IF(L8&gt;=30,"Medium","Low"))</f>
        <v>Low</v>
      </c>
    </row>
    <row r="9" customFormat="false" ht="15" hidden="false" customHeight="false" outlineLevel="0" collapsed="false">
      <c r="A9" s="16" t="str">
        <f aca="false">Payment_Log_AP!A6</f>
        <v>PAY40005</v>
      </c>
      <c r="B9" s="16" t="str">
        <f aca="false">Payment_Log_AP!C6</f>
        <v>V1022</v>
      </c>
      <c r="C9" s="16" t="str">
        <f aca="false">IFERROR(INDEX(Vendor_Master!$B$2:$B$41,MATCH(B9,Vendor_Master!$A$2:$A$41,0)),"Unknown Vendor")</f>
        <v>Burgess-Patterson</v>
      </c>
      <c r="D9" s="16" t="str">
        <f aca="false">IFERROR(INDEX(Vendor_Master!$D$2:$D$41,MATCH(B9,Vendor_Master!$A$2:$A$41,0)),"Unknown")</f>
        <v>Germany</v>
      </c>
      <c r="E9" s="17" t="n">
        <f aca="false">IFERROR(INDEX(Vendor_Master!$E$2:$E$41,MATCH(B9,Vendor_Master!$A$2:$A$41,0)),"")</f>
        <v>45449</v>
      </c>
      <c r="F9" s="17" t="n">
        <f aca="false">Payment_Log_AP!D6</f>
        <v>45883</v>
      </c>
      <c r="G9" s="18" t="n">
        <f aca="false">Payment_Log_AP!E6</f>
        <v>3058.04</v>
      </c>
      <c r="H9" s="16" t="n">
        <f aca="false">IF(G9&gt;=Assumptions!$B$7,40,IF(G9&gt;=Assumptions!$B$8,20,0))</f>
        <v>0</v>
      </c>
      <c r="I9" s="16" t="n">
        <f aca="false">IF(MOD(G9,500)=0,20,IF(MOD(G9,100)=0,10,0))</f>
        <v>0</v>
      </c>
      <c r="J9" s="16" t="n">
        <f aca="false">IF(AND(E9&lt;&gt;"",F9-E9&lt;=Assumptions!$B$9),25,0)</f>
        <v>0</v>
      </c>
      <c r="K9" s="16" t="n">
        <f aca="false">IF(ISNUMBER(SEARCH(D9,Assumptions!$B$10)),15,0)</f>
        <v>0</v>
      </c>
      <c r="L9" s="16" t="n">
        <f aca="false">H9+I9+J9+K9</f>
        <v>0</v>
      </c>
      <c r="M9" s="16" t="str">
        <f aca="false">IF(L9&gt;=60,"High",IF(L9&gt;=30,"Medium","Low"))</f>
        <v>Low</v>
      </c>
    </row>
    <row r="10" customFormat="false" ht="15" hidden="false" customHeight="false" outlineLevel="0" collapsed="false">
      <c r="A10" s="16" t="str">
        <f aca="false">Payment_Log_AP!A7</f>
        <v>PAY40006</v>
      </c>
      <c r="B10" s="16" t="str">
        <f aca="false">Payment_Log_AP!C7</f>
        <v>V1040</v>
      </c>
      <c r="C10" s="16" t="str">
        <f aca="false">IFERROR(INDEX(Vendor_Master!$B$2:$B$41,MATCH(B10,Vendor_Master!$A$2:$A$41,0)),"Unknown Vendor")</f>
        <v>Santos, Kim and Holmes</v>
      </c>
      <c r="D10" s="16" t="str">
        <f aca="false">IFERROR(INDEX(Vendor_Master!$D$2:$D$41,MATCH(B10,Vendor_Master!$A$2:$A$41,0)),"Unknown")</f>
        <v>India</v>
      </c>
      <c r="E10" s="17" t="n">
        <f aca="false">IFERROR(INDEX(Vendor_Master!$E$2:$E$41,MATCH(B10,Vendor_Master!$A$2:$A$41,0)),"")</f>
        <v>45192</v>
      </c>
      <c r="F10" s="17" t="n">
        <f aca="false">Payment_Log_AP!D7</f>
        <v>46160</v>
      </c>
      <c r="G10" s="18" t="n">
        <f aca="false">Payment_Log_AP!E7</f>
        <v>1359.77</v>
      </c>
      <c r="H10" s="16" t="n">
        <f aca="false">IF(G10&gt;=Assumptions!$B$7,40,IF(G10&gt;=Assumptions!$B$8,20,0))</f>
        <v>0</v>
      </c>
      <c r="I10" s="16" t="n">
        <f aca="false">IF(MOD(G10,500)=0,20,IF(MOD(G10,100)=0,10,0))</f>
        <v>0</v>
      </c>
      <c r="J10" s="16" t="n">
        <f aca="false">IF(AND(E10&lt;&gt;"",F10-E10&lt;=Assumptions!$B$9),25,0)</f>
        <v>0</v>
      </c>
      <c r="K10" s="16" t="n">
        <f aca="false">IF(ISNUMBER(SEARCH(D10,Assumptions!$B$10)),15,0)</f>
        <v>15</v>
      </c>
      <c r="L10" s="16" t="n">
        <f aca="false">H10+I10+J10+K10</f>
        <v>15</v>
      </c>
      <c r="M10" s="16" t="str">
        <f aca="false">IF(L10&gt;=60,"High",IF(L10&gt;=30,"Medium","Low"))</f>
        <v>Low</v>
      </c>
    </row>
    <row r="11" customFormat="false" ht="15" hidden="false" customHeight="false" outlineLevel="0" collapsed="false">
      <c r="A11" s="16" t="str">
        <f aca="false">Payment_Log_AP!A8</f>
        <v>PAY40007</v>
      </c>
      <c r="B11" s="16" t="str">
        <f aca="false">Payment_Log_AP!C8</f>
        <v>V1040</v>
      </c>
      <c r="C11" s="16" t="str">
        <f aca="false">IFERROR(INDEX(Vendor_Master!$B$2:$B$41,MATCH(B11,Vendor_Master!$A$2:$A$41,0)),"Unknown Vendor")</f>
        <v>Santos, Kim and Holmes</v>
      </c>
      <c r="D11" s="16" t="str">
        <f aca="false">IFERROR(INDEX(Vendor_Master!$D$2:$D$41,MATCH(B11,Vendor_Master!$A$2:$A$41,0)),"Unknown")</f>
        <v>India</v>
      </c>
      <c r="E11" s="17" t="n">
        <f aca="false">IFERROR(INDEX(Vendor_Master!$E$2:$E$41,MATCH(B11,Vendor_Master!$A$2:$A$41,0)),"")</f>
        <v>45192</v>
      </c>
      <c r="F11" s="17" t="n">
        <f aca="false">Payment_Log_AP!D8</f>
        <v>46193</v>
      </c>
      <c r="G11" s="18" t="n">
        <f aca="false">Payment_Log_AP!E8</f>
        <v>3708.39</v>
      </c>
      <c r="H11" s="16" t="n">
        <f aca="false">IF(G11&gt;=Assumptions!$B$7,40,IF(G11&gt;=Assumptions!$B$8,20,0))</f>
        <v>0</v>
      </c>
      <c r="I11" s="16" t="n">
        <f aca="false">IF(MOD(G11,500)=0,20,IF(MOD(G11,100)=0,10,0))</f>
        <v>0</v>
      </c>
      <c r="J11" s="16" t="n">
        <f aca="false">IF(AND(E11&lt;&gt;"",F11-E11&lt;=Assumptions!$B$9),25,0)</f>
        <v>0</v>
      </c>
      <c r="K11" s="16" t="n">
        <f aca="false">IF(ISNUMBER(SEARCH(D11,Assumptions!$B$10)),15,0)</f>
        <v>15</v>
      </c>
      <c r="L11" s="16" t="n">
        <f aca="false">H11+I11+J11+K11</f>
        <v>15</v>
      </c>
      <c r="M11" s="16" t="str">
        <f aca="false">IF(L11&gt;=60,"High",IF(L11&gt;=30,"Medium","Low"))</f>
        <v>Low</v>
      </c>
    </row>
    <row r="12" customFormat="false" ht="15" hidden="false" customHeight="false" outlineLevel="0" collapsed="false">
      <c r="A12" s="16" t="str">
        <f aca="false">Payment_Log_AP!A9</f>
        <v>PAY40008</v>
      </c>
      <c r="B12" s="16" t="str">
        <f aca="false">Payment_Log_AP!C9</f>
        <v>V1015</v>
      </c>
      <c r="C12" s="16" t="str">
        <f aca="false">IFERROR(INDEX(Vendor_Master!$B$2:$B$41,MATCH(B12,Vendor_Master!$A$2:$A$41,0)),"Unknown Vendor")</f>
        <v>Zuniga, Wong and Lynch</v>
      </c>
      <c r="D12" s="16" t="str">
        <f aca="false">IFERROR(INDEX(Vendor_Master!$D$2:$D$41,MATCH(B12,Vendor_Master!$A$2:$A$41,0)),"Unknown")</f>
        <v>USA</v>
      </c>
      <c r="E12" s="17" t="n">
        <f aca="false">IFERROR(INDEX(Vendor_Master!$E$2:$E$41,MATCH(B12,Vendor_Master!$A$2:$A$41,0)),"")</f>
        <v>45621</v>
      </c>
      <c r="F12" s="17" t="n">
        <f aca="false">Payment_Log_AP!D9</f>
        <v>45859</v>
      </c>
      <c r="G12" s="18" t="n">
        <f aca="false">Payment_Log_AP!E9</f>
        <v>6081.19</v>
      </c>
      <c r="H12" s="16" t="n">
        <f aca="false">IF(G12&gt;=Assumptions!$B$7,40,IF(G12&gt;=Assumptions!$B$8,20,0))</f>
        <v>20</v>
      </c>
      <c r="I12" s="16" t="n">
        <f aca="false">IF(MOD(G12,500)=0,20,IF(MOD(G12,100)=0,10,0))</f>
        <v>0</v>
      </c>
      <c r="J12" s="16" t="n">
        <f aca="false">IF(AND(E12&lt;&gt;"",F12-E12&lt;=Assumptions!$B$9),25,0)</f>
        <v>0</v>
      </c>
      <c r="K12" s="16" t="n">
        <f aca="false">IF(ISNUMBER(SEARCH(D12,Assumptions!$B$10)),15,0)</f>
        <v>0</v>
      </c>
      <c r="L12" s="16" t="n">
        <f aca="false">H12+I12+J12+K12</f>
        <v>20</v>
      </c>
      <c r="M12" s="16" t="str">
        <f aca="false">IF(L12&gt;=60,"High",IF(L12&gt;=30,"Medium","Low"))</f>
        <v>Low</v>
      </c>
    </row>
    <row r="13" customFormat="false" ht="15" hidden="false" customHeight="false" outlineLevel="0" collapsed="false">
      <c r="A13" s="16" t="str">
        <f aca="false">Payment_Log_AP!A10</f>
        <v>PAY40009</v>
      </c>
      <c r="B13" s="16" t="str">
        <f aca="false">Payment_Log_AP!C10</f>
        <v>V1005</v>
      </c>
      <c r="C13" s="16" t="str">
        <f aca="false">IFERROR(INDEX(Vendor_Master!$B$2:$B$41,MATCH(B13,Vendor_Master!$A$2:$A$41,0)),"Unknown Vendor")</f>
        <v>Cole LLC</v>
      </c>
      <c r="D13" s="16" t="str">
        <f aca="false">IFERROR(INDEX(Vendor_Master!$D$2:$D$41,MATCH(B13,Vendor_Master!$A$2:$A$41,0)),"Unknown")</f>
        <v>UK</v>
      </c>
      <c r="E13" s="17" t="n">
        <f aca="false">IFERROR(INDEX(Vendor_Master!$E$2:$E$41,MATCH(B13,Vendor_Master!$A$2:$A$41,0)),"")</f>
        <v>45423</v>
      </c>
      <c r="F13" s="17" t="n">
        <f aca="false">Payment_Log_AP!D10</f>
        <v>45885</v>
      </c>
      <c r="G13" s="18" t="n">
        <f aca="false">Payment_Log_AP!E10</f>
        <v>1466.07</v>
      </c>
      <c r="H13" s="16" t="n">
        <f aca="false">IF(G13&gt;=Assumptions!$B$7,40,IF(G13&gt;=Assumptions!$B$8,20,0))</f>
        <v>0</v>
      </c>
      <c r="I13" s="16" t="n">
        <f aca="false">IF(MOD(G13,500)=0,20,IF(MOD(G13,100)=0,10,0))</f>
        <v>0</v>
      </c>
      <c r="J13" s="16" t="n">
        <f aca="false">IF(AND(E13&lt;&gt;"",F13-E13&lt;=Assumptions!$B$9),25,0)</f>
        <v>0</v>
      </c>
      <c r="K13" s="16" t="n">
        <f aca="false">IF(ISNUMBER(SEARCH(D13,Assumptions!$B$10)),15,0)</f>
        <v>0</v>
      </c>
      <c r="L13" s="16" t="n">
        <f aca="false">H13+I13+J13+K13</f>
        <v>0</v>
      </c>
      <c r="M13" s="16" t="str">
        <f aca="false">IF(L13&gt;=60,"High",IF(L13&gt;=30,"Medium","Low"))</f>
        <v>Low</v>
      </c>
    </row>
    <row r="14" customFormat="false" ht="15" hidden="false" customHeight="false" outlineLevel="0" collapsed="false">
      <c r="A14" s="16" t="str">
        <f aca="false">Payment_Log_AP!A11</f>
        <v>PAY40010</v>
      </c>
      <c r="B14" s="16" t="str">
        <f aca="false">Payment_Log_AP!C11</f>
        <v>V1035</v>
      </c>
      <c r="C14" s="16" t="str">
        <f aca="false">IFERROR(INDEX(Vendor_Master!$B$2:$B$41,MATCH(B14,Vendor_Master!$A$2:$A$41,0)),"Unknown Vendor")</f>
        <v>Allen PLC</v>
      </c>
      <c r="D14" s="16" t="str">
        <f aca="false">IFERROR(INDEX(Vendor_Master!$D$2:$D$41,MATCH(B14,Vendor_Master!$A$2:$A$41,0)),"Unknown")</f>
        <v>Canada</v>
      </c>
      <c r="E14" s="17" t="n">
        <f aca="false">IFERROR(INDEX(Vendor_Master!$E$2:$E$41,MATCH(B14,Vendor_Master!$A$2:$A$41,0)),"")</f>
        <v>45048</v>
      </c>
      <c r="F14" s="17" t="n">
        <f aca="false">Payment_Log_AP!D11</f>
        <v>45989</v>
      </c>
      <c r="G14" s="18" t="n">
        <f aca="false">Payment_Log_AP!E11</f>
        <v>15002.72</v>
      </c>
      <c r="H14" s="16" t="n">
        <f aca="false">IF(G14&gt;=Assumptions!$B$7,40,IF(G14&gt;=Assumptions!$B$8,20,0))</f>
        <v>40</v>
      </c>
      <c r="I14" s="16" t="n">
        <f aca="false">IF(MOD(G14,500)=0,20,IF(MOD(G14,100)=0,10,0))</f>
        <v>0</v>
      </c>
      <c r="J14" s="16" t="n">
        <f aca="false">IF(AND(E14&lt;&gt;"",F14-E14&lt;=Assumptions!$B$9),25,0)</f>
        <v>0</v>
      </c>
      <c r="K14" s="16" t="n">
        <f aca="false">IF(ISNUMBER(SEARCH(D14,Assumptions!$B$10)),15,0)</f>
        <v>0</v>
      </c>
      <c r="L14" s="16" t="n">
        <f aca="false">H14+I14+J14+K14</f>
        <v>40</v>
      </c>
      <c r="M14" s="16" t="str">
        <f aca="false">IF(L14&gt;=60,"High",IF(L14&gt;=30,"Medium","Low"))</f>
        <v>Medium</v>
      </c>
    </row>
    <row r="15" customFormat="false" ht="15" hidden="false" customHeight="false" outlineLevel="0" collapsed="false">
      <c r="A15" s="16" t="str">
        <f aca="false">Payment_Log_AP!A12</f>
        <v>PAY40011</v>
      </c>
      <c r="B15" s="16" t="str">
        <f aca="false">Payment_Log_AP!C12</f>
        <v>V1016</v>
      </c>
      <c r="C15" s="16" t="str">
        <f aca="false">IFERROR(INDEX(Vendor_Master!$B$2:$B$41,MATCH(B15,Vendor_Master!$A$2:$A$41,0)),"Unknown Vendor")</f>
        <v>Sanchez, Ford and Nelson</v>
      </c>
      <c r="D15" s="16" t="str">
        <f aca="false">IFERROR(INDEX(Vendor_Master!$D$2:$D$41,MATCH(B15,Vendor_Master!$A$2:$A$41,0)),"Unknown")</f>
        <v>India</v>
      </c>
      <c r="E15" s="17" t="n">
        <f aca="false">IFERROR(INDEX(Vendor_Master!$E$2:$E$41,MATCH(B15,Vendor_Master!$A$2:$A$41,0)),"")</f>
        <v>44832</v>
      </c>
      <c r="F15" s="17" t="n">
        <f aca="false">Payment_Log_AP!D12</f>
        <v>46196</v>
      </c>
      <c r="G15" s="18" t="n">
        <f aca="false">Payment_Log_AP!E12</f>
        <v>911.91</v>
      </c>
      <c r="H15" s="16" t="n">
        <f aca="false">IF(G15&gt;=Assumptions!$B$7,40,IF(G15&gt;=Assumptions!$B$8,20,0))</f>
        <v>0</v>
      </c>
      <c r="I15" s="16" t="n">
        <f aca="false">IF(MOD(G15,500)=0,20,IF(MOD(G15,100)=0,10,0))</f>
        <v>0</v>
      </c>
      <c r="J15" s="16" t="n">
        <f aca="false">IF(AND(E15&lt;&gt;"",F15-E15&lt;=Assumptions!$B$9),25,0)</f>
        <v>0</v>
      </c>
      <c r="K15" s="16" t="n">
        <f aca="false">IF(ISNUMBER(SEARCH(D15,Assumptions!$B$10)),15,0)</f>
        <v>15</v>
      </c>
      <c r="L15" s="16" t="n">
        <f aca="false">H15+I15+J15+K15</f>
        <v>15</v>
      </c>
      <c r="M15" s="16" t="str">
        <f aca="false">IF(L15&gt;=60,"High",IF(L15&gt;=30,"Medium","Low"))</f>
        <v>Low</v>
      </c>
    </row>
    <row r="16" customFormat="false" ht="15" hidden="false" customHeight="false" outlineLevel="0" collapsed="false">
      <c r="A16" s="16" t="str">
        <f aca="false">Payment_Log_AP!A13</f>
        <v>PAY40012</v>
      </c>
      <c r="B16" s="16" t="str">
        <f aca="false">Payment_Log_AP!C13</f>
        <v>V1002</v>
      </c>
      <c r="C16" s="16" t="str">
        <f aca="false">IFERROR(INDEX(Vendor_Master!$B$2:$B$41,MATCH(B16,Vendor_Master!$A$2:$A$41,0)),"Unknown Vendor")</f>
        <v>Garcia, Yang and Gardner</v>
      </c>
      <c r="D16" s="16" t="str">
        <f aca="false">IFERROR(INDEX(Vendor_Master!$D$2:$D$41,MATCH(B16,Vendor_Master!$A$2:$A$41,0)),"Unknown")</f>
        <v>UK</v>
      </c>
      <c r="E16" s="17" t="n">
        <f aca="false">IFERROR(INDEX(Vendor_Master!$E$2:$E$41,MATCH(B16,Vendor_Master!$A$2:$A$41,0)),"")</f>
        <v>44914</v>
      </c>
      <c r="F16" s="17" t="n">
        <f aca="false">Payment_Log_AP!D13</f>
        <v>45753</v>
      </c>
      <c r="G16" s="18" t="n">
        <f aca="false">Payment_Log_AP!E13</f>
        <v>1222.88</v>
      </c>
      <c r="H16" s="16" t="n">
        <f aca="false">IF(G16&gt;=Assumptions!$B$7,40,IF(G16&gt;=Assumptions!$B$8,20,0))</f>
        <v>0</v>
      </c>
      <c r="I16" s="16" t="n">
        <f aca="false">IF(MOD(G16,500)=0,20,IF(MOD(G16,100)=0,10,0))</f>
        <v>0</v>
      </c>
      <c r="J16" s="16" t="n">
        <f aca="false">IF(AND(E16&lt;&gt;"",F16-E16&lt;=Assumptions!$B$9),25,0)</f>
        <v>0</v>
      </c>
      <c r="K16" s="16" t="n">
        <f aca="false">IF(ISNUMBER(SEARCH(D16,Assumptions!$B$10)),15,0)</f>
        <v>0</v>
      </c>
      <c r="L16" s="16" t="n">
        <f aca="false">H16+I16+J16+K16</f>
        <v>0</v>
      </c>
      <c r="M16" s="16" t="str">
        <f aca="false">IF(L16&gt;=60,"High",IF(L16&gt;=30,"Medium","Low"))</f>
        <v>Low</v>
      </c>
    </row>
    <row r="17" customFormat="false" ht="15" hidden="false" customHeight="false" outlineLevel="0" collapsed="false">
      <c r="A17" s="16" t="str">
        <f aca="false">Payment_Log_AP!A14</f>
        <v>PAY40013</v>
      </c>
      <c r="B17" s="16" t="str">
        <f aca="false">Payment_Log_AP!C14</f>
        <v>V1026</v>
      </c>
      <c r="C17" s="16" t="str">
        <f aca="false">IFERROR(INDEX(Vendor_Master!$B$2:$B$41,MATCH(B17,Vendor_Master!$A$2:$A$41,0)),"Unknown Vendor")</f>
        <v>James-Ferrell</v>
      </c>
      <c r="D17" s="16" t="str">
        <f aca="false">IFERROR(INDEX(Vendor_Master!$D$2:$D$41,MATCH(B17,Vendor_Master!$A$2:$A$41,0)),"Unknown")</f>
        <v>UAE</v>
      </c>
      <c r="E17" s="17" t="n">
        <f aca="false">IFERROR(INDEX(Vendor_Master!$E$2:$E$41,MATCH(B17,Vendor_Master!$A$2:$A$41,0)),"")</f>
        <v>45504</v>
      </c>
      <c r="F17" s="17" t="n">
        <f aca="false">Payment_Log_AP!D14</f>
        <v>45776</v>
      </c>
      <c r="G17" s="18" t="n">
        <f aca="false">Payment_Log_AP!E14</f>
        <v>4721.09</v>
      </c>
      <c r="H17" s="16" t="n">
        <f aca="false">IF(G17&gt;=Assumptions!$B$7,40,IF(G17&gt;=Assumptions!$B$8,20,0))</f>
        <v>0</v>
      </c>
      <c r="I17" s="16" t="n">
        <f aca="false">IF(MOD(G17,500)=0,20,IF(MOD(G17,100)=0,10,0))</f>
        <v>0</v>
      </c>
      <c r="J17" s="16" t="n">
        <f aca="false">IF(AND(E17&lt;&gt;"",F17-E17&lt;=Assumptions!$B$9),25,0)</f>
        <v>0</v>
      </c>
      <c r="K17" s="16" t="n">
        <f aca="false">IF(ISNUMBER(SEARCH(D17,Assumptions!$B$10)),15,0)</f>
        <v>15</v>
      </c>
      <c r="L17" s="16" t="n">
        <f aca="false">H17+I17+J17+K17</f>
        <v>15</v>
      </c>
      <c r="M17" s="16" t="str">
        <f aca="false">IF(L17&gt;=60,"High",IF(L17&gt;=30,"Medium","Low"))</f>
        <v>Low</v>
      </c>
    </row>
    <row r="18" customFormat="false" ht="15" hidden="false" customHeight="false" outlineLevel="0" collapsed="false">
      <c r="A18" s="16" t="str">
        <f aca="false">Payment_Log_AP!A15</f>
        <v>PAY40014</v>
      </c>
      <c r="B18" s="16" t="str">
        <f aca="false">Payment_Log_AP!C15</f>
        <v>V1004</v>
      </c>
      <c r="C18" s="16" t="str">
        <f aca="false">IFERROR(INDEX(Vendor_Master!$B$2:$B$41,MATCH(B18,Vendor_Master!$A$2:$A$41,0)),"Unknown Vendor")</f>
        <v>Johnson, Gonzalez and Santos</v>
      </c>
      <c r="D18" s="16" t="str">
        <f aca="false">IFERROR(INDEX(Vendor_Master!$D$2:$D$41,MATCH(B18,Vendor_Master!$A$2:$A$41,0)),"Unknown")</f>
        <v>Germany</v>
      </c>
      <c r="E18" s="17" t="n">
        <f aca="false">IFERROR(INDEX(Vendor_Master!$E$2:$E$41,MATCH(B18,Vendor_Master!$A$2:$A$41,0)),"")</f>
        <v>44929</v>
      </c>
      <c r="F18" s="17" t="n">
        <f aca="false">Payment_Log_AP!D15</f>
        <v>45837</v>
      </c>
      <c r="G18" s="18" t="n">
        <f aca="false">Payment_Log_AP!E15</f>
        <v>302.18</v>
      </c>
      <c r="H18" s="16" t="n">
        <f aca="false">IF(G18&gt;=Assumptions!$B$7,40,IF(G18&gt;=Assumptions!$B$8,20,0))</f>
        <v>0</v>
      </c>
      <c r="I18" s="16" t="n">
        <f aca="false">IF(MOD(G18,500)=0,20,IF(MOD(G18,100)=0,10,0))</f>
        <v>0</v>
      </c>
      <c r="J18" s="16" t="n">
        <f aca="false">IF(AND(E18&lt;&gt;"",F18-E18&lt;=Assumptions!$B$9),25,0)</f>
        <v>0</v>
      </c>
      <c r="K18" s="16" t="n">
        <f aca="false">IF(ISNUMBER(SEARCH(D18,Assumptions!$B$10)),15,0)</f>
        <v>0</v>
      </c>
      <c r="L18" s="16" t="n">
        <f aca="false">H18+I18+J18+K18</f>
        <v>0</v>
      </c>
      <c r="M18" s="16" t="str">
        <f aca="false">IF(L18&gt;=60,"High",IF(L18&gt;=30,"Medium","Low"))</f>
        <v>Low</v>
      </c>
    </row>
    <row r="19" customFormat="false" ht="15" hidden="false" customHeight="false" outlineLevel="0" collapsed="false">
      <c r="A19" s="16" t="str">
        <f aca="false">Payment_Log_AP!A16</f>
        <v>PAY40015</v>
      </c>
      <c r="B19" s="16" t="str">
        <f aca="false">Payment_Log_AP!C16</f>
        <v>V1024</v>
      </c>
      <c r="C19" s="16" t="str">
        <f aca="false">IFERROR(INDEX(Vendor_Master!$B$2:$B$41,MATCH(B19,Vendor_Master!$A$2:$A$41,0)),"Unknown Vendor")</f>
        <v>Campos Inc</v>
      </c>
      <c r="D19" s="16" t="str">
        <f aca="false">IFERROR(INDEX(Vendor_Master!$D$2:$D$41,MATCH(B19,Vendor_Master!$A$2:$A$41,0)),"Unknown")</f>
        <v>USA</v>
      </c>
      <c r="E19" s="17" t="n">
        <f aca="false">IFERROR(INDEX(Vendor_Master!$E$2:$E$41,MATCH(B19,Vendor_Master!$A$2:$A$41,0)),"")</f>
        <v>45367</v>
      </c>
      <c r="F19" s="17" t="n">
        <f aca="false">Payment_Log_AP!D16</f>
        <v>45754</v>
      </c>
      <c r="G19" s="18" t="n">
        <f aca="false">Payment_Log_AP!E16</f>
        <v>2051.54</v>
      </c>
      <c r="H19" s="16" t="n">
        <f aca="false">IF(G19&gt;=Assumptions!$B$7,40,IF(G19&gt;=Assumptions!$B$8,20,0))</f>
        <v>0</v>
      </c>
      <c r="I19" s="16" t="n">
        <f aca="false">IF(MOD(G19,500)=0,20,IF(MOD(G19,100)=0,10,0))</f>
        <v>0</v>
      </c>
      <c r="J19" s="16" t="n">
        <f aca="false">IF(AND(E19&lt;&gt;"",F19-E19&lt;=Assumptions!$B$9),25,0)</f>
        <v>0</v>
      </c>
      <c r="K19" s="16" t="n">
        <f aca="false">IF(ISNUMBER(SEARCH(D19,Assumptions!$B$10)),15,0)</f>
        <v>0</v>
      </c>
      <c r="L19" s="16" t="n">
        <f aca="false">H19+I19+J19+K19</f>
        <v>0</v>
      </c>
      <c r="M19" s="16" t="str">
        <f aca="false">IF(L19&gt;=60,"High",IF(L19&gt;=30,"Medium","Low"))</f>
        <v>Low</v>
      </c>
    </row>
    <row r="20" customFormat="false" ht="15" hidden="false" customHeight="false" outlineLevel="0" collapsed="false">
      <c r="A20" s="16" t="str">
        <f aca="false">Payment_Log_AP!A17</f>
        <v>PAY40016</v>
      </c>
      <c r="B20" s="16" t="str">
        <f aca="false">Payment_Log_AP!C17</f>
        <v>V1028</v>
      </c>
      <c r="C20" s="16" t="str">
        <f aca="false">IFERROR(INDEX(Vendor_Master!$B$2:$B$41,MATCH(B20,Vendor_Master!$A$2:$A$41,0)),"Unknown Vendor")</f>
        <v>Potter, Mack and Peterson</v>
      </c>
      <c r="D20" s="16" t="str">
        <f aca="false">IFERROR(INDEX(Vendor_Master!$D$2:$D$41,MATCH(B20,Vendor_Master!$A$2:$A$41,0)),"Unknown")</f>
        <v>UK</v>
      </c>
      <c r="E20" s="17" t="n">
        <f aca="false">IFERROR(INDEX(Vendor_Master!$E$2:$E$41,MATCH(B20,Vendor_Master!$A$2:$A$41,0)),"")</f>
        <v>45639</v>
      </c>
      <c r="F20" s="17" t="n">
        <f aca="false">Payment_Log_AP!D17</f>
        <v>45912</v>
      </c>
      <c r="G20" s="18" t="n">
        <f aca="false">Payment_Log_AP!E17</f>
        <v>9960.57</v>
      </c>
      <c r="H20" s="16" t="n">
        <f aca="false">IF(G20&gt;=Assumptions!$B$7,40,IF(G20&gt;=Assumptions!$B$8,20,0))</f>
        <v>20</v>
      </c>
      <c r="I20" s="16" t="n">
        <f aca="false">IF(MOD(G20,500)=0,20,IF(MOD(G20,100)=0,10,0))</f>
        <v>0</v>
      </c>
      <c r="J20" s="16" t="n">
        <f aca="false">IF(AND(E20&lt;&gt;"",F20-E20&lt;=Assumptions!$B$9),25,0)</f>
        <v>0</v>
      </c>
      <c r="K20" s="16" t="n">
        <f aca="false">IF(ISNUMBER(SEARCH(D20,Assumptions!$B$10)),15,0)</f>
        <v>0</v>
      </c>
      <c r="L20" s="16" t="n">
        <f aca="false">H20+I20+J20+K20</f>
        <v>20</v>
      </c>
      <c r="M20" s="16" t="str">
        <f aca="false">IF(L20&gt;=60,"High",IF(L20&gt;=30,"Medium","Low"))</f>
        <v>Low</v>
      </c>
    </row>
    <row r="21" customFormat="false" ht="15" hidden="false" customHeight="false" outlineLevel="0" collapsed="false">
      <c r="A21" s="16" t="str">
        <f aca="false">Payment_Log_AP!A18</f>
        <v>PAY40017</v>
      </c>
      <c r="B21" s="16" t="str">
        <f aca="false">Payment_Log_AP!C18</f>
        <v>V1018</v>
      </c>
      <c r="C21" s="16" t="str">
        <f aca="false">IFERROR(INDEX(Vendor_Master!$B$2:$B$41,MATCH(B21,Vendor_Master!$A$2:$A$41,0)),"Unknown Vendor")</f>
        <v>Underwood LLC</v>
      </c>
      <c r="D21" s="16" t="str">
        <f aca="false">IFERROR(INDEX(Vendor_Master!$D$2:$D$41,MATCH(B21,Vendor_Master!$A$2:$A$41,0)),"Unknown")</f>
        <v>UAE</v>
      </c>
      <c r="E21" s="17" t="n">
        <f aca="false">IFERROR(INDEX(Vendor_Master!$E$2:$E$41,MATCH(B21,Vendor_Master!$A$2:$A$41,0)),"")</f>
        <v>45788</v>
      </c>
      <c r="F21" s="17" t="n">
        <f aca="false">Payment_Log_AP!D18</f>
        <v>46096</v>
      </c>
      <c r="G21" s="18" t="n">
        <f aca="false">Payment_Log_AP!E18</f>
        <v>15696.57</v>
      </c>
      <c r="H21" s="16" t="n">
        <f aca="false">IF(G21&gt;=Assumptions!$B$7,40,IF(G21&gt;=Assumptions!$B$8,20,0))</f>
        <v>40</v>
      </c>
      <c r="I21" s="16" t="n">
        <f aca="false">IF(MOD(G21,500)=0,20,IF(MOD(G21,100)=0,10,0))</f>
        <v>0</v>
      </c>
      <c r="J21" s="16" t="n">
        <f aca="false">IF(AND(E21&lt;&gt;"",F21-E21&lt;=Assumptions!$B$9),25,0)</f>
        <v>0</v>
      </c>
      <c r="K21" s="16" t="n">
        <f aca="false">IF(ISNUMBER(SEARCH(D21,Assumptions!$B$10)),15,0)</f>
        <v>15</v>
      </c>
      <c r="L21" s="16" t="n">
        <f aca="false">H21+I21+J21+K21</f>
        <v>55</v>
      </c>
      <c r="M21" s="16" t="str">
        <f aca="false">IF(L21&gt;=60,"High",IF(L21&gt;=30,"Medium","Low"))</f>
        <v>Medium</v>
      </c>
    </row>
    <row r="22" customFormat="false" ht="15" hidden="false" customHeight="false" outlineLevel="0" collapsed="false">
      <c r="A22" s="16" t="str">
        <f aca="false">Payment_Log_AP!A19</f>
        <v>PAY40018</v>
      </c>
      <c r="B22" s="16" t="str">
        <f aca="false">Payment_Log_AP!C19</f>
        <v>V1016</v>
      </c>
      <c r="C22" s="16" t="str">
        <f aca="false">IFERROR(INDEX(Vendor_Master!$B$2:$B$41,MATCH(B22,Vendor_Master!$A$2:$A$41,0)),"Unknown Vendor")</f>
        <v>Sanchez, Ford and Nelson</v>
      </c>
      <c r="D22" s="16" t="str">
        <f aca="false">IFERROR(INDEX(Vendor_Master!$D$2:$D$41,MATCH(B22,Vendor_Master!$A$2:$A$41,0)),"Unknown")</f>
        <v>India</v>
      </c>
      <c r="E22" s="17" t="n">
        <f aca="false">IFERROR(INDEX(Vendor_Master!$E$2:$E$41,MATCH(B22,Vendor_Master!$A$2:$A$41,0)),"")</f>
        <v>44832</v>
      </c>
      <c r="F22" s="17" t="n">
        <f aca="false">Payment_Log_AP!D19</f>
        <v>45842</v>
      </c>
      <c r="G22" s="18" t="n">
        <f aca="false">Payment_Log_AP!E19</f>
        <v>1879.55</v>
      </c>
      <c r="H22" s="16" t="n">
        <f aca="false">IF(G22&gt;=Assumptions!$B$7,40,IF(G22&gt;=Assumptions!$B$8,20,0))</f>
        <v>0</v>
      </c>
      <c r="I22" s="16" t="n">
        <f aca="false">IF(MOD(G22,500)=0,20,IF(MOD(G22,100)=0,10,0))</f>
        <v>0</v>
      </c>
      <c r="J22" s="16" t="n">
        <f aca="false">IF(AND(E22&lt;&gt;"",F22-E22&lt;=Assumptions!$B$9),25,0)</f>
        <v>0</v>
      </c>
      <c r="K22" s="16" t="n">
        <f aca="false">IF(ISNUMBER(SEARCH(D22,Assumptions!$B$10)),15,0)</f>
        <v>15</v>
      </c>
      <c r="L22" s="16" t="n">
        <f aca="false">H22+I22+J22+K22</f>
        <v>15</v>
      </c>
      <c r="M22" s="16" t="str">
        <f aca="false">IF(L22&gt;=60,"High",IF(L22&gt;=30,"Medium","Low"))</f>
        <v>Low</v>
      </c>
    </row>
    <row r="23" customFormat="false" ht="15" hidden="false" customHeight="false" outlineLevel="0" collapsed="false">
      <c r="A23" s="16" t="str">
        <f aca="false">Payment_Log_AP!A20</f>
        <v>PAY40019</v>
      </c>
      <c r="B23" s="16" t="str">
        <f aca="false">Payment_Log_AP!C20</f>
        <v>V1027</v>
      </c>
      <c r="C23" s="16" t="str">
        <f aca="false">IFERROR(INDEX(Vendor_Master!$B$2:$B$41,MATCH(B23,Vendor_Master!$A$2:$A$41,0)),"Unknown Vendor")</f>
        <v>Valencia, Smith and Le</v>
      </c>
      <c r="D23" s="16" t="str">
        <f aca="false">IFERROR(INDEX(Vendor_Master!$D$2:$D$41,MATCH(B23,Vendor_Master!$A$2:$A$41,0)),"Unknown")</f>
        <v>Germany</v>
      </c>
      <c r="E23" s="17" t="n">
        <f aca="false">IFERROR(INDEX(Vendor_Master!$E$2:$E$41,MATCH(B23,Vendor_Master!$A$2:$A$41,0)),"")</f>
        <v>45398</v>
      </c>
      <c r="F23" s="17" t="n">
        <f aca="false">Payment_Log_AP!D20</f>
        <v>46012</v>
      </c>
      <c r="G23" s="18" t="n">
        <f aca="false">Payment_Log_AP!E20</f>
        <v>883.86</v>
      </c>
      <c r="H23" s="16" t="n">
        <f aca="false">IF(G23&gt;=Assumptions!$B$7,40,IF(G23&gt;=Assumptions!$B$8,20,0))</f>
        <v>0</v>
      </c>
      <c r="I23" s="16" t="n">
        <f aca="false">IF(MOD(G23,500)=0,20,IF(MOD(G23,100)=0,10,0))</f>
        <v>0</v>
      </c>
      <c r="J23" s="16" t="n">
        <f aca="false">IF(AND(E23&lt;&gt;"",F23-E23&lt;=Assumptions!$B$9),25,0)</f>
        <v>0</v>
      </c>
      <c r="K23" s="16" t="n">
        <f aca="false">IF(ISNUMBER(SEARCH(D23,Assumptions!$B$10)),15,0)</f>
        <v>0</v>
      </c>
      <c r="L23" s="16" t="n">
        <f aca="false">H23+I23+J23+K23</f>
        <v>0</v>
      </c>
      <c r="M23" s="16" t="str">
        <f aca="false">IF(L23&gt;=60,"High",IF(L23&gt;=30,"Medium","Low"))</f>
        <v>Low</v>
      </c>
    </row>
    <row r="24" customFormat="false" ht="15" hidden="false" customHeight="false" outlineLevel="0" collapsed="false">
      <c r="A24" s="16" t="str">
        <f aca="false">Payment_Log_AP!A21</f>
        <v>PAY40020</v>
      </c>
      <c r="B24" s="16" t="str">
        <f aca="false">Payment_Log_AP!C21</f>
        <v>V1007</v>
      </c>
      <c r="C24" s="16" t="str">
        <f aca="false">IFERROR(INDEX(Vendor_Master!$B$2:$B$41,MATCH(B24,Vendor_Master!$A$2:$A$41,0)),"Unknown Vendor")</f>
        <v>Ramirez-Lewis</v>
      </c>
      <c r="D24" s="16" t="str">
        <f aca="false">IFERROR(INDEX(Vendor_Master!$D$2:$D$41,MATCH(B24,Vendor_Master!$A$2:$A$41,0)),"Unknown")</f>
        <v>Germany</v>
      </c>
      <c r="E24" s="17" t="n">
        <f aca="false">IFERROR(INDEX(Vendor_Master!$E$2:$E$41,MATCH(B24,Vendor_Master!$A$2:$A$41,0)),"")</f>
        <v>45665</v>
      </c>
      <c r="F24" s="17" t="n">
        <f aca="false">Payment_Log_AP!D21</f>
        <v>45970</v>
      </c>
      <c r="G24" s="18" t="n">
        <f aca="false">Payment_Log_AP!E21</f>
        <v>1058.03</v>
      </c>
      <c r="H24" s="16" t="n">
        <f aca="false">IF(G24&gt;=Assumptions!$B$7,40,IF(G24&gt;=Assumptions!$B$8,20,0))</f>
        <v>0</v>
      </c>
      <c r="I24" s="16" t="n">
        <f aca="false">IF(MOD(G24,500)=0,20,IF(MOD(G24,100)=0,10,0))</f>
        <v>0</v>
      </c>
      <c r="J24" s="16" t="n">
        <f aca="false">IF(AND(E24&lt;&gt;"",F24-E24&lt;=Assumptions!$B$9),25,0)</f>
        <v>0</v>
      </c>
      <c r="K24" s="16" t="n">
        <f aca="false">IF(ISNUMBER(SEARCH(D24,Assumptions!$B$10)),15,0)</f>
        <v>0</v>
      </c>
      <c r="L24" s="16" t="n">
        <f aca="false">H24+I24+J24+K24</f>
        <v>0</v>
      </c>
      <c r="M24" s="16" t="str">
        <f aca="false">IF(L24&gt;=60,"High",IF(L24&gt;=30,"Medium","Low"))</f>
        <v>Low</v>
      </c>
    </row>
    <row r="25" customFormat="false" ht="15" hidden="false" customHeight="false" outlineLevel="0" collapsed="false">
      <c r="A25" s="16" t="str">
        <f aca="false">Payment_Log_AP!A22</f>
        <v>PAY40021</v>
      </c>
      <c r="B25" s="16" t="str">
        <f aca="false">Payment_Log_AP!C22</f>
        <v>V1039</v>
      </c>
      <c r="C25" s="16" t="str">
        <f aca="false">IFERROR(INDEX(Vendor_Master!$B$2:$B$41,MATCH(B25,Vendor_Master!$A$2:$A$41,0)),"Unknown Vendor")</f>
        <v>Campos, Vaughn and Marquez</v>
      </c>
      <c r="D25" s="16" t="str">
        <f aca="false">IFERROR(INDEX(Vendor_Master!$D$2:$D$41,MATCH(B25,Vendor_Master!$A$2:$A$41,0)),"Unknown")</f>
        <v>USA</v>
      </c>
      <c r="E25" s="17" t="n">
        <f aca="false">IFERROR(INDEX(Vendor_Master!$E$2:$E$41,MATCH(B25,Vendor_Master!$A$2:$A$41,0)),"")</f>
        <v>46086</v>
      </c>
      <c r="F25" s="17" t="n">
        <f aca="false">Payment_Log_AP!D22</f>
        <v>45898</v>
      </c>
      <c r="G25" s="18" t="n">
        <f aca="false">Payment_Log_AP!E22</f>
        <v>2265.24</v>
      </c>
      <c r="H25" s="16" t="n">
        <f aca="false">IF(G25&gt;=Assumptions!$B$7,40,IF(G25&gt;=Assumptions!$B$8,20,0))</f>
        <v>0</v>
      </c>
      <c r="I25" s="16" t="n">
        <f aca="false">IF(MOD(G25,500)=0,20,IF(MOD(G25,100)=0,10,0))</f>
        <v>0</v>
      </c>
      <c r="J25" s="16" t="n">
        <f aca="false">IF(AND(E25&lt;&gt;"",F25-E25&lt;=Assumptions!$B$9),25,0)</f>
        <v>25</v>
      </c>
      <c r="K25" s="16" t="n">
        <f aca="false">IF(ISNUMBER(SEARCH(D25,Assumptions!$B$10)),15,0)</f>
        <v>0</v>
      </c>
      <c r="L25" s="16" t="n">
        <f aca="false">H25+I25+J25+K25</f>
        <v>25</v>
      </c>
      <c r="M25" s="16" t="str">
        <f aca="false">IF(L25&gt;=60,"High",IF(L25&gt;=30,"Medium","Low"))</f>
        <v>Low</v>
      </c>
    </row>
    <row r="26" customFormat="false" ht="15" hidden="false" customHeight="false" outlineLevel="0" collapsed="false">
      <c r="A26" s="16" t="str">
        <f aca="false">Payment_Log_AP!A23</f>
        <v>PAY40022</v>
      </c>
      <c r="B26" s="16" t="str">
        <f aca="false">Payment_Log_AP!C23</f>
        <v>V1027</v>
      </c>
      <c r="C26" s="16" t="str">
        <f aca="false">IFERROR(INDEX(Vendor_Master!$B$2:$B$41,MATCH(B26,Vendor_Master!$A$2:$A$41,0)),"Unknown Vendor")</f>
        <v>Valencia, Smith and Le</v>
      </c>
      <c r="D26" s="16" t="str">
        <f aca="false">IFERROR(INDEX(Vendor_Master!$D$2:$D$41,MATCH(B26,Vendor_Master!$A$2:$A$41,0)),"Unknown")</f>
        <v>Germany</v>
      </c>
      <c r="E26" s="17" t="n">
        <f aca="false">IFERROR(INDEX(Vendor_Master!$E$2:$E$41,MATCH(B26,Vendor_Master!$A$2:$A$41,0)),"")</f>
        <v>45398</v>
      </c>
      <c r="F26" s="17" t="n">
        <f aca="false">Payment_Log_AP!D23</f>
        <v>46007</v>
      </c>
      <c r="G26" s="18" t="n">
        <f aca="false">Payment_Log_AP!E23</f>
        <v>1994.87</v>
      </c>
      <c r="H26" s="16" t="n">
        <f aca="false">IF(G26&gt;=Assumptions!$B$7,40,IF(G26&gt;=Assumptions!$B$8,20,0))</f>
        <v>0</v>
      </c>
      <c r="I26" s="16" t="n">
        <f aca="false">IF(MOD(G26,500)=0,20,IF(MOD(G26,100)=0,10,0))</f>
        <v>0</v>
      </c>
      <c r="J26" s="16" t="n">
        <f aca="false">IF(AND(E26&lt;&gt;"",F26-E26&lt;=Assumptions!$B$9),25,0)</f>
        <v>0</v>
      </c>
      <c r="K26" s="16" t="n">
        <f aca="false">IF(ISNUMBER(SEARCH(D26,Assumptions!$B$10)),15,0)</f>
        <v>0</v>
      </c>
      <c r="L26" s="16" t="n">
        <f aca="false">H26+I26+J26+K26</f>
        <v>0</v>
      </c>
      <c r="M26" s="16" t="str">
        <f aca="false">IF(L26&gt;=60,"High",IF(L26&gt;=30,"Medium","Low"))</f>
        <v>Low</v>
      </c>
    </row>
    <row r="27" customFormat="false" ht="15" hidden="false" customHeight="false" outlineLevel="0" collapsed="false">
      <c r="A27" s="16" t="str">
        <f aca="false">Payment_Log_AP!A24</f>
        <v>PAY40023</v>
      </c>
      <c r="B27" s="16" t="str">
        <f aca="false">Payment_Log_AP!C24</f>
        <v>V1017</v>
      </c>
      <c r="C27" s="16" t="str">
        <f aca="false">IFERROR(INDEX(Vendor_Master!$B$2:$B$41,MATCH(B27,Vendor_Master!$A$2:$A$41,0)),"Unknown Vendor")</f>
        <v>Hawkins, Cohen and Cameron</v>
      </c>
      <c r="D27" s="16" t="str">
        <f aca="false">IFERROR(INDEX(Vendor_Master!$D$2:$D$41,MATCH(B27,Vendor_Master!$A$2:$A$41,0)),"Unknown")</f>
        <v>USA</v>
      </c>
      <c r="E27" s="17" t="n">
        <f aca="false">IFERROR(INDEX(Vendor_Master!$E$2:$E$41,MATCH(B27,Vendor_Master!$A$2:$A$41,0)),"")</f>
        <v>46025</v>
      </c>
      <c r="F27" s="17" t="n">
        <f aca="false">Payment_Log_AP!D24</f>
        <v>45827</v>
      </c>
      <c r="G27" s="18" t="n">
        <f aca="false">Payment_Log_AP!E24</f>
        <v>1863.09</v>
      </c>
      <c r="H27" s="16" t="n">
        <f aca="false">IF(G27&gt;=Assumptions!$B$7,40,IF(G27&gt;=Assumptions!$B$8,20,0))</f>
        <v>0</v>
      </c>
      <c r="I27" s="16" t="n">
        <f aca="false">IF(MOD(G27,500)=0,20,IF(MOD(G27,100)=0,10,0))</f>
        <v>0</v>
      </c>
      <c r="J27" s="16" t="n">
        <f aca="false">IF(AND(E27&lt;&gt;"",F27-E27&lt;=Assumptions!$B$9),25,0)</f>
        <v>25</v>
      </c>
      <c r="K27" s="16" t="n">
        <f aca="false">IF(ISNUMBER(SEARCH(D27,Assumptions!$B$10)),15,0)</f>
        <v>0</v>
      </c>
      <c r="L27" s="16" t="n">
        <f aca="false">H27+I27+J27+K27</f>
        <v>25</v>
      </c>
      <c r="M27" s="16" t="str">
        <f aca="false">IF(L27&gt;=60,"High",IF(L27&gt;=30,"Medium","Low"))</f>
        <v>Low</v>
      </c>
    </row>
    <row r="28" customFormat="false" ht="15" hidden="false" customHeight="false" outlineLevel="0" collapsed="false">
      <c r="A28" s="16" t="str">
        <f aca="false">Payment_Log_AP!A25</f>
        <v>PAY40024</v>
      </c>
      <c r="B28" s="16" t="str">
        <f aca="false">Payment_Log_AP!C25</f>
        <v>V1009</v>
      </c>
      <c r="C28" s="16" t="str">
        <f aca="false">IFERROR(INDEX(Vendor_Master!$B$2:$B$41,MATCH(B28,Vendor_Master!$A$2:$A$41,0)),"Unknown Vendor")</f>
        <v>Munoz-Roman</v>
      </c>
      <c r="D28" s="16" t="str">
        <f aca="false">IFERROR(INDEX(Vendor_Master!$D$2:$D$41,MATCH(B28,Vendor_Master!$A$2:$A$41,0)),"Unknown")</f>
        <v>India</v>
      </c>
      <c r="E28" s="17" t="n">
        <f aca="false">IFERROR(INDEX(Vendor_Master!$E$2:$E$41,MATCH(B28,Vendor_Master!$A$2:$A$41,0)),"")</f>
        <v>45129</v>
      </c>
      <c r="F28" s="17" t="n">
        <f aca="false">Payment_Log_AP!D25</f>
        <v>46069</v>
      </c>
      <c r="G28" s="18" t="n">
        <f aca="false">Payment_Log_AP!E25</f>
        <v>1558.36</v>
      </c>
      <c r="H28" s="16" t="n">
        <f aca="false">IF(G28&gt;=Assumptions!$B$7,40,IF(G28&gt;=Assumptions!$B$8,20,0))</f>
        <v>0</v>
      </c>
      <c r="I28" s="16" t="n">
        <f aca="false">IF(MOD(G28,500)=0,20,IF(MOD(G28,100)=0,10,0))</f>
        <v>0</v>
      </c>
      <c r="J28" s="16" t="n">
        <f aca="false">IF(AND(E28&lt;&gt;"",F28-E28&lt;=Assumptions!$B$9),25,0)</f>
        <v>0</v>
      </c>
      <c r="K28" s="16" t="n">
        <f aca="false">IF(ISNUMBER(SEARCH(D28,Assumptions!$B$10)),15,0)</f>
        <v>15</v>
      </c>
      <c r="L28" s="16" t="n">
        <f aca="false">H28+I28+J28+K28</f>
        <v>15</v>
      </c>
      <c r="M28" s="16" t="str">
        <f aca="false">IF(L28&gt;=60,"High",IF(L28&gt;=30,"Medium","Low"))</f>
        <v>Low</v>
      </c>
    </row>
    <row r="29" customFormat="false" ht="15" hidden="false" customHeight="false" outlineLevel="0" collapsed="false">
      <c r="A29" s="16" t="str">
        <f aca="false">Payment_Log_AP!A26</f>
        <v>PAY40025</v>
      </c>
      <c r="B29" s="16" t="str">
        <f aca="false">Payment_Log_AP!C26</f>
        <v>V1013</v>
      </c>
      <c r="C29" s="16" t="str">
        <f aca="false">IFERROR(INDEX(Vendor_Master!$B$2:$B$41,MATCH(B29,Vendor_Master!$A$2:$A$41,0)),"Unknown Vendor")</f>
        <v>Delacruz Group</v>
      </c>
      <c r="D29" s="16" t="str">
        <f aca="false">IFERROR(INDEX(Vendor_Master!$D$2:$D$41,MATCH(B29,Vendor_Master!$A$2:$A$41,0)),"Unknown")</f>
        <v>USA</v>
      </c>
      <c r="E29" s="17" t="n">
        <f aca="false">IFERROR(INDEX(Vendor_Master!$E$2:$E$41,MATCH(B29,Vendor_Master!$A$2:$A$41,0)),"")</f>
        <v>46119</v>
      </c>
      <c r="F29" s="17" t="n">
        <f aca="false">Payment_Log_AP!D26</f>
        <v>45710</v>
      </c>
      <c r="G29" s="18" t="n">
        <f aca="false">Payment_Log_AP!E26</f>
        <v>1249.67</v>
      </c>
      <c r="H29" s="16" t="n">
        <f aca="false">IF(G29&gt;=Assumptions!$B$7,40,IF(G29&gt;=Assumptions!$B$8,20,0))</f>
        <v>0</v>
      </c>
      <c r="I29" s="16" t="n">
        <f aca="false">IF(MOD(G29,500)=0,20,IF(MOD(G29,100)=0,10,0))</f>
        <v>0</v>
      </c>
      <c r="J29" s="16" t="n">
        <f aca="false">IF(AND(E29&lt;&gt;"",F29-E29&lt;=Assumptions!$B$9),25,0)</f>
        <v>25</v>
      </c>
      <c r="K29" s="16" t="n">
        <f aca="false">IF(ISNUMBER(SEARCH(D29,Assumptions!$B$10)),15,0)</f>
        <v>0</v>
      </c>
      <c r="L29" s="16" t="n">
        <f aca="false">H29+I29+J29+K29</f>
        <v>25</v>
      </c>
      <c r="M29" s="16" t="str">
        <f aca="false">IF(L29&gt;=60,"High",IF(L29&gt;=30,"Medium","Low"))</f>
        <v>Low</v>
      </c>
    </row>
    <row r="30" customFormat="false" ht="15" hidden="false" customHeight="false" outlineLevel="0" collapsed="false">
      <c r="A30" s="16" t="str">
        <f aca="false">Payment_Log_AP!A27</f>
        <v>PAY40026</v>
      </c>
      <c r="B30" s="16" t="str">
        <f aca="false">Payment_Log_AP!C27</f>
        <v>V1016</v>
      </c>
      <c r="C30" s="16" t="str">
        <f aca="false">IFERROR(INDEX(Vendor_Master!$B$2:$B$41,MATCH(B30,Vendor_Master!$A$2:$A$41,0)),"Unknown Vendor")</f>
        <v>Sanchez, Ford and Nelson</v>
      </c>
      <c r="D30" s="16" t="str">
        <f aca="false">IFERROR(INDEX(Vendor_Master!$D$2:$D$41,MATCH(B30,Vendor_Master!$A$2:$A$41,0)),"Unknown")</f>
        <v>India</v>
      </c>
      <c r="E30" s="17" t="n">
        <f aca="false">IFERROR(INDEX(Vendor_Master!$E$2:$E$41,MATCH(B30,Vendor_Master!$A$2:$A$41,0)),"")</f>
        <v>44832</v>
      </c>
      <c r="F30" s="17" t="n">
        <f aca="false">Payment_Log_AP!D27</f>
        <v>45960</v>
      </c>
      <c r="G30" s="18" t="n">
        <f aca="false">Payment_Log_AP!E27</f>
        <v>877.47</v>
      </c>
      <c r="H30" s="16" t="n">
        <f aca="false">IF(G30&gt;=Assumptions!$B$7,40,IF(G30&gt;=Assumptions!$B$8,20,0))</f>
        <v>0</v>
      </c>
      <c r="I30" s="16" t="n">
        <f aca="false">IF(MOD(G30,500)=0,20,IF(MOD(G30,100)=0,10,0))</f>
        <v>0</v>
      </c>
      <c r="J30" s="16" t="n">
        <f aca="false">IF(AND(E30&lt;&gt;"",F30-E30&lt;=Assumptions!$B$9),25,0)</f>
        <v>0</v>
      </c>
      <c r="K30" s="16" t="n">
        <f aca="false">IF(ISNUMBER(SEARCH(D30,Assumptions!$B$10)),15,0)</f>
        <v>15</v>
      </c>
      <c r="L30" s="16" t="n">
        <f aca="false">H30+I30+J30+K30</f>
        <v>15</v>
      </c>
      <c r="M30" s="16" t="str">
        <f aca="false">IF(L30&gt;=60,"High",IF(L30&gt;=30,"Medium","Low"))</f>
        <v>Low</v>
      </c>
    </row>
    <row r="31" customFormat="false" ht="15" hidden="false" customHeight="false" outlineLevel="0" collapsed="false">
      <c r="A31" s="16" t="str">
        <f aca="false">Payment_Log_AP!A28</f>
        <v>PAY40027</v>
      </c>
      <c r="B31" s="16" t="str">
        <f aca="false">Payment_Log_AP!C28</f>
        <v>V1017</v>
      </c>
      <c r="C31" s="16" t="str">
        <f aca="false">IFERROR(INDEX(Vendor_Master!$B$2:$B$41,MATCH(B31,Vendor_Master!$A$2:$A$41,0)),"Unknown Vendor")</f>
        <v>Hawkins, Cohen and Cameron</v>
      </c>
      <c r="D31" s="16" t="str">
        <f aca="false">IFERROR(INDEX(Vendor_Master!$D$2:$D$41,MATCH(B31,Vendor_Master!$A$2:$A$41,0)),"Unknown")</f>
        <v>USA</v>
      </c>
      <c r="E31" s="17" t="n">
        <f aca="false">IFERROR(INDEX(Vendor_Master!$E$2:$E$41,MATCH(B31,Vendor_Master!$A$2:$A$41,0)),"")</f>
        <v>46025</v>
      </c>
      <c r="F31" s="17" t="n">
        <f aca="false">Payment_Log_AP!D28</f>
        <v>46073</v>
      </c>
      <c r="G31" s="18" t="n">
        <f aca="false">Payment_Log_AP!E28</f>
        <v>644.78</v>
      </c>
      <c r="H31" s="16" t="n">
        <f aca="false">IF(G31&gt;=Assumptions!$B$7,40,IF(G31&gt;=Assumptions!$B$8,20,0))</f>
        <v>0</v>
      </c>
      <c r="I31" s="16" t="n">
        <f aca="false">IF(MOD(G31,500)=0,20,IF(MOD(G31,100)=0,10,0))</f>
        <v>0</v>
      </c>
      <c r="J31" s="16" t="n">
        <f aca="false">IF(AND(E31&lt;&gt;"",F31-E31&lt;=Assumptions!$B$9),25,0)</f>
        <v>25</v>
      </c>
      <c r="K31" s="16" t="n">
        <f aca="false">IF(ISNUMBER(SEARCH(D31,Assumptions!$B$10)),15,0)</f>
        <v>0</v>
      </c>
      <c r="L31" s="16" t="n">
        <f aca="false">H31+I31+J31+K31</f>
        <v>25</v>
      </c>
      <c r="M31" s="16" t="str">
        <f aca="false">IF(L31&gt;=60,"High",IF(L31&gt;=30,"Medium","Low"))</f>
        <v>Low</v>
      </c>
    </row>
    <row r="32" customFormat="false" ht="15" hidden="false" customHeight="false" outlineLevel="0" collapsed="false">
      <c r="A32" s="16" t="str">
        <f aca="false">Payment_Log_AP!A29</f>
        <v>PAY40028</v>
      </c>
      <c r="B32" s="16" t="str">
        <f aca="false">Payment_Log_AP!C29</f>
        <v>V1040</v>
      </c>
      <c r="C32" s="16" t="str">
        <f aca="false">IFERROR(INDEX(Vendor_Master!$B$2:$B$41,MATCH(B32,Vendor_Master!$A$2:$A$41,0)),"Unknown Vendor")</f>
        <v>Santos, Kim and Holmes</v>
      </c>
      <c r="D32" s="16" t="str">
        <f aca="false">IFERROR(INDEX(Vendor_Master!$D$2:$D$41,MATCH(B32,Vendor_Master!$A$2:$A$41,0)),"Unknown")</f>
        <v>India</v>
      </c>
      <c r="E32" s="17" t="n">
        <f aca="false">IFERROR(INDEX(Vendor_Master!$E$2:$E$41,MATCH(B32,Vendor_Master!$A$2:$A$41,0)),"")</f>
        <v>45192</v>
      </c>
      <c r="F32" s="17" t="n">
        <f aca="false">Payment_Log_AP!D29</f>
        <v>46086</v>
      </c>
      <c r="G32" s="18" t="n">
        <f aca="false">Payment_Log_AP!E29</f>
        <v>10749.2</v>
      </c>
      <c r="H32" s="16" t="n">
        <f aca="false">IF(G32&gt;=Assumptions!$B$7,40,IF(G32&gt;=Assumptions!$B$8,20,0))</f>
        <v>40</v>
      </c>
      <c r="I32" s="16" t="n">
        <f aca="false">IF(MOD(G32,500)=0,20,IF(MOD(G32,100)=0,10,0))</f>
        <v>0</v>
      </c>
      <c r="J32" s="16" t="n">
        <f aca="false">IF(AND(E32&lt;&gt;"",F32-E32&lt;=Assumptions!$B$9),25,0)</f>
        <v>0</v>
      </c>
      <c r="K32" s="16" t="n">
        <f aca="false">IF(ISNUMBER(SEARCH(D32,Assumptions!$B$10)),15,0)</f>
        <v>15</v>
      </c>
      <c r="L32" s="16" t="n">
        <f aca="false">H32+I32+J32+K32</f>
        <v>55</v>
      </c>
      <c r="M32" s="16" t="str">
        <f aca="false">IF(L32&gt;=60,"High",IF(L32&gt;=30,"Medium","Low"))</f>
        <v>Medium</v>
      </c>
    </row>
    <row r="33" customFormat="false" ht="15" hidden="false" customHeight="false" outlineLevel="0" collapsed="false">
      <c r="A33" s="16" t="str">
        <f aca="false">Payment_Log_AP!A30</f>
        <v>PAY40029</v>
      </c>
      <c r="B33" s="16" t="str">
        <f aca="false">Payment_Log_AP!C30</f>
        <v>V1018</v>
      </c>
      <c r="C33" s="16" t="str">
        <f aca="false">IFERROR(INDEX(Vendor_Master!$B$2:$B$41,MATCH(B33,Vendor_Master!$A$2:$A$41,0)),"Unknown Vendor")</f>
        <v>Underwood LLC</v>
      </c>
      <c r="D33" s="16" t="str">
        <f aca="false">IFERROR(INDEX(Vendor_Master!$D$2:$D$41,MATCH(B33,Vendor_Master!$A$2:$A$41,0)),"Unknown")</f>
        <v>UAE</v>
      </c>
      <c r="E33" s="17" t="n">
        <f aca="false">IFERROR(INDEX(Vendor_Master!$E$2:$E$41,MATCH(B33,Vendor_Master!$A$2:$A$41,0)),"")</f>
        <v>45788</v>
      </c>
      <c r="F33" s="17" t="n">
        <f aca="false">Payment_Log_AP!D30</f>
        <v>46038</v>
      </c>
      <c r="G33" s="18" t="n">
        <f aca="false">Payment_Log_AP!E30</f>
        <v>10173.53</v>
      </c>
      <c r="H33" s="16" t="n">
        <f aca="false">IF(G33&gt;=Assumptions!$B$7,40,IF(G33&gt;=Assumptions!$B$8,20,0))</f>
        <v>40</v>
      </c>
      <c r="I33" s="16" t="n">
        <f aca="false">IF(MOD(G33,500)=0,20,IF(MOD(G33,100)=0,10,0))</f>
        <v>0</v>
      </c>
      <c r="J33" s="16" t="n">
        <f aca="false">IF(AND(E33&lt;&gt;"",F33-E33&lt;=Assumptions!$B$9),25,0)</f>
        <v>0</v>
      </c>
      <c r="K33" s="16" t="n">
        <f aca="false">IF(ISNUMBER(SEARCH(D33,Assumptions!$B$10)),15,0)</f>
        <v>15</v>
      </c>
      <c r="L33" s="16" t="n">
        <f aca="false">H33+I33+J33+K33</f>
        <v>55</v>
      </c>
      <c r="M33" s="16" t="str">
        <f aca="false">IF(L33&gt;=60,"High",IF(L33&gt;=30,"Medium","Low"))</f>
        <v>Medium</v>
      </c>
    </row>
    <row r="34" customFormat="false" ht="15" hidden="false" customHeight="false" outlineLevel="0" collapsed="false">
      <c r="A34" s="16" t="str">
        <f aca="false">Payment_Log_AP!A31</f>
        <v>PAY40030</v>
      </c>
      <c r="B34" s="16" t="str">
        <f aca="false">Payment_Log_AP!C31</f>
        <v>V1023</v>
      </c>
      <c r="C34" s="16" t="str">
        <f aca="false">IFERROR(INDEX(Vendor_Master!$B$2:$B$41,MATCH(B34,Vendor_Master!$A$2:$A$41,0)),"Unknown Vendor")</f>
        <v>Robinson-Bright</v>
      </c>
      <c r="D34" s="16" t="str">
        <f aca="false">IFERROR(INDEX(Vendor_Master!$D$2:$D$41,MATCH(B34,Vendor_Master!$A$2:$A$41,0)),"Unknown")</f>
        <v>India</v>
      </c>
      <c r="E34" s="17" t="n">
        <f aca="false">IFERROR(INDEX(Vendor_Master!$E$2:$E$41,MATCH(B34,Vendor_Master!$A$2:$A$41,0)),"")</f>
        <v>45484</v>
      </c>
      <c r="F34" s="17" t="n">
        <f aca="false">Payment_Log_AP!D31</f>
        <v>45871</v>
      </c>
      <c r="G34" s="18" t="n">
        <f aca="false">Payment_Log_AP!E31</f>
        <v>7427.81</v>
      </c>
      <c r="H34" s="16" t="n">
        <f aca="false">IF(G34&gt;=Assumptions!$B$7,40,IF(G34&gt;=Assumptions!$B$8,20,0))</f>
        <v>20</v>
      </c>
      <c r="I34" s="16" t="n">
        <f aca="false">IF(MOD(G34,500)=0,20,IF(MOD(G34,100)=0,10,0))</f>
        <v>0</v>
      </c>
      <c r="J34" s="16" t="n">
        <f aca="false">IF(AND(E34&lt;&gt;"",F34-E34&lt;=Assumptions!$B$9),25,0)</f>
        <v>0</v>
      </c>
      <c r="K34" s="16" t="n">
        <f aca="false">IF(ISNUMBER(SEARCH(D34,Assumptions!$B$10)),15,0)</f>
        <v>15</v>
      </c>
      <c r="L34" s="16" t="n">
        <f aca="false">H34+I34+J34+K34</f>
        <v>35</v>
      </c>
      <c r="M34" s="16" t="str">
        <f aca="false">IF(L34&gt;=60,"High",IF(L34&gt;=30,"Medium","Low"))</f>
        <v>Medium</v>
      </c>
    </row>
    <row r="35" customFormat="false" ht="15" hidden="false" customHeight="false" outlineLevel="0" collapsed="false">
      <c r="A35" s="16" t="str">
        <f aca="false">Payment_Log_AP!A32</f>
        <v>PAY40031</v>
      </c>
      <c r="B35" s="16" t="str">
        <f aca="false">Payment_Log_AP!C32</f>
        <v>V1024</v>
      </c>
      <c r="C35" s="16" t="str">
        <f aca="false">IFERROR(INDEX(Vendor_Master!$B$2:$B$41,MATCH(B35,Vendor_Master!$A$2:$A$41,0)),"Unknown Vendor")</f>
        <v>Campos Inc</v>
      </c>
      <c r="D35" s="16" t="str">
        <f aca="false">IFERROR(INDEX(Vendor_Master!$D$2:$D$41,MATCH(B35,Vendor_Master!$A$2:$A$41,0)),"Unknown")</f>
        <v>USA</v>
      </c>
      <c r="E35" s="17" t="n">
        <f aca="false">IFERROR(INDEX(Vendor_Master!$E$2:$E$41,MATCH(B35,Vendor_Master!$A$2:$A$41,0)),"")</f>
        <v>45367</v>
      </c>
      <c r="F35" s="17" t="n">
        <f aca="false">Payment_Log_AP!D32</f>
        <v>45737</v>
      </c>
      <c r="G35" s="18" t="n">
        <f aca="false">Payment_Log_AP!E32</f>
        <v>3858.14</v>
      </c>
      <c r="H35" s="16" t="n">
        <f aca="false">IF(G35&gt;=Assumptions!$B$7,40,IF(G35&gt;=Assumptions!$B$8,20,0))</f>
        <v>0</v>
      </c>
      <c r="I35" s="16" t="n">
        <f aca="false">IF(MOD(G35,500)=0,20,IF(MOD(G35,100)=0,10,0))</f>
        <v>0</v>
      </c>
      <c r="J35" s="16" t="n">
        <f aca="false">IF(AND(E35&lt;&gt;"",F35-E35&lt;=Assumptions!$B$9),25,0)</f>
        <v>0</v>
      </c>
      <c r="K35" s="16" t="n">
        <f aca="false">IF(ISNUMBER(SEARCH(D35,Assumptions!$B$10)),15,0)</f>
        <v>0</v>
      </c>
      <c r="L35" s="16" t="n">
        <f aca="false">H35+I35+J35+K35</f>
        <v>0</v>
      </c>
      <c r="M35" s="16" t="str">
        <f aca="false">IF(L35&gt;=60,"High",IF(L35&gt;=30,"Medium","Low"))</f>
        <v>Low</v>
      </c>
    </row>
    <row r="36" customFormat="false" ht="15" hidden="false" customHeight="false" outlineLevel="0" collapsed="false">
      <c r="A36" s="16" t="str">
        <f aca="false">Payment_Log_AP!A33</f>
        <v>PAY40032</v>
      </c>
      <c r="B36" s="16" t="str">
        <f aca="false">Payment_Log_AP!C33</f>
        <v>V1008</v>
      </c>
      <c r="C36" s="16" t="str">
        <f aca="false">IFERROR(INDEX(Vendor_Master!$B$2:$B$41,MATCH(B36,Vendor_Master!$A$2:$A$41,0)),"Unknown Vendor")</f>
        <v>Davis Inc</v>
      </c>
      <c r="D36" s="16" t="str">
        <f aca="false">IFERROR(INDEX(Vendor_Master!$D$2:$D$41,MATCH(B36,Vendor_Master!$A$2:$A$41,0)),"Unknown")</f>
        <v>Canada</v>
      </c>
      <c r="E36" s="17" t="n">
        <f aca="false">IFERROR(INDEX(Vendor_Master!$E$2:$E$41,MATCH(B36,Vendor_Master!$A$2:$A$41,0)),"")</f>
        <v>45769</v>
      </c>
      <c r="F36" s="17" t="n">
        <f aca="false">Payment_Log_AP!D33</f>
        <v>46041</v>
      </c>
      <c r="G36" s="18" t="n">
        <f aca="false">Payment_Log_AP!E33</f>
        <v>1031.9</v>
      </c>
      <c r="H36" s="16" t="n">
        <f aca="false">IF(G36&gt;=Assumptions!$B$7,40,IF(G36&gt;=Assumptions!$B$8,20,0))</f>
        <v>0</v>
      </c>
      <c r="I36" s="16" t="n">
        <f aca="false">IF(MOD(G36,500)=0,20,IF(MOD(G36,100)=0,10,0))</f>
        <v>0</v>
      </c>
      <c r="J36" s="16" t="n">
        <f aca="false">IF(AND(E36&lt;&gt;"",F36-E36&lt;=Assumptions!$B$9),25,0)</f>
        <v>0</v>
      </c>
      <c r="K36" s="16" t="n">
        <f aca="false">IF(ISNUMBER(SEARCH(D36,Assumptions!$B$10)),15,0)</f>
        <v>0</v>
      </c>
      <c r="L36" s="16" t="n">
        <f aca="false">H36+I36+J36+K36</f>
        <v>0</v>
      </c>
      <c r="M36" s="16" t="str">
        <f aca="false">IF(L36&gt;=60,"High",IF(L36&gt;=30,"Medium","Low"))</f>
        <v>Low</v>
      </c>
    </row>
    <row r="37" customFormat="false" ht="15" hidden="false" customHeight="false" outlineLevel="0" collapsed="false">
      <c r="A37" s="16" t="str">
        <f aca="false">Payment_Log_AP!A34</f>
        <v>PAY40033</v>
      </c>
      <c r="B37" s="16" t="str">
        <f aca="false">Payment_Log_AP!C34</f>
        <v>V1023</v>
      </c>
      <c r="C37" s="16" t="str">
        <f aca="false">IFERROR(INDEX(Vendor_Master!$B$2:$B$41,MATCH(B37,Vendor_Master!$A$2:$A$41,0)),"Unknown Vendor")</f>
        <v>Robinson-Bright</v>
      </c>
      <c r="D37" s="16" t="str">
        <f aca="false">IFERROR(INDEX(Vendor_Master!$D$2:$D$41,MATCH(B37,Vendor_Master!$A$2:$A$41,0)),"Unknown")</f>
        <v>India</v>
      </c>
      <c r="E37" s="17" t="n">
        <f aca="false">IFERROR(INDEX(Vendor_Master!$E$2:$E$41,MATCH(B37,Vendor_Master!$A$2:$A$41,0)),"")</f>
        <v>45484</v>
      </c>
      <c r="F37" s="17" t="n">
        <f aca="false">Payment_Log_AP!D34</f>
        <v>45872</v>
      </c>
      <c r="G37" s="18" t="n">
        <f aca="false">Payment_Log_AP!E34</f>
        <v>117.56</v>
      </c>
      <c r="H37" s="16" t="n">
        <f aca="false">IF(G37&gt;=Assumptions!$B$7,40,IF(G37&gt;=Assumptions!$B$8,20,0))</f>
        <v>0</v>
      </c>
      <c r="I37" s="16" t="n">
        <f aca="false">IF(MOD(G37,500)=0,20,IF(MOD(G37,100)=0,10,0))</f>
        <v>0</v>
      </c>
      <c r="J37" s="16" t="n">
        <f aca="false">IF(AND(E37&lt;&gt;"",F37-E37&lt;=Assumptions!$B$9),25,0)</f>
        <v>0</v>
      </c>
      <c r="K37" s="16" t="n">
        <f aca="false">IF(ISNUMBER(SEARCH(D37,Assumptions!$B$10)),15,0)</f>
        <v>15</v>
      </c>
      <c r="L37" s="16" t="n">
        <f aca="false">H37+I37+J37+K37</f>
        <v>15</v>
      </c>
      <c r="M37" s="16" t="str">
        <f aca="false">IF(L37&gt;=60,"High",IF(L37&gt;=30,"Medium","Low"))</f>
        <v>Low</v>
      </c>
    </row>
    <row r="38" customFormat="false" ht="15" hidden="false" customHeight="false" outlineLevel="0" collapsed="false">
      <c r="A38" s="16" t="str">
        <f aca="false">Payment_Log_AP!A35</f>
        <v>PAY40034</v>
      </c>
      <c r="B38" s="16" t="str">
        <f aca="false">Payment_Log_AP!C35</f>
        <v>V1012</v>
      </c>
      <c r="C38" s="16" t="str">
        <f aca="false">IFERROR(INDEX(Vendor_Master!$B$2:$B$41,MATCH(B38,Vendor_Master!$A$2:$A$41,0)),"Unknown Vendor")</f>
        <v>Stanley LLC</v>
      </c>
      <c r="D38" s="16" t="str">
        <f aca="false">IFERROR(INDEX(Vendor_Master!$D$2:$D$41,MATCH(B38,Vendor_Master!$A$2:$A$41,0)),"Unknown")</f>
        <v>India</v>
      </c>
      <c r="E38" s="17" t="n">
        <f aca="false">IFERROR(INDEX(Vendor_Master!$E$2:$E$41,MATCH(B38,Vendor_Master!$A$2:$A$41,0)),"")</f>
        <v>45675</v>
      </c>
      <c r="F38" s="17" t="n">
        <f aca="false">Payment_Log_AP!D35</f>
        <v>45887</v>
      </c>
      <c r="G38" s="18" t="n">
        <f aca="false">Payment_Log_AP!E35</f>
        <v>21146.76</v>
      </c>
      <c r="H38" s="16" t="n">
        <f aca="false">IF(G38&gt;=Assumptions!$B$7,40,IF(G38&gt;=Assumptions!$B$8,20,0))</f>
        <v>40</v>
      </c>
      <c r="I38" s="16" t="n">
        <f aca="false">IF(MOD(G38,500)=0,20,IF(MOD(G38,100)=0,10,0))</f>
        <v>0</v>
      </c>
      <c r="J38" s="16" t="n">
        <f aca="false">IF(AND(E38&lt;&gt;"",F38-E38&lt;=Assumptions!$B$9),25,0)</f>
        <v>0</v>
      </c>
      <c r="K38" s="16" t="n">
        <f aca="false">IF(ISNUMBER(SEARCH(D38,Assumptions!$B$10)),15,0)</f>
        <v>15</v>
      </c>
      <c r="L38" s="16" t="n">
        <f aca="false">H38+I38+J38+K38</f>
        <v>55</v>
      </c>
      <c r="M38" s="16" t="str">
        <f aca="false">IF(L38&gt;=60,"High",IF(L38&gt;=30,"Medium","Low"))</f>
        <v>Medium</v>
      </c>
    </row>
    <row r="39" customFormat="false" ht="15" hidden="false" customHeight="false" outlineLevel="0" collapsed="false">
      <c r="A39" s="16" t="str">
        <f aca="false">Payment_Log_AP!A36</f>
        <v>PAY40035</v>
      </c>
      <c r="B39" s="16" t="str">
        <f aca="false">Payment_Log_AP!C36</f>
        <v>V1038</v>
      </c>
      <c r="C39" s="16" t="str">
        <f aca="false">IFERROR(INDEX(Vendor_Master!$B$2:$B$41,MATCH(B39,Vendor_Master!$A$2:$A$41,0)),"Unknown Vendor")</f>
        <v>Rose-Obrien</v>
      </c>
      <c r="D39" s="16" t="str">
        <f aca="false">IFERROR(INDEX(Vendor_Master!$D$2:$D$41,MATCH(B39,Vendor_Master!$A$2:$A$41,0)),"Unknown")</f>
        <v>USA</v>
      </c>
      <c r="E39" s="17" t="n">
        <f aca="false">IFERROR(INDEX(Vendor_Master!$E$2:$E$41,MATCH(B39,Vendor_Master!$A$2:$A$41,0)),"")</f>
        <v>45431</v>
      </c>
      <c r="F39" s="17" t="n">
        <f aca="false">Payment_Log_AP!D36</f>
        <v>46160</v>
      </c>
      <c r="G39" s="18" t="n">
        <f aca="false">Payment_Log_AP!E36</f>
        <v>869.11</v>
      </c>
      <c r="H39" s="16" t="n">
        <f aca="false">IF(G39&gt;=Assumptions!$B$7,40,IF(G39&gt;=Assumptions!$B$8,20,0))</f>
        <v>0</v>
      </c>
      <c r="I39" s="16" t="n">
        <f aca="false">IF(MOD(G39,500)=0,20,IF(MOD(G39,100)=0,10,0))</f>
        <v>0</v>
      </c>
      <c r="J39" s="16" t="n">
        <f aca="false">IF(AND(E39&lt;&gt;"",F39-E39&lt;=Assumptions!$B$9),25,0)</f>
        <v>0</v>
      </c>
      <c r="K39" s="16" t="n">
        <f aca="false">IF(ISNUMBER(SEARCH(D39,Assumptions!$B$10)),15,0)</f>
        <v>0</v>
      </c>
      <c r="L39" s="16" t="n">
        <f aca="false">H39+I39+J39+K39</f>
        <v>0</v>
      </c>
      <c r="M39" s="16" t="str">
        <f aca="false">IF(L39&gt;=60,"High",IF(L39&gt;=30,"Medium","Low"))</f>
        <v>Low</v>
      </c>
    </row>
    <row r="40" customFormat="false" ht="15" hidden="false" customHeight="false" outlineLevel="0" collapsed="false">
      <c r="A40" s="16" t="str">
        <f aca="false">Payment_Log_AP!A37</f>
        <v>PAY40036</v>
      </c>
      <c r="B40" s="16" t="str">
        <f aca="false">Payment_Log_AP!C37</f>
        <v>V1015</v>
      </c>
      <c r="C40" s="16" t="str">
        <f aca="false">IFERROR(INDEX(Vendor_Master!$B$2:$B$41,MATCH(B40,Vendor_Master!$A$2:$A$41,0)),"Unknown Vendor")</f>
        <v>Zuniga, Wong and Lynch</v>
      </c>
      <c r="D40" s="16" t="str">
        <f aca="false">IFERROR(INDEX(Vendor_Master!$D$2:$D$41,MATCH(B40,Vendor_Master!$A$2:$A$41,0)),"Unknown")</f>
        <v>USA</v>
      </c>
      <c r="E40" s="17" t="n">
        <f aca="false">IFERROR(INDEX(Vendor_Master!$E$2:$E$41,MATCH(B40,Vendor_Master!$A$2:$A$41,0)),"")</f>
        <v>45621</v>
      </c>
      <c r="F40" s="17" t="n">
        <f aca="false">Payment_Log_AP!D37</f>
        <v>46089</v>
      </c>
      <c r="G40" s="18" t="n">
        <f aca="false">Payment_Log_AP!E37</f>
        <v>1696.08</v>
      </c>
      <c r="H40" s="16" t="n">
        <f aca="false">IF(G40&gt;=Assumptions!$B$7,40,IF(G40&gt;=Assumptions!$B$8,20,0))</f>
        <v>0</v>
      </c>
      <c r="I40" s="16" t="n">
        <f aca="false">IF(MOD(G40,500)=0,20,IF(MOD(G40,100)=0,10,0))</f>
        <v>0</v>
      </c>
      <c r="J40" s="16" t="n">
        <f aca="false">IF(AND(E40&lt;&gt;"",F40-E40&lt;=Assumptions!$B$9),25,0)</f>
        <v>0</v>
      </c>
      <c r="K40" s="16" t="n">
        <f aca="false">IF(ISNUMBER(SEARCH(D40,Assumptions!$B$10)),15,0)</f>
        <v>0</v>
      </c>
      <c r="L40" s="16" t="n">
        <f aca="false">H40+I40+J40+K40</f>
        <v>0</v>
      </c>
      <c r="M40" s="16" t="str">
        <f aca="false">IF(L40&gt;=60,"High",IF(L40&gt;=30,"Medium","Low"))</f>
        <v>Low</v>
      </c>
    </row>
    <row r="41" customFormat="false" ht="15" hidden="false" customHeight="false" outlineLevel="0" collapsed="false">
      <c r="A41" s="16" t="str">
        <f aca="false">Payment_Log_AP!A38</f>
        <v>PAY40037</v>
      </c>
      <c r="B41" s="16" t="str">
        <f aca="false">Payment_Log_AP!C38</f>
        <v>V1011</v>
      </c>
      <c r="C41" s="16" t="str">
        <f aca="false">IFERROR(INDEX(Vendor_Master!$B$2:$B$41,MATCH(B41,Vendor_Master!$A$2:$A$41,0)),"Unknown Vendor")</f>
        <v>Montgomery, Hensley and Ray</v>
      </c>
      <c r="D41" s="16" t="str">
        <f aca="false">IFERROR(INDEX(Vendor_Master!$D$2:$D$41,MATCH(B41,Vendor_Master!$A$2:$A$41,0)),"Unknown")</f>
        <v>USA</v>
      </c>
      <c r="E41" s="17" t="n">
        <f aca="false">IFERROR(INDEX(Vendor_Master!$E$2:$E$41,MATCH(B41,Vendor_Master!$A$2:$A$41,0)),"")</f>
        <v>45025</v>
      </c>
      <c r="F41" s="17" t="n">
        <f aca="false">Payment_Log_AP!D38</f>
        <v>45846</v>
      </c>
      <c r="G41" s="18" t="n">
        <f aca="false">Payment_Log_AP!E38</f>
        <v>1814.85</v>
      </c>
      <c r="H41" s="16" t="n">
        <f aca="false">IF(G41&gt;=Assumptions!$B$7,40,IF(G41&gt;=Assumptions!$B$8,20,0))</f>
        <v>0</v>
      </c>
      <c r="I41" s="16" t="n">
        <f aca="false">IF(MOD(G41,500)=0,20,IF(MOD(G41,100)=0,10,0))</f>
        <v>0</v>
      </c>
      <c r="J41" s="16" t="n">
        <f aca="false">IF(AND(E41&lt;&gt;"",F41-E41&lt;=Assumptions!$B$9),25,0)</f>
        <v>0</v>
      </c>
      <c r="K41" s="16" t="n">
        <f aca="false">IF(ISNUMBER(SEARCH(D41,Assumptions!$B$10)),15,0)</f>
        <v>0</v>
      </c>
      <c r="L41" s="16" t="n">
        <f aca="false">H41+I41+J41+K41</f>
        <v>0</v>
      </c>
      <c r="M41" s="16" t="str">
        <f aca="false">IF(L41&gt;=60,"High",IF(L41&gt;=30,"Medium","Low"))</f>
        <v>Low</v>
      </c>
    </row>
    <row r="42" customFormat="false" ht="15" hidden="false" customHeight="false" outlineLevel="0" collapsed="false">
      <c r="A42" s="16" t="str">
        <f aca="false">Payment_Log_AP!A39</f>
        <v>PAY40038</v>
      </c>
      <c r="B42" s="16" t="str">
        <f aca="false">Payment_Log_AP!C39</f>
        <v>V1011</v>
      </c>
      <c r="C42" s="16" t="str">
        <f aca="false">IFERROR(INDEX(Vendor_Master!$B$2:$B$41,MATCH(B42,Vendor_Master!$A$2:$A$41,0)),"Unknown Vendor")</f>
        <v>Montgomery, Hensley and Ray</v>
      </c>
      <c r="D42" s="16" t="str">
        <f aca="false">IFERROR(INDEX(Vendor_Master!$D$2:$D$41,MATCH(B42,Vendor_Master!$A$2:$A$41,0)),"Unknown")</f>
        <v>USA</v>
      </c>
      <c r="E42" s="17" t="n">
        <f aca="false">IFERROR(INDEX(Vendor_Master!$E$2:$E$41,MATCH(B42,Vendor_Master!$A$2:$A$41,0)),"")</f>
        <v>45025</v>
      </c>
      <c r="F42" s="17" t="n">
        <f aca="false">Payment_Log_AP!D39</f>
        <v>45907</v>
      </c>
      <c r="G42" s="18" t="n">
        <f aca="false">Payment_Log_AP!E39</f>
        <v>9938.09</v>
      </c>
      <c r="H42" s="16" t="n">
        <f aca="false">IF(G42&gt;=Assumptions!$B$7,40,IF(G42&gt;=Assumptions!$B$8,20,0))</f>
        <v>20</v>
      </c>
      <c r="I42" s="16" t="n">
        <f aca="false">IF(MOD(G42,500)=0,20,IF(MOD(G42,100)=0,10,0))</f>
        <v>0</v>
      </c>
      <c r="J42" s="16" t="n">
        <f aca="false">IF(AND(E42&lt;&gt;"",F42-E42&lt;=Assumptions!$B$9),25,0)</f>
        <v>0</v>
      </c>
      <c r="K42" s="16" t="n">
        <f aca="false">IF(ISNUMBER(SEARCH(D42,Assumptions!$B$10)),15,0)</f>
        <v>0</v>
      </c>
      <c r="L42" s="16" t="n">
        <f aca="false">H42+I42+J42+K42</f>
        <v>20</v>
      </c>
      <c r="M42" s="16" t="str">
        <f aca="false">IF(L42&gt;=60,"High",IF(L42&gt;=30,"Medium","Low"))</f>
        <v>Low</v>
      </c>
    </row>
    <row r="43" customFormat="false" ht="15" hidden="false" customHeight="false" outlineLevel="0" collapsed="false">
      <c r="A43" s="16" t="str">
        <f aca="false">Payment_Log_AP!A40</f>
        <v>PAY40039</v>
      </c>
      <c r="B43" s="16" t="str">
        <f aca="false">Payment_Log_AP!C40</f>
        <v>V1011</v>
      </c>
      <c r="C43" s="16" t="str">
        <f aca="false">IFERROR(INDEX(Vendor_Master!$B$2:$B$41,MATCH(B43,Vendor_Master!$A$2:$A$41,0)),"Unknown Vendor")</f>
        <v>Montgomery, Hensley and Ray</v>
      </c>
      <c r="D43" s="16" t="str">
        <f aca="false">IFERROR(INDEX(Vendor_Master!$D$2:$D$41,MATCH(B43,Vendor_Master!$A$2:$A$41,0)),"Unknown")</f>
        <v>USA</v>
      </c>
      <c r="E43" s="17" t="n">
        <f aca="false">IFERROR(INDEX(Vendor_Master!$E$2:$E$41,MATCH(B43,Vendor_Master!$A$2:$A$41,0)),"")</f>
        <v>45025</v>
      </c>
      <c r="F43" s="17" t="n">
        <f aca="false">Payment_Log_AP!D40</f>
        <v>45922</v>
      </c>
      <c r="G43" s="18" t="n">
        <f aca="false">Payment_Log_AP!E40</f>
        <v>9938.09</v>
      </c>
      <c r="H43" s="16" t="n">
        <f aca="false">IF(G43&gt;=Assumptions!$B$7,40,IF(G43&gt;=Assumptions!$B$8,20,0))</f>
        <v>20</v>
      </c>
      <c r="I43" s="16" t="n">
        <f aca="false">IF(MOD(G43,500)=0,20,IF(MOD(G43,100)=0,10,0))</f>
        <v>0</v>
      </c>
      <c r="J43" s="16" t="n">
        <f aca="false">IF(AND(E43&lt;&gt;"",F43-E43&lt;=Assumptions!$B$9),25,0)</f>
        <v>0</v>
      </c>
      <c r="K43" s="16" t="n">
        <f aca="false">IF(ISNUMBER(SEARCH(D43,Assumptions!$B$10)),15,0)</f>
        <v>0</v>
      </c>
      <c r="L43" s="16" t="n">
        <f aca="false">H43+I43+J43+K43</f>
        <v>20</v>
      </c>
      <c r="M43" s="16" t="str">
        <f aca="false">IF(L43&gt;=60,"High",IF(L43&gt;=30,"Medium","Low"))</f>
        <v>Low</v>
      </c>
    </row>
    <row r="44" customFormat="false" ht="15" hidden="false" customHeight="false" outlineLevel="0" collapsed="false">
      <c r="A44" s="16" t="str">
        <f aca="false">Payment_Log_AP!A41</f>
        <v>PAY40040</v>
      </c>
      <c r="B44" s="16" t="str">
        <f aca="false">Payment_Log_AP!C41</f>
        <v>V1016</v>
      </c>
      <c r="C44" s="16" t="str">
        <f aca="false">IFERROR(INDEX(Vendor_Master!$B$2:$B$41,MATCH(B44,Vendor_Master!$A$2:$A$41,0)),"Unknown Vendor")</f>
        <v>Sanchez, Ford and Nelson</v>
      </c>
      <c r="D44" s="16" t="str">
        <f aca="false">IFERROR(INDEX(Vendor_Master!$D$2:$D$41,MATCH(B44,Vendor_Master!$A$2:$A$41,0)),"Unknown")</f>
        <v>India</v>
      </c>
      <c r="E44" s="17" t="n">
        <f aca="false">IFERROR(INDEX(Vendor_Master!$E$2:$E$41,MATCH(B44,Vendor_Master!$A$2:$A$41,0)),"")</f>
        <v>44832</v>
      </c>
      <c r="F44" s="17" t="n">
        <f aca="false">Payment_Log_AP!D41</f>
        <v>45930</v>
      </c>
      <c r="G44" s="18" t="n">
        <f aca="false">Payment_Log_AP!E41</f>
        <v>1076.83</v>
      </c>
      <c r="H44" s="16" t="n">
        <f aca="false">IF(G44&gt;=Assumptions!$B$7,40,IF(G44&gt;=Assumptions!$B$8,20,0))</f>
        <v>0</v>
      </c>
      <c r="I44" s="16" t="n">
        <f aca="false">IF(MOD(G44,500)=0,20,IF(MOD(G44,100)=0,10,0))</f>
        <v>0</v>
      </c>
      <c r="J44" s="16" t="n">
        <f aca="false">IF(AND(E44&lt;&gt;"",F44-E44&lt;=Assumptions!$B$9),25,0)</f>
        <v>0</v>
      </c>
      <c r="K44" s="16" t="n">
        <f aca="false">IF(ISNUMBER(SEARCH(D44,Assumptions!$B$10)),15,0)</f>
        <v>15</v>
      </c>
      <c r="L44" s="16" t="n">
        <f aca="false">H44+I44+J44+K44</f>
        <v>15</v>
      </c>
      <c r="M44" s="16" t="str">
        <f aca="false">IF(L44&gt;=60,"High",IF(L44&gt;=30,"Medium","Low"))</f>
        <v>Low</v>
      </c>
    </row>
    <row r="45" customFormat="false" ht="15" hidden="false" customHeight="false" outlineLevel="0" collapsed="false">
      <c r="A45" s="16" t="str">
        <f aca="false">Payment_Log_AP!A42</f>
        <v>PAY40041</v>
      </c>
      <c r="B45" s="16" t="str">
        <f aca="false">Payment_Log_AP!C42</f>
        <v>V1016</v>
      </c>
      <c r="C45" s="16" t="str">
        <f aca="false">IFERROR(INDEX(Vendor_Master!$B$2:$B$41,MATCH(B45,Vendor_Master!$A$2:$A$41,0)),"Unknown Vendor")</f>
        <v>Sanchez, Ford and Nelson</v>
      </c>
      <c r="D45" s="16" t="str">
        <f aca="false">IFERROR(INDEX(Vendor_Master!$D$2:$D$41,MATCH(B45,Vendor_Master!$A$2:$A$41,0)),"Unknown")</f>
        <v>India</v>
      </c>
      <c r="E45" s="17" t="n">
        <f aca="false">IFERROR(INDEX(Vendor_Master!$E$2:$E$41,MATCH(B45,Vendor_Master!$A$2:$A$41,0)),"")</f>
        <v>44832</v>
      </c>
      <c r="F45" s="17" t="n">
        <f aca="false">Payment_Log_AP!D42</f>
        <v>45937</v>
      </c>
      <c r="G45" s="18" t="n">
        <f aca="false">Payment_Log_AP!E42</f>
        <v>1076.83</v>
      </c>
      <c r="H45" s="16" t="n">
        <f aca="false">IF(G45&gt;=Assumptions!$B$7,40,IF(G45&gt;=Assumptions!$B$8,20,0))</f>
        <v>0</v>
      </c>
      <c r="I45" s="16" t="n">
        <f aca="false">IF(MOD(G45,500)=0,20,IF(MOD(G45,100)=0,10,0))</f>
        <v>0</v>
      </c>
      <c r="J45" s="16" t="n">
        <f aca="false">IF(AND(E45&lt;&gt;"",F45-E45&lt;=Assumptions!$B$9),25,0)</f>
        <v>0</v>
      </c>
      <c r="K45" s="16" t="n">
        <f aca="false">IF(ISNUMBER(SEARCH(D45,Assumptions!$B$10)),15,0)</f>
        <v>15</v>
      </c>
      <c r="L45" s="16" t="n">
        <f aca="false">H45+I45+J45+K45</f>
        <v>15</v>
      </c>
      <c r="M45" s="16" t="str">
        <f aca="false">IF(L45&gt;=60,"High",IF(L45&gt;=30,"Medium","Low"))</f>
        <v>Low</v>
      </c>
    </row>
    <row r="46" customFormat="false" ht="15" hidden="false" customHeight="false" outlineLevel="0" collapsed="false">
      <c r="A46" s="16" t="str">
        <f aca="false">Payment_Log_AP!A43</f>
        <v>PAY40042</v>
      </c>
      <c r="B46" s="16" t="str">
        <f aca="false">Payment_Log_AP!C43</f>
        <v>V1001</v>
      </c>
      <c r="C46" s="16" t="str">
        <f aca="false">IFERROR(INDEX(Vendor_Master!$B$2:$B$41,MATCH(B46,Vendor_Master!$A$2:$A$41,0)),"Unknown Vendor")</f>
        <v>Figueroa and Sons</v>
      </c>
      <c r="D46" s="16" t="str">
        <f aca="false">IFERROR(INDEX(Vendor_Master!$D$2:$D$41,MATCH(B46,Vendor_Master!$A$2:$A$41,0)),"Unknown")</f>
        <v>USA</v>
      </c>
      <c r="E46" s="17" t="n">
        <f aca="false">IFERROR(INDEX(Vendor_Master!$E$2:$E$41,MATCH(B46,Vendor_Master!$A$2:$A$41,0)),"")</f>
        <v>45572</v>
      </c>
      <c r="F46" s="17" t="n">
        <f aca="false">Payment_Log_AP!D43</f>
        <v>45852</v>
      </c>
      <c r="G46" s="18" t="n">
        <f aca="false">Payment_Log_AP!E43</f>
        <v>5899.58</v>
      </c>
      <c r="H46" s="16" t="n">
        <f aca="false">IF(G46&gt;=Assumptions!$B$7,40,IF(G46&gt;=Assumptions!$B$8,20,0))</f>
        <v>20</v>
      </c>
      <c r="I46" s="16" t="n">
        <f aca="false">IF(MOD(G46,500)=0,20,IF(MOD(G46,100)=0,10,0))</f>
        <v>0</v>
      </c>
      <c r="J46" s="16" t="n">
        <f aca="false">IF(AND(E46&lt;&gt;"",F46-E46&lt;=Assumptions!$B$9),25,0)</f>
        <v>0</v>
      </c>
      <c r="K46" s="16" t="n">
        <f aca="false">IF(ISNUMBER(SEARCH(D46,Assumptions!$B$10)),15,0)</f>
        <v>0</v>
      </c>
      <c r="L46" s="16" t="n">
        <f aca="false">H46+I46+J46+K46</f>
        <v>20</v>
      </c>
      <c r="M46" s="16" t="str">
        <f aca="false">IF(L46&gt;=60,"High",IF(L46&gt;=30,"Medium","Low"))</f>
        <v>Low</v>
      </c>
    </row>
    <row r="47" customFormat="false" ht="15" hidden="false" customHeight="false" outlineLevel="0" collapsed="false">
      <c r="A47" s="16" t="str">
        <f aca="false">Payment_Log_AP!A44</f>
        <v>PAY40043</v>
      </c>
      <c r="B47" s="16" t="str">
        <f aca="false">Payment_Log_AP!C44</f>
        <v>V1020</v>
      </c>
      <c r="C47" s="16" t="str">
        <f aca="false">IFERROR(INDEX(Vendor_Master!$B$2:$B$41,MATCH(B47,Vendor_Master!$A$2:$A$41,0)),"Unknown Vendor")</f>
        <v>Lewis-Porter</v>
      </c>
      <c r="D47" s="16" t="str">
        <f aca="false">IFERROR(INDEX(Vendor_Master!$D$2:$D$41,MATCH(B47,Vendor_Master!$A$2:$A$41,0)),"Unknown")</f>
        <v>UAE</v>
      </c>
      <c r="E47" s="17" t="n">
        <f aca="false">IFERROR(INDEX(Vendor_Master!$E$2:$E$41,MATCH(B47,Vendor_Master!$A$2:$A$41,0)),"")</f>
        <v>45947</v>
      </c>
      <c r="F47" s="17" t="n">
        <f aca="false">Payment_Log_AP!D44</f>
        <v>45776</v>
      </c>
      <c r="G47" s="18" t="n">
        <f aca="false">Payment_Log_AP!E44</f>
        <v>31348.72</v>
      </c>
      <c r="H47" s="16" t="n">
        <f aca="false">IF(G47&gt;=Assumptions!$B$7,40,IF(G47&gt;=Assumptions!$B$8,20,0))</f>
        <v>40</v>
      </c>
      <c r="I47" s="16" t="n">
        <f aca="false">IF(MOD(G47,500)=0,20,IF(MOD(G47,100)=0,10,0))</f>
        <v>0</v>
      </c>
      <c r="J47" s="16" t="n">
        <f aca="false">IF(AND(E47&lt;&gt;"",F47-E47&lt;=Assumptions!$B$9),25,0)</f>
        <v>25</v>
      </c>
      <c r="K47" s="16" t="n">
        <f aca="false">IF(ISNUMBER(SEARCH(D47,Assumptions!$B$10)),15,0)</f>
        <v>15</v>
      </c>
      <c r="L47" s="16" t="n">
        <f aca="false">H47+I47+J47+K47</f>
        <v>80</v>
      </c>
      <c r="M47" s="16" t="str">
        <f aca="false">IF(L47&gt;=60,"High",IF(L47&gt;=30,"Medium","Low"))</f>
        <v>High</v>
      </c>
    </row>
    <row r="48" customFormat="false" ht="15" hidden="false" customHeight="false" outlineLevel="0" collapsed="false">
      <c r="A48" s="16" t="str">
        <f aca="false">Payment_Log_AP!A45</f>
        <v>PAY40044</v>
      </c>
      <c r="B48" s="16" t="str">
        <f aca="false">Payment_Log_AP!C45</f>
        <v>V1022</v>
      </c>
      <c r="C48" s="16" t="str">
        <f aca="false">IFERROR(INDEX(Vendor_Master!$B$2:$B$41,MATCH(B48,Vendor_Master!$A$2:$A$41,0)),"Unknown Vendor")</f>
        <v>Burgess-Patterson</v>
      </c>
      <c r="D48" s="16" t="str">
        <f aca="false">IFERROR(INDEX(Vendor_Master!$D$2:$D$41,MATCH(B48,Vendor_Master!$A$2:$A$41,0)),"Unknown")</f>
        <v>Germany</v>
      </c>
      <c r="E48" s="17" t="n">
        <f aca="false">IFERROR(INDEX(Vendor_Master!$E$2:$E$41,MATCH(B48,Vendor_Master!$A$2:$A$41,0)),"")</f>
        <v>45449</v>
      </c>
      <c r="F48" s="17" t="n">
        <f aca="false">Payment_Log_AP!D45</f>
        <v>45938</v>
      </c>
      <c r="G48" s="18" t="n">
        <f aca="false">Payment_Log_AP!E45</f>
        <v>2845.35</v>
      </c>
      <c r="H48" s="16" t="n">
        <f aca="false">IF(G48&gt;=Assumptions!$B$7,40,IF(G48&gt;=Assumptions!$B$8,20,0))</f>
        <v>0</v>
      </c>
      <c r="I48" s="16" t="n">
        <f aca="false">IF(MOD(G48,500)=0,20,IF(MOD(G48,100)=0,10,0))</f>
        <v>0</v>
      </c>
      <c r="J48" s="16" t="n">
        <f aca="false">IF(AND(E48&lt;&gt;"",F48-E48&lt;=Assumptions!$B$9),25,0)</f>
        <v>0</v>
      </c>
      <c r="K48" s="16" t="n">
        <f aca="false">IF(ISNUMBER(SEARCH(D48,Assumptions!$B$10)),15,0)</f>
        <v>0</v>
      </c>
      <c r="L48" s="16" t="n">
        <f aca="false">H48+I48+J48+K48</f>
        <v>0</v>
      </c>
      <c r="M48" s="16" t="str">
        <f aca="false">IF(L48&gt;=60,"High",IF(L48&gt;=30,"Medium","Low"))</f>
        <v>Low</v>
      </c>
    </row>
    <row r="49" customFormat="false" ht="15" hidden="false" customHeight="false" outlineLevel="0" collapsed="false">
      <c r="A49" s="16" t="str">
        <f aca="false">Payment_Log_AP!A46</f>
        <v>PAY40045</v>
      </c>
      <c r="B49" s="16" t="str">
        <f aca="false">Payment_Log_AP!C46</f>
        <v>V1025</v>
      </c>
      <c r="C49" s="16" t="str">
        <f aca="false">IFERROR(INDEX(Vendor_Master!$B$2:$B$41,MATCH(B49,Vendor_Master!$A$2:$A$41,0)),"Unknown Vendor")</f>
        <v>Conner Group</v>
      </c>
      <c r="D49" s="16" t="str">
        <f aca="false">IFERROR(INDEX(Vendor_Master!$D$2:$D$41,MATCH(B49,Vendor_Master!$A$2:$A$41,0)),"Unknown")</f>
        <v>USA</v>
      </c>
      <c r="E49" s="17" t="n">
        <f aca="false">IFERROR(INDEX(Vendor_Master!$E$2:$E$41,MATCH(B49,Vendor_Master!$A$2:$A$41,0)),"")</f>
        <v>44803</v>
      </c>
      <c r="F49" s="17" t="n">
        <f aca="false">Payment_Log_AP!D46</f>
        <v>46058</v>
      </c>
      <c r="G49" s="18" t="n">
        <f aca="false">Payment_Log_AP!E46</f>
        <v>22892.64</v>
      </c>
      <c r="H49" s="16" t="n">
        <f aca="false">IF(G49&gt;=Assumptions!$B$7,40,IF(G49&gt;=Assumptions!$B$8,20,0))</f>
        <v>40</v>
      </c>
      <c r="I49" s="16" t="n">
        <f aca="false">IF(MOD(G49,500)=0,20,IF(MOD(G49,100)=0,10,0))</f>
        <v>0</v>
      </c>
      <c r="J49" s="16" t="n">
        <f aca="false">IF(AND(E49&lt;&gt;"",F49-E49&lt;=Assumptions!$B$9),25,0)</f>
        <v>0</v>
      </c>
      <c r="K49" s="16" t="n">
        <f aca="false">IF(ISNUMBER(SEARCH(D49,Assumptions!$B$10)),15,0)</f>
        <v>0</v>
      </c>
      <c r="L49" s="16" t="n">
        <f aca="false">H49+I49+J49+K49</f>
        <v>40</v>
      </c>
      <c r="M49" s="16" t="str">
        <f aca="false">IF(L49&gt;=60,"High",IF(L49&gt;=30,"Medium","Low"))</f>
        <v>Medium</v>
      </c>
    </row>
    <row r="50" customFormat="false" ht="15" hidden="false" customHeight="false" outlineLevel="0" collapsed="false">
      <c r="A50" s="16" t="str">
        <f aca="false">Payment_Log_AP!A47</f>
        <v>PAY40046</v>
      </c>
      <c r="B50" s="16" t="str">
        <f aca="false">Payment_Log_AP!C47</f>
        <v>V1006</v>
      </c>
      <c r="C50" s="16" t="str">
        <f aca="false">IFERROR(INDEX(Vendor_Master!$B$2:$B$41,MATCH(B50,Vendor_Master!$A$2:$A$41,0)),"Unknown Vendor")</f>
        <v>Blake and Sons</v>
      </c>
      <c r="D50" s="16" t="str">
        <f aca="false">IFERROR(INDEX(Vendor_Master!$D$2:$D$41,MATCH(B50,Vendor_Master!$A$2:$A$41,0)),"Unknown")</f>
        <v>UK</v>
      </c>
      <c r="E50" s="17" t="n">
        <f aca="false">IFERROR(INDEX(Vendor_Master!$E$2:$E$41,MATCH(B50,Vendor_Master!$A$2:$A$41,0)),"")</f>
        <v>45841</v>
      </c>
      <c r="F50" s="17" t="n">
        <f aca="false">Payment_Log_AP!D47</f>
        <v>46172</v>
      </c>
      <c r="G50" s="18" t="n">
        <f aca="false">Payment_Log_AP!E47</f>
        <v>306.49</v>
      </c>
      <c r="H50" s="16" t="n">
        <f aca="false">IF(G50&gt;=Assumptions!$B$7,40,IF(G50&gt;=Assumptions!$B$8,20,0))</f>
        <v>0</v>
      </c>
      <c r="I50" s="16" t="n">
        <f aca="false">IF(MOD(G50,500)=0,20,IF(MOD(G50,100)=0,10,0))</f>
        <v>0</v>
      </c>
      <c r="J50" s="16" t="n">
        <f aca="false">IF(AND(E50&lt;&gt;"",F50-E50&lt;=Assumptions!$B$9),25,0)</f>
        <v>0</v>
      </c>
      <c r="K50" s="16" t="n">
        <f aca="false">IF(ISNUMBER(SEARCH(D50,Assumptions!$B$10)),15,0)</f>
        <v>0</v>
      </c>
      <c r="L50" s="16" t="n">
        <f aca="false">H50+I50+J50+K50</f>
        <v>0</v>
      </c>
      <c r="M50" s="16" t="str">
        <f aca="false">IF(L50&gt;=60,"High",IF(L50&gt;=30,"Medium","Low"))</f>
        <v>Low</v>
      </c>
    </row>
    <row r="51" customFormat="false" ht="15" hidden="false" customHeight="false" outlineLevel="0" collapsed="false">
      <c r="A51" s="16" t="str">
        <f aca="false">Payment_Log_AP!A48</f>
        <v>PAY40047</v>
      </c>
      <c r="B51" s="16" t="str">
        <f aca="false">Payment_Log_AP!C48</f>
        <v>V1024</v>
      </c>
      <c r="C51" s="16" t="str">
        <f aca="false">IFERROR(INDEX(Vendor_Master!$B$2:$B$41,MATCH(B51,Vendor_Master!$A$2:$A$41,0)),"Unknown Vendor")</f>
        <v>Campos Inc</v>
      </c>
      <c r="D51" s="16" t="str">
        <f aca="false">IFERROR(INDEX(Vendor_Master!$D$2:$D$41,MATCH(B51,Vendor_Master!$A$2:$A$41,0)),"Unknown")</f>
        <v>USA</v>
      </c>
      <c r="E51" s="17" t="n">
        <f aca="false">IFERROR(INDEX(Vendor_Master!$E$2:$E$41,MATCH(B51,Vendor_Master!$A$2:$A$41,0)),"")</f>
        <v>45367</v>
      </c>
      <c r="F51" s="17" t="n">
        <f aca="false">Payment_Log_AP!D48</f>
        <v>46041</v>
      </c>
      <c r="G51" s="18" t="n">
        <f aca="false">Payment_Log_AP!E48</f>
        <v>5034.71</v>
      </c>
      <c r="H51" s="16" t="n">
        <f aca="false">IF(G51&gt;=Assumptions!$B$7,40,IF(G51&gt;=Assumptions!$B$8,20,0))</f>
        <v>20</v>
      </c>
      <c r="I51" s="16" t="n">
        <f aca="false">IF(MOD(G51,500)=0,20,IF(MOD(G51,100)=0,10,0))</f>
        <v>0</v>
      </c>
      <c r="J51" s="16" t="n">
        <f aca="false">IF(AND(E51&lt;&gt;"",F51-E51&lt;=Assumptions!$B$9),25,0)</f>
        <v>0</v>
      </c>
      <c r="K51" s="16" t="n">
        <f aca="false">IF(ISNUMBER(SEARCH(D51,Assumptions!$B$10)),15,0)</f>
        <v>0</v>
      </c>
      <c r="L51" s="16" t="n">
        <f aca="false">H51+I51+J51+K51</f>
        <v>20</v>
      </c>
      <c r="M51" s="16" t="str">
        <f aca="false">IF(L51&gt;=60,"High",IF(L51&gt;=30,"Medium","Low"))</f>
        <v>Low</v>
      </c>
    </row>
    <row r="52" customFormat="false" ht="15" hidden="false" customHeight="false" outlineLevel="0" collapsed="false">
      <c r="A52" s="16" t="str">
        <f aca="false">Payment_Log_AP!A49</f>
        <v>PAY40048</v>
      </c>
      <c r="B52" s="16" t="str">
        <f aca="false">Payment_Log_AP!C49</f>
        <v>V1024</v>
      </c>
      <c r="C52" s="16" t="str">
        <f aca="false">IFERROR(INDEX(Vendor_Master!$B$2:$B$41,MATCH(B52,Vendor_Master!$A$2:$A$41,0)),"Unknown Vendor")</f>
        <v>Campos Inc</v>
      </c>
      <c r="D52" s="16" t="str">
        <f aca="false">IFERROR(INDEX(Vendor_Master!$D$2:$D$41,MATCH(B52,Vendor_Master!$A$2:$A$41,0)),"Unknown")</f>
        <v>USA</v>
      </c>
      <c r="E52" s="17" t="n">
        <f aca="false">IFERROR(INDEX(Vendor_Master!$E$2:$E$41,MATCH(B52,Vendor_Master!$A$2:$A$41,0)),"")</f>
        <v>45367</v>
      </c>
      <c r="F52" s="17" t="n">
        <f aca="false">Payment_Log_AP!D49</f>
        <v>46034</v>
      </c>
      <c r="G52" s="18" t="n">
        <f aca="false">Payment_Log_AP!E49</f>
        <v>5034.71</v>
      </c>
      <c r="H52" s="16" t="n">
        <f aca="false">IF(G52&gt;=Assumptions!$B$7,40,IF(G52&gt;=Assumptions!$B$8,20,0))</f>
        <v>20</v>
      </c>
      <c r="I52" s="16" t="n">
        <f aca="false">IF(MOD(G52,500)=0,20,IF(MOD(G52,100)=0,10,0))</f>
        <v>0</v>
      </c>
      <c r="J52" s="16" t="n">
        <f aca="false">IF(AND(E52&lt;&gt;"",F52-E52&lt;=Assumptions!$B$9),25,0)</f>
        <v>0</v>
      </c>
      <c r="K52" s="16" t="n">
        <f aca="false">IF(ISNUMBER(SEARCH(D52,Assumptions!$B$10)),15,0)</f>
        <v>0</v>
      </c>
      <c r="L52" s="16" t="n">
        <f aca="false">H52+I52+J52+K52</f>
        <v>20</v>
      </c>
      <c r="M52" s="16" t="str">
        <f aca="false">IF(L52&gt;=60,"High",IF(L52&gt;=30,"Medium","Low"))</f>
        <v>Low</v>
      </c>
    </row>
    <row r="53" customFormat="false" ht="15" hidden="false" customHeight="false" outlineLevel="0" collapsed="false">
      <c r="A53" s="16" t="str">
        <f aca="false">Payment_Log_AP!A50</f>
        <v>PAY40049</v>
      </c>
      <c r="B53" s="16" t="str">
        <f aca="false">Payment_Log_AP!C50</f>
        <v>V1029</v>
      </c>
      <c r="C53" s="16" t="str">
        <f aca="false">IFERROR(INDEX(Vendor_Master!$B$2:$B$41,MATCH(B53,Vendor_Master!$A$2:$A$41,0)),"Unknown Vendor")</f>
        <v>Chavez Ltd</v>
      </c>
      <c r="D53" s="16" t="str">
        <f aca="false">IFERROR(INDEX(Vendor_Master!$D$2:$D$41,MATCH(B53,Vendor_Master!$A$2:$A$41,0)),"Unknown")</f>
        <v>Singapore</v>
      </c>
      <c r="E53" s="17" t="n">
        <f aca="false">IFERROR(INDEX(Vendor_Master!$E$2:$E$41,MATCH(B53,Vendor_Master!$A$2:$A$41,0)),"")</f>
        <v>45026</v>
      </c>
      <c r="F53" s="17" t="n">
        <f aca="false">Payment_Log_AP!D50</f>
        <v>45848</v>
      </c>
      <c r="G53" s="18" t="n">
        <f aca="false">Payment_Log_AP!E50</f>
        <v>1369.29</v>
      </c>
      <c r="H53" s="16" t="n">
        <f aca="false">IF(G53&gt;=Assumptions!$B$7,40,IF(G53&gt;=Assumptions!$B$8,20,0))</f>
        <v>0</v>
      </c>
      <c r="I53" s="16" t="n">
        <f aca="false">IF(MOD(G53,500)=0,20,IF(MOD(G53,100)=0,10,0))</f>
        <v>0</v>
      </c>
      <c r="J53" s="16" t="n">
        <f aca="false">IF(AND(E53&lt;&gt;"",F53-E53&lt;=Assumptions!$B$9),25,0)</f>
        <v>0</v>
      </c>
      <c r="K53" s="16" t="n">
        <f aca="false">IF(ISNUMBER(SEARCH(D53,Assumptions!$B$10)),15,0)</f>
        <v>15</v>
      </c>
      <c r="L53" s="16" t="n">
        <f aca="false">H53+I53+J53+K53</f>
        <v>15</v>
      </c>
      <c r="M53" s="16" t="str">
        <f aca="false">IF(L53&gt;=60,"High",IF(L53&gt;=30,"Medium","Low"))</f>
        <v>Low</v>
      </c>
    </row>
    <row r="54" customFormat="false" ht="15" hidden="false" customHeight="false" outlineLevel="0" collapsed="false">
      <c r="A54" s="16" t="str">
        <f aca="false">Payment_Log_AP!A51</f>
        <v>PAY40050</v>
      </c>
      <c r="B54" s="16" t="str">
        <f aca="false">Payment_Log_AP!C51</f>
        <v>V1025</v>
      </c>
      <c r="C54" s="16" t="str">
        <f aca="false">IFERROR(INDEX(Vendor_Master!$B$2:$B$41,MATCH(B54,Vendor_Master!$A$2:$A$41,0)),"Unknown Vendor")</f>
        <v>Conner Group</v>
      </c>
      <c r="D54" s="16" t="str">
        <f aca="false">IFERROR(INDEX(Vendor_Master!$D$2:$D$41,MATCH(B54,Vendor_Master!$A$2:$A$41,0)),"Unknown")</f>
        <v>USA</v>
      </c>
      <c r="E54" s="17" t="n">
        <f aca="false">IFERROR(INDEX(Vendor_Master!$E$2:$E$41,MATCH(B54,Vendor_Master!$A$2:$A$41,0)),"")</f>
        <v>44803</v>
      </c>
      <c r="F54" s="17" t="n">
        <f aca="false">Payment_Log_AP!D51</f>
        <v>45994</v>
      </c>
      <c r="G54" s="18" t="n">
        <f aca="false">Payment_Log_AP!E51</f>
        <v>2783.02</v>
      </c>
      <c r="H54" s="16" t="n">
        <f aca="false">IF(G54&gt;=Assumptions!$B$7,40,IF(G54&gt;=Assumptions!$B$8,20,0))</f>
        <v>0</v>
      </c>
      <c r="I54" s="16" t="n">
        <f aca="false">IF(MOD(G54,500)=0,20,IF(MOD(G54,100)=0,10,0))</f>
        <v>0</v>
      </c>
      <c r="J54" s="16" t="n">
        <f aca="false">IF(AND(E54&lt;&gt;"",F54-E54&lt;=Assumptions!$B$9),25,0)</f>
        <v>0</v>
      </c>
      <c r="K54" s="16" t="n">
        <f aca="false">IF(ISNUMBER(SEARCH(D54,Assumptions!$B$10)),15,0)</f>
        <v>0</v>
      </c>
      <c r="L54" s="16" t="n">
        <f aca="false">H54+I54+J54+K54</f>
        <v>0</v>
      </c>
      <c r="M54" s="16" t="str">
        <f aca="false">IF(L54&gt;=60,"High",IF(L54&gt;=30,"Medium","Low"))</f>
        <v>Low</v>
      </c>
    </row>
    <row r="55" customFormat="false" ht="15" hidden="false" customHeight="false" outlineLevel="0" collapsed="false">
      <c r="A55" s="16" t="str">
        <f aca="false">Payment_Log_AP!A52</f>
        <v>PAY40051</v>
      </c>
      <c r="B55" s="16" t="str">
        <f aca="false">Payment_Log_AP!C52</f>
        <v>V1031</v>
      </c>
      <c r="C55" s="16" t="str">
        <f aca="false">IFERROR(INDEX(Vendor_Master!$B$2:$B$41,MATCH(B55,Vendor_Master!$A$2:$A$41,0)),"Unknown Vendor")</f>
        <v>Harrell LLC</v>
      </c>
      <c r="D55" s="16" t="str">
        <f aca="false">IFERROR(INDEX(Vendor_Master!$D$2:$D$41,MATCH(B55,Vendor_Master!$A$2:$A$41,0)),"Unknown")</f>
        <v>Canada</v>
      </c>
      <c r="E55" s="17" t="n">
        <f aca="false">IFERROR(INDEX(Vendor_Master!$E$2:$E$41,MATCH(B55,Vendor_Master!$A$2:$A$41,0)),"")</f>
        <v>45364</v>
      </c>
      <c r="F55" s="17" t="n">
        <f aca="false">Payment_Log_AP!D52</f>
        <v>45679</v>
      </c>
      <c r="G55" s="18" t="n">
        <f aca="false">Payment_Log_AP!E52</f>
        <v>1474.66</v>
      </c>
      <c r="H55" s="16" t="n">
        <f aca="false">IF(G55&gt;=Assumptions!$B$7,40,IF(G55&gt;=Assumptions!$B$8,20,0))</f>
        <v>0</v>
      </c>
      <c r="I55" s="16" t="n">
        <f aca="false">IF(MOD(G55,500)=0,20,IF(MOD(G55,100)=0,10,0))</f>
        <v>0</v>
      </c>
      <c r="J55" s="16" t="n">
        <f aca="false">IF(AND(E55&lt;&gt;"",F55-E55&lt;=Assumptions!$B$9),25,0)</f>
        <v>0</v>
      </c>
      <c r="K55" s="16" t="n">
        <f aca="false">IF(ISNUMBER(SEARCH(D55,Assumptions!$B$10)),15,0)</f>
        <v>0</v>
      </c>
      <c r="L55" s="16" t="n">
        <f aca="false">H55+I55+J55+K55</f>
        <v>0</v>
      </c>
      <c r="M55" s="16" t="str">
        <f aca="false">IF(L55&gt;=60,"High",IF(L55&gt;=30,"Medium","Low"))</f>
        <v>Low</v>
      </c>
    </row>
    <row r="56" customFormat="false" ht="15" hidden="false" customHeight="false" outlineLevel="0" collapsed="false">
      <c r="A56" s="16" t="str">
        <f aca="false">Payment_Log_AP!A53</f>
        <v>PAY40052</v>
      </c>
      <c r="B56" s="16" t="str">
        <f aca="false">Payment_Log_AP!C53</f>
        <v>V1031</v>
      </c>
      <c r="C56" s="16" t="str">
        <f aca="false">IFERROR(INDEX(Vendor_Master!$B$2:$B$41,MATCH(B56,Vendor_Master!$A$2:$A$41,0)),"Unknown Vendor")</f>
        <v>Harrell LLC</v>
      </c>
      <c r="D56" s="16" t="str">
        <f aca="false">IFERROR(INDEX(Vendor_Master!$D$2:$D$41,MATCH(B56,Vendor_Master!$A$2:$A$41,0)),"Unknown")</f>
        <v>Canada</v>
      </c>
      <c r="E56" s="17" t="n">
        <f aca="false">IFERROR(INDEX(Vendor_Master!$E$2:$E$41,MATCH(B56,Vendor_Master!$A$2:$A$41,0)),"")</f>
        <v>45364</v>
      </c>
      <c r="F56" s="17" t="n">
        <f aca="false">Payment_Log_AP!D53</f>
        <v>45842</v>
      </c>
      <c r="G56" s="18" t="n">
        <f aca="false">Payment_Log_AP!E53</f>
        <v>1567.44</v>
      </c>
      <c r="H56" s="16" t="n">
        <f aca="false">IF(G56&gt;=Assumptions!$B$7,40,IF(G56&gt;=Assumptions!$B$8,20,0))</f>
        <v>0</v>
      </c>
      <c r="I56" s="16" t="n">
        <f aca="false">IF(MOD(G56,500)=0,20,IF(MOD(G56,100)=0,10,0))</f>
        <v>0</v>
      </c>
      <c r="J56" s="16" t="n">
        <f aca="false">IF(AND(E56&lt;&gt;"",F56-E56&lt;=Assumptions!$B$9),25,0)</f>
        <v>0</v>
      </c>
      <c r="K56" s="16" t="n">
        <f aca="false">IF(ISNUMBER(SEARCH(D56,Assumptions!$B$10)),15,0)</f>
        <v>0</v>
      </c>
      <c r="L56" s="16" t="n">
        <f aca="false">H56+I56+J56+K56</f>
        <v>0</v>
      </c>
      <c r="M56" s="16" t="str">
        <f aca="false">IF(L56&gt;=60,"High",IF(L56&gt;=30,"Medium","Low"))</f>
        <v>Low</v>
      </c>
    </row>
    <row r="57" customFormat="false" ht="15" hidden="false" customHeight="false" outlineLevel="0" collapsed="false">
      <c r="A57" s="16" t="str">
        <f aca="false">Payment_Log_AP!A54</f>
        <v>PAY40053</v>
      </c>
      <c r="B57" s="16" t="str">
        <f aca="false">Payment_Log_AP!C54</f>
        <v>V1029</v>
      </c>
      <c r="C57" s="16" t="str">
        <f aca="false">IFERROR(INDEX(Vendor_Master!$B$2:$B$41,MATCH(B57,Vendor_Master!$A$2:$A$41,0)),"Unknown Vendor")</f>
        <v>Chavez Ltd</v>
      </c>
      <c r="D57" s="16" t="str">
        <f aca="false">IFERROR(INDEX(Vendor_Master!$D$2:$D$41,MATCH(B57,Vendor_Master!$A$2:$A$41,0)),"Unknown")</f>
        <v>Singapore</v>
      </c>
      <c r="E57" s="17" t="n">
        <f aca="false">IFERROR(INDEX(Vendor_Master!$E$2:$E$41,MATCH(B57,Vendor_Master!$A$2:$A$41,0)),"")</f>
        <v>45026</v>
      </c>
      <c r="F57" s="17" t="n">
        <f aca="false">Payment_Log_AP!D54</f>
        <v>45933</v>
      </c>
      <c r="G57" s="18" t="n">
        <f aca="false">Payment_Log_AP!E54</f>
        <v>7649.01</v>
      </c>
      <c r="H57" s="16" t="n">
        <f aca="false">IF(G57&gt;=Assumptions!$B$7,40,IF(G57&gt;=Assumptions!$B$8,20,0))</f>
        <v>20</v>
      </c>
      <c r="I57" s="16" t="n">
        <f aca="false">IF(MOD(G57,500)=0,20,IF(MOD(G57,100)=0,10,0))</f>
        <v>0</v>
      </c>
      <c r="J57" s="16" t="n">
        <f aca="false">IF(AND(E57&lt;&gt;"",F57-E57&lt;=Assumptions!$B$9),25,0)</f>
        <v>0</v>
      </c>
      <c r="K57" s="16" t="n">
        <f aca="false">IF(ISNUMBER(SEARCH(D57,Assumptions!$B$10)),15,0)</f>
        <v>15</v>
      </c>
      <c r="L57" s="16" t="n">
        <f aca="false">H57+I57+J57+K57</f>
        <v>35</v>
      </c>
      <c r="M57" s="16" t="str">
        <f aca="false">IF(L57&gt;=60,"High",IF(L57&gt;=30,"Medium","Low"))</f>
        <v>Medium</v>
      </c>
    </row>
    <row r="58" customFormat="false" ht="15" hidden="false" customHeight="false" outlineLevel="0" collapsed="false">
      <c r="A58" s="16" t="str">
        <f aca="false">Payment_Log_AP!A55</f>
        <v>PAY40054</v>
      </c>
      <c r="B58" s="16" t="str">
        <f aca="false">Payment_Log_AP!C55</f>
        <v>V1009</v>
      </c>
      <c r="C58" s="16" t="str">
        <f aca="false">IFERROR(INDEX(Vendor_Master!$B$2:$B$41,MATCH(B58,Vendor_Master!$A$2:$A$41,0)),"Unknown Vendor")</f>
        <v>Munoz-Roman</v>
      </c>
      <c r="D58" s="16" t="str">
        <f aca="false">IFERROR(INDEX(Vendor_Master!$D$2:$D$41,MATCH(B58,Vendor_Master!$A$2:$A$41,0)),"Unknown")</f>
        <v>India</v>
      </c>
      <c r="E58" s="17" t="n">
        <f aca="false">IFERROR(INDEX(Vendor_Master!$E$2:$E$41,MATCH(B58,Vendor_Master!$A$2:$A$41,0)),"")</f>
        <v>45129</v>
      </c>
      <c r="F58" s="17" t="n">
        <f aca="false">Payment_Log_AP!D55</f>
        <v>46003</v>
      </c>
      <c r="G58" s="18" t="n">
        <f aca="false">Payment_Log_AP!E55</f>
        <v>3881</v>
      </c>
      <c r="H58" s="16" t="n">
        <f aca="false">IF(G58&gt;=Assumptions!$B$7,40,IF(G58&gt;=Assumptions!$B$8,20,0))</f>
        <v>0</v>
      </c>
      <c r="I58" s="16" t="n">
        <f aca="false">IF(MOD(G58,500)=0,20,IF(MOD(G58,100)=0,10,0))</f>
        <v>0</v>
      </c>
      <c r="J58" s="16" t="n">
        <f aca="false">IF(AND(E58&lt;&gt;"",F58-E58&lt;=Assumptions!$B$9),25,0)</f>
        <v>0</v>
      </c>
      <c r="K58" s="16" t="n">
        <f aca="false">IF(ISNUMBER(SEARCH(D58,Assumptions!$B$10)),15,0)</f>
        <v>15</v>
      </c>
      <c r="L58" s="16" t="n">
        <f aca="false">H58+I58+J58+K58</f>
        <v>15</v>
      </c>
      <c r="M58" s="16" t="str">
        <f aca="false">IF(L58&gt;=60,"High",IF(L58&gt;=30,"Medium","Low"))</f>
        <v>Low</v>
      </c>
    </row>
    <row r="59" customFormat="false" ht="15" hidden="false" customHeight="false" outlineLevel="0" collapsed="false">
      <c r="A59" s="16" t="str">
        <f aca="false">Payment_Log_AP!A56</f>
        <v>PAY40055</v>
      </c>
      <c r="B59" s="16" t="str">
        <f aca="false">Payment_Log_AP!C56</f>
        <v>V1019</v>
      </c>
      <c r="C59" s="16" t="str">
        <f aca="false">IFERROR(INDEX(Vendor_Master!$B$2:$B$41,MATCH(B59,Vendor_Master!$A$2:$A$41,0)),"Unknown Vendor")</f>
        <v>Clark PLC</v>
      </c>
      <c r="D59" s="16" t="str">
        <f aca="false">IFERROR(INDEX(Vendor_Master!$D$2:$D$41,MATCH(B59,Vendor_Master!$A$2:$A$41,0)),"Unknown")</f>
        <v>India</v>
      </c>
      <c r="E59" s="17" t="n">
        <f aca="false">IFERROR(INDEX(Vendor_Master!$E$2:$E$41,MATCH(B59,Vendor_Master!$A$2:$A$41,0)),"")</f>
        <v>45196</v>
      </c>
      <c r="F59" s="17" t="n">
        <f aca="false">Payment_Log_AP!D56</f>
        <v>46043</v>
      </c>
      <c r="G59" s="18" t="n">
        <f aca="false">Payment_Log_AP!E56</f>
        <v>3262.21</v>
      </c>
      <c r="H59" s="16" t="n">
        <f aca="false">IF(G59&gt;=Assumptions!$B$7,40,IF(G59&gt;=Assumptions!$B$8,20,0))</f>
        <v>0</v>
      </c>
      <c r="I59" s="16" t="n">
        <f aca="false">IF(MOD(G59,500)=0,20,IF(MOD(G59,100)=0,10,0))</f>
        <v>0</v>
      </c>
      <c r="J59" s="16" t="n">
        <f aca="false">IF(AND(E59&lt;&gt;"",F59-E59&lt;=Assumptions!$B$9),25,0)</f>
        <v>0</v>
      </c>
      <c r="K59" s="16" t="n">
        <f aca="false">IF(ISNUMBER(SEARCH(D59,Assumptions!$B$10)),15,0)</f>
        <v>15</v>
      </c>
      <c r="L59" s="16" t="n">
        <f aca="false">H59+I59+J59+K59</f>
        <v>15</v>
      </c>
      <c r="M59" s="16" t="str">
        <f aca="false">IF(L59&gt;=60,"High",IF(L59&gt;=30,"Medium","Low"))</f>
        <v>Low</v>
      </c>
    </row>
    <row r="60" customFormat="false" ht="15" hidden="false" customHeight="false" outlineLevel="0" collapsed="false">
      <c r="A60" s="16" t="str">
        <f aca="false">Payment_Log_AP!A57</f>
        <v>PAY40056</v>
      </c>
      <c r="B60" s="16" t="str">
        <f aca="false">Payment_Log_AP!C57</f>
        <v>V1013</v>
      </c>
      <c r="C60" s="16" t="str">
        <f aca="false">IFERROR(INDEX(Vendor_Master!$B$2:$B$41,MATCH(B60,Vendor_Master!$A$2:$A$41,0)),"Unknown Vendor")</f>
        <v>Delacruz Group</v>
      </c>
      <c r="D60" s="16" t="str">
        <f aca="false">IFERROR(INDEX(Vendor_Master!$D$2:$D$41,MATCH(B60,Vendor_Master!$A$2:$A$41,0)),"Unknown")</f>
        <v>USA</v>
      </c>
      <c r="E60" s="17" t="n">
        <f aca="false">IFERROR(INDEX(Vendor_Master!$E$2:$E$41,MATCH(B60,Vendor_Master!$A$2:$A$41,0)),"")</f>
        <v>46119</v>
      </c>
      <c r="F60" s="17" t="n">
        <f aca="false">Payment_Log_AP!D57</f>
        <v>45926</v>
      </c>
      <c r="G60" s="18" t="n">
        <f aca="false">Payment_Log_AP!E57</f>
        <v>5144.03</v>
      </c>
      <c r="H60" s="16" t="n">
        <f aca="false">IF(G60&gt;=Assumptions!$B$7,40,IF(G60&gt;=Assumptions!$B$8,20,0))</f>
        <v>20</v>
      </c>
      <c r="I60" s="16" t="n">
        <f aca="false">IF(MOD(G60,500)=0,20,IF(MOD(G60,100)=0,10,0))</f>
        <v>0</v>
      </c>
      <c r="J60" s="16" t="n">
        <f aca="false">IF(AND(E60&lt;&gt;"",F60-E60&lt;=Assumptions!$B$9),25,0)</f>
        <v>25</v>
      </c>
      <c r="K60" s="16" t="n">
        <f aca="false">IF(ISNUMBER(SEARCH(D60,Assumptions!$B$10)),15,0)</f>
        <v>0</v>
      </c>
      <c r="L60" s="16" t="n">
        <f aca="false">H60+I60+J60+K60</f>
        <v>45</v>
      </c>
      <c r="M60" s="16" t="str">
        <f aca="false">IF(L60&gt;=60,"High",IF(L60&gt;=30,"Medium","Low"))</f>
        <v>Medium</v>
      </c>
    </row>
    <row r="61" customFormat="false" ht="15" hidden="false" customHeight="false" outlineLevel="0" collapsed="false">
      <c r="A61" s="16" t="str">
        <f aca="false">Payment_Log_AP!A58</f>
        <v>PAY40057</v>
      </c>
      <c r="B61" s="16" t="str">
        <f aca="false">Payment_Log_AP!C58</f>
        <v>V1038</v>
      </c>
      <c r="C61" s="16" t="str">
        <f aca="false">IFERROR(INDEX(Vendor_Master!$B$2:$B$41,MATCH(B61,Vendor_Master!$A$2:$A$41,0)),"Unknown Vendor")</f>
        <v>Rose-Obrien</v>
      </c>
      <c r="D61" s="16" t="str">
        <f aca="false">IFERROR(INDEX(Vendor_Master!$D$2:$D$41,MATCH(B61,Vendor_Master!$A$2:$A$41,0)),"Unknown")</f>
        <v>USA</v>
      </c>
      <c r="E61" s="17" t="n">
        <f aca="false">IFERROR(INDEX(Vendor_Master!$E$2:$E$41,MATCH(B61,Vendor_Master!$A$2:$A$41,0)),"")</f>
        <v>45431</v>
      </c>
      <c r="F61" s="17" t="n">
        <f aca="false">Payment_Log_AP!D58</f>
        <v>45955</v>
      </c>
      <c r="G61" s="18" t="n">
        <f aca="false">Payment_Log_AP!E58</f>
        <v>5496.95</v>
      </c>
      <c r="H61" s="16" t="n">
        <f aca="false">IF(G61&gt;=Assumptions!$B$7,40,IF(G61&gt;=Assumptions!$B$8,20,0))</f>
        <v>20</v>
      </c>
      <c r="I61" s="16" t="n">
        <f aca="false">IF(MOD(G61,500)=0,20,IF(MOD(G61,100)=0,10,0))</f>
        <v>0</v>
      </c>
      <c r="J61" s="16" t="n">
        <f aca="false">IF(AND(E61&lt;&gt;"",F61-E61&lt;=Assumptions!$B$9),25,0)</f>
        <v>0</v>
      </c>
      <c r="K61" s="16" t="n">
        <f aca="false">IF(ISNUMBER(SEARCH(D61,Assumptions!$B$10)),15,0)</f>
        <v>0</v>
      </c>
      <c r="L61" s="16" t="n">
        <f aca="false">H61+I61+J61+K61</f>
        <v>20</v>
      </c>
      <c r="M61" s="16" t="str">
        <f aca="false">IF(L61&gt;=60,"High",IF(L61&gt;=30,"Medium","Low"))</f>
        <v>Low</v>
      </c>
    </row>
    <row r="62" customFormat="false" ht="15" hidden="false" customHeight="false" outlineLevel="0" collapsed="false">
      <c r="A62" s="16" t="str">
        <f aca="false">Payment_Log_AP!A59</f>
        <v>PAY40058</v>
      </c>
      <c r="B62" s="16" t="str">
        <f aca="false">Payment_Log_AP!C59</f>
        <v>V1031</v>
      </c>
      <c r="C62" s="16" t="str">
        <f aca="false">IFERROR(INDEX(Vendor_Master!$B$2:$B$41,MATCH(B62,Vendor_Master!$A$2:$A$41,0)),"Unknown Vendor")</f>
        <v>Harrell LLC</v>
      </c>
      <c r="D62" s="16" t="str">
        <f aca="false">IFERROR(INDEX(Vendor_Master!$D$2:$D$41,MATCH(B62,Vendor_Master!$A$2:$A$41,0)),"Unknown")</f>
        <v>Canada</v>
      </c>
      <c r="E62" s="17" t="n">
        <f aca="false">IFERROR(INDEX(Vendor_Master!$E$2:$E$41,MATCH(B62,Vendor_Master!$A$2:$A$41,0)),"")</f>
        <v>45364</v>
      </c>
      <c r="F62" s="17" t="n">
        <f aca="false">Payment_Log_AP!D59</f>
        <v>46167</v>
      </c>
      <c r="G62" s="18" t="n">
        <f aca="false">Payment_Log_AP!E59</f>
        <v>1566.24</v>
      </c>
      <c r="H62" s="16" t="n">
        <f aca="false">IF(G62&gt;=Assumptions!$B$7,40,IF(G62&gt;=Assumptions!$B$8,20,0))</f>
        <v>0</v>
      </c>
      <c r="I62" s="16" t="n">
        <f aca="false">IF(MOD(G62,500)=0,20,IF(MOD(G62,100)=0,10,0))</f>
        <v>0</v>
      </c>
      <c r="J62" s="16" t="n">
        <f aca="false">IF(AND(E62&lt;&gt;"",F62-E62&lt;=Assumptions!$B$9),25,0)</f>
        <v>0</v>
      </c>
      <c r="K62" s="16" t="n">
        <f aca="false">IF(ISNUMBER(SEARCH(D62,Assumptions!$B$10)),15,0)</f>
        <v>0</v>
      </c>
      <c r="L62" s="16" t="n">
        <f aca="false">H62+I62+J62+K62</f>
        <v>0</v>
      </c>
      <c r="M62" s="16" t="str">
        <f aca="false">IF(L62&gt;=60,"High",IF(L62&gt;=30,"Medium","Low"))</f>
        <v>Low</v>
      </c>
    </row>
    <row r="63" customFormat="false" ht="15" hidden="false" customHeight="false" outlineLevel="0" collapsed="false">
      <c r="A63" s="16" t="str">
        <f aca="false">Payment_Log_AP!A60</f>
        <v>PAY40059</v>
      </c>
      <c r="B63" s="16" t="str">
        <f aca="false">Payment_Log_AP!C60</f>
        <v>V1027</v>
      </c>
      <c r="C63" s="16" t="str">
        <f aca="false">IFERROR(INDEX(Vendor_Master!$B$2:$B$41,MATCH(B63,Vendor_Master!$A$2:$A$41,0)),"Unknown Vendor")</f>
        <v>Valencia, Smith and Le</v>
      </c>
      <c r="D63" s="16" t="str">
        <f aca="false">IFERROR(INDEX(Vendor_Master!$D$2:$D$41,MATCH(B63,Vendor_Master!$A$2:$A$41,0)),"Unknown")</f>
        <v>Germany</v>
      </c>
      <c r="E63" s="17" t="n">
        <f aca="false">IFERROR(INDEX(Vendor_Master!$E$2:$E$41,MATCH(B63,Vendor_Master!$A$2:$A$41,0)),"")</f>
        <v>45398</v>
      </c>
      <c r="F63" s="17" t="n">
        <f aca="false">Payment_Log_AP!D60</f>
        <v>46120</v>
      </c>
      <c r="G63" s="18" t="n">
        <f aca="false">Payment_Log_AP!E60</f>
        <v>17358.33</v>
      </c>
      <c r="H63" s="16" t="n">
        <f aca="false">IF(G63&gt;=Assumptions!$B$7,40,IF(G63&gt;=Assumptions!$B$8,20,0))</f>
        <v>40</v>
      </c>
      <c r="I63" s="16" t="n">
        <f aca="false">IF(MOD(G63,500)=0,20,IF(MOD(G63,100)=0,10,0))</f>
        <v>0</v>
      </c>
      <c r="J63" s="16" t="n">
        <f aca="false">IF(AND(E63&lt;&gt;"",F63-E63&lt;=Assumptions!$B$9),25,0)</f>
        <v>0</v>
      </c>
      <c r="K63" s="16" t="n">
        <f aca="false">IF(ISNUMBER(SEARCH(D63,Assumptions!$B$10)),15,0)</f>
        <v>0</v>
      </c>
      <c r="L63" s="16" t="n">
        <f aca="false">H63+I63+J63+K63</f>
        <v>40</v>
      </c>
      <c r="M63" s="16" t="str">
        <f aca="false">IF(L63&gt;=60,"High",IF(L63&gt;=30,"Medium","Low"))</f>
        <v>Medium</v>
      </c>
    </row>
    <row r="64" customFormat="false" ht="15" hidden="false" customHeight="false" outlineLevel="0" collapsed="false">
      <c r="A64" s="16" t="str">
        <f aca="false">Payment_Log_AP!A61</f>
        <v>PAY40060</v>
      </c>
      <c r="B64" s="16" t="str">
        <f aca="false">Payment_Log_AP!C61</f>
        <v>V1010</v>
      </c>
      <c r="C64" s="16" t="str">
        <f aca="false">IFERROR(INDEX(Vendor_Master!$B$2:$B$41,MATCH(B64,Vendor_Master!$A$2:$A$41,0)),"Unknown Vendor")</f>
        <v>Martinez, Nielsen and Miller</v>
      </c>
      <c r="D64" s="16" t="str">
        <f aca="false">IFERROR(INDEX(Vendor_Master!$D$2:$D$41,MATCH(B64,Vendor_Master!$A$2:$A$41,0)),"Unknown")</f>
        <v>India</v>
      </c>
      <c r="E64" s="17" t="n">
        <f aca="false">IFERROR(INDEX(Vendor_Master!$E$2:$E$41,MATCH(B64,Vendor_Master!$A$2:$A$41,0)),"")</f>
        <v>45715</v>
      </c>
      <c r="F64" s="17" t="n">
        <f aca="false">Payment_Log_AP!D61</f>
        <v>45781</v>
      </c>
      <c r="G64" s="18" t="n">
        <f aca="false">Payment_Log_AP!E61</f>
        <v>537.25</v>
      </c>
      <c r="H64" s="16" t="n">
        <f aca="false">IF(G64&gt;=Assumptions!$B$7,40,IF(G64&gt;=Assumptions!$B$8,20,0))</f>
        <v>0</v>
      </c>
      <c r="I64" s="16" t="n">
        <f aca="false">IF(MOD(G64,500)=0,20,IF(MOD(G64,100)=0,10,0))</f>
        <v>0</v>
      </c>
      <c r="J64" s="16" t="n">
        <f aca="false">IF(AND(E64&lt;&gt;"",F64-E64&lt;=Assumptions!$B$9),25,0)</f>
        <v>25</v>
      </c>
      <c r="K64" s="16" t="n">
        <f aca="false">IF(ISNUMBER(SEARCH(D64,Assumptions!$B$10)),15,0)</f>
        <v>15</v>
      </c>
      <c r="L64" s="16" t="n">
        <f aca="false">H64+I64+J64+K64</f>
        <v>40</v>
      </c>
      <c r="M64" s="16" t="str">
        <f aca="false">IF(L64&gt;=60,"High",IF(L64&gt;=30,"Medium","Low"))</f>
        <v>Medium</v>
      </c>
    </row>
    <row r="65" customFormat="false" ht="15" hidden="false" customHeight="false" outlineLevel="0" collapsed="false">
      <c r="A65" s="16" t="str">
        <f aca="false">Payment_Log_AP!A62</f>
        <v>PAY40061</v>
      </c>
      <c r="B65" s="16" t="str">
        <f aca="false">Payment_Log_AP!C62</f>
        <v>V1014</v>
      </c>
      <c r="C65" s="16" t="str">
        <f aca="false">IFERROR(INDEX(Vendor_Master!$B$2:$B$41,MATCH(B65,Vendor_Master!$A$2:$A$41,0)),"Unknown Vendor")</f>
        <v>Flowers, Martin and Kelly</v>
      </c>
      <c r="D65" s="16" t="str">
        <f aca="false">IFERROR(INDEX(Vendor_Master!$D$2:$D$41,MATCH(B65,Vendor_Master!$A$2:$A$41,0)),"Unknown")</f>
        <v>India</v>
      </c>
      <c r="E65" s="17" t="n">
        <f aca="false">IFERROR(INDEX(Vendor_Master!$E$2:$E$41,MATCH(B65,Vendor_Master!$A$2:$A$41,0)),"")</f>
        <v>45001</v>
      </c>
      <c r="F65" s="17" t="n">
        <f aca="false">Payment_Log_AP!D62</f>
        <v>45756</v>
      </c>
      <c r="G65" s="18" t="n">
        <f aca="false">Payment_Log_AP!E62</f>
        <v>4040.21</v>
      </c>
      <c r="H65" s="16" t="n">
        <f aca="false">IF(G65&gt;=Assumptions!$B$7,40,IF(G65&gt;=Assumptions!$B$8,20,0))</f>
        <v>0</v>
      </c>
      <c r="I65" s="16" t="n">
        <f aca="false">IF(MOD(G65,500)=0,20,IF(MOD(G65,100)=0,10,0))</f>
        <v>0</v>
      </c>
      <c r="J65" s="16" t="n">
        <f aca="false">IF(AND(E65&lt;&gt;"",F65-E65&lt;=Assumptions!$B$9),25,0)</f>
        <v>0</v>
      </c>
      <c r="K65" s="16" t="n">
        <f aca="false">IF(ISNUMBER(SEARCH(D65,Assumptions!$B$10)),15,0)</f>
        <v>15</v>
      </c>
      <c r="L65" s="16" t="n">
        <f aca="false">H65+I65+J65+K65</f>
        <v>15</v>
      </c>
      <c r="M65" s="16" t="str">
        <f aca="false">IF(L65&gt;=60,"High",IF(L65&gt;=30,"Medium","Low"))</f>
        <v>Low</v>
      </c>
    </row>
    <row r="66" customFormat="false" ht="15" hidden="false" customHeight="false" outlineLevel="0" collapsed="false">
      <c r="A66" s="16" t="str">
        <f aca="false">Payment_Log_AP!A63</f>
        <v>PAY40062</v>
      </c>
      <c r="B66" s="16" t="str">
        <f aca="false">Payment_Log_AP!C63</f>
        <v>V1002</v>
      </c>
      <c r="C66" s="16" t="str">
        <f aca="false">IFERROR(INDEX(Vendor_Master!$B$2:$B$41,MATCH(B66,Vendor_Master!$A$2:$A$41,0)),"Unknown Vendor")</f>
        <v>Garcia, Yang and Gardner</v>
      </c>
      <c r="D66" s="16" t="str">
        <f aca="false">IFERROR(INDEX(Vendor_Master!$D$2:$D$41,MATCH(B66,Vendor_Master!$A$2:$A$41,0)),"Unknown")</f>
        <v>UK</v>
      </c>
      <c r="E66" s="17" t="n">
        <f aca="false">IFERROR(INDEX(Vendor_Master!$E$2:$E$41,MATCH(B66,Vendor_Master!$A$2:$A$41,0)),"")</f>
        <v>44914</v>
      </c>
      <c r="F66" s="17" t="n">
        <f aca="false">Payment_Log_AP!D63</f>
        <v>45972</v>
      </c>
      <c r="G66" s="18" t="n">
        <f aca="false">Payment_Log_AP!E63</f>
        <v>158.45</v>
      </c>
      <c r="H66" s="16" t="n">
        <f aca="false">IF(G66&gt;=Assumptions!$B$7,40,IF(G66&gt;=Assumptions!$B$8,20,0))</f>
        <v>0</v>
      </c>
      <c r="I66" s="16" t="n">
        <f aca="false">IF(MOD(G66,500)=0,20,IF(MOD(G66,100)=0,10,0))</f>
        <v>0</v>
      </c>
      <c r="J66" s="16" t="n">
        <f aca="false">IF(AND(E66&lt;&gt;"",F66-E66&lt;=Assumptions!$B$9),25,0)</f>
        <v>0</v>
      </c>
      <c r="K66" s="16" t="n">
        <f aca="false">IF(ISNUMBER(SEARCH(D66,Assumptions!$B$10)),15,0)</f>
        <v>0</v>
      </c>
      <c r="L66" s="16" t="n">
        <f aca="false">H66+I66+J66+K66</f>
        <v>0</v>
      </c>
      <c r="M66" s="16" t="str">
        <f aca="false">IF(L66&gt;=60,"High",IF(L66&gt;=30,"Medium","Low"))</f>
        <v>Low</v>
      </c>
    </row>
    <row r="67" customFormat="false" ht="15" hidden="false" customHeight="false" outlineLevel="0" collapsed="false">
      <c r="A67" s="16" t="str">
        <f aca="false">Payment_Log_AP!A64</f>
        <v>PAY40063</v>
      </c>
      <c r="B67" s="16" t="str">
        <f aca="false">Payment_Log_AP!C64</f>
        <v>V1010</v>
      </c>
      <c r="C67" s="16" t="str">
        <f aca="false">IFERROR(INDEX(Vendor_Master!$B$2:$B$41,MATCH(B67,Vendor_Master!$A$2:$A$41,0)),"Unknown Vendor")</f>
        <v>Martinez, Nielsen and Miller</v>
      </c>
      <c r="D67" s="16" t="str">
        <f aca="false">IFERROR(INDEX(Vendor_Master!$D$2:$D$41,MATCH(B67,Vendor_Master!$A$2:$A$41,0)),"Unknown")</f>
        <v>India</v>
      </c>
      <c r="E67" s="17" t="n">
        <f aca="false">IFERROR(INDEX(Vendor_Master!$E$2:$E$41,MATCH(B67,Vendor_Master!$A$2:$A$41,0)),"")</f>
        <v>45715</v>
      </c>
      <c r="F67" s="17" t="n">
        <f aca="false">Payment_Log_AP!D64</f>
        <v>46020</v>
      </c>
      <c r="G67" s="18" t="n">
        <f aca="false">Payment_Log_AP!E64</f>
        <v>2227.94</v>
      </c>
      <c r="H67" s="16" t="n">
        <f aca="false">IF(G67&gt;=Assumptions!$B$7,40,IF(G67&gt;=Assumptions!$B$8,20,0))</f>
        <v>0</v>
      </c>
      <c r="I67" s="16" t="n">
        <f aca="false">IF(MOD(G67,500)=0,20,IF(MOD(G67,100)=0,10,0))</f>
        <v>0</v>
      </c>
      <c r="J67" s="16" t="n">
        <f aca="false">IF(AND(E67&lt;&gt;"",F67-E67&lt;=Assumptions!$B$9),25,0)</f>
        <v>0</v>
      </c>
      <c r="K67" s="16" t="n">
        <f aca="false">IF(ISNUMBER(SEARCH(D67,Assumptions!$B$10)),15,0)</f>
        <v>15</v>
      </c>
      <c r="L67" s="16" t="n">
        <f aca="false">H67+I67+J67+K67</f>
        <v>15</v>
      </c>
      <c r="M67" s="16" t="str">
        <f aca="false">IF(L67&gt;=60,"High",IF(L67&gt;=30,"Medium","Low"))</f>
        <v>Low</v>
      </c>
    </row>
    <row r="68" customFormat="false" ht="15" hidden="false" customHeight="false" outlineLevel="0" collapsed="false">
      <c r="A68" s="16" t="str">
        <f aca="false">Payment_Log_AP!A65</f>
        <v>PAY40064</v>
      </c>
      <c r="B68" s="16" t="str">
        <f aca="false">Payment_Log_AP!C65</f>
        <v>V1008</v>
      </c>
      <c r="C68" s="16" t="str">
        <f aca="false">IFERROR(INDEX(Vendor_Master!$B$2:$B$41,MATCH(B68,Vendor_Master!$A$2:$A$41,0)),"Unknown Vendor")</f>
        <v>Davis Inc</v>
      </c>
      <c r="D68" s="16" t="str">
        <f aca="false">IFERROR(INDEX(Vendor_Master!$D$2:$D$41,MATCH(B68,Vendor_Master!$A$2:$A$41,0)),"Unknown")</f>
        <v>Canada</v>
      </c>
      <c r="E68" s="17" t="n">
        <f aca="false">IFERROR(INDEX(Vendor_Master!$E$2:$E$41,MATCH(B68,Vendor_Master!$A$2:$A$41,0)),"")</f>
        <v>45769</v>
      </c>
      <c r="F68" s="17" t="n">
        <f aca="false">Payment_Log_AP!D65</f>
        <v>45884</v>
      </c>
      <c r="G68" s="18" t="n">
        <f aca="false">Payment_Log_AP!E65</f>
        <v>3409.89</v>
      </c>
      <c r="H68" s="16" t="n">
        <f aca="false">IF(G68&gt;=Assumptions!$B$7,40,IF(G68&gt;=Assumptions!$B$8,20,0))</f>
        <v>0</v>
      </c>
      <c r="I68" s="16" t="n">
        <f aca="false">IF(MOD(G68,500)=0,20,IF(MOD(G68,100)=0,10,0))</f>
        <v>0</v>
      </c>
      <c r="J68" s="16" t="n">
        <f aca="false">IF(AND(E68&lt;&gt;"",F68-E68&lt;=Assumptions!$B$9),25,0)</f>
        <v>25</v>
      </c>
      <c r="K68" s="16" t="n">
        <f aca="false">IF(ISNUMBER(SEARCH(D68,Assumptions!$B$10)),15,0)</f>
        <v>0</v>
      </c>
      <c r="L68" s="16" t="n">
        <f aca="false">H68+I68+J68+K68</f>
        <v>25</v>
      </c>
      <c r="M68" s="16" t="str">
        <f aca="false">IF(L68&gt;=60,"High",IF(L68&gt;=30,"Medium","Low"))</f>
        <v>Low</v>
      </c>
    </row>
    <row r="69" customFormat="false" ht="15" hidden="false" customHeight="false" outlineLevel="0" collapsed="false">
      <c r="A69" s="16" t="str">
        <f aca="false">Payment_Log_AP!A66</f>
        <v>PAY40065</v>
      </c>
      <c r="B69" s="16" t="str">
        <f aca="false">Payment_Log_AP!C66</f>
        <v>V1011</v>
      </c>
      <c r="C69" s="16" t="str">
        <f aca="false">IFERROR(INDEX(Vendor_Master!$B$2:$B$41,MATCH(B69,Vendor_Master!$A$2:$A$41,0)),"Unknown Vendor")</f>
        <v>Montgomery, Hensley and Ray</v>
      </c>
      <c r="D69" s="16" t="str">
        <f aca="false">IFERROR(INDEX(Vendor_Master!$D$2:$D$41,MATCH(B69,Vendor_Master!$A$2:$A$41,0)),"Unknown")</f>
        <v>USA</v>
      </c>
      <c r="E69" s="17" t="n">
        <f aca="false">IFERROR(INDEX(Vendor_Master!$E$2:$E$41,MATCH(B69,Vendor_Master!$A$2:$A$41,0)),"")</f>
        <v>45025</v>
      </c>
      <c r="F69" s="17" t="n">
        <f aca="false">Payment_Log_AP!D66</f>
        <v>46135</v>
      </c>
      <c r="G69" s="18" t="n">
        <f aca="false">Payment_Log_AP!E66</f>
        <v>426.18</v>
      </c>
      <c r="H69" s="16" t="n">
        <f aca="false">IF(G69&gt;=Assumptions!$B$7,40,IF(G69&gt;=Assumptions!$B$8,20,0))</f>
        <v>0</v>
      </c>
      <c r="I69" s="16" t="n">
        <f aca="false">IF(MOD(G69,500)=0,20,IF(MOD(G69,100)=0,10,0))</f>
        <v>0</v>
      </c>
      <c r="J69" s="16" t="n">
        <f aca="false">IF(AND(E69&lt;&gt;"",F69-E69&lt;=Assumptions!$B$9),25,0)</f>
        <v>0</v>
      </c>
      <c r="K69" s="16" t="n">
        <f aca="false">IF(ISNUMBER(SEARCH(D69,Assumptions!$B$10)),15,0)</f>
        <v>0</v>
      </c>
      <c r="L69" s="16" t="n">
        <f aca="false">H69+I69+J69+K69</f>
        <v>0</v>
      </c>
      <c r="M69" s="16" t="str">
        <f aca="false">IF(L69&gt;=60,"High",IF(L69&gt;=30,"Medium","Low"))</f>
        <v>Low</v>
      </c>
    </row>
    <row r="70" customFormat="false" ht="15" hidden="false" customHeight="false" outlineLevel="0" collapsed="false">
      <c r="A70" s="16" t="str">
        <f aca="false">Payment_Log_AP!A67</f>
        <v>PAY40066</v>
      </c>
      <c r="B70" s="16" t="str">
        <f aca="false">Payment_Log_AP!C67</f>
        <v>V1038</v>
      </c>
      <c r="C70" s="16" t="str">
        <f aca="false">IFERROR(INDEX(Vendor_Master!$B$2:$B$41,MATCH(B70,Vendor_Master!$A$2:$A$41,0)),"Unknown Vendor")</f>
        <v>Rose-Obrien</v>
      </c>
      <c r="D70" s="16" t="str">
        <f aca="false">IFERROR(INDEX(Vendor_Master!$D$2:$D$41,MATCH(B70,Vendor_Master!$A$2:$A$41,0)),"Unknown")</f>
        <v>USA</v>
      </c>
      <c r="E70" s="17" t="n">
        <f aca="false">IFERROR(INDEX(Vendor_Master!$E$2:$E$41,MATCH(B70,Vendor_Master!$A$2:$A$41,0)),"")</f>
        <v>45431</v>
      </c>
      <c r="F70" s="17" t="n">
        <f aca="false">Payment_Log_AP!D67</f>
        <v>46117</v>
      </c>
      <c r="G70" s="18" t="n">
        <f aca="false">Payment_Log_AP!E67</f>
        <v>650.45</v>
      </c>
      <c r="H70" s="16" t="n">
        <f aca="false">IF(G70&gt;=Assumptions!$B$7,40,IF(G70&gt;=Assumptions!$B$8,20,0))</f>
        <v>0</v>
      </c>
      <c r="I70" s="16" t="n">
        <f aca="false">IF(MOD(G70,500)=0,20,IF(MOD(G70,100)=0,10,0))</f>
        <v>0</v>
      </c>
      <c r="J70" s="16" t="n">
        <f aca="false">IF(AND(E70&lt;&gt;"",F70-E70&lt;=Assumptions!$B$9),25,0)</f>
        <v>0</v>
      </c>
      <c r="K70" s="16" t="n">
        <f aca="false">IF(ISNUMBER(SEARCH(D70,Assumptions!$B$10)),15,0)</f>
        <v>0</v>
      </c>
      <c r="L70" s="16" t="n">
        <f aca="false">H70+I70+J70+K70</f>
        <v>0</v>
      </c>
      <c r="M70" s="16" t="str">
        <f aca="false">IF(L70&gt;=60,"High",IF(L70&gt;=30,"Medium","Low"))</f>
        <v>Low</v>
      </c>
    </row>
    <row r="71" customFormat="false" ht="15" hidden="false" customHeight="false" outlineLevel="0" collapsed="false">
      <c r="A71" s="16" t="str">
        <f aca="false">Payment_Log_AP!A68</f>
        <v>PAY40067</v>
      </c>
      <c r="B71" s="16" t="str">
        <f aca="false">Payment_Log_AP!C68</f>
        <v>V1009</v>
      </c>
      <c r="C71" s="16" t="str">
        <f aca="false">IFERROR(INDEX(Vendor_Master!$B$2:$B$41,MATCH(B71,Vendor_Master!$A$2:$A$41,0)),"Unknown Vendor")</f>
        <v>Munoz-Roman</v>
      </c>
      <c r="D71" s="16" t="str">
        <f aca="false">IFERROR(INDEX(Vendor_Master!$D$2:$D$41,MATCH(B71,Vendor_Master!$A$2:$A$41,0)),"Unknown")</f>
        <v>India</v>
      </c>
      <c r="E71" s="17" t="n">
        <f aca="false">IFERROR(INDEX(Vendor_Master!$E$2:$E$41,MATCH(B71,Vendor_Master!$A$2:$A$41,0)),"")</f>
        <v>45129</v>
      </c>
      <c r="F71" s="17" t="n">
        <f aca="false">Payment_Log_AP!D68</f>
        <v>46071</v>
      </c>
      <c r="G71" s="18" t="n">
        <f aca="false">Payment_Log_AP!E68</f>
        <v>173.05</v>
      </c>
      <c r="H71" s="16" t="n">
        <f aca="false">IF(G71&gt;=Assumptions!$B$7,40,IF(G71&gt;=Assumptions!$B$8,20,0))</f>
        <v>0</v>
      </c>
      <c r="I71" s="16" t="n">
        <f aca="false">IF(MOD(G71,500)=0,20,IF(MOD(G71,100)=0,10,0))</f>
        <v>0</v>
      </c>
      <c r="J71" s="16" t="n">
        <f aca="false">IF(AND(E71&lt;&gt;"",F71-E71&lt;=Assumptions!$B$9),25,0)</f>
        <v>0</v>
      </c>
      <c r="K71" s="16" t="n">
        <f aca="false">IF(ISNUMBER(SEARCH(D71,Assumptions!$B$10)),15,0)</f>
        <v>15</v>
      </c>
      <c r="L71" s="16" t="n">
        <f aca="false">H71+I71+J71+K71</f>
        <v>15</v>
      </c>
      <c r="M71" s="16" t="str">
        <f aca="false">IF(L71&gt;=60,"High",IF(L71&gt;=30,"Medium","Low"))</f>
        <v>Low</v>
      </c>
    </row>
    <row r="72" customFormat="false" ht="15" hidden="false" customHeight="false" outlineLevel="0" collapsed="false">
      <c r="A72" s="16" t="str">
        <f aca="false">Payment_Log_AP!A69</f>
        <v>PAY40068</v>
      </c>
      <c r="B72" s="16" t="str">
        <f aca="false">Payment_Log_AP!C69</f>
        <v>V1009</v>
      </c>
      <c r="C72" s="16" t="str">
        <f aca="false">IFERROR(INDEX(Vendor_Master!$B$2:$B$41,MATCH(B72,Vendor_Master!$A$2:$A$41,0)),"Unknown Vendor")</f>
        <v>Munoz-Roman</v>
      </c>
      <c r="D72" s="16" t="str">
        <f aca="false">IFERROR(INDEX(Vendor_Master!$D$2:$D$41,MATCH(B72,Vendor_Master!$A$2:$A$41,0)),"Unknown")</f>
        <v>India</v>
      </c>
      <c r="E72" s="17" t="n">
        <f aca="false">IFERROR(INDEX(Vendor_Master!$E$2:$E$41,MATCH(B72,Vendor_Master!$A$2:$A$41,0)),"")</f>
        <v>45129</v>
      </c>
      <c r="F72" s="17" t="n">
        <f aca="false">Payment_Log_AP!D69</f>
        <v>46074</v>
      </c>
      <c r="G72" s="18" t="n">
        <f aca="false">Payment_Log_AP!E69</f>
        <v>173.05</v>
      </c>
      <c r="H72" s="16" t="n">
        <f aca="false">IF(G72&gt;=Assumptions!$B$7,40,IF(G72&gt;=Assumptions!$B$8,20,0))</f>
        <v>0</v>
      </c>
      <c r="I72" s="16" t="n">
        <f aca="false">IF(MOD(G72,500)=0,20,IF(MOD(G72,100)=0,10,0))</f>
        <v>0</v>
      </c>
      <c r="J72" s="16" t="n">
        <f aca="false">IF(AND(E72&lt;&gt;"",F72-E72&lt;=Assumptions!$B$9),25,0)</f>
        <v>0</v>
      </c>
      <c r="K72" s="16" t="n">
        <f aca="false">IF(ISNUMBER(SEARCH(D72,Assumptions!$B$10)),15,0)</f>
        <v>15</v>
      </c>
      <c r="L72" s="16" t="n">
        <f aca="false">H72+I72+J72+K72</f>
        <v>15</v>
      </c>
      <c r="M72" s="16" t="str">
        <f aca="false">IF(L72&gt;=60,"High",IF(L72&gt;=30,"Medium","Low"))</f>
        <v>Low</v>
      </c>
    </row>
    <row r="73" customFormat="false" ht="15" hidden="false" customHeight="false" outlineLevel="0" collapsed="false">
      <c r="A73" s="16" t="str">
        <f aca="false">Payment_Log_AP!A70</f>
        <v>PAY40069</v>
      </c>
      <c r="B73" s="16" t="str">
        <f aca="false">Payment_Log_AP!C70</f>
        <v>V1017</v>
      </c>
      <c r="C73" s="16" t="str">
        <f aca="false">IFERROR(INDEX(Vendor_Master!$B$2:$B$41,MATCH(B73,Vendor_Master!$A$2:$A$41,0)),"Unknown Vendor")</f>
        <v>Hawkins, Cohen and Cameron</v>
      </c>
      <c r="D73" s="16" t="str">
        <f aca="false">IFERROR(INDEX(Vendor_Master!$D$2:$D$41,MATCH(B73,Vendor_Master!$A$2:$A$41,0)),"Unknown")</f>
        <v>USA</v>
      </c>
      <c r="E73" s="17" t="n">
        <f aca="false">IFERROR(INDEX(Vendor_Master!$E$2:$E$41,MATCH(B73,Vendor_Master!$A$2:$A$41,0)),"")</f>
        <v>46025</v>
      </c>
      <c r="F73" s="17" t="n">
        <f aca="false">Payment_Log_AP!D70</f>
        <v>45788</v>
      </c>
      <c r="G73" s="18" t="n">
        <f aca="false">Payment_Log_AP!E70</f>
        <v>3225.76</v>
      </c>
      <c r="H73" s="16" t="n">
        <f aca="false">IF(G73&gt;=Assumptions!$B$7,40,IF(G73&gt;=Assumptions!$B$8,20,0))</f>
        <v>0</v>
      </c>
      <c r="I73" s="16" t="n">
        <f aca="false">IF(MOD(G73,500)=0,20,IF(MOD(G73,100)=0,10,0))</f>
        <v>0</v>
      </c>
      <c r="J73" s="16" t="n">
        <f aca="false">IF(AND(E73&lt;&gt;"",F73-E73&lt;=Assumptions!$B$9),25,0)</f>
        <v>25</v>
      </c>
      <c r="K73" s="16" t="n">
        <f aca="false">IF(ISNUMBER(SEARCH(D73,Assumptions!$B$10)),15,0)</f>
        <v>0</v>
      </c>
      <c r="L73" s="16" t="n">
        <f aca="false">H73+I73+J73+K73</f>
        <v>25</v>
      </c>
      <c r="M73" s="16" t="str">
        <f aca="false">IF(L73&gt;=60,"High",IF(L73&gt;=30,"Medium","Low"))</f>
        <v>Low</v>
      </c>
    </row>
    <row r="74" customFormat="false" ht="15" hidden="false" customHeight="false" outlineLevel="0" collapsed="false">
      <c r="A74" s="16" t="str">
        <f aca="false">Payment_Log_AP!A71</f>
        <v>PAY40070</v>
      </c>
      <c r="B74" s="16" t="str">
        <f aca="false">Payment_Log_AP!C71</f>
        <v>V1014</v>
      </c>
      <c r="C74" s="16" t="str">
        <f aca="false">IFERROR(INDEX(Vendor_Master!$B$2:$B$41,MATCH(B74,Vendor_Master!$A$2:$A$41,0)),"Unknown Vendor")</f>
        <v>Flowers, Martin and Kelly</v>
      </c>
      <c r="D74" s="16" t="str">
        <f aca="false">IFERROR(INDEX(Vendor_Master!$D$2:$D$41,MATCH(B74,Vendor_Master!$A$2:$A$41,0)),"Unknown")</f>
        <v>India</v>
      </c>
      <c r="E74" s="17" t="n">
        <f aca="false">IFERROR(INDEX(Vendor_Master!$E$2:$E$41,MATCH(B74,Vendor_Master!$A$2:$A$41,0)),"")</f>
        <v>45001</v>
      </c>
      <c r="F74" s="17" t="n">
        <f aca="false">Payment_Log_AP!D71</f>
        <v>45697</v>
      </c>
      <c r="G74" s="18" t="n">
        <f aca="false">Payment_Log_AP!E71</f>
        <v>773.09</v>
      </c>
      <c r="H74" s="16" t="n">
        <f aca="false">IF(G74&gt;=Assumptions!$B$7,40,IF(G74&gt;=Assumptions!$B$8,20,0))</f>
        <v>0</v>
      </c>
      <c r="I74" s="16" t="n">
        <f aca="false">IF(MOD(G74,500)=0,20,IF(MOD(G74,100)=0,10,0))</f>
        <v>0</v>
      </c>
      <c r="J74" s="16" t="n">
        <f aca="false">IF(AND(E74&lt;&gt;"",F74-E74&lt;=Assumptions!$B$9),25,0)</f>
        <v>0</v>
      </c>
      <c r="K74" s="16" t="n">
        <f aca="false">IF(ISNUMBER(SEARCH(D74,Assumptions!$B$10)),15,0)</f>
        <v>15</v>
      </c>
      <c r="L74" s="16" t="n">
        <f aca="false">H74+I74+J74+K74</f>
        <v>15</v>
      </c>
      <c r="M74" s="16" t="str">
        <f aca="false">IF(L74&gt;=60,"High",IF(L74&gt;=30,"Medium","Low"))</f>
        <v>Low</v>
      </c>
    </row>
    <row r="75" customFormat="false" ht="15" hidden="false" customHeight="false" outlineLevel="0" collapsed="false">
      <c r="A75" s="16" t="str">
        <f aca="false">Payment_Log_AP!A72</f>
        <v>PAY40071</v>
      </c>
      <c r="B75" s="16" t="str">
        <f aca="false">Payment_Log_AP!C72</f>
        <v>V1024</v>
      </c>
      <c r="C75" s="16" t="str">
        <f aca="false">IFERROR(INDEX(Vendor_Master!$B$2:$B$41,MATCH(B75,Vendor_Master!$A$2:$A$41,0)),"Unknown Vendor")</f>
        <v>Campos Inc</v>
      </c>
      <c r="D75" s="16" t="str">
        <f aca="false">IFERROR(INDEX(Vendor_Master!$D$2:$D$41,MATCH(B75,Vendor_Master!$A$2:$A$41,0)),"Unknown")</f>
        <v>USA</v>
      </c>
      <c r="E75" s="17" t="n">
        <f aca="false">IFERROR(INDEX(Vendor_Master!$E$2:$E$41,MATCH(B75,Vendor_Master!$A$2:$A$41,0)),"")</f>
        <v>45367</v>
      </c>
      <c r="F75" s="17" t="n">
        <f aca="false">Payment_Log_AP!D72</f>
        <v>45826</v>
      </c>
      <c r="G75" s="18" t="n">
        <f aca="false">Payment_Log_AP!E72</f>
        <v>3182.11</v>
      </c>
      <c r="H75" s="16" t="n">
        <f aca="false">IF(G75&gt;=Assumptions!$B$7,40,IF(G75&gt;=Assumptions!$B$8,20,0))</f>
        <v>0</v>
      </c>
      <c r="I75" s="16" t="n">
        <f aca="false">IF(MOD(G75,500)=0,20,IF(MOD(G75,100)=0,10,0))</f>
        <v>0</v>
      </c>
      <c r="J75" s="16" t="n">
        <f aca="false">IF(AND(E75&lt;&gt;"",F75-E75&lt;=Assumptions!$B$9),25,0)</f>
        <v>0</v>
      </c>
      <c r="K75" s="16" t="n">
        <f aca="false">IF(ISNUMBER(SEARCH(D75,Assumptions!$B$10)),15,0)</f>
        <v>0</v>
      </c>
      <c r="L75" s="16" t="n">
        <f aca="false">H75+I75+J75+K75</f>
        <v>0</v>
      </c>
      <c r="M75" s="16" t="str">
        <f aca="false">IF(L75&gt;=60,"High",IF(L75&gt;=30,"Medium","Low"))</f>
        <v>Low</v>
      </c>
    </row>
    <row r="76" customFormat="false" ht="15" hidden="false" customHeight="false" outlineLevel="0" collapsed="false">
      <c r="A76" s="16" t="str">
        <f aca="false">Payment_Log_AP!A73</f>
        <v>PAY40072</v>
      </c>
      <c r="B76" s="16" t="str">
        <f aca="false">Payment_Log_AP!C73</f>
        <v>V1021</v>
      </c>
      <c r="C76" s="16" t="str">
        <f aca="false">IFERROR(INDEX(Vendor_Master!$B$2:$B$41,MATCH(B76,Vendor_Master!$A$2:$A$41,0)),"Unknown Vendor")</f>
        <v>Ellis, Baker and Wright</v>
      </c>
      <c r="D76" s="16" t="str">
        <f aca="false">IFERROR(INDEX(Vendor_Master!$D$2:$D$41,MATCH(B76,Vendor_Master!$A$2:$A$41,0)),"Unknown")</f>
        <v>UAE</v>
      </c>
      <c r="E76" s="17" t="n">
        <f aca="false">IFERROR(INDEX(Vendor_Master!$E$2:$E$41,MATCH(B76,Vendor_Master!$A$2:$A$41,0)),"")</f>
        <v>45960</v>
      </c>
      <c r="F76" s="17" t="n">
        <f aca="false">Payment_Log_AP!D73</f>
        <v>45926</v>
      </c>
      <c r="G76" s="18" t="n">
        <f aca="false">Payment_Log_AP!E73</f>
        <v>2202.92</v>
      </c>
      <c r="H76" s="16" t="n">
        <f aca="false">IF(G76&gt;=Assumptions!$B$7,40,IF(G76&gt;=Assumptions!$B$8,20,0))</f>
        <v>0</v>
      </c>
      <c r="I76" s="16" t="n">
        <f aca="false">IF(MOD(G76,500)=0,20,IF(MOD(G76,100)=0,10,0))</f>
        <v>0</v>
      </c>
      <c r="J76" s="16" t="n">
        <f aca="false">IF(AND(E76&lt;&gt;"",F76-E76&lt;=Assumptions!$B$9),25,0)</f>
        <v>25</v>
      </c>
      <c r="K76" s="16" t="n">
        <f aca="false">IF(ISNUMBER(SEARCH(D76,Assumptions!$B$10)),15,0)</f>
        <v>15</v>
      </c>
      <c r="L76" s="16" t="n">
        <f aca="false">H76+I76+J76+K76</f>
        <v>40</v>
      </c>
      <c r="M76" s="16" t="str">
        <f aca="false">IF(L76&gt;=60,"High",IF(L76&gt;=30,"Medium","Low"))</f>
        <v>Medium</v>
      </c>
    </row>
    <row r="77" customFormat="false" ht="15" hidden="false" customHeight="false" outlineLevel="0" collapsed="false">
      <c r="A77" s="16" t="str">
        <f aca="false">Payment_Log_AP!A74</f>
        <v>PAY40073</v>
      </c>
      <c r="B77" s="16" t="str">
        <f aca="false">Payment_Log_AP!C74</f>
        <v>V1021</v>
      </c>
      <c r="C77" s="16" t="str">
        <f aca="false">IFERROR(INDEX(Vendor_Master!$B$2:$B$41,MATCH(B77,Vendor_Master!$A$2:$A$41,0)),"Unknown Vendor")</f>
        <v>Ellis, Baker and Wright</v>
      </c>
      <c r="D77" s="16" t="str">
        <f aca="false">IFERROR(INDEX(Vendor_Master!$D$2:$D$41,MATCH(B77,Vendor_Master!$A$2:$A$41,0)),"Unknown")</f>
        <v>UAE</v>
      </c>
      <c r="E77" s="17" t="n">
        <f aca="false">IFERROR(INDEX(Vendor_Master!$E$2:$E$41,MATCH(B77,Vendor_Master!$A$2:$A$41,0)),"")</f>
        <v>45960</v>
      </c>
      <c r="F77" s="17" t="n">
        <f aca="false">Payment_Log_AP!D74</f>
        <v>45946</v>
      </c>
      <c r="G77" s="18" t="n">
        <f aca="false">Payment_Log_AP!E74</f>
        <v>2202.92</v>
      </c>
      <c r="H77" s="16" t="n">
        <f aca="false">IF(G77&gt;=Assumptions!$B$7,40,IF(G77&gt;=Assumptions!$B$8,20,0))</f>
        <v>0</v>
      </c>
      <c r="I77" s="16" t="n">
        <f aca="false">IF(MOD(G77,500)=0,20,IF(MOD(G77,100)=0,10,0))</f>
        <v>0</v>
      </c>
      <c r="J77" s="16" t="n">
        <f aca="false">IF(AND(E77&lt;&gt;"",F77-E77&lt;=Assumptions!$B$9),25,0)</f>
        <v>25</v>
      </c>
      <c r="K77" s="16" t="n">
        <f aca="false">IF(ISNUMBER(SEARCH(D77,Assumptions!$B$10)),15,0)</f>
        <v>15</v>
      </c>
      <c r="L77" s="16" t="n">
        <f aca="false">H77+I77+J77+K77</f>
        <v>40</v>
      </c>
      <c r="M77" s="16" t="str">
        <f aca="false">IF(L77&gt;=60,"High",IF(L77&gt;=30,"Medium","Low"))</f>
        <v>Medium</v>
      </c>
    </row>
    <row r="78" customFormat="false" ht="15" hidden="false" customHeight="false" outlineLevel="0" collapsed="false">
      <c r="A78" s="16" t="str">
        <f aca="false">Payment_Log_AP!A75</f>
        <v>PAY40074</v>
      </c>
      <c r="B78" s="16" t="str">
        <f aca="false">Payment_Log_AP!C75</f>
        <v>V1012</v>
      </c>
      <c r="C78" s="16" t="str">
        <f aca="false">IFERROR(INDEX(Vendor_Master!$B$2:$B$41,MATCH(B78,Vendor_Master!$A$2:$A$41,0)),"Unknown Vendor")</f>
        <v>Stanley LLC</v>
      </c>
      <c r="D78" s="16" t="str">
        <f aca="false">IFERROR(INDEX(Vendor_Master!$D$2:$D$41,MATCH(B78,Vendor_Master!$A$2:$A$41,0)),"Unknown")</f>
        <v>India</v>
      </c>
      <c r="E78" s="17" t="n">
        <f aca="false">IFERROR(INDEX(Vendor_Master!$E$2:$E$41,MATCH(B78,Vendor_Master!$A$2:$A$41,0)),"")</f>
        <v>45675</v>
      </c>
      <c r="F78" s="17" t="n">
        <f aca="false">Payment_Log_AP!D75</f>
        <v>46138</v>
      </c>
      <c r="G78" s="18" t="n">
        <f aca="false">Payment_Log_AP!E75</f>
        <v>13999.16</v>
      </c>
      <c r="H78" s="16" t="n">
        <f aca="false">IF(G78&gt;=Assumptions!$B$7,40,IF(G78&gt;=Assumptions!$B$8,20,0))</f>
        <v>40</v>
      </c>
      <c r="I78" s="16" t="n">
        <f aca="false">IF(MOD(G78,500)=0,20,IF(MOD(G78,100)=0,10,0))</f>
        <v>0</v>
      </c>
      <c r="J78" s="16" t="n">
        <f aca="false">IF(AND(E78&lt;&gt;"",F78-E78&lt;=Assumptions!$B$9),25,0)</f>
        <v>0</v>
      </c>
      <c r="K78" s="16" t="n">
        <f aca="false">IF(ISNUMBER(SEARCH(D78,Assumptions!$B$10)),15,0)</f>
        <v>15</v>
      </c>
      <c r="L78" s="16" t="n">
        <f aca="false">H78+I78+J78+K78</f>
        <v>55</v>
      </c>
      <c r="M78" s="16" t="str">
        <f aca="false">IF(L78&gt;=60,"High",IF(L78&gt;=30,"Medium","Low"))</f>
        <v>Medium</v>
      </c>
    </row>
    <row r="79" customFormat="false" ht="15" hidden="false" customHeight="false" outlineLevel="0" collapsed="false">
      <c r="A79" s="16" t="str">
        <f aca="false">Payment_Log_AP!A76</f>
        <v>PAY40075</v>
      </c>
      <c r="B79" s="16" t="str">
        <f aca="false">Payment_Log_AP!C76</f>
        <v>V1016</v>
      </c>
      <c r="C79" s="16" t="str">
        <f aca="false">IFERROR(INDEX(Vendor_Master!$B$2:$B$41,MATCH(B79,Vendor_Master!$A$2:$A$41,0)),"Unknown Vendor")</f>
        <v>Sanchez, Ford and Nelson</v>
      </c>
      <c r="D79" s="16" t="str">
        <f aca="false">IFERROR(INDEX(Vendor_Master!$D$2:$D$41,MATCH(B79,Vendor_Master!$A$2:$A$41,0)),"Unknown")</f>
        <v>India</v>
      </c>
      <c r="E79" s="17" t="n">
        <f aca="false">IFERROR(INDEX(Vendor_Master!$E$2:$E$41,MATCH(B79,Vendor_Master!$A$2:$A$41,0)),"")</f>
        <v>44832</v>
      </c>
      <c r="F79" s="17" t="n">
        <f aca="false">Payment_Log_AP!D76</f>
        <v>45721</v>
      </c>
      <c r="G79" s="18" t="n">
        <f aca="false">Payment_Log_AP!E76</f>
        <v>4652.88</v>
      </c>
      <c r="H79" s="16" t="n">
        <f aca="false">IF(G79&gt;=Assumptions!$B$7,40,IF(G79&gt;=Assumptions!$B$8,20,0))</f>
        <v>0</v>
      </c>
      <c r="I79" s="16" t="n">
        <f aca="false">IF(MOD(G79,500)=0,20,IF(MOD(G79,100)=0,10,0))</f>
        <v>0</v>
      </c>
      <c r="J79" s="16" t="n">
        <f aca="false">IF(AND(E79&lt;&gt;"",F79-E79&lt;=Assumptions!$B$9),25,0)</f>
        <v>0</v>
      </c>
      <c r="K79" s="16" t="n">
        <f aca="false">IF(ISNUMBER(SEARCH(D79,Assumptions!$B$10)),15,0)</f>
        <v>15</v>
      </c>
      <c r="L79" s="16" t="n">
        <f aca="false">H79+I79+J79+K79</f>
        <v>15</v>
      </c>
      <c r="M79" s="16" t="str">
        <f aca="false">IF(L79&gt;=60,"High",IF(L79&gt;=30,"Medium","Low"))</f>
        <v>Low</v>
      </c>
    </row>
    <row r="80" customFormat="false" ht="15" hidden="false" customHeight="false" outlineLevel="0" collapsed="false">
      <c r="A80" s="16" t="str">
        <f aca="false">Payment_Log_AP!A77</f>
        <v>PAY40076</v>
      </c>
      <c r="B80" s="16" t="str">
        <f aca="false">Payment_Log_AP!C77</f>
        <v>V1005</v>
      </c>
      <c r="C80" s="16" t="str">
        <f aca="false">IFERROR(INDEX(Vendor_Master!$B$2:$B$41,MATCH(B80,Vendor_Master!$A$2:$A$41,0)),"Unknown Vendor")</f>
        <v>Cole LLC</v>
      </c>
      <c r="D80" s="16" t="str">
        <f aca="false">IFERROR(INDEX(Vendor_Master!$D$2:$D$41,MATCH(B80,Vendor_Master!$A$2:$A$41,0)),"Unknown")</f>
        <v>UK</v>
      </c>
      <c r="E80" s="17" t="n">
        <f aca="false">IFERROR(INDEX(Vendor_Master!$E$2:$E$41,MATCH(B80,Vendor_Master!$A$2:$A$41,0)),"")</f>
        <v>45423</v>
      </c>
      <c r="F80" s="17" t="n">
        <f aca="false">Payment_Log_AP!D77</f>
        <v>45921</v>
      </c>
      <c r="G80" s="18" t="n">
        <f aca="false">Payment_Log_AP!E77</f>
        <v>131.26</v>
      </c>
      <c r="H80" s="16" t="n">
        <f aca="false">IF(G80&gt;=Assumptions!$B$7,40,IF(G80&gt;=Assumptions!$B$8,20,0))</f>
        <v>0</v>
      </c>
      <c r="I80" s="16" t="n">
        <f aca="false">IF(MOD(G80,500)=0,20,IF(MOD(G80,100)=0,10,0))</f>
        <v>0</v>
      </c>
      <c r="J80" s="16" t="n">
        <f aca="false">IF(AND(E80&lt;&gt;"",F80-E80&lt;=Assumptions!$B$9),25,0)</f>
        <v>0</v>
      </c>
      <c r="K80" s="16" t="n">
        <f aca="false">IF(ISNUMBER(SEARCH(D80,Assumptions!$B$10)),15,0)</f>
        <v>0</v>
      </c>
      <c r="L80" s="16" t="n">
        <f aca="false">H80+I80+J80+K80</f>
        <v>0</v>
      </c>
      <c r="M80" s="16" t="str">
        <f aca="false">IF(L80&gt;=60,"High",IF(L80&gt;=30,"Medium","Low"))</f>
        <v>Low</v>
      </c>
    </row>
    <row r="81" customFormat="false" ht="15" hidden="false" customHeight="false" outlineLevel="0" collapsed="false">
      <c r="A81" s="16" t="str">
        <f aca="false">Payment_Log_AP!A78</f>
        <v>PAY40077</v>
      </c>
      <c r="B81" s="16" t="str">
        <f aca="false">Payment_Log_AP!C78</f>
        <v>V1002</v>
      </c>
      <c r="C81" s="16" t="str">
        <f aca="false">IFERROR(INDEX(Vendor_Master!$B$2:$B$41,MATCH(B81,Vendor_Master!$A$2:$A$41,0)),"Unknown Vendor")</f>
        <v>Garcia, Yang and Gardner</v>
      </c>
      <c r="D81" s="16" t="str">
        <f aca="false">IFERROR(INDEX(Vendor_Master!$D$2:$D$41,MATCH(B81,Vendor_Master!$A$2:$A$41,0)),"Unknown")</f>
        <v>UK</v>
      </c>
      <c r="E81" s="17" t="n">
        <f aca="false">IFERROR(INDEX(Vendor_Master!$E$2:$E$41,MATCH(B81,Vendor_Master!$A$2:$A$41,0)),"")</f>
        <v>44914</v>
      </c>
      <c r="F81" s="17" t="n">
        <f aca="false">Payment_Log_AP!D78</f>
        <v>46023</v>
      </c>
      <c r="G81" s="18" t="n">
        <f aca="false">Payment_Log_AP!E78</f>
        <v>370.46</v>
      </c>
      <c r="H81" s="16" t="n">
        <f aca="false">IF(G81&gt;=Assumptions!$B$7,40,IF(G81&gt;=Assumptions!$B$8,20,0))</f>
        <v>0</v>
      </c>
      <c r="I81" s="16" t="n">
        <f aca="false">IF(MOD(G81,500)=0,20,IF(MOD(G81,100)=0,10,0))</f>
        <v>0</v>
      </c>
      <c r="J81" s="16" t="n">
        <f aca="false">IF(AND(E81&lt;&gt;"",F81-E81&lt;=Assumptions!$B$9),25,0)</f>
        <v>0</v>
      </c>
      <c r="K81" s="16" t="n">
        <f aca="false">IF(ISNUMBER(SEARCH(D81,Assumptions!$B$10)),15,0)</f>
        <v>0</v>
      </c>
      <c r="L81" s="16" t="n">
        <f aca="false">H81+I81+J81+K81</f>
        <v>0</v>
      </c>
      <c r="M81" s="16" t="str">
        <f aca="false">IF(L81&gt;=60,"High",IF(L81&gt;=30,"Medium","Low"))</f>
        <v>Low</v>
      </c>
    </row>
    <row r="82" customFormat="false" ht="15" hidden="false" customHeight="false" outlineLevel="0" collapsed="false">
      <c r="A82" s="16" t="str">
        <f aca="false">Payment_Log_AP!A79</f>
        <v>PAY40078</v>
      </c>
      <c r="B82" s="16" t="str">
        <f aca="false">Payment_Log_AP!C79</f>
        <v>V1014</v>
      </c>
      <c r="C82" s="16" t="str">
        <f aca="false">IFERROR(INDEX(Vendor_Master!$B$2:$B$41,MATCH(B82,Vendor_Master!$A$2:$A$41,0)),"Unknown Vendor")</f>
        <v>Flowers, Martin and Kelly</v>
      </c>
      <c r="D82" s="16" t="str">
        <f aca="false">IFERROR(INDEX(Vendor_Master!$D$2:$D$41,MATCH(B82,Vendor_Master!$A$2:$A$41,0)),"Unknown")</f>
        <v>India</v>
      </c>
      <c r="E82" s="17" t="n">
        <f aca="false">IFERROR(INDEX(Vendor_Master!$E$2:$E$41,MATCH(B82,Vendor_Master!$A$2:$A$41,0)),"")</f>
        <v>45001</v>
      </c>
      <c r="F82" s="17" t="n">
        <f aca="false">Payment_Log_AP!D79</f>
        <v>46077</v>
      </c>
      <c r="G82" s="18" t="n">
        <f aca="false">Payment_Log_AP!E79</f>
        <v>11559.96</v>
      </c>
      <c r="H82" s="16" t="n">
        <f aca="false">IF(G82&gt;=Assumptions!$B$7,40,IF(G82&gt;=Assumptions!$B$8,20,0))</f>
        <v>40</v>
      </c>
      <c r="I82" s="16" t="n">
        <f aca="false">IF(MOD(G82,500)=0,20,IF(MOD(G82,100)=0,10,0))</f>
        <v>0</v>
      </c>
      <c r="J82" s="16" t="n">
        <f aca="false">IF(AND(E82&lt;&gt;"",F82-E82&lt;=Assumptions!$B$9),25,0)</f>
        <v>0</v>
      </c>
      <c r="K82" s="16" t="n">
        <f aca="false">IF(ISNUMBER(SEARCH(D82,Assumptions!$B$10)),15,0)</f>
        <v>15</v>
      </c>
      <c r="L82" s="16" t="n">
        <f aca="false">H82+I82+J82+K82</f>
        <v>55</v>
      </c>
      <c r="M82" s="16" t="str">
        <f aca="false">IF(L82&gt;=60,"High",IF(L82&gt;=30,"Medium","Low"))</f>
        <v>Medium</v>
      </c>
    </row>
    <row r="83" customFormat="false" ht="15" hidden="false" customHeight="false" outlineLevel="0" collapsed="false">
      <c r="A83" s="16" t="str">
        <f aca="false">Payment_Log_AP!A80</f>
        <v>PAY40079</v>
      </c>
      <c r="B83" s="16" t="str">
        <f aca="false">Payment_Log_AP!C80</f>
        <v>V1035</v>
      </c>
      <c r="C83" s="16" t="str">
        <f aca="false">IFERROR(INDEX(Vendor_Master!$B$2:$B$41,MATCH(B83,Vendor_Master!$A$2:$A$41,0)),"Unknown Vendor")</f>
        <v>Allen PLC</v>
      </c>
      <c r="D83" s="16" t="str">
        <f aca="false">IFERROR(INDEX(Vendor_Master!$D$2:$D$41,MATCH(B83,Vendor_Master!$A$2:$A$41,0)),"Unknown")</f>
        <v>Canada</v>
      </c>
      <c r="E83" s="17" t="n">
        <f aca="false">IFERROR(INDEX(Vendor_Master!$E$2:$E$41,MATCH(B83,Vendor_Master!$A$2:$A$41,0)),"")</f>
        <v>45048</v>
      </c>
      <c r="F83" s="17" t="n">
        <f aca="false">Payment_Log_AP!D80</f>
        <v>45954</v>
      </c>
      <c r="G83" s="18" t="n">
        <f aca="false">Payment_Log_AP!E80</f>
        <v>1118.76</v>
      </c>
      <c r="H83" s="16" t="n">
        <f aca="false">IF(G83&gt;=Assumptions!$B$7,40,IF(G83&gt;=Assumptions!$B$8,20,0))</f>
        <v>0</v>
      </c>
      <c r="I83" s="16" t="n">
        <f aca="false">IF(MOD(G83,500)=0,20,IF(MOD(G83,100)=0,10,0))</f>
        <v>0</v>
      </c>
      <c r="J83" s="16" t="n">
        <f aca="false">IF(AND(E83&lt;&gt;"",F83-E83&lt;=Assumptions!$B$9),25,0)</f>
        <v>0</v>
      </c>
      <c r="K83" s="16" t="n">
        <f aca="false">IF(ISNUMBER(SEARCH(D83,Assumptions!$B$10)),15,0)</f>
        <v>0</v>
      </c>
      <c r="L83" s="16" t="n">
        <f aca="false">H83+I83+J83+K83</f>
        <v>0</v>
      </c>
      <c r="M83" s="16" t="str">
        <f aca="false">IF(L83&gt;=60,"High",IF(L83&gt;=30,"Medium","Low"))</f>
        <v>Low</v>
      </c>
    </row>
    <row r="84" customFormat="false" ht="15" hidden="false" customHeight="false" outlineLevel="0" collapsed="false">
      <c r="A84" s="16" t="str">
        <f aca="false">Payment_Log_AP!A81</f>
        <v>PAY40080</v>
      </c>
      <c r="B84" s="16" t="str">
        <f aca="false">Payment_Log_AP!C81</f>
        <v>V1021</v>
      </c>
      <c r="C84" s="16" t="str">
        <f aca="false">IFERROR(INDEX(Vendor_Master!$B$2:$B$41,MATCH(B84,Vendor_Master!$A$2:$A$41,0)),"Unknown Vendor")</f>
        <v>Ellis, Baker and Wright</v>
      </c>
      <c r="D84" s="16" t="str">
        <f aca="false">IFERROR(INDEX(Vendor_Master!$D$2:$D$41,MATCH(B84,Vendor_Master!$A$2:$A$41,0)),"Unknown")</f>
        <v>UAE</v>
      </c>
      <c r="E84" s="17" t="n">
        <f aca="false">IFERROR(INDEX(Vendor_Master!$E$2:$E$41,MATCH(B84,Vendor_Master!$A$2:$A$41,0)),"")</f>
        <v>45960</v>
      </c>
      <c r="F84" s="17" t="n">
        <f aca="false">Payment_Log_AP!D81</f>
        <v>45841</v>
      </c>
      <c r="G84" s="18" t="n">
        <f aca="false">Payment_Log_AP!E81</f>
        <v>1602.67</v>
      </c>
      <c r="H84" s="16" t="n">
        <f aca="false">IF(G84&gt;=Assumptions!$B$7,40,IF(G84&gt;=Assumptions!$B$8,20,0))</f>
        <v>0</v>
      </c>
      <c r="I84" s="16" t="n">
        <f aca="false">IF(MOD(G84,500)=0,20,IF(MOD(G84,100)=0,10,0))</f>
        <v>0</v>
      </c>
      <c r="J84" s="16" t="n">
        <f aca="false">IF(AND(E84&lt;&gt;"",F84-E84&lt;=Assumptions!$B$9),25,0)</f>
        <v>25</v>
      </c>
      <c r="K84" s="16" t="n">
        <f aca="false">IF(ISNUMBER(SEARCH(D84,Assumptions!$B$10)),15,0)</f>
        <v>15</v>
      </c>
      <c r="L84" s="16" t="n">
        <f aca="false">H84+I84+J84+K84</f>
        <v>40</v>
      </c>
      <c r="M84" s="16" t="str">
        <f aca="false">IF(L84&gt;=60,"High",IF(L84&gt;=30,"Medium","Low"))</f>
        <v>Medium</v>
      </c>
    </row>
    <row r="85" customFormat="false" ht="15" hidden="false" customHeight="false" outlineLevel="0" collapsed="false">
      <c r="A85" s="16" t="str">
        <f aca="false">Payment_Log_AP!A82</f>
        <v>PAY40081</v>
      </c>
      <c r="B85" s="16" t="str">
        <f aca="false">Payment_Log_AP!C82</f>
        <v>V1002</v>
      </c>
      <c r="C85" s="16" t="str">
        <f aca="false">IFERROR(INDEX(Vendor_Master!$B$2:$B$41,MATCH(B85,Vendor_Master!$A$2:$A$41,0)),"Unknown Vendor")</f>
        <v>Garcia, Yang and Gardner</v>
      </c>
      <c r="D85" s="16" t="str">
        <f aca="false">IFERROR(INDEX(Vendor_Master!$D$2:$D$41,MATCH(B85,Vendor_Master!$A$2:$A$41,0)),"Unknown")</f>
        <v>UK</v>
      </c>
      <c r="E85" s="17" t="n">
        <f aca="false">IFERROR(INDEX(Vendor_Master!$E$2:$E$41,MATCH(B85,Vendor_Master!$A$2:$A$41,0)),"")</f>
        <v>44914</v>
      </c>
      <c r="F85" s="17" t="n">
        <f aca="false">Payment_Log_AP!D82</f>
        <v>45709</v>
      </c>
      <c r="G85" s="18" t="n">
        <f aca="false">Payment_Log_AP!E82</f>
        <v>1239.53</v>
      </c>
      <c r="H85" s="16" t="n">
        <f aca="false">IF(G85&gt;=Assumptions!$B$7,40,IF(G85&gt;=Assumptions!$B$8,20,0))</f>
        <v>0</v>
      </c>
      <c r="I85" s="16" t="n">
        <f aca="false">IF(MOD(G85,500)=0,20,IF(MOD(G85,100)=0,10,0))</f>
        <v>0</v>
      </c>
      <c r="J85" s="16" t="n">
        <f aca="false">IF(AND(E85&lt;&gt;"",F85-E85&lt;=Assumptions!$B$9),25,0)</f>
        <v>0</v>
      </c>
      <c r="K85" s="16" t="n">
        <f aca="false">IF(ISNUMBER(SEARCH(D85,Assumptions!$B$10)),15,0)</f>
        <v>0</v>
      </c>
      <c r="L85" s="16" t="n">
        <f aca="false">H85+I85+J85+K85</f>
        <v>0</v>
      </c>
      <c r="M85" s="16" t="str">
        <f aca="false">IF(L85&gt;=60,"High",IF(L85&gt;=30,"Medium","Low"))</f>
        <v>Low</v>
      </c>
    </row>
    <row r="86" customFormat="false" ht="15" hidden="false" customHeight="false" outlineLevel="0" collapsed="false">
      <c r="A86" s="16" t="str">
        <f aca="false">Payment_Log_AP!A83</f>
        <v>PAY40082</v>
      </c>
      <c r="B86" s="16" t="str">
        <f aca="false">Payment_Log_AP!C83</f>
        <v>V1030</v>
      </c>
      <c r="C86" s="16" t="str">
        <f aca="false">IFERROR(INDEX(Vendor_Master!$B$2:$B$41,MATCH(B86,Vendor_Master!$A$2:$A$41,0)),"Unknown Vendor")</f>
        <v>Stanton-Gill</v>
      </c>
      <c r="D86" s="16" t="str">
        <f aca="false">IFERROR(INDEX(Vendor_Master!$D$2:$D$41,MATCH(B86,Vendor_Master!$A$2:$A$41,0)),"Unknown")</f>
        <v>UK</v>
      </c>
      <c r="E86" s="17" t="n">
        <f aca="false">IFERROR(INDEX(Vendor_Master!$E$2:$E$41,MATCH(B86,Vendor_Master!$A$2:$A$41,0)),"")</f>
        <v>45946</v>
      </c>
      <c r="F86" s="17" t="n">
        <f aca="false">Payment_Log_AP!D83</f>
        <v>46103</v>
      </c>
      <c r="G86" s="18" t="n">
        <f aca="false">Payment_Log_AP!E83</f>
        <v>6686.22</v>
      </c>
      <c r="H86" s="16" t="n">
        <f aca="false">IF(G86&gt;=Assumptions!$B$7,40,IF(G86&gt;=Assumptions!$B$8,20,0))</f>
        <v>20</v>
      </c>
      <c r="I86" s="16" t="n">
        <f aca="false">IF(MOD(G86,500)=0,20,IF(MOD(G86,100)=0,10,0))</f>
        <v>0</v>
      </c>
      <c r="J86" s="16" t="n">
        <f aca="false">IF(AND(E86&lt;&gt;"",F86-E86&lt;=Assumptions!$B$9),25,0)</f>
        <v>25</v>
      </c>
      <c r="K86" s="16" t="n">
        <f aca="false">IF(ISNUMBER(SEARCH(D86,Assumptions!$B$10)),15,0)</f>
        <v>0</v>
      </c>
      <c r="L86" s="16" t="n">
        <f aca="false">H86+I86+J86+K86</f>
        <v>45</v>
      </c>
      <c r="M86" s="16" t="str">
        <f aca="false">IF(L86&gt;=60,"High",IF(L86&gt;=30,"Medium","Low"))</f>
        <v>Medium</v>
      </c>
    </row>
    <row r="87" customFormat="false" ht="15" hidden="false" customHeight="false" outlineLevel="0" collapsed="false">
      <c r="A87" s="16" t="str">
        <f aca="false">Payment_Log_AP!A84</f>
        <v>PAY40083</v>
      </c>
      <c r="B87" s="16" t="str">
        <f aca="false">Payment_Log_AP!C84</f>
        <v>V1015</v>
      </c>
      <c r="C87" s="16" t="str">
        <f aca="false">IFERROR(INDEX(Vendor_Master!$B$2:$B$41,MATCH(B87,Vendor_Master!$A$2:$A$41,0)),"Unknown Vendor")</f>
        <v>Zuniga, Wong and Lynch</v>
      </c>
      <c r="D87" s="16" t="str">
        <f aca="false">IFERROR(INDEX(Vendor_Master!$D$2:$D$41,MATCH(B87,Vendor_Master!$A$2:$A$41,0)),"Unknown")</f>
        <v>USA</v>
      </c>
      <c r="E87" s="17" t="n">
        <f aca="false">IFERROR(INDEX(Vendor_Master!$E$2:$E$41,MATCH(B87,Vendor_Master!$A$2:$A$41,0)),"")</f>
        <v>45621</v>
      </c>
      <c r="F87" s="17" t="n">
        <f aca="false">Payment_Log_AP!D84</f>
        <v>46124</v>
      </c>
      <c r="G87" s="18" t="n">
        <f aca="false">Payment_Log_AP!E84</f>
        <v>3940.78</v>
      </c>
      <c r="H87" s="16" t="n">
        <f aca="false">IF(G87&gt;=Assumptions!$B$7,40,IF(G87&gt;=Assumptions!$B$8,20,0))</f>
        <v>0</v>
      </c>
      <c r="I87" s="16" t="n">
        <f aca="false">IF(MOD(G87,500)=0,20,IF(MOD(G87,100)=0,10,0))</f>
        <v>0</v>
      </c>
      <c r="J87" s="16" t="n">
        <f aca="false">IF(AND(E87&lt;&gt;"",F87-E87&lt;=Assumptions!$B$9),25,0)</f>
        <v>0</v>
      </c>
      <c r="K87" s="16" t="n">
        <f aca="false">IF(ISNUMBER(SEARCH(D87,Assumptions!$B$10)),15,0)</f>
        <v>0</v>
      </c>
      <c r="L87" s="16" t="n">
        <f aca="false">H87+I87+J87+K87</f>
        <v>0</v>
      </c>
      <c r="M87" s="16" t="str">
        <f aca="false">IF(L87&gt;=60,"High",IF(L87&gt;=30,"Medium","Low"))</f>
        <v>Low</v>
      </c>
    </row>
    <row r="88" customFormat="false" ht="15" hidden="false" customHeight="false" outlineLevel="0" collapsed="false">
      <c r="A88" s="16" t="str">
        <f aca="false">Payment_Log_AP!A85</f>
        <v>PAY40084</v>
      </c>
      <c r="B88" s="16" t="str">
        <f aca="false">Payment_Log_AP!C85</f>
        <v>V1036</v>
      </c>
      <c r="C88" s="16" t="str">
        <f aca="false">IFERROR(INDEX(Vendor_Master!$B$2:$B$41,MATCH(B88,Vendor_Master!$A$2:$A$41,0)),"Unknown Vendor")</f>
        <v>Dennis Inc</v>
      </c>
      <c r="D88" s="16" t="str">
        <f aca="false">IFERROR(INDEX(Vendor_Master!$D$2:$D$41,MATCH(B88,Vendor_Master!$A$2:$A$41,0)),"Unknown")</f>
        <v>Singapore</v>
      </c>
      <c r="E88" s="17" t="n">
        <f aca="false">IFERROR(INDEX(Vendor_Master!$E$2:$E$41,MATCH(B88,Vendor_Master!$A$2:$A$41,0)),"")</f>
        <v>46059</v>
      </c>
      <c r="F88" s="17" t="n">
        <f aca="false">Payment_Log_AP!D85</f>
        <v>45764</v>
      </c>
      <c r="G88" s="18" t="n">
        <f aca="false">Payment_Log_AP!E85</f>
        <v>625.95</v>
      </c>
      <c r="H88" s="16" t="n">
        <f aca="false">IF(G88&gt;=Assumptions!$B$7,40,IF(G88&gt;=Assumptions!$B$8,20,0))</f>
        <v>0</v>
      </c>
      <c r="I88" s="16" t="n">
        <f aca="false">IF(MOD(G88,500)=0,20,IF(MOD(G88,100)=0,10,0))</f>
        <v>0</v>
      </c>
      <c r="J88" s="16" t="n">
        <f aca="false">IF(AND(E88&lt;&gt;"",F88-E88&lt;=Assumptions!$B$9),25,0)</f>
        <v>25</v>
      </c>
      <c r="K88" s="16" t="n">
        <f aca="false">IF(ISNUMBER(SEARCH(D88,Assumptions!$B$10)),15,0)</f>
        <v>15</v>
      </c>
      <c r="L88" s="16" t="n">
        <f aca="false">H88+I88+J88+K88</f>
        <v>40</v>
      </c>
      <c r="M88" s="16" t="str">
        <f aca="false">IF(L88&gt;=60,"High",IF(L88&gt;=30,"Medium","Low"))</f>
        <v>Medium</v>
      </c>
    </row>
    <row r="89" customFormat="false" ht="15" hidden="false" customHeight="false" outlineLevel="0" collapsed="false">
      <c r="A89" s="16" t="str">
        <f aca="false">Payment_Log_AP!A86</f>
        <v>PAY40085</v>
      </c>
      <c r="B89" s="16" t="str">
        <f aca="false">Payment_Log_AP!C86</f>
        <v>V1026</v>
      </c>
      <c r="C89" s="16" t="str">
        <f aca="false">IFERROR(INDEX(Vendor_Master!$B$2:$B$41,MATCH(B89,Vendor_Master!$A$2:$A$41,0)),"Unknown Vendor")</f>
        <v>James-Ferrell</v>
      </c>
      <c r="D89" s="16" t="str">
        <f aca="false">IFERROR(INDEX(Vendor_Master!$D$2:$D$41,MATCH(B89,Vendor_Master!$A$2:$A$41,0)),"Unknown")</f>
        <v>UAE</v>
      </c>
      <c r="E89" s="17" t="n">
        <f aca="false">IFERROR(INDEX(Vendor_Master!$E$2:$E$41,MATCH(B89,Vendor_Master!$A$2:$A$41,0)),"")</f>
        <v>45504</v>
      </c>
      <c r="F89" s="17" t="n">
        <f aca="false">Payment_Log_AP!D86</f>
        <v>45797</v>
      </c>
      <c r="G89" s="18" t="n">
        <f aca="false">Payment_Log_AP!E86</f>
        <v>2302.86</v>
      </c>
      <c r="H89" s="16" t="n">
        <f aca="false">IF(G89&gt;=Assumptions!$B$7,40,IF(G89&gt;=Assumptions!$B$8,20,0))</f>
        <v>0</v>
      </c>
      <c r="I89" s="16" t="n">
        <f aca="false">IF(MOD(G89,500)=0,20,IF(MOD(G89,100)=0,10,0))</f>
        <v>0</v>
      </c>
      <c r="J89" s="16" t="n">
        <f aca="false">IF(AND(E89&lt;&gt;"",F89-E89&lt;=Assumptions!$B$9),25,0)</f>
        <v>0</v>
      </c>
      <c r="K89" s="16" t="n">
        <f aca="false">IF(ISNUMBER(SEARCH(D89,Assumptions!$B$10)),15,0)</f>
        <v>15</v>
      </c>
      <c r="L89" s="16" t="n">
        <f aca="false">H89+I89+J89+K89</f>
        <v>15</v>
      </c>
      <c r="M89" s="16" t="str">
        <f aca="false">IF(L89&gt;=60,"High",IF(L89&gt;=30,"Medium","Low"))</f>
        <v>Low</v>
      </c>
    </row>
    <row r="90" customFormat="false" ht="15" hidden="false" customHeight="false" outlineLevel="0" collapsed="false">
      <c r="A90" s="16" t="str">
        <f aca="false">Payment_Log_AP!A87</f>
        <v>PAY40086</v>
      </c>
      <c r="B90" s="16" t="str">
        <f aca="false">Payment_Log_AP!C87</f>
        <v>V1026</v>
      </c>
      <c r="C90" s="16" t="str">
        <f aca="false">IFERROR(INDEX(Vendor_Master!$B$2:$B$41,MATCH(B90,Vendor_Master!$A$2:$A$41,0)),"Unknown Vendor")</f>
        <v>James-Ferrell</v>
      </c>
      <c r="D90" s="16" t="str">
        <f aca="false">IFERROR(INDEX(Vendor_Master!$D$2:$D$41,MATCH(B90,Vendor_Master!$A$2:$A$41,0)),"Unknown")</f>
        <v>UAE</v>
      </c>
      <c r="E90" s="17" t="n">
        <f aca="false">IFERROR(INDEX(Vendor_Master!$E$2:$E$41,MATCH(B90,Vendor_Master!$A$2:$A$41,0)),"")</f>
        <v>45504</v>
      </c>
      <c r="F90" s="17" t="n">
        <f aca="false">Payment_Log_AP!D87</f>
        <v>45961</v>
      </c>
      <c r="G90" s="18" t="n">
        <f aca="false">Payment_Log_AP!E87</f>
        <v>226.65</v>
      </c>
      <c r="H90" s="16" t="n">
        <f aca="false">IF(G90&gt;=Assumptions!$B$7,40,IF(G90&gt;=Assumptions!$B$8,20,0))</f>
        <v>0</v>
      </c>
      <c r="I90" s="16" t="n">
        <f aca="false">IF(MOD(G90,500)=0,20,IF(MOD(G90,100)=0,10,0))</f>
        <v>0</v>
      </c>
      <c r="J90" s="16" t="n">
        <f aca="false">IF(AND(E90&lt;&gt;"",F90-E90&lt;=Assumptions!$B$9),25,0)</f>
        <v>0</v>
      </c>
      <c r="K90" s="16" t="n">
        <f aca="false">IF(ISNUMBER(SEARCH(D90,Assumptions!$B$10)),15,0)</f>
        <v>15</v>
      </c>
      <c r="L90" s="16" t="n">
        <f aca="false">H90+I90+J90+K90</f>
        <v>15</v>
      </c>
      <c r="M90" s="16" t="str">
        <f aca="false">IF(L90&gt;=60,"High",IF(L90&gt;=30,"Medium","Low"))</f>
        <v>Low</v>
      </c>
    </row>
    <row r="91" customFormat="false" ht="15" hidden="false" customHeight="false" outlineLevel="0" collapsed="false">
      <c r="A91" s="16" t="str">
        <f aca="false">Payment_Log_AP!A88</f>
        <v>PAY40087</v>
      </c>
      <c r="B91" s="16" t="str">
        <f aca="false">Payment_Log_AP!C88</f>
        <v>V1006</v>
      </c>
      <c r="C91" s="16" t="str">
        <f aca="false">IFERROR(INDEX(Vendor_Master!$B$2:$B$41,MATCH(B91,Vendor_Master!$A$2:$A$41,0)),"Unknown Vendor")</f>
        <v>Blake and Sons</v>
      </c>
      <c r="D91" s="16" t="str">
        <f aca="false">IFERROR(INDEX(Vendor_Master!$D$2:$D$41,MATCH(B91,Vendor_Master!$A$2:$A$41,0)),"Unknown")</f>
        <v>UK</v>
      </c>
      <c r="E91" s="17" t="n">
        <f aca="false">IFERROR(INDEX(Vendor_Master!$E$2:$E$41,MATCH(B91,Vendor_Master!$A$2:$A$41,0)),"")</f>
        <v>45841</v>
      </c>
      <c r="F91" s="17" t="n">
        <f aca="false">Payment_Log_AP!D88</f>
        <v>45698</v>
      </c>
      <c r="G91" s="18" t="n">
        <f aca="false">Payment_Log_AP!E88</f>
        <v>814.32</v>
      </c>
      <c r="H91" s="16" t="n">
        <f aca="false">IF(G91&gt;=Assumptions!$B$7,40,IF(G91&gt;=Assumptions!$B$8,20,0))</f>
        <v>0</v>
      </c>
      <c r="I91" s="16" t="n">
        <f aca="false">IF(MOD(G91,500)=0,20,IF(MOD(G91,100)=0,10,0))</f>
        <v>0</v>
      </c>
      <c r="J91" s="16" t="n">
        <f aca="false">IF(AND(E91&lt;&gt;"",F91-E91&lt;=Assumptions!$B$9),25,0)</f>
        <v>25</v>
      </c>
      <c r="K91" s="16" t="n">
        <f aca="false">IF(ISNUMBER(SEARCH(D91,Assumptions!$B$10)),15,0)</f>
        <v>0</v>
      </c>
      <c r="L91" s="16" t="n">
        <f aca="false">H91+I91+J91+K91</f>
        <v>25</v>
      </c>
      <c r="M91" s="16" t="str">
        <f aca="false">IF(L91&gt;=60,"High",IF(L91&gt;=30,"Medium","Low"))</f>
        <v>Low</v>
      </c>
    </row>
    <row r="92" customFormat="false" ht="15" hidden="false" customHeight="false" outlineLevel="0" collapsed="false">
      <c r="A92" s="16" t="str">
        <f aca="false">Payment_Log_AP!A89</f>
        <v>PAY40088</v>
      </c>
      <c r="B92" s="16" t="str">
        <f aca="false">Payment_Log_AP!C89</f>
        <v>V1031</v>
      </c>
      <c r="C92" s="16" t="str">
        <f aca="false">IFERROR(INDEX(Vendor_Master!$B$2:$B$41,MATCH(B92,Vendor_Master!$A$2:$A$41,0)),"Unknown Vendor")</f>
        <v>Harrell LLC</v>
      </c>
      <c r="D92" s="16" t="str">
        <f aca="false">IFERROR(INDEX(Vendor_Master!$D$2:$D$41,MATCH(B92,Vendor_Master!$A$2:$A$41,0)),"Unknown")</f>
        <v>Canada</v>
      </c>
      <c r="E92" s="17" t="n">
        <f aca="false">IFERROR(INDEX(Vendor_Master!$E$2:$E$41,MATCH(B92,Vendor_Master!$A$2:$A$41,0)),"")</f>
        <v>45364</v>
      </c>
      <c r="F92" s="17" t="n">
        <f aca="false">Payment_Log_AP!D89</f>
        <v>45818</v>
      </c>
      <c r="G92" s="18" t="n">
        <f aca="false">Payment_Log_AP!E89</f>
        <v>1618.39</v>
      </c>
      <c r="H92" s="16" t="n">
        <f aca="false">IF(G92&gt;=Assumptions!$B$7,40,IF(G92&gt;=Assumptions!$B$8,20,0))</f>
        <v>0</v>
      </c>
      <c r="I92" s="16" t="n">
        <f aca="false">IF(MOD(G92,500)=0,20,IF(MOD(G92,100)=0,10,0))</f>
        <v>0</v>
      </c>
      <c r="J92" s="16" t="n">
        <f aca="false">IF(AND(E92&lt;&gt;"",F92-E92&lt;=Assumptions!$B$9),25,0)</f>
        <v>0</v>
      </c>
      <c r="K92" s="16" t="n">
        <f aca="false">IF(ISNUMBER(SEARCH(D92,Assumptions!$B$10)),15,0)</f>
        <v>0</v>
      </c>
      <c r="L92" s="16" t="n">
        <f aca="false">H92+I92+J92+K92</f>
        <v>0</v>
      </c>
      <c r="M92" s="16" t="str">
        <f aca="false">IF(L92&gt;=60,"High",IF(L92&gt;=30,"Medium","Low"))</f>
        <v>Low</v>
      </c>
    </row>
    <row r="93" customFormat="false" ht="15" hidden="false" customHeight="false" outlineLevel="0" collapsed="false">
      <c r="A93" s="16" t="str">
        <f aca="false">Payment_Log_AP!A90</f>
        <v>PAY40089</v>
      </c>
      <c r="B93" s="16" t="str">
        <f aca="false">Payment_Log_AP!C90</f>
        <v>V1029</v>
      </c>
      <c r="C93" s="16" t="str">
        <f aca="false">IFERROR(INDEX(Vendor_Master!$B$2:$B$41,MATCH(B93,Vendor_Master!$A$2:$A$41,0)),"Unknown Vendor")</f>
        <v>Chavez Ltd</v>
      </c>
      <c r="D93" s="16" t="str">
        <f aca="false">IFERROR(INDEX(Vendor_Master!$D$2:$D$41,MATCH(B93,Vendor_Master!$A$2:$A$41,0)),"Unknown")</f>
        <v>Singapore</v>
      </c>
      <c r="E93" s="17" t="n">
        <f aca="false">IFERROR(INDEX(Vendor_Master!$E$2:$E$41,MATCH(B93,Vendor_Master!$A$2:$A$41,0)),"")</f>
        <v>45026</v>
      </c>
      <c r="F93" s="17" t="n">
        <f aca="false">Payment_Log_AP!D90</f>
        <v>46159</v>
      </c>
      <c r="G93" s="18" t="n">
        <f aca="false">Payment_Log_AP!E90</f>
        <v>994</v>
      </c>
      <c r="H93" s="16" t="n">
        <f aca="false">IF(G93&gt;=Assumptions!$B$7,40,IF(G93&gt;=Assumptions!$B$8,20,0))</f>
        <v>0</v>
      </c>
      <c r="I93" s="16" t="n">
        <f aca="false">IF(MOD(G93,500)=0,20,IF(MOD(G93,100)=0,10,0))</f>
        <v>0</v>
      </c>
      <c r="J93" s="16" t="n">
        <f aca="false">IF(AND(E93&lt;&gt;"",F93-E93&lt;=Assumptions!$B$9),25,0)</f>
        <v>0</v>
      </c>
      <c r="K93" s="16" t="n">
        <f aca="false">IF(ISNUMBER(SEARCH(D93,Assumptions!$B$10)),15,0)</f>
        <v>15</v>
      </c>
      <c r="L93" s="16" t="n">
        <f aca="false">H93+I93+J93+K93</f>
        <v>15</v>
      </c>
      <c r="M93" s="16" t="str">
        <f aca="false">IF(L93&gt;=60,"High",IF(L93&gt;=30,"Medium","Low"))</f>
        <v>Low</v>
      </c>
    </row>
    <row r="94" customFormat="false" ht="15" hidden="false" customHeight="false" outlineLevel="0" collapsed="false">
      <c r="A94" s="16" t="str">
        <f aca="false">Payment_Log_AP!A91</f>
        <v>PAY40090</v>
      </c>
      <c r="B94" s="16" t="str">
        <f aca="false">Payment_Log_AP!C91</f>
        <v>V1009</v>
      </c>
      <c r="C94" s="16" t="str">
        <f aca="false">IFERROR(INDEX(Vendor_Master!$B$2:$B$41,MATCH(B94,Vendor_Master!$A$2:$A$41,0)),"Unknown Vendor")</f>
        <v>Munoz-Roman</v>
      </c>
      <c r="D94" s="16" t="str">
        <f aca="false">IFERROR(INDEX(Vendor_Master!$D$2:$D$41,MATCH(B94,Vendor_Master!$A$2:$A$41,0)),"Unknown")</f>
        <v>India</v>
      </c>
      <c r="E94" s="17" t="n">
        <f aca="false">IFERROR(INDEX(Vendor_Master!$E$2:$E$41,MATCH(B94,Vendor_Master!$A$2:$A$41,0)),"")</f>
        <v>45129</v>
      </c>
      <c r="F94" s="17" t="n">
        <f aca="false">Payment_Log_AP!D91</f>
        <v>45930</v>
      </c>
      <c r="G94" s="18" t="n">
        <f aca="false">Payment_Log_AP!E91</f>
        <v>456.94</v>
      </c>
      <c r="H94" s="16" t="n">
        <f aca="false">IF(G94&gt;=Assumptions!$B$7,40,IF(G94&gt;=Assumptions!$B$8,20,0))</f>
        <v>0</v>
      </c>
      <c r="I94" s="16" t="n">
        <f aca="false">IF(MOD(G94,500)=0,20,IF(MOD(G94,100)=0,10,0))</f>
        <v>0</v>
      </c>
      <c r="J94" s="16" t="n">
        <f aca="false">IF(AND(E94&lt;&gt;"",F94-E94&lt;=Assumptions!$B$9),25,0)</f>
        <v>0</v>
      </c>
      <c r="K94" s="16" t="n">
        <f aca="false">IF(ISNUMBER(SEARCH(D94,Assumptions!$B$10)),15,0)</f>
        <v>15</v>
      </c>
      <c r="L94" s="16" t="n">
        <f aca="false">H94+I94+J94+K94</f>
        <v>15</v>
      </c>
      <c r="M94" s="16" t="str">
        <f aca="false">IF(L94&gt;=60,"High",IF(L94&gt;=30,"Medium","Low"))</f>
        <v>Low</v>
      </c>
    </row>
    <row r="95" customFormat="false" ht="15" hidden="false" customHeight="false" outlineLevel="0" collapsed="false">
      <c r="A95" s="16" t="str">
        <f aca="false">Payment_Log_AP!A92</f>
        <v>PAY40091</v>
      </c>
      <c r="B95" s="16" t="str">
        <f aca="false">Payment_Log_AP!C92</f>
        <v>V1006</v>
      </c>
      <c r="C95" s="16" t="str">
        <f aca="false">IFERROR(INDEX(Vendor_Master!$B$2:$B$41,MATCH(B95,Vendor_Master!$A$2:$A$41,0)),"Unknown Vendor")</f>
        <v>Blake and Sons</v>
      </c>
      <c r="D95" s="16" t="str">
        <f aca="false">IFERROR(INDEX(Vendor_Master!$D$2:$D$41,MATCH(B95,Vendor_Master!$A$2:$A$41,0)),"Unknown")</f>
        <v>UK</v>
      </c>
      <c r="E95" s="17" t="n">
        <f aca="false">IFERROR(INDEX(Vendor_Master!$E$2:$E$41,MATCH(B95,Vendor_Master!$A$2:$A$41,0)),"")</f>
        <v>45841</v>
      </c>
      <c r="F95" s="17" t="n">
        <f aca="false">Payment_Log_AP!D92</f>
        <v>46122</v>
      </c>
      <c r="G95" s="18" t="n">
        <f aca="false">Payment_Log_AP!E92</f>
        <v>3515.6</v>
      </c>
      <c r="H95" s="16" t="n">
        <f aca="false">IF(G95&gt;=Assumptions!$B$7,40,IF(G95&gt;=Assumptions!$B$8,20,0))</f>
        <v>0</v>
      </c>
      <c r="I95" s="16" t="n">
        <f aca="false">IF(MOD(G95,500)=0,20,IF(MOD(G95,100)=0,10,0))</f>
        <v>0</v>
      </c>
      <c r="J95" s="16" t="n">
        <f aca="false">IF(AND(E95&lt;&gt;"",F95-E95&lt;=Assumptions!$B$9),25,0)</f>
        <v>0</v>
      </c>
      <c r="K95" s="16" t="n">
        <f aca="false">IF(ISNUMBER(SEARCH(D95,Assumptions!$B$10)),15,0)</f>
        <v>0</v>
      </c>
      <c r="L95" s="16" t="n">
        <f aca="false">H95+I95+J95+K95</f>
        <v>0</v>
      </c>
      <c r="M95" s="16" t="str">
        <f aca="false">IF(L95&gt;=60,"High",IF(L95&gt;=30,"Medium","Low"))</f>
        <v>Low</v>
      </c>
    </row>
    <row r="96" customFormat="false" ht="15" hidden="false" customHeight="false" outlineLevel="0" collapsed="false">
      <c r="A96" s="16" t="str">
        <f aca="false">Payment_Log_AP!A93</f>
        <v>PAY40092</v>
      </c>
      <c r="B96" s="16" t="str">
        <f aca="false">Payment_Log_AP!C93</f>
        <v>V1006</v>
      </c>
      <c r="C96" s="16" t="str">
        <f aca="false">IFERROR(INDEX(Vendor_Master!$B$2:$B$41,MATCH(B96,Vendor_Master!$A$2:$A$41,0)),"Unknown Vendor")</f>
        <v>Blake and Sons</v>
      </c>
      <c r="D96" s="16" t="str">
        <f aca="false">IFERROR(INDEX(Vendor_Master!$D$2:$D$41,MATCH(B96,Vendor_Master!$A$2:$A$41,0)),"Unknown")</f>
        <v>UK</v>
      </c>
      <c r="E96" s="17" t="n">
        <f aca="false">IFERROR(INDEX(Vendor_Master!$E$2:$E$41,MATCH(B96,Vendor_Master!$A$2:$A$41,0)),"")</f>
        <v>45841</v>
      </c>
      <c r="F96" s="17" t="n">
        <f aca="false">Payment_Log_AP!D93</f>
        <v>45998</v>
      </c>
      <c r="G96" s="18" t="n">
        <f aca="false">Payment_Log_AP!E93</f>
        <v>2184.66</v>
      </c>
      <c r="H96" s="16" t="n">
        <f aca="false">IF(G96&gt;=Assumptions!$B$7,40,IF(G96&gt;=Assumptions!$B$8,20,0))</f>
        <v>0</v>
      </c>
      <c r="I96" s="16" t="n">
        <f aca="false">IF(MOD(G96,500)=0,20,IF(MOD(G96,100)=0,10,0))</f>
        <v>0</v>
      </c>
      <c r="J96" s="16" t="n">
        <f aca="false">IF(AND(E96&lt;&gt;"",F96-E96&lt;=Assumptions!$B$9),25,0)</f>
        <v>25</v>
      </c>
      <c r="K96" s="16" t="n">
        <f aca="false">IF(ISNUMBER(SEARCH(D96,Assumptions!$B$10)),15,0)</f>
        <v>0</v>
      </c>
      <c r="L96" s="16" t="n">
        <f aca="false">H96+I96+J96+K96</f>
        <v>25</v>
      </c>
      <c r="M96" s="16" t="str">
        <f aca="false">IF(L96&gt;=60,"High",IF(L96&gt;=30,"Medium","Low"))</f>
        <v>Low</v>
      </c>
    </row>
    <row r="97" customFormat="false" ht="15" hidden="false" customHeight="false" outlineLevel="0" collapsed="false">
      <c r="A97" s="16" t="str">
        <f aca="false">Payment_Log_AP!A94</f>
        <v>PAY40093</v>
      </c>
      <c r="B97" s="16" t="str">
        <f aca="false">Payment_Log_AP!C94</f>
        <v>V1023</v>
      </c>
      <c r="C97" s="16" t="str">
        <f aca="false">IFERROR(INDEX(Vendor_Master!$B$2:$B$41,MATCH(B97,Vendor_Master!$A$2:$A$41,0)),"Unknown Vendor")</f>
        <v>Robinson-Bright</v>
      </c>
      <c r="D97" s="16" t="str">
        <f aca="false">IFERROR(INDEX(Vendor_Master!$D$2:$D$41,MATCH(B97,Vendor_Master!$A$2:$A$41,0)),"Unknown")</f>
        <v>India</v>
      </c>
      <c r="E97" s="17" t="n">
        <f aca="false">IFERROR(INDEX(Vendor_Master!$E$2:$E$41,MATCH(B97,Vendor_Master!$A$2:$A$41,0)),"")</f>
        <v>45484</v>
      </c>
      <c r="F97" s="17" t="n">
        <f aca="false">Payment_Log_AP!D94</f>
        <v>46166</v>
      </c>
      <c r="G97" s="18" t="n">
        <f aca="false">Payment_Log_AP!E94</f>
        <v>3835.01</v>
      </c>
      <c r="H97" s="16" t="n">
        <f aca="false">IF(G97&gt;=Assumptions!$B$7,40,IF(G97&gt;=Assumptions!$B$8,20,0))</f>
        <v>0</v>
      </c>
      <c r="I97" s="16" t="n">
        <f aca="false">IF(MOD(G97,500)=0,20,IF(MOD(G97,100)=0,10,0))</f>
        <v>0</v>
      </c>
      <c r="J97" s="16" t="n">
        <f aca="false">IF(AND(E97&lt;&gt;"",F97-E97&lt;=Assumptions!$B$9),25,0)</f>
        <v>0</v>
      </c>
      <c r="K97" s="16" t="n">
        <f aca="false">IF(ISNUMBER(SEARCH(D97,Assumptions!$B$10)),15,0)</f>
        <v>15</v>
      </c>
      <c r="L97" s="16" t="n">
        <f aca="false">H97+I97+J97+K97</f>
        <v>15</v>
      </c>
      <c r="M97" s="16" t="str">
        <f aca="false">IF(L97&gt;=60,"High",IF(L97&gt;=30,"Medium","Low"))</f>
        <v>Low</v>
      </c>
    </row>
    <row r="98" customFormat="false" ht="15" hidden="false" customHeight="false" outlineLevel="0" collapsed="false">
      <c r="A98" s="16" t="str">
        <f aca="false">Payment_Log_AP!A95</f>
        <v>PAY40094</v>
      </c>
      <c r="B98" s="16" t="str">
        <f aca="false">Payment_Log_AP!C95</f>
        <v>V1035</v>
      </c>
      <c r="C98" s="16" t="str">
        <f aca="false">IFERROR(INDEX(Vendor_Master!$B$2:$B$41,MATCH(B98,Vendor_Master!$A$2:$A$41,0)),"Unknown Vendor")</f>
        <v>Allen PLC</v>
      </c>
      <c r="D98" s="16" t="str">
        <f aca="false">IFERROR(INDEX(Vendor_Master!$D$2:$D$41,MATCH(B98,Vendor_Master!$A$2:$A$41,0)),"Unknown")</f>
        <v>Canada</v>
      </c>
      <c r="E98" s="17" t="n">
        <f aca="false">IFERROR(INDEX(Vendor_Master!$E$2:$E$41,MATCH(B98,Vendor_Master!$A$2:$A$41,0)),"")</f>
        <v>45048</v>
      </c>
      <c r="F98" s="17" t="n">
        <f aca="false">Payment_Log_AP!D95</f>
        <v>46043</v>
      </c>
      <c r="G98" s="18" t="n">
        <f aca="false">Payment_Log_AP!E95</f>
        <v>402.4</v>
      </c>
      <c r="H98" s="16" t="n">
        <f aca="false">IF(G98&gt;=Assumptions!$B$7,40,IF(G98&gt;=Assumptions!$B$8,20,0))</f>
        <v>0</v>
      </c>
      <c r="I98" s="16" t="n">
        <f aca="false">IF(MOD(G98,500)=0,20,IF(MOD(G98,100)=0,10,0))</f>
        <v>0</v>
      </c>
      <c r="J98" s="16" t="n">
        <f aca="false">IF(AND(E98&lt;&gt;"",F98-E98&lt;=Assumptions!$B$9),25,0)</f>
        <v>0</v>
      </c>
      <c r="K98" s="16" t="n">
        <f aca="false">IF(ISNUMBER(SEARCH(D98,Assumptions!$B$10)),15,0)</f>
        <v>0</v>
      </c>
      <c r="L98" s="16" t="n">
        <f aca="false">H98+I98+J98+K98</f>
        <v>0</v>
      </c>
      <c r="M98" s="16" t="str">
        <f aca="false">IF(L98&gt;=60,"High",IF(L98&gt;=30,"Medium","Low"))</f>
        <v>Low</v>
      </c>
    </row>
    <row r="99" customFormat="false" ht="15" hidden="false" customHeight="false" outlineLevel="0" collapsed="false">
      <c r="A99" s="16" t="str">
        <f aca="false">Payment_Log_AP!A96</f>
        <v>PAY40095</v>
      </c>
      <c r="B99" s="16" t="str">
        <f aca="false">Payment_Log_AP!C96</f>
        <v>V1012</v>
      </c>
      <c r="C99" s="16" t="str">
        <f aca="false">IFERROR(INDEX(Vendor_Master!$B$2:$B$41,MATCH(B99,Vendor_Master!$A$2:$A$41,0)),"Unknown Vendor")</f>
        <v>Stanley LLC</v>
      </c>
      <c r="D99" s="16" t="str">
        <f aca="false">IFERROR(INDEX(Vendor_Master!$D$2:$D$41,MATCH(B99,Vendor_Master!$A$2:$A$41,0)),"Unknown")</f>
        <v>India</v>
      </c>
      <c r="E99" s="17" t="n">
        <f aca="false">IFERROR(INDEX(Vendor_Master!$E$2:$E$41,MATCH(B99,Vendor_Master!$A$2:$A$41,0)),"")</f>
        <v>45675</v>
      </c>
      <c r="F99" s="17" t="n">
        <f aca="false">Payment_Log_AP!D96</f>
        <v>45962</v>
      </c>
      <c r="G99" s="18" t="n">
        <f aca="false">Payment_Log_AP!E96</f>
        <v>816.15</v>
      </c>
      <c r="H99" s="16" t="n">
        <f aca="false">IF(G99&gt;=Assumptions!$B$7,40,IF(G99&gt;=Assumptions!$B$8,20,0))</f>
        <v>0</v>
      </c>
      <c r="I99" s="16" t="n">
        <f aca="false">IF(MOD(G99,500)=0,20,IF(MOD(G99,100)=0,10,0))</f>
        <v>0</v>
      </c>
      <c r="J99" s="16" t="n">
        <f aca="false">IF(AND(E99&lt;&gt;"",F99-E99&lt;=Assumptions!$B$9),25,0)</f>
        <v>0</v>
      </c>
      <c r="K99" s="16" t="n">
        <f aca="false">IF(ISNUMBER(SEARCH(D99,Assumptions!$B$10)),15,0)</f>
        <v>15</v>
      </c>
      <c r="L99" s="16" t="n">
        <f aca="false">H99+I99+J99+K99</f>
        <v>15</v>
      </c>
      <c r="M99" s="16" t="str">
        <f aca="false">IF(L99&gt;=60,"High",IF(L99&gt;=30,"Medium","Low"))</f>
        <v>Low</v>
      </c>
    </row>
    <row r="100" customFormat="false" ht="15" hidden="false" customHeight="false" outlineLevel="0" collapsed="false">
      <c r="A100" s="16" t="str">
        <f aca="false">Payment_Log_AP!A97</f>
        <v>PAY40096</v>
      </c>
      <c r="B100" s="16" t="str">
        <f aca="false">Payment_Log_AP!C97</f>
        <v>V1012</v>
      </c>
      <c r="C100" s="16" t="str">
        <f aca="false">IFERROR(INDEX(Vendor_Master!$B$2:$B$41,MATCH(B100,Vendor_Master!$A$2:$A$41,0)),"Unknown Vendor")</f>
        <v>Stanley LLC</v>
      </c>
      <c r="D100" s="16" t="str">
        <f aca="false">IFERROR(INDEX(Vendor_Master!$D$2:$D$41,MATCH(B100,Vendor_Master!$A$2:$A$41,0)),"Unknown")</f>
        <v>India</v>
      </c>
      <c r="E100" s="17" t="n">
        <f aca="false">IFERROR(INDEX(Vendor_Master!$E$2:$E$41,MATCH(B100,Vendor_Master!$A$2:$A$41,0)),"")</f>
        <v>45675</v>
      </c>
      <c r="F100" s="17" t="n">
        <f aca="false">Payment_Log_AP!D97</f>
        <v>46147</v>
      </c>
      <c r="G100" s="18" t="n">
        <f aca="false">Payment_Log_AP!E97</f>
        <v>5798.93</v>
      </c>
      <c r="H100" s="16" t="n">
        <f aca="false">IF(G100&gt;=Assumptions!$B$7,40,IF(G100&gt;=Assumptions!$B$8,20,0))</f>
        <v>20</v>
      </c>
      <c r="I100" s="16" t="n">
        <f aca="false">IF(MOD(G100,500)=0,20,IF(MOD(G100,100)=0,10,0))</f>
        <v>0</v>
      </c>
      <c r="J100" s="16" t="n">
        <f aca="false">IF(AND(E100&lt;&gt;"",F100-E100&lt;=Assumptions!$B$9),25,0)</f>
        <v>0</v>
      </c>
      <c r="K100" s="16" t="n">
        <f aca="false">IF(ISNUMBER(SEARCH(D100,Assumptions!$B$10)),15,0)</f>
        <v>15</v>
      </c>
      <c r="L100" s="16" t="n">
        <f aca="false">H100+I100+J100+K100</f>
        <v>35</v>
      </c>
      <c r="M100" s="16" t="str">
        <f aca="false">IF(L100&gt;=60,"High",IF(L100&gt;=30,"Medium","Low"))</f>
        <v>Medium</v>
      </c>
    </row>
    <row r="101" customFormat="false" ht="15" hidden="false" customHeight="false" outlineLevel="0" collapsed="false">
      <c r="A101" s="16" t="str">
        <f aca="false">Payment_Log_AP!A98</f>
        <v>PAY40097</v>
      </c>
      <c r="B101" s="16" t="str">
        <f aca="false">Payment_Log_AP!C98</f>
        <v>V1028</v>
      </c>
      <c r="C101" s="16" t="str">
        <f aca="false">IFERROR(INDEX(Vendor_Master!$B$2:$B$41,MATCH(B101,Vendor_Master!$A$2:$A$41,0)),"Unknown Vendor")</f>
        <v>Potter, Mack and Peterson</v>
      </c>
      <c r="D101" s="16" t="str">
        <f aca="false">IFERROR(INDEX(Vendor_Master!$D$2:$D$41,MATCH(B101,Vendor_Master!$A$2:$A$41,0)),"Unknown")</f>
        <v>UK</v>
      </c>
      <c r="E101" s="17" t="n">
        <f aca="false">IFERROR(INDEX(Vendor_Master!$E$2:$E$41,MATCH(B101,Vendor_Master!$A$2:$A$41,0)),"")</f>
        <v>45639</v>
      </c>
      <c r="F101" s="17" t="n">
        <f aca="false">Payment_Log_AP!D98</f>
        <v>46001</v>
      </c>
      <c r="G101" s="18" t="n">
        <f aca="false">Payment_Log_AP!E98</f>
        <v>3177.07</v>
      </c>
      <c r="H101" s="16" t="n">
        <f aca="false">IF(G101&gt;=Assumptions!$B$7,40,IF(G101&gt;=Assumptions!$B$8,20,0))</f>
        <v>0</v>
      </c>
      <c r="I101" s="16" t="n">
        <f aca="false">IF(MOD(G101,500)=0,20,IF(MOD(G101,100)=0,10,0))</f>
        <v>0</v>
      </c>
      <c r="J101" s="16" t="n">
        <f aca="false">IF(AND(E101&lt;&gt;"",F101-E101&lt;=Assumptions!$B$9),25,0)</f>
        <v>0</v>
      </c>
      <c r="K101" s="16" t="n">
        <f aca="false">IF(ISNUMBER(SEARCH(D101,Assumptions!$B$10)),15,0)</f>
        <v>0</v>
      </c>
      <c r="L101" s="16" t="n">
        <f aca="false">H101+I101+J101+K101</f>
        <v>0</v>
      </c>
      <c r="M101" s="16" t="str">
        <f aca="false">IF(L101&gt;=60,"High",IF(L101&gt;=30,"Medium","Low"))</f>
        <v>Low</v>
      </c>
    </row>
    <row r="102" customFormat="false" ht="15" hidden="false" customHeight="false" outlineLevel="0" collapsed="false">
      <c r="A102" s="16" t="str">
        <f aca="false">Payment_Log_AP!A99</f>
        <v>PAY40098</v>
      </c>
      <c r="B102" s="16" t="str">
        <f aca="false">Payment_Log_AP!C99</f>
        <v>V1017</v>
      </c>
      <c r="C102" s="16" t="str">
        <f aca="false">IFERROR(INDEX(Vendor_Master!$B$2:$B$41,MATCH(B102,Vendor_Master!$A$2:$A$41,0)),"Unknown Vendor")</f>
        <v>Hawkins, Cohen and Cameron</v>
      </c>
      <c r="D102" s="16" t="str">
        <f aca="false">IFERROR(INDEX(Vendor_Master!$D$2:$D$41,MATCH(B102,Vendor_Master!$A$2:$A$41,0)),"Unknown")</f>
        <v>USA</v>
      </c>
      <c r="E102" s="17" t="n">
        <f aca="false">IFERROR(INDEX(Vendor_Master!$E$2:$E$41,MATCH(B102,Vendor_Master!$A$2:$A$41,0)),"")</f>
        <v>46025</v>
      </c>
      <c r="F102" s="17" t="n">
        <f aca="false">Payment_Log_AP!D99</f>
        <v>46187</v>
      </c>
      <c r="G102" s="18" t="n">
        <f aca="false">Payment_Log_AP!E99</f>
        <v>2099.16</v>
      </c>
      <c r="H102" s="16" t="n">
        <f aca="false">IF(G102&gt;=Assumptions!$B$7,40,IF(G102&gt;=Assumptions!$B$8,20,0))</f>
        <v>0</v>
      </c>
      <c r="I102" s="16" t="n">
        <f aca="false">IF(MOD(G102,500)=0,20,IF(MOD(G102,100)=0,10,0))</f>
        <v>0</v>
      </c>
      <c r="J102" s="16" t="n">
        <f aca="false">IF(AND(E102&lt;&gt;"",F102-E102&lt;=Assumptions!$B$9),25,0)</f>
        <v>25</v>
      </c>
      <c r="K102" s="16" t="n">
        <f aca="false">IF(ISNUMBER(SEARCH(D102,Assumptions!$B$10)),15,0)</f>
        <v>0</v>
      </c>
      <c r="L102" s="16" t="n">
        <f aca="false">H102+I102+J102+K102</f>
        <v>25</v>
      </c>
      <c r="M102" s="16" t="str">
        <f aca="false">IF(L102&gt;=60,"High",IF(L102&gt;=30,"Medium","Low"))</f>
        <v>Low</v>
      </c>
    </row>
    <row r="103" customFormat="false" ht="15" hidden="false" customHeight="false" outlineLevel="0" collapsed="false">
      <c r="A103" s="16" t="str">
        <f aca="false">Payment_Log_AP!A100</f>
        <v>PAY40099</v>
      </c>
      <c r="B103" s="16" t="str">
        <f aca="false">Payment_Log_AP!C100</f>
        <v>V1015</v>
      </c>
      <c r="C103" s="16" t="str">
        <f aca="false">IFERROR(INDEX(Vendor_Master!$B$2:$B$41,MATCH(B103,Vendor_Master!$A$2:$A$41,0)),"Unknown Vendor")</f>
        <v>Zuniga, Wong and Lynch</v>
      </c>
      <c r="D103" s="16" t="str">
        <f aca="false">IFERROR(INDEX(Vendor_Master!$D$2:$D$41,MATCH(B103,Vendor_Master!$A$2:$A$41,0)),"Unknown")</f>
        <v>USA</v>
      </c>
      <c r="E103" s="17" t="n">
        <f aca="false">IFERROR(INDEX(Vendor_Master!$E$2:$E$41,MATCH(B103,Vendor_Master!$A$2:$A$41,0)),"")</f>
        <v>45621</v>
      </c>
      <c r="F103" s="17" t="n">
        <f aca="false">Payment_Log_AP!D100</f>
        <v>46106</v>
      </c>
      <c r="G103" s="18" t="n">
        <f aca="false">Payment_Log_AP!E100</f>
        <v>2167.65</v>
      </c>
      <c r="H103" s="16" t="n">
        <f aca="false">IF(G103&gt;=Assumptions!$B$7,40,IF(G103&gt;=Assumptions!$B$8,20,0))</f>
        <v>0</v>
      </c>
      <c r="I103" s="16" t="n">
        <f aca="false">IF(MOD(G103,500)=0,20,IF(MOD(G103,100)=0,10,0))</f>
        <v>0</v>
      </c>
      <c r="J103" s="16" t="n">
        <f aca="false">IF(AND(E103&lt;&gt;"",F103-E103&lt;=Assumptions!$B$9),25,0)</f>
        <v>0</v>
      </c>
      <c r="K103" s="16" t="n">
        <f aca="false">IF(ISNUMBER(SEARCH(D103,Assumptions!$B$10)),15,0)</f>
        <v>0</v>
      </c>
      <c r="L103" s="16" t="n">
        <f aca="false">H103+I103+J103+K103</f>
        <v>0</v>
      </c>
      <c r="M103" s="16" t="str">
        <f aca="false">IF(L103&gt;=60,"High",IF(L103&gt;=30,"Medium","Low"))</f>
        <v>Low</v>
      </c>
    </row>
    <row r="104" customFormat="false" ht="15" hidden="false" customHeight="false" outlineLevel="0" collapsed="false">
      <c r="A104" s="16" t="str">
        <f aca="false">Payment_Log_AP!A101</f>
        <v>PAY40100</v>
      </c>
      <c r="B104" s="16" t="str">
        <f aca="false">Payment_Log_AP!C101</f>
        <v>V1018</v>
      </c>
      <c r="C104" s="16" t="str">
        <f aca="false">IFERROR(INDEX(Vendor_Master!$B$2:$B$41,MATCH(B104,Vendor_Master!$A$2:$A$41,0)),"Unknown Vendor")</f>
        <v>Underwood LLC</v>
      </c>
      <c r="D104" s="16" t="str">
        <f aca="false">IFERROR(INDEX(Vendor_Master!$D$2:$D$41,MATCH(B104,Vendor_Master!$A$2:$A$41,0)),"Unknown")</f>
        <v>UAE</v>
      </c>
      <c r="E104" s="17" t="n">
        <f aca="false">IFERROR(INDEX(Vendor_Master!$E$2:$E$41,MATCH(B104,Vendor_Master!$A$2:$A$41,0)),"")</f>
        <v>45788</v>
      </c>
      <c r="F104" s="17" t="n">
        <f aca="false">Payment_Log_AP!D101</f>
        <v>45933</v>
      </c>
      <c r="G104" s="18" t="n">
        <f aca="false">Payment_Log_AP!E101</f>
        <v>865.82</v>
      </c>
      <c r="H104" s="16" t="n">
        <f aca="false">IF(G104&gt;=Assumptions!$B$7,40,IF(G104&gt;=Assumptions!$B$8,20,0))</f>
        <v>0</v>
      </c>
      <c r="I104" s="16" t="n">
        <f aca="false">IF(MOD(G104,500)=0,20,IF(MOD(G104,100)=0,10,0))</f>
        <v>0</v>
      </c>
      <c r="J104" s="16" t="n">
        <f aca="false">IF(AND(E104&lt;&gt;"",F104-E104&lt;=Assumptions!$B$9),25,0)</f>
        <v>25</v>
      </c>
      <c r="K104" s="16" t="n">
        <f aca="false">IF(ISNUMBER(SEARCH(D104,Assumptions!$B$10)),15,0)</f>
        <v>15</v>
      </c>
      <c r="L104" s="16" t="n">
        <f aca="false">H104+I104+J104+K104</f>
        <v>40</v>
      </c>
      <c r="M104" s="16" t="str">
        <f aca="false">IF(L104&gt;=60,"High",IF(L104&gt;=30,"Medium","Low"))</f>
        <v>Medium</v>
      </c>
    </row>
    <row r="105" customFormat="false" ht="15" hidden="false" customHeight="false" outlineLevel="0" collapsed="false">
      <c r="A105" s="16" t="str">
        <f aca="false">Payment_Log_AP!A102</f>
        <v>PAY40101</v>
      </c>
      <c r="B105" s="16" t="str">
        <f aca="false">Payment_Log_AP!C102</f>
        <v>V1006</v>
      </c>
      <c r="C105" s="16" t="str">
        <f aca="false">IFERROR(INDEX(Vendor_Master!$B$2:$B$41,MATCH(B105,Vendor_Master!$A$2:$A$41,0)),"Unknown Vendor")</f>
        <v>Blake and Sons</v>
      </c>
      <c r="D105" s="16" t="str">
        <f aca="false">IFERROR(INDEX(Vendor_Master!$D$2:$D$41,MATCH(B105,Vendor_Master!$A$2:$A$41,0)),"Unknown")</f>
        <v>UK</v>
      </c>
      <c r="E105" s="17" t="n">
        <f aca="false">IFERROR(INDEX(Vendor_Master!$E$2:$E$41,MATCH(B105,Vendor_Master!$A$2:$A$41,0)),"")</f>
        <v>45841</v>
      </c>
      <c r="F105" s="17" t="n">
        <f aca="false">Payment_Log_AP!D102</f>
        <v>45837</v>
      </c>
      <c r="G105" s="18" t="n">
        <f aca="false">Payment_Log_AP!E102</f>
        <v>588.49</v>
      </c>
      <c r="H105" s="16" t="n">
        <f aca="false">IF(G105&gt;=Assumptions!$B$7,40,IF(G105&gt;=Assumptions!$B$8,20,0))</f>
        <v>0</v>
      </c>
      <c r="I105" s="16" t="n">
        <f aca="false">IF(MOD(G105,500)=0,20,IF(MOD(G105,100)=0,10,0))</f>
        <v>0</v>
      </c>
      <c r="J105" s="16" t="n">
        <f aca="false">IF(AND(E105&lt;&gt;"",F105-E105&lt;=Assumptions!$B$9),25,0)</f>
        <v>25</v>
      </c>
      <c r="K105" s="16" t="n">
        <f aca="false">IF(ISNUMBER(SEARCH(D105,Assumptions!$B$10)),15,0)</f>
        <v>0</v>
      </c>
      <c r="L105" s="16" t="n">
        <f aca="false">H105+I105+J105+K105</f>
        <v>25</v>
      </c>
      <c r="M105" s="16" t="str">
        <f aca="false">IF(L105&gt;=60,"High",IF(L105&gt;=30,"Medium","Low"))</f>
        <v>Low</v>
      </c>
    </row>
    <row r="106" customFormat="false" ht="15" hidden="false" customHeight="false" outlineLevel="0" collapsed="false">
      <c r="A106" s="16" t="str">
        <f aca="false">Payment_Log_AP!A103</f>
        <v>PAY40102</v>
      </c>
      <c r="B106" s="16" t="str">
        <f aca="false">Payment_Log_AP!C103</f>
        <v>V1038</v>
      </c>
      <c r="C106" s="16" t="str">
        <f aca="false">IFERROR(INDEX(Vendor_Master!$B$2:$B$41,MATCH(B106,Vendor_Master!$A$2:$A$41,0)),"Unknown Vendor")</f>
        <v>Rose-Obrien</v>
      </c>
      <c r="D106" s="16" t="str">
        <f aca="false">IFERROR(INDEX(Vendor_Master!$D$2:$D$41,MATCH(B106,Vendor_Master!$A$2:$A$41,0)),"Unknown")</f>
        <v>USA</v>
      </c>
      <c r="E106" s="17" t="n">
        <f aca="false">IFERROR(INDEX(Vendor_Master!$E$2:$E$41,MATCH(B106,Vendor_Master!$A$2:$A$41,0)),"")</f>
        <v>45431</v>
      </c>
      <c r="F106" s="17" t="n">
        <f aca="false">Payment_Log_AP!D103</f>
        <v>45818</v>
      </c>
      <c r="G106" s="18" t="n">
        <f aca="false">Payment_Log_AP!E103</f>
        <v>1755.83</v>
      </c>
      <c r="H106" s="16" t="n">
        <f aca="false">IF(G106&gt;=Assumptions!$B$7,40,IF(G106&gt;=Assumptions!$B$8,20,0))</f>
        <v>0</v>
      </c>
      <c r="I106" s="16" t="n">
        <f aca="false">IF(MOD(G106,500)=0,20,IF(MOD(G106,100)=0,10,0))</f>
        <v>0</v>
      </c>
      <c r="J106" s="16" t="n">
        <f aca="false">IF(AND(E106&lt;&gt;"",F106-E106&lt;=Assumptions!$B$9),25,0)</f>
        <v>0</v>
      </c>
      <c r="K106" s="16" t="n">
        <f aca="false">IF(ISNUMBER(SEARCH(D106,Assumptions!$B$10)),15,0)</f>
        <v>0</v>
      </c>
      <c r="L106" s="16" t="n">
        <f aca="false">H106+I106+J106+K106</f>
        <v>0</v>
      </c>
      <c r="M106" s="16" t="str">
        <f aca="false">IF(L106&gt;=60,"High",IF(L106&gt;=30,"Medium","Low"))</f>
        <v>Low</v>
      </c>
    </row>
    <row r="107" customFormat="false" ht="15" hidden="false" customHeight="false" outlineLevel="0" collapsed="false">
      <c r="A107" s="16" t="str">
        <f aca="false">Payment_Log_AP!A104</f>
        <v>PAY40103</v>
      </c>
      <c r="B107" s="16" t="str">
        <f aca="false">Payment_Log_AP!C104</f>
        <v>V1026</v>
      </c>
      <c r="C107" s="16" t="str">
        <f aca="false">IFERROR(INDEX(Vendor_Master!$B$2:$B$41,MATCH(B107,Vendor_Master!$A$2:$A$41,0)),"Unknown Vendor")</f>
        <v>James-Ferrell</v>
      </c>
      <c r="D107" s="16" t="str">
        <f aca="false">IFERROR(INDEX(Vendor_Master!$D$2:$D$41,MATCH(B107,Vendor_Master!$A$2:$A$41,0)),"Unknown")</f>
        <v>UAE</v>
      </c>
      <c r="E107" s="17" t="n">
        <f aca="false">IFERROR(INDEX(Vendor_Master!$E$2:$E$41,MATCH(B107,Vendor_Master!$A$2:$A$41,0)),"")</f>
        <v>45504</v>
      </c>
      <c r="F107" s="17" t="n">
        <f aca="false">Payment_Log_AP!D104</f>
        <v>46041</v>
      </c>
      <c r="G107" s="18" t="n">
        <f aca="false">Payment_Log_AP!E104</f>
        <v>946.66</v>
      </c>
      <c r="H107" s="16" t="n">
        <f aca="false">IF(G107&gt;=Assumptions!$B$7,40,IF(G107&gt;=Assumptions!$B$8,20,0))</f>
        <v>0</v>
      </c>
      <c r="I107" s="16" t="n">
        <f aca="false">IF(MOD(G107,500)=0,20,IF(MOD(G107,100)=0,10,0))</f>
        <v>0</v>
      </c>
      <c r="J107" s="16" t="n">
        <f aca="false">IF(AND(E107&lt;&gt;"",F107-E107&lt;=Assumptions!$B$9),25,0)</f>
        <v>0</v>
      </c>
      <c r="K107" s="16" t="n">
        <f aca="false">IF(ISNUMBER(SEARCH(D107,Assumptions!$B$10)),15,0)</f>
        <v>15</v>
      </c>
      <c r="L107" s="16" t="n">
        <f aca="false">H107+I107+J107+K107</f>
        <v>15</v>
      </c>
      <c r="M107" s="16" t="str">
        <f aca="false">IF(L107&gt;=60,"High",IF(L107&gt;=30,"Medium","Low"))</f>
        <v>Low</v>
      </c>
    </row>
    <row r="108" customFormat="false" ht="15" hidden="false" customHeight="false" outlineLevel="0" collapsed="false">
      <c r="A108" s="16" t="str">
        <f aca="false">Payment_Log_AP!A105</f>
        <v>PAY40104</v>
      </c>
      <c r="B108" s="16" t="str">
        <f aca="false">Payment_Log_AP!C105</f>
        <v>V1027</v>
      </c>
      <c r="C108" s="16" t="str">
        <f aca="false">IFERROR(INDEX(Vendor_Master!$B$2:$B$41,MATCH(B108,Vendor_Master!$A$2:$A$41,0)),"Unknown Vendor")</f>
        <v>Valencia, Smith and Le</v>
      </c>
      <c r="D108" s="16" t="str">
        <f aca="false">IFERROR(INDEX(Vendor_Master!$D$2:$D$41,MATCH(B108,Vendor_Master!$A$2:$A$41,0)),"Unknown")</f>
        <v>Germany</v>
      </c>
      <c r="E108" s="17" t="n">
        <f aca="false">IFERROR(INDEX(Vendor_Master!$E$2:$E$41,MATCH(B108,Vendor_Master!$A$2:$A$41,0)),"")</f>
        <v>45398</v>
      </c>
      <c r="F108" s="17" t="n">
        <f aca="false">Payment_Log_AP!D105</f>
        <v>46113</v>
      </c>
      <c r="G108" s="18" t="n">
        <f aca="false">Payment_Log_AP!E105</f>
        <v>17767.35</v>
      </c>
      <c r="H108" s="16" t="n">
        <f aca="false">IF(G108&gt;=Assumptions!$B$7,40,IF(G108&gt;=Assumptions!$B$8,20,0))</f>
        <v>40</v>
      </c>
      <c r="I108" s="16" t="n">
        <f aca="false">IF(MOD(G108,500)=0,20,IF(MOD(G108,100)=0,10,0))</f>
        <v>0</v>
      </c>
      <c r="J108" s="16" t="n">
        <f aca="false">IF(AND(E108&lt;&gt;"",F108-E108&lt;=Assumptions!$B$9),25,0)</f>
        <v>0</v>
      </c>
      <c r="K108" s="16" t="n">
        <f aca="false">IF(ISNUMBER(SEARCH(D108,Assumptions!$B$10)),15,0)</f>
        <v>0</v>
      </c>
      <c r="L108" s="16" t="n">
        <f aca="false">H108+I108+J108+K108</f>
        <v>40</v>
      </c>
      <c r="M108" s="16" t="str">
        <f aca="false">IF(L108&gt;=60,"High",IF(L108&gt;=30,"Medium","Low"))</f>
        <v>Medium</v>
      </c>
    </row>
    <row r="109" customFormat="false" ht="15" hidden="false" customHeight="false" outlineLevel="0" collapsed="false">
      <c r="A109" s="16" t="str">
        <f aca="false">Payment_Log_AP!A106</f>
        <v>PAY40105</v>
      </c>
      <c r="B109" s="16" t="str">
        <f aca="false">Payment_Log_AP!C106</f>
        <v>V1002</v>
      </c>
      <c r="C109" s="16" t="str">
        <f aca="false">IFERROR(INDEX(Vendor_Master!$B$2:$B$41,MATCH(B109,Vendor_Master!$A$2:$A$41,0)),"Unknown Vendor")</f>
        <v>Garcia, Yang and Gardner</v>
      </c>
      <c r="D109" s="16" t="str">
        <f aca="false">IFERROR(INDEX(Vendor_Master!$D$2:$D$41,MATCH(B109,Vendor_Master!$A$2:$A$41,0)),"Unknown")</f>
        <v>UK</v>
      </c>
      <c r="E109" s="17" t="n">
        <f aca="false">IFERROR(INDEX(Vendor_Master!$E$2:$E$41,MATCH(B109,Vendor_Master!$A$2:$A$41,0)),"")</f>
        <v>44914</v>
      </c>
      <c r="F109" s="17" t="n">
        <f aca="false">Payment_Log_AP!D106</f>
        <v>45980</v>
      </c>
      <c r="G109" s="18" t="n">
        <f aca="false">Payment_Log_AP!E106</f>
        <v>8633.55</v>
      </c>
      <c r="H109" s="16" t="n">
        <f aca="false">IF(G109&gt;=Assumptions!$B$7,40,IF(G109&gt;=Assumptions!$B$8,20,0))</f>
        <v>20</v>
      </c>
      <c r="I109" s="16" t="n">
        <f aca="false">IF(MOD(G109,500)=0,20,IF(MOD(G109,100)=0,10,0))</f>
        <v>0</v>
      </c>
      <c r="J109" s="16" t="n">
        <f aca="false">IF(AND(E109&lt;&gt;"",F109-E109&lt;=Assumptions!$B$9),25,0)</f>
        <v>0</v>
      </c>
      <c r="K109" s="16" t="n">
        <f aca="false">IF(ISNUMBER(SEARCH(D109,Assumptions!$B$10)),15,0)</f>
        <v>0</v>
      </c>
      <c r="L109" s="16" t="n">
        <f aca="false">H109+I109+J109+K109</f>
        <v>20</v>
      </c>
      <c r="M109" s="16" t="str">
        <f aca="false">IF(L109&gt;=60,"High",IF(L109&gt;=30,"Medium","Low"))</f>
        <v>Low</v>
      </c>
    </row>
    <row r="110" customFormat="false" ht="15" hidden="false" customHeight="false" outlineLevel="0" collapsed="false">
      <c r="A110" s="16" t="str">
        <f aca="false">Payment_Log_AP!A107</f>
        <v>PAY40106</v>
      </c>
      <c r="B110" s="16" t="str">
        <f aca="false">Payment_Log_AP!C107</f>
        <v>V1038</v>
      </c>
      <c r="C110" s="16" t="str">
        <f aca="false">IFERROR(INDEX(Vendor_Master!$B$2:$B$41,MATCH(B110,Vendor_Master!$A$2:$A$41,0)),"Unknown Vendor")</f>
        <v>Rose-Obrien</v>
      </c>
      <c r="D110" s="16" t="str">
        <f aca="false">IFERROR(INDEX(Vendor_Master!$D$2:$D$41,MATCH(B110,Vendor_Master!$A$2:$A$41,0)),"Unknown")</f>
        <v>USA</v>
      </c>
      <c r="E110" s="17" t="n">
        <f aca="false">IFERROR(INDEX(Vendor_Master!$E$2:$E$41,MATCH(B110,Vendor_Master!$A$2:$A$41,0)),"")</f>
        <v>45431</v>
      </c>
      <c r="F110" s="17" t="n">
        <f aca="false">Payment_Log_AP!D107</f>
        <v>46042</v>
      </c>
      <c r="G110" s="18" t="n">
        <f aca="false">Payment_Log_AP!E107</f>
        <v>1731.53</v>
      </c>
      <c r="H110" s="16" t="n">
        <f aca="false">IF(G110&gt;=Assumptions!$B$7,40,IF(G110&gt;=Assumptions!$B$8,20,0))</f>
        <v>0</v>
      </c>
      <c r="I110" s="16" t="n">
        <f aca="false">IF(MOD(G110,500)=0,20,IF(MOD(G110,100)=0,10,0))</f>
        <v>0</v>
      </c>
      <c r="J110" s="16" t="n">
        <f aca="false">IF(AND(E110&lt;&gt;"",F110-E110&lt;=Assumptions!$B$9),25,0)</f>
        <v>0</v>
      </c>
      <c r="K110" s="16" t="n">
        <f aca="false">IF(ISNUMBER(SEARCH(D110,Assumptions!$B$10)),15,0)</f>
        <v>0</v>
      </c>
      <c r="L110" s="16" t="n">
        <f aca="false">H110+I110+J110+K110</f>
        <v>0</v>
      </c>
      <c r="M110" s="16" t="str">
        <f aca="false">IF(L110&gt;=60,"High",IF(L110&gt;=30,"Medium","Low"))</f>
        <v>Low</v>
      </c>
    </row>
    <row r="111" customFormat="false" ht="15" hidden="false" customHeight="false" outlineLevel="0" collapsed="false">
      <c r="A111" s="16" t="str">
        <f aca="false">Payment_Log_AP!A108</f>
        <v>PAY40107</v>
      </c>
      <c r="B111" s="16" t="str">
        <f aca="false">Payment_Log_AP!C108</f>
        <v>V1025</v>
      </c>
      <c r="C111" s="16" t="str">
        <f aca="false">IFERROR(INDEX(Vendor_Master!$B$2:$B$41,MATCH(B111,Vendor_Master!$A$2:$A$41,0)),"Unknown Vendor")</f>
        <v>Conner Group</v>
      </c>
      <c r="D111" s="16" t="str">
        <f aca="false">IFERROR(INDEX(Vendor_Master!$D$2:$D$41,MATCH(B111,Vendor_Master!$A$2:$A$41,0)),"Unknown")</f>
        <v>USA</v>
      </c>
      <c r="E111" s="17" t="n">
        <f aca="false">IFERROR(INDEX(Vendor_Master!$E$2:$E$41,MATCH(B111,Vendor_Master!$A$2:$A$41,0)),"")</f>
        <v>44803</v>
      </c>
      <c r="F111" s="17" t="n">
        <f aca="false">Payment_Log_AP!D108</f>
        <v>45854</v>
      </c>
      <c r="G111" s="18" t="n">
        <f aca="false">Payment_Log_AP!E108</f>
        <v>1559.4</v>
      </c>
      <c r="H111" s="16" t="n">
        <f aca="false">IF(G111&gt;=Assumptions!$B$7,40,IF(G111&gt;=Assumptions!$B$8,20,0))</f>
        <v>0</v>
      </c>
      <c r="I111" s="16" t="n">
        <f aca="false">IF(MOD(G111,500)=0,20,IF(MOD(G111,100)=0,10,0))</f>
        <v>0</v>
      </c>
      <c r="J111" s="16" t="n">
        <f aca="false">IF(AND(E111&lt;&gt;"",F111-E111&lt;=Assumptions!$B$9),25,0)</f>
        <v>0</v>
      </c>
      <c r="K111" s="16" t="n">
        <f aca="false">IF(ISNUMBER(SEARCH(D111,Assumptions!$B$10)),15,0)</f>
        <v>0</v>
      </c>
      <c r="L111" s="16" t="n">
        <f aca="false">H111+I111+J111+K111</f>
        <v>0</v>
      </c>
      <c r="M111" s="16" t="str">
        <f aca="false">IF(L111&gt;=60,"High",IF(L111&gt;=30,"Medium","Low"))</f>
        <v>Low</v>
      </c>
    </row>
    <row r="112" customFormat="false" ht="15" hidden="false" customHeight="false" outlineLevel="0" collapsed="false">
      <c r="A112" s="16" t="str">
        <f aca="false">Payment_Log_AP!A109</f>
        <v>PAY40108</v>
      </c>
      <c r="B112" s="16" t="str">
        <f aca="false">Payment_Log_AP!C109</f>
        <v>V1019</v>
      </c>
      <c r="C112" s="16" t="str">
        <f aca="false">IFERROR(INDEX(Vendor_Master!$B$2:$B$41,MATCH(B112,Vendor_Master!$A$2:$A$41,0)),"Unknown Vendor")</f>
        <v>Clark PLC</v>
      </c>
      <c r="D112" s="16" t="str">
        <f aca="false">IFERROR(INDEX(Vendor_Master!$D$2:$D$41,MATCH(B112,Vendor_Master!$A$2:$A$41,0)),"Unknown")</f>
        <v>India</v>
      </c>
      <c r="E112" s="17" t="n">
        <f aca="false">IFERROR(INDEX(Vendor_Master!$E$2:$E$41,MATCH(B112,Vendor_Master!$A$2:$A$41,0)),"")</f>
        <v>45196</v>
      </c>
      <c r="F112" s="17" t="n">
        <f aca="false">Payment_Log_AP!D109</f>
        <v>45745</v>
      </c>
      <c r="G112" s="18" t="n">
        <f aca="false">Payment_Log_AP!E109</f>
        <v>1484.65</v>
      </c>
      <c r="H112" s="16" t="n">
        <f aca="false">IF(G112&gt;=Assumptions!$B$7,40,IF(G112&gt;=Assumptions!$B$8,20,0))</f>
        <v>0</v>
      </c>
      <c r="I112" s="16" t="n">
        <f aca="false">IF(MOD(G112,500)=0,20,IF(MOD(G112,100)=0,10,0))</f>
        <v>0</v>
      </c>
      <c r="J112" s="16" t="n">
        <f aca="false">IF(AND(E112&lt;&gt;"",F112-E112&lt;=Assumptions!$B$9),25,0)</f>
        <v>0</v>
      </c>
      <c r="K112" s="16" t="n">
        <f aca="false">IF(ISNUMBER(SEARCH(D112,Assumptions!$B$10)),15,0)</f>
        <v>15</v>
      </c>
      <c r="L112" s="16" t="n">
        <f aca="false">H112+I112+J112+K112</f>
        <v>15</v>
      </c>
      <c r="M112" s="16" t="str">
        <f aca="false">IF(L112&gt;=60,"High",IF(L112&gt;=30,"Medium","Low"))</f>
        <v>Low</v>
      </c>
    </row>
    <row r="113" customFormat="false" ht="15" hidden="false" customHeight="false" outlineLevel="0" collapsed="false">
      <c r="A113" s="16" t="str">
        <f aca="false">Payment_Log_AP!A110</f>
        <v>PAY40109</v>
      </c>
      <c r="B113" s="16" t="str">
        <f aca="false">Payment_Log_AP!C110</f>
        <v>V1014</v>
      </c>
      <c r="C113" s="16" t="str">
        <f aca="false">IFERROR(INDEX(Vendor_Master!$B$2:$B$41,MATCH(B113,Vendor_Master!$A$2:$A$41,0)),"Unknown Vendor")</f>
        <v>Flowers, Martin and Kelly</v>
      </c>
      <c r="D113" s="16" t="str">
        <f aca="false">IFERROR(INDEX(Vendor_Master!$D$2:$D$41,MATCH(B113,Vendor_Master!$A$2:$A$41,0)),"Unknown")</f>
        <v>India</v>
      </c>
      <c r="E113" s="17" t="n">
        <f aca="false">IFERROR(INDEX(Vendor_Master!$E$2:$E$41,MATCH(B113,Vendor_Master!$A$2:$A$41,0)),"")</f>
        <v>45001</v>
      </c>
      <c r="F113" s="17" t="n">
        <f aca="false">Payment_Log_AP!D110</f>
        <v>45839</v>
      </c>
      <c r="G113" s="18" t="n">
        <f aca="false">Payment_Log_AP!E110</f>
        <v>448.18</v>
      </c>
      <c r="H113" s="16" t="n">
        <f aca="false">IF(G113&gt;=Assumptions!$B$7,40,IF(G113&gt;=Assumptions!$B$8,20,0))</f>
        <v>0</v>
      </c>
      <c r="I113" s="16" t="n">
        <f aca="false">IF(MOD(G113,500)=0,20,IF(MOD(G113,100)=0,10,0))</f>
        <v>0</v>
      </c>
      <c r="J113" s="16" t="n">
        <f aca="false">IF(AND(E113&lt;&gt;"",F113-E113&lt;=Assumptions!$B$9),25,0)</f>
        <v>0</v>
      </c>
      <c r="K113" s="16" t="n">
        <f aca="false">IF(ISNUMBER(SEARCH(D113,Assumptions!$B$10)),15,0)</f>
        <v>15</v>
      </c>
      <c r="L113" s="16" t="n">
        <f aca="false">H113+I113+J113+K113</f>
        <v>15</v>
      </c>
      <c r="M113" s="16" t="str">
        <f aca="false">IF(L113&gt;=60,"High",IF(L113&gt;=30,"Medium","Low"))</f>
        <v>Low</v>
      </c>
    </row>
    <row r="114" customFormat="false" ht="15" hidden="false" customHeight="false" outlineLevel="0" collapsed="false">
      <c r="A114" s="16" t="str">
        <f aca="false">Payment_Log_AP!A111</f>
        <v>PAY40110</v>
      </c>
      <c r="B114" s="16" t="str">
        <f aca="false">Payment_Log_AP!C111</f>
        <v>V1028</v>
      </c>
      <c r="C114" s="16" t="str">
        <f aca="false">IFERROR(INDEX(Vendor_Master!$B$2:$B$41,MATCH(B114,Vendor_Master!$A$2:$A$41,0)),"Unknown Vendor")</f>
        <v>Potter, Mack and Peterson</v>
      </c>
      <c r="D114" s="16" t="str">
        <f aca="false">IFERROR(INDEX(Vendor_Master!$D$2:$D$41,MATCH(B114,Vendor_Master!$A$2:$A$41,0)),"Unknown")</f>
        <v>UK</v>
      </c>
      <c r="E114" s="17" t="n">
        <f aca="false">IFERROR(INDEX(Vendor_Master!$E$2:$E$41,MATCH(B114,Vendor_Master!$A$2:$A$41,0)),"")</f>
        <v>45639</v>
      </c>
      <c r="F114" s="17" t="n">
        <f aca="false">Payment_Log_AP!D111</f>
        <v>45815</v>
      </c>
      <c r="G114" s="18" t="n">
        <f aca="false">Payment_Log_AP!E111</f>
        <v>381.28</v>
      </c>
      <c r="H114" s="16" t="n">
        <f aca="false">IF(G114&gt;=Assumptions!$B$7,40,IF(G114&gt;=Assumptions!$B$8,20,0))</f>
        <v>0</v>
      </c>
      <c r="I114" s="16" t="n">
        <f aca="false">IF(MOD(G114,500)=0,20,IF(MOD(G114,100)=0,10,0))</f>
        <v>0</v>
      </c>
      <c r="J114" s="16" t="n">
        <f aca="false">IF(AND(E114&lt;&gt;"",F114-E114&lt;=Assumptions!$B$9),25,0)</f>
        <v>25</v>
      </c>
      <c r="K114" s="16" t="n">
        <f aca="false">IF(ISNUMBER(SEARCH(D114,Assumptions!$B$10)),15,0)</f>
        <v>0</v>
      </c>
      <c r="L114" s="16" t="n">
        <f aca="false">H114+I114+J114+K114</f>
        <v>25</v>
      </c>
      <c r="M114" s="16" t="str">
        <f aca="false">IF(L114&gt;=60,"High",IF(L114&gt;=30,"Medium","Low"))</f>
        <v>Low</v>
      </c>
    </row>
    <row r="115" customFormat="false" ht="15" hidden="false" customHeight="false" outlineLevel="0" collapsed="false">
      <c r="A115" s="16" t="str">
        <f aca="false">Payment_Log_AP!A112</f>
        <v>PAY40111</v>
      </c>
      <c r="B115" s="16" t="str">
        <f aca="false">Payment_Log_AP!C112</f>
        <v>V1017</v>
      </c>
      <c r="C115" s="16" t="str">
        <f aca="false">IFERROR(INDEX(Vendor_Master!$B$2:$B$41,MATCH(B115,Vendor_Master!$A$2:$A$41,0)),"Unknown Vendor")</f>
        <v>Hawkins, Cohen and Cameron</v>
      </c>
      <c r="D115" s="16" t="str">
        <f aca="false">IFERROR(INDEX(Vendor_Master!$D$2:$D$41,MATCH(B115,Vendor_Master!$A$2:$A$41,0)),"Unknown")</f>
        <v>USA</v>
      </c>
      <c r="E115" s="17" t="n">
        <f aca="false">IFERROR(INDEX(Vendor_Master!$E$2:$E$41,MATCH(B115,Vendor_Master!$A$2:$A$41,0)),"")</f>
        <v>46025</v>
      </c>
      <c r="F115" s="17" t="n">
        <f aca="false">Payment_Log_AP!D112</f>
        <v>45884</v>
      </c>
      <c r="G115" s="18" t="n">
        <f aca="false">Payment_Log_AP!E112</f>
        <v>432.73</v>
      </c>
      <c r="H115" s="16" t="n">
        <f aca="false">IF(G115&gt;=Assumptions!$B$7,40,IF(G115&gt;=Assumptions!$B$8,20,0))</f>
        <v>0</v>
      </c>
      <c r="I115" s="16" t="n">
        <f aca="false">IF(MOD(G115,500)=0,20,IF(MOD(G115,100)=0,10,0))</f>
        <v>0</v>
      </c>
      <c r="J115" s="16" t="n">
        <f aca="false">IF(AND(E115&lt;&gt;"",F115-E115&lt;=Assumptions!$B$9),25,0)</f>
        <v>25</v>
      </c>
      <c r="K115" s="16" t="n">
        <f aca="false">IF(ISNUMBER(SEARCH(D115,Assumptions!$B$10)),15,0)</f>
        <v>0</v>
      </c>
      <c r="L115" s="16" t="n">
        <f aca="false">H115+I115+J115+K115</f>
        <v>25</v>
      </c>
      <c r="M115" s="16" t="str">
        <f aca="false">IF(L115&gt;=60,"High",IF(L115&gt;=30,"Medium","Low"))</f>
        <v>Low</v>
      </c>
    </row>
    <row r="116" customFormat="false" ht="15" hidden="false" customHeight="false" outlineLevel="0" collapsed="false">
      <c r="A116" s="16" t="str">
        <f aca="false">Payment_Log_AP!A113</f>
        <v>PAY40112</v>
      </c>
      <c r="B116" s="16" t="str">
        <f aca="false">Payment_Log_AP!C113</f>
        <v>V1032</v>
      </c>
      <c r="C116" s="16" t="str">
        <f aca="false">IFERROR(INDEX(Vendor_Master!$B$2:$B$41,MATCH(B116,Vendor_Master!$A$2:$A$41,0)),"Unknown Vendor")</f>
        <v>Lynch, Hernandez and Farmer</v>
      </c>
      <c r="D116" s="16" t="str">
        <f aca="false">IFERROR(INDEX(Vendor_Master!$D$2:$D$41,MATCH(B116,Vendor_Master!$A$2:$A$41,0)),"Unknown")</f>
        <v>UAE</v>
      </c>
      <c r="E116" s="17" t="n">
        <f aca="false">IFERROR(INDEX(Vendor_Master!$E$2:$E$41,MATCH(B116,Vendor_Master!$A$2:$A$41,0)),"")</f>
        <v>45892</v>
      </c>
      <c r="F116" s="17" t="n">
        <f aca="false">Payment_Log_AP!D113</f>
        <v>45975</v>
      </c>
      <c r="G116" s="18" t="n">
        <f aca="false">Payment_Log_AP!E113</f>
        <v>2005.68</v>
      </c>
      <c r="H116" s="16" t="n">
        <f aca="false">IF(G116&gt;=Assumptions!$B$7,40,IF(G116&gt;=Assumptions!$B$8,20,0))</f>
        <v>0</v>
      </c>
      <c r="I116" s="16" t="n">
        <f aca="false">IF(MOD(G116,500)=0,20,IF(MOD(G116,100)=0,10,0))</f>
        <v>0</v>
      </c>
      <c r="J116" s="16" t="n">
        <f aca="false">IF(AND(E116&lt;&gt;"",F116-E116&lt;=Assumptions!$B$9),25,0)</f>
        <v>25</v>
      </c>
      <c r="K116" s="16" t="n">
        <f aca="false">IF(ISNUMBER(SEARCH(D116,Assumptions!$B$10)),15,0)</f>
        <v>15</v>
      </c>
      <c r="L116" s="16" t="n">
        <f aca="false">H116+I116+J116+K116</f>
        <v>40</v>
      </c>
      <c r="M116" s="16" t="str">
        <f aca="false">IF(L116&gt;=60,"High",IF(L116&gt;=30,"Medium","Low"))</f>
        <v>Medium</v>
      </c>
    </row>
    <row r="117" customFormat="false" ht="15" hidden="false" customHeight="false" outlineLevel="0" collapsed="false">
      <c r="A117" s="16" t="str">
        <f aca="false">Payment_Log_AP!A114</f>
        <v>PAY40113</v>
      </c>
      <c r="B117" s="16" t="str">
        <f aca="false">Payment_Log_AP!C114</f>
        <v>V1009</v>
      </c>
      <c r="C117" s="16" t="str">
        <f aca="false">IFERROR(INDEX(Vendor_Master!$B$2:$B$41,MATCH(B117,Vendor_Master!$A$2:$A$41,0)),"Unknown Vendor")</f>
        <v>Munoz-Roman</v>
      </c>
      <c r="D117" s="16" t="str">
        <f aca="false">IFERROR(INDEX(Vendor_Master!$D$2:$D$41,MATCH(B117,Vendor_Master!$A$2:$A$41,0)),"Unknown")</f>
        <v>India</v>
      </c>
      <c r="E117" s="17" t="n">
        <f aca="false">IFERROR(INDEX(Vendor_Master!$E$2:$E$41,MATCH(B117,Vendor_Master!$A$2:$A$41,0)),"")</f>
        <v>45129</v>
      </c>
      <c r="F117" s="17" t="n">
        <f aca="false">Payment_Log_AP!D114</f>
        <v>45783</v>
      </c>
      <c r="G117" s="18" t="n">
        <f aca="false">Payment_Log_AP!E114</f>
        <v>12091.17</v>
      </c>
      <c r="H117" s="16" t="n">
        <f aca="false">IF(G117&gt;=Assumptions!$B$7,40,IF(G117&gt;=Assumptions!$B$8,20,0))</f>
        <v>40</v>
      </c>
      <c r="I117" s="16" t="n">
        <f aca="false">IF(MOD(G117,500)=0,20,IF(MOD(G117,100)=0,10,0))</f>
        <v>0</v>
      </c>
      <c r="J117" s="16" t="n">
        <f aca="false">IF(AND(E117&lt;&gt;"",F117-E117&lt;=Assumptions!$B$9),25,0)</f>
        <v>0</v>
      </c>
      <c r="K117" s="16" t="n">
        <f aca="false">IF(ISNUMBER(SEARCH(D117,Assumptions!$B$10)),15,0)</f>
        <v>15</v>
      </c>
      <c r="L117" s="16" t="n">
        <f aca="false">H117+I117+J117+K117</f>
        <v>55</v>
      </c>
      <c r="M117" s="16" t="str">
        <f aca="false">IF(L117&gt;=60,"High",IF(L117&gt;=30,"Medium","Low"))</f>
        <v>Medium</v>
      </c>
    </row>
    <row r="118" customFormat="false" ht="15" hidden="false" customHeight="false" outlineLevel="0" collapsed="false">
      <c r="A118" s="16" t="str">
        <f aca="false">Payment_Log_AP!A115</f>
        <v>PAY40114</v>
      </c>
      <c r="B118" s="16" t="str">
        <f aca="false">Payment_Log_AP!C115</f>
        <v>V1003</v>
      </c>
      <c r="C118" s="16" t="str">
        <f aca="false">IFERROR(INDEX(Vendor_Master!$B$2:$B$41,MATCH(B118,Vendor_Master!$A$2:$A$41,0)),"Unknown Vendor")</f>
        <v>Johnson and Sons</v>
      </c>
      <c r="D118" s="16" t="str">
        <f aca="false">IFERROR(INDEX(Vendor_Master!$D$2:$D$41,MATCH(B118,Vendor_Master!$A$2:$A$41,0)),"Unknown")</f>
        <v>UAE</v>
      </c>
      <c r="E118" s="17" t="n">
        <f aca="false">IFERROR(INDEX(Vendor_Master!$E$2:$E$41,MATCH(B118,Vendor_Master!$A$2:$A$41,0)),"")</f>
        <v>45495</v>
      </c>
      <c r="F118" s="17" t="n">
        <f aca="false">Payment_Log_AP!D115</f>
        <v>45813</v>
      </c>
      <c r="G118" s="18" t="n">
        <f aca="false">Payment_Log_AP!E115</f>
        <v>1425.03</v>
      </c>
      <c r="H118" s="16" t="n">
        <f aca="false">IF(G118&gt;=Assumptions!$B$7,40,IF(G118&gt;=Assumptions!$B$8,20,0))</f>
        <v>0</v>
      </c>
      <c r="I118" s="16" t="n">
        <f aca="false">IF(MOD(G118,500)=0,20,IF(MOD(G118,100)=0,10,0))</f>
        <v>0</v>
      </c>
      <c r="J118" s="16" t="n">
        <f aca="false">IF(AND(E118&lt;&gt;"",F118-E118&lt;=Assumptions!$B$9),25,0)</f>
        <v>0</v>
      </c>
      <c r="K118" s="16" t="n">
        <f aca="false">IF(ISNUMBER(SEARCH(D118,Assumptions!$B$10)),15,0)</f>
        <v>15</v>
      </c>
      <c r="L118" s="16" t="n">
        <f aca="false">H118+I118+J118+K118</f>
        <v>15</v>
      </c>
      <c r="M118" s="16" t="str">
        <f aca="false">IF(L118&gt;=60,"High",IF(L118&gt;=30,"Medium","Low"))</f>
        <v>Low</v>
      </c>
    </row>
    <row r="119" customFormat="false" ht="15" hidden="false" customHeight="false" outlineLevel="0" collapsed="false">
      <c r="A119" s="16" t="str">
        <f aca="false">Payment_Log_AP!A116</f>
        <v>PAY40115</v>
      </c>
      <c r="B119" s="16" t="str">
        <f aca="false">Payment_Log_AP!C116</f>
        <v>V1005</v>
      </c>
      <c r="C119" s="16" t="str">
        <f aca="false">IFERROR(INDEX(Vendor_Master!$B$2:$B$41,MATCH(B119,Vendor_Master!$A$2:$A$41,0)),"Unknown Vendor")</f>
        <v>Cole LLC</v>
      </c>
      <c r="D119" s="16" t="str">
        <f aca="false">IFERROR(INDEX(Vendor_Master!$D$2:$D$41,MATCH(B119,Vendor_Master!$A$2:$A$41,0)),"Unknown")</f>
        <v>UK</v>
      </c>
      <c r="E119" s="17" t="n">
        <f aca="false">IFERROR(INDEX(Vendor_Master!$E$2:$E$41,MATCH(B119,Vendor_Master!$A$2:$A$41,0)),"")</f>
        <v>45423</v>
      </c>
      <c r="F119" s="17" t="n">
        <f aca="false">Payment_Log_AP!D116</f>
        <v>46085</v>
      </c>
      <c r="G119" s="18" t="n">
        <f aca="false">Payment_Log_AP!E116</f>
        <v>13874.68</v>
      </c>
      <c r="H119" s="16" t="n">
        <f aca="false">IF(G119&gt;=Assumptions!$B$7,40,IF(G119&gt;=Assumptions!$B$8,20,0))</f>
        <v>40</v>
      </c>
      <c r="I119" s="16" t="n">
        <f aca="false">IF(MOD(G119,500)=0,20,IF(MOD(G119,100)=0,10,0))</f>
        <v>0</v>
      </c>
      <c r="J119" s="16" t="n">
        <f aca="false">IF(AND(E119&lt;&gt;"",F119-E119&lt;=Assumptions!$B$9),25,0)</f>
        <v>0</v>
      </c>
      <c r="K119" s="16" t="n">
        <f aca="false">IF(ISNUMBER(SEARCH(D119,Assumptions!$B$10)),15,0)</f>
        <v>0</v>
      </c>
      <c r="L119" s="16" t="n">
        <f aca="false">H119+I119+J119+K119</f>
        <v>40</v>
      </c>
      <c r="M119" s="16" t="str">
        <f aca="false">IF(L119&gt;=60,"High",IF(L119&gt;=30,"Medium","Low"))</f>
        <v>Medium</v>
      </c>
    </row>
    <row r="120" customFormat="false" ht="15" hidden="false" customHeight="false" outlineLevel="0" collapsed="false">
      <c r="A120" s="16" t="str">
        <f aca="false">Payment_Log_AP!A117</f>
        <v>PAY40116</v>
      </c>
      <c r="B120" s="16" t="str">
        <f aca="false">Payment_Log_AP!C117</f>
        <v>V1025</v>
      </c>
      <c r="C120" s="16" t="str">
        <f aca="false">IFERROR(INDEX(Vendor_Master!$B$2:$B$41,MATCH(B120,Vendor_Master!$A$2:$A$41,0)),"Unknown Vendor")</f>
        <v>Conner Group</v>
      </c>
      <c r="D120" s="16" t="str">
        <f aca="false">IFERROR(INDEX(Vendor_Master!$D$2:$D$41,MATCH(B120,Vendor_Master!$A$2:$A$41,0)),"Unknown")</f>
        <v>USA</v>
      </c>
      <c r="E120" s="17" t="n">
        <f aca="false">IFERROR(INDEX(Vendor_Master!$E$2:$E$41,MATCH(B120,Vendor_Master!$A$2:$A$41,0)),"")</f>
        <v>44803</v>
      </c>
      <c r="F120" s="17" t="n">
        <f aca="false">Payment_Log_AP!D117</f>
        <v>46088</v>
      </c>
      <c r="G120" s="18" t="n">
        <f aca="false">Payment_Log_AP!E117</f>
        <v>2603.15</v>
      </c>
      <c r="H120" s="16" t="n">
        <f aca="false">IF(G120&gt;=Assumptions!$B$7,40,IF(G120&gt;=Assumptions!$B$8,20,0))</f>
        <v>0</v>
      </c>
      <c r="I120" s="16" t="n">
        <f aca="false">IF(MOD(G120,500)=0,20,IF(MOD(G120,100)=0,10,0))</f>
        <v>0</v>
      </c>
      <c r="J120" s="16" t="n">
        <f aca="false">IF(AND(E120&lt;&gt;"",F120-E120&lt;=Assumptions!$B$9),25,0)</f>
        <v>0</v>
      </c>
      <c r="K120" s="16" t="n">
        <f aca="false">IF(ISNUMBER(SEARCH(D120,Assumptions!$B$10)),15,0)</f>
        <v>0</v>
      </c>
      <c r="L120" s="16" t="n">
        <f aca="false">H120+I120+J120+K120</f>
        <v>0</v>
      </c>
      <c r="M120" s="16" t="str">
        <f aca="false">IF(L120&gt;=60,"High",IF(L120&gt;=30,"Medium","Low"))</f>
        <v>Low</v>
      </c>
    </row>
    <row r="121" customFormat="false" ht="15" hidden="false" customHeight="false" outlineLevel="0" collapsed="false">
      <c r="A121" s="16" t="str">
        <f aca="false">Payment_Log_AP!A118</f>
        <v>PAY40117</v>
      </c>
      <c r="B121" s="16" t="str">
        <f aca="false">Payment_Log_AP!C118</f>
        <v>V1007</v>
      </c>
      <c r="C121" s="16" t="str">
        <f aca="false">IFERROR(INDEX(Vendor_Master!$B$2:$B$41,MATCH(B121,Vendor_Master!$A$2:$A$41,0)),"Unknown Vendor")</f>
        <v>Ramirez-Lewis</v>
      </c>
      <c r="D121" s="16" t="str">
        <f aca="false">IFERROR(INDEX(Vendor_Master!$D$2:$D$41,MATCH(B121,Vendor_Master!$A$2:$A$41,0)),"Unknown")</f>
        <v>Germany</v>
      </c>
      <c r="E121" s="17" t="n">
        <f aca="false">IFERROR(INDEX(Vendor_Master!$E$2:$E$41,MATCH(B121,Vendor_Master!$A$2:$A$41,0)),"")</f>
        <v>45665</v>
      </c>
      <c r="F121" s="17" t="n">
        <f aca="false">Payment_Log_AP!D118</f>
        <v>45902</v>
      </c>
      <c r="G121" s="18" t="n">
        <f aca="false">Payment_Log_AP!E118</f>
        <v>4244.35</v>
      </c>
      <c r="H121" s="16" t="n">
        <f aca="false">IF(G121&gt;=Assumptions!$B$7,40,IF(G121&gt;=Assumptions!$B$8,20,0))</f>
        <v>0</v>
      </c>
      <c r="I121" s="16" t="n">
        <f aca="false">IF(MOD(G121,500)=0,20,IF(MOD(G121,100)=0,10,0))</f>
        <v>0</v>
      </c>
      <c r="J121" s="16" t="n">
        <f aca="false">IF(AND(E121&lt;&gt;"",F121-E121&lt;=Assumptions!$B$9),25,0)</f>
        <v>0</v>
      </c>
      <c r="K121" s="16" t="n">
        <f aca="false">IF(ISNUMBER(SEARCH(D121,Assumptions!$B$10)),15,0)</f>
        <v>0</v>
      </c>
      <c r="L121" s="16" t="n">
        <f aca="false">H121+I121+J121+K121</f>
        <v>0</v>
      </c>
      <c r="M121" s="16" t="str">
        <f aca="false">IF(L121&gt;=60,"High",IF(L121&gt;=30,"Medium","Low"))</f>
        <v>Low</v>
      </c>
    </row>
    <row r="122" customFormat="false" ht="15" hidden="false" customHeight="false" outlineLevel="0" collapsed="false">
      <c r="A122" s="16" t="str">
        <f aca="false">Payment_Log_AP!A119</f>
        <v>PAY40118</v>
      </c>
      <c r="B122" s="16" t="str">
        <f aca="false">Payment_Log_AP!C119</f>
        <v>V1007</v>
      </c>
      <c r="C122" s="16" t="str">
        <f aca="false">IFERROR(INDEX(Vendor_Master!$B$2:$B$41,MATCH(B122,Vendor_Master!$A$2:$A$41,0)),"Unknown Vendor")</f>
        <v>Ramirez-Lewis</v>
      </c>
      <c r="D122" s="16" t="str">
        <f aca="false">IFERROR(INDEX(Vendor_Master!$D$2:$D$41,MATCH(B122,Vendor_Master!$A$2:$A$41,0)),"Unknown")</f>
        <v>Germany</v>
      </c>
      <c r="E122" s="17" t="n">
        <f aca="false">IFERROR(INDEX(Vendor_Master!$E$2:$E$41,MATCH(B122,Vendor_Master!$A$2:$A$41,0)),"")</f>
        <v>45665</v>
      </c>
      <c r="F122" s="17" t="n">
        <f aca="false">Payment_Log_AP!D119</f>
        <v>45901</v>
      </c>
      <c r="G122" s="18" t="n">
        <f aca="false">Payment_Log_AP!E119</f>
        <v>1297.3</v>
      </c>
      <c r="H122" s="16" t="n">
        <f aca="false">IF(G122&gt;=Assumptions!$B$7,40,IF(G122&gt;=Assumptions!$B$8,20,0))</f>
        <v>0</v>
      </c>
      <c r="I122" s="16" t="n">
        <f aca="false">IF(MOD(G122,500)=0,20,IF(MOD(G122,100)=0,10,0))</f>
        <v>0</v>
      </c>
      <c r="J122" s="16" t="n">
        <f aca="false">IF(AND(E122&lt;&gt;"",F122-E122&lt;=Assumptions!$B$9),25,0)</f>
        <v>0</v>
      </c>
      <c r="K122" s="16" t="n">
        <f aca="false">IF(ISNUMBER(SEARCH(D122,Assumptions!$B$10)),15,0)</f>
        <v>0</v>
      </c>
      <c r="L122" s="16" t="n">
        <f aca="false">H122+I122+J122+K122</f>
        <v>0</v>
      </c>
      <c r="M122" s="16" t="str">
        <f aca="false">IF(L122&gt;=60,"High",IF(L122&gt;=30,"Medium","Low"))</f>
        <v>Low</v>
      </c>
    </row>
    <row r="123" customFormat="false" ht="15" hidden="false" customHeight="false" outlineLevel="0" collapsed="false">
      <c r="A123" s="16" t="str">
        <f aca="false">Payment_Log_AP!A120</f>
        <v>PAY40119</v>
      </c>
      <c r="B123" s="16" t="str">
        <f aca="false">Payment_Log_AP!C120</f>
        <v>V1009</v>
      </c>
      <c r="C123" s="16" t="str">
        <f aca="false">IFERROR(INDEX(Vendor_Master!$B$2:$B$41,MATCH(B123,Vendor_Master!$A$2:$A$41,0)),"Unknown Vendor")</f>
        <v>Munoz-Roman</v>
      </c>
      <c r="D123" s="16" t="str">
        <f aca="false">IFERROR(INDEX(Vendor_Master!$D$2:$D$41,MATCH(B123,Vendor_Master!$A$2:$A$41,0)),"Unknown")</f>
        <v>India</v>
      </c>
      <c r="E123" s="17" t="n">
        <f aca="false">IFERROR(INDEX(Vendor_Master!$E$2:$E$41,MATCH(B123,Vendor_Master!$A$2:$A$41,0)),"")</f>
        <v>45129</v>
      </c>
      <c r="F123" s="17" t="n">
        <f aca="false">Payment_Log_AP!D120</f>
        <v>45788</v>
      </c>
      <c r="G123" s="18" t="n">
        <f aca="false">Payment_Log_AP!E120</f>
        <v>1349.8</v>
      </c>
      <c r="H123" s="16" t="n">
        <f aca="false">IF(G123&gt;=Assumptions!$B$7,40,IF(G123&gt;=Assumptions!$B$8,20,0))</f>
        <v>0</v>
      </c>
      <c r="I123" s="16" t="n">
        <f aca="false">IF(MOD(G123,500)=0,20,IF(MOD(G123,100)=0,10,0))</f>
        <v>0</v>
      </c>
      <c r="J123" s="16" t="n">
        <f aca="false">IF(AND(E123&lt;&gt;"",F123-E123&lt;=Assumptions!$B$9),25,0)</f>
        <v>0</v>
      </c>
      <c r="K123" s="16" t="n">
        <f aca="false">IF(ISNUMBER(SEARCH(D123,Assumptions!$B$10)),15,0)</f>
        <v>15</v>
      </c>
      <c r="L123" s="16" t="n">
        <f aca="false">H123+I123+J123+K123</f>
        <v>15</v>
      </c>
      <c r="M123" s="16" t="str">
        <f aca="false">IF(L123&gt;=60,"High",IF(L123&gt;=30,"Medium","Low"))</f>
        <v>Low</v>
      </c>
    </row>
    <row r="124" customFormat="false" ht="15" hidden="false" customHeight="false" outlineLevel="0" collapsed="false">
      <c r="A124" s="16" t="str">
        <f aca="false">Payment_Log_AP!A121</f>
        <v>PAY40120</v>
      </c>
      <c r="B124" s="16" t="str">
        <f aca="false">Payment_Log_AP!C121</f>
        <v>V1022</v>
      </c>
      <c r="C124" s="16" t="str">
        <f aca="false">IFERROR(INDEX(Vendor_Master!$B$2:$B$41,MATCH(B124,Vendor_Master!$A$2:$A$41,0)),"Unknown Vendor")</f>
        <v>Burgess-Patterson</v>
      </c>
      <c r="D124" s="16" t="str">
        <f aca="false">IFERROR(INDEX(Vendor_Master!$D$2:$D$41,MATCH(B124,Vendor_Master!$A$2:$A$41,0)),"Unknown")</f>
        <v>Germany</v>
      </c>
      <c r="E124" s="17" t="n">
        <f aca="false">IFERROR(INDEX(Vendor_Master!$E$2:$E$41,MATCH(B124,Vendor_Master!$A$2:$A$41,0)),"")</f>
        <v>45449</v>
      </c>
      <c r="F124" s="17" t="n">
        <f aca="false">Payment_Log_AP!D121</f>
        <v>45925</v>
      </c>
      <c r="G124" s="18" t="n">
        <f aca="false">Payment_Log_AP!E121</f>
        <v>9053.44</v>
      </c>
      <c r="H124" s="16" t="n">
        <f aca="false">IF(G124&gt;=Assumptions!$B$7,40,IF(G124&gt;=Assumptions!$B$8,20,0))</f>
        <v>20</v>
      </c>
      <c r="I124" s="16" t="n">
        <f aca="false">IF(MOD(G124,500)=0,20,IF(MOD(G124,100)=0,10,0))</f>
        <v>0</v>
      </c>
      <c r="J124" s="16" t="n">
        <f aca="false">IF(AND(E124&lt;&gt;"",F124-E124&lt;=Assumptions!$B$9),25,0)</f>
        <v>0</v>
      </c>
      <c r="K124" s="16" t="n">
        <f aca="false">IF(ISNUMBER(SEARCH(D124,Assumptions!$B$10)),15,0)</f>
        <v>0</v>
      </c>
      <c r="L124" s="16" t="n">
        <f aca="false">H124+I124+J124+K124</f>
        <v>20</v>
      </c>
      <c r="M124" s="16" t="str">
        <f aca="false">IF(L124&gt;=60,"High",IF(L124&gt;=30,"Medium","Low"))</f>
        <v>Low</v>
      </c>
    </row>
    <row r="125" customFormat="false" ht="15" hidden="false" customHeight="false" outlineLevel="0" collapsed="false">
      <c r="A125" s="16" t="str">
        <f aca="false">Payment_Log_AP!A122</f>
        <v>PAY40121</v>
      </c>
      <c r="B125" s="16" t="str">
        <f aca="false">Payment_Log_AP!C122</f>
        <v>V1022</v>
      </c>
      <c r="C125" s="16" t="str">
        <f aca="false">IFERROR(INDEX(Vendor_Master!$B$2:$B$41,MATCH(B125,Vendor_Master!$A$2:$A$41,0)),"Unknown Vendor")</f>
        <v>Burgess-Patterson</v>
      </c>
      <c r="D125" s="16" t="str">
        <f aca="false">IFERROR(INDEX(Vendor_Master!$D$2:$D$41,MATCH(B125,Vendor_Master!$A$2:$A$41,0)),"Unknown")</f>
        <v>Germany</v>
      </c>
      <c r="E125" s="17" t="n">
        <f aca="false">IFERROR(INDEX(Vendor_Master!$E$2:$E$41,MATCH(B125,Vendor_Master!$A$2:$A$41,0)),"")</f>
        <v>45449</v>
      </c>
      <c r="F125" s="17" t="n">
        <f aca="false">Payment_Log_AP!D122</f>
        <v>46183</v>
      </c>
      <c r="G125" s="18" t="n">
        <f aca="false">Payment_Log_AP!E122</f>
        <v>974.82</v>
      </c>
      <c r="H125" s="16" t="n">
        <f aca="false">IF(G125&gt;=Assumptions!$B$7,40,IF(G125&gt;=Assumptions!$B$8,20,0))</f>
        <v>0</v>
      </c>
      <c r="I125" s="16" t="n">
        <f aca="false">IF(MOD(G125,500)=0,20,IF(MOD(G125,100)=0,10,0))</f>
        <v>0</v>
      </c>
      <c r="J125" s="16" t="n">
        <f aca="false">IF(AND(E125&lt;&gt;"",F125-E125&lt;=Assumptions!$B$9),25,0)</f>
        <v>0</v>
      </c>
      <c r="K125" s="16" t="n">
        <f aca="false">IF(ISNUMBER(SEARCH(D125,Assumptions!$B$10)),15,0)</f>
        <v>0</v>
      </c>
      <c r="L125" s="16" t="n">
        <f aca="false">H125+I125+J125+K125</f>
        <v>0</v>
      </c>
      <c r="M125" s="16" t="str">
        <f aca="false">IF(L125&gt;=60,"High",IF(L125&gt;=30,"Medium","Low"))</f>
        <v>Low</v>
      </c>
    </row>
    <row r="126" customFormat="false" ht="15" hidden="false" customHeight="false" outlineLevel="0" collapsed="false">
      <c r="A126" s="16" t="str">
        <f aca="false">Payment_Log_AP!A123</f>
        <v>PAY40122</v>
      </c>
      <c r="B126" s="16" t="str">
        <f aca="false">Payment_Log_AP!C123</f>
        <v>V1034</v>
      </c>
      <c r="C126" s="16" t="str">
        <f aca="false">IFERROR(INDEX(Vendor_Master!$B$2:$B$41,MATCH(B126,Vendor_Master!$A$2:$A$41,0)),"Unknown Vendor")</f>
        <v>Koch-Decker</v>
      </c>
      <c r="D126" s="16" t="str">
        <f aca="false">IFERROR(INDEX(Vendor_Master!$D$2:$D$41,MATCH(B126,Vendor_Master!$A$2:$A$41,0)),"Unknown")</f>
        <v>Germany</v>
      </c>
      <c r="E126" s="17" t="n">
        <f aca="false">IFERROR(INDEX(Vendor_Master!$E$2:$E$41,MATCH(B126,Vendor_Master!$A$2:$A$41,0)),"")</f>
        <v>44738</v>
      </c>
      <c r="F126" s="17" t="n">
        <f aca="false">Payment_Log_AP!D123</f>
        <v>46004</v>
      </c>
      <c r="G126" s="18" t="n">
        <f aca="false">Payment_Log_AP!E123</f>
        <v>5730.61</v>
      </c>
      <c r="H126" s="16" t="n">
        <f aca="false">IF(G126&gt;=Assumptions!$B$7,40,IF(G126&gt;=Assumptions!$B$8,20,0))</f>
        <v>20</v>
      </c>
      <c r="I126" s="16" t="n">
        <f aca="false">IF(MOD(G126,500)=0,20,IF(MOD(G126,100)=0,10,0))</f>
        <v>0</v>
      </c>
      <c r="J126" s="16" t="n">
        <f aca="false">IF(AND(E126&lt;&gt;"",F126-E126&lt;=Assumptions!$B$9),25,0)</f>
        <v>0</v>
      </c>
      <c r="K126" s="16" t="n">
        <f aca="false">IF(ISNUMBER(SEARCH(D126,Assumptions!$B$10)),15,0)</f>
        <v>0</v>
      </c>
      <c r="L126" s="16" t="n">
        <f aca="false">H126+I126+J126+K126</f>
        <v>20</v>
      </c>
      <c r="M126" s="16" t="str">
        <f aca="false">IF(L126&gt;=60,"High",IF(L126&gt;=30,"Medium","Low"))</f>
        <v>Low</v>
      </c>
    </row>
    <row r="127" customFormat="false" ht="15" hidden="false" customHeight="false" outlineLevel="0" collapsed="false">
      <c r="A127" s="16" t="str">
        <f aca="false">Payment_Log_AP!A124</f>
        <v>PAY40123</v>
      </c>
      <c r="B127" s="16" t="str">
        <f aca="false">Payment_Log_AP!C124</f>
        <v>V1040</v>
      </c>
      <c r="C127" s="16" t="str">
        <f aca="false">IFERROR(INDEX(Vendor_Master!$B$2:$B$41,MATCH(B127,Vendor_Master!$A$2:$A$41,0)),"Unknown Vendor")</f>
        <v>Santos, Kim and Holmes</v>
      </c>
      <c r="D127" s="16" t="str">
        <f aca="false">IFERROR(INDEX(Vendor_Master!$D$2:$D$41,MATCH(B127,Vendor_Master!$A$2:$A$41,0)),"Unknown")</f>
        <v>India</v>
      </c>
      <c r="E127" s="17" t="n">
        <f aca="false">IFERROR(INDEX(Vendor_Master!$E$2:$E$41,MATCH(B127,Vendor_Master!$A$2:$A$41,0)),"")</f>
        <v>45192</v>
      </c>
      <c r="F127" s="17" t="n">
        <f aca="false">Payment_Log_AP!D124</f>
        <v>46063</v>
      </c>
      <c r="G127" s="18" t="n">
        <f aca="false">Payment_Log_AP!E124</f>
        <v>11169.56</v>
      </c>
      <c r="H127" s="16" t="n">
        <f aca="false">IF(G127&gt;=Assumptions!$B$7,40,IF(G127&gt;=Assumptions!$B$8,20,0))</f>
        <v>40</v>
      </c>
      <c r="I127" s="16" t="n">
        <f aca="false">IF(MOD(G127,500)=0,20,IF(MOD(G127,100)=0,10,0))</f>
        <v>0</v>
      </c>
      <c r="J127" s="16" t="n">
        <f aca="false">IF(AND(E127&lt;&gt;"",F127-E127&lt;=Assumptions!$B$9),25,0)</f>
        <v>0</v>
      </c>
      <c r="K127" s="16" t="n">
        <f aca="false">IF(ISNUMBER(SEARCH(D127,Assumptions!$B$10)),15,0)</f>
        <v>15</v>
      </c>
      <c r="L127" s="16" t="n">
        <f aca="false">H127+I127+J127+K127</f>
        <v>55</v>
      </c>
      <c r="M127" s="16" t="str">
        <f aca="false">IF(L127&gt;=60,"High",IF(L127&gt;=30,"Medium","Low"))</f>
        <v>Medium</v>
      </c>
    </row>
    <row r="128" customFormat="false" ht="15" hidden="false" customHeight="false" outlineLevel="0" collapsed="false">
      <c r="A128" s="16" t="str">
        <f aca="false">Payment_Log_AP!A125</f>
        <v>PAY40124</v>
      </c>
      <c r="B128" s="16" t="str">
        <f aca="false">Payment_Log_AP!C125</f>
        <v>V1032</v>
      </c>
      <c r="C128" s="16" t="str">
        <f aca="false">IFERROR(INDEX(Vendor_Master!$B$2:$B$41,MATCH(B128,Vendor_Master!$A$2:$A$41,0)),"Unknown Vendor")</f>
        <v>Lynch, Hernandez and Farmer</v>
      </c>
      <c r="D128" s="16" t="str">
        <f aca="false">IFERROR(INDEX(Vendor_Master!$D$2:$D$41,MATCH(B128,Vendor_Master!$A$2:$A$41,0)),"Unknown")</f>
        <v>UAE</v>
      </c>
      <c r="E128" s="17" t="n">
        <f aca="false">IFERROR(INDEX(Vendor_Master!$E$2:$E$41,MATCH(B128,Vendor_Master!$A$2:$A$41,0)),"")</f>
        <v>45892</v>
      </c>
      <c r="F128" s="17" t="n">
        <f aca="false">Payment_Log_AP!D125</f>
        <v>46165</v>
      </c>
      <c r="G128" s="18" t="n">
        <f aca="false">Payment_Log_AP!E125</f>
        <v>573.05</v>
      </c>
      <c r="H128" s="16" t="n">
        <f aca="false">IF(G128&gt;=Assumptions!$B$7,40,IF(G128&gt;=Assumptions!$B$8,20,0))</f>
        <v>0</v>
      </c>
      <c r="I128" s="16" t="n">
        <f aca="false">IF(MOD(G128,500)=0,20,IF(MOD(G128,100)=0,10,0))</f>
        <v>0</v>
      </c>
      <c r="J128" s="16" t="n">
        <f aca="false">IF(AND(E128&lt;&gt;"",F128-E128&lt;=Assumptions!$B$9),25,0)</f>
        <v>0</v>
      </c>
      <c r="K128" s="16" t="n">
        <f aca="false">IF(ISNUMBER(SEARCH(D128,Assumptions!$B$10)),15,0)</f>
        <v>15</v>
      </c>
      <c r="L128" s="16" t="n">
        <f aca="false">H128+I128+J128+K128</f>
        <v>15</v>
      </c>
      <c r="M128" s="16" t="str">
        <f aca="false">IF(L128&gt;=60,"High",IF(L128&gt;=30,"Medium","Low"))</f>
        <v>Low</v>
      </c>
    </row>
    <row r="129" customFormat="false" ht="15" hidden="false" customHeight="false" outlineLevel="0" collapsed="false">
      <c r="A129" s="16" t="str">
        <f aca="false">Payment_Log_AP!A126</f>
        <v>PAY40125</v>
      </c>
      <c r="B129" s="16" t="str">
        <f aca="false">Payment_Log_AP!C126</f>
        <v>V1021</v>
      </c>
      <c r="C129" s="16" t="str">
        <f aca="false">IFERROR(INDEX(Vendor_Master!$B$2:$B$41,MATCH(B129,Vendor_Master!$A$2:$A$41,0)),"Unknown Vendor")</f>
        <v>Ellis, Baker and Wright</v>
      </c>
      <c r="D129" s="16" t="str">
        <f aca="false">IFERROR(INDEX(Vendor_Master!$D$2:$D$41,MATCH(B129,Vendor_Master!$A$2:$A$41,0)),"Unknown")</f>
        <v>UAE</v>
      </c>
      <c r="E129" s="17" t="n">
        <f aca="false">IFERROR(INDEX(Vendor_Master!$E$2:$E$41,MATCH(B129,Vendor_Master!$A$2:$A$41,0)),"")</f>
        <v>45960</v>
      </c>
      <c r="F129" s="17" t="n">
        <f aca="false">Payment_Log_AP!D126</f>
        <v>46131</v>
      </c>
      <c r="G129" s="18" t="n">
        <f aca="false">Payment_Log_AP!E126</f>
        <v>267.6</v>
      </c>
      <c r="H129" s="16" t="n">
        <f aca="false">IF(G129&gt;=Assumptions!$B$7,40,IF(G129&gt;=Assumptions!$B$8,20,0))</f>
        <v>0</v>
      </c>
      <c r="I129" s="16" t="n">
        <f aca="false">IF(MOD(G129,500)=0,20,IF(MOD(G129,100)=0,10,0))</f>
        <v>0</v>
      </c>
      <c r="J129" s="16" t="n">
        <f aca="false">IF(AND(E129&lt;&gt;"",F129-E129&lt;=Assumptions!$B$9),25,0)</f>
        <v>25</v>
      </c>
      <c r="K129" s="16" t="n">
        <f aca="false">IF(ISNUMBER(SEARCH(D129,Assumptions!$B$10)),15,0)</f>
        <v>15</v>
      </c>
      <c r="L129" s="16" t="n">
        <f aca="false">H129+I129+J129+K129</f>
        <v>40</v>
      </c>
      <c r="M129" s="16" t="str">
        <f aca="false">IF(L129&gt;=60,"High",IF(L129&gt;=30,"Medium","Low"))</f>
        <v>Medium</v>
      </c>
    </row>
    <row r="130" customFormat="false" ht="15" hidden="false" customHeight="false" outlineLevel="0" collapsed="false">
      <c r="A130" s="16" t="str">
        <f aca="false">Payment_Log_AP!A127</f>
        <v>PAY40126</v>
      </c>
      <c r="B130" s="16" t="str">
        <f aca="false">Payment_Log_AP!C127</f>
        <v>V1036</v>
      </c>
      <c r="C130" s="16" t="str">
        <f aca="false">IFERROR(INDEX(Vendor_Master!$B$2:$B$41,MATCH(B130,Vendor_Master!$A$2:$A$41,0)),"Unknown Vendor")</f>
        <v>Dennis Inc</v>
      </c>
      <c r="D130" s="16" t="str">
        <f aca="false">IFERROR(INDEX(Vendor_Master!$D$2:$D$41,MATCH(B130,Vendor_Master!$A$2:$A$41,0)),"Unknown")</f>
        <v>Singapore</v>
      </c>
      <c r="E130" s="17" t="n">
        <f aca="false">IFERROR(INDEX(Vendor_Master!$E$2:$E$41,MATCH(B130,Vendor_Master!$A$2:$A$41,0)),"")</f>
        <v>46059</v>
      </c>
      <c r="F130" s="17" t="n">
        <f aca="false">Payment_Log_AP!D127</f>
        <v>45881</v>
      </c>
      <c r="G130" s="18" t="n">
        <f aca="false">Payment_Log_AP!E127</f>
        <v>634.26</v>
      </c>
      <c r="H130" s="16" t="n">
        <f aca="false">IF(G130&gt;=Assumptions!$B$7,40,IF(G130&gt;=Assumptions!$B$8,20,0))</f>
        <v>0</v>
      </c>
      <c r="I130" s="16" t="n">
        <f aca="false">IF(MOD(G130,500)=0,20,IF(MOD(G130,100)=0,10,0))</f>
        <v>0</v>
      </c>
      <c r="J130" s="16" t="n">
        <f aca="false">IF(AND(E130&lt;&gt;"",F130-E130&lt;=Assumptions!$B$9),25,0)</f>
        <v>25</v>
      </c>
      <c r="K130" s="16" t="n">
        <f aca="false">IF(ISNUMBER(SEARCH(D130,Assumptions!$B$10)),15,0)</f>
        <v>15</v>
      </c>
      <c r="L130" s="16" t="n">
        <f aca="false">H130+I130+J130+K130</f>
        <v>40</v>
      </c>
      <c r="M130" s="16" t="str">
        <f aca="false">IF(L130&gt;=60,"High",IF(L130&gt;=30,"Medium","Low"))</f>
        <v>Medium</v>
      </c>
    </row>
    <row r="131" customFormat="false" ht="15" hidden="false" customHeight="false" outlineLevel="0" collapsed="false">
      <c r="A131" s="16" t="str">
        <f aca="false">Payment_Log_AP!A128</f>
        <v>PAY40127</v>
      </c>
      <c r="B131" s="16" t="str">
        <f aca="false">Payment_Log_AP!C128</f>
        <v>V1029</v>
      </c>
      <c r="C131" s="16" t="str">
        <f aca="false">IFERROR(INDEX(Vendor_Master!$B$2:$B$41,MATCH(B131,Vendor_Master!$A$2:$A$41,0)),"Unknown Vendor")</f>
        <v>Chavez Ltd</v>
      </c>
      <c r="D131" s="16" t="str">
        <f aca="false">IFERROR(INDEX(Vendor_Master!$D$2:$D$41,MATCH(B131,Vendor_Master!$A$2:$A$41,0)),"Unknown")</f>
        <v>Singapore</v>
      </c>
      <c r="E131" s="17" t="n">
        <f aca="false">IFERROR(INDEX(Vendor_Master!$E$2:$E$41,MATCH(B131,Vendor_Master!$A$2:$A$41,0)),"")</f>
        <v>45026</v>
      </c>
      <c r="F131" s="17" t="n">
        <f aca="false">Payment_Log_AP!D128</f>
        <v>45683</v>
      </c>
      <c r="G131" s="18" t="n">
        <f aca="false">Payment_Log_AP!E128</f>
        <v>858.6</v>
      </c>
      <c r="H131" s="16" t="n">
        <f aca="false">IF(G131&gt;=Assumptions!$B$7,40,IF(G131&gt;=Assumptions!$B$8,20,0))</f>
        <v>0</v>
      </c>
      <c r="I131" s="16" t="n">
        <f aca="false">IF(MOD(G131,500)=0,20,IF(MOD(G131,100)=0,10,0))</f>
        <v>0</v>
      </c>
      <c r="J131" s="16" t="n">
        <f aca="false">IF(AND(E131&lt;&gt;"",F131-E131&lt;=Assumptions!$B$9),25,0)</f>
        <v>0</v>
      </c>
      <c r="K131" s="16" t="n">
        <f aca="false">IF(ISNUMBER(SEARCH(D131,Assumptions!$B$10)),15,0)</f>
        <v>15</v>
      </c>
      <c r="L131" s="16" t="n">
        <f aca="false">H131+I131+J131+K131</f>
        <v>15</v>
      </c>
      <c r="M131" s="16" t="str">
        <f aca="false">IF(L131&gt;=60,"High",IF(L131&gt;=30,"Medium","Low"))</f>
        <v>Low</v>
      </c>
    </row>
    <row r="132" customFormat="false" ht="15" hidden="false" customHeight="false" outlineLevel="0" collapsed="false">
      <c r="A132" s="16" t="str">
        <f aca="false">Payment_Log_AP!A129</f>
        <v>PAY40128</v>
      </c>
      <c r="B132" s="16" t="str">
        <f aca="false">Payment_Log_AP!C129</f>
        <v>V1023</v>
      </c>
      <c r="C132" s="16" t="str">
        <f aca="false">IFERROR(INDEX(Vendor_Master!$B$2:$B$41,MATCH(B132,Vendor_Master!$A$2:$A$41,0)),"Unknown Vendor")</f>
        <v>Robinson-Bright</v>
      </c>
      <c r="D132" s="16" t="str">
        <f aca="false">IFERROR(INDEX(Vendor_Master!$D$2:$D$41,MATCH(B132,Vendor_Master!$A$2:$A$41,0)),"Unknown")</f>
        <v>India</v>
      </c>
      <c r="E132" s="17" t="n">
        <f aca="false">IFERROR(INDEX(Vendor_Master!$E$2:$E$41,MATCH(B132,Vendor_Master!$A$2:$A$41,0)),"")</f>
        <v>45484</v>
      </c>
      <c r="F132" s="17" t="n">
        <f aca="false">Payment_Log_AP!D129</f>
        <v>45892</v>
      </c>
      <c r="G132" s="18" t="n">
        <f aca="false">Payment_Log_AP!E129</f>
        <v>1495.05</v>
      </c>
      <c r="H132" s="16" t="n">
        <f aca="false">IF(G132&gt;=Assumptions!$B$7,40,IF(G132&gt;=Assumptions!$B$8,20,0))</f>
        <v>0</v>
      </c>
      <c r="I132" s="16" t="n">
        <f aca="false">IF(MOD(G132,500)=0,20,IF(MOD(G132,100)=0,10,0))</f>
        <v>0</v>
      </c>
      <c r="J132" s="16" t="n">
        <f aca="false">IF(AND(E132&lt;&gt;"",F132-E132&lt;=Assumptions!$B$9),25,0)</f>
        <v>0</v>
      </c>
      <c r="K132" s="16" t="n">
        <f aca="false">IF(ISNUMBER(SEARCH(D132,Assumptions!$B$10)),15,0)</f>
        <v>15</v>
      </c>
      <c r="L132" s="16" t="n">
        <f aca="false">H132+I132+J132+K132</f>
        <v>15</v>
      </c>
      <c r="M132" s="16" t="str">
        <f aca="false">IF(L132&gt;=60,"High",IF(L132&gt;=30,"Medium","Low"))</f>
        <v>Low</v>
      </c>
    </row>
    <row r="133" customFormat="false" ht="15" hidden="false" customHeight="false" outlineLevel="0" collapsed="false">
      <c r="A133" s="16" t="str">
        <f aca="false">Payment_Log_AP!A130</f>
        <v>PAY40129</v>
      </c>
      <c r="B133" s="16" t="str">
        <f aca="false">Payment_Log_AP!C130</f>
        <v>V1037</v>
      </c>
      <c r="C133" s="16" t="str">
        <f aca="false">IFERROR(INDEX(Vendor_Master!$B$2:$B$41,MATCH(B133,Vendor_Master!$A$2:$A$41,0)),"Unknown Vendor")</f>
        <v>Cannon, Anderson and Alvarez</v>
      </c>
      <c r="D133" s="16" t="str">
        <f aca="false">IFERROR(INDEX(Vendor_Master!$D$2:$D$41,MATCH(B133,Vendor_Master!$A$2:$A$41,0)),"Unknown")</f>
        <v>India</v>
      </c>
      <c r="E133" s="17" t="n">
        <f aca="false">IFERROR(INDEX(Vendor_Master!$E$2:$E$41,MATCH(B133,Vendor_Master!$A$2:$A$41,0)),"")</f>
        <v>46108</v>
      </c>
      <c r="F133" s="17" t="n">
        <f aca="false">Payment_Log_AP!D130</f>
        <v>46101</v>
      </c>
      <c r="G133" s="18" t="n">
        <f aca="false">Payment_Log_AP!E130</f>
        <v>4226.43</v>
      </c>
      <c r="H133" s="16" t="n">
        <f aca="false">IF(G133&gt;=Assumptions!$B$7,40,IF(G133&gt;=Assumptions!$B$8,20,0))</f>
        <v>0</v>
      </c>
      <c r="I133" s="16" t="n">
        <f aca="false">IF(MOD(G133,500)=0,20,IF(MOD(G133,100)=0,10,0))</f>
        <v>0</v>
      </c>
      <c r="J133" s="16" t="n">
        <f aca="false">IF(AND(E133&lt;&gt;"",F133-E133&lt;=Assumptions!$B$9),25,0)</f>
        <v>25</v>
      </c>
      <c r="K133" s="16" t="n">
        <f aca="false">IF(ISNUMBER(SEARCH(D133,Assumptions!$B$10)),15,0)</f>
        <v>15</v>
      </c>
      <c r="L133" s="16" t="n">
        <f aca="false">H133+I133+J133+K133</f>
        <v>40</v>
      </c>
      <c r="M133" s="16" t="str">
        <f aca="false">IF(L133&gt;=60,"High",IF(L133&gt;=30,"Medium","Low"))</f>
        <v>Medium</v>
      </c>
    </row>
    <row r="134" customFormat="false" ht="15" hidden="false" customHeight="false" outlineLevel="0" collapsed="false">
      <c r="A134" s="16" t="str">
        <f aca="false">Payment_Log_AP!A131</f>
        <v>PAY40130</v>
      </c>
      <c r="B134" s="16" t="str">
        <f aca="false">Payment_Log_AP!C131</f>
        <v>V1029</v>
      </c>
      <c r="C134" s="16" t="str">
        <f aca="false">IFERROR(INDEX(Vendor_Master!$B$2:$B$41,MATCH(B134,Vendor_Master!$A$2:$A$41,0)),"Unknown Vendor")</f>
        <v>Chavez Ltd</v>
      </c>
      <c r="D134" s="16" t="str">
        <f aca="false">IFERROR(INDEX(Vendor_Master!$D$2:$D$41,MATCH(B134,Vendor_Master!$A$2:$A$41,0)),"Unknown")</f>
        <v>Singapore</v>
      </c>
      <c r="E134" s="17" t="n">
        <f aca="false">IFERROR(INDEX(Vendor_Master!$E$2:$E$41,MATCH(B134,Vendor_Master!$A$2:$A$41,0)),"")</f>
        <v>45026</v>
      </c>
      <c r="F134" s="17" t="n">
        <f aca="false">Payment_Log_AP!D131</f>
        <v>46173</v>
      </c>
      <c r="G134" s="18" t="n">
        <f aca="false">Payment_Log_AP!E131</f>
        <v>203.15</v>
      </c>
      <c r="H134" s="16" t="n">
        <f aca="false">IF(G134&gt;=Assumptions!$B$7,40,IF(G134&gt;=Assumptions!$B$8,20,0))</f>
        <v>0</v>
      </c>
      <c r="I134" s="16" t="n">
        <f aca="false">IF(MOD(G134,500)=0,20,IF(MOD(G134,100)=0,10,0))</f>
        <v>0</v>
      </c>
      <c r="J134" s="16" t="n">
        <f aca="false">IF(AND(E134&lt;&gt;"",F134-E134&lt;=Assumptions!$B$9),25,0)</f>
        <v>0</v>
      </c>
      <c r="K134" s="16" t="n">
        <f aca="false">IF(ISNUMBER(SEARCH(D134,Assumptions!$B$10)),15,0)</f>
        <v>15</v>
      </c>
      <c r="L134" s="16" t="n">
        <f aca="false">H134+I134+J134+K134</f>
        <v>15</v>
      </c>
      <c r="M134" s="16" t="str">
        <f aca="false">IF(L134&gt;=60,"High",IF(L134&gt;=30,"Medium","Low"))</f>
        <v>Low</v>
      </c>
    </row>
    <row r="135" customFormat="false" ht="15" hidden="false" customHeight="false" outlineLevel="0" collapsed="false">
      <c r="A135" s="16" t="str">
        <f aca="false">Payment_Log_AP!A132</f>
        <v>PAY40131</v>
      </c>
      <c r="B135" s="16" t="str">
        <f aca="false">Payment_Log_AP!C132</f>
        <v>V1036</v>
      </c>
      <c r="C135" s="16" t="str">
        <f aca="false">IFERROR(INDEX(Vendor_Master!$B$2:$B$41,MATCH(B135,Vendor_Master!$A$2:$A$41,0)),"Unknown Vendor")</f>
        <v>Dennis Inc</v>
      </c>
      <c r="D135" s="16" t="str">
        <f aca="false">IFERROR(INDEX(Vendor_Master!$D$2:$D$41,MATCH(B135,Vendor_Master!$A$2:$A$41,0)),"Unknown")</f>
        <v>Singapore</v>
      </c>
      <c r="E135" s="17" t="n">
        <f aca="false">IFERROR(INDEX(Vendor_Master!$E$2:$E$41,MATCH(B135,Vendor_Master!$A$2:$A$41,0)),"")</f>
        <v>46059</v>
      </c>
      <c r="F135" s="17" t="n">
        <f aca="false">Payment_Log_AP!D132</f>
        <v>45925</v>
      </c>
      <c r="G135" s="18" t="n">
        <f aca="false">Payment_Log_AP!E132</f>
        <v>3143.41</v>
      </c>
      <c r="H135" s="16" t="n">
        <f aca="false">IF(G135&gt;=Assumptions!$B$7,40,IF(G135&gt;=Assumptions!$B$8,20,0))</f>
        <v>0</v>
      </c>
      <c r="I135" s="16" t="n">
        <f aca="false">IF(MOD(G135,500)=0,20,IF(MOD(G135,100)=0,10,0))</f>
        <v>0</v>
      </c>
      <c r="J135" s="16" t="n">
        <f aca="false">IF(AND(E135&lt;&gt;"",F135-E135&lt;=Assumptions!$B$9),25,0)</f>
        <v>25</v>
      </c>
      <c r="K135" s="16" t="n">
        <f aca="false">IF(ISNUMBER(SEARCH(D135,Assumptions!$B$10)),15,0)</f>
        <v>15</v>
      </c>
      <c r="L135" s="16" t="n">
        <f aca="false">H135+I135+J135+K135</f>
        <v>40</v>
      </c>
      <c r="M135" s="16" t="str">
        <f aca="false">IF(L135&gt;=60,"High",IF(L135&gt;=30,"Medium","Low"))</f>
        <v>Medium</v>
      </c>
    </row>
    <row r="136" customFormat="false" ht="15" hidden="false" customHeight="false" outlineLevel="0" collapsed="false">
      <c r="A136" s="16" t="str">
        <f aca="false">Payment_Log_AP!A133</f>
        <v>PAY40132</v>
      </c>
      <c r="B136" s="16" t="str">
        <f aca="false">Payment_Log_AP!C133</f>
        <v>V1005</v>
      </c>
      <c r="C136" s="16" t="str">
        <f aca="false">IFERROR(INDEX(Vendor_Master!$B$2:$B$41,MATCH(B136,Vendor_Master!$A$2:$A$41,0)),"Unknown Vendor")</f>
        <v>Cole LLC</v>
      </c>
      <c r="D136" s="16" t="str">
        <f aca="false">IFERROR(INDEX(Vendor_Master!$D$2:$D$41,MATCH(B136,Vendor_Master!$A$2:$A$41,0)),"Unknown")</f>
        <v>UK</v>
      </c>
      <c r="E136" s="17" t="n">
        <f aca="false">IFERROR(INDEX(Vendor_Master!$E$2:$E$41,MATCH(B136,Vendor_Master!$A$2:$A$41,0)),"")</f>
        <v>45423</v>
      </c>
      <c r="F136" s="17" t="n">
        <f aca="false">Payment_Log_AP!D133</f>
        <v>46113</v>
      </c>
      <c r="G136" s="18" t="n">
        <f aca="false">Payment_Log_AP!E133</f>
        <v>13042.87</v>
      </c>
      <c r="H136" s="16" t="n">
        <f aca="false">IF(G136&gt;=Assumptions!$B$7,40,IF(G136&gt;=Assumptions!$B$8,20,0))</f>
        <v>40</v>
      </c>
      <c r="I136" s="16" t="n">
        <f aca="false">IF(MOD(G136,500)=0,20,IF(MOD(G136,100)=0,10,0))</f>
        <v>0</v>
      </c>
      <c r="J136" s="16" t="n">
        <f aca="false">IF(AND(E136&lt;&gt;"",F136-E136&lt;=Assumptions!$B$9),25,0)</f>
        <v>0</v>
      </c>
      <c r="K136" s="16" t="n">
        <f aca="false">IF(ISNUMBER(SEARCH(D136,Assumptions!$B$10)),15,0)</f>
        <v>0</v>
      </c>
      <c r="L136" s="16" t="n">
        <f aca="false">H136+I136+J136+K136</f>
        <v>40</v>
      </c>
      <c r="M136" s="16" t="str">
        <f aca="false">IF(L136&gt;=60,"High",IF(L136&gt;=30,"Medium","Low"))</f>
        <v>Medium</v>
      </c>
    </row>
    <row r="137" customFormat="false" ht="15" hidden="false" customHeight="false" outlineLevel="0" collapsed="false">
      <c r="A137" s="16" t="str">
        <f aca="false">Payment_Log_AP!A134</f>
        <v>PAY40133</v>
      </c>
      <c r="B137" s="16" t="str">
        <f aca="false">Payment_Log_AP!C134</f>
        <v>V1039</v>
      </c>
      <c r="C137" s="16" t="str">
        <f aca="false">IFERROR(INDEX(Vendor_Master!$B$2:$B$41,MATCH(B137,Vendor_Master!$A$2:$A$41,0)),"Unknown Vendor")</f>
        <v>Campos, Vaughn and Marquez</v>
      </c>
      <c r="D137" s="16" t="str">
        <f aca="false">IFERROR(INDEX(Vendor_Master!$D$2:$D$41,MATCH(B137,Vendor_Master!$A$2:$A$41,0)),"Unknown")</f>
        <v>USA</v>
      </c>
      <c r="E137" s="17" t="n">
        <f aca="false">IFERROR(INDEX(Vendor_Master!$E$2:$E$41,MATCH(B137,Vendor_Master!$A$2:$A$41,0)),"")</f>
        <v>46086</v>
      </c>
      <c r="F137" s="17" t="n">
        <f aca="false">Payment_Log_AP!D134</f>
        <v>45985</v>
      </c>
      <c r="G137" s="18" t="n">
        <f aca="false">Payment_Log_AP!E134</f>
        <v>4664.8</v>
      </c>
      <c r="H137" s="16" t="n">
        <f aca="false">IF(G137&gt;=Assumptions!$B$7,40,IF(G137&gt;=Assumptions!$B$8,20,0))</f>
        <v>0</v>
      </c>
      <c r="I137" s="16" t="n">
        <f aca="false">IF(MOD(G137,500)=0,20,IF(MOD(G137,100)=0,10,0))</f>
        <v>0</v>
      </c>
      <c r="J137" s="16" t="n">
        <f aca="false">IF(AND(E137&lt;&gt;"",F137-E137&lt;=Assumptions!$B$9),25,0)</f>
        <v>25</v>
      </c>
      <c r="K137" s="16" t="n">
        <f aca="false">IF(ISNUMBER(SEARCH(D137,Assumptions!$B$10)),15,0)</f>
        <v>0</v>
      </c>
      <c r="L137" s="16" t="n">
        <f aca="false">H137+I137+J137+K137</f>
        <v>25</v>
      </c>
      <c r="M137" s="16" t="str">
        <f aca="false">IF(L137&gt;=60,"High",IF(L137&gt;=30,"Medium","Low"))</f>
        <v>Low</v>
      </c>
    </row>
    <row r="138" customFormat="false" ht="15" hidden="false" customHeight="false" outlineLevel="0" collapsed="false">
      <c r="A138" s="16" t="str">
        <f aca="false">Payment_Log_AP!A135</f>
        <v>PAY40134</v>
      </c>
      <c r="B138" s="16" t="str">
        <f aca="false">Payment_Log_AP!C135</f>
        <v>V1015</v>
      </c>
      <c r="C138" s="16" t="str">
        <f aca="false">IFERROR(INDEX(Vendor_Master!$B$2:$B$41,MATCH(B138,Vendor_Master!$A$2:$A$41,0)),"Unknown Vendor")</f>
        <v>Zuniga, Wong and Lynch</v>
      </c>
      <c r="D138" s="16" t="str">
        <f aca="false">IFERROR(INDEX(Vendor_Master!$D$2:$D$41,MATCH(B138,Vendor_Master!$A$2:$A$41,0)),"Unknown")</f>
        <v>USA</v>
      </c>
      <c r="E138" s="17" t="n">
        <f aca="false">IFERROR(INDEX(Vendor_Master!$E$2:$E$41,MATCH(B138,Vendor_Master!$A$2:$A$41,0)),"")</f>
        <v>45621</v>
      </c>
      <c r="F138" s="17" t="n">
        <f aca="false">Payment_Log_AP!D135</f>
        <v>46023</v>
      </c>
      <c r="G138" s="18" t="n">
        <f aca="false">Payment_Log_AP!E135</f>
        <v>2106.89</v>
      </c>
      <c r="H138" s="16" t="n">
        <f aca="false">IF(G138&gt;=Assumptions!$B$7,40,IF(G138&gt;=Assumptions!$B$8,20,0))</f>
        <v>0</v>
      </c>
      <c r="I138" s="16" t="n">
        <f aca="false">IF(MOD(G138,500)=0,20,IF(MOD(G138,100)=0,10,0))</f>
        <v>0</v>
      </c>
      <c r="J138" s="16" t="n">
        <f aca="false">IF(AND(E138&lt;&gt;"",F138-E138&lt;=Assumptions!$B$9),25,0)</f>
        <v>0</v>
      </c>
      <c r="K138" s="16" t="n">
        <f aca="false">IF(ISNUMBER(SEARCH(D138,Assumptions!$B$10)),15,0)</f>
        <v>0</v>
      </c>
      <c r="L138" s="16" t="n">
        <f aca="false">H138+I138+J138+K138</f>
        <v>0</v>
      </c>
      <c r="M138" s="16" t="str">
        <f aca="false">IF(L138&gt;=60,"High",IF(L138&gt;=30,"Medium","Low"))</f>
        <v>Low</v>
      </c>
    </row>
    <row r="139" customFormat="false" ht="15" hidden="false" customHeight="false" outlineLevel="0" collapsed="false">
      <c r="A139" s="16" t="str">
        <f aca="false">Payment_Log_AP!A136</f>
        <v>PAY40135</v>
      </c>
      <c r="B139" s="16" t="str">
        <f aca="false">Payment_Log_AP!C136</f>
        <v>V1008</v>
      </c>
      <c r="C139" s="16" t="str">
        <f aca="false">IFERROR(INDEX(Vendor_Master!$B$2:$B$41,MATCH(B139,Vendor_Master!$A$2:$A$41,0)),"Unknown Vendor")</f>
        <v>Davis Inc</v>
      </c>
      <c r="D139" s="16" t="str">
        <f aca="false">IFERROR(INDEX(Vendor_Master!$D$2:$D$41,MATCH(B139,Vendor_Master!$A$2:$A$41,0)),"Unknown")</f>
        <v>Canada</v>
      </c>
      <c r="E139" s="17" t="n">
        <f aca="false">IFERROR(INDEX(Vendor_Master!$E$2:$E$41,MATCH(B139,Vendor_Master!$A$2:$A$41,0)),"")</f>
        <v>45769</v>
      </c>
      <c r="F139" s="17" t="n">
        <f aca="false">Payment_Log_AP!D136</f>
        <v>45805</v>
      </c>
      <c r="G139" s="18" t="n">
        <f aca="false">Payment_Log_AP!E136</f>
        <v>7303.36</v>
      </c>
      <c r="H139" s="16" t="n">
        <f aca="false">IF(G139&gt;=Assumptions!$B$7,40,IF(G139&gt;=Assumptions!$B$8,20,0))</f>
        <v>20</v>
      </c>
      <c r="I139" s="16" t="n">
        <f aca="false">IF(MOD(G139,500)=0,20,IF(MOD(G139,100)=0,10,0))</f>
        <v>0</v>
      </c>
      <c r="J139" s="16" t="n">
        <f aca="false">IF(AND(E139&lt;&gt;"",F139-E139&lt;=Assumptions!$B$9),25,0)</f>
        <v>25</v>
      </c>
      <c r="K139" s="16" t="n">
        <f aca="false">IF(ISNUMBER(SEARCH(D139,Assumptions!$B$10)),15,0)</f>
        <v>0</v>
      </c>
      <c r="L139" s="16" t="n">
        <f aca="false">H139+I139+J139+K139</f>
        <v>45</v>
      </c>
      <c r="M139" s="16" t="str">
        <f aca="false">IF(L139&gt;=60,"High",IF(L139&gt;=30,"Medium","Low"))</f>
        <v>Medium</v>
      </c>
    </row>
    <row r="140" customFormat="false" ht="15" hidden="false" customHeight="false" outlineLevel="0" collapsed="false">
      <c r="A140" s="16" t="str">
        <f aca="false">Payment_Log_AP!A137</f>
        <v>PAY40136</v>
      </c>
      <c r="B140" s="16" t="str">
        <f aca="false">Payment_Log_AP!C137</f>
        <v>V1001</v>
      </c>
      <c r="C140" s="16" t="str">
        <f aca="false">IFERROR(INDEX(Vendor_Master!$B$2:$B$41,MATCH(B140,Vendor_Master!$A$2:$A$41,0)),"Unknown Vendor")</f>
        <v>Figueroa and Sons</v>
      </c>
      <c r="D140" s="16" t="str">
        <f aca="false">IFERROR(INDEX(Vendor_Master!$D$2:$D$41,MATCH(B140,Vendor_Master!$A$2:$A$41,0)),"Unknown")</f>
        <v>USA</v>
      </c>
      <c r="E140" s="17" t="n">
        <f aca="false">IFERROR(INDEX(Vendor_Master!$E$2:$E$41,MATCH(B140,Vendor_Master!$A$2:$A$41,0)),"")</f>
        <v>45572</v>
      </c>
      <c r="F140" s="17" t="n">
        <f aca="false">Payment_Log_AP!D137</f>
        <v>45801</v>
      </c>
      <c r="G140" s="18" t="n">
        <f aca="false">Payment_Log_AP!E137</f>
        <v>2285.28</v>
      </c>
      <c r="H140" s="16" t="n">
        <f aca="false">IF(G140&gt;=Assumptions!$B$7,40,IF(G140&gt;=Assumptions!$B$8,20,0))</f>
        <v>0</v>
      </c>
      <c r="I140" s="16" t="n">
        <f aca="false">IF(MOD(G140,500)=0,20,IF(MOD(G140,100)=0,10,0))</f>
        <v>0</v>
      </c>
      <c r="J140" s="16" t="n">
        <f aca="false">IF(AND(E140&lt;&gt;"",F140-E140&lt;=Assumptions!$B$9),25,0)</f>
        <v>0</v>
      </c>
      <c r="K140" s="16" t="n">
        <f aca="false">IF(ISNUMBER(SEARCH(D140,Assumptions!$B$10)),15,0)</f>
        <v>0</v>
      </c>
      <c r="L140" s="16" t="n">
        <f aca="false">H140+I140+J140+K140</f>
        <v>0</v>
      </c>
      <c r="M140" s="16" t="str">
        <f aca="false">IF(L140&gt;=60,"High",IF(L140&gt;=30,"Medium","Low"))</f>
        <v>Low</v>
      </c>
    </row>
    <row r="141" customFormat="false" ht="15" hidden="false" customHeight="false" outlineLevel="0" collapsed="false">
      <c r="A141" s="16" t="str">
        <f aca="false">Payment_Log_AP!A138</f>
        <v>PAY40137</v>
      </c>
      <c r="B141" s="16" t="str">
        <f aca="false">Payment_Log_AP!C138</f>
        <v>V1018</v>
      </c>
      <c r="C141" s="16" t="str">
        <f aca="false">IFERROR(INDEX(Vendor_Master!$B$2:$B$41,MATCH(B141,Vendor_Master!$A$2:$A$41,0)),"Unknown Vendor")</f>
        <v>Underwood LLC</v>
      </c>
      <c r="D141" s="16" t="str">
        <f aca="false">IFERROR(INDEX(Vendor_Master!$D$2:$D$41,MATCH(B141,Vendor_Master!$A$2:$A$41,0)),"Unknown")</f>
        <v>UAE</v>
      </c>
      <c r="E141" s="17" t="n">
        <f aca="false">IFERROR(INDEX(Vendor_Master!$E$2:$E$41,MATCH(B141,Vendor_Master!$A$2:$A$41,0)),"")</f>
        <v>45788</v>
      </c>
      <c r="F141" s="17" t="n">
        <f aca="false">Payment_Log_AP!D138</f>
        <v>45947</v>
      </c>
      <c r="G141" s="18" t="n">
        <f aca="false">Payment_Log_AP!E138</f>
        <v>358.03</v>
      </c>
      <c r="H141" s="16" t="n">
        <f aca="false">IF(G141&gt;=Assumptions!$B$7,40,IF(G141&gt;=Assumptions!$B$8,20,0))</f>
        <v>0</v>
      </c>
      <c r="I141" s="16" t="n">
        <f aca="false">IF(MOD(G141,500)=0,20,IF(MOD(G141,100)=0,10,0))</f>
        <v>0</v>
      </c>
      <c r="J141" s="16" t="n">
        <f aca="false">IF(AND(E141&lt;&gt;"",F141-E141&lt;=Assumptions!$B$9),25,0)</f>
        <v>25</v>
      </c>
      <c r="K141" s="16" t="n">
        <f aca="false">IF(ISNUMBER(SEARCH(D141,Assumptions!$B$10)),15,0)</f>
        <v>15</v>
      </c>
      <c r="L141" s="16" t="n">
        <f aca="false">H141+I141+J141+K141</f>
        <v>40</v>
      </c>
      <c r="M141" s="16" t="str">
        <f aca="false">IF(L141&gt;=60,"High",IF(L141&gt;=30,"Medium","Low"))</f>
        <v>Medium</v>
      </c>
    </row>
    <row r="142" customFormat="false" ht="15" hidden="false" customHeight="false" outlineLevel="0" collapsed="false">
      <c r="A142" s="16" t="str">
        <f aca="false">Payment_Log_AP!A139</f>
        <v>PAY40138</v>
      </c>
      <c r="B142" s="16" t="str">
        <f aca="false">Payment_Log_AP!C139</f>
        <v>V1017</v>
      </c>
      <c r="C142" s="16" t="str">
        <f aca="false">IFERROR(INDEX(Vendor_Master!$B$2:$B$41,MATCH(B142,Vendor_Master!$A$2:$A$41,0)),"Unknown Vendor")</f>
        <v>Hawkins, Cohen and Cameron</v>
      </c>
      <c r="D142" s="16" t="str">
        <f aca="false">IFERROR(INDEX(Vendor_Master!$D$2:$D$41,MATCH(B142,Vendor_Master!$A$2:$A$41,0)),"Unknown")</f>
        <v>USA</v>
      </c>
      <c r="E142" s="17" t="n">
        <f aca="false">IFERROR(INDEX(Vendor_Master!$E$2:$E$41,MATCH(B142,Vendor_Master!$A$2:$A$41,0)),"")</f>
        <v>46025</v>
      </c>
      <c r="F142" s="17" t="n">
        <f aca="false">Payment_Log_AP!D139</f>
        <v>45707</v>
      </c>
      <c r="G142" s="18" t="n">
        <f aca="false">Payment_Log_AP!E139</f>
        <v>2062.27</v>
      </c>
      <c r="H142" s="16" t="n">
        <f aca="false">IF(G142&gt;=Assumptions!$B$7,40,IF(G142&gt;=Assumptions!$B$8,20,0))</f>
        <v>0</v>
      </c>
      <c r="I142" s="16" t="n">
        <f aca="false">IF(MOD(G142,500)=0,20,IF(MOD(G142,100)=0,10,0))</f>
        <v>0</v>
      </c>
      <c r="J142" s="16" t="n">
        <f aca="false">IF(AND(E142&lt;&gt;"",F142-E142&lt;=Assumptions!$B$9),25,0)</f>
        <v>25</v>
      </c>
      <c r="K142" s="16" t="n">
        <f aca="false">IF(ISNUMBER(SEARCH(D142,Assumptions!$B$10)),15,0)</f>
        <v>0</v>
      </c>
      <c r="L142" s="16" t="n">
        <f aca="false">H142+I142+J142+K142</f>
        <v>25</v>
      </c>
      <c r="M142" s="16" t="str">
        <f aca="false">IF(L142&gt;=60,"High",IF(L142&gt;=30,"Medium","Low"))</f>
        <v>Low</v>
      </c>
    </row>
    <row r="143" customFormat="false" ht="15" hidden="false" customHeight="false" outlineLevel="0" collapsed="false">
      <c r="A143" s="16" t="str">
        <f aca="false">Payment_Log_AP!A140</f>
        <v>PAY40139</v>
      </c>
      <c r="B143" s="16" t="str">
        <f aca="false">Payment_Log_AP!C140</f>
        <v>V1025</v>
      </c>
      <c r="C143" s="16" t="str">
        <f aca="false">IFERROR(INDEX(Vendor_Master!$B$2:$B$41,MATCH(B143,Vendor_Master!$A$2:$A$41,0)),"Unknown Vendor")</f>
        <v>Conner Group</v>
      </c>
      <c r="D143" s="16" t="str">
        <f aca="false">IFERROR(INDEX(Vendor_Master!$D$2:$D$41,MATCH(B143,Vendor_Master!$A$2:$A$41,0)),"Unknown")</f>
        <v>USA</v>
      </c>
      <c r="E143" s="17" t="n">
        <f aca="false">IFERROR(INDEX(Vendor_Master!$E$2:$E$41,MATCH(B143,Vendor_Master!$A$2:$A$41,0)),"")</f>
        <v>44803</v>
      </c>
      <c r="F143" s="17" t="n">
        <f aca="false">Payment_Log_AP!D140</f>
        <v>45870</v>
      </c>
      <c r="G143" s="18" t="n">
        <f aca="false">Payment_Log_AP!E140</f>
        <v>8142.95</v>
      </c>
      <c r="H143" s="16" t="n">
        <f aca="false">IF(G143&gt;=Assumptions!$B$7,40,IF(G143&gt;=Assumptions!$B$8,20,0))</f>
        <v>20</v>
      </c>
      <c r="I143" s="16" t="n">
        <f aca="false">IF(MOD(G143,500)=0,20,IF(MOD(G143,100)=0,10,0))</f>
        <v>0</v>
      </c>
      <c r="J143" s="16" t="n">
        <f aca="false">IF(AND(E143&lt;&gt;"",F143-E143&lt;=Assumptions!$B$9),25,0)</f>
        <v>0</v>
      </c>
      <c r="K143" s="16" t="n">
        <f aca="false">IF(ISNUMBER(SEARCH(D143,Assumptions!$B$10)),15,0)</f>
        <v>0</v>
      </c>
      <c r="L143" s="16" t="n">
        <f aca="false">H143+I143+J143+K143</f>
        <v>20</v>
      </c>
      <c r="M143" s="16" t="str">
        <f aca="false">IF(L143&gt;=60,"High",IF(L143&gt;=30,"Medium","Low"))</f>
        <v>Low</v>
      </c>
    </row>
    <row r="144" customFormat="false" ht="15" hidden="false" customHeight="false" outlineLevel="0" collapsed="false">
      <c r="A144" s="16" t="str">
        <f aca="false">Payment_Log_AP!A141</f>
        <v>PAY40140</v>
      </c>
      <c r="B144" s="16" t="str">
        <f aca="false">Payment_Log_AP!C141</f>
        <v>V1017</v>
      </c>
      <c r="C144" s="16" t="str">
        <f aca="false">IFERROR(INDEX(Vendor_Master!$B$2:$B$41,MATCH(B144,Vendor_Master!$A$2:$A$41,0)),"Unknown Vendor")</f>
        <v>Hawkins, Cohen and Cameron</v>
      </c>
      <c r="D144" s="16" t="str">
        <f aca="false">IFERROR(INDEX(Vendor_Master!$D$2:$D$41,MATCH(B144,Vendor_Master!$A$2:$A$41,0)),"Unknown")</f>
        <v>USA</v>
      </c>
      <c r="E144" s="17" t="n">
        <f aca="false">IFERROR(INDEX(Vendor_Master!$E$2:$E$41,MATCH(B144,Vendor_Master!$A$2:$A$41,0)),"")</f>
        <v>46025</v>
      </c>
      <c r="F144" s="17" t="n">
        <f aca="false">Payment_Log_AP!D141</f>
        <v>46063</v>
      </c>
      <c r="G144" s="18" t="n">
        <f aca="false">Payment_Log_AP!E141</f>
        <v>499.89</v>
      </c>
      <c r="H144" s="16" t="n">
        <f aca="false">IF(G144&gt;=Assumptions!$B$7,40,IF(G144&gt;=Assumptions!$B$8,20,0))</f>
        <v>0</v>
      </c>
      <c r="I144" s="16" t="n">
        <f aca="false">IF(MOD(G144,500)=0,20,IF(MOD(G144,100)=0,10,0))</f>
        <v>0</v>
      </c>
      <c r="J144" s="16" t="n">
        <f aca="false">IF(AND(E144&lt;&gt;"",F144-E144&lt;=Assumptions!$B$9),25,0)</f>
        <v>25</v>
      </c>
      <c r="K144" s="16" t="n">
        <f aca="false">IF(ISNUMBER(SEARCH(D144,Assumptions!$B$10)),15,0)</f>
        <v>0</v>
      </c>
      <c r="L144" s="16" t="n">
        <f aca="false">H144+I144+J144+K144</f>
        <v>25</v>
      </c>
      <c r="M144" s="16" t="str">
        <f aca="false">IF(L144&gt;=60,"High",IF(L144&gt;=30,"Medium","Low"))</f>
        <v>Low</v>
      </c>
    </row>
    <row r="145" customFormat="false" ht="15" hidden="false" customHeight="false" outlineLevel="0" collapsed="false">
      <c r="A145" s="16" t="str">
        <f aca="false">Payment_Log_AP!A142</f>
        <v>PAY40141</v>
      </c>
      <c r="B145" s="16" t="str">
        <f aca="false">Payment_Log_AP!C142</f>
        <v>V1007</v>
      </c>
      <c r="C145" s="16" t="str">
        <f aca="false">IFERROR(INDEX(Vendor_Master!$B$2:$B$41,MATCH(B145,Vendor_Master!$A$2:$A$41,0)),"Unknown Vendor")</f>
        <v>Ramirez-Lewis</v>
      </c>
      <c r="D145" s="16" t="str">
        <f aca="false">IFERROR(INDEX(Vendor_Master!$D$2:$D$41,MATCH(B145,Vendor_Master!$A$2:$A$41,0)),"Unknown")</f>
        <v>Germany</v>
      </c>
      <c r="E145" s="17" t="n">
        <f aca="false">IFERROR(INDEX(Vendor_Master!$E$2:$E$41,MATCH(B145,Vendor_Master!$A$2:$A$41,0)),"")</f>
        <v>45665</v>
      </c>
      <c r="F145" s="17" t="n">
        <f aca="false">Payment_Log_AP!D142</f>
        <v>45908</v>
      </c>
      <c r="G145" s="18" t="n">
        <f aca="false">Payment_Log_AP!E142</f>
        <v>2573.09</v>
      </c>
      <c r="H145" s="16" t="n">
        <f aca="false">IF(G145&gt;=Assumptions!$B$7,40,IF(G145&gt;=Assumptions!$B$8,20,0))</f>
        <v>0</v>
      </c>
      <c r="I145" s="16" t="n">
        <f aca="false">IF(MOD(G145,500)=0,20,IF(MOD(G145,100)=0,10,0))</f>
        <v>0</v>
      </c>
      <c r="J145" s="16" t="n">
        <f aca="false">IF(AND(E145&lt;&gt;"",F145-E145&lt;=Assumptions!$B$9),25,0)</f>
        <v>0</v>
      </c>
      <c r="K145" s="16" t="n">
        <f aca="false">IF(ISNUMBER(SEARCH(D145,Assumptions!$B$10)),15,0)</f>
        <v>0</v>
      </c>
      <c r="L145" s="16" t="n">
        <f aca="false">H145+I145+J145+K145</f>
        <v>0</v>
      </c>
      <c r="M145" s="16" t="str">
        <f aca="false">IF(L145&gt;=60,"High",IF(L145&gt;=30,"Medium","Low"))</f>
        <v>Low</v>
      </c>
    </row>
    <row r="146" customFormat="false" ht="15" hidden="false" customHeight="false" outlineLevel="0" collapsed="false">
      <c r="A146" s="16" t="str">
        <f aca="false">Payment_Log_AP!A143</f>
        <v>PAY40142</v>
      </c>
      <c r="B146" s="16" t="str">
        <f aca="false">Payment_Log_AP!C143</f>
        <v>V1002</v>
      </c>
      <c r="C146" s="16" t="str">
        <f aca="false">IFERROR(INDEX(Vendor_Master!$B$2:$B$41,MATCH(B146,Vendor_Master!$A$2:$A$41,0)),"Unknown Vendor")</f>
        <v>Garcia, Yang and Gardner</v>
      </c>
      <c r="D146" s="16" t="str">
        <f aca="false">IFERROR(INDEX(Vendor_Master!$D$2:$D$41,MATCH(B146,Vendor_Master!$A$2:$A$41,0)),"Unknown")</f>
        <v>UK</v>
      </c>
      <c r="E146" s="17" t="n">
        <f aca="false">IFERROR(INDEX(Vendor_Master!$E$2:$E$41,MATCH(B146,Vendor_Master!$A$2:$A$41,0)),"")</f>
        <v>44914</v>
      </c>
      <c r="F146" s="17" t="n">
        <f aca="false">Payment_Log_AP!D143</f>
        <v>45785</v>
      </c>
      <c r="G146" s="18" t="n">
        <f aca="false">Payment_Log_AP!E143</f>
        <v>2632.16</v>
      </c>
      <c r="H146" s="16" t="n">
        <f aca="false">IF(G146&gt;=Assumptions!$B$7,40,IF(G146&gt;=Assumptions!$B$8,20,0))</f>
        <v>0</v>
      </c>
      <c r="I146" s="16" t="n">
        <f aca="false">IF(MOD(G146,500)=0,20,IF(MOD(G146,100)=0,10,0))</f>
        <v>0</v>
      </c>
      <c r="J146" s="16" t="n">
        <f aca="false">IF(AND(E146&lt;&gt;"",F146-E146&lt;=Assumptions!$B$9),25,0)</f>
        <v>0</v>
      </c>
      <c r="K146" s="16" t="n">
        <f aca="false">IF(ISNUMBER(SEARCH(D146,Assumptions!$B$10)),15,0)</f>
        <v>0</v>
      </c>
      <c r="L146" s="16" t="n">
        <f aca="false">H146+I146+J146+K146</f>
        <v>0</v>
      </c>
      <c r="M146" s="16" t="str">
        <f aca="false">IF(L146&gt;=60,"High",IF(L146&gt;=30,"Medium","Low"))</f>
        <v>Low</v>
      </c>
    </row>
    <row r="147" customFormat="false" ht="15" hidden="false" customHeight="false" outlineLevel="0" collapsed="false">
      <c r="A147" s="16" t="str">
        <f aca="false">Payment_Log_AP!A144</f>
        <v>PAY40143</v>
      </c>
      <c r="B147" s="16" t="str">
        <f aca="false">Payment_Log_AP!C144</f>
        <v>V1001</v>
      </c>
      <c r="C147" s="16" t="str">
        <f aca="false">IFERROR(INDEX(Vendor_Master!$B$2:$B$41,MATCH(B147,Vendor_Master!$A$2:$A$41,0)),"Unknown Vendor")</f>
        <v>Figueroa and Sons</v>
      </c>
      <c r="D147" s="16" t="str">
        <f aca="false">IFERROR(INDEX(Vendor_Master!$D$2:$D$41,MATCH(B147,Vendor_Master!$A$2:$A$41,0)),"Unknown")</f>
        <v>USA</v>
      </c>
      <c r="E147" s="17" t="n">
        <f aca="false">IFERROR(INDEX(Vendor_Master!$E$2:$E$41,MATCH(B147,Vendor_Master!$A$2:$A$41,0)),"")</f>
        <v>45572</v>
      </c>
      <c r="F147" s="17" t="n">
        <f aca="false">Payment_Log_AP!D144</f>
        <v>45956</v>
      </c>
      <c r="G147" s="18" t="n">
        <f aca="false">Payment_Log_AP!E144</f>
        <v>332.16</v>
      </c>
      <c r="H147" s="16" t="n">
        <f aca="false">IF(G147&gt;=Assumptions!$B$7,40,IF(G147&gt;=Assumptions!$B$8,20,0))</f>
        <v>0</v>
      </c>
      <c r="I147" s="16" t="n">
        <f aca="false">IF(MOD(G147,500)=0,20,IF(MOD(G147,100)=0,10,0))</f>
        <v>0</v>
      </c>
      <c r="J147" s="16" t="n">
        <f aca="false">IF(AND(E147&lt;&gt;"",F147-E147&lt;=Assumptions!$B$9),25,0)</f>
        <v>0</v>
      </c>
      <c r="K147" s="16" t="n">
        <f aca="false">IF(ISNUMBER(SEARCH(D147,Assumptions!$B$10)),15,0)</f>
        <v>0</v>
      </c>
      <c r="L147" s="16" t="n">
        <f aca="false">H147+I147+J147+K147</f>
        <v>0</v>
      </c>
      <c r="M147" s="16" t="str">
        <f aca="false">IF(L147&gt;=60,"High",IF(L147&gt;=30,"Medium","Low"))</f>
        <v>Low</v>
      </c>
    </row>
    <row r="148" customFormat="false" ht="15" hidden="false" customHeight="false" outlineLevel="0" collapsed="false">
      <c r="A148" s="16" t="str">
        <f aca="false">Payment_Log_AP!A145</f>
        <v>PAY40144</v>
      </c>
      <c r="B148" s="16" t="str">
        <f aca="false">Payment_Log_AP!C145</f>
        <v>V1035</v>
      </c>
      <c r="C148" s="16" t="str">
        <f aca="false">IFERROR(INDEX(Vendor_Master!$B$2:$B$41,MATCH(B148,Vendor_Master!$A$2:$A$41,0)),"Unknown Vendor")</f>
        <v>Allen PLC</v>
      </c>
      <c r="D148" s="16" t="str">
        <f aca="false">IFERROR(INDEX(Vendor_Master!$D$2:$D$41,MATCH(B148,Vendor_Master!$A$2:$A$41,0)),"Unknown")</f>
        <v>Canada</v>
      </c>
      <c r="E148" s="17" t="n">
        <f aca="false">IFERROR(INDEX(Vendor_Master!$E$2:$E$41,MATCH(B148,Vendor_Master!$A$2:$A$41,0)),"")</f>
        <v>45048</v>
      </c>
      <c r="F148" s="17" t="n">
        <f aca="false">Payment_Log_AP!D145</f>
        <v>46019</v>
      </c>
      <c r="G148" s="18" t="n">
        <f aca="false">Payment_Log_AP!E145</f>
        <v>783.53</v>
      </c>
      <c r="H148" s="16" t="n">
        <f aca="false">IF(G148&gt;=Assumptions!$B$7,40,IF(G148&gt;=Assumptions!$B$8,20,0))</f>
        <v>0</v>
      </c>
      <c r="I148" s="16" t="n">
        <f aca="false">IF(MOD(G148,500)=0,20,IF(MOD(G148,100)=0,10,0))</f>
        <v>0</v>
      </c>
      <c r="J148" s="16" t="n">
        <f aca="false">IF(AND(E148&lt;&gt;"",F148-E148&lt;=Assumptions!$B$9),25,0)</f>
        <v>0</v>
      </c>
      <c r="K148" s="16" t="n">
        <f aca="false">IF(ISNUMBER(SEARCH(D148,Assumptions!$B$10)),15,0)</f>
        <v>0</v>
      </c>
      <c r="L148" s="16" t="n">
        <f aca="false">H148+I148+J148+K148</f>
        <v>0</v>
      </c>
      <c r="M148" s="16" t="str">
        <f aca="false">IF(L148&gt;=60,"High",IF(L148&gt;=30,"Medium","Low"))</f>
        <v>Low</v>
      </c>
    </row>
    <row r="149" customFormat="false" ht="15" hidden="false" customHeight="false" outlineLevel="0" collapsed="false">
      <c r="A149" s="16" t="str">
        <f aca="false">Payment_Log_AP!A146</f>
        <v>PAY40145</v>
      </c>
      <c r="B149" s="16" t="str">
        <f aca="false">Payment_Log_AP!C146</f>
        <v>V1011</v>
      </c>
      <c r="C149" s="16" t="str">
        <f aca="false">IFERROR(INDEX(Vendor_Master!$B$2:$B$41,MATCH(B149,Vendor_Master!$A$2:$A$41,0)),"Unknown Vendor")</f>
        <v>Montgomery, Hensley and Ray</v>
      </c>
      <c r="D149" s="16" t="str">
        <f aca="false">IFERROR(INDEX(Vendor_Master!$D$2:$D$41,MATCH(B149,Vendor_Master!$A$2:$A$41,0)),"Unknown")</f>
        <v>USA</v>
      </c>
      <c r="E149" s="17" t="n">
        <f aca="false">IFERROR(INDEX(Vendor_Master!$E$2:$E$41,MATCH(B149,Vendor_Master!$A$2:$A$41,0)),"")</f>
        <v>45025</v>
      </c>
      <c r="F149" s="17" t="n">
        <f aca="false">Payment_Log_AP!D146</f>
        <v>45914</v>
      </c>
      <c r="G149" s="18" t="n">
        <f aca="false">Payment_Log_AP!E146</f>
        <v>327.42</v>
      </c>
      <c r="H149" s="16" t="n">
        <f aca="false">IF(G149&gt;=Assumptions!$B$7,40,IF(G149&gt;=Assumptions!$B$8,20,0))</f>
        <v>0</v>
      </c>
      <c r="I149" s="16" t="n">
        <f aca="false">IF(MOD(G149,500)=0,20,IF(MOD(G149,100)=0,10,0))</f>
        <v>0</v>
      </c>
      <c r="J149" s="16" t="n">
        <f aca="false">IF(AND(E149&lt;&gt;"",F149-E149&lt;=Assumptions!$B$9),25,0)</f>
        <v>0</v>
      </c>
      <c r="K149" s="16" t="n">
        <f aca="false">IF(ISNUMBER(SEARCH(D149,Assumptions!$B$10)),15,0)</f>
        <v>0</v>
      </c>
      <c r="L149" s="16" t="n">
        <f aca="false">H149+I149+J149+K149</f>
        <v>0</v>
      </c>
      <c r="M149" s="16" t="str">
        <f aca="false">IF(L149&gt;=60,"High",IF(L149&gt;=30,"Medium","Low"))</f>
        <v>Low</v>
      </c>
    </row>
    <row r="150" customFormat="false" ht="15" hidden="false" customHeight="false" outlineLevel="0" collapsed="false">
      <c r="A150" s="16" t="str">
        <f aca="false">Payment_Log_AP!A147</f>
        <v>PAY40146</v>
      </c>
      <c r="B150" s="16" t="str">
        <f aca="false">Payment_Log_AP!C147</f>
        <v>V1014</v>
      </c>
      <c r="C150" s="16" t="str">
        <f aca="false">IFERROR(INDEX(Vendor_Master!$B$2:$B$41,MATCH(B150,Vendor_Master!$A$2:$A$41,0)),"Unknown Vendor")</f>
        <v>Flowers, Martin and Kelly</v>
      </c>
      <c r="D150" s="16" t="str">
        <f aca="false">IFERROR(INDEX(Vendor_Master!$D$2:$D$41,MATCH(B150,Vendor_Master!$A$2:$A$41,0)),"Unknown")</f>
        <v>India</v>
      </c>
      <c r="E150" s="17" t="n">
        <f aca="false">IFERROR(INDEX(Vendor_Master!$E$2:$E$41,MATCH(B150,Vendor_Master!$A$2:$A$41,0)),"")</f>
        <v>45001</v>
      </c>
      <c r="F150" s="17" t="n">
        <f aca="false">Payment_Log_AP!D147</f>
        <v>46016</v>
      </c>
      <c r="G150" s="18" t="n">
        <f aca="false">Payment_Log_AP!E147</f>
        <v>12338.24</v>
      </c>
      <c r="H150" s="16" t="n">
        <f aca="false">IF(G150&gt;=Assumptions!$B$7,40,IF(G150&gt;=Assumptions!$B$8,20,0))</f>
        <v>40</v>
      </c>
      <c r="I150" s="16" t="n">
        <f aca="false">IF(MOD(G150,500)=0,20,IF(MOD(G150,100)=0,10,0))</f>
        <v>0</v>
      </c>
      <c r="J150" s="16" t="n">
        <f aca="false">IF(AND(E150&lt;&gt;"",F150-E150&lt;=Assumptions!$B$9),25,0)</f>
        <v>0</v>
      </c>
      <c r="K150" s="16" t="n">
        <f aca="false">IF(ISNUMBER(SEARCH(D150,Assumptions!$B$10)),15,0)</f>
        <v>15</v>
      </c>
      <c r="L150" s="16" t="n">
        <f aca="false">H150+I150+J150+K150</f>
        <v>55</v>
      </c>
      <c r="M150" s="16" t="str">
        <f aca="false">IF(L150&gt;=60,"High",IF(L150&gt;=30,"Medium","Low"))</f>
        <v>Medium</v>
      </c>
    </row>
    <row r="151" customFormat="false" ht="15" hidden="false" customHeight="false" outlineLevel="0" collapsed="false">
      <c r="A151" s="16" t="str">
        <f aca="false">Payment_Log_AP!A148</f>
        <v>PAY40147</v>
      </c>
      <c r="B151" s="16" t="str">
        <f aca="false">Payment_Log_AP!C148</f>
        <v>V1022</v>
      </c>
      <c r="C151" s="16" t="str">
        <f aca="false">IFERROR(INDEX(Vendor_Master!$B$2:$B$41,MATCH(B151,Vendor_Master!$A$2:$A$41,0)),"Unknown Vendor")</f>
        <v>Burgess-Patterson</v>
      </c>
      <c r="D151" s="16" t="str">
        <f aca="false">IFERROR(INDEX(Vendor_Master!$D$2:$D$41,MATCH(B151,Vendor_Master!$A$2:$A$41,0)),"Unknown")</f>
        <v>Germany</v>
      </c>
      <c r="E151" s="17" t="n">
        <f aca="false">IFERROR(INDEX(Vendor_Master!$E$2:$E$41,MATCH(B151,Vendor_Master!$A$2:$A$41,0)),"")</f>
        <v>45449</v>
      </c>
      <c r="F151" s="17" t="n">
        <f aca="false">Payment_Log_AP!D148</f>
        <v>45693</v>
      </c>
      <c r="G151" s="18" t="n">
        <f aca="false">Payment_Log_AP!E148</f>
        <v>1431.29</v>
      </c>
      <c r="H151" s="16" t="n">
        <f aca="false">IF(G151&gt;=Assumptions!$B$7,40,IF(G151&gt;=Assumptions!$B$8,20,0))</f>
        <v>0</v>
      </c>
      <c r="I151" s="16" t="n">
        <f aca="false">IF(MOD(G151,500)=0,20,IF(MOD(G151,100)=0,10,0))</f>
        <v>0</v>
      </c>
      <c r="J151" s="16" t="n">
        <f aca="false">IF(AND(E151&lt;&gt;"",F151-E151&lt;=Assumptions!$B$9),25,0)</f>
        <v>0</v>
      </c>
      <c r="K151" s="16" t="n">
        <f aca="false">IF(ISNUMBER(SEARCH(D151,Assumptions!$B$10)),15,0)</f>
        <v>0</v>
      </c>
      <c r="L151" s="16" t="n">
        <f aca="false">H151+I151+J151+K151</f>
        <v>0</v>
      </c>
      <c r="M151" s="16" t="str">
        <f aca="false">IF(L151&gt;=60,"High",IF(L151&gt;=30,"Medium","Low"))</f>
        <v>Low</v>
      </c>
    </row>
    <row r="152" customFormat="false" ht="15" hidden="false" customHeight="false" outlineLevel="0" collapsed="false">
      <c r="A152" s="16" t="str">
        <f aca="false">Payment_Log_AP!A149</f>
        <v>PAY40148</v>
      </c>
      <c r="B152" s="16" t="str">
        <f aca="false">Payment_Log_AP!C149</f>
        <v>V1028</v>
      </c>
      <c r="C152" s="16" t="str">
        <f aca="false">IFERROR(INDEX(Vendor_Master!$B$2:$B$41,MATCH(B152,Vendor_Master!$A$2:$A$41,0)),"Unknown Vendor")</f>
        <v>Potter, Mack and Peterson</v>
      </c>
      <c r="D152" s="16" t="str">
        <f aca="false">IFERROR(INDEX(Vendor_Master!$D$2:$D$41,MATCH(B152,Vendor_Master!$A$2:$A$41,0)),"Unknown")</f>
        <v>UK</v>
      </c>
      <c r="E152" s="17" t="n">
        <f aca="false">IFERROR(INDEX(Vendor_Master!$E$2:$E$41,MATCH(B152,Vendor_Master!$A$2:$A$41,0)),"")</f>
        <v>45639</v>
      </c>
      <c r="F152" s="17" t="n">
        <f aca="false">Payment_Log_AP!D149</f>
        <v>46029</v>
      </c>
      <c r="G152" s="18" t="n">
        <f aca="false">Payment_Log_AP!E149</f>
        <v>9458.18</v>
      </c>
      <c r="H152" s="16" t="n">
        <f aca="false">IF(G152&gt;=Assumptions!$B$7,40,IF(G152&gt;=Assumptions!$B$8,20,0))</f>
        <v>20</v>
      </c>
      <c r="I152" s="16" t="n">
        <f aca="false">IF(MOD(G152,500)=0,20,IF(MOD(G152,100)=0,10,0))</f>
        <v>0</v>
      </c>
      <c r="J152" s="16" t="n">
        <f aca="false">IF(AND(E152&lt;&gt;"",F152-E152&lt;=Assumptions!$B$9),25,0)</f>
        <v>0</v>
      </c>
      <c r="K152" s="16" t="n">
        <f aca="false">IF(ISNUMBER(SEARCH(D152,Assumptions!$B$10)),15,0)</f>
        <v>0</v>
      </c>
      <c r="L152" s="16" t="n">
        <f aca="false">H152+I152+J152+K152</f>
        <v>20</v>
      </c>
      <c r="M152" s="16" t="str">
        <f aca="false">IF(L152&gt;=60,"High",IF(L152&gt;=30,"Medium","Low"))</f>
        <v>Low</v>
      </c>
    </row>
    <row r="153" customFormat="false" ht="15" hidden="false" customHeight="false" outlineLevel="0" collapsed="false">
      <c r="A153" s="16" t="str">
        <f aca="false">Payment_Log_AP!A150</f>
        <v>PAY40149</v>
      </c>
      <c r="B153" s="16" t="str">
        <f aca="false">Payment_Log_AP!C150</f>
        <v>V1033</v>
      </c>
      <c r="C153" s="16" t="str">
        <f aca="false">IFERROR(INDEX(Vendor_Master!$B$2:$B$41,MATCH(B153,Vendor_Master!$A$2:$A$41,0)),"Unknown Vendor")</f>
        <v>Sellers, George and Burns</v>
      </c>
      <c r="D153" s="16" t="str">
        <f aca="false">IFERROR(INDEX(Vendor_Master!$D$2:$D$41,MATCH(B153,Vendor_Master!$A$2:$A$41,0)),"Unknown")</f>
        <v>USA</v>
      </c>
      <c r="E153" s="17" t="n">
        <f aca="false">IFERROR(INDEX(Vendor_Master!$E$2:$E$41,MATCH(B153,Vendor_Master!$A$2:$A$41,0)),"")</f>
        <v>45414</v>
      </c>
      <c r="F153" s="17" t="n">
        <f aca="false">Payment_Log_AP!D150</f>
        <v>45759</v>
      </c>
      <c r="G153" s="18" t="n">
        <f aca="false">Payment_Log_AP!E150</f>
        <v>354.26</v>
      </c>
      <c r="H153" s="16" t="n">
        <f aca="false">IF(G153&gt;=Assumptions!$B$7,40,IF(G153&gt;=Assumptions!$B$8,20,0))</f>
        <v>0</v>
      </c>
      <c r="I153" s="16" t="n">
        <f aca="false">IF(MOD(G153,500)=0,20,IF(MOD(G153,100)=0,10,0))</f>
        <v>0</v>
      </c>
      <c r="J153" s="16" t="n">
        <f aca="false">IF(AND(E153&lt;&gt;"",F153-E153&lt;=Assumptions!$B$9),25,0)</f>
        <v>0</v>
      </c>
      <c r="K153" s="16" t="n">
        <f aca="false">IF(ISNUMBER(SEARCH(D153,Assumptions!$B$10)),15,0)</f>
        <v>0</v>
      </c>
      <c r="L153" s="16" t="n">
        <f aca="false">H153+I153+J153+K153</f>
        <v>0</v>
      </c>
      <c r="M153" s="16" t="str">
        <f aca="false">IF(L153&gt;=60,"High",IF(L153&gt;=30,"Medium","Low"))</f>
        <v>Low</v>
      </c>
    </row>
    <row r="154" customFormat="false" ht="15" hidden="false" customHeight="false" outlineLevel="0" collapsed="false">
      <c r="A154" s="16" t="str">
        <f aca="false">Payment_Log_AP!A151</f>
        <v>PAY40150</v>
      </c>
      <c r="B154" s="16" t="str">
        <f aca="false">Payment_Log_AP!C151</f>
        <v>V1024</v>
      </c>
      <c r="C154" s="16" t="str">
        <f aca="false">IFERROR(INDEX(Vendor_Master!$B$2:$B$41,MATCH(B154,Vendor_Master!$A$2:$A$41,0)),"Unknown Vendor")</f>
        <v>Campos Inc</v>
      </c>
      <c r="D154" s="16" t="str">
        <f aca="false">IFERROR(INDEX(Vendor_Master!$D$2:$D$41,MATCH(B154,Vendor_Master!$A$2:$A$41,0)),"Unknown")</f>
        <v>USA</v>
      </c>
      <c r="E154" s="17" t="n">
        <f aca="false">IFERROR(INDEX(Vendor_Master!$E$2:$E$41,MATCH(B154,Vendor_Master!$A$2:$A$41,0)),"")</f>
        <v>45367</v>
      </c>
      <c r="F154" s="17" t="n">
        <f aca="false">Payment_Log_AP!D151</f>
        <v>45934</v>
      </c>
      <c r="G154" s="18" t="n">
        <f aca="false">Payment_Log_AP!E151</f>
        <v>1640.65</v>
      </c>
      <c r="H154" s="16" t="n">
        <f aca="false">IF(G154&gt;=Assumptions!$B$7,40,IF(G154&gt;=Assumptions!$B$8,20,0))</f>
        <v>0</v>
      </c>
      <c r="I154" s="16" t="n">
        <f aca="false">IF(MOD(G154,500)=0,20,IF(MOD(G154,100)=0,10,0))</f>
        <v>0</v>
      </c>
      <c r="J154" s="16" t="n">
        <f aca="false">IF(AND(E154&lt;&gt;"",F154-E154&lt;=Assumptions!$B$9),25,0)</f>
        <v>0</v>
      </c>
      <c r="K154" s="16" t="n">
        <f aca="false">IF(ISNUMBER(SEARCH(D154,Assumptions!$B$10)),15,0)</f>
        <v>0</v>
      </c>
      <c r="L154" s="16" t="n">
        <f aca="false">H154+I154+J154+K154</f>
        <v>0</v>
      </c>
      <c r="M154" s="16" t="str">
        <f aca="false">IF(L154&gt;=60,"High",IF(L154&gt;=30,"Medium","Low"))</f>
        <v>Low</v>
      </c>
    </row>
    <row r="155" customFormat="false" ht="15" hidden="false" customHeight="false" outlineLevel="0" collapsed="false">
      <c r="A155" s="16" t="str">
        <f aca="false">Payment_Log_AP!A152</f>
        <v>PAY40151</v>
      </c>
      <c r="B155" s="16" t="str">
        <f aca="false">Payment_Log_AP!C152</f>
        <v>V1024</v>
      </c>
      <c r="C155" s="16" t="str">
        <f aca="false">IFERROR(INDEX(Vendor_Master!$B$2:$B$41,MATCH(B155,Vendor_Master!$A$2:$A$41,0)),"Unknown Vendor")</f>
        <v>Campos Inc</v>
      </c>
      <c r="D155" s="16" t="str">
        <f aca="false">IFERROR(INDEX(Vendor_Master!$D$2:$D$41,MATCH(B155,Vendor_Master!$A$2:$A$41,0)),"Unknown")</f>
        <v>USA</v>
      </c>
      <c r="E155" s="17" t="n">
        <f aca="false">IFERROR(INDEX(Vendor_Master!$E$2:$E$41,MATCH(B155,Vendor_Master!$A$2:$A$41,0)),"")</f>
        <v>45367</v>
      </c>
      <c r="F155" s="17" t="n">
        <f aca="false">Payment_Log_AP!D152</f>
        <v>45945</v>
      </c>
      <c r="G155" s="18" t="n">
        <f aca="false">Payment_Log_AP!E152</f>
        <v>1640.65</v>
      </c>
      <c r="H155" s="16" t="n">
        <f aca="false">IF(G155&gt;=Assumptions!$B$7,40,IF(G155&gt;=Assumptions!$B$8,20,0))</f>
        <v>0</v>
      </c>
      <c r="I155" s="16" t="n">
        <f aca="false">IF(MOD(G155,500)=0,20,IF(MOD(G155,100)=0,10,0))</f>
        <v>0</v>
      </c>
      <c r="J155" s="16" t="n">
        <f aca="false">IF(AND(E155&lt;&gt;"",F155-E155&lt;=Assumptions!$B$9),25,0)</f>
        <v>0</v>
      </c>
      <c r="K155" s="16" t="n">
        <f aca="false">IF(ISNUMBER(SEARCH(D155,Assumptions!$B$10)),15,0)</f>
        <v>0</v>
      </c>
      <c r="L155" s="16" t="n">
        <f aca="false">H155+I155+J155+K155</f>
        <v>0</v>
      </c>
      <c r="M155" s="16" t="str">
        <f aca="false">IF(L155&gt;=60,"High",IF(L155&gt;=30,"Medium","Low"))</f>
        <v>Low</v>
      </c>
    </row>
    <row r="156" customFormat="false" ht="15" hidden="false" customHeight="false" outlineLevel="0" collapsed="false">
      <c r="A156" s="16" t="str">
        <f aca="false">Payment_Log_AP!A153</f>
        <v>PAY40152</v>
      </c>
      <c r="B156" s="16" t="str">
        <f aca="false">Payment_Log_AP!C153</f>
        <v>V1011</v>
      </c>
      <c r="C156" s="16" t="str">
        <f aca="false">IFERROR(INDEX(Vendor_Master!$B$2:$B$41,MATCH(B156,Vendor_Master!$A$2:$A$41,0)),"Unknown Vendor")</f>
        <v>Montgomery, Hensley and Ray</v>
      </c>
      <c r="D156" s="16" t="str">
        <f aca="false">IFERROR(INDEX(Vendor_Master!$D$2:$D$41,MATCH(B156,Vendor_Master!$A$2:$A$41,0)),"Unknown")</f>
        <v>USA</v>
      </c>
      <c r="E156" s="17" t="n">
        <f aca="false">IFERROR(INDEX(Vendor_Master!$E$2:$E$41,MATCH(B156,Vendor_Master!$A$2:$A$41,0)),"")</f>
        <v>45025</v>
      </c>
      <c r="F156" s="17" t="n">
        <f aca="false">Payment_Log_AP!D153</f>
        <v>45694</v>
      </c>
      <c r="G156" s="18" t="n">
        <f aca="false">Payment_Log_AP!E153</f>
        <v>14457.87</v>
      </c>
      <c r="H156" s="16" t="n">
        <f aca="false">IF(G156&gt;=Assumptions!$B$7,40,IF(G156&gt;=Assumptions!$B$8,20,0))</f>
        <v>40</v>
      </c>
      <c r="I156" s="16" t="n">
        <f aca="false">IF(MOD(G156,500)=0,20,IF(MOD(G156,100)=0,10,0))</f>
        <v>0</v>
      </c>
      <c r="J156" s="16" t="n">
        <f aca="false">IF(AND(E156&lt;&gt;"",F156-E156&lt;=Assumptions!$B$9),25,0)</f>
        <v>0</v>
      </c>
      <c r="K156" s="16" t="n">
        <f aca="false">IF(ISNUMBER(SEARCH(D156,Assumptions!$B$10)),15,0)</f>
        <v>0</v>
      </c>
      <c r="L156" s="16" t="n">
        <f aca="false">H156+I156+J156+K156</f>
        <v>40</v>
      </c>
      <c r="M156" s="16" t="str">
        <f aca="false">IF(L156&gt;=60,"High",IF(L156&gt;=30,"Medium","Low"))</f>
        <v>Medium</v>
      </c>
    </row>
    <row r="157" customFormat="false" ht="15" hidden="false" customHeight="false" outlineLevel="0" collapsed="false">
      <c r="A157" s="16" t="str">
        <f aca="false">Payment_Log_AP!A154</f>
        <v>PAY40153</v>
      </c>
      <c r="B157" s="16" t="str">
        <f aca="false">Payment_Log_AP!C154</f>
        <v>V1011</v>
      </c>
      <c r="C157" s="16" t="str">
        <f aca="false">IFERROR(INDEX(Vendor_Master!$B$2:$B$41,MATCH(B157,Vendor_Master!$A$2:$A$41,0)),"Unknown Vendor")</f>
        <v>Montgomery, Hensley and Ray</v>
      </c>
      <c r="D157" s="16" t="str">
        <f aca="false">IFERROR(INDEX(Vendor_Master!$D$2:$D$41,MATCH(B157,Vendor_Master!$A$2:$A$41,0)),"Unknown")</f>
        <v>USA</v>
      </c>
      <c r="E157" s="17" t="n">
        <f aca="false">IFERROR(INDEX(Vendor_Master!$E$2:$E$41,MATCH(B157,Vendor_Master!$A$2:$A$41,0)),"")</f>
        <v>45025</v>
      </c>
      <c r="F157" s="17" t="n">
        <f aca="false">Payment_Log_AP!D154</f>
        <v>45889</v>
      </c>
      <c r="G157" s="18" t="n">
        <f aca="false">Payment_Log_AP!E154</f>
        <v>3828.96</v>
      </c>
      <c r="H157" s="16" t="n">
        <f aca="false">IF(G157&gt;=Assumptions!$B$7,40,IF(G157&gt;=Assumptions!$B$8,20,0))</f>
        <v>0</v>
      </c>
      <c r="I157" s="16" t="n">
        <f aca="false">IF(MOD(G157,500)=0,20,IF(MOD(G157,100)=0,10,0))</f>
        <v>0</v>
      </c>
      <c r="J157" s="16" t="n">
        <f aca="false">IF(AND(E157&lt;&gt;"",F157-E157&lt;=Assumptions!$B$9),25,0)</f>
        <v>0</v>
      </c>
      <c r="K157" s="16" t="n">
        <f aca="false">IF(ISNUMBER(SEARCH(D157,Assumptions!$B$10)),15,0)</f>
        <v>0</v>
      </c>
      <c r="L157" s="16" t="n">
        <f aca="false">H157+I157+J157+K157</f>
        <v>0</v>
      </c>
      <c r="M157" s="16" t="str">
        <f aca="false">IF(L157&gt;=60,"High",IF(L157&gt;=30,"Medium","Low"))</f>
        <v>Low</v>
      </c>
    </row>
    <row r="158" customFormat="false" ht="15" hidden="false" customHeight="false" outlineLevel="0" collapsed="false">
      <c r="A158" s="16" t="str">
        <f aca="false">Payment_Log_AP!A155</f>
        <v>PAY40154</v>
      </c>
      <c r="B158" s="16" t="str">
        <f aca="false">Payment_Log_AP!C155</f>
        <v>V1025</v>
      </c>
      <c r="C158" s="16" t="str">
        <f aca="false">IFERROR(INDEX(Vendor_Master!$B$2:$B$41,MATCH(B158,Vendor_Master!$A$2:$A$41,0)),"Unknown Vendor")</f>
        <v>Conner Group</v>
      </c>
      <c r="D158" s="16" t="str">
        <f aca="false">IFERROR(INDEX(Vendor_Master!$D$2:$D$41,MATCH(B158,Vendor_Master!$A$2:$A$41,0)),"Unknown")</f>
        <v>USA</v>
      </c>
      <c r="E158" s="17" t="n">
        <f aca="false">IFERROR(INDEX(Vendor_Master!$E$2:$E$41,MATCH(B158,Vendor_Master!$A$2:$A$41,0)),"")</f>
        <v>44803</v>
      </c>
      <c r="F158" s="17" t="n">
        <f aca="false">Payment_Log_AP!D155</f>
        <v>45803</v>
      </c>
      <c r="G158" s="18" t="n">
        <f aca="false">Payment_Log_AP!E155</f>
        <v>1542.51</v>
      </c>
      <c r="H158" s="16" t="n">
        <f aca="false">IF(G158&gt;=Assumptions!$B$7,40,IF(G158&gt;=Assumptions!$B$8,20,0))</f>
        <v>0</v>
      </c>
      <c r="I158" s="16" t="n">
        <f aca="false">IF(MOD(G158,500)=0,20,IF(MOD(G158,100)=0,10,0))</f>
        <v>0</v>
      </c>
      <c r="J158" s="16" t="n">
        <f aca="false">IF(AND(E158&lt;&gt;"",F158-E158&lt;=Assumptions!$B$9),25,0)</f>
        <v>0</v>
      </c>
      <c r="K158" s="16" t="n">
        <f aca="false">IF(ISNUMBER(SEARCH(D158,Assumptions!$B$10)),15,0)</f>
        <v>0</v>
      </c>
      <c r="L158" s="16" t="n">
        <f aca="false">H158+I158+J158+K158</f>
        <v>0</v>
      </c>
      <c r="M158" s="16" t="str">
        <f aca="false">IF(L158&gt;=60,"High",IF(L158&gt;=30,"Medium","Low"))</f>
        <v>Low</v>
      </c>
    </row>
    <row r="159" customFormat="false" ht="15" hidden="false" customHeight="false" outlineLevel="0" collapsed="false">
      <c r="A159" s="16" t="str">
        <f aca="false">Payment_Log_AP!A156</f>
        <v>PAY40155</v>
      </c>
      <c r="B159" s="16" t="str">
        <f aca="false">Payment_Log_AP!C156</f>
        <v>V1020</v>
      </c>
      <c r="C159" s="16" t="str">
        <f aca="false">IFERROR(INDEX(Vendor_Master!$B$2:$B$41,MATCH(B159,Vendor_Master!$A$2:$A$41,0)),"Unknown Vendor")</f>
        <v>Lewis-Porter</v>
      </c>
      <c r="D159" s="16" t="str">
        <f aca="false">IFERROR(INDEX(Vendor_Master!$D$2:$D$41,MATCH(B159,Vendor_Master!$A$2:$A$41,0)),"Unknown")</f>
        <v>UAE</v>
      </c>
      <c r="E159" s="17" t="n">
        <f aca="false">IFERROR(INDEX(Vendor_Master!$E$2:$E$41,MATCH(B159,Vendor_Master!$A$2:$A$41,0)),"")</f>
        <v>45947</v>
      </c>
      <c r="F159" s="17" t="n">
        <f aca="false">Payment_Log_AP!D156</f>
        <v>45862</v>
      </c>
      <c r="G159" s="18" t="n">
        <f aca="false">Payment_Log_AP!E156</f>
        <v>1235.82</v>
      </c>
      <c r="H159" s="16" t="n">
        <f aca="false">IF(G159&gt;=Assumptions!$B$7,40,IF(G159&gt;=Assumptions!$B$8,20,0))</f>
        <v>0</v>
      </c>
      <c r="I159" s="16" t="n">
        <f aca="false">IF(MOD(G159,500)=0,20,IF(MOD(G159,100)=0,10,0))</f>
        <v>0</v>
      </c>
      <c r="J159" s="16" t="n">
        <f aca="false">IF(AND(E159&lt;&gt;"",F159-E159&lt;=Assumptions!$B$9),25,0)</f>
        <v>25</v>
      </c>
      <c r="K159" s="16" t="n">
        <f aca="false">IF(ISNUMBER(SEARCH(D159,Assumptions!$B$10)),15,0)</f>
        <v>15</v>
      </c>
      <c r="L159" s="16" t="n">
        <f aca="false">H159+I159+J159+K159</f>
        <v>40</v>
      </c>
      <c r="M159" s="16" t="str">
        <f aca="false">IF(L159&gt;=60,"High",IF(L159&gt;=30,"Medium","Low"))</f>
        <v>Medium</v>
      </c>
    </row>
    <row r="160" customFormat="false" ht="15" hidden="false" customHeight="false" outlineLevel="0" collapsed="false">
      <c r="A160" s="16" t="str">
        <f aca="false">Payment_Log_AP!A157</f>
        <v>PAY40156</v>
      </c>
      <c r="B160" s="16" t="str">
        <f aca="false">Payment_Log_AP!C157</f>
        <v>V1005</v>
      </c>
      <c r="C160" s="16" t="str">
        <f aca="false">IFERROR(INDEX(Vendor_Master!$B$2:$B$41,MATCH(B160,Vendor_Master!$A$2:$A$41,0)),"Unknown Vendor")</f>
        <v>Cole LLC</v>
      </c>
      <c r="D160" s="16" t="str">
        <f aca="false">IFERROR(INDEX(Vendor_Master!$D$2:$D$41,MATCH(B160,Vendor_Master!$A$2:$A$41,0)),"Unknown")</f>
        <v>UK</v>
      </c>
      <c r="E160" s="17" t="n">
        <f aca="false">IFERROR(INDEX(Vendor_Master!$E$2:$E$41,MATCH(B160,Vendor_Master!$A$2:$A$41,0)),"")</f>
        <v>45423</v>
      </c>
      <c r="F160" s="17" t="n">
        <f aca="false">Payment_Log_AP!D157</f>
        <v>46100</v>
      </c>
      <c r="G160" s="18" t="n">
        <f aca="false">Payment_Log_AP!E157</f>
        <v>21822.22</v>
      </c>
      <c r="H160" s="16" t="n">
        <f aca="false">IF(G160&gt;=Assumptions!$B$7,40,IF(G160&gt;=Assumptions!$B$8,20,0))</f>
        <v>40</v>
      </c>
      <c r="I160" s="16" t="n">
        <f aca="false">IF(MOD(G160,500)=0,20,IF(MOD(G160,100)=0,10,0))</f>
        <v>0</v>
      </c>
      <c r="J160" s="16" t="n">
        <f aca="false">IF(AND(E160&lt;&gt;"",F160-E160&lt;=Assumptions!$B$9),25,0)</f>
        <v>0</v>
      </c>
      <c r="K160" s="16" t="n">
        <f aca="false">IF(ISNUMBER(SEARCH(D160,Assumptions!$B$10)),15,0)</f>
        <v>0</v>
      </c>
      <c r="L160" s="16" t="n">
        <f aca="false">H160+I160+J160+K160</f>
        <v>40</v>
      </c>
      <c r="M160" s="16" t="str">
        <f aca="false">IF(L160&gt;=60,"High",IF(L160&gt;=30,"Medium","Low"))</f>
        <v>Medium</v>
      </c>
    </row>
    <row r="161" customFormat="false" ht="15" hidden="false" customHeight="false" outlineLevel="0" collapsed="false">
      <c r="A161" s="16" t="str">
        <f aca="false">Payment_Log_AP!A158</f>
        <v>PAY40157</v>
      </c>
      <c r="B161" s="16" t="str">
        <f aca="false">Payment_Log_AP!C158</f>
        <v>V1001</v>
      </c>
      <c r="C161" s="16" t="str">
        <f aca="false">IFERROR(INDEX(Vendor_Master!$B$2:$B$41,MATCH(B161,Vendor_Master!$A$2:$A$41,0)),"Unknown Vendor")</f>
        <v>Figueroa and Sons</v>
      </c>
      <c r="D161" s="16" t="str">
        <f aca="false">IFERROR(INDEX(Vendor_Master!$D$2:$D$41,MATCH(B161,Vendor_Master!$A$2:$A$41,0)),"Unknown")</f>
        <v>USA</v>
      </c>
      <c r="E161" s="17" t="n">
        <f aca="false">IFERROR(INDEX(Vendor_Master!$E$2:$E$41,MATCH(B161,Vendor_Master!$A$2:$A$41,0)),"")</f>
        <v>45572</v>
      </c>
      <c r="F161" s="17" t="n">
        <f aca="false">Payment_Log_AP!D158</f>
        <v>45915</v>
      </c>
      <c r="G161" s="18" t="n">
        <f aca="false">Payment_Log_AP!E158</f>
        <v>3828.8</v>
      </c>
      <c r="H161" s="16" t="n">
        <f aca="false">IF(G161&gt;=Assumptions!$B$7,40,IF(G161&gt;=Assumptions!$B$8,20,0))</f>
        <v>0</v>
      </c>
      <c r="I161" s="16" t="n">
        <f aca="false">IF(MOD(G161,500)=0,20,IF(MOD(G161,100)=0,10,0))</f>
        <v>0</v>
      </c>
      <c r="J161" s="16" t="n">
        <f aca="false">IF(AND(E161&lt;&gt;"",F161-E161&lt;=Assumptions!$B$9),25,0)</f>
        <v>0</v>
      </c>
      <c r="K161" s="16" t="n">
        <f aca="false">IF(ISNUMBER(SEARCH(D161,Assumptions!$B$10)),15,0)</f>
        <v>0</v>
      </c>
      <c r="L161" s="16" t="n">
        <f aca="false">H161+I161+J161+K161</f>
        <v>0</v>
      </c>
      <c r="M161" s="16" t="str">
        <f aca="false">IF(L161&gt;=60,"High",IF(L161&gt;=30,"Medium","Low"))</f>
        <v>Low</v>
      </c>
    </row>
    <row r="162" customFormat="false" ht="15" hidden="false" customHeight="false" outlineLevel="0" collapsed="false">
      <c r="A162" s="16" t="str">
        <f aca="false">Payment_Log_AP!A159</f>
        <v>PAY40158</v>
      </c>
      <c r="B162" s="16" t="str">
        <f aca="false">Payment_Log_AP!C159</f>
        <v>V1024</v>
      </c>
      <c r="C162" s="16" t="str">
        <f aca="false">IFERROR(INDEX(Vendor_Master!$B$2:$B$41,MATCH(B162,Vendor_Master!$A$2:$A$41,0)),"Unknown Vendor")</f>
        <v>Campos Inc</v>
      </c>
      <c r="D162" s="16" t="str">
        <f aca="false">IFERROR(INDEX(Vendor_Master!$D$2:$D$41,MATCH(B162,Vendor_Master!$A$2:$A$41,0)),"Unknown")</f>
        <v>USA</v>
      </c>
      <c r="E162" s="17" t="n">
        <f aca="false">IFERROR(INDEX(Vendor_Master!$E$2:$E$41,MATCH(B162,Vendor_Master!$A$2:$A$41,0)),"")</f>
        <v>45367</v>
      </c>
      <c r="F162" s="17" t="n">
        <f aca="false">Payment_Log_AP!D159</f>
        <v>46103</v>
      </c>
      <c r="G162" s="18" t="n">
        <f aca="false">Payment_Log_AP!E159</f>
        <v>2084.01</v>
      </c>
      <c r="H162" s="16" t="n">
        <f aca="false">IF(G162&gt;=Assumptions!$B$7,40,IF(G162&gt;=Assumptions!$B$8,20,0))</f>
        <v>0</v>
      </c>
      <c r="I162" s="16" t="n">
        <f aca="false">IF(MOD(G162,500)=0,20,IF(MOD(G162,100)=0,10,0))</f>
        <v>0</v>
      </c>
      <c r="J162" s="16" t="n">
        <f aca="false">IF(AND(E162&lt;&gt;"",F162-E162&lt;=Assumptions!$B$9),25,0)</f>
        <v>0</v>
      </c>
      <c r="K162" s="16" t="n">
        <f aca="false">IF(ISNUMBER(SEARCH(D162,Assumptions!$B$10)),15,0)</f>
        <v>0</v>
      </c>
      <c r="L162" s="16" t="n">
        <f aca="false">H162+I162+J162+K162</f>
        <v>0</v>
      </c>
      <c r="M162" s="16" t="str">
        <f aca="false">IF(L162&gt;=60,"High",IF(L162&gt;=30,"Medium","Low"))</f>
        <v>Low</v>
      </c>
    </row>
    <row r="163" customFormat="false" ht="15" hidden="false" customHeight="false" outlineLevel="0" collapsed="false">
      <c r="A163" s="16" t="str">
        <f aca="false">Payment_Log_AP!A160</f>
        <v>PAY40159</v>
      </c>
      <c r="B163" s="16" t="str">
        <f aca="false">Payment_Log_AP!C160</f>
        <v>V1003</v>
      </c>
      <c r="C163" s="16" t="str">
        <f aca="false">IFERROR(INDEX(Vendor_Master!$B$2:$B$41,MATCH(B163,Vendor_Master!$A$2:$A$41,0)),"Unknown Vendor")</f>
        <v>Johnson and Sons</v>
      </c>
      <c r="D163" s="16" t="str">
        <f aca="false">IFERROR(INDEX(Vendor_Master!$D$2:$D$41,MATCH(B163,Vendor_Master!$A$2:$A$41,0)),"Unknown")</f>
        <v>UAE</v>
      </c>
      <c r="E163" s="17" t="n">
        <f aca="false">IFERROR(INDEX(Vendor_Master!$E$2:$E$41,MATCH(B163,Vendor_Master!$A$2:$A$41,0)),"")</f>
        <v>45495</v>
      </c>
      <c r="F163" s="17" t="n">
        <f aca="false">Payment_Log_AP!D160</f>
        <v>46157</v>
      </c>
      <c r="G163" s="18" t="n">
        <f aca="false">Payment_Log_AP!E160</f>
        <v>1489.22</v>
      </c>
      <c r="H163" s="16" t="n">
        <f aca="false">IF(G163&gt;=Assumptions!$B$7,40,IF(G163&gt;=Assumptions!$B$8,20,0))</f>
        <v>0</v>
      </c>
      <c r="I163" s="16" t="n">
        <f aca="false">IF(MOD(G163,500)=0,20,IF(MOD(G163,100)=0,10,0))</f>
        <v>0</v>
      </c>
      <c r="J163" s="16" t="n">
        <f aca="false">IF(AND(E163&lt;&gt;"",F163-E163&lt;=Assumptions!$B$9),25,0)</f>
        <v>0</v>
      </c>
      <c r="K163" s="16" t="n">
        <f aca="false">IF(ISNUMBER(SEARCH(D163,Assumptions!$B$10)),15,0)</f>
        <v>15</v>
      </c>
      <c r="L163" s="16" t="n">
        <f aca="false">H163+I163+J163+K163</f>
        <v>15</v>
      </c>
      <c r="M163" s="16" t="str">
        <f aca="false">IF(L163&gt;=60,"High",IF(L163&gt;=30,"Medium","Low"))</f>
        <v>Low</v>
      </c>
    </row>
    <row r="164" customFormat="false" ht="15" hidden="false" customHeight="false" outlineLevel="0" collapsed="false">
      <c r="A164" s="16" t="str">
        <f aca="false">Payment_Log_AP!A161</f>
        <v>PAY40160</v>
      </c>
      <c r="B164" s="16" t="str">
        <f aca="false">Payment_Log_AP!C161</f>
        <v>V1035</v>
      </c>
      <c r="C164" s="16" t="str">
        <f aca="false">IFERROR(INDEX(Vendor_Master!$B$2:$B$41,MATCH(B164,Vendor_Master!$A$2:$A$41,0)),"Unknown Vendor")</f>
        <v>Allen PLC</v>
      </c>
      <c r="D164" s="16" t="str">
        <f aca="false">IFERROR(INDEX(Vendor_Master!$D$2:$D$41,MATCH(B164,Vendor_Master!$A$2:$A$41,0)),"Unknown")</f>
        <v>Canada</v>
      </c>
      <c r="E164" s="17" t="n">
        <f aca="false">IFERROR(INDEX(Vendor_Master!$E$2:$E$41,MATCH(B164,Vendor_Master!$A$2:$A$41,0)),"")</f>
        <v>45048</v>
      </c>
      <c r="F164" s="17" t="n">
        <f aca="false">Payment_Log_AP!D161</f>
        <v>45826</v>
      </c>
      <c r="G164" s="18" t="n">
        <f aca="false">Payment_Log_AP!E161</f>
        <v>1056.69</v>
      </c>
      <c r="H164" s="16" t="n">
        <f aca="false">IF(G164&gt;=Assumptions!$B$7,40,IF(G164&gt;=Assumptions!$B$8,20,0))</f>
        <v>0</v>
      </c>
      <c r="I164" s="16" t="n">
        <f aca="false">IF(MOD(G164,500)=0,20,IF(MOD(G164,100)=0,10,0))</f>
        <v>0</v>
      </c>
      <c r="J164" s="16" t="n">
        <f aca="false">IF(AND(E164&lt;&gt;"",F164-E164&lt;=Assumptions!$B$9),25,0)</f>
        <v>0</v>
      </c>
      <c r="K164" s="16" t="n">
        <f aca="false">IF(ISNUMBER(SEARCH(D164,Assumptions!$B$10)),15,0)</f>
        <v>0</v>
      </c>
      <c r="L164" s="16" t="n">
        <f aca="false">H164+I164+J164+K164</f>
        <v>0</v>
      </c>
      <c r="M164" s="16" t="str">
        <f aca="false">IF(L164&gt;=60,"High",IF(L164&gt;=30,"Medium","Low"))</f>
        <v>Low</v>
      </c>
    </row>
    <row r="165" customFormat="false" ht="15" hidden="false" customHeight="false" outlineLevel="0" collapsed="false">
      <c r="A165" s="16" t="str">
        <f aca="false">Payment_Log_AP!A162</f>
        <v>PAY40161</v>
      </c>
      <c r="B165" s="16" t="str">
        <f aca="false">Payment_Log_AP!C162</f>
        <v>V1009</v>
      </c>
      <c r="C165" s="16" t="str">
        <f aca="false">IFERROR(INDEX(Vendor_Master!$B$2:$B$41,MATCH(B165,Vendor_Master!$A$2:$A$41,0)),"Unknown Vendor")</f>
        <v>Munoz-Roman</v>
      </c>
      <c r="D165" s="16" t="str">
        <f aca="false">IFERROR(INDEX(Vendor_Master!$D$2:$D$41,MATCH(B165,Vendor_Master!$A$2:$A$41,0)),"Unknown")</f>
        <v>India</v>
      </c>
      <c r="E165" s="17" t="n">
        <f aca="false">IFERROR(INDEX(Vendor_Master!$E$2:$E$41,MATCH(B165,Vendor_Master!$A$2:$A$41,0)),"")</f>
        <v>45129</v>
      </c>
      <c r="F165" s="17" t="n">
        <f aca="false">Payment_Log_AP!D162</f>
        <v>45741</v>
      </c>
      <c r="G165" s="18" t="n">
        <f aca="false">Payment_Log_AP!E162</f>
        <v>3628.81</v>
      </c>
      <c r="H165" s="16" t="n">
        <f aca="false">IF(G165&gt;=Assumptions!$B$7,40,IF(G165&gt;=Assumptions!$B$8,20,0))</f>
        <v>0</v>
      </c>
      <c r="I165" s="16" t="n">
        <f aca="false">IF(MOD(G165,500)=0,20,IF(MOD(G165,100)=0,10,0))</f>
        <v>0</v>
      </c>
      <c r="J165" s="16" t="n">
        <f aca="false">IF(AND(E165&lt;&gt;"",F165-E165&lt;=Assumptions!$B$9),25,0)</f>
        <v>0</v>
      </c>
      <c r="K165" s="16" t="n">
        <f aca="false">IF(ISNUMBER(SEARCH(D165,Assumptions!$B$10)),15,0)</f>
        <v>15</v>
      </c>
      <c r="L165" s="16" t="n">
        <f aca="false">H165+I165+J165+K165</f>
        <v>15</v>
      </c>
      <c r="M165" s="16" t="str">
        <f aca="false">IF(L165&gt;=60,"High",IF(L165&gt;=30,"Medium","Low"))</f>
        <v>Low</v>
      </c>
    </row>
    <row r="166" customFormat="false" ht="15" hidden="false" customHeight="false" outlineLevel="0" collapsed="false">
      <c r="A166" s="16" t="str">
        <f aca="false">Payment_Log_AP!A163</f>
        <v>PAY40162</v>
      </c>
      <c r="B166" s="16" t="str">
        <f aca="false">Payment_Log_AP!C163</f>
        <v>V1034</v>
      </c>
      <c r="C166" s="16" t="str">
        <f aca="false">IFERROR(INDEX(Vendor_Master!$B$2:$B$41,MATCH(B166,Vendor_Master!$A$2:$A$41,0)),"Unknown Vendor")</f>
        <v>Koch-Decker</v>
      </c>
      <c r="D166" s="16" t="str">
        <f aca="false">IFERROR(INDEX(Vendor_Master!$D$2:$D$41,MATCH(B166,Vendor_Master!$A$2:$A$41,0)),"Unknown")</f>
        <v>Germany</v>
      </c>
      <c r="E166" s="17" t="n">
        <f aca="false">IFERROR(INDEX(Vendor_Master!$E$2:$E$41,MATCH(B166,Vendor_Master!$A$2:$A$41,0)),"")</f>
        <v>44738</v>
      </c>
      <c r="F166" s="17" t="n">
        <f aca="false">Payment_Log_AP!D163</f>
        <v>45712</v>
      </c>
      <c r="G166" s="18" t="n">
        <f aca="false">Payment_Log_AP!E163</f>
        <v>588.95</v>
      </c>
      <c r="H166" s="16" t="n">
        <f aca="false">IF(G166&gt;=Assumptions!$B$7,40,IF(G166&gt;=Assumptions!$B$8,20,0))</f>
        <v>0</v>
      </c>
      <c r="I166" s="16" t="n">
        <f aca="false">IF(MOD(G166,500)=0,20,IF(MOD(G166,100)=0,10,0))</f>
        <v>0</v>
      </c>
      <c r="J166" s="16" t="n">
        <f aca="false">IF(AND(E166&lt;&gt;"",F166-E166&lt;=Assumptions!$B$9),25,0)</f>
        <v>0</v>
      </c>
      <c r="K166" s="16" t="n">
        <f aca="false">IF(ISNUMBER(SEARCH(D166,Assumptions!$B$10)),15,0)</f>
        <v>0</v>
      </c>
      <c r="L166" s="16" t="n">
        <f aca="false">H166+I166+J166+K166</f>
        <v>0</v>
      </c>
      <c r="M166" s="16" t="str">
        <f aca="false">IF(L166&gt;=60,"High",IF(L166&gt;=30,"Medium","Low"))</f>
        <v>Low</v>
      </c>
    </row>
    <row r="167" customFormat="false" ht="15" hidden="false" customHeight="false" outlineLevel="0" collapsed="false">
      <c r="A167" s="16" t="str">
        <f aca="false">Payment_Log_AP!A164</f>
        <v>PAY40163</v>
      </c>
      <c r="B167" s="16" t="str">
        <f aca="false">Payment_Log_AP!C164</f>
        <v>V1017</v>
      </c>
      <c r="C167" s="16" t="str">
        <f aca="false">IFERROR(INDEX(Vendor_Master!$B$2:$B$41,MATCH(B167,Vendor_Master!$A$2:$A$41,0)),"Unknown Vendor")</f>
        <v>Hawkins, Cohen and Cameron</v>
      </c>
      <c r="D167" s="16" t="str">
        <f aca="false">IFERROR(INDEX(Vendor_Master!$D$2:$D$41,MATCH(B167,Vendor_Master!$A$2:$A$41,0)),"Unknown")</f>
        <v>USA</v>
      </c>
      <c r="E167" s="17" t="n">
        <f aca="false">IFERROR(INDEX(Vendor_Master!$E$2:$E$41,MATCH(B167,Vendor_Master!$A$2:$A$41,0)),"")</f>
        <v>46025</v>
      </c>
      <c r="F167" s="17" t="n">
        <f aca="false">Payment_Log_AP!D164</f>
        <v>45959</v>
      </c>
      <c r="G167" s="18" t="n">
        <f aca="false">Payment_Log_AP!E164</f>
        <v>2268.78</v>
      </c>
      <c r="H167" s="16" t="n">
        <f aca="false">IF(G167&gt;=Assumptions!$B$7,40,IF(G167&gt;=Assumptions!$B$8,20,0))</f>
        <v>0</v>
      </c>
      <c r="I167" s="16" t="n">
        <f aca="false">IF(MOD(G167,500)=0,20,IF(MOD(G167,100)=0,10,0))</f>
        <v>0</v>
      </c>
      <c r="J167" s="16" t="n">
        <f aca="false">IF(AND(E167&lt;&gt;"",F167-E167&lt;=Assumptions!$B$9),25,0)</f>
        <v>25</v>
      </c>
      <c r="K167" s="16" t="n">
        <f aca="false">IF(ISNUMBER(SEARCH(D167,Assumptions!$B$10)),15,0)</f>
        <v>0</v>
      </c>
      <c r="L167" s="16" t="n">
        <f aca="false">H167+I167+J167+K167</f>
        <v>25</v>
      </c>
      <c r="M167" s="16" t="str">
        <f aca="false">IF(L167&gt;=60,"High",IF(L167&gt;=30,"Medium","Low"))</f>
        <v>Low</v>
      </c>
    </row>
    <row r="168" customFormat="false" ht="15" hidden="false" customHeight="false" outlineLevel="0" collapsed="false">
      <c r="A168" s="16" t="str">
        <f aca="false">Payment_Log_AP!A165</f>
        <v>PAY40164</v>
      </c>
      <c r="B168" s="16" t="str">
        <f aca="false">Payment_Log_AP!C165</f>
        <v>V1033</v>
      </c>
      <c r="C168" s="16" t="str">
        <f aca="false">IFERROR(INDEX(Vendor_Master!$B$2:$B$41,MATCH(B168,Vendor_Master!$A$2:$A$41,0)),"Unknown Vendor")</f>
        <v>Sellers, George and Burns</v>
      </c>
      <c r="D168" s="16" t="str">
        <f aca="false">IFERROR(INDEX(Vendor_Master!$D$2:$D$41,MATCH(B168,Vendor_Master!$A$2:$A$41,0)),"Unknown")</f>
        <v>USA</v>
      </c>
      <c r="E168" s="17" t="n">
        <f aca="false">IFERROR(INDEX(Vendor_Master!$E$2:$E$41,MATCH(B168,Vendor_Master!$A$2:$A$41,0)),"")</f>
        <v>45414</v>
      </c>
      <c r="F168" s="17" t="n">
        <f aca="false">Payment_Log_AP!D165</f>
        <v>45895</v>
      </c>
      <c r="G168" s="18" t="n">
        <f aca="false">Payment_Log_AP!E165</f>
        <v>560.32</v>
      </c>
      <c r="H168" s="16" t="n">
        <f aca="false">IF(G168&gt;=Assumptions!$B$7,40,IF(G168&gt;=Assumptions!$B$8,20,0))</f>
        <v>0</v>
      </c>
      <c r="I168" s="16" t="n">
        <f aca="false">IF(MOD(G168,500)=0,20,IF(MOD(G168,100)=0,10,0))</f>
        <v>0</v>
      </c>
      <c r="J168" s="16" t="n">
        <f aca="false">IF(AND(E168&lt;&gt;"",F168-E168&lt;=Assumptions!$B$9),25,0)</f>
        <v>0</v>
      </c>
      <c r="K168" s="16" t="n">
        <f aca="false">IF(ISNUMBER(SEARCH(D168,Assumptions!$B$10)),15,0)</f>
        <v>0</v>
      </c>
      <c r="L168" s="16" t="n">
        <f aca="false">H168+I168+J168+K168</f>
        <v>0</v>
      </c>
      <c r="M168" s="16" t="str">
        <f aca="false">IF(L168&gt;=60,"High",IF(L168&gt;=30,"Medium","Low"))</f>
        <v>Low</v>
      </c>
    </row>
    <row r="169" customFormat="false" ht="15" hidden="false" customHeight="false" outlineLevel="0" collapsed="false">
      <c r="A169" s="16" t="str">
        <f aca="false">Payment_Log_AP!A166</f>
        <v>PAY40165</v>
      </c>
      <c r="B169" s="16" t="str">
        <f aca="false">Payment_Log_AP!C166</f>
        <v>V1005</v>
      </c>
      <c r="C169" s="16" t="str">
        <f aca="false">IFERROR(INDEX(Vendor_Master!$B$2:$B$41,MATCH(B169,Vendor_Master!$A$2:$A$41,0)),"Unknown Vendor")</f>
        <v>Cole LLC</v>
      </c>
      <c r="D169" s="16" t="str">
        <f aca="false">IFERROR(INDEX(Vendor_Master!$D$2:$D$41,MATCH(B169,Vendor_Master!$A$2:$A$41,0)),"Unknown")</f>
        <v>UK</v>
      </c>
      <c r="E169" s="17" t="n">
        <f aca="false">IFERROR(INDEX(Vendor_Master!$E$2:$E$41,MATCH(B169,Vendor_Master!$A$2:$A$41,0)),"")</f>
        <v>45423</v>
      </c>
      <c r="F169" s="17" t="n">
        <f aca="false">Payment_Log_AP!D166</f>
        <v>46022</v>
      </c>
      <c r="G169" s="18" t="n">
        <f aca="false">Payment_Log_AP!E166</f>
        <v>2281.25</v>
      </c>
      <c r="H169" s="16" t="n">
        <f aca="false">IF(G169&gt;=Assumptions!$B$7,40,IF(G169&gt;=Assumptions!$B$8,20,0))</f>
        <v>0</v>
      </c>
      <c r="I169" s="16" t="n">
        <f aca="false">IF(MOD(G169,500)=0,20,IF(MOD(G169,100)=0,10,0))</f>
        <v>0</v>
      </c>
      <c r="J169" s="16" t="n">
        <f aca="false">IF(AND(E169&lt;&gt;"",F169-E169&lt;=Assumptions!$B$9),25,0)</f>
        <v>0</v>
      </c>
      <c r="K169" s="16" t="n">
        <f aca="false">IF(ISNUMBER(SEARCH(D169,Assumptions!$B$10)),15,0)</f>
        <v>0</v>
      </c>
      <c r="L169" s="16" t="n">
        <f aca="false">H169+I169+J169+K169</f>
        <v>0</v>
      </c>
      <c r="M169" s="16" t="str">
        <f aca="false">IF(L169&gt;=60,"High",IF(L169&gt;=30,"Medium","Low"))</f>
        <v>Low</v>
      </c>
    </row>
    <row r="170" customFormat="false" ht="15" hidden="false" customHeight="false" outlineLevel="0" collapsed="false">
      <c r="A170" s="16" t="str">
        <f aca="false">Payment_Log_AP!A167</f>
        <v>PAY40166</v>
      </c>
      <c r="B170" s="16" t="str">
        <f aca="false">Payment_Log_AP!C167</f>
        <v>V1008</v>
      </c>
      <c r="C170" s="16" t="str">
        <f aca="false">IFERROR(INDEX(Vendor_Master!$B$2:$B$41,MATCH(B170,Vendor_Master!$A$2:$A$41,0)),"Unknown Vendor")</f>
        <v>Davis Inc</v>
      </c>
      <c r="D170" s="16" t="str">
        <f aca="false">IFERROR(INDEX(Vendor_Master!$D$2:$D$41,MATCH(B170,Vendor_Master!$A$2:$A$41,0)),"Unknown")</f>
        <v>Canada</v>
      </c>
      <c r="E170" s="17" t="n">
        <f aca="false">IFERROR(INDEX(Vendor_Master!$E$2:$E$41,MATCH(B170,Vendor_Master!$A$2:$A$41,0)),"")</f>
        <v>45769</v>
      </c>
      <c r="F170" s="17" t="n">
        <f aca="false">Payment_Log_AP!D167</f>
        <v>46108</v>
      </c>
      <c r="G170" s="18" t="n">
        <f aca="false">Payment_Log_AP!E167</f>
        <v>795.03</v>
      </c>
      <c r="H170" s="16" t="n">
        <f aca="false">IF(G170&gt;=Assumptions!$B$7,40,IF(G170&gt;=Assumptions!$B$8,20,0))</f>
        <v>0</v>
      </c>
      <c r="I170" s="16" t="n">
        <f aca="false">IF(MOD(G170,500)=0,20,IF(MOD(G170,100)=0,10,0))</f>
        <v>0</v>
      </c>
      <c r="J170" s="16" t="n">
        <f aca="false">IF(AND(E170&lt;&gt;"",F170-E170&lt;=Assumptions!$B$9),25,0)</f>
        <v>0</v>
      </c>
      <c r="K170" s="16" t="n">
        <f aca="false">IF(ISNUMBER(SEARCH(D170,Assumptions!$B$10)),15,0)</f>
        <v>0</v>
      </c>
      <c r="L170" s="16" t="n">
        <f aca="false">H170+I170+J170+K170</f>
        <v>0</v>
      </c>
      <c r="M170" s="16" t="str">
        <f aca="false">IF(L170&gt;=60,"High",IF(L170&gt;=30,"Medium","Low"))</f>
        <v>Low</v>
      </c>
    </row>
    <row r="171" customFormat="false" ht="15" hidden="false" customHeight="false" outlineLevel="0" collapsed="false">
      <c r="A171" s="16" t="str">
        <f aca="false">Payment_Log_AP!A168</f>
        <v>PAY40167</v>
      </c>
      <c r="B171" s="16" t="str">
        <f aca="false">Payment_Log_AP!C168</f>
        <v>V1038</v>
      </c>
      <c r="C171" s="16" t="str">
        <f aca="false">IFERROR(INDEX(Vendor_Master!$B$2:$B$41,MATCH(B171,Vendor_Master!$A$2:$A$41,0)),"Unknown Vendor")</f>
        <v>Rose-Obrien</v>
      </c>
      <c r="D171" s="16" t="str">
        <f aca="false">IFERROR(INDEX(Vendor_Master!$D$2:$D$41,MATCH(B171,Vendor_Master!$A$2:$A$41,0)),"Unknown")</f>
        <v>USA</v>
      </c>
      <c r="E171" s="17" t="n">
        <f aca="false">IFERROR(INDEX(Vendor_Master!$E$2:$E$41,MATCH(B171,Vendor_Master!$A$2:$A$41,0)),"")</f>
        <v>45431</v>
      </c>
      <c r="F171" s="17" t="n">
        <f aca="false">Payment_Log_AP!D168</f>
        <v>46047</v>
      </c>
      <c r="G171" s="18" t="n">
        <f aca="false">Payment_Log_AP!E168</f>
        <v>1829.81</v>
      </c>
      <c r="H171" s="16" t="n">
        <f aca="false">IF(G171&gt;=Assumptions!$B$7,40,IF(G171&gt;=Assumptions!$B$8,20,0))</f>
        <v>0</v>
      </c>
      <c r="I171" s="16" t="n">
        <f aca="false">IF(MOD(G171,500)=0,20,IF(MOD(G171,100)=0,10,0))</f>
        <v>0</v>
      </c>
      <c r="J171" s="16" t="n">
        <f aca="false">IF(AND(E171&lt;&gt;"",F171-E171&lt;=Assumptions!$B$9),25,0)</f>
        <v>0</v>
      </c>
      <c r="K171" s="16" t="n">
        <f aca="false">IF(ISNUMBER(SEARCH(D171,Assumptions!$B$10)),15,0)</f>
        <v>0</v>
      </c>
      <c r="L171" s="16" t="n">
        <f aca="false">H171+I171+J171+K171</f>
        <v>0</v>
      </c>
      <c r="M171" s="16" t="str">
        <f aca="false">IF(L171&gt;=60,"High",IF(L171&gt;=30,"Medium","Low"))</f>
        <v>Low</v>
      </c>
    </row>
    <row r="172" customFormat="false" ht="15" hidden="false" customHeight="false" outlineLevel="0" collapsed="false">
      <c r="A172" s="16" t="str">
        <f aca="false">Payment_Log_AP!A169</f>
        <v>PAY40168</v>
      </c>
      <c r="B172" s="16" t="str">
        <f aca="false">Payment_Log_AP!C169</f>
        <v>V1017</v>
      </c>
      <c r="C172" s="16" t="str">
        <f aca="false">IFERROR(INDEX(Vendor_Master!$B$2:$B$41,MATCH(B172,Vendor_Master!$A$2:$A$41,0)),"Unknown Vendor")</f>
        <v>Hawkins, Cohen and Cameron</v>
      </c>
      <c r="D172" s="16" t="str">
        <f aca="false">IFERROR(INDEX(Vendor_Master!$D$2:$D$41,MATCH(B172,Vendor_Master!$A$2:$A$41,0)),"Unknown")</f>
        <v>USA</v>
      </c>
      <c r="E172" s="17" t="n">
        <f aca="false">IFERROR(INDEX(Vendor_Master!$E$2:$E$41,MATCH(B172,Vendor_Master!$A$2:$A$41,0)),"")</f>
        <v>46025</v>
      </c>
      <c r="F172" s="17" t="n">
        <f aca="false">Payment_Log_AP!D169</f>
        <v>46089</v>
      </c>
      <c r="G172" s="18" t="n">
        <f aca="false">Payment_Log_AP!E169</f>
        <v>3612.23</v>
      </c>
      <c r="H172" s="16" t="n">
        <f aca="false">IF(G172&gt;=Assumptions!$B$7,40,IF(G172&gt;=Assumptions!$B$8,20,0))</f>
        <v>0</v>
      </c>
      <c r="I172" s="16" t="n">
        <f aca="false">IF(MOD(G172,500)=0,20,IF(MOD(G172,100)=0,10,0))</f>
        <v>0</v>
      </c>
      <c r="J172" s="16" t="n">
        <f aca="false">IF(AND(E172&lt;&gt;"",F172-E172&lt;=Assumptions!$B$9),25,0)</f>
        <v>25</v>
      </c>
      <c r="K172" s="16" t="n">
        <f aca="false">IF(ISNUMBER(SEARCH(D172,Assumptions!$B$10)),15,0)</f>
        <v>0</v>
      </c>
      <c r="L172" s="16" t="n">
        <f aca="false">H172+I172+J172+K172</f>
        <v>25</v>
      </c>
      <c r="M172" s="16" t="str">
        <f aca="false">IF(L172&gt;=60,"High",IF(L172&gt;=30,"Medium","Low"))</f>
        <v>Low</v>
      </c>
    </row>
    <row r="173" customFormat="false" ht="15" hidden="false" customHeight="false" outlineLevel="0" collapsed="false">
      <c r="A173" s="16" t="str">
        <f aca="false">Payment_Log_AP!A170</f>
        <v>PAY40169</v>
      </c>
      <c r="B173" s="16" t="str">
        <f aca="false">Payment_Log_AP!C170</f>
        <v>V1008</v>
      </c>
      <c r="C173" s="16" t="str">
        <f aca="false">IFERROR(INDEX(Vendor_Master!$B$2:$B$41,MATCH(B173,Vendor_Master!$A$2:$A$41,0)),"Unknown Vendor")</f>
        <v>Davis Inc</v>
      </c>
      <c r="D173" s="16" t="str">
        <f aca="false">IFERROR(INDEX(Vendor_Master!$D$2:$D$41,MATCH(B173,Vendor_Master!$A$2:$A$41,0)),"Unknown")</f>
        <v>Canada</v>
      </c>
      <c r="E173" s="17" t="n">
        <f aca="false">IFERROR(INDEX(Vendor_Master!$E$2:$E$41,MATCH(B173,Vendor_Master!$A$2:$A$41,0)),"")</f>
        <v>45769</v>
      </c>
      <c r="F173" s="17" t="n">
        <f aca="false">Payment_Log_AP!D170</f>
        <v>45789</v>
      </c>
      <c r="G173" s="18" t="n">
        <f aca="false">Payment_Log_AP!E170</f>
        <v>1825.14</v>
      </c>
      <c r="H173" s="16" t="n">
        <f aca="false">IF(G173&gt;=Assumptions!$B$7,40,IF(G173&gt;=Assumptions!$B$8,20,0))</f>
        <v>0</v>
      </c>
      <c r="I173" s="16" t="n">
        <f aca="false">IF(MOD(G173,500)=0,20,IF(MOD(G173,100)=0,10,0))</f>
        <v>0</v>
      </c>
      <c r="J173" s="16" t="n">
        <f aca="false">IF(AND(E173&lt;&gt;"",F173-E173&lt;=Assumptions!$B$9),25,0)</f>
        <v>25</v>
      </c>
      <c r="K173" s="16" t="n">
        <f aca="false">IF(ISNUMBER(SEARCH(D173,Assumptions!$B$10)),15,0)</f>
        <v>0</v>
      </c>
      <c r="L173" s="16" t="n">
        <f aca="false">H173+I173+J173+K173</f>
        <v>25</v>
      </c>
      <c r="M173" s="16" t="str">
        <f aca="false">IF(L173&gt;=60,"High",IF(L173&gt;=30,"Medium","Low"))</f>
        <v>Low</v>
      </c>
    </row>
    <row r="174" customFormat="false" ht="15" hidden="false" customHeight="false" outlineLevel="0" collapsed="false">
      <c r="A174" s="16" t="str">
        <f aca="false">Payment_Log_AP!A171</f>
        <v>PAY40170</v>
      </c>
      <c r="B174" s="16" t="str">
        <f aca="false">Payment_Log_AP!C171</f>
        <v>V1022</v>
      </c>
      <c r="C174" s="16" t="str">
        <f aca="false">IFERROR(INDEX(Vendor_Master!$B$2:$B$41,MATCH(B174,Vendor_Master!$A$2:$A$41,0)),"Unknown Vendor")</f>
        <v>Burgess-Patterson</v>
      </c>
      <c r="D174" s="16" t="str">
        <f aca="false">IFERROR(INDEX(Vendor_Master!$D$2:$D$41,MATCH(B174,Vendor_Master!$A$2:$A$41,0)),"Unknown")</f>
        <v>Germany</v>
      </c>
      <c r="E174" s="17" t="n">
        <f aca="false">IFERROR(INDEX(Vendor_Master!$E$2:$E$41,MATCH(B174,Vendor_Master!$A$2:$A$41,0)),"")</f>
        <v>45449</v>
      </c>
      <c r="F174" s="17" t="n">
        <f aca="false">Payment_Log_AP!D171</f>
        <v>45684</v>
      </c>
      <c r="G174" s="18" t="n">
        <f aca="false">Payment_Log_AP!E171</f>
        <v>21706.69</v>
      </c>
      <c r="H174" s="16" t="n">
        <f aca="false">IF(G174&gt;=Assumptions!$B$7,40,IF(G174&gt;=Assumptions!$B$8,20,0))</f>
        <v>40</v>
      </c>
      <c r="I174" s="16" t="n">
        <f aca="false">IF(MOD(G174,500)=0,20,IF(MOD(G174,100)=0,10,0))</f>
        <v>0</v>
      </c>
      <c r="J174" s="16" t="n">
        <f aca="false">IF(AND(E174&lt;&gt;"",F174-E174&lt;=Assumptions!$B$9),25,0)</f>
        <v>0</v>
      </c>
      <c r="K174" s="16" t="n">
        <f aca="false">IF(ISNUMBER(SEARCH(D174,Assumptions!$B$10)),15,0)</f>
        <v>0</v>
      </c>
      <c r="L174" s="16" t="n">
        <f aca="false">H174+I174+J174+K174</f>
        <v>40</v>
      </c>
      <c r="M174" s="16" t="str">
        <f aca="false">IF(L174&gt;=60,"High",IF(L174&gt;=30,"Medium","Low"))</f>
        <v>Medium</v>
      </c>
    </row>
    <row r="175" customFormat="false" ht="15" hidden="false" customHeight="false" outlineLevel="0" collapsed="false">
      <c r="A175" s="16" t="str">
        <f aca="false">Payment_Log_AP!A172</f>
        <v>PAY40171</v>
      </c>
      <c r="B175" s="16" t="str">
        <f aca="false">Payment_Log_AP!C172</f>
        <v>V1011</v>
      </c>
      <c r="C175" s="16" t="str">
        <f aca="false">IFERROR(INDEX(Vendor_Master!$B$2:$B$41,MATCH(B175,Vendor_Master!$A$2:$A$41,0)),"Unknown Vendor")</f>
        <v>Montgomery, Hensley and Ray</v>
      </c>
      <c r="D175" s="16" t="str">
        <f aca="false">IFERROR(INDEX(Vendor_Master!$D$2:$D$41,MATCH(B175,Vendor_Master!$A$2:$A$41,0)),"Unknown")</f>
        <v>USA</v>
      </c>
      <c r="E175" s="17" t="n">
        <f aca="false">IFERROR(INDEX(Vendor_Master!$E$2:$E$41,MATCH(B175,Vendor_Master!$A$2:$A$41,0)),"")</f>
        <v>45025</v>
      </c>
      <c r="F175" s="17" t="n">
        <f aca="false">Payment_Log_AP!D172</f>
        <v>45778</v>
      </c>
      <c r="G175" s="18" t="n">
        <f aca="false">Payment_Log_AP!E172</f>
        <v>342.72</v>
      </c>
      <c r="H175" s="16" t="n">
        <f aca="false">IF(G175&gt;=Assumptions!$B$7,40,IF(G175&gt;=Assumptions!$B$8,20,0))</f>
        <v>0</v>
      </c>
      <c r="I175" s="16" t="n">
        <f aca="false">IF(MOD(G175,500)=0,20,IF(MOD(G175,100)=0,10,0))</f>
        <v>0</v>
      </c>
      <c r="J175" s="16" t="n">
        <f aca="false">IF(AND(E175&lt;&gt;"",F175-E175&lt;=Assumptions!$B$9),25,0)</f>
        <v>0</v>
      </c>
      <c r="K175" s="16" t="n">
        <f aca="false">IF(ISNUMBER(SEARCH(D175,Assumptions!$B$10)),15,0)</f>
        <v>0</v>
      </c>
      <c r="L175" s="16" t="n">
        <f aca="false">H175+I175+J175+K175</f>
        <v>0</v>
      </c>
      <c r="M175" s="16" t="str">
        <f aca="false">IF(L175&gt;=60,"High",IF(L175&gt;=30,"Medium","Low"))</f>
        <v>Low</v>
      </c>
    </row>
    <row r="176" customFormat="false" ht="15" hidden="false" customHeight="false" outlineLevel="0" collapsed="false">
      <c r="A176" s="16" t="str">
        <f aca="false">Payment_Log_AP!A173</f>
        <v>PAY40172</v>
      </c>
      <c r="B176" s="16" t="str">
        <f aca="false">Payment_Log_AP!C173</f>
        <v>V1007</v>
      </c>
      <c r="C176" s="16" t="str">
        <f aca="false">IFERROR(INDEX(Vendor_Master!$B$2:$B$41,MATCH(B176,Vendor_Master!$A$2:$A$41,0)),"Unknown Vendor")</f>
        <v>Ramirez-Lewis</v>
      </c>
      <c r="D176" s="16" t="str">
        <f aca="false">IFERROR(INDEX(Vendor_Master!$D$2:$D$41,MATCH(B176,Vendor_Master!$A$2:$A$41,0)),"Unknown")</f>
        <v>Germany</v>
      </c>
      <c r="E176" s="17" t="n">
        <f aca="false">IFERROR(INDEX(Vendor_Master!$E$2:$E$41,MATCH(B176,Vendor_Master!$A$2:$A$41,0)),"")</f>
        <v>45665</v>
      </c>
      <c r="F176" s="17" t="n">
        <f aca="false">Payment_Log_AP!D173</f>
        <v>45738</v>
      </c>
      <c r="G176" s="18" t="n">
        <f aca="false">Payment_Log_AP!E173</f>
        <v>781.51</v>
      </c>
      <c r="H176" s="16" t="n">
        <f aca="false">IF(G176&gt;=Assumptions!$B$7,40,IF(G176&gt;=Assumptions!$B$8,20,0))</f>
        <v>0</v>
      </c>
      <c r="I176" s="16" t="n">
        <f aca="false">IF(MOD(G176,500)=0,20,IF(MOD(G176,100)=0,10,0))</f>
        <v>0</v>
      </c>
      <c r="J176" s="16" t="n">
        <f aca="false">IF(AND(E176&lt;&gt;"",F176-E176&lt;=Assumptions!$B$9),25,0)</f>
        <v>25</v>
      </c>
      <c r="K176" s="16" t="n">
        <f aca="false">IF(ISNUMBER(SEARCH(D176,Assumptions!$B$10)),15,0)</f>
        <v>0</v>
      </c>
      <c r="L176" s="16" t="n">
        <f aca="false">H176+I176+J176+K176</f>
        <v>25</v>
      </c>
      <c r="M176" s="16" t="str">
        <f aca="false">IF(L176&gt;=60,"High",IF(L176&gt;=30,"Medium","Low"))</f>
        <v>Low</v>
      </c>
    </row>
    <row r="177" customFormat="false" ht="15" hidden="false" customHeight="false" outlineLevel="0" collapsed="false">
      <c r="A177" s="16" t="str">
        <f aca="false">Payment_Log_AP!A174</f>
        <v>PAY40173</v>
      </c>
      <c r="B177" s="16" t="str">
        <f aca="false">Payment_Log_AP!C174</f>
        <v>V1021</v>
      </c>
      <c r="C177" s="16" t="str">
        <f aca="false">IFERROR(INDEX(Vendor_Master!$B$2:$B$41,MATCH(B177,Vendor_Master!$A$2:$A$41,0)),"Unknown Vendor")</f>
        <v>Ellis, Baker and Wright</v>
      </c>
      <c r="D177" s="16" t="str">
        <f aca="false">IFERROR(INDEX(Vendor_Master!$D$2:$D$41,MATCH(B177,Vendor_Master!$A$2:$A$41,0)),"Unknown")</f>
        <v>UAE</v>
      </c>
      <c r="E177" s="17" t="n">
        <f aca="false">IFERROR(INDEX(Vendor_Master!$E$2:$E$41,MATCH(B177,Vendor_Master!$A$2:$A$41,0)),"")</f>
        <v>45960</v>
      </c>
      <c r="F177" s="17" t="n">
        <f aca="false">Payment_Log_AP!D174</f>
        <v>46055</v>
      </c>
      <c r="G177" s="18" t="n">
        <f aca="false">Payment_Log_AP!E174</f>
        <v>5652.95</v>
      </c>
      <c r="H177" s="16" t="n">
        <f aca="false">IF(G177&gt;=Assumptions!$B$7,40,IF(G177&gt;=Assumptions!$B$8,20,0))</f>
        <v>20</v>
      </c>
      <c r="I177" s="16" t="n">
        <f aca="false">IF(MOD(G177,500)=0,20,IF(MOD(G177,100)=0,10,0))</f>
        <v>0</v>
      </c>
      <c r="J177" s="16" t="n">
        <f aca="false">IF(AND(E177&lt;&gt;"",F177-E177&lt;=Assumptions!$B$9),25,0)</f>
        <v>25</v>
      </c>
      <c r="K177" s="16" t="n">
        <f aca="false">IF(ISNUMBER(SEARCH(D177,Assumptions!$B$10)),15,0)</f>
        <v>15</v>
      </c>
      <c r="L177" s="16" t="n">
        <f aca="false">H177+I177+J177+K177</f>
        <v>60</v>
      </c>
      <c r="M177" s="16" t="str">
        <f aca="false">IF(L177&gt;=60,"High",IF(L177&gt;=30,"Medium","Low"))</f>
        <v>High</v>
      </c>
    </row>
    <row r="178" customFormat="false" ht="15" hidden="false" customHeight="false" outlineLevel="0" collapsed="false">
      <c r="A178" s="16" t="str">
        <f aca="false">Payment_Log_AP!A175</f>
        <v>PAY40174</v>
      </c>
      <c r="B178" s="16" t="str">
        <f aca="false">Payment_Log_AP!C175</f>
        <v>V1010</v>
      </c>
      <c r="C178" s="16" t="str">
        <f aca="false">IFERROR(INDEX(Vendor_Master!$B$2:$B$41,MATCH(B178,Vendor_Master!$A$2:$A$41,0)),"Unknown Vendor")</f>
        <v>Martinez, Nielsen and Miller</v>
      </c>
      <c r="D178" s="16" t="str">
        <f aca="false">IFERROR(INDEX(Vendor_Master!$D$2:$D$41,MATCH(B178,Vendor_Master!$A$2:$A$41,0)),"Unknown")</f>
        <v>India</v>
      </c>
      <c r="E178" s="17" t="n">
        <f aca="false">IFERROR(INDEX(Vendor_Master!$E$2:$E$41,MATCH(B178,Vendor_Master!$A$2:$A$41,0)),"")</f>
        <v>45715</v>
      </c>
      <c r="F178" s="17" t="n">
        <f aca="false">Payment_Log_AP!D175</f>
        <v>45996</v>
      </c>
      <c r="G178" s="18" t="n">
        <f aca="false">Payment_Log_AP!E175</f>
        <v>133.11</v>
      </c>
      <c r="H178" s="16" t="n">
        <f aca="false">IF(G178&gt;=Assumptions!$B$7,40,IF(G178&gt;=Assumptions!$B$8,20,0))</f>
        <v>0</v>
      </c>
      <c r="I178" s="16" t="n">
        <f aca="false">IF(MOD(G178,500)=0,20,IF(MOD(G178,100)=0,10,0))</f>
        <v>0</v>
      </c>
      <c r="J178" s="16" t="n">
        <f aca="false">IF(AND(E178&lt;&gt;"",F178-E178&lt;=Assumptions!$B$9),25,0)</f>
        <v>0</v>
      </c>
      <c r="K178" s="16" t="n">
        <f aca="false">IF(ISNUMBER(SEARCH(D178,Assumptions!$B$10)),15,0)</f>
        <v>15</v>
      </c>
      <c r="L178" s="16" t="n">
        <f aca="false">H178+I178+J178+K178</f>
        <v>15</v>
      </c>
      <c r="M178" s="16" t="str">
        <f aca="false">IF(L178&gt;=60,"High",IF(L178&gt;=30,"Medium","Low"))</f>
        <v>Low</v>
      </c>
    </row>
    <row r="179" customFormat="false" ht="15" hidden="false" customHeight="false" outlineLevel="0" collapsed="false">
      <c r="A179" s="16" t="str">
        <f aca="false">Payment_Log_AP!A176</f>
        <v>PAY40175</v>
      </c>
      <c r="B179" s="16" t="str">
        <f aca="false">Payment_Log_AP!C176</f>
        <v>V1013</v>
      </c>
      <c r="C179" s="16" t="str">
        <f aca="false">IFERROR(INDEX(Vendor_Master!$B$2:$B$41,MATCH(B179,Vendor_Master!$A$2:$A$41,0)),"Unknown Vendor")</f>
        <v>Delacruz Group</v>
      </c>
      <c r="D179" s="16" t="str">
        <f aca="false">IFERROR(INDEX(Vendor_Master!$D$2:$D$41,MATCH(B179,Vendor_Master!$A$2:$A$41,0)),"Unknown")</f>
        <v>USA</v>
      </c>
      <c r="E179" s="17" t="n">
        <f aca="false">IFERROR(INDEX(Vendor_Master!$E$2:$E$41,MATCH(B179,Vendor_Master!$A$2:$A$41,0)),"")</f>
        <v>46119</v>
      </c>
      <c r="F179" s="17" t="n">
        <f aca="false">Payment_Log_AP!D176</f>
        <v>45809</v>
      </c>
      <c r="G179" s="18" t="n">
        <f aca="false">Payment_Log_AP!E176</f>
        <v>17090.48</v>
      </c>
      <c r="H179" s="16" t="n">
        <f aca="false">IF(G179&gt;=Assumptions!$B$7,40,IF(G179&gt;=Assumptions!$B$8,20,0))</f>
        <v>40</v>
      </c>
      <c r="I179" s="16" t="n">
        <f aca="false">IF(MOD(G179,500)=0,20,IF(MOD(G179,100)=0,10,0))</f>
        <v>0</v>
      </c>
      <c r="J179" s="16" t="n">
        <f aca="false">IF(AND(E179&lt;&gt;"",F179-E179&lt;=Assumptions!$B$9),25,0)</f>
        <v>25</v>
      </c>
      <c r="K179" s="16" t="n">
        <f aca="false">IF(ISNUMBER(SEARCH(D179,Assumptions!$B$10)),15,0)</f>
        <v>0</v>
      </c>
      <c r="L179" s="16" t="n">
        <f aca="false">H179+I179+J179+K179</f>
        <v>65</v>
      </c>
      <c r="M179" s="16" t="str">
        <f aca="false">IF(L179&gt;=60,"High",IF(L179&gt;=30,"Medium","Low"))</f>
        <v>High</v>
      </c>
    </row>
    <row r="180" customFormat="false" ht="15" hidden="false" customHeight="false" outlineLevel="0" collapsed="false">
      <c r="A180" s="16" t="str">
        <f aca="false">Payment_Log_AP!A177</f>
        <v>PAY40176</v>
      </c>
      <c r="B180" s="16" t="str">
        <f aca="false">Payment_Log_AP!C177</f>
        <v>V1015</v>
      </c>
      <c r="C180" s="16" t="str">
        <f aca="false">IFERROR(INDEX(Vendor_Master!$B$2:$B$41,MATCH(B180,Vendor_Master!$A$2:$A$41,0)),"Unknown Vendor")</f>
        <v>Zuniga, Wong and Lynch</v>
      </c>
      <c r="D180" s="16" t="str">
        <f aca="false">IFERROR(INDEX(Vendor_Master!$D$2:$D$41,MATCH(B180,Vendor_Master!$A$2:$A$41,0)),"Unknown")</f>
        <v>USA</v>
      </c>
      <c r="E180" s="17" t="n">
        <f aca="false">IFERROR(INDEX(Vendor_Master!$E$2:$E$41,MATCH(B180,Vendor_Master!$A$2:$A$41,0)),"")</f>
        <v>45621</v>
      </c>
      <c r="F180" s="17" t="n">
        <f aca="false">Payment_Log_AP!D177</f>
        <v>46094</v>
      </c>
      <c r="G180" s="18" t="n">
        <f aca="false">Payment_Log_AP!E177</f>
        <v>8157.32</v>
      </c>
      <c r="H180" s="16" t="n">
        <f aca="false">IF(G180&gt;=Assumptions!$B$7,40,IF(G180&gt;=Assumptions!$B$8,20,0))</f>
        <v>20</v>
      </c>
      <c r="I180" s="16" t="n">
        <f aca="false">IF(MOD(G180,500)=0,20,IF(MOD(G180,100)=0,10,0))</f>
        <v>0</v>
      </c>
      <c r="J180" s="16" t="n">
        <f aca="false">IF(AND(E180&lt;&gt;"",F180-E180&lt;=Assumptions!$B$9),25,0)</f>
        <v>0</v>
      </c>
      <c r="K180" s="16" t="n">
        <f aca="false">IF(ISNUMBER(SEARCH(D180,Assumptions!$B$10)),15,0)</f>
        <v>0</v>
      </c>
      <c r="L180" s="16" t="n">
        <f aca="false">H180+I180+J180+K180</f>
        <v>20</v>
      </c>
      <c r="M180" s="16" t="str">
        <f aca="false">IF(L180&gt;=60,"High",IF(L180&gt;=30,"Medium","Low"))</f>
        <v>Low</v>
      </c>
    </row>
    <row r="181" customFormat="false" ht="15" hidden="false" customHeight="false" outlineLevel="0" collapsed="false">
      <c r="A181" s="16" t="str">
        <f aca="false">Payment_Log_AP!A178</f>
        <v>PAY40177</v>
      </c>
      <c r="B181" s="16" t="str">
        <f aca="false">Payment_Log_AP!C178</f>
        <v>V1018</v>
      </c>
      <c r="C181" s="16" t="str">
        <f aca="false">IFERROR(INDEX(Vendor_Master!$B$2:$B$41,MATCH(B181,Vendor_Master!$A$2:$A$41,0)),"Unknown Vendor")</f>
        <v>Underwood LLC</v>
      </c>
      <c r="D181" s="16" t="str">
        <f aca="false">IFERROR(INDEX(Vendor_Master!$D$2:$D$41,MATCH(B181,Vendor_Master!$A$2:$A$41,0)),"Unknown")</f>
        <v>UAE</v>
      </c>
      <c r="E181" s="17" t="n">
        <f aca="false">IFERROR(INDEX(Vendor_Master!$E$2:$E$41,MATCH(B181,Vendor_Master!$A$2:$A$41,0)),"")</f>
        <v>45788</v>
      </c>
      <c r="F181" s="17" t="n">
        <f aca="false">Payment_Log_AP!D178</f>
        <v>46118</v>
      </c>
      <c r="G181" s="18" t="n">
        <f aca="false">Payment_Log_AP!E178</f>
        <v>547.49</v>
      </c>
      <c r="H181" s="16" t="n">
        <f aca="false">IF(G181&gt;=Assumptions!$B$7,40,IF(G181&gt;=Assumptions!$B$8,20,0))</f>
        <v>0</v>
      </c>
      <c r="I181" s="16" t="n">
        <f aca="false">IF(MOD(G181,500)=0,20,IF(MOD(G181,100)=0,10,0))</f>
        <v>0</v>
      </c>
      <c r="J181" s="16" t="n">
        <f aca="false">IF(AND(E181&lt;&gt;"",F181-E181&lt;=Assumptions!$B$9),25,0)</f>
        <v>0</v>
      </c>
      <c r="K181" s="16" t="n">
        <f aca="false">IF(ISNUMBER(SEARCH(D181,Assumptions!$B$10)),15,0)</f>
        <v>15</v>
      </c>
      <c r="L181" s="16" t="n">
        <f aca="false">H181+I181+J181+K181</f>
        <v>15</v>
      </c>
      <c r="M181" s="16" t="str">
        <f aca="false">IF(L181&gt;=60,"High",IF(L181&gt;=30,"Medium","Low"))</f>
        <v>Low</v>
      </c>
    </row>
    <row r="182" customFormat="false" ht="15" hidden="false" customHeight="false" outlineLevel="0" collapsed="false">
      <c r="A182" s="16" t="str">
        <f aca="false">Payment_Log_AP!A179</f>
        <v>PAY40178</v>
      </c>
      <c r="B182" s="16" t="str">
        <f aca="false">Payment_Log_AP!C179</f>
        <v>V1036</v>
      </c>
      <c r="C182" s="16" t="str">
        <f aca="false">IFERROR(INDEX(Vendor_Master!$B$2:$B$41,MATCH(B182,Vendor_Master!$A$2:$A$41,0)),"Unknown Vendor")</f>
        <v>Dennis Inc</v>
      </c>
      <c r="D182" s="16" t="str">
        <f aca="false">IFERROR(INDEX(Vendor_Master!$D$2:$D$41,MATCH(B182,Vendor_Master!$A$2:$A$41,0)),"Unknown")</f>
        <v>Singapore</v>
      </c>
      <c r="E182" s="17" t="n">
        <f aca="false">IFERROR(INDEX(Vendor_Master!$E$2:$E$41,MATCH(B182,Vendor_Master!$A$2:$A$41,0)),"")</f>
        <v>46059</v>
      </c>
      <c r="F182" s="17" t="n">
        <f aca="false">Payment_Log_AP!D179</f>
        <v>45769</v>
      </c>
      <c r="G182" s="18" t="n">
        <f aca="false">Payment_Log_AP!E179</f>
        <v>10027.78</v>
      </c>
      <c r="H182" s="16" t="n">
        <f aca="false">IF(G182&gt;=Assumptions!$B$7,40,IF(G182&gt;=Assumptions!$B$8,20,0))</f>
        <v>40</v>
      </c>
      <c r="I182" s="16" t="n">
        <f aca="false">IF(MOD(G182,500)=0,20,IF(MOD(G182,100)=0,10,0))</f>
        <v>0</v>
      </c>
      <c r="J182" s="16" t="n">
        <f aca="false">IF(AND(E182&lt;&gt;"",F182-E182&lt;=Assumptions!$B$9),25,0)</f>
        <v>25</v>
      </c>
      <c r="K182" s="16" t="n">
        <f aca="false">IF(ISNUMBER(SEARCH(D182,Assumptions!$B$10)),15,0)</f>
        <v>15</v>
      </c>
      <c r="L182" s="16" t="n">
        <f aca="false">H182+I182+J182+K182</f>
        <v>80</v>
      </c>
      <c r="M182" s="16" t="str">
        <f aca="false">IF(L182&gt;=60,"High",IF(L182&gt;=30,"Medium","Low"))</f>
        <v>High</v>
      </c>
    </row>
    <row r="183" customFormat="false" ht="15" hidden="false" customHeight="false" outlineLevel="0" collapsed="false">
      <c r="A183" s="16" t="str">
        <f aca="false">Payment_Log_AP!A180</f>
        <v>PAY40179</v>
      </c>
      <c r="B183" s="16" t="str">
        <f aca="false">Payment_Log_AP!C180</f>
        <v>V1031</v>
      </c>
      <c r="C183" s="16" t="str">
        <f aca="false">IFERROR(INDEX(Vendor_Master!$B$2:$B$41,MATCH(B183,Vendor_Master!$A$2:$A$41,0)),"Unknown Vendor")</f>
        <v>Harrell LLC</v>
      </c>
      <c r="D183" s="16" t="str">
        <f aca="false">IFERROR(INDEX(Vendor_Master!$D$2:$D$41,MATCH(B183,Vendor_Master!$A$2:$A$41,0)),"Unknown")</f>
        <v>Canada</v>
      </c>
      <c r="E183" s="17" t="n">
        <f aca="false">IFERROR(INDEX(Vendor_Master!$E$2:$E$41,MATCH(B183,Vendor_Master!$A$2:$A$41,0)),"")</f>
        <v>45364</v>
      </c>
      <c r="F183" s="17" t="n">
        <f aca="false">Payment_Log_AP!D180</f>
        <v>46034</v>
      </c>
      <c r="G183" s="18" t="n">
        <f aca="false">Payment_Log_AP!E180</f>
        <v>3961.93</v>
      </c>
      <c r="H183" s="16" t="n">
        <f aca="false">IF(G183&gt;=Assumptions!$B$7,40,IF(G183&gt;=Assumptions!$B$8,20,0))</f>
        <v>0</v>
      </c>
      <c r="I183" s="16" t="n">
        <f aca="false">IF(MOD(G183,500)=0,20,IF(MOD(G183,100)=0,10,0))</f>
        <v>0</v>
      </c>
      <c r="J183" s="16" t="n">
        <f aca="false">IF(AND(E183&lt;&gt;"",F183-E183&lt;=Assumptions!$B$9),25,0)</f>
        <v>0</v>
      </c>
      <c r="K183" s="16" t="n">
        <f aca="false">IF(ISNUMBER(SEARCH(D183,Assumptions!$B$10)),15,0)</f>
        <v>0</v>
      </c>
      <c r="L183" s="16" t="n">
        <f aca="false">H183+I183+J183+K183</f>
        <v>0</v>
      </c>
      <c r="M183" s="16" t="str">
        <f aca="false">IF(L183&gt;=60,"High",IF(L183&gt;=30,"Medium","Low"))</f>
        <v>Low</v>
      </c>
    </row>
    <row r="184" customFormat="false" ht="15" hidden="false" customHeight="false" outlineLevel="0" collapsed="false">
      <c r="A184" s="16" t="str">
        <f aca="false">Payment_Log_AP!A181</f>
        <v>PAY40180</v>
      </c>
      <c r="B184" s="16" t="str">
        <f aca="false">Payment_Log_AP!C181</f>
        <v>V1036</v>
      </c>
      <c r="C184" s="16" t="str">
        <f aca="false">IFERROR(INDEX(Vendor_Master!$B$2:$B$41,MATCH(B184,Vendor_Master!$A$2:$A$41,0)),"Unknown Vendor")</f>
        <v>Dennis Inc</v>
      </c>
      <c r="D184" s="16" t="str">
        <f aca="false">IFERROR(INDEX(Vendor_Master!$D$2:$D$41,MATCH(B184,Vendor_Master!$A$2:$A$41,0)),"Unknown")</f>
        <v>Singapore</v>
      </c>
      <c r="E184" s="17" t="n">
        <f aca="false">IFERROR(INDEX(Vendor_Master!$E$2:$E$41,MATCH(B184,Vendor_Master!$A$2:$A$41,0)),"")</f>
        <v>46059</v>
      </c>
      <c r="F184" s="17" t="n">
        <f aca="false">Payment_Log_AP!D181</f>
        <v>46082</v>
      </c>
      <c r="G184" s="18" t="n">
        <f aca="false">Payment_Log_AP!E181</f>
        <v>2554.75</v>
      </c>
      <c r="H184" s="16" t="n">
        <f aca="false">IF(G184&gt;=Assumptions!$B$7,40,IF(G184&gt;=Assumptions!$B$8,20,0))</f>
        <v>0</v>
      </c>
      <c r="I184" s="16" t="n">
        <f aca="false">IF(MOD(G184,500)=0,20,IF(MOD(G184,100)=0,10,0))</f>
        <v>0</v>
      </c>
      <c r="J184" s="16" t="n">
        <f aca="false">IF(AND(E184&lt;&gt;"",F184-E184&lt;=Assumptions!$B$9),25,0)</f>
        <v>25</v>
      </c>
      <c r="K184" s="16" t="n">
        <f aca="false">IF(ISNUMBER(SEARCH(D184,Assumptions!$B$10)),15,0)</f>
        <v>15</v>
      </c>
      <c r="L184" s="16" t="n">
        <f aca="false">H184+I184+J184+K184</f>
        <v>40</v>
      </c>
      <c r="M184" s="16" t="str">
        <f aca="false">IF(L184&gt;=60,"High",IF(L184&gt;=30,"Medium","Low"))</f>
        <v>Medium</v>
      </c>
    </row>
    <row r="185" customFormat="false" ht="15" hidden="false" customHeight="false" outlineLevel="0" collapsed="false">
      <c r="A185" s="16" t="str">
        <f aca="false">Payment_Log_AP!A182</f>
        <v>PAY40181</v>
      </c>
      <c r="B185" s="16" t="str">
        <f aca="false">Payment_Log_AP!C182</f>
        <v>V1036</v>
      </c>
      <c r="C185" s="16" t="str">
        <f aca="false">IFERROR(INDEX(Vendor_Master!$B$2:$B$41,MATCH(B185,Vendor_Master!$A$2:$A$41,0)),"Unknown Vendor")</f>
        <v>Dennis Inc</v>
      </c>
      <c r="D185" s="16" t="str">
        <f aca="false">IFERROR(INDEX(Vendor_Master!$D$2:$D$41,MATCH(B185,Vendor_Master!$A$2:$A$41,0)),"Unknown")</f>
        <v>Singapore</v>
      </c>
      <c r="E185" s="17" t="n">
        <f aca="false">IFERROR(INDEX(Vendor_Master!$E$2:$E$41,MATCH(B185,Vendor_Master!$A$2:$A$41,0)),"")</f>
        <v>46059</v>
      </c>
      <c r="F185" s="17" t="n">
        <f aca="false">Payment_Log_AP!D182</f>
        <v>45739</v>
      </c>
      <c r="G185" s="18" t="n">
        <f aca="false">Payment_Log_AP!E182</f>
        <v>1471.18</v>
      </c>
      <c r="H185" s="16" t="n">
        <f aca="false">IF(G185&gt;=Assumptions!$B$7,40,IF(G185&gt;=Assumptions!$B$8,20,0))</f>
        <v>0</v>
      </c>
      <c r="I185" s="16" t="n">
        <f aca="false">IF(MOD(G185,500)=0,20,IF(MOD(G185,100)=0,10,0))</f>
        <v>0</v>
      </c>
      <c r="J185" s="16" t="n">
        <f aca="false">IF(AND(E185&lt;&gt;"",F185-E185&lt;=Assumptions!$B$9),25,0)</f>
        <v>25</v>
      </c>
      <c r="K185" s="16" t="n">
        <f aca="false">IF(ISNUMBER(SEARCH(D185,Assumptions!$B$10)),15,0)</f>
        <v>15</v>
      </c>
      <c r="L185" s="16" t="n">
        <f aca="false">H185+I185+J185+K185</f>
        <v>40</v>
      </c>
      <c r="M185" s="16" t="str">
        <f aca="false">IF(L185&gt;=60,"High",IF(L185&gt;=30,"Medium","Low"))</f>
        <v>Medium</v>
      </c>
    </row>
    <row r="186" customFormat="false" ht="15" hidden="false" customHeight="false" outlineLevel="0" collapsed="false">
      <c r="A186" s="16" t="str">
        <f aca="false">Payment_Log_AP!A183</f>
        <v>PAY40182</v>
      </c>
      <c r="B186" s="16" t="str">
        <f aca="false">Payment_Log_AP!C183</f>
        <v>V1006</v>
      </c>
      <c r="C186" s="16" t="str">
        <f aca="false">IFERROR(INDEX(Vendor_Master!$B$2:$B$41,MATCH(B186,Vendor_Master!$A$2:$A$41,0)),"Unknown Vendor")</f>
        <v>Blake and Sons</v>
      </c>
      <c r="D186" s="16" t="str">
        <f aca="false">IFERROR(INDEX(Vendor_Master!$D$2:$D$41,MATCH(B186,Vendor_Master!$A$2:$A$41,0)),"Unknown")</f>
        <v>UK</v>
      </c>
      <c r="E186" s="17" t="n">
        <f aca="false">IFERROR(INDEX(Vendor_Master!$E$2:$E$41,MATCH(B186,Vendor_Master!$A$2:$A$41,0)),"")</f>
        <v>45841</v>
      </c>
      <c r="F186" s="17" t="n">
        <f aca="false">Payment_Log_AP!D183</f>
        <v>46143</v>
      </c>
      <c r="G186" s="18" t="n">
        <f aca="false">Payment_Log_AP!E183</f>
        <v>682.63</v>
      </c>
      <c r="H186" s="16" t="n">
        <f aca="false">IF(G186&gt;=Assumptions!$B$7,40,IF(G186&gt;=Assumptions!$B$8,20,0))</f>
        <v>0</v>
      </c>
      <c r="I186" s="16" t="n">
        <f aca="false">IF(MOD(G186,500)=0,20,IF(MOD(G186,100)=0,10,0))</f>
        <v>0</v>
      </c>
      <c r="J186" s="16" t="n">
        <f aca="false">IF(AND(E186&lt;&gt;"",F186-E186&lt;=Assumptions!$B$9),25,0)</f>
        <v>0</v>
      </c>
      <c r="K186" s="16" t="n">
        <f aca="false">IF(ISNUMBER(SEARCH(D186,Assumptions!$B$10)),15,0)</f>
        <v>0</v>
      </c>
      <c r="L186" s="16" t="n">
        <f aca="false">H186+I186+J186+K186</f>
        <v>0</v>
      </c>
      <c r="M186" s="16" t="str">
        <f aca="false">IF(L186&gt;=60,"High",IF(L186&gt;=30,"Medium","Low"))</f>
        <v>Low</v>
      </c>
    </row>
    <row r="187" customFormat="false" ht="15" hidden="false" customHeight="false" outlineLevel="0" collapsed="false">
      <c r="A187" s="16" t="str">
        <f aca="false">Payment_Log_AP!A184</f>
        <v>PAY40183</v>
      </c>
      <c r="B187" s="16" t="str">
        <f aca="false">Payment_Log_AP!C184</f>
        <v>V1020</v>
      </c>
      <c r="C187" s="16" t="str">
        <f aca="false">IFERROR(INDEX(Vendor_Master!$B$2:$B$41,MATCH(B187,Vendor_Master!$A$2:$A$41,0)),"Unknown Vendor")</f>
        <v>Lewis-Porter</v>
      </c>
      <c r="D187" s="16" t="str">
        <f aca="false">IFERROR(INDEX(Vendor_Master!$D$2:$D$41,MATCH(B187,Vendor_Master!$A$2:$A$41,0)),"Unknown")</f>
        <v>UAE</v>
      </c>
      <c r="E187" s="17" t="n">
        <f aca="false">IFERROR(INDEX(Vendor_Master!$E$2:$E$41,MATCH(B187,Vendor_Master!$A$2:$A$41,0)),"")</f>
        <v>45947</v>
      </c>
      <c r="F187" s="17" t="n">
        <f aca="false">Payment_Log_AP!D184</f>
        <v>45760</v>
      </c>
      <c r="G187" s="18" t="n">
        <f aca="false">Payment_Log_AP!E184</f>
        <v>7251.89</v>
      </c>
      <c r="H187" s="16" t="n">
        <f aca="false">IF(G187&gt;=Assumptions!$B$7,40,IF(G187&gt;=Assumptions!$B$8,20,0))</f>
        <v>20</v>
      </c>
      <c r="I187" s="16" t="n">
        <f aca="false">IF(MOD(G187,500)=0,20,IF(MOD(G187,100)=0,10,0))</f>
        <v>0</v>
      </c>
      <c r="J187" s="16" t="n">
        <f aca="false">IF(AND(E187&lt;&gt;"",F187-E187&lt;=Assumptions!$B$9),25,0)</f>
        <v>25</v>
      </c>
      <c r="K187" s="16" t="n">
        <f aca="false">IF(ISNUMBER(SEARCH(D187,Assumptions!$B$10)),15,0)</f>
        <v>15</v>
      </c>
      <c r="L187" s="16" t="n">
        <f aca="false">H187+I187+J187+K187</f>
        <v>60</v>
      </c>
      <c r="M187" s="16" t="str">
        <f aca="false">IF(L187&gt;=60,"High",IF(L187&gt;=30,"Medium","Low"))</f>
        <v>High</v>
      </c>
    </row>
    <row r="188" customFormat="false" ht="15" hidden="false" customHeight="false" outlineLevel="0" collapsed="false">
      <c r="A188" s="16" t="str">
        <f aca="false">Payment_Log_AP!A185</f>
        <v>PAY40184</v>
      </c>
      <c r="B188" s="16" t="str">
        <f aca="false">Payment_Log_AP!C185</f>
        <v>V1009</v>
      </c>
      <c r="C188" s="16" t="str">
        <f aca="false">IFERROR(INDEX(Vendor_Master!$B$2:$B$41,MATCH(B188,Vendor_Master!$A$2:$A$41,0)),"Unknown Vendor")</f>
        <v>Munoz-Roman</v>
      </c>
      <c r="D188" s="16" t="str">
        <f aca="false">IFERROR(INDEX(Vendor_Master!$D$2:$D$41,MATCH(B188,Vendor_Master!$A$2:$A$41,0)),"Unknown")</f>
        <v>India</v>
      </c>
      <c r="E188" s="17" t="n">
        <f aca="false">IFERROR(INDEX(Vendor_Master!$E$2:$E$41,MATCH(B188,Vendor_Master!$A$2:$A$41,0)),"")</f>
        <v>45129</v>
      </c>
      <c r="F188" s="17" t="n">
        <f aca="false">Payment_Log_AP!D185</f>
        <v>45708</v>
      </c>
      <c r="G188" s="18" t="n">
        <f aca="false">Payment_Log_AP!E185</f>
        <v>4929.33</v>
      </c>
      <c r="H188" s="16" t="n">
        <f aca="false">IF(G188&gt;=Assumptions!$B$7,40,IF(G188&gt;=Assumptions!$B$8,20,0))</f>
        <v>0</v>
      </c>
      <c r="I188" s="16" t="n">
        <f aca="false">IF(MOD(G188,500)=0,20,IF(MOD(G188,100)=0,10,0))</f>
        <v>0</v>
      </c>
      <c r="J188" s="16" t="n">
        <f aca="false">IF(AND(E188&lt;&gt;"",F188-E188&lt;=Assumptions!$B$9),25,0)</f>
        <v>0</v>
      </c>
      <c r="K188" s="16" t="n">
        <f aca="false">IF(ISNUMBER(SEARCH(D188,Assumptions!$B$10)),15,0)</f>
        <v>15</v>
      </c>
      <c r="L188" s="16" t="n">
        <f aca="false">H188+I188+J188+K188</f>
        <v>15</v>
      </c>
      <c r="M188" s="16" t="str">
        <f aca="false">IF(L188&gt;=60,"High",IF(L188&gt;=30,"Medium","Low"))</f>
        <v>Low</v>
      </c>
    </row>
    <row r="189" customFormat="false" ht="15" hidden="false" customHeight="false" outlineLevel="0" collapsed="false">
      <c r="A189" s="16" t="str">
        <f aca="false">Payment_Log_AP!A186</f>
        <v>PAY40185</v>
      </c>
      <c r="B189" s="16" t="str">
        <f aca="false">Payment_Log_AP!C186</f>
        <v>V1005</v>
      </c>
      <c r="C189" s="16" t="str">
        <f aca="false">IFERROR(INDEX(Vendor_Master!$B$2:$B$41,MATCH(B189,Vendor_Master!$A$2:$A$41,0)),"Unknown Vendor")</f>
        <v>Cole LLC</v>
      </c>
      <c r="D189" s="16" t="str">
        <f aca="false">IFERROR(INDEX(Vendor_Master!$D$2:$D$41,MATCH(B189,Vendor_Master!$A$2:$A$41,0)),"Unknown")</f>
        <v>UK</v>
      </c>
      <c r="E189" s="17" t="n">
        <f aca="false">IFERROR(INDEX(Vendor_Master!$E$2:$E$41,MATCH(B189,Vendor_Master!$A$2:$A$41,0)),"")</f>
        <v>45423</v>
      </c>
      <c r="F189" s="17" t="n">
        <f aca="false">Payment_Log_AP!D186</f>
        <v>46058</v>
      </c>
      <c r="G189" s="18" t="n">
        <f aca="false">Payment_Log_AP!E186</f>
        <v>1074.95</v>
      </c>
      <c r="H189" s="16" t="n">
        <f aca="false">IF(G189&gt;=Assumptions!$B$7,40,IF(G189&gt;=Assumptions!$B$8,20,0))</f>
        <v>0</v>
      </c>
      <c r="I189" s="16" t="n">
        <f aca="false">IF(MOD(G189,500)=0,20,IF(MOD(G189,100)=0,10,0))</f>
        <v>0</v>
      </c>
      <c r="J189" s="16" t="n">
        <f aca="false">IF(AND(E189&lt;&gt;"",F189-E189&lt;=Assumptions!$B$9),25,0)</f>
        <v>0</v>
      </c>
      <c r="K189" s="16" t="n">
        <f aca="false">IF(ISNUMBER(SEARCH(D189,Assumptions!$B$10)),15,0)</f>
        <v>0</v>
      </c>
      <c r="L189" s="16" t="n">
        <f aca="false">H189+I189+J189+K189</f>
        <v>0</v>
      </c>
      <c r="M189" s="16" t="str">
        <f aca="false">IF(L189&gt;=60,"High",IF(L189&gt;=30,"Medium","Low"))</f>
        <v>Low</v>
      </c>
    </row>
    <row r="190" customFormat="false" ht="15" hidden="false" customHeight="false" outlineLevel="0" collapsed="false">
      <c r="A190" s="16" t="str">
        <f aca="false">Payment_Log_AP!A187</f>
        <v>PAY40186</v>
      </c>
      <c r="B190" s="16" t="str">
        <f aca="false">Payment_Log_AP!C187</f>
        <v>V1034</v>
      </c>
      <c r="C190" s="16" t="str">
        <f aca="false">IFERROR(INDEX(Vendor_Master!$B$2:$B$41,MATCH(B190,Vendor_Master!$A$2:$A$41,0)),"Unknown Vendor")</f>
        <v>Koch-Decker</v>
      </c>
      <c r="D190" s="16" t="str">
        <f aca="false">IFERROR(INDEX(Vendor_Master!$D$2:$D$41,MATCH(B190,Vendor_Master!$A$2:$A$41,0)),"Unknown")</f>
        <v>Germany</v>
      </c>
      <c r="E190" s="17" t="n">
        <f aca="false">IFERROR(INDEX(Vendor_Master!$E$2:$E$41,MATCH(B190,Vendor_Master!$A$2:$A$41,0)),"")</f>
        <v>44738</v>
      </c>
      <c r="F190" s="17" t="n">
        <f aca="false">Payment_Log_AP!D187</f>
        <v>45929</v>
      </c>
      <c r="G190" s="18" t="n">
        <f aca="false">Payment_Log_AP!E187</f>
        <v>759.35</v>
      </c>
      <c r="H190" s="16" t="n">
        <f aca="false">IF(G190&gt;=Assumptions!$B$7,40,IF(G190&gt;=Assumptions!$B$8,20,0))</f>
        <v>0</v>
      </c>
      <c r="I190" s="16" t="n">
        <f aca="false">IF(MOD(G190,500)=0,20,IF(MOD(G190,100)=0,10,0))</f>
        <v>0</v>
      </c>
      <c r="J190" s="16" t="n">
        <f aca="false">IF(AND(E190&lt;&gt;"",F190-E190&lt;=Assumptions!$B$9),25,0)</f>
        <v>0</v>
      </c>
      <c r="K190" s="16" t="n">
        <f aca="false">IF(ISNUMBER(SEARCH(D190,Assumptions!$B$10)),15,0)</f>
        <v>0</v>
      </c>
      <c r="L190" s="16" t="n">
        <f aca="false">H190+I190+J190+K190</f>
        <v>0</v>
      </c>
      <c r="M190" s="16" t="str">
        <f aca="false">IF(L190&gt;=60,"High",IF(L190&gt;=30,"Medium","Low"))</f>
        <v>Low</v>
      </c>
    </row>
    <row r="191" customFormat="false" ht="15" hidden="false" customHeight="false" outlineLevel="0" collapsed="false">
      <c r="A191" s="16" t="str">
        <f aca="false">Payment_Log_AP!A188</f>
        <v>PAY40187</v>
      </c>
      <c r="B191" s="16" t="str">
        <f aca="false">Payment_Log_AP!C188</f>
        <v>V1030</v>
      </c>
      <c r="C191" s="16" t="str">
        <f aca="false">IFERROR(INDEX(Vendor_Master!$B$2:$B$41,MATCH(B191,Vendor_Master!$A$2:$A$41,0)),"Unknown Vendor")</f>
        <v>Stanton-Gill</v>
      </c>
      <c r="D191" s="16" t="str">
        <f aca="false">IFERROR(INDEX(Vendor_Master!$D$2:$D$41,MATCH(B191,Vendor_Master!$A$2:$A$41,0)),"Unknown")</f>
        <v>UK</v>
      </c>
      <c r="E191" s="17" t="n">
        <f aca="false">IFERROR(INDEX(Vendor_Master!$E$2:$E$41,MATCH(B191,Vendor_Master!$A$2:$A$41,0)),"")</f>
        <v>45946</v>
      </c>
      <c r="F191" s="17" t="n">
        <f aca="false">Payment_Log_AP!D188</f>
        <v>46056</v>
      </c>
      <c r="G191" s="18" t="n">
        <f aca="false">Payment_Log_AP!E188</f>
        <v>2745.78</v>
      </c>
      <c r="H191" s="16" t="n">
        <f aca="false">IF(G191&gt;=Assumptions!$B$7,40,IF(G191&gt;=Assumptions!$B$8,20,0))</f>
        <v>0</v>
      </c>
      <c r="I191" s="16" t="n">
        <f aca="false">IF(MOD(G191,500)=0,20,IF(MOD(G191,100)=0,10,0))</f>
        <v>0</v>
      </c>
      <c r="J191" s="16" t="n">
        <f aca="false">IF(AND(E191&lt;&gt;"",F191-E191&lt;=Assumptions!$B$9),25,0)</f>
        <v>25</v>
      </c>
      <c r="K191" s="16" t="n">
        <f aca="false">IF(ISNUMBER(SEARCH(D191,Assumptions!$B$10)),15,0)</f>
        <v>0</v>
      </c>
      <c r="L191" s="16" t="n">
        <f aca="false">H191+I191+J191+K191</f>
        <v>25</v>
      </c>
      <c r="M191" s="16" t="str">
        <f aca="false">IF(L191&gt;=60,"High",IF(L191&gt;=30,"Medium","Low"))</f>
        <v>Low</v>
      </c>
    </row>
    <row r="192" customFormat="false" ht="15" hidden="false" customHeight="false" outlineLevel="0" collapsed="false">
      <c r="A192" s="16" t="str">
        <f aca="false">Payment_Log_AP!A189</f>
        <v>PAY40188</v>
      </c>
      <c r="B192" s="16" t="str">
        <f aca="false">Payment_Log_AP!C189</f>
        <v>V1011</v>
      </c>
      <c r="C192" s="16" t="str">
        <f aca="false">IFERROR(INDEX(Vendor_Master!$B$2:$B$41,MATCH(B192,Vendor_Master!$A$2:$A$41,0)),"Unknown Vendor")</f>
        <v>Montgomery, Hensley and Ray</v>
      </c>
      <c r="D192" s="16" t="str">
        <f aca="false">IFERROR(INDEX(Vendor_Master!$D$2:$D$41,MATCH(B192,Vendor_Master!$A$2:$A$41,0)),"Unknown")</f>
        <v>USA</v>
      </c>
      <c r="E192" s="17" t="n">
        <f aca="false">IFERROR(INDEX(Vendor_Master!$E$2:$E$41,MATCH(B192,Vendor_Master!$A$2:$A$41,0)),"")</f>
        <v>45025</v>
      </c>
      <c r="F192" s="17" t="n">
        <f aca="false">Payment_Log_AP!D189</f>
        <v>45713</v>
      </c>
      <c r="G192" s="18" t="n">
        <f aca="false">Payment_Log_AP!E189</f>
        <v>1562.55</v>
      </c>
      <c r="H192" s="16" t="n">
        <f aca="false">IF(G192&gt;=Assumptions!$B$7,40,IF(G192&gt;=Assumptions!$B$8,20,0))</f>
        <v>0</v>
      </c>
      <c r="I192" s="16" t="n">
        <f aca="false">IF(MOD(G192,500)=0,20,IF(MOD(G192,100)=0,10,0))</f>
        <v>0</v>
      </c>
      <c r="J192" s="16" t="n">
        <f aca="false">IF(AND(E192&lt;&gt;"",F192-E192&lt;=Assumptions!$B$9),25,0)</f>
        <v>0</v>
      </c>
      <c r="K192" s="16" t="n">
        <f aca="false">IF(ISNUMBER(SEARCH(D192,Assumptions!$B$10)),15,0)</f>
        <v>0</v>
      </c>
      <c r="L192" s="16" t="n">
        <f aca="false">H192+I192+J192+K192</f>
        <v>0</v>
      </c>
      <c r="M192" s="16" t="str">
        <f aca="false">IF(L192&gt;=60,"High",IF(L192&gt;=30,"Medium","Low"))</f>
        <v>Low</v>
      </c>
    </row>
    <row r="193" customFormat="false" ht="15" hidden="false" customHeight="false" outlineLevel="0" collapsed="false">
      <c r="A193" s="16" t="str">
        <f aca="false">Payment_Log_AP!A190</f>
        <v>PAY40189</v>
      </c>
      <c r="B193" s="16" t="str">
        <f aca="false">Payment_Log_AP!C190</f>
        <v>V1020</v>
      </c>
      <c r="C193" s="16" t="str">
        <f aca="false">IFERROR(INDEX(Vendor_Master!$B$2:$B$41,MATCH(B193,Vendor_Master!$A$2:$A$41,0)),"Unknown Vendor")</f>
        <v>Lewis-Porter</v>
      </c>
      <c r="D193" s="16" t="str">
        <f aca="false">IFERROR(INDEX(Vendor_Master!$D$2:$D$41,MATCH(B193,Vendor_Master!$A$2:$A$41,0)),"Unknown")</f>
        <v>UAE</v>
      </c>
      <c r="E193" s="17" t="n">
        <f aca="false">IFERROR(INDEX(Vendor_Master!$E$2:$E$41,MATCH(B193,Vendor_Master!$A$2:$A$41,0)),"")</f>
        <v>45947</v>
      </c>
      <c r="F193" s="17" t="n">
        <f aca="false">Payment_Log_AP!D190</f>
        <v>46072</v>
      </c>
      <c r="G193" s="18" t="n">
        <f aca="false">Payment_Log_AP!E190</f>
        <v>1854.08</v>
      </c>
      <c r="H193" s="16" t="n">
        <f aca="false">IF(G193&gt;=Assumptions!$B$7,40,IF(G193&gt;=Assumptions!$B$8,20,0))</f>
        <v>0</v>
      </c>
      <c r="I193" s="16" t="n">
        <f aca="false">IF(MOD(G193,500)=0,20,IF(MOD(G193,100)=0,10,0))</f>
        <v>0</v>
      </c>
      <c r="J193" s="16" t="n">
        <f aca="false">IF(AND(E193&lt;&gt;"",F193-E193&lt;=Assumptions!$B$9),25,0)</f>
        <v>25</v>
      </c>
      <c r="K193" s="16" t="n">
        <f aca="false">IF(ISNUMBER(SEARCH(D193,Assumptions!$B$10)),15,0)</f>
        <v>15</v>
      </c>
      <c r="L193" s="16" t="n">
        <f aca="false">H193+I193+J193+K193</f>
        <v>40</v>
      </c>
      <c r="M193" s="16" t="str">
        <f aca="false">IF(L193&gt;=60,"High",IF(L193&gt;=30,"Medium","Low"))</f>
        <v>Medium</v>
      </c>
    </row>
    <row r="194" customFormat="false" ht="15" hidden="false" customHeight="false" outlineLevel="0" collapsed="false">
      <c r="A194" s="16" t="str">
        <f aca="false">Payment_Log_AP!A191</f>
        <v>PAY40190</v>
      </c>
      <c r="B194" s="16" t="str">
        <f aca="false">Payment_Log_AP!C191</f>
        <v>V1015</v>
      </c>
      <c r="C194" s="16" t="str">
        <f aca="false">IFERROR(INDEX(Vendor_Master!$B$2:$B$41,MATCH(B194,Vendor_Master!$A$2:$A$41,0)),"Unknown Vendor")</f>
        <v>Zuniga, Wong and Lynch</v>
      </c>
      <c r="D194" s="16" t="str">
        <f aca="false">IFERROR(INDEX(Vendor_Master!$D$2:$D$41,MATCH(B194,Vendor_Master!$A$2:$A$41,0)),"Unknown")</f>
        <v>USA</v>
      </c>
      <c r="E194" s="17" t="n">
        <f aca="false">IFERROR(INDEX(Vendor_Master!$E$2:$E$41,MATCH(B194,Vendor_Master!$A$2:$A$41,0)),"")</f>
        <v>45621</v>
      </c>
      <c r="F194" s="17" t="n">
        <f aca="false">Payment_Log_AP!D191</f>
        <v>46035</v>
      </c>
      <c r="G194" s="18" t="n">
        <f aca="false">Payment_Log_AP!E191</f>
        <v>4069.45</v>
      </c>
      <c r="H194" s="16" t="n">
        <f aca="false">IF(G194&gt;=Assumptions!$B$7,40,IF(G194&gt;=Assumptions!$B$8,20,0))</f>
        <v>0</v>
      </c>
      <c r="I194" s="16" t="n">
        <f aca="false">IF(MOD(G194,500)=0,20,IF(MOD(G194,100)=0,10,0))</f>
        <v>0</v>
      </c>
      <c r="J194" s="16" t="n">
        <f aca="false">IF(AND(E194&lt;&gt;"",F194-E194&lt;=Assumptions!$B$9),25,0)</f>
        <v>0</v>
      </c>
      <c r="K194" s="16" t="n">
        <f aca="false">IF(ISNUMBER(SEARCH(D194,Assumptions!$B$10)),15,0)</f>
        <v>0</v>
      </c>
      <c r="L194" s="16" t="n">
        <f aca="false">H194+I194+J194+K194</f>
        <v>0</v>
      </c>
      <c r="M194" s="16" t="str">
        <f aca="false">IF(L194&gt;=60,"High",IF(L194&gt;=30,"Medium","Low"))</f>
        <v>Low</v>
      </c>
    </row>
    <row r="195" customFormat="false" ht="15" hidden="false" customHeight="false" outlineLevel="0" collapsed="false">
      <c r="A195" s="16" t="str">
        <f aca="false">Payment_Log_AP!A192</f>
        <v>PAY40191</v>
      </c>
      <c r="B195" s="16" t="str">
        <f aca="false">Payment_Log_AP!C192</f>
        <v>V1004</v>
      </c>
      <c r="C195" s="16" t="str">
        <f aca="false">IFERROR(INDEX(Vendor_Master!$B$2:$B$41,MATCH(B195,Vendor_Master!$A$2:$A$41,0)),"Unknown Vendor")</f>
        <v>Johnson, Gonzalez and Santos</v>
      </c>
      <c r="D195" s="16" t="str">
        <f aca="false">IFERROR(INDEX(Vendor_Master!$D$2:$D$41,MATCH(B195,Vendor_Master!$A$2:$A$41,0)),"Unknown")</f>
        <v>Germany</v>
      </c>
      <c r="E195" s="17" t="n">
        <f aca="false">IFERROR(INDEX(Vendor_Master!$E$2:$E$41,MATCH(B195,Vendor_Master!$A$2:$A$41,0)),"")</f>
        <v>44929</v>
      </c>
      <c r="F195" s="17" t="n">
        <f aca="false">Payment_Log_AP!D192</f>
        <v>45737</v>
      </c>
      <c r="G195" s="18" t="n">
        <f aca="false">Payment_Log_AP!E192</f>
        <v>2117.88</v>
      </c>
      <c r="H195" s="16" t="n">
        <f aca="false">IF(G195&gt;=Assumptions!$B$7,40,IF(G195&gt;=Assumptions!$B$8,20,0))</f>
        <v>0</v>
      </c>
      <c r="I195" s="16" t="n">
        <f aca="false">IF(MOD(G195,500)=0,20,IF(MOD(G195,100)=0,10,0))</f>
        <v>0</v>
      </c>
      <c r="J195" s="16" t="n">
        <f aca="false">IF(AND(E195&lt;&gt;"",F195-E195&lt;=Assumptions!$B$9),25,0)</f>
        <v>0</v>
      </c>
      <c r="K195" s="16" t="n">
        <f aca="false">IF(ISNUMBER(SEARCH(D195,Assumptions!$B$10)),15,0)</f>
        <v>0</v>
      </c>
      <c r="L195" s="16" t="n">
        <f aca="false">H195+I195+J195+K195</f>
        <v>0</v>
      </c>
      <c r="M195" s="16" t="str">
        <f aca="false">IF(L195&gt;=60,"High",IF(L195&gt;=30,"Medium","Low"))</f>
        <v>Low</v>
      </c>
    </row>
    <row r="196" customFormat="false" ht="15" hidden="false" customHeight="false" outlineLevel="0" collapsed="false">
      <c r="A196" s="16" t="str">
        <f aca="false">Payment_Log_AP!A193</f>
        <v>PAY40192</v>
      </c>
      <c r="B196" s="16" t="str">
        <f aca="false">Payment_Log_AP!C193</f>
        <v>V1004</v>
      </c>
      <c r="C196" s="16" t="str">
        <f aca="false">IFERROR(INDEX(Vendor_Master!$B$2:$B$41,MATCH(B196,Vendor_Master!$A$2:$A$41,0)),"Unknown Vendor")</f>
        <v>Johnson, Gonzalez and Santos</v>
      </c>
      <c r="D196" s="16" t="str">
        <f aca="false">IFERROR(INDEX(Vendor_Master!$D$2:$D$41,MATCH(B196,Vendor_Master!$A$2:$A$41,0)),"Unknown")</f>
        <v>Germany</v>
      </c>
      <c r="E196" s="17" t="n">
        <f aca="false">IFERROR(INDEX(Vendor_Master!$E$2:$E$41,MATCH(B196,Vendor_Master!$A$2:$A$41,0)),"")</f>
        <v>44929</v>
      </c>
      <c r="F196" s="17" t="n">
        <f aca="false">Payment_Log_AP!D193</f>
        <v>45739</v>
      </c>
      <c r="G196" s="18" t="n">
        <f aca="false">Payment_Log_AP!E193</f>
        <v>2117.88</v>
      </c>
      <c r="H196" s="16" t="n">
        <f aca="false">IF(G196&gt;=Assumptions!$B$7,40,IF(G196&gt;=Assumptions!$B$8,20,0))</f>
        <v>0</v>
      </c>
      <c r="I196" s="16" t="n">
        <f aca="false">IF(MOD(G196,500)=0,20,IF(MOD(G196,100)=0,10,0))</f>
        <v>0</v>
      </c>
      <c r="J196" s="16" t="n">
        <f aca="false">IF(AND(E196&lt;&gt;"",F196-E196&lt;=Assumptions!$B$9),25,0)</f>
        <v>0</v>
      </c>
      <c r="K196" s="16" t="n">
        <f aca="false">IF(ISNUMBER(SEARCH(D196,Assumptions!$B$10)),15,0)</f>
        <v>0</v>
      </c>
      <c r="L196" s="16" t="n">
        <f aca="false">H196+I196+J196+K196</f>
        <v>0</v>
      </c>
      <c r="M196" s="16" t="str">
        <f aca="false">IF(L196&gt;=60,"High",IF(L196&gt;=30,"Medium","Low"))</f>
        <v>Low</v>
      </c>
    </row>
    <row r="197" customFormat="false" ht="15" hidden="false" customHeight="false" outlineLevel="0" collapsed="false">
      <c r="A197" s="16" t="str">
        <f aca="false">Payment_Log_AP!A194</f>
        <v>PAY40193</v>
      </c>
      <c r="B197" s="16" t="str">
        <f aca="false">Payment_Log_AP!C194</f>
        <v>V1001</v>
      </c>
      <c r="C197" s="16" t="str">
        <f aca="false">IFERROR(INDEX(Vendor_Master!$B$2:$B$41,MATCH(B197,Vendor_Master!$A$2:$A$41,0)),"Unknown Vendor")</f>
        <v>Figueroa and Sons</v>
      </c>
      <c r="D197" s="16" t="str">
        <f aca="false">IFERROR(INDEX(Vendor_Master!$D$2:$D$41,MATCH(B197,Vendor_Master!$A$2:$A$41,0)),"Unknown")</f>
        <v>USA</v>
      </c>
      <c r="E197" s="17" t="n">
        <f aca="false">IFERROR(INDEX(Vendor_Master!$E$2:$E$41,MATCH(B197,Vendor_Master!$A$2:$A$41,0)),"")</f>
        <v>45572</v>
      </c>
      <c r="F197" s="17" t="n">
        <f aca="false">Payment_Log_AP!D194</f>
        <v>46135</v>
      </c>
      <c r="G197" s="18" t="n">
        <f aca="false">Payment_Log_AP!E194</f>
        <v>266.54</v>
      </c>
      <c r="H197" s="16" t="n">
        <f aca="false">IF(G197&gt;=Assumptions!$B$7,40,IF(G197&gt;=Assumptions!$B$8,20,0))</f>
        <v>0</v>
      </c>
      <c r="I197" s="16" t="n">
        <f aca="false">IF(MOD(G197,500)=0,20,IF(MOD(G197,100)=0,10,0))</f>
        <v>0</v>
      </c>
      <c r="J197" s="16" t="n">
        <f aca="false">IF(AND(E197&lt;&gt;"",F197-E197&lt;=Assumptions!$B$9),25,0)</f>
        <v>0</v>
      </c>
      <c r="K197" s="16" t="n">
        <f aca="false">IF(ISNUMBER(SEARCH(D197,Assumptions!$B$10)),15,0)</f>
        <v>0</v>
      </c>
      <c r="L197" s="16" t="n">
        <f aca="false">H197+I197+J197+K197</f>
        <v>0</v>
      </c>
      <c r="M197" s="16" t="str">
        <f aca="false">IF(L197&gt;=60,"High",IF(L197&gt;=30,"Medium","Low"))</f>
        <v>Low</v>
      </c>
    </row>
    <row r="198" customFormat="false" ht="15" hidden="false" customHeight="false" outlineLevel="0" collapsed="false">
      <c r="A198" s="16" t="str">
        <f aca="false">Payment_Log_AP!A195</f>
        <v>PAY40194</v>
      </c>
      <c r="B198" s="16" t="str">
        <f aca="false">Payment_Log_AP!C195</f>
        <v>V1001</v>
      </c>
      <c r="C198" s="16" t="str">
        <f aca="false">IFERROR(INDEX(Vendor_Master!$B$2:$B$41,MATCH(B198,Vendor_Master!$A$2:$A$41,0)),"Unknown Vendor")</f>
        <v>Figueroa and Sons</v>
      </c>
      <c r="D198" s="16" t="str">
        <f aca="false">IFERROR(INDEX(Vendor_Master!$D$2:$D$41,MATCH(B198,Vendor_Master!$A$2:$A$41,0)),"Unknown")</f>
        <v>USA</v>
      </c>
      <c r="E198" s="17" t="n">
        <f aca="false">IFERROR(INDEX(Vendor_Master!$E$2:$E$41,MATCH(B198,Vendor_Master!$A$2:$A$41,0)),"")</f>
        <v>45572</v>
      </c>
      <c r="F198" s="17" t="n">
        <f aca="false">Payment_Log_AP!D195</f>
        <v>46093</v>
      </c>
      <c r="G198" s="18" t="n">
        <f aca="false">Payment_Log_AP!E195</f>
        <v>266.54</v>
      </c>
      <c r="H198" s="16" t="n">
        <f aca="false">IF(G198&gt;=Assumptions!$B$7,40,IF(G198&gt;=Assumptions!$B$8,20,0))</f>
        <v>0</v>
      </c>
      <c r="I198" s="16" t="n">
        <f aca="false">IF(MOD(G198,500)=0,20,IF(MOD(G198,100)=0,10,0))</f>
        <v>0</v>
      </c>
      <c r="J198" s="16" t="n">
        <f aca="false">IF(AND(E198&lt;&gt;"",F198-E198&lt;=Assumptions!$B$9),25,0)</f>
        <v>0</v>
      </c>
      <c r="K198" s="16" t="n">
        <f aca="false">IF(ISNUMBER(SEARCH(D198,Assumptions!$B$10)),15,0)</f>
        <v>0</v>
      </c>
      <c r="L198" s="16" t="n">
        <f aca="false">H198+I198+J198+K198</f>
        <v>0</v>
      </c>
      <c r="M198" s="16" t="str">
        <f aca="false">IF(L198&gt;=60,"High",IF(L198&gt;=30,"Medium","Low"))</f>
        <v>Low</v>
      </c>
    </row>
    <row r="199" customFormat="false" ht="15" hidden="false" customHeight="false" outlineLevel="0" collapsed="false">
      <c r="A199" s="16" t="str">
        <f aca="false">Payment_Log_AP!A196</f>
        <v>PAY40195</v>
      </c>
      <c r="B199" s="16" t="str">
        <f aca="false">Payment_Log_AP!C196</f>
        <v>V1016</v>
      </c>
      <c r="C199" s="16" t="str">
        <f aca="false">IFERROR(INDEX(Vendor_Master!$B$2:$B$41,MATCH(B199,Vendor_Master!$A$2:$A$41,0)),"Unknown Vendor")</f>
        <v>Sanchez, Ford and Nelson</v>
      </c>
      <c r="D199" s="16" t="str">
        <f aca="false">IFERROR(INDEX(Vendor_Master!$D$2:$D$41,MATCH(B199,Vendor_Master!$A$2:$A$41,0)),"Unknown")</f>
        <v>India</v>
      </c>
      <c r="E199" s="17" t="n">
        <f aca="false">IFERROR(INDEX(Vendor_Master!$E$2:$E$41,MATCH(B199,Vendor_Master!$A$2:$A$41,0)),"")</f>
        <v>44832</v>
      </c>
      <c r="F199" s="17" t="n">
        <f aca="false">Payment_Log_AP!D196</f>
        <v>46170</v>
      </c>
      <c r="G199" s="18" t="n">
        <f aca="false">Payment_Log_AP!E196</f>
        <v>1071.3</v>
      </c>
      <c r="H199" s="16" t="n">
        <f aca="false">IF(G199&gt;=Assumptions!$B$7,40,IF(G199&gt;=Assumptions!$B$8,20,0))</f>
        <v>0</v>
      </c>
      <c r="I199" s="16" t="n">
        <f aca="false">IF(MOD(G199,500)=0,20,IF(MOD(G199,100)=0,10,0))</f>
        <v>0</v>
      </c>
      <c r="J199" s="16" t="n">
        <f aca="false">IF(AND(E199&lt;&gt;"",F199-E199&lt;=Assumptions!$B$9),25,0)</f>
        <v>0</v>
      </c>
      <c r="K199" s="16" t="n">
        <f aca="false">IF(ISNUMBER(SEARCH(D199,Assumptions!$B$10)),15,0)</f>
        <v>15</v>
      </c>
      <c r="L199" s="16" t="n">
        <f aca="false">H199+I199+J199+K199</f>
        <v>15</v>
      </c>
      <c r="M199" s="16" t="str">
        <f aca="false">IF(L199&gt;=60,"High",IF(L199&gt;=30,"Medium","Low"))</f>
        <v>Low</v>
      </c>
    </row>
    <row r="200" customFormat="false" ht="15" hidden="false" customHeight="false" outlineLevel="0" collapsed="false">
      <c r="A200" s="16" t="str">
        <f aca="false">Payment_Log_AP!A197</f>
        <v>PAY40196</v>
      </c>
      <c r="B200" s="16" t="str">
        <f aca="false">Payment_Log_AP!C197</f>
        <v>V1016</v>
      </c>
      <c r="C200" s="16" t="str">
        <f aca="false">IFERROR(INDEX(Vendor_Master!$B$2:$B$41,MATCH(B200,Vendor_Master!$A$2:$A$41,0)),"Unknown Vendor")</f>
        <v>Sanchez, Ford and Nelson</v>
      </c>
      <c r="D200" s="16" t="str">
        <f aca="false">IFERROR(INDEX(Vendor_Master!$D$2:$D$41,MATCH(B200,Vendor_Master!$A$2:$A$41,0)),"Unknown")</f>
        <v>India</v>
      </c>
      <c r="E200" s="17" t="n">
        <f aca="false">IFERROR(INDEX(Vendor_Master!$E$2:$E$41,MATCH(B200,Vendor_Master!$A$2:$A$41,0)),"")</f>
        <v>44832</v>
      </c>
      <c r="F200" s="17" t="n">
        <f aca="false">Payment_Log_AP!D197</f>
        <v>46019</v>
      </c>
      <c r="G200" s="18" t="n">
        <f aca="false">Payment_Log_AP!E197</f>
        <v>728.71</v>
      </c>
      <c r="H200" s="16" t="n">
        <f aca="false">IF(G200&gt;=Assumptions!$B$7,40,IF(G200&gt;=Assumptions!$B$8,20,0))</f>
        <v>0</v>
      </c>
      <c r="I200" s="16" t="n">
        <f aca="false">IF(MOD(G200,500)=0,20,IF(MOD(G200,100)=0,10,0))</f>
        <v>0</v>
      </c>
      <c r="J200" s="16" t="n">
        <f aca="false">IF(AND(E200&lt;&gt;"",F200-E200&lt;=Assumptions!$B$9),25,0)</f>
        <v>0</v>
      </c>
      <c r="K200" s="16" t="n">
        <f aca="false">IF(ISNUMBER(SEARCH(D200,Assumptions!$B$10)),15,0)</f>
        <v>15</v>
      </c>
      <c r="L200" s="16" t="n">
        <f aca="false">H200+I200+J200+K200</f>
        <v>15</v>
      </c>
      <c r="M200" s="16" t="str">
        <f aca="false">IF(L200&gt;=60,"High",IF(L200&gt;=30,"Medium","Low"))</f>
        <v>Low</v>
      </c>
    </row>
    <row r="201" customFormat="false" ht="15" hidden="false" customHeight="false" outlineLevel="0" collapsed="false">
      <c r="A201" s="16" t="str">
        <f aca="false">Payment_Log_AP!A198</f>
        <v>PAY40197</v>
      </c>
      <c r="B201" s="16" t="str">
        <f aca="false">Payment_Log_AP!C198</f>
        <v>V1023</v>
      </c>
      <c r="C201" s="16" t="str">
        <f aca="false">IFERROR(INDEX(Vendor_Master!$B$2:$B$41,MATCH(B201,Vendor_Master!$A$2:$A$41,0)),"Unknown Vendor")</f>
        <v>Robinson-Bright</v>
      </c>
      <c r="D201" s="16" t="str">
        <f aca="false">IFERROR(INDEX(Vendor_Master!$D$2:$D$41,MATCH(B201,Vendor_Master!$A$2:$A$41,0)),"Unknown")</f>
        <v>India</v>
      </c>
      <c r="E201" s="17" t="n">
        <f aca="false">IFERROR(INDEX(Vendor_Master!$E$2:$E$41,MATCH(B201,Vendor_Master!$A$2:$A$41,0)),"")</f>
        <v>45484</v>
      </c>
      <c r="F201" s="17" t="n">
        <f aca="false">Payment_Log_AP!D198</f>
        <v>45773</v>
      </c>
      <c r="G201" s="18" t="n">
        <f aca="false">Payment_Log_AP!E198</f>
        <v>3728.38</v>
      </c>
      <c r="H201" s="16" t="n">
        <f aca="false">IF(G201&gt;=Assumptions!$B$7,40,IF(G201&gt;=Assumptions!$B$8,20,0))</f>
        <v>0</v>
      </c>
      <c r="I201" s="16" t="n">
        <f aca="false">IF(MOD(G201,500)=0,20,IF(MOD(G201,100)=0,10,0))</f>
        <v>0</v>
      </c>
      <c r="J201" s="16" t="n">
        <f aca="false">IF(AND(E201&lt;&gt;"",F201-E201&lt;=Assumptions!$B$9),25,0)</f>
        <v>0</v>
      </c>
      <c r="K201" s="16" t="n">
        <f aca="false">IF(ISNUMBER(SEARCH(D201,Assumptions!$B$10)),15,0)</f>
        <v>15</v>
      </c>
      <c r="L201" s="16" t="n">
        <f aca="false">H201+I201+J201+K201</f>
        <v>15</v>
      </c>
      <c r="M201" s="16" t="str">
        <f aca="false">IF(L201&gt;=60,"High",IF(L201&gt;=30,"Medium","Low"))</f>
        <v>Low</v>
      </c>
    </row>
    <row r="202" customFormat="false" ht="15" hidden="false" customHeight="false" outlineLevel="0" collapsed="false">
      <c r="A202" s="16" t="str">
        <f aca="false">Payment_Log_AP!A199</f>
        <v>PAY40198</v>
      </c>
      <c r="B202" s="16" t="str">
        <f aca="false">Payment_Log_AP!C199</f>
        <v>V1016</v>
      </c>
      <c r="C202" s="16" t="str">
        <f aca="false">IFERROR(INDEX(Vendor_Master!$B$2:$B$41,MATCH(B202,Vendor_Master!$A$2:$A$41,0)),"Unknown Vendor")</f>
        <v>Sanchez, Ford and Nelson</v>
      </c>
      <c r="D202" s="16" t="str">
        <f aca="false">IFERROR(INDEX(Vendor_Master!$D$2:$D$41,MATCH(B202,Vendor_Master!$A$2:$A$41,0)),"Unknown")</f>
        <v>India</v>
      </c>
      <c r="E202" s="17" t="n">
        <f aca="false">IFERROR(INDEX(Vendor_Master!$E$2:$E$41,MATCH(B202,Vendor_Master!$A$2:$A$41,0)),"")</f>
        <v>44832</v>
      </c>
      <c r="F202" s="17" t="n">
        <f aca="false">Payment_Log_AP!D199</f>
        <v>46204</v>
      </c>
      <c r="G202" s="18" t="n">
        <f aca="false">Payment_Log_AP!E199</f>
        <v>5712.19</v>
      </c>
      <c r="H202" s="16" t="n">
        <f aca="false">IF(G202&gt;=Assumptions!$B$7,40,IF(G202&gt;=Assumptions!$B$8,20,0))</f>
        <v>20</v>
      </c>
      <c r="I202" s="16" t="n">
        <f aca="false">IF(MOD(G202,500)=0,20,IF(MOD(G202,100)=0,10,0))</f>
        <v>0</v>
      </c>
      <c r="J202" s="16" t="n">
        <f aca="false">IF(AND(E202&lt;&gt;"",F202-E202&lt;=Assumptions!$B$9),25,0)</f>
        <v>0</v>
      </c>
      <c r="K202" s="16" t="n">
        <f aca="false">IF(ISNUMBER(SEARCH(D202,Assumptions!$B$10)),15,0)</f>
        <v>15</v>
      </c>
      <c r="L202" s="16" t="n">
        <f aca="false">H202+I202+J202+K202</f>
        <v>35</v>
      </c>
      <c r="M202" s="16" t="str">
        <f aca="false">IF(L202&gt;=60,"High",IF(L202&gt;=30,"Medium","Low"))</f>
        <v>Medium</v>
      </c>
    </row>
    <row r="203" customFormat="false" ht="15" hidden="false" customHeight="false" outlineLevel="0" collapsed="false">
      <c r="A203" s="16" t="str">
        <f aca="false">Payment_Log_AP!A200</f>
        <v>PAY40199</v>
      </c>
      <c r="B203" s="16" t="str">
        <f aca="false">Payment_Log_AP!C200</f>
        <v>V1018</v>
      </c>
      <c r="C203" s="16" t="str">
        <f aca="false">IFERROR(INDEX(Vendor_Master!$B$2:$B$41,MATCH(B203,Vendor_Master!$A$2:$A$41,0)),"Unknown Vendor")</f>
        <v>Underwood LLC</v>
      </c>
      <c r="D203" s="16" t="str">
        <f aca="false">IFERROR(INDEX(Vendor_Master!$D$2:$D$41,MATCH(B203,Vendor_Master!$A$2:$A$41,0)),"Unknown")</f>
        <v>UAE</v>
      </c>
      <c r="E203" s="17" t="n">
        <f aca="false">IFERROR(INDEX(Vendor_Master!$E$2:$E$41,MATCH(B203,Vendor_Master!$A$2:$A$41,0)),"")</f>
        <v>45788</v>
      </c>
      <c r="F203" s="17" t="n">
        <f aca="false">Payment_Log_AP!D200</f>
        <v>45872</v>
      </c>
      <c r="G203" s="18" t="n">
        <f aca="false">Payment_Log_AP!E200</f>
        <v>1442.03</v>
      </c>
      <c r="H203" s="16" t="n">
        <f aca="false">IF(G203&gt;=Assumptions!$B$7,40,IF(G203&gt;=Assumptions!$B$8,20,0))</f>
        <v>0</v>
      </c>
      <c r="I203" s="16" t="n">
        <f aca="false">IF(MOD(G203,500)=0,20,IF(MOD(G203,100)=0,10,0))</f>
        <v>0</v>
      </c>
      <c r="J203" s="16" t="n">
        <f aca="false">IF(AND(E203&lt;&gt;"",F203-E203&lt;=Assumptions!$B$9),25,0)</f>
        <v>25</v>
      </c>
      <c r="K203" s="16" t="n">
        <f aca="false">IF(ISNUMBER(SEARCH(D203,Assumptions!$B$10)),15,0)</f>
        <v>15</v>
      </c>
      <c r="L203" s="16" t="n">
        <f aca="false">H203+I203+J203+K203</f>
        <v>40</v>
      </c>
      <c r="M203" s="16" t="str">
        <f aca="false">IF(L203&gt;=60,"High",IF(L203&gt;=30,"Medium","Low"))</f>
        <v>Medium</v>
      </c>
    </row>
    <row r="204" customFormat="false" ht="15" hidden="false" customHeight="false" outlineLevel="0" collapsed="false">
      <c r="A204" s="16" t="str">
        <f aca="false">Payment_Log_AP!A201</f>
        <v>PAY40200</v>
      </c>
      <c r="B204" s="16" t="str">
        <f aca="false">Payment_Log_AP!C201</f>
        <v>V1007</v>
      </c>
      <c r="C204" s="16" t="str">
        <f aca="false">IFERROR(INDEX(Vendor_Master!$B$2:$B$41,MATCH(B204,Vendor_Master!$A$2:$A$41,0)),"Unknown Vendor")</f>
        <v>Ramirez-Lewis</v>
      </c>
      <c r="D204" s="16" t="str">
        <f aca="false">IFERROR(INDEX(Vendor_Master!$D$2:$D$41,MATCH(B204,Vendor_Master!$A$2:$A$41,0)),"Unknown")</f>
        <v>Germany</v>
      </c>
      <c r="E204" s="17" t="n">
        <f aca="false">IFERROR(INDEX(Vendor_Master!$E$2:$E$41,MATCH(B204,Vendor_Master!$A$2:$A$41,0)),"")</f>
        <v>45665</v>
      </c>
      <c r="F204" s="17" t="n">
        <f aca="false">Payment_Log_AP!D201</f>
        <v>45904</v>
      </c>
      <c r="G204" s="18" t="n">
        <f aca="false">Payment_Log_AP!E201</f>
        <v>14974.83</v>
      </c>
      <c r="H204" s="16" t="n">
        <f aca="false">IF(G204&gt;=Assumptions!$B$7,40,IF(G204&gt;=Assumptions!$B$8,20,0))</f>
        <v>40</v>
      </c>
      <c r="I204" s="16" t="n">
        <f aca="false">IF(MOD(G204,500)=0,20,IF(MOD(G204,100)=0,10,0))</f>
        <v>0</v>
      </c>
      <c r="J204" s="16" t="n">
        <f aca="false">IF(AND(E204&lt;&gt;"",F204-E204&lt;=Assumptions!$B$9),25,0)</f>
        <v>0</v>
      </c>
      <c r="K204" s="16" t="n">
        <f aca="false">IF(ISNUMBER(SEARCH(D204,Assumptions!$B$10)),15,0)</f>
        <v>0</v>
      </c>
      <c r="L204" s="16" t="n">
        <f aca="false">H204+I204+J204+K204</f>
        <v>40</v>
      </c>
      <c r="M204" s="16" t="str">
        <f aca="false">IF(L204&gt;=60,"High",IF(L204&gt;=30,"Medium","Low"))</f>
        <v>Medium</v>
      </c>
    </row>
    <row r="205" customFormat="false" ht="15" hidden="false" customHeight="false" outlineLevel="0" collapsed="false">
      <c r="A205" s="16" t="str">
        <f aca="false">Payment_Log_AP!A202</f>
        <v>PAY40201</v>
      </c>
      <c r="B205" s="16" t="str">
        <f aca="false">Payment_Log_AP!C202</f>
        <v>V1032</v>
      </c>
      <c r="C205" s="16" t="str">
        <f aca="false">IFERROR(INDEX(Vendor_Master!$B$2:$B$41,MATCH(B205,Vendor_Master!$A$2:$A$41,0)),"Unknown Vendor")</f>
        <v>Lynch, Hernandez and Farmer</v>
      </c>
      <c r="D205" s="16" t="str">
        <f aca="false">IFERROR(INDEX(Vendor_Master!$D$2:$D$41,MATCH(B205,Vendor_Master!$A$2:$A$41,0)),"Unknown")</f>
        <v>UAE</v>
      </c>
      <c r="E205" s="17" t="n">
        <f aca="false">IFERROR(INDEX(Vendor_Master!$E$2:$E$41,MATCH(B205,Vendor_Master!$A$2:$A$41,0)),"")</f>
        <v>45892</v>
      </c>
      <c r="F205" s="17" t="n">
        <f aca="false">Payment_Log_AP!D202</f>
        <v>45900</v>
      </c>
      <c r="G205" s="18" t="n">
        <f aca="false">Payment_Log_AP!E202</f>
        <v>877.63</v>
      </c>
      <c r="H205" s="16" t="n">
        <f aca="false">IF(G205&gt;=Assumptions!$B$7,40,IF(G205&gt;=Assumptions!$B$8,20,0))</f>
        <v>0</v>
      </c>
      <c r="I205" s="16" t="n">
        <f aca="false">IF(MOD(G205,500)=0,20,IF(MOD(G205,100)=0,10,0))</f>
        <v>0</v>
      </c>
      <c r="J205" s="16" t="n">
        <f aca="false">IF(AND(E205&lt;&gt;"",F205-E205&lt;=Assumptions!$B$9),25,0)</f>
        <v>25</v>
      </c>
      <c r="K205" s="16" t="n">
        <f aca="false">IF(ISNUMBER(SEARCH(D205,Assumptions!$B$10)),15,0)</f>
        <v>15</v>
      </c>
      <c r="L205" s="16" t="n">
        <f aca="false">H205+I205+J205+K205</f>
        <v>40</v>
      </c>
      <c r="M205" s="16" t="str">
        <f aca="false">IF(L205&gt;=60,"High",IF(L205&gt;=30,"Medium","Low"))</f>
        <v>Medium</v>
      </c>
    </row>
    <row r="206" customFormat="false" ht="15" hidden="false" customHeight="false" outlineLevel="0" collapsed="false">
      <c r="A206" s="16" t="str">
        <f aca="false">Payment_Log_AP!A203</f>
        <v>PAY40202</v>
      </c>
      <c r="B206" s="16" t="str">
        <f aca="false">Payment_Log_AP!C203</f>
        <v>V1033</v>
      </c>
      <c r="C206" s="16" t="str">
        <f aca="false">IFERROR(INDEX(Vendor_Master!$B$2:$B$41,MATCH(B206,Vendor_Master!$A$2:$A$41,0)),"Unknown Vendor")</f>
        <v>Sellers, George and Burns</v>
      </c>
      <c r="D206" s="16" t="str">
        <f aca="false">IFERROR(INDEX(Vendor_Master!$D$2:$D$41,MATCH(B206,Vendor_Master!$A$2:$A$41,0)),"Unknown")</f>
        <v>USA</v>
      </c>
      <c r="E206" s="17" t="n">
        <f aca="false">IFERROR(INDEX(Vendor_Master!$E$2:$E$41,MATCH(B206,Vendor_Master!$A$2:$A$41,0)),"")</f>
        <v>45414</v>
      </c>
      <c r="F206" s="17" t="n">
        <f aca="false">Payment_Log_AP!D203</f>
        <v>45991</v>
      </c>
      <c r="G206" s="18" t="n">
        <f aca="false">Payment_Log_AP!E203</f>
        <v>2542.66</v>
      </c>
      <c r="H206" s="16" t="n">
        <f aca="false">IF(G206&gt;=Assumptions!$B$7,40,IF(G206&gt;=Assumptions!$B$8,20,0))</f>
        <v>0</v>
      </c>
      <c r="I206" s="16" t="n">
        <f aca="false">IF(MOD(G206,500)=0,20,IF(MOD(G206,100)=0,10,0))</f>
        <v>0</v>
      </c>
      <c r="J206" s="16" t="n">
        <f aca="false">IF(AND(E206&lt;&gt;"",F206-E206&lt;=Assumptions!$B$9),25,0)</f>
        <v>0</v>
      </c>
      <c r="K206" s="16" t="n">
        <f aca="false">IF(ISNUMBER(SEARCH(D206,Assumptions!$B$10)),15,0)</f>
        <v>0</v>
      </c>
      <c r="L206" s="16" t="n">
        <f aca="false">H206+I206+J206+K206</f>
        <v>0</v>
      </c>
      <c r="M206" s="16" t="str">
        <f aca="false">IF(L206&gt;=60,"High",IF(L206&gt;=30,"Medium","Low"))</f>
        <v>Low</v>
      </c>
    </row>
    <row r="207" customFormat="false" ht="15" hidden="false" customHeight="false" outlineLevel="0" collapsed="false">
      <c r="A207" s="16" t="str">
        <f aca="false">Payment_Log_AP!A204</f>
        <v>PAY40203</v>
      </c>
      <c r="B207" s="16" t="str">
        <f aca="false">Payment_Log_AP!C204</f>
        <v>V1007</v>
      </c>
      <c r="C207" s="16" t="str">
        <f aca="false">IFERROR(INDEX(Vendor_Master!$B$2:$B$41,MATCH(B207,Vendor_Master!$A$2:$A$41,0)),"Unknown Vendor")</f>
        <v>Ramirez-Lewis</v>
      </c>
      <c r="D207" s="16" t="str">
        <f aca="false">IFERROR(INDEX(Vendor_Master!$D$2:$D$41,MATCH(B207,Vendor_Master!$A$2:$A$41,0)),"Unknown")</f>
        <v>Germany</v>
      </c>
      <c r="E207" s="17" t="n">
        <f aca="false">IFERROR(INDEX(Vendor_Master!$E$2:$E$41,MATCH(B207,Vendor_Master!$A$2:$A$41,0)),"")</f>
        <v>45665</v>
      </c>
      <c r="F207" s="17" t="n">
        <f aca="false">Payment_Log_AP!D204</f>
        <v>45882</v>
      </c>
      <c r="G207" s="18" t="n">
        <f aca="false">Payment_Log_AP!E204</f>
        <v>3210.01</v>
      </c>
      <c r="H207" s="16" t="n">
        <f aca="false">IF(G207&gt;=Assumptions!$B$7,40,IF(G207&gt;=Assumptions!$B$8,20,0))</f>
        <v>0</v>
      </c>
      <c r="I207" s="16" t="n">
        <f aca="false">IF(MOD(G207,500)=0,20,IF(MOD(G207,100)=0,10,0))</f>
        <v>0</v>
      </c>
      <c r="J207" s="16" t="n">
        <f aca="false">IF(AND(E207&lt;&gt;"",F207-E207&lt;=Assumptions!$B$9),25,0)</f>
        <v>0</v>
      </c>
      <c r="K207" s="16" t="n">
        <f aca="false">IF(ISNUMBER(SEARCH(D207,Assumptions!$B$10)),15,0)</f>
        <v>0</v>
      </c>
      <c r="L207" s="16" t="n">
        <f aca="false">H207+I207+J207+K207</f>
        <v>0</v>
      </c>
      <c r="M207" s="16" t="str">
        <f aca="false">IF(L207&gt;=60,"High",IF(L207&gt;=30,"Medium","Low"))</f>
        <v>Low</v>
      </c>
    </row>
    <row r="208" customFormat="false" ht="15" hidden="false" customHeight="false" outlineLevel="0" collapsed="false">
      <c r="A208" s="16" t="str">
        <f aca="false">Payment_Log_AP!A205</f>
        <v>PAY40204</v>
      </c>
      <c r="B208" s="16" t="str">
        <f aca="false">Payment_Log_AP!C205</f>
        <v>V1005</v>
      </c>
      <c r="C208" s="16" t="str">
        <f aca="false">IFERROR(INDEX(Vendor_Master!$B$2:$B$41,MATCH(B208,Vendor_Master!$A$2:$A$41,0)),"Unknown Vendor")</f>
        <v>Cole LLC</v>
      </c>
      <c r="D208" s="16" t="str">
        <f aca="false">IFERROR(INDEX(Vendor_Master!$D$2:$D$41,MATCH(B208,Vendor_Master!$A$2:$A$41,0)),"Unknown")</f>
        <v>UK</v>
      </c>
      <c r="E208" s="17" t="n">
        <f aca="false">IFERROR(INDEX(Vendor_Master!$E$2:$E$41,MATCH(B208,Vendor_Master!$A$2:$A$41,0)),"")</f>
        <v>45423</v>
      </c>
      <c r="F208" s="17" t="n">
        <f aca="false">Payment_Log_AP!D205</f>
        <v>46123</v>
      </c>
      <c r="G208" s="18" t="n">
        <f aca="false">Payment_Log_AP!E205</f>
        <v>4612.25</v>
      </c>
      <c r="H208" s="16" t="n">
        <f aca="false">IF(G208&gt;=Assumptions!$B$7,40,IF(G208&gt;=Assumptions!$B$8,20,0))</f>
        <v>0</v>
      </c>
      <c r="I208" s="16" t="n">
        <f aca="false">IF(MOD(G208,500)=0,20,IF(MOD(G208,100)=0,10,0))</f>
        <v>0</v>
      </c>
      <c r="J208" s="16" t="n">
        <f aca="false">IF(AND(E208&lt;&gt;"",F208-E208&lt;=Assumptions!$B$9),25,0)</f>
        <v>0</v>
      </c>
      <c r="K208" s="16" t="n">
        <f aca="false">IF(ISNUMBER(SEARCH(D208,Assumptions!$B$10)),15,0)</f>
        <v>0</v>
      </c>
      <c r="L208" s="16" t="n">
        <f aca="false">H208+I208+J208+K208</f>
        <v>0</v>
      </c>
      <c r="M208" s="16" t="str">
        <f aca="false">IF(L208&gt;=60,"High",IF(L208&gt;=30,"Medium","Low"))</f>
        <v>Low</v>
      </c>
    </row>
    <row r="209" customFormat="false" ht="15" hidden="false" customHeight="false" outlineLevel="0" collapsed="false">
      <c r="A209" s="16" t="str">
        <f aca="false">Payment_Log_AP!A206</f>
        <v>PAY40205</v>
      </c>
      <c r="B209" s="16" t="str">
        <f aca="false">Payment_Log_AP!C206</f>
        <v>V1031</v>
      </c>
      <c r="C209" s="16" t="str">
        <f aca="false">IFERROR(INDEX(Vendor_Master!$B$2:$B$41,MATCH(B209,Vendor_Master!$A$2:$A$41,0)),"Unknown Vendor")</f>
        <v>Harrell LLC</v>
      </c>
      <c r="D209" s="16" t="str">
        <f aca="false">IFERROR(INDEX(Vendor_Master!$D$2:$D$41,MATCH(B209,Vendor_Master!$A$2:$A$41,0)),"Unknown")</f>
        <v>Canada</v>
      </c>
      <c r="E209" s="17" t="n">
        <f aca="false">IFERROR(INDEX(Vendor_Master!$E$2:$E$41,MATCH(B209,Vendor_Master!$A$2:$A$41,0)),"")</f>
        <v>45364</v>
      </c>
      <c r="F209" s="17" t="n">
        <f aca="false">Payment_Log_AP!D206</f>
        <v>45762</v>
      </c>
      <c r="G209" s="18" t="n">
        <f aca="false">Payment_Log_AP!E206</f>
        <v>884.17</v>
      </c>
      <c r="H209" s="16" t="n">
        <f aca="false">IF(G209&gt;=Assumptions!$B$7,40,IF(G209&gt;=Assumptions!$B$8,20,0))</f>
        <v>0</v>
      </c>
      <c r="I209" s="16" t="n">
        <f aca="false">IF(MOD(G209,500)=0,20,IF(MOD(G209,100)=0,10,0))</f>
        <v>0</v>
      </c>
      <c r="J209" s="16" t="n">
        <f aca="false">IF(AND(E209&lt;&gt;"",F209-E209&lt;=Assumptions!$B$9),25,0)</f>
        <v>0</v>
      </c>
      <c r="K209" s="16" t="n">
        <f aca="false">IF(ISNUMBER(SEARCH(D209,Assumptions!$B$10)),15,0)</f>
        <v>0</v>
      </c>
      <c r="L209" s="16" t="n">
        <f aca="false">H209+I209+J209+K209</f>
        <v>0</v>
      </c>
      <c r="M209" s="16" t="str">
        <f aca="false">IF(L209&gt;=60,"High",IF(L209&gt;=30,"Medium","Low"))</f>
        <v>Low</v>
      </c>
    </row>
    <row r="210" customFormat="false" ht="15" hidden="false" customHeight="false" outlineLevel="0" collapsed="false">
      <c r="A210" s="16" t="str">
        <f aca="false">Payment_Log_AP!A207</f>
        <v>PAY40206</v>
      </c>
      <c r="B210" s="16" t="str">
        <f aca="false">Payment_Log_AP!C207</f>
        <v>V1020</v>
      </c>
      <c r="C210" s="16" t="str">
        <f aca="false">IFERROR(INDEX(Vendor_Master!$B$2:$B$41,MATCH(B210,Vendor_Master!$A$2:$A$41,0)),"Unknown Vendor")</f>
        <v>Lewis-Porter</v>
      </c>
      <c r="D210" s="16" t="str">
        <f aca="false">IFERROR(INDEX(Vendor_Master!$D$2:$D$41,MATCH(B210,Vendor_Master!$A$2:$A$41,0)),"Unknown")</f>
        <v>UAE</v>
      </c>
      <c r="E210" s="17" t="n">
        <f aca="false">IFERROR(INDEX(Vendor_Master!$E$2:$E$41,MATCH(B210,Vendor_Master!$A$2:$A$41,0)),"")</f>
        <v>45947</v>
      </c>
      <c r="F210" s="17" t="n">
        <f aca="false">Payment_Log_AP!D207</f>
        <v>46041</v>
      </c>
      <c r="G210" s="18" t="n">
        <f aca="false">Payment_Log_AP!E207</f>
        <v>1486.84</v>
      </c>
      <c r="H210" s="16" t="n">
        <f aca="false">IF(G210&gt;=Assumptions!$B$7,40,IF(G210&gt;=Assumptions!$B$8,20,0))</f>
        <v>0</v>
      </c>
      <c r="I210" s="16" t="n">
        <f aca="false">IF(MOD(G210,500)=0,20,IF(MOD(G210,100)=0,10,0))</f>
        <v>0</v>
      </c>
      <c r="J210" s="16" t="n">
        <f aca="false">IF(AND(E210&lt;&gt;"",F210-E210&lt;=Assumptions!$B$9),25,0)</f>
        <v>25</v>
      </c>
      <c r="K210" s="16" t="n">
        <f aca="false">IF(ISNUMBER(SEARCH(D210,Assumptions!$B$10)),15,0)</f>
        <v>15</v>
      </c>
      <c r="L210" s="16" t="n">
        <f aca="false">H210+I210+J210+K210</f>
        <v>40</v>
      </c>
      <c r="M210" s="16" t="str">
        <f aca="false">IF(L210&gt;=60,"High",IF(L210&gt;=30,"Medium","Low"))</f>
        <v>Medium</v>
      </c>
    </row>
    <row r="211" customFormat="false" ht="15" hidden="false" customHeight="false" outlineLevel="0" collapsed="false">
      <c r="A211" s="16" t="str">
        <f aca="false">Payment_Log_AP!A208</f>
        <v>PAY40207</v>
      </c>
      <c r="B211" s="16" t="str">
        <f aca="false">Payment_Log_AP!C208</f>
        <v>V1020</v>
      </c>
      <c r="C211" s="16" t="str">
        <f aca="false">IFERROR(INDEX(Vendor_Master!$B$2:$B$41,MATCH(B211,Vendor_Master!$A$2:$A$41,0)),"Unknown Vendor")</f>
        <v>Lewis-Porter</v>
      </c>
      <c r="D211" s="16" t="str">
        <f aca="false">IFERROR(INDEX(Vendor_Master!$D$2:$D$41,MATCH(B211,Vendor_Master!$A$2:$A$41,0)),"Unknown")</f>
        <v>UAE</v>
      </c>
      <c r="E211" s="17" t="n">
        <f aca="false">IFERROR(INDEX(Vendor_Master!$E$2:$E$41,MATCH(B211,Vendor_Master!$A$2:$A$41,0)),"")</f>
        <v>45947</v>
      </c>
      <c r="F211" s="17" t="n">
        <f aca="false">Payment_Log_AP!D208</f>
        <v>46011</v>
      </c>
      <c r="G211" s="18" t="n">
        <f aca="false">Payment_Log_AP!E208</f>
        <v>1741.37</v>
      </c>
      <c r="H211" s="16" t="n">
        <f aca="false">IF(G211&gt;=Assumptions!$B$7,40,IF(G211&gt;=Assumptions!$B$8,20,0))</f>
        <v>0</v>
      </c>
      <c r="I211" s="16" t="n">
        <f aca="false">IF(MOD(G211,500)=0,20,IF(MOD(G211,100)=0,10,0))</f>
        <v>0</v>
      </c>
      <c r="J211" s="16" t="n">
        <f aca="false">IF(AND(E211&lt;&gt;"",F211-E211&lt;=Assumptions!$B$9),25,0)</f>
        <v>25</v>
      </c>
      <c r="K211" s="16" t="n">
        <f aca="false">IF(ISNUMBER(SEARCH(D211,Assumptions!$B$10)),15,0)</f>
        <v>15</v>
      </c>
      <c r="L211" s="16" t="n">
        <f aca="false">H211+I211+J211+K211</f>
        <v>40</v>
      </c>
      <c r="M211" s="16" t="str">
        <f aca="false">IF(L211&gt;=60,"High",IF(L211&gt;=30,"Medium","Low"))</f>
        <v>Medium</v>
      </c>
    </row>
    <row r="212" customFormat="false" ht="15" hidden="false" customHeight="false" outlineLevel="0" collapsed="false">
      <c r="A212" s="16" t="str">
        <f aca="false">Payment_Log_AP!A209</f>
        <v>PAY40208</v>
      </c>
      <c r="B212" s="16" t="str">
        <f aca="false">Payment_Log_AP!C209</f>
        <v>V1030</v>
      </c>
      <c r="C212" s="16" t="str">
        <f aca="false">IFERROR(INDEX(Vendor_Master!$B$2:$B$41,MATCH(B212,Vendor_Master!$A$2:$A$41,0)),"Unknown Vendor")</f>
        <v>Stanton-Gill</v>
      </c>
      <c r="D212" s="16" t="str">
        <f aca="false">IFERROR(INDEX(Vendor_Master!$D$2:$D$41,MATCH(B212,Vendor_Master!$A$2:$A$41,0)),"Unknown")</f>
        <v>UK</v>
      </c>
      <c r="E212" s="17" t="n">
        <f aca="false">IFERROR(INDEX(Vendor_Master!$E$2:$E$41,MATCH(B212,Vendor_Master!$A$2:$A$41,0)),"")</f>
        <v>45946</v>
      </c>
      <c r="F212" s="17" t="n">
        <f aca="false">Payment_Log_AP!D209</f>
        <v>46133</v>
      </c>
      <c r="G212" s="18" t="n">
        <f aca="false">Payment_Log_AP!E209</f>
        <v>201.48</v>
      </c>
      <c r="H212" s="16" t="n">
        <f aca="false">IF(G212&gt;=Assumptions!$B$7,40,IF(G212&gt;=Assumptions!$B$8,20,0))</f>
        <v>0</v>
      </c>
      <c r="I212" s="16" t="n">
        <f aca="false">IF(MOD(G212,500)=0,20,IF(MOD(G212,100)=0,10,0))</f>
        <v>0</v>
      </c>
      <c r="J212" s="16" t="n">
        <f aca="false">IF(AND(E212&lt;&gt;"",F212-E212&lt;=Assumptions!$B$9),25,0)</f>
        <v>0</v>
      </c>
      <c r="K212" s="16" t="n">
        <f aca="false">IF(ISNUMBER(SEARCH(D212,Assumptions!$B$10)),15,0)</f>
        <v>0</v>
      </c>
      <c r="L212" s="16" t="n">
        <f aca="false">H212+I212+J212+K212</f>
        <v>0</v>
      </c>
      <c r="M212" s="16" t="str">
        <f aca="false">IF(L212&gt;=60,"High",IF(L212&gt;=30,"Medium","Low"))</f>
        <v>Low</v>
      </c>
    </row>
    <row r="213" customFormat="false" ht="15" hidden="false" customHeight="false" outlineLevel="0" collapsed="false">
      <c r="A213" s="16" t="str">
        <f aca="false">Payment_Log_AP!A210</f>
        <v>PAY40209</v>
      </c>
      <c r="B213" s="16" t="str">
        <f aca="false">Payment_Log_AP!C210</f>
        <v>V1035</v>
      </c>
      <c r="C213" s="16" t="str">
        <f aca="false">IFERROR(INDEX(Vendor_Master!$B$2:$B$41,MATCH(B213,Vendor_Master!$A$2:$A$41,0)),"Unknown Vendor")</f>
        <v>Allen PLC</v>
      </c>
      <c r="D213" s="16" t="str">
        <f aca="false">IFERROR(INDEX(Vendor_Master!$D$2:$D$41,MATCH(B213,Vendor_Master!$A$2:$A$41,0)),"Unknown")</f>
        <v>Canada</v>
      </c>
      <c r="E213" s="17" t="n">
        <f aca="false">IFERROR(INDEX(Vendor_Master!$E$2:$E$41,MATCH(B213,Vendor_Master!$A$2:$A$41,0)),"")</f>
        <v>45048</v>
      </c>
      <c r="F213" s="17" t="n">
        <f aca="false">Payment_Log_AP!D210</f>
        <v>46059</v>
      </c>
      <c r="G213" s="18" t="n">
        <f aca="false">Payment_Log_AP!E210</f>
        <v>4326.08</v>
      </c>
      <c r="H213" s="16" t="n">
        <f aca="false">IF(G213&gt;=Assumptions!$B$7,40,IF(G213&gt;=Assumptions!$B$8,20,0))</f>
        <v>0</v>
      </c>
      <c r="I213" s="16" t="n">
        <f aca="false">IF(MOD(G213,500)=0,20,IF(MOD(G213,100)=0,10,0))</f>
        <v>0</v>
      </c>
      <c r="J213" s="16" t="n">
        <f aca="false">IF(AND(E213&lt;&gt;"",F213-E213&lt;=Assumptions!$B$9),25,0)</f>
        <v>0</v>
      </c>
      <c r="K213" s="16" t="n">
        <f aca="false">IF(ISNUMBER(SEARCH(D213,Assumptions!$B$10)),15,0)</f>
        <v>0</v>
      </c>
      <c r="L213" s="16" t="n">
        <f aca="false">H213+I213+J213+K213</f>
        <v>0</v>
      </c>
      <c r="M213" s="16" t="str">
        <f aca="false">IF(L213&gt;=60,"High",IF(L213&gt;=30,"Medium","Low"))</f>
        <v>Low</v>
      </c>
    </row>
    <row r="214" customFormat="false" ht="15" hidden="false" customHeight="false" outlineLevel="0" collapsed="false">
      <c r="A214" s="16" t="str">
        <f aca="false">Payment_Log_AP!A211</f>
        <v>PAY40210</v>
      </c>
      <c r="B214" s="16" t="str">
        <f aca="false">Payment_Log_AP!C211</f>
        <v>V1013</v>
      </c>
      <c r="C214" s="16" t="str">
        <f aca="false">IFERROR(INDEX(Vendor_Master!$B$2:$B$41,MATCH(B214,Vendor_Master!$A$2:$A$41,0)),"Unknown Vendor")</f>
        <v>Delacruz Group</v>
      </c>
      <c r="D214" s="16" t="str">
        <f aca="false">IFERROR(INDEX(Vendor_Master!$D$2:$D$41,MATCH(B214,Vendor_Master!$A$2:$A$41,0)),"Unknown")</f>
        <v>USA</v>
      </c>
      <c r="E214" s="17" t="n">
        <f aca="false">IFERROR(INDEX(Vendor_Master!$E$2:$E$41,MATCH(B214,Vendor_Master!$A$2:$A$41,0)),"")</f>
        <v>46119</v>
      </c>
      <c r="F214" s="17" t="n">
        <f aca="false">Payment_Log_AP!D211</f>
        <v>45908</v>
      </c>
      <c r="G214" s="18" t="n">
        <f aca="false">Payment_Log_AP!E211</f>
        <v>1933.86</v>
      </c>
      <c r="H214" s="16" t="n">
        <f aca="false">IF(G214&gt;=Assumptions!$B$7,40,IF(G214&gt;=Assumptions!$B$8,20,0))</f>
        <v>0</v>
      </c>
      <c r="I214" s="16" t="n">
        <f aca="false">IF(MOD(G214,500)=0,20,IF(MOD(G214,100)=0,10,0))</f>
        <v>0</v>
      </c>
      <c r="J214" s="16" t="n">
        <f aca="false">IF(AND(E214&lt;&gt;"",F214-E214&lt;=Assumptions!$B$9),25,0)</f>
        <v>25</v>
      </c>
      <c r="K214" s="16" t="n">
        <f aca="false">IF(ISNUMBER(SEARCH(D214,Assumptions!$B$10)),15,0)</f>
        <v>0</v>
      </c>
      <c r="L214" s="16" t="n">
        <f aca="false">H214+I214+J214+K214</f>
        <v>25</v>
      </c>
      <c r="M214" s="16" t="str">
        <f aca="false">IF(L214&gt;=60,"High",IF(L214&gt;=30,"Medium","Low"))</f>
        <v>Low</v>
      </c>
    </row>
    <row r="215" customFormat="false" ht="15" hidden="false" customHeight="false" outlineLevel="0" collapsed="false">
      <c r="A215" s="16" t="str">
        <f aca="false">Payment_Log_AP!A212</f>
        <v>PAY40211</v>
      </c>
      <c r="B215" s="16" t="str">
        <f aca="false">Payment_Log_AP!C212</f>
        <v>V1005</v>
      </c>
      <c r="C215" s="16" t="str">
        <f aca="false">IFERROR(INDEX(Vendor_Master!$B$2:$B$41,MATCH(B215,Vendor_Master!$A$2:$A$41,0)),"Unknown Vendor")</f>
        <v>Cole LLC</v>
      </c>
      <c r="D215" s="16" t="str">
        <f aca="false">IFERROR(INDEX(Vendor_Master!$D$2:$D$41,MATCH(B215,Vendor_Master!$A$2:$A$41,0)),"Unknown")</f>
        <v>UK</v>
      </c>
      <c r="E215" s="17" t="n">
        <f aca="false">IFERROR(INDEX(Vendor_Master!$E$2:$E$41,MATCH(B215,Vendor_Master!$A$2:$A$41,0)),"")</f>
        <v>45423</v>
      </c>
      <c r="F215" s="17" t="n">
        <f aca="false">Payment_Log_AP!D212</f>
        <v>46076</v>
      </c>
      <c r="G215" s="18" t="n">
        <f aca="false">Payment_Log_AP!E212</f>
        <v>301.96</v>
      </c>
      <c r="H215" s="16" t="n">
        <f aca="false">IF(G215&gt;=Assumptions!$B$7,40,IF(G215&gt;=Assumptions!$B$8,20,0))</f>
        <v>0</v>
      </c>
      <c r="I215" s="16" t="n">
        <f aca="false">IF(MOD(G215,500)=0,20,IF(MOD(G215,100)=0,10,0))</f>
        <v>0</v>
      </c>
      <c r="J215" s="16" t="n">
        <f aca="false">IF(AND(E215&lt;&gt;"",F215-E215&lt;=Assumptions!$B$9),25,0)</f>
        <v>0</v>
      </c>
      <c r="K215" s="16" t="n">
        <f aca="false">IF(ISNUMBER(SEARCH(D215,Assumptions!$B$10)),15,0)</f>
        <v>0</v>
      </c>
      <c r="L215" s="16" t="n">
        <f aca="false">H215+I215+J215+K215</f>
        <v>0</v>
      </c>
      <c r="M215" s="16" t="str">
        <f aca="false">IF(L215&gt;=60,"High",IF(L215&gt;=30,"Medium","Low"))</f>
        <v>Low</v>
      </c>
    </row>
    <row r="216" customFormat="false" ht="15" hidden="false" customHeight="false" outlineLevel="0" collapsed="false">
      <c r="A216" s="16" t="str">
        <f aca="false">Payment_Log_AP!A213</f>
        <v>PAY40212</v>
      </c>
      <c r="B216" s="16" t="str">
        <f aca="false">Payment_Log_AP!C213</f>
        <v>V1038</v>
      </c>
      <c r="C216" s="16" t="str">
        <f aca="false">IFERROR(INDEX(Vendor_Master!$B$2:$B$41,MATCH(B216,Vendor_Master!$A$2:$A$41,0)),"Unknown Vendor")</f>
        <v>Rose-Obrien</v>
      </c>
      <c r="D216" s="16" t="str">
        <f aca="false">IFERROR(INDEX(Vendor_Master!$D$2:$D$41,MATCH(B216,Vendor_Master!$A$2:$A$41,0)),"Unknown")</f>
        <v>USA</v>
      </c>
      <c r="E216" s="17" t="n">
        <f aca="false">IFERROR(INDEX(Vendor_Master!$E$2:$E$41,MATCH(B216,Vendor_Master!$A$2:$A$41,0)),"")</f>
        <v>45431</v>
      </c>
      <c r="F216" s="17" t="n">
        <f aca="false">Payment_Log_AP!D213</f>
        <v>45845</v>
      </c>
      <c r="G216" s="18" t="n">
        <f aca="false">Payment_Log_AP!E213</f>
        <v>594.08</v>
      </c>
      <c r="H216" s="16" t="n">
        <f aca="false">IF(G216&gt;=Assumptions!$B$7,40,IF(G216&gt;=Assumptions!$B$8,20,0))</f>
        <v>0</v>
      </c>
      <c r="I216" s="16" t="n">
        <f aca="false">IF(MOD(G216,500)=0,20,IF(MOD(G216,100)=0,10,0))</f>
        <v>0</v>
      </c>
      <c r="J216" s="16" t="n">
        <f aca="false">IF(AND(E216&lt;&gt;"",F216-E216&lt;=Assumptions!$B$9),25,0)</f>
        <v>0</v>
      </c>
      <c r="K216" s="16" t="n">
        <f aca="false">IF(ISNUMBER(SEARCH(D216,Assumptions!$B$10)),15,0)</f>
        <v>0</v>
      </c>
      <c r="L216" s="16" t="n">
        <f aca="false">H216+I216+J216+K216</f>
        <v>0</v>
      </c>
      <c r="M216" s="16" t="str">
        <f aca="false">IF(L216&gt;=60,"High",IF(L216&gt;=30,"Medium","Low"))</f>
        <v>Low</v>
      </c>
    </row>
    <row r="217" customFormat="false" ht="15" hidden="false" customHeight="false" outlineLevel="0" collapsed="false">
      <c r="A217" s="16" t="str">
        <f aca="false">Payment_Log_AP!A214</f>
        <v>PAY40213</v>
      </c>
      <c r="B217" s="16" t="str">
        <f aca="false">Payment_Log_AP!C214</f>
        <v>V1007</v>
      </c>
      <c r="C217" s="16" t="str">
        <f aca="false">IFERROR(INDEX(Vendor_Master!$B$2:$B$41,MATCH(B217,Vendor_Master!$A$2:$A$41,0)),"Unknown Vendor")</f>
        <v>Ramirez-Lewis</v>
      </c>
      <c r="D217" s="16" t="str">
        <f aca="false">IFERROR(INDEX(Vendor_Master!$D$2:$D$41,MATCH(B217,Vendor_Master!$A$2:$A$41,0)),"Unknown")</f>
        <v>Germany</v>
      </c>
      <c r="E217" s="17" t="n">
        <f aca="false">IFERROR(INDEX(Vendor_Master!$E$2:$E$41,MATCH(B217,Vendor_Master!$A$2:$A$41,0)),"")</f>
        <v>45665</v>
      </c>
      <c r="F217" s="17" t="n">
        <f aca="false">Payment_Log_AP!D214</f>
        <v>46119</v>
      </c>
      <c r="G217" s="18" t="n">
        <f aca="false">Payment_Log_AP!E214</f>
        <v>4409.64</v>
      </c>
      <c r="H217" s="16" t="n">
        <f aca="false">IF(G217&gt;=Assumptions!$B$7,40,IF(G217&gt;=Assumptions!$B$8,20,0))</f>
        <v>0</v>
      </c>
      <c r="I217" s="16" t="n">
        <f aca="false">IF(MOD(G217,500)=0,20,IF(MOD(G217,100)=0,10,0))</f>
        <v>0</v>
      </c>
      <c r="J217" s="16" t="n">
        <f aca="false">IF(AND(E217&lt;&gt;"",F217-E217&lt;=Assumptions!$B$9),25,0)</f>
        <v>0</v>
      </c>
      <c r="K217" s="16" t="n">
        <f aca="false">IF(ISNUMBER(SEARCH(D217,Assumptions!$B$10)),15,0)</f>
        <v>0</v>
      </c>
      <c r="L217" s="16" t="n">
        <f aca="false">H217+I217+J217+K217</f>
        <v>0</v>
      </c>
      <c r="M217" s="16" t="str">
        <f aca="false">IF(L217&gt;=60,"High",IF(L217&gt;=30,"Medium","Low"))</f>
        <v>Low</v>
      </c>
    </row>
    <row r="218" customFormat="false" ht="15" hidden="false" customHeight="false" outlineLevel="0" collapsed="false">
      <c r="A218" s="16" t="str">
        <f aca="false">Payment_Log_AP!A215</f>
        <v>PAY40214</v>
      </c>
      <c r="B218" s="16" t="str">
        <f aca="false">Payment_Log_AP!C215</f>
        <v>V1020</v>
      </c>
      <c r="C218" s="16" t="str">
        <f aca="false">IFERROR(INDEX(Vendor_Master!$B$2:$B$41,MATCH(B218,Vendor_Master!$A$2:$A$41,0)),"Unknown Vendor")</f>
        <v>Lewis-Porter</v>
      </c>
      <c r="D218" s="16" t="str">
        <f aca="false">IFERROR(INDEX(Vendor_Master!$D$2:$D$41,MATCH(B218,Vendor_Master!$A$2:$A$41,0)),"Unknown")</f>
        <v>UAE</v>
      </c>
      <c r="E218" s="17" t="n">
        <f aca="false">IFERROR(INDEX(Vendor_Master!$E$2:$E$41,MATCH(B218,Vendor_Master!$A$2:$A$41,0)),"")</f>
        <v>45947</v>
      </c>
      <c r="F218" s="17" t="n">
        <f aca="false">Payment_Log_AP!D215</f>
        <v>45988</v>
      </c>
      <c r="G218" s="18" t="n">
        <f aca="false">Payment_Log_AP!E215</f>
        <v>1370.36</v>
      </c>
      <c r="H218" s="16" t="n">
        <f aca="false">IF(G218&gt;=Assumptions!$B$7,40,IF(G218&gt;=Assumptions!$B$8,20,0))</f>
        <v>0</v>
      </c>
      <c r="I218" s="16" t="n">
        <f aca="false">IF(MOD(G218,500)=0,20,IF(MOD(G218,100)=0,10,0))</f>
        <v>0</v>
      </c>
      <c r="J218" s="16" t="n">
        <f aca="false">IF(AND(E218&lt;&gt;"",F218-E218&lt;=Assumptions!$B$9),25,0)</f>
        <v>25</v>
      </c>
      <c r="K218" s="16" t="n">
        <f aca="false">IF(ISNUMBER(SEARCH(D218,Assumptions!$B$10)),15,0)</f>
        <v>15</v>
      </c>
      <c r="L218" s="16" t="n">
        <f aca="false">H218+I218+J218+K218</f>
        <v>40</v>
      </c>
      <c r="M218" s="16" t="str">
        <f aca="false">IF(L218&gt;=60,"High",IF(L218&gt;=30,"Medium","Low"))</f>
        <v>Medium</v>
      </c>
    </row>
    <row r="219" customFormat="false" ht="15" hidden="false" customHeight="false" outlineLevel="0" collapsed="false">
      <c r="A219" s="16" t="str">
        <f aca="false">Payment_Log_AP!A216</f>
        <v>PAY40215</v>
      </c>
      <c r="B219" s="16" t="str">
        <f aca="false">Payment_Log_AP!C216</f>
        <v>V1031</v>
      </c>
      <c r="C219" s="16" t="str">
        <f aca="false">IFERROR(INDEX(Vendor_Master!$B$2:$B$41,MATCH(B219,Vendor_Master!$A$2:$A$41,0)),"Unknown Vendor")</f>
        <v>Harrell LLC</v>
      </c>
      <c r="D219" s="16" t="str">
        <f aca="false">IFERROR(INDEX(Vendor_Master!$D$2:$D$41,MATCH(B219,Vendor_Master!$A$2:$A$41,0)),"Unknown")</f>
        <v>Canada</v>
      </c>
      <c r="E219" s="17" t="n">
        <f aca="false">IFERROR(INDEX(Vendor_Master!$E$2:$E$41,MATCH(B219,Vendor_Master!$A$2:$A$41,0)),"")</f>
        <v>45364</v>
      </c>
      <c r="F219" s="17" t="n">
        <f aca="false">Payment_Log_AP!D216</f>
        <v>45933</v>
      </c>
      <c r="G219" s="18" t="n">
        <f aca="false">Payment_Log_AP!E216</f>
        <v>480.9</v>
      </c>
      <c r="H219" s="16" t="n">
        <f aca="false">IF(G219&gt;=Assumptions!$B$7,40,IF(G219&gt;=Assumptions!$B$8,20,0))</f>
        <v>0</v>
      </c>
      <c r="I219" s="16" t="n">
        <f aca="false">IF(MOD(G219,500)=0,20,IF(MOD(G219,100)=0,10,0))</f>
        <v>0</v>
      </c>
      <c r="J219" s="16" t="n">
        <f aca="false">IF(AND(E219&lt;&gt;"",F219-E219&lt;=Assumptions!$B$9),25,0)</f>
        <v>0</v>
      </c>
      <c r="K219" s="16" t="n">
        <f aca="false">IF(ISNUMBER(SEARCH(D219,Assumptions!$B$10)),15,0)</f>
        <v>0</v>
      </c>
      <c r="L219" s="16" t="n">
        <f aca="false">H219+I219+J219+K219</f>
        <v>0</v>
      </c>
      <c r="M219" s="16" t="str">
        <f aca="false">IF(L219&gt;=60,"High",IF(L219&gt;=30,"Medium","Low"))</f>
        <v>Low</v>
      </c>
    </row>
    <row r="220" customFormat="false" ht="15" hidden="false" customHeight="false" outlineLevel="0" collapsed="false">
      <c r="A220" s="16" t="str">
        <f aca="false">Payment_Log_AP!A217</f>
        <v>PAY40216</v>
      </c>
      <c r="B220" s="16" t="str">
        <f aca="false">Payment_Log_AP!C217</f>
        <v>V1024</v>
      </c>
      <c r="C220" s="16" t="str">
        <f aca="false">IFERROR(INDEX(Vendor_Master!$B$2:$B$41,MATCH(B220,Vendor_Master!$A$2:$A$41,0)),"Unknown Vendor")</f>
        <v>Campos Inc</v>
      </c>
      <c r="D220" s="16" t="str">
        <f aca="false">IFERROR(INDEX(Vendor_Master!$D$2:$D$41,MATCH(B220,Vendor_Master!$A$2:$A$41,0)),"Unknown")</f>
        <v>USA</v>
      </c>
      <c r="E220" s="17" t="n">
        <f aca="false">IFERROR(INDEX(Vendor_Master!$E$2:$E$41,MATCH(B220,Vendor_Master!$A$2:$A$41,0)),"")</f>
        <v>45367</v>
      </c>
      <c r="F220" s="17" t="n">
        <f aca="false">Payment_Log_AP!D217</f>
        <v>45930</v>
      </c>
      <c r="G220" s="18" t="n">
        <f aca="false">Payment_Log_AP!E217</f>
        <v>728.26</v>
      </c>
      <c r="H220" s="16" t="n">
        <f aca="false">IF(G220&gt;=Assumptions!$B$7,40,IF(G220&gt;=Assumptions!$B$8,20,0))</f>
        <v>0</v>
      </c>
      <c r="I220" s="16" t="n">
        <f aca="false">IF(MOD(G220,500)=0,20,IF(MOD(G220,100)=0,10,0))</f>
        <v>0</v>
      </c>
      <c r="J220" s="16" t="n">
        <f aca="false">IF(AND(E220&lt;&gt;"",F220-E220&lt;=Assumptions!$B$9),25,0)</f>
        <v>0</v>
      </c>
      <c r="K220" s="16" t="n">
        <f aca="false">IF(ISNUMBER(SEARCH(D220,Assumptions!$B$10)),15,0)</f>
        <v>0</v>
      </c>
      <c r="L220" s="16" t="n">
        <f aca="false">H220+I220+J220+K220</f>
        <v>0</v>
      </c>
      <c r="M220" s="16" t="str">
        <f aca="false">IF(L220&gt;=60,"High",IF(L220&gt;=30,"Medium","Low"))</f>
        <v>Low</v>
      </c>
    </row>
    <row r="221" customFormat="false" ht="15" hidden="false" customHeight="false" outlineLevel="0" collapsed="false">
      <c r="A221" s="16" t="str">
        <f aca="false">Payment_Log_AP!A218</f>
        <v>PAY40217</v>
      </c>
      <c r="B221" s="16" t="str">
        <f aca="false">Payment_Log_AP!C218</f>
        <v>V1035</v>
      </c>
      <c r="C221" s="16" t="str">
        <f aca="false">IFERROR(INDEX(Vendor_Master!$B$2:$B$41,MATCH(B221,Vendor_Master!$A$2:$A$41,0)),"Unknown Vendor")</f>
        <v>Allen PLC</v>
      </c>
      <c r="D221" s="16" t="str">
        <f aca="false">IFERROR(INDEX(Vendor_Master!$D$2:$D$41,MATCH(B221,Vendor_Master!$A$2:$A$41,0)),"Unknown")</f>
        <v>Canada</v>
      </c>
      <c r="E221" s="17" t="n">
        <f aca="false">IFERROR(INDEX(Vendor_Master!$E$2:$E$41,MATCH(B221,Vendor_Master!$A$2:$A$41,0)),"")</f>
        <v>45048</v>
      </c>
      <c r="F221" s="17" t="n">
        <f aca="false">Payment_Log_AP!D218</f>
        <v>46096</v>
      </c>
      <c r="G221" s="18" t="n">
        <f aca="false">Payment_Log_AP!E218</f>
        <v>4217.99</v>
      </c>
      <c r="H221" s="16" t="n">
        <f aca="false">IF(G221&gt;=Assumptions!$B$7,40,IF(G221&gt;=Assumptions!$B$8,20,0))</f>
        <v>0</v>
      </c>
      <c r="I221" s="16" t="n">
        <f aca="false">IF(MOD(G221,500)=0,20,IF(MOD(G221,100)=0,10,0))</f>
        <v>0</v>
      </c>
      <c r="J221" s="16" t="n">
        <f aca="false">IF(AND(E221&lt;&gt;"",F221-E221&lt;=Assumptions!$B$9),25,0)</f>
        <v>0</v>
      </c>
      <c r="K221" s="16" t="n">
        <f aca="false">IF(ISNUMBER(SEARCH(D221,Assumptions!$B$10)),15,0)</f>
        <v>0</v>
      </c>
      <c r="L221" s="16" t="n">
        <f aca="false">H221+I221+J221+K221</f>
        <v>0</v>
      </c>
      <c r="M221" s="16" t="str">
        <f aca="false">IF(L221&gt;=60,"High",IF(L221&gt;=30,"Medium","Low"))</f>
        <v>Low</v>
      </c>
    </row>
    <row r="222" customFormat="false" ht="15" hidden="false" customHeight="false" outlineLevel="0" collapsed="false">
      <c r="A222" s="16" t="str">
        <f aca="false">Payment_Log_AP!A219</f>
        <v>PAY40218</v>
      </c>
      <c r="B222" s="16" t="str">
        <f aca="false">Payment_Log_AP!C219</f>
        <v>V1007</v>
      </c>
      <c r="C222" s="16" t="str">
        <f aca="false">IFERROR(INDEX(Vendor_Master!$B$2:$B$41,MATCH(B222,Vendor_Master!$A$2:$A$41,0)),"Unknown Vendor")</f>
        <v>Ramirez-Lewis</v>
      </c>
      <c r="D222" s="16" t="str">
        <f aca="false">IFERROR(INDEX(Vendor_Master!$D$2:$D$41,MATCH(B222,Vendor_Master!$A$2:$A$41,0)),"Unknown")</f>
        <v>Germany</v>
      </c>
      <c r="E222" s="17" t="n">
        <f aca="false">IFERROR(INDEX(Vendor_Master!$E$2:$E$41,MATCH(B222,Vendor_Master!$A$2:$A$41,0)),"")</f>
        <v>45665</v>
      </c>
      <c r="F222" s="17" t="n">
        <f aca="false">Payment_Log_AP!D219</f>
        <v>46160</v>
      </c>
      <c r="G222" s="18" t="n">
        <f aca="false">Payment_Log_AP!E219</f>
        <v>2055.39</v>
      </c>
      <c r="H222" s="16" t="n">
        <f aca="false">IF(G222&gt;=Assumptions!$B$7,40,IF(G222&gt;=Assumptions!$B$8,20,0))</f>
        <v>0</v>
      </c>
      <c r="I222" s="16" t="n">
        <f aca="false">IF(MOD(G222,500)=0,20,IF(MOD(G222,100)=0,10,0))</f>
        <v>0</v>
      </c>
      <c r="J222" s="16" t="n">
        <f aca="false">IF(AND(E222&lt;&gt;"",F222-E222&lt;=Assumptions!$B$9),25,0)</f>
        <v>0</v>
      </c>
      <c r="K222" s="16" t="n">
        <f aca="false">IF(ISNUMBER(SEARCH(D222,Assumptions!$B$10)),15,0)</f>
        <v>0</v>
      </c>
      <c r="L222" s="16" t="n">
        <f aca="false">H222+I222+J222+K222</f>
        <v>0</v>
      </c>
      <c r="M222" s="16" t="str">
        <f aca="false">IF(L222&gt;=60,"High",IF(L222&gt;=30,"Medium","Low"))</f>
        <v>Low</v>
      </c>
    </row>
    <row r="223" customFormat="false" ht="15" hidden="false" customHeight="false" outlineLevel="0" collapsed="false">
      <c r="A223" s="16" t="str">
        <f aca="false">Payment_Log_AP!A220</f>
        <v>PAY40219</v>
      </c>
      <c r="B223" s="16" t="str">
        <f aca="false">Payment_Log_AP!C220</f>
        <v>V1019</v>
      </c>
      <c r="C223" s="16" t="str">
        <f aca="false">IFERROR(INDEX(Vendor_Master!$B$2:$B$41,MATCH(B223,Vendor_Master!$A$2:$A$41,0)),"Unknown Vendor")</f>
        <v>Clark PLC</v>
      </c>
      <c r="D223" s="16" t="str">
        <f aca="false">IFERROR(INDEX(Vendor_Master!$D$2:$D$41,MATCH(B223,Vendor_Master!$A$2:$A$41,0)),"Unknown")</f>
        <v>India</v>
      </c>
      <c r="E223" s="17" t="n">
        <f aca="false">IFERROR(INDEX(Vendor_Master!$E$2:$E$41,MATCH(B223,Vendor_Master!$A$2:$A$41,0)),"")</f>
        <v>45196</v>
      </c>
      <c r="F223" s="17" t="n">
        <f aca="false">Payment_Log_AP!D220</f>
        <v>46135</v>
      </c>
      <c r="G223" s="18" t="n">
        <f aca="false">Payment_Log_AP!E220</f>
        <v>207.67</v>
      </c>
      <c r="H223" s="16" t="n">
        <f aca="false">IF(G223&gt;=Assumptions!$B$7,40,IF(G223&gt;=Assumptions!$B$8,20,0))</f>
        <v>0</v>
      </c>
      <c r="I223" s="16" t="n">
        <f aca="false">IF(MOD(G223,500)=0,20,IF(MOD(G223,100)=0,10,0))</f>
        <v>0</v>
      </c>
      <c r="J223" s="16" t="n">
        <f aca="false">IF(AND(E223&lt;&gt;"",F223-E223&lt;=Assumptions!$B$9),25,0)</f>
        <v>0</v>
      </c>
      <c r="K223" s="16" t="n">
        <f aca="false">IF(ISNUMBER(SEARCH(D223,Assumptions!$B$10)),15,0)</f>
        <v>15</v>
      </c>
      <c r="L223" s="16" t="n">
        <f aca="false">H223+I223+J223+K223</f>
        <v>15</v>
      </c>
      <c r="M223" s="16" t="str">
        <f aca="false">IF(L223&gt;=60,"High",IF(L223&gt;=30,"Medium","Low"))</f>
        <v>Low</v>
      </c>
    </row>
    <row r="224" customFormat="false" ht="15" hidden="false" customHeight="false" outlineLevel="0" collapsed="false">
      <c r="A224" s="16" t="str">
        <f aca="false">Payment_Log_AP!A221</f>
        <v>PAY40220</v>
      </c>
      <c r="B224" s="16" t="str">
        <f aca="false">Payment_Log_AP!C221</f>
        <v>V1023</v>
      </c>
      <c r="C224" s="16" t="str">
        <f aca="false">IFERROR(INDEX(Vendor_Master!$B$2:$B$41,MATCH(B224,Vendor_Master!$A$2:$A$41,0)),"Unknown Vendor")</f>
        <v>Robinson-Bright</v>
      </c>
      <c r="D224" s="16" t="str">
        <f aca="false">IFERROR(INDEX(Vendor_Master!$D$2:$D$41,MATCH(B224,Vendor_Master!$A$2:$A$41,0)),"Unknown")</f>
        <v>India</v>
      </c>
      <c r="E224" s="17" t="n">
        <f aca="false">IFERROR(INDEX(Vendor_Master!$E$2:$E$41,MATCH(B224,Vendor_Master!$A$2:$A$41,0)),"")</f>
        <v>45484</v>
      </c>
      <c r="F224" s="17" t="n">
        <f aca="false">Payment_Log_AP!D221</f>
        <v>45762</v>
      </c>
      <c r="G224" s="18" t="n">
        <f aca="false">Payment_Log_AP!E221</f>
        <v>1766.28</v>
      </c>
      <c r="H224" s="16" t="n">
        <f aca="false">IF(G224&gt;=Assumptions!$B$7,40,IF(G224&gt;=Assumptions!$B$8,20,0))</f>
        <v>0</v>
      </c>
      <c r="I224" s="16" t="n">
        <f aca="false">IF(MOD(G224,500)=0,20,IF(MOD(G224,100)=0,10,0))</f>
        <v>0</v>
      </c>
      <c r="J224" s="16" t="n">
        <f aca="false">IF(AND(E224&lt;&gt;"",F224-E224&lt;=Assumptions!$B$9),25,0)</f>
        <v>0</v>
      </c>
      <c r="K224" s="16" t="n">
        <f aca="false">IF(ISNUMBER(SEARCH(D224,Assumptions!$B$10)),15,0)</f>
        <v>15</v>
      </c>
      <c r="L224" s="16" t="n">
        <f aca="false">H224+I224+J224+K224</f>
        <v>15</v>
      </c>
      <c r="M224" s="16" t="str">
        <f aca="false">IF(L224&gt;=60,"High",IF(L224&gt;=30,"Medium","Low"))</f>
        <v>Low</v>
      </c>
    </row>
    <row r="225" customFormat="false" ht="15" hidden="false" customHeight="false" outlineLevel="0" collapsed="false">
      <c r="A225" s="16" t="str">
        <f aca="false">Payment_Log_AP!A222</f>
        <v>PAY40221</v>
      </c>
      <c r="B225" s="16" t="str">
        <f aca="false">Payment_Log_AP!C222</f>
        <v>V1036</v>
      </c>
      <c r="C225" s="16" t="str">
        <f aca="false">IFERROR(INDEX(Vendor_Master!$B$2:$B$41,MATCH(B225,Vendor_Master!$A$2:$A$41,0)),"Unknown Vendor")</f>
        <v>Dennis Inc</v>
      </c>
      <c r="D225" s="16" t="str">
        <f aca="false">IFERROR(INDEX(Vendor_Master!$D$2:$D$41,MATCH(B225,Vendor_Master!$A$2:$A$41,0)),"Unknown")</f>
        <v>Singapore</v>
      </c>
      <c r="E225" s="17" t="n">
        <f aca="false">IFERROR(INDEX(Vendor_Master!$E$2:$E$41,MATCH(B225,Vendor_Master!$A$2:$A$41,0)),"")</f>
        <v>46059</v>
      </c>
      <c r="F225" s="17" t="n">
        <f aca="false">Payment_Log_AP!D222</f>
        <v>46190</v>
      </c>
      <c r="G225" s="18" t="n">
        <f aca="false">Payment_Log_AP!E222</f>
        <v>1408.36</v>
      </c>
      <c r="H225" s="16" t="n">
        <f aca="false">IF(G225&gt;=Assumptions!$B$7,40,IF(G225&gt;=Assumptions!$B$8,20,0))</f>
        <v>0</v>
      </c>
      <c r="I225" s="16" t="n">
        <f aca="false">IF(MOD(G225,500)=0,20,IF(MOD(G225,100)=0,10,0))</f>
        <v>0</v>
      </c>
      <c r="J225" s="16" t="n">
        <f aca="false">IF(AND(E225&lt;&gt;"",F225-E225&lt;=Assumptions!$B$9),25,0)</f>
        <v>25</v>
      </c>
      <c r="K225" s="16" t="n">
        <f aca="false">IF(ISNUMBER(SEARCH(D225,Assumptions!$B$10)),15,0)</f>
        <v>15</v>
      </c>
      <c r="L225" s="16" t="n">
        <f aca="false">H225+I225+J225+K225</f>
        <v>40</v>
      </c>
      <c r="M225" s="16" t="str">
        <f aca="false">IF(L225&gt;=60,"High",IF(L225&gt;=30,"Medium","Low"))</f>
        <v>Medium</v>
      </c>
    </row>
    <row r="226" customFormat="false" ht="15" hidden="false" customHeight="false" outlineLevel="0" collapsed="false">
      <c r="A226" s="16" t="str">
        <f aca="false">Payment_Log_AP!A223</f>
        <v>PAY40222</v>
      </c>
      <c r="B226" s="16" t="str">
        <f aca="false">Payment_Log_AP!C223</f>
        <v>V1030</v>
      </c>
      <c r="C226" s="16" t="str">
        <f aca="false">IFERROR(INDEX(Vendor_Master!$B$2:$B$41,MATCH(B226,Vendor_Master!$A$2:$A$41,0)),"Unknown Vendor")</f>
        <v>Stanton-Gill</v>
      </c>
      <c r="D226" s="16" t="str">
        <f aca="false">IFERROR(INDEX(Vendor_Master!$D$2:$D$41,MATCH(B226,Vendor_Master!$A$2:$A$41,0)),"Unknown")</f>
        <v>UK</v>
      </c>
      <c r="E226" s="17" t="n">
        <f aca="false">IFERROR(INDEX(Vendor_Master!$E$2:$E$41,MATCH(B226,Vendor_Master!$A$2:$A$41,0)),"")</f>
        <v>45946</v>
      </c>
      <c r="F226" s="17" t="n">
        <f aca="false">Payment_Log_AP!D223</f>
        <v>45816</v>
      </c>
      <c r="G226" s="18" t="n">
        <f aca="false">Payment_Log_AP!E223</f>
        <v>1546.99</v>
      </c>
      <c r="H226" s="16" t="n">
        <f aca="false">IF(G226&gt;=Assumptions!$B$7,40,IF(G226&gt;=Assumptions!$B$8,20,0))</f>
        <v>0</v>
      </c>
      <c r="I226" s="16" t="n">
        <f aca="false">IF(MOD(G226,500)=0,20,IF(MOD(G226,100)=0,10,0))</f>
        <v>0</v>
      </c>
      <c r="J226" s="16" t="n">
        <f aca="false">IF(AND(E226&lt;&gt;"",F226-E226&lt;=Assumptions!$B$9),25,0)</f>
        <v>25</v>
      </c>
      <c r="K226" s="16" t="n">
        <f aca="false">IF(ISNUMBER(SEARCH(D226,Assumptions!$B$10)),15,0)</f>
        <v>0</v>
      </c>
      <c r="L226" s="16" t="n">
        <f aca="false">H226+I226+J226+K226</f>
        <v>25</v>
      </c>
      <c r="M226" s="16" t="str">
        <f aca="false">IF(L226&gt;=60,"High",IF(L226&gt;=30,"Medium","Low"))</f>
        <v>Low</v>
      </c>
    </row>
    <row r="227" customFormat="false" ht="15" hidden="false" customHeight="false" outlineLevel="0" collapsed="false">
      <c r="A227" s="16" t="str">
        <f aca="false">Payment_Log_AP!A224</f>
        <v>PAY40223</v>
      </c>
      <c r="B227" s="16" t="str">
        <f aca="false">Payment_Log_AP!C224</f>
        <v>V1030</v>
      </c>
      <c r="C227" s="16" t="str">
        <f aca="false">IFERROR(INDEX(Vendor_Master!$B$2:$B$41,MATCH(B227,Vendor_Master!$A$2:$A$41,0)),"Unknown Vendor")</f>
        <v>Stanton-Gill</v>
      </c>
      <c r="D227" s="16" t="str">
        <f aca="false">IFERROR(INDEX(Vendor_Master!$D$2:$D$41,MATCH(B227,Vendor_Master!$A$2:$A$41,0)),"Unknown")</f>
        <v>UK</v>
      </c>
      <c r="E227" s="17" t="n">
        <f aca="false">IFERROR(INDEX(Vendor_Master!$E$2:$E$41,MATCH(B227,Vendor_Master!$A$2:$A$41,0)),"")</f>
        <v>45946</v>
      </c>
      <c r="F227" s="17" t="n">
        <f aca="false">Payment_Log_AP!D224</f>
        <v>45824</v>
      </c>
      <c r="G227" s="18" t="n">
        <f aca="false">Payment_Log_AP!E224</f>
        <v>1546.99</v>
      </c>
      <c r="H227" s="16" t="n">
        <f aca="false">IF(G227&gt;=Assumptions!$B$7,40,IF(G227&gt;=Assumptions!$B$8,20,0))</f>
        <v>0</v>
      </c>
      <c r="I227" s="16" t="n">
        <f aca="false">IF(MOD(G227,500)=0,20,IF(MOD(G227,100)=0,10,0))</f>
        <v>0</v>
      </c>
      <c r="J227" s="16" t="n">
        <f aca="false">IF(AND(E227&lt;&gt;"",F227-E227&lt;=Assumptions!$B$9),25,0)</f>
        <v>25</v>
      </c>
      <c r="K227" s="16" t="n">
        <f aca="false">IF(ISNUMBER(SEARCH(D227,Assumptions!$B$10)),15,0)</f>
        <v>0</v>
      </c>
      <c r="L227" s="16" t="n">
        <f aca="false">H227+I227+J227+K227</f>
        <v>25</v>
      </c>
      <c r="M227" s="16" t="str">
        <f aca="false">IF(L227&gt;=60,"High",IF(L227&gt;=30,"Medium","Low"))</f>
        <v>Low</v>
      </c>
    </row>
    <row r="228" customFormat="false" ht="15" hidden="false" customHeight="false" outlineLevel="0" collapsed="false">
      <c r="A228" s="16" t="str">
        <f aca="false">Payment_Log_AP!A225</f>
        <v>PAY40224</v>
      </c>
      <c r="B228" s="16" t="str">
        <f aca="false">Payment_Log_AP!C225</f>
        <v>V1040</v>
      </c>
      <c r="C228" s="16" t="str">
        <f aca="false">IFERROR(INDEX(Vendor_Master!$B$2:$B$41,MATCH(B228,Vendor_Master!$A$2:$A$41,0)),"Unknown Vendor")</f>
        <v>Santos, Kim and Holmes</v>
      </c>
      <c r="D228" s="16" t="str">
        <f aca="false">IFERROR(INDEX(Vendor_Master!$D$2:$D$41,MATCH(B228,Vendor_Master!$A$2:$A$41,0)),"Unknown")</f>
        <v>India</v>
      </c>
      <c r="E228" s="17" t="n">
        <f aca="false">IFERROR(INDEX(Vendor_Master!$E$2:$E$41,MATCH(B228,Vendor_Master!$A$2:$A$41,0)),"")</f>
        <v>45192</v>
      </c>
      <c r="F228" s="17" t="n">
        <f aca="false">Payment_Log_AP!D225</f>
        <v>45954</v>
      </c>
      <c r="G228" s="18" t="n">
        <f aca="false">Payment_Log_AP!E225</f>
        <v>5615.74</v>
      </c>
      <c r="H228" s="16" t="n">
        <f aca="false">IF(G228&gt;=Assumptions!$B$7,40,IF(G228&gt;=Assumptions!$B$8,20,0))</f>
        <v>20</v>
      </c>
      <c r="I228" s="16" t="n">
        <f aca="false">IF(MOD(G228,500)=0,20,IF(MOD(G228,100)=0,10,0))</f>
        <v>0</v>
      </c>
      <c r="J228" s="16" t="n">
        <f aca="false">IF(AND(E228&lt;&gt;"",F228-E228&lt;=Assumptions!$B$9),25,0)</f>
        <v>0</v>
      </c>
      <c r="K228" s="16" t="n">
        <f aca="false">IF(ISNUMBER(SEARCH(D228,Assumptions!$B$10)),15,0)</f>
        <v>15</v>
      </c>
      <c r="L228" s="16" t="n">
        <f aca="false">H228+I228+J228+K228</f>
        <v>35</v>
      </c>
      <c r="M228" s="16" t="str">
        <f aca="false">IF(L228&gt;=60,"High",IF(L228&gt;=30,"Medium","Low"))</f>
        <v>Medium</v>
      </c>
    </row>
    <row r="229" customFormat="false" ht="15" hidden="false" customHeight="false" outlineLevel="0" collapsed="false">
      <c r="A229" s="16" t="str">
        <f aca="false">Payment_Log_AP!A226</f>
        <v>PAY40225</v>
      </c>
      <c r="B229" s="16" t="str">
        <f aca="false">Payment_Log_AP!C226</f>
        <v>V1034</v>
      </c>
      <c r="C229" s="16" t="str">
        <f aca="false">IFERROR(INDEX(Vendor_Master!$B$2:$B$41,MATCH(B229,Vendor_Master!$A$2:$A$41,0)),"Unknown Vendor")</f>
        <v>Koch-Decker</v>
      </c>
      <c r="D229" s="16" t="str">
        <f aca="false">IFERROR(INDEX(Vendor_Master!$D$2:$D$41,MATCH(B229,Vendor_Master!$A$2:$A$41,0)),"Unknown")</f>
        <v>Germany</v>
      </c>
      <c r="E229" s="17" t="n">
        <f aca="false">IFERROR(INDEX(Vendor_Master!$E$2:$E$41,MATCH(B229,Vendor_Master!$A$2:$A$41,0)),"")</f>
        <v>44738</v>
      </c>
      <c r="F229" s="17" t="n">
        <f aca="false">Payment_Log_AP!D226</f>
        <v>46044</v>
      </c>
      <c r="G229" s="18" t="n">
        <f aca="false">Payment_Log_AP!E226</f>
        <v>3821.71</v>
      </c>
      <c r="H229" s="16" t="n">
        <f aca="false">IF(G229&gt;=Assumptions!$B$7,40,IF(G229&gt;=Assumptions!$B$8,20,0))</f>
        <v>0</v>
      </c>
      <c r="I229" s="16" t="n">
        <f aca="false">IF(MOD(G229,500)=0,20,IF(MOD(G229,100)=0,10,0))</f>
        <v>0</v>
      </c>
      <c r="J229" s="16" t="n">
        <f aca="false">IF(AND(E229&lt;&gt;"",F229-E229&lt;=Assumptions!$B$9),25,0)</f>
        <v>0</v>
      </c>
      <c r="K229" s="16" t="n">
        <f aca="false">IF(ISNUMBER(SEARCH(D229,Assumptions!$B$10)),15,0)</f>
        <v>0</v>
      </c>
      <c r="L229" s="16" t="n">
        <f aca="false">H229+I229+J229+K229</f>
        <v>0</v>
      </c>
      <c r="M229" s="16" t="str">
        <f aca="false">IF(L229&gt;=60,"High",IF(L229&gt;=30,"Medium","Low"))</f>
        <v>Low</v>
      </c>
    </row>
    <row r="230" customFormat="false" ht="15" hidden="false" customHeight="false" outlineLevel="0" collapsed="false">
      <c r="A230" s="16" t="str">
        <f aca="false">Payment_Log_AP!A227</f>
        <v>PAY40226</v>
      </c>
      <c r="B230" s="16" t="str">
        <f aca="false">Payment_Log_AP!C227</f>
        <v>V1008</v>
      </c>
      <c r="C230" s="16" t="str">
        <f aca="false">IFERROR(INDEX(Vendor_Master!$B$2:$B$41,MATCH(B230,Vendor_Master!$A$2:$A$41,0)),"Unknown Vendor")</f>
        <v>Davis Inc</v>
      </c>
      <c r="D230" s="16" t="str">
        <f aca="false">IFERROR(INDEX(Vendor_Master!$D$2:$D$41,MATCH(B230,Vendor_Master!$A$2:$A$41,0)),"Unknown")</f>
        <v>Canada</v>
      </c>
      <c r="E230" s="17" t="n">
        <f aca="false">IFERROR(INDEX(Vendor_Master!$E$2:$E$41,MATCH(B230,Vendor_Master!$A$2:$A$41,0)),"")</f>
        <v>45769</v>
      </c>
      <c r="F230" s="17" t="n">
        <f aca="false">Payment_Log_AP!D227</f>
        <v>45881</v>
      </c>
      <c r="G230" s="18" t="n">
        <f aca="false">Payment_Log_AP!E227</f>
        <v>943.22</v>
      </c>
      <c r="H230" s="16" t="n">
        <f aca="false">IF(G230&gt;=Assumptions!$B$7,40,IF(G230&gt;=Assumptions!$B$8,20,0))</f>
        <v>0</v>
      </c>
      <c r="I230" s="16" t="n">
        <f aca="false">IF(MOD(G230,500)=0,20,IF(MOD(G230,100)=0,10,0))</f>
        <v>0</v>
      </c>
      <c r="J230" s="16" t="n">
        <f aca="false">IF(AND(E230&lt;&gt;"",F230-E230&lt;=Assumptions!$B$9),25,0)</f>
        <v>25</v>
      </c>
      <c r="K230" s="16" t="n">
        <f aca="false">IF(ISNUMBER(SEARCH(D230,Assumptions!$B$10)),15,0)</f>
        <v>0</v>
      </c>
      <c r="L230" s="16" t="n">
        <f aca="false">H230+I230+J230+K230</f>
        <v>25</v>
      </c>
      <c r="M230" s="16" t="str">
        <f aca="false">IF(L230&gt;=60,"High",IF(L230&gt;=30,"Medium","Low"))</f>
        <v>Low</v>
      </c>
    </row>
    <row r="231" customFormat="false" ht="15" hidden="false" customHeight="false" outlineLevel="0" collapsed="false">
      <c r="A231" s="16" t="str">
        <f aca="false">Payment_Log_AP!A228</f>
        <v>PAY40227</v>
      </c>
      <c r="B231" s="16" t="str">
        <f aca="false">Payment_Log_AP!C228</f>
        <v>V1031</v>
      </c>
      <c r="C231" s="16" t="str">
        <f aca="false">IFERROR(INDEX(Vendor_Master!$B$2:$B$41,MATCH(B231,Vendor_Master!$A$2:$A$41,0)),"Unknown Vendor")</f>
        <v>Harrell LLC</v>
      </c>
      <c r="D231" s="16" t="str">
        <f aca="false">IFERROR(INDEX(Vendor_Master!$D$2:$D$41,MATCH(B231,Vendor_Master!$A$2:$A$41,0)),"Unknown")</f>
        <v>Canada</v>
      </c>
      <c r="E231" s="17" t="n">
        <f aca="false">IFERROR(INDEX(Vendor_Master!$E$2:$E$41,MATCH(B231,Vendor_Master!$A$2:$A$41,0)),"")</f>
        <v>45364</v>
      </c>
      <c r="F231" s="17" t="n">
        <f aca="false">Payment_Log_AP!D228</f>
        <v>45695</v>
      </c>
      <c r="G231" s="18" t="n">
        <f aca="false">Payment_Log_AP!E228</f>
        <v>618.31</v>
      </c>
      <c r="H231" s="16" t="n">
        <f aca="false">IF(G231&gt;=Assumptions!$B$7,40,IF(G231&gt;=Assumptions!$B$8,20,0))</f>
        <v>0</v>
      </c>
      <c r="I231" s="16" t="n">
        <f aca="false">IF(MOD(G231,500)=0,20,IF(MOD(G231,100)=0,10,0))</f>
        <v>0</v>
      </c>
      <c r="J231" s="16" t="n">
        <f aca="false">IF(AND(E231&lt;&gt;"",F231-E231&lt;=Assumptions!$B$9),25,0)</f>
        <v>0</v>
      </c>
      <c r="K231" s="16" t="n">
        <f aca="false">IF(ISNUMBER(SEARCH(D231,Assumptions!$B$10)),15,0)</f>
        <v>0</v>
      </c>
      <c r="L231" s="16" t="n">
        <f aca="false">H231+I231+J231+K231</f>
        <v>0</v>
      </c>
      <c r="M231" s="16" t="str">
        <f aca="false">IF(L231&gt;=60,"High",IF(L231&gt;=30,"Medium","Low"))</f>
        <v>Low</v>
      </c>
    </row>
    <row r="232" customFormat="false" ht="15" hidden="false" customHeight="false" outlineLevel="0" collapsed="false">
      <c r="A232" s="16" t="str">
        <f aca="false">Payment_Log_AP!A229</f>
        <v>PAY40228</v>
      </c>
      <c r="B232" s="16" t="str">
        <f aca="false">Payment_Log_AP!C229</f>
        <v>V1038</v>
      </c>
      <c r="C232" s="16" t="str">
        <f aca="false">IFERROR(INDEX(Vendor_Master!$B$2:$B$41,MATCH(B232,Vendor_Master!$A$2:$A$41,0)),"Unknown Vendor")</f>
        <v>Rose-Obrien</v>
      </c>
      <c r="D232" s="16" t="str">
        <f aca="false">IFERROR(INDEX(Vendor_Master!$D$2:$D$41,MATCH(B232,Vendor_Master!$A$2:$A$41,0)),"Unknown")</f>
        <v>USA</v>
      </c>
      <c r="E232" s="17" t="n">
        <f aca="false">IFERROR(INDEX(Vendor_Master!$E$2:$E$41,MATCH(B232,Vendor_Master!$A$2:$A$41,0)),"")</f>
        <v>45431</v>
      </c>
      <c r="F232" s="17" t="n">
        <f aca="false">Payment_Log_AP!D229</f>
        <v>46179</v>
      </c>
      <c r="G232" s="18" t="n">
        <f aca="false">Payment_Log_AP!E229</f>
        <v>17214.28</v>
      </c>
      <c r="H232" s="16" t="n">
        <f aca="false">IF(G232&gt;=Assumptions!$B$7,40,IF(G232&gt;=Assumptions!$B$8,20,0))</f>
        <v>40</v>
      </c>
      <c r="I232" s="16" t="n">
        <f aca="false">IF(MOD(G232,500)=0,20,IF(MOD(G232,100)=0,10,0))</f>
        <v>0</v>
      </c>
      <c r="J232" s="16" t="n">
        <f aca="false">IF(AND(E232&lt;&gt;"",F232-E232&lt;=Assumptions!$B$9),25,0)</f>
        <v>0</v>
      </c>
      <c r="K232" s="16" t="n">
        <f aca="false">IF(ISNUMBER(SEARCH(D232,Assumptions!$B$10)),15,0)</f>
        <v>0</v>
      </c>
      <c r="L232" s="16" t="n">
        <f aca="false">H232+I232+J232+K232</f>
        <v>40</v>
      </c>
      <c r="M232" s="16" t="str">
        <f aca="false">IF(L232&gt;=60,"High",IF(L232&gt;=30,"Medium","Low"))</f>
        <v>Medium</v>
      </c>
    </row>
    <row r="233" customFormat="false" ht="15" hidden="false" customHeight="false" outlineLevel="0" collapsed="false">
      <c r="A233" s="16" t="str">
        <f aca="false">Payment_Log_AP!A230</f>
        <v>PAY40229</v>
      </c>
      <c r="B233" s="16" t="str">
        <f aca="false">Payment_Log_AP!C230</f>
        <v>V1020</v>
      </c>
      <c r="C233" s="16" t="str">
        <f aca="false">IFERROR(INDEX(Vendor_Master!$B$2:$B$41,MATCH(B233,Vendor_Master!$A$2:$A$41,0)),"Unknown Vendor")</f>
        <v>Lewis-Porter</v>
      </c>
      <c r="D233" s="16" t="str">
        <f aca="false">IFERROR(INDEX(Vendor_Master!$D$2:$D$41,MATCH(B233,Vendor_Master!$A$2:$A$41,0)),"Unknown")</f>
        <v>UAE</v>
      </c>
      <c r="E233" s="17" t="n">
        <f aca="false">IFERROR(INDEX(Vendor_Master!$E$2:$E$41,MATCH(B233,Vendor_Master!$A$2:$A$41,0)),"")</f>
        <v>45947</v>
      </c>
      <c r="F233" s="17" t="n">
        <f aca="false">Payment_Log_AP!D230</f>
        <v>45827</v>
      </c>
      <c r="G233" s="18" t="n">
        <f aca="false">Payment_Log_AP!E230</f>
        <v>1164.57</v>
      </c>
      <c r="H233" s="16" t="n">
        <f aca="false">IF(G233&gt;=Assumptions!$B$7,40,IF(G233&gt;=Assumptions!$B$8,20,0))</f>
        <v>0</v>
      </c>
      <c r="I233" s="16" t="n">
        <f aca="false">IF(MOD(G233,500)=0,20,IF(MOD(G233,100)=0,10,0))</f>
        <v>0</v>
      </c>
      <c r="J233" s="16" t="n">
        <f aca="false">IF(AND(E233&lt;&gt;"",F233-E233&lt;=Assumptions!$B$9),25,0)</f>
        <v>25</v>
      </c>
      <c r="K233" s="16" t="n">
        <f aca="false">IF(ISNUMBER(SEARCH(D233,Assumptions!$B$10)),15,0)</f>
        <v>15</v>
      </c>
      <c r="L233" s="16" t="n">
        <f aca="false">H233+I233+J233+K233</f>
        <v>40</v>
      </c>
      <c r="M233" s="16" t="str">
        <f aca="false">IF(L233&gt;=60,"High",IF(L233&gt;=30,"Medium","Low"))</f>
        <v>Medium</v>
      </c>
    </row>
    <row r="234" customFormat="false" ht="15" hidden="false" customHeight="false" outlineLevel="0" collapsed="false">
      <c r="A234" s="16" t="str">
        <f aca="false">Payment_Log_AP!A231</f>
        <v>PAY40230</v>
      </c>
      <c r="B234" s="16" t="str">
        <f aca="false">Payment_Log_AP!C231</f>
        <v>V1030</v>
      </c>
      <c r="C234" s="16" t="str">
        <f aca="false">IFERROR(INDEX(Vendor_Master!$B$2:$B$41,MATCH(B234,Vendor_Master!$A$2:$A$41,0)),"Unknown Vendor")</f>
        <v>Stanton-Gill</v>
      </c>
      <c r="D234" s="16" t="str">
        <f aca="false">IFERROR(INDEX(Vendor_Master!$D$2:$D$41,MATCH(B234,Vendor_Master!$A$2:$A$41,0)),"Unknown")</f>
        <v>UK</v>
      </c>
      <c r="E234" s="17" t="n">
        <f aca="false">IFERROR(INDEX(Vendor_Master!$E$2:$E$41,MATCH(B234,Vendor_Master!$A$2:$A$41,0)),"")</f>
        <v>45946</v>
      </c>
      <c r="F234" s="17" t="n">
        <f aca="false">Payment_Log_AP!D231</f>
        <v>45876</v>
      </c>
      <c r="G234" s="18" t="n">
        <f aca="false">Payment_Log_AP!E231</f>
        <v>1150.99</v>
      </c>
      <c r="H234" s="16" t="n">
        <f aca="false">IF(G234&gt;=Assumptions!$B$7,40,IF(G234&gt;=Assumptions!$B$8,20,0))</f>
        <v>0</v>
      </c>
      <c r="I234" s="16" t="n">
        <f aca="false">IF(MOD(G234,500)=0,20,IF(MOD(G234,100)=0,10,0))</f>
        <v>0</v>
      </c>
      <c r="J234" s="16" t="n">
        <f aca="false">IF(AND(E234&lt;&gt;"",F234-E234&lt;=Assumptions!$B$9),25,0)</f>
        <v>25</v>
      </c>
      <c r="K234" s="16" t="n">
        <f aca="false">IF(ISNUMBER(SEARCH(D234,Assumptions!$B$10)),15,0)</f>
        <v>0</v>
      </c>
      <c r="L234" s="16" t="n">
        <f aca="false">H234+I234+J234+K234</f>
        <v>25</v>
      </c>
      <c r="M234" s="16" t="str">
        <f aca="false">IF(L234&gt;=60,"High",IF(L234&gt;=30,"Medium","Low"))</f>
        <v>Low</v>
      </c>
    </row>
    <row r="235" customFormat="false" ht="15" hidden="false" customHeight="false" outlineLevel="0" collapsed="false">
      <c r="A235" s="16" t="str">
        <f aca="false">Payment_Log_AP!A232</f>
        <v>PAY40231</v>
      </c>
      <c r="B235" s="16" t="str">
        <f aca="false">Payment_Log_AP!C232</f>
        <v>V1030</v>
      </c>
      <c r="C235" s="16" t="str">
        <f aca="false">IFERROR(INDEX(Vendor_Master!$B$2:$B$41,MATCH(B235,Vendor_Master!$A$2:$A$41,0)),"Unknown Vendor")</f>
        <v>Stanton-Gill</v>
      </c>
      <c r="D235" s="16" t="str">
        <f aca="false">IFERROR(INDEX(Vendor_Master!$D$2:$D$41,MATCH(B235,Vendor_Master!$A$2:$A$41,0)),"Unknown")</f>
        <v>UK</v>
      </c>
      <c r="E235" s="17" t="n">
        <f aca="false">IFERROR(INDEX(Vendor_Master!$E$2:$E$41,MATCH(B235,Vendor_Master!$A$2:$A$41,0)),"")</f>
        <v>45946</v>
      </c>
      <c r="F235" s="17" t="n">
        <f aca="false">Payment_Log_AP!D232</f>
        <v>45865</v>
      </c>
      <c r="G235" s="18" t="n">
        <f aca="false">Payment_Log_AP!E232</f>
        <v>1219.73</v>
      </c>
      <c r="H235" s="16" t="n">
        <f aca="false">IF(G235&gt;=Assumptions!$B$7,40,IF(G235&gt;=Assumptions!$B$8,20,0))</f>
        <v>0</v>
      </c>
      <c r="I235" s="16" t="n">
        <f aca="false">IF(MOD(G235,500)=0,20,IF(MOD(G235,100)=0,10,0))</f>
        <v>0</v>
      </c>
      <c r="J235" s="16" t="n">
        <f aca="false">IF(AND(E235&lt;&gt;"",F235-E235&lt;=Assumptions!$B$9),25,0)</f>
        <v>25</v>
      </c>
      <c r="K235" s="16" t="n">
        <f aca="false">IF(ISNUMBER(SEARCH(D235,Assumptions!$B$10)),15,0)</f>
        <v>0</v>
      </c>
      <c r="L235" s="16" t="n">
        <f aca="false">H235+I235+J235+K235</f>
        <v>25</v>
      </c>
      <c r="M235" s="16" t="str">
        <f aca="false">IF(L235&gt;=60,"High",IF(L235&gt;=30,"Medium","Low"))</f>
        <v>Low</v>
      </c>
    </row>
    <row r="236" customFormat="false" ht="15" hidden="false" customHeight="false" outlineLevel="0" collapsed="false">
      <c r="A236" s="16" t="str">
        <f aca="false">Payment_Log_AP!A233</f>
        <v>PAY40232</v>
      </c>
      <c r="B236" s="16" t="str">
        <f aca="false">Payment_Log_AP!C233</f>
        <v>V1030</v>
      </c>
      <c r="C236" s="16" t="str">
        <f aca="false">IFERROR(INDEX(Vendor_Master!$B$2:$B$41,MATCH(B236,Vendor_Master!$A$2:$A$41,0)),"Unknown Vendor")</f>
        <v>Stanton-Gill</v>
      </c>
      <c r="D236" s="16" t="str">
        <f aca="false">IFERROR(INDEX(Vendor_Master!$D$2:$D$41,MATCH(B236,Vendor_Master!$A$2:$A$41,0)),"Unknown")</f>
        <v>UK</v>
      </c>
      <c r="E236" s="17" t="n">
        <f aca="false">IFERROR(INDEX(Vendor_Master!$E$2:$E$41,MATCH(B236,Vendor_Master!$A$2:$A$41,0)),"")</f>
        <v>45946</v>
      </c>
      <c r="F236" s="17" t="n">
        <f aca="false">Payment_Log_AP!D233</f>
        <v>45866</v>
      </c>
      <c r="G236" s="18" t="n">
        <f aca="false">Payment_Log_AP!E233</f>
        <v>1219.73</v>
      </c>
      <c r="H236" s="16" t="n">
        <f aca="false">IF(G236&gt;=Assumptions!$B$7,40,IF(G236&gt;=Assumptions!$B$8,20,0))</f>
        <v>0</v>
      </c>
      <c r="I236" s="16" t="n">
        <f aca="false">IF(MOD(G236,500)=0,20,IF(MOD(G236,100)=0,10,0))</f>
        <v>0</v>
      </c>
      <c r="J236" s="16" t="n">
        <f aca="false">IF(AND(E236&lt;&gt;"",F236-E236&lt;=Assumptions!$B$9),25,0)</f>
        <v>25</v>
      </c>
      <c r="K236" s="16" t="n">
        <f aca="false">IF(ISNUMBER(SEARCH(D236,Assumptions!$B$10)),15,0)</f>
        <v>0</v>
      </c>
      <c r="L236" s="16" t="n">
        <f aca="false">H236+I236+J236+K236</f>
        <v>25</v>
      </c>
      <c r="M236" s="16" t="str">
        <f aca="false">IF(L236&gt;=60,"High",IF(L236&gt;=30,"Medium","Low"))</f>
        <v>Low</v>
      </c>
    </row>
    <row r="237" customFormat="false" ht="15" hidden="false" customHeight="false" outlineLevel="0" collapsed="false">
      <c r="A237" s="16" t="str">
        <f aca="false">Payment_Log_AP!A234</f>
        <v>PAY40233</v>
      </c>
      <c r="B237" s="16" t="str">
        <f aca="false">Payment_Log_AP!C234</f>
        <v>V1007</v>
      </c>
      <c r="C237" s="16" t="str">
        <f aca="false">IFERROR(INDEX(Vendor_Master!$B$2:$B$41,MATCH(B237,Vendor_Master!$A$2:$A$41,0)),"Unknown Vendor")</f>
        <v>Ramirez-Lewis</v>
      </c>
      <c r="D237" s="16" t="str">
        <f aca="false">IFERROR(INDEX(Vendor_Master!$D$2:$D$41,MATCH(B237,Vendor_Master!$A$2:$A$41,0)),"Unknown")</f>
        <v>Germany</v>
      </c>
      <c r="E237" s="17" t="n">
        <f aca="false">IFERROR(INDEX(Vendor_Master!$E$2:$E$41,MATCH(B237,Vendor_Master!$A$2:$A$41,0)),"")</f>
        <v>45665</v>
      </c>
      <c r="F237" s="17" t="n">
        <f aca="false">Payment_Log_AP!D234</f>
        <v>46171</v>
      </c>
      <c r="G237" s="18" t="n">
        <f aca="false">Payment_Log_AP!E234</f>
        <v>2121.27</v>
      </c>
      <c r="H237" s="16" t="n">
        <f aca="false">IF(G237&gt;=Assumptions!$B$7,40,IF(G237&gt;=Assumptions!$B$8,20,0))</f>
        <v>0</v>
      </c>
      <c r="I237" s="16" t="n">
        <f aca="false">IF(MOD(G237,500)=0,20,IF(MOD(G237,100)=0,10,0))</f>
        <v>0</v>
      </c>
      <c r="J237" s="16" t="n">
        <f aca="false">IF(AND(E237&lt;&gt;"",F237-E237&lt;=Assumptions!$B$9),25,0)</f>
        <v>0</v>
      </c>
      <c r="K237" s="16" t="n">
        <f aca="false">IF(ISNUMBER(SEARCH(D237,Assumptions!$B$10)),15,0)</f>
        <v>0</v>
      </c>
      <c r="L237" s="16" t="n">
        <f aca="false">H237+I237+J237+K237</f>
        <v>0</v>
      </c>
      <c r="M237" s="16" t="str">
        <f aca="false">IF(L237&gt;=60,"High",IF(L237&gt;=30,"Medium","Low"))</f>
        <v>Low</v>
      </c>
    </row>
    <row r="238" customFormat="false" ht="15" hidden="false" customHeight="false" outlineLevel="0" collapsed="false">
      <c r="A238" s="16" t="str">
        <f aca="false">Payment_Log_AP!A235</f>
        <v>PAY40234</v>
      </c>
      <c r="B238" s="16" t="str">
        <f aca="false">Payment_Log_AP!C235</f>
        <v>V1008</v>
      </c>
      <c r="C238" s="16" t="str">
        <f aca="false">IFERROR(INDEX(Vendor_Master!$B$2:$B$41,MATCH(B238,Vendor_Master!$A$2:$A$41,0)),"Unknown Vendor")</f>
        <v>Davis Inc</v>
      </c>
      <c r="D238" s="16" t="str">
        <f aca="false">IFERROR(INDEX(Vendor_Master!$D$2:$D$41,MATCH(B238,Vendor_Master!$A$2:$A$41,0)),"Unknown")</f>
        <v>Canada</v>
      </c>
      <c r="E238" s="17" t="n">
        <f aca="false">IFERROR(INDEX(Vendor_Master!$E$2:$E$41,MATCH(B238,Vendor_Master!$A$2:$A$41,0)),"")</f>
        <v>45769</v>
      </c>
      <c r="F238" s="17" t="n">
        <f aca="false">Payment_Log_AP!D235</f>
        <v>46057</v>
      </c>
      <c r="G238" s="18" t="n">
        <f aca="false">Payment_Log_AP!E235</f>
        <v>782.81</v>
      </c>
      <c r="H238" s="16" t="n">
        <f aca="false">IF(G238&gt;=Assumptions!$B$7,40,IF(G238&gt;=Assumptions!$B$8,20,0))</f>
        <v>0</v>
      </c>
      <c r="I238" s="16" t="n">
        <f aca="false">IF(MOD(G238,500)=0,20,IF(MOD(G238,100)=0,10,0))</f>
        <v>0</v>
      </c>
      <c r="J238" s="16" t="n">
        <f aca="false">IF(AND(E238&lt;&gt;"",F238-E238&lt;=Assumptions!$B$9),25,0)</f>
        <v>0</v>
      </c>
      <c r="K238" s="16" t="n">
        <f aca="false">IF(ISNUMBER(SEARCH(D238,Assumptions!$B$10)),15,0)</f>
        <v>0</v>
      </c>
      <c r="L238" s="16" t="n">
        <f aca="false">H238+I238+J238+K238</f>
        <v>0</v>
      </c>
      <c r="M238" s="16" t="str">
        <f aca="false">IF(L238&gt;=60,"High",IF(L238&gt;=30,"Medium","Low"))</f>
        <v>Low</v>
      </c>
    </row>
    <row r="239" customFormat="false" ht="15" hidden="false" customHeight="false" outlineLevel="0" collapsed="false">
      <c r="A239" s="16" t="str">
        <f aca="false">Payment_Log_AP!A236</f>
        <v>PAY40235</v>
      </c>
      <c r="B239" s="16" t="str">
        <f aca="false">Payment_Log_AP!C236</f>
        <v>V1007</v>
      </c>
      <c r="C239" s="16" t="str">
        <f aca="false">IFERROR(INDEX(Vendor_Master!$B$2:$B$41,MATCH(B239,Vendor_Master!$A$2:$A$41,0)),"Unknown Vendor")</f>
        <v>Ramirez-Lewis</v>
      </c>
      <c r="D239" s="16" t="str">
        <f aca="false">IFERROR(INDEX(Vendor_Master!$D$2:$D$41,MATCH(B239,Vendor_Master!$A$2:$A$41,0)),"Unknown")</f>
        <v>Germany</v>
      </c>
      <c r="E239" s="17" t="n">
        <f aca="false">IFERROR(INDEX(Vendor_Master!$E$2:$E$41,MATCH(B239,Vendor_Master!$A$2:$A$41,0)),"")</f>
        <v>45665</v>
      </c>
      <c r="F239" s="17" t="n">
        <f aca="false">Payment_Log_AP!D236</f>
        <v>45847</v>
      </c>
      <c r="G239" s="18" t="n">
        <f aca="false">Payment_Log_AP!E236</f>
        <v>231.64</v>
      </c>
      <c r="H239" s="16" t="n">
        <f aca="false">IF(G239&gt;=Assumptions!$B$7,40,IF(G239&gt;=Assumptions!$B$8,20,0))</f>
        <v>0</v>
      </c>
      <c r="I239" s="16" t="n">
        <f aca="false">IF(MOD(G239,500)=0,20,IF(MOD(G239,100)=0,10,0))</f>
        <v>0</v>
      </c>
      <c r="J239" s="16" t="n">
        <f aca="false">IF(AND(E239&lt;&gt;"",F239-E239&lt;=Assumptions!$B$9),25,0)</f>
        <v>0</v>
      </c>
      <c r="K239" s="16" t="n">
        <f aca="false">IF(ISNUMBER(SEARCH(D239,Assumptions!$B$10)),15,0)</f>
        <v>0</v>
      </c>
      <c r="L239" s="16" t="n">
        <f aca="false">H239+I239+J239+K239</f>
        <v>0</v>
      </c>
      <c r="M239" s="16" t="str">
        <f aca="false">IF(L239&gt;=60,"High",IF(L239&gt;=30,"Medium","Low"))</f>
        <v>Low</v>
      </c>
    </row>
    <row r="240" customFormat="false" ht="15" hidden="false" customHeight="false" outlineLevel="0" collapsed="false">
      <c r="A240" s="16" t="str">
        <f aca="false">Payment_Log_AP!A237</f>
        <v>PAY40236</v>
      </c>
      <c r="B240" s="16" t="str">
        <f aca="false">Payment_Log_AP!C237</f>
        <v>V1021</v>
      </c>
      <c r="C240" s="16" t="str">
        <f aca="false">IFERROR(INDEX(Vendor_Master!$B$2:$B$41,MATCH(B240,Vendor_Master!$A$2:$A$41,0)),"Unknown Vendor")</f>
        <v>Ellis, Baker and Wright</v>
      </c>
      <c r="D240" s="16" t="str">
        <f aca="false">IFERROR(INDEX(Vendor_Master!$D$2:$D$41,MATCH(B240,Vendor_Master!$A$2:$A$41,0)),"Unknown")</f>
        <v>UAE</v>
      </c>
      <c r="E240" s="17" t="n">
        <f aca="false">IFERROR(INDEX(Vendor_Master!$E$2:$E$41,MATCH(B240,Vendor_Master!$A$2:$A$41,0)),"")</f>
        <v>45960</v>
      </c>
      <c r="F240" s="17" t="n">
        <f aca="false">Payment_Log_AP!D237</f>
        <v>45706</v>
      </c>
      <c r="G240" s="18" t="n">
        <f aca="false">Payment_Log_AP!E237</f>
        <v>585.14</v>
      </c>
      <c r="H240" s="16" t="n">
        <f aca="false">IF(G240&gt;=Assumptions!$B$7,40,IF(G240&gt;=Assumptions!$B$8,20,0))</f>
        <v>0</v>
      </c>
      <c r="I240" s="16" t="n">
        <f aca="false">IF(MOD(G240,500)=0,20,IF(MOD(G240,100)=0,10,0))</f>
        <v>0</v>
      </c>
      <c r="J240" s="16" t="n">
        <f aca="false">IF(AND(E240&lt;&gt;"",F240-E240&lt;=Assumptions!$B$9),25,0)</f>
        <v>25</v>
      </c>
      <c r="K240" s="16" t="n">
        <f aca="false">IF(ISNUMBER(SEARCH(D240,Assumptions!$B$10)),15,0)</f>
        <v>15</v>
      </c>
      <c r="L240" s="16" t="n">
        <f aca="false">H240+I240+J240+K240</f>
        <v>40</v>
      </c>
      <c r="M240" s="16" t="str">
        <f aca="false">IF(L240&gt;=60,"High",IF(L240&gt;=30,"Medium","Low"))</f>
        <v>Medium</v>
      </c>
    </row>
    <row r="241" customFormat="false" ht="15" hidden="false" customHeight="false" outlineLevel="0" collapsed="false">
      <c r="A241" s="16" t="str">
        <f aca="false">Payment_Log_AP!A238</f>
        <v>PAY40237</v>
      </c>
      <c r="B241" s="16" t="str">
        <f aca="false">Payment_Log_AP!C238</f>
        <v>V1022</v>
      </c>
      <c r="C241" s="16" t="str">
        <f aca="false">IFERROR(INDEX(Vendor_Master!$B$2:$B$41,MATCH(B241,Vendor_Master!$A$2:$A$41,0)),"Unknown Vendor")</f>
        <v>Burgess-Patterson</v>
      </c>
      <c r="D241" s="16" t="str">
        <f aca="false">IFERROR(INDEX(Vendor_Master!$D$2:$D$41,MATCH(B241,Vendor_Master!$A$2:$A$41,0)),"Unknown")</f>
        <v>Germany</v>
      </c>
      <c r="E241" s="17" t="n">
        <f aca="false">IFERROR(INDEX(Vendor_Master!$E$2:$E$41,MATCH(B241,Vendor_Master!$A$2:$A$41,0)),"")</f>
        <v>45449</v>
      </c>
      <c r="F241" s="17" t="n">
        <f aca="false">Payment_Log_AP!D238</f>
        <v>46178</v>
      </c>
      <c r="G241" s="18" t="n">
        <f aca="false">Payment_Log_AP!E238</f>
        <v>2715.46</v>
      </c>
      <c r="H241" s="16" t="n">
        <f aca="false">IF(G241&gt;=Assumptions!$B$7,40,IF(G241&gt;=Assumptions!$B$8,20,0))</f>
        <v>0</v>
      </c>
      <c r="I241" s="16" t="n">
        <f aca="false">IF(MOD(G241,500)=0,20,IF(MOD(G241,100)=0,10,0))</f>
        <v>0</v>
      </c>
      <c r="J241" s="16" t="n">
        <f aca="false">IF(AND(E241&lt;&gt;"",F241-E241&lt;=Assumptions!$B$9),25,0)</f>
        <v>0</v>
      </c>
      <c r="K241" s="16" t="n">
        <f aca="false">IF(ISNUMBER(SEARCH(D241,Assumptions!$B$10)),15,0)</f>
        <v>0</v>
      </c>
      <c r="L241" s="16" t="n">
        <f aca="false">H241+I241+J241+K241</f>
        <v>0</v>
      </c>
      <c r="M241" s="16" t="str">
        <f aca="false">IF(L241&gt;=60,"High",IF(L241&gt;=30,"Medium","Low"))</f>
        <v>Low</v>
      </c>
    </row>
    <row r="242" customFormat="false" ht="15" hidden="false" customHeight="false" outlineLevel="0" collapsed="false">
      <c r="A242" s="16" t="str">
        <f aca="false">Payment_Log_AP!A239</f>
        <v>PAY40238</v>
      </c>
      <c r="B242" s="16" t="str">
        <f aca="false">Payment_Log_AP!C239</f>
        <v>V1022</v>
      </c>
      <c r="C242" s="16" t="str">
        <f aca="false">IFERROR(INDEX(Vendor_Master!$B$2:$B$41,MATCH(B242,Vendor_Master!$A$2:$A$41,0)),"Unknown Vendor")</f>
        <v>Burgess-Patterson</v>
      </c>
      <c r="D242" s="16" t="str">
        <f aca="false">IFERROR(INDEX(Vendor_Master!$D$2:$D$41,MATCH(B242,Vendor_Master!$A$2:$A$41,0)),"Unknown")</f>
        <v>Germany</v>
      </c>
      <c r="E242" s="17" t="n">
        <f aca="false">IFERROR(INDEX(Vendor_Master!$E$2:$E$41,MATCH(B242,Vendor_Master!$A$2:$A$41,0)),"")</f>
        <v>45449</v>
      </c>
      <c r="F242" s="17" t="n">
        <f aca="false">Payment_Log_AP!D239</f>
        <v>46074</v>
      </c>
      <c r="G242" s="18" t="n">
        <f aca="false">Payment_Log_AP!E239</f>
        <v>5917.43</v>
      </c>
      <c r="H242" s="16" t="n">
        <f aca="false">IF(G242&gt;=Assumptions!$B$7,40,IF(G242&gt;=Assumptions!$B$8,20,0))</f>
        <v>20</v>
      </c>
      <c r="I242" s="16" t="n">
        <f aca="false">IF(MOD(G242,500)=0,20,IF(MOD(G242,100)=0,10,0))</f>
        <v>0</v>
      </c>
      <c r="J242" s="16" t="n">
        <f aca="false">IF(AND(E242&lt;&gt;"",F242-E242&lt;=Assumptions!$B$9),25,0)</f>
        <v>0</v>
      </c>
      <c r="K242" s="16" t="n">
        <f aca="false">IF(ISNUMBER(SEARCH(D242,Assumptions!$B$10)),15,0)</f>
        <v>0</v>
      </c>
      <c r="L242" s="16" t="n">
        <f aca="false">H242+I242+J242+K242</f>
        <v>20</v>
      </c>
      <c r="M242" s="16" t="str">
        <f aca="false">IF(L242&gt;=60,"High",IF(L242&gt;=30,"Medium","Low"))</f>
        <v>Low</v>
      </c>
    </row>
    <row r="243" customFormat="false" ht="15" hidden="false" customHeight="false" outlineLevel="0" collapsed="false">
      <c r="A243" s="16" t="str">
        <f aca="false">Payment_Log_AP!A240</f>
        <v>PAY40239</v>
      </c>
      <c r="B243" s="16" t="str">
        <f aca="false">Payment_Log_AP!C240</f>
        <v>V1003</v>
      </c>
      <c r="C243" s="16" t="str">
        <f aca="false">IFERROR(INDEX(Vendor_Master!$B$2:$B$41,MATCH(B243,Vendor_Master!$A$2:$A$41,0)),"Unknown Vendor")</f>
        <v>Johnson and Sons</v>
      </c>
      <c r="D243" s="16" t="str">
        <f aca="false">IFERROR(INDEX(Vendor_Master!$D$2:$D$41,MATCH(B243,Vendor_Master!$A$2:$A$41,0)),"Unknown")</f>
        <v>UAE</v>
      </c>
      <c r="E243" s="17" t="n">
        <f aca="false">IFERROR(INDEX(Vendor_Master!$E$2:$E$41,MATCH(B243,Vendor_Master!$A$2:$A$41,0)),"")</f>
        <v>45495</v>
      </c>
      <c r="F243" s="17" t="n">
        <f aca="false">Payment_Log_AP!D240</f>
        <v>45967</v>
      </c>
      <c r="G243" s="18" t="n">
        <f aca="false">Payment_Log_AP!E240</f>
        <v>866.85</v>
      </c>
      <c r="H243" s="16" t="n">
        <f aca="false">IF(G243&gt;=Assumptions!$B$7,40,IF(G243&gt;=Assumptions!$B$8,20,0))</f>
        <v>0</v>
      </c>
      <c r="I243" s="16" t="n">
        <f aca="false">IF(MOD(G243,500)=0,20,IF(MOD(G243,100)=0,10,0))</f>
        <v>0</v>
      </c>
      <c r="J243" s="16" t="n">
        <f aca="false">IF(AND(E243&lt;&gt;"",F243-E243&lt;=Assumptions!$B$9),25,0)</f>
        <v>0</v>
      </c>
      <c r="K243" s="16" t="n">
        <f aca="false">IF(ISNUMBER(SEARCH(D243,Assumptions!$B$10)),15,0)</f>
        <v>15</v>
      </c>
      <c r="L243" s="16" t="n">
        <f aca="false">H243+I243+J243+K243</f>
        <v>15</v>
      </c>
      <c r="M243" s="16" t="str">
        <f aca="false">IF(L243&gt;=60,"High",IF(L243&gt;=30,"Medium","Low"))</f>
        <v>Low</v>
      </c>
    </row>
    <row r="244" customFormat="false" ht="15" hidden="false" customHeight="false" outlineLevel="0" collapsed="false">
      <c r="A244" s="16" t="str">
        <f aca="false">Payment_Log_AP!A241</f>
        <v>PAY40240</v>
      </c>
      <c r="B244" s="16" t="str">
        <f aca="false">Payment_Log_AP!C241</f>
        <v>V1017</v>
      </c>
      <c r="C244" s="16" t="str">
        <f aca="false">IFERROR(INDEX(Vendor_Master!$B$2:$B$41,MATCH(B244,Vendor_Master!$A$2:$A$41,0)),"Unknown Vendor")</f>
        <v>Hawkins, Cohen and Cameron</v>
      </c>
      <c r="D244" s="16" t="str">
        <f aca="false">IFERROR(INDEX(Vendor_Master!$D$2:$D$41,MATCH(B244,Vendor_Master!$A$2:$A$41,0)),"Unknown")</f>
        <v>USA</v>
      </c>
      <c r="E244" s="17" t="n">
        <f aca="false">IFERROR(INDEX(Vendor_Master!$E$2:$E$41,MATCH(B244,Vendor_Master!$A$2:$A$41,0)),"")</f>
        <v>46025</v>
      </c>
      <c r="F244" s="17" t="n">
        <f aca="false">Payment_Log_AP!D241</f>
        <v>46116</v>
      </c>
      <c r="G244" s="18" t="n">
        <f aca="false">Payment_Log_AP!E241</f>
        <v>5943.52</v>
      </c>
      <c r="H244" s="16" t="n">
        <f aca="false">IF(G244&gt;=Assumptions!$B$7,40,IF(G244&gt;=Assumptions!$B$8,20,0))</f>
        <v>20</v>
      </c>
      <c r="I244" s="16" t="n">
        <f aca="false">IF(MOD(G244,500)=0,20,IF(MOD(G244,100)=0,10,0))</f>
        <v>0</v>
      </c>
      <c r="J244" s="16" t="n">
        <f aca="false">IF(AND(E244&lt;&gt;"",F244-E244&lt;=Assumptions!$B$9),25,0)</f>
        <v>25</v>
      </c>
      <c r="K244" s="16" t="n">
        <f aca="false">IF(ISNUMBER(SEARCH(D244,Assumptions!$B$10)),15,0)</f>
        <v>0</v>
      </c>
      <c r="L244" s="16" t="n">
        <f aca="false">H244+I244+J244+K244</f>
        <v>45</v>
      </c>
      <c r="M244" s="16" t="str">
        <f aca="false">IF(L244&gt;=60,"High",IF(L244&gt;=30,"Medium","Low"))</f>
        <v>Medium</v>
      </c>
    </row>
    <row r="245" customFormat="false" ht="15" hidden="false" customHeight="false" outlineLevel="0" collapsed="false">
      <c r="A245" s="16" t="str">
        <f aca="false">Payment_Log_AP!A242</f>
        <v>PAY40241</v>
      </c>
      <c r="B245" s="16" t="str">
        <f aca="false">Payment_Log_AP!C242</f>
        <v>V1016</v>
      </c>
      <c r="C245" s="16" t="str">
        <f aca="false">IFERROR(INDEX(Vendor_Master!$B$2:$B$41,MATCH(B245,Vendor_Master!$A$2:$A$41,0)),"Unknown Vendor")</f>
        <v>Sanchez, Ford and Nelson</v>
      </c>
      <c r="D245" s="16" t="str">
        <f aca="false">IFERROR(INDEX(Vendor_Master!$D$2:$D$41,MATCH(B245,Vendor_Master!$A$2:$A$41,0)),"Unknown")</f>
        <v>India</v>
      </c>
      <c r="E245" s="17" t="n">
        <f aca="false">IFERROR(INDEX(Vendor_Master!$E$2:$E$41,MATCH(B245,Vendor_Master!$A$2:$A$41,0)),"")</f>
        <v>44832</v>
      </c>
      <c r="F245" s="17" t="n">
        <f aca="false">Payment_Log_AP!D242</f>
        <v>46075</v>
      </c>
      <c r="G245" s="18" t="n">
        <f aca="false">Payment_Log_AP!E242</f>
        <v>2495.51</v>
      </c>
      <c r="H245" s="16" t="n">
        <f aca="false">IF(G245&gt;=Assumptions!$B$7,40,IF(G245&gt;=Assumptions!$B$8,20,0))</f>
        <v>0</v>
      </c>
      <c r="I245" s="16" t="n">
        <f aca="false">IF(MOD(G245,500)=0,20,IF(MOD(G245,100)=0,10,0))</f>
        <v>0</v>
      </c>
      <c r="J245" s="16" t="n">
        <f aca="false">IF(AND(E245&lt;&gt;"",F245-E245&lt;=Assumptions!$B$9),25,0)</f>
        <v>0</v>
      </c>
      <c r="K245" s="16" t="n">
        <f aca="false">IF(ISNUMBER(SEARCH(D245,Assumptions!$B$10)),15,0)</f>
        <v>15</v>
      </c>
      <c r="L245" s="16" t="n">
        <f aca="false">H245+I245+J245+K245</f>
        <v>15</v>
      </c>
      <c r="M245" s="16" t="str">
        <f aca="false">IF(L245&gt;=60,"High",IF(L245&gt;=30,"Medium","Low"))</f>
        <v>Low</v>
      </c>
    </row>
    <row r="246" customFormat="false" ht="15" hidden="false" customHeight="false" outlineLevel="0" collapsed="false">
      <c r="A246" s="16" t="str">
        <f aca="false">Payment_Log_AP!A243</f>
        <v>PAY40242</v>
      </c>
      <c r="B246" s="16" t="str">
        <f aca="false">Payment_Log_AP!C243</f>
        <v>V1035</v>
      </c>
      <c r="C246" s="16" t="str">
        <f aca="false">IFERROR(INDEX(Vendor_Master!$B$2:$B$41,MATCH(B246,Vendor_Master!$A$2:$A$41,0)),"Unknown Vendor")</f>
        <v>Allen PLC</v>
      </c>
      <c r="D246" s="16" t="str">
        <f aca="false">IFERROR(INDEX(Vendor_Master!$D$2:$D$41,MATCH(B246,Vendor_Master!$A$2:$A$41,0)),"Unknown")</f>
        <v>Canada</v>
      </c>
      <c r="E246" s="17" t="n">
        <f aca="false">IFERROR(INDEX(Vendor_Master!$E$2:$E$41,MATCH(B246,Vendor_Master!$A$2:$A$41,0)),"")</f>
        <v>45048</v>
      </c>
      <c r="F246" s="17" t="n">
        <f aca="false">Payment_Log_AP!D243</f>
        <v>45944</v>
      </c>
      <c r="G246" s="18" t="n">
        <f aca="false">Payment_Log_AP!E243</f>
        <v>1274.7</v>
      </c>
      <c r="H246" s="16" t="n">
        <f aca="false">IF(G246&gt;=Assumptions!$B$7,40,IF(G246&gt;=Assumptions!$B$8,20,0))</f>
        <v>0</v>
      </c>
      <c r="I246" s="16" t="n">
        <f aca="false">IF(MOD(G246,500)=0,20,IF(MOD(G246,100)=0,10,0))</f>
        <v>0</v>
      </c>
      <c r="J246" s="16" t="n">
        <f aca="false">IF(AND(E246&lt;&gt;"",F246-E246&lt;=Assumptions!$B$9),25,0)</f>
        <v>0</v>
      </c>
      <c r="K246" s="16" t="n">
        <f aca="false">IF(ISNUMBER(SEARCH(D246,Assumptions!$B$10)),15,0)</f>
        <v>0</v>
      </c>
      <c r="L246" s="16" t="n">
        <f aca="false">H246+I246+J246+K246</f>
        <v>0</v>
      </c>
      <c r="M246" s="16" t="str">
        <f aca="false">IF(L246&gt;=60,"High",IF(L246&gt;=30,"Medium","Low"))</f>
        <v>Low</v>
      </c>
    </row>
    <row r="247" customFormat="false" ht="15" hidden="false" customHeight="false" outlineLevel="0" collapsed="false">
      <c r="A247" s="16" t="str">
        <f aca="false">Payment_Log_AP!A244</f>
        <v>PAY40243</v>
      </c>
      <c r="B247" s="16" t="str">
        <f aca="false">Payment_Log_AP!C244</f>
        <v>V1003</v>
      </c>
      <c r="C247" s="16" t="str">
        <f aca="false">IFERROR(INDEX(Vendor_Master!$B$2:$B$41,MATCH(B247,Vendor_Master!$A$2:$A$41,0)),"Unknown Vendor")</f>
        <v>Johnson and Sons</v>
      </c>
      <c r="D247" s="16" t="str">
        <f aca="false">IFERROR(INDEX(Vendor_Master!$D$2:$D$41,MATCH(B247,Vendor_Master!$A$2:$A$41,0)),"Unknown")</f>
        <v>UAE</v>
      </c>
      <c r="E247" s="17" t="n">
        <f aca="false">IFERROR(INDEX(Vendor_Master!$E$2:$E$41,MATCH(B247,Vendor_Master!$A$2:$A$41,0)),"")</f>
        <v>45495</v>
      </c>
      <c r="F247" s="17" t="n">
        <f aca="false">Payment_Log_AP!D244</f>
        <v>46141</v>
      </c>
      <c r="G247" s="18" t="n">
        <f aca="false">Payment_Log_AP!E244</f>
        <v>2055.42</v>
      </c>
      <c r="H247" s="16" t="n">
        <f aca="false">IF(G247&gt;=Assumptions!$B$7,40,IF(G247&gt;=Assumptions!$B$8,20,0))</f>
        <v>0</v>
      </c>
      <c r="I247" s="16" t="n">
        <f aca="false">IF(MOD(G247,500)=0,20,IF(MOD(G247,100)=0,10,0))</f>
        <v>0</v>
      </c>
      <c r="J247" s="16" t="n">
        <f aca="false">IF(AND(E247&lt;&gt;"",F247-E247&lt;=Assumptions!$B$9),25,0)</f>
        <v>0</v>
      </c>
      <c r="K247" s="16" t="n">
        <f aca="false">IF(ISNUMBER(SEARCH(D247,Assumptions!$B$10)),15,0)</f>
        <v>15</v>
      </c>
      <c r="L247" s="16" t="n">
        <f aca="false">H247+I247+J247+K247</f>
        <v>15</v>
      </c>
      <c r="M247" s="16" t="str">
        <f aca="false">IF(L247&gt;=60,"High",IF(L247&gt;=30,"Medium","Low"))</f>
        <v>Low</v>
      </c>
    </row>
    <row r="248" customFormat="false" ht="15" hidden="false" customHeight="false" outlineLevel="0" collapsed="false">
      <c r="A248" s="16" t="str">
        <f aca="false">Payment_Log_AP!A245</f>
        <v>PAY40244</v>
      </c>
      <c r="B248" s="16" t="str">
        <f aca="false">Payment_Log_AP!C245</f>
        <v>V1012</v>
      </c>
      <c r="C248" s="16" t="str">
        <f aca="false">IFERROR(INDEX(Vendor_Master!$B$2:$B$41,MATCH(B248,Vendor_Master!$A$2:$A$41,0)),"Unknown Vendor")</f>
        <v>Stanley LLC</v>
      </c>
      <c r="D248" s="16" t="str">
        <f aca="false">IFERROR(INDEX(Vendor_Master!$D$2:$D$41,MATCH(B248,Vendor_Master!$A$2:$A$41,0)),"Unknown")</f>
        <v>India</v>
      </c>
      <c r="E248" s="17" t="n">
        <f aca="false">IFERROR(INDEX(Vendor_Master!$E$2:$E$41,MATCH(B248,Vendor_Master!$A$2:$A$41,0)),"")</f>
        <v>45675</v>
      </c>
      <c r="F248" s="17" t="n">
        <f aca="false">Payment_Log_AP!D245</f>
        <v>45743</v>
      </c>
      <c r="G248" s="18" t="n">
        <f aca="false">Payment_Log_AP!E245</f>
        <v>8984.32</v>
      </c>
      <c r="H248" s="16" t="n">
        <f aca="false">IF(G248&gt;=Assumptions!$B$7,40,IF(G248&gt;=Assumptions!$B$8,20,0))</f>
        <v>20</v>
      </c>
      <c r="I248" s="16" t="n">
        <f aca="false">IF(MOD(G248,500)=0,20,IF(MOD(G248,100)=0,10,0))</f>
        <v>0</v>
      </c>
      <c r="J248" s="16" t="n">
        <f aca="false">IF(AND(E248&lt;&gt;"",F248-E248&lt;=Assumptions!$B$9),25,0)</f>
        <v>25</v>
      </c>
      <c r="K248" s="16" t="n">
        <f aca="false">IF(ISNUMBER(SEARCH(D248,Assumptions!$B$10)),15,0)</f>
        <v>15</v>
      </c>
      <c r="L248" s="16" t="n">
        <f aca="false">H248+I248+J248+K248</f>
        <v>60</v>
      </c>
      <c r="M248" s="16" t="str">
        <f aca="false">IF(L248&gt;=60,"High",IF(L248&gt;=30,"Medium","Low"))</f>
        <v>High</v>
      </c>
    </row>
    <row r="249" customFormat="false" ht="15" hidden="false" customHeight="false" outlineLevel="0" collapsed="false">
      <c r="A249" s="16" t="str">
        <f aca="false">Payment_Log_AP!A246</f>
        <v>PAY40245</v>
      </c>
      <c r="B249" s="16" t="str">
        <f aca="false">Payment_Log_AP!C246</f>
        <v>V1022</v>
      </c>
      <c r="C249" s="16" t="str">
        <f aca="false">IFERROR(INDEX(Vendor_Master!$B$2:$B$41,MATCH(B249,Vendor_Master!$A$2:$A$41,0)),"Unknown Vendor")</f>
        <v>Burgess-Patterson</v>
      </c>
      <c r="D249" s="16" t="str">
        <f aca="false">IFERROR(INDEX(Vendor_Master!$D$2:$D$41,MATCH(B249,Vendor_Master!$A$2:$A$41,0)),"Unknown")</f>
        <v>Germany</v>
      </c>
      <c r="E249" s="17" t="n">
        <f aca="false">IFERROR(INDEX(Vendor_Master!$E$2:$E$41,MATCH(B249,Vendor_Master!$A$2:$A$41,0)),"")</f>
        <v>45449</v>
      </c>
      <c r="F249" s="17" t="n">
        <f aca="false">Payment_Log_AP!D246</f>
        <v>45805</v>
      </c>
      <c r="G249" s="18" t="n">
        <f aca="false">Payment_Log_AP!E246</f>
        <v>4378.74</v>
      </c>
      <c r="H249" s="16" t="n">
        <f aca="false">IF(G249&gt;=Assumptions!$B$7,40,IF(G249&gt;=Assumptions!$B$8,20,0))</f>
        <v>0</v>
      </c>
      <c r="I249" s="16" t="n">
        <f aca="false">IF(MOD(G249,500)=0,20,IF(MOD(G249,100)=0,10,0))</f>
        <v>0</v>
      </c>
      <c r="J249" s="16" t="n">
        <f aca="false">IF(AND(E249&lt;&gt;"",F249-E249&lt;=Assumptions!$B$9),25,0)</f>
        <v>0</v>
      </c>
      <c r="K249" s="16" t="n">
        <f aca="false">IF(ISNUMBER(SEARCH(D249,Assumptions!$B$10)),15,0)</f>
        <v>0</v>
      </c>
      <c r="L249" s="16" t="n">
        <f aca="false">H249+I249+J249+K249</f>
        <v>0</v>
      </c>
      <c r="M249" s="16" t="str">
        <f aca="false">IF(L249&gt;=60,"High",IF(L249&gt;=30,"Medium","Low"))</f>
        <v>Low</v>
      </c>
    </row>
    <row r="250" customFormat="false" ht="15" hidden="false" customHeight="false" outlineLevel="0" collapsed="false">
      <c r="A250" s="16" t="str">
        <f aca="false">Payment_Log_AP!A247</f>
        <v>PAY40246</v>
      </c>
      <c r="B250" s="16" t="str">
        <f aca="false">Payment_Log_AP!C247</f>
        <v>V1030</v>
      </c>
      <c r="C250" s="16" t="str">
        <f aca="false">IFERROR(INDEX(Vendor_Master!$B$2:$B$41,MATCH(B250,Vendor_Master!$A$2:$A$41,0)),"Unknown Vendor")</f>
        <v>Stanton-Gill</v>
      </c>
      <c r="D250" s="16" t="str">
        <f aca="false">IFERROR(INDEX(Vendor_Master!$D$2:$D$41,MATCH(B250,Vendor_Master!$A$2:$A$41,0)),"Unknown")</f>
        <v>UK</v>
      </c>
      <c r="E250" s="17" t="n">
        <f aca="false">IFERROR(INDEX(Vendor_Master!$E$2:$E$41,MATCH(B250,Vendor_Master!$A$2:$A$41,0)),"")</f>
        <v>45946</v>
      </c>
      <c r="F250" s="17" t="n">
        <f aca="false">Payment_Log_AP!D247</f>
        <v>46053</v>
      </c>
      <c r="G250" s="18" t="n">
        <f aca="false">Payment_Log_AP!E247</f>
        <v>519.69</v>
      </c>
      <c r="H250" s="16" t="n">
        <f aca="false">IF(G250&gt;=Assumptions!$B$7,40,IF(G250&gt;=Assumptions!$B$8,20,0))</f>
        <v>0</v>
      </c>
      <c r="I250" s="16" t="n">
        <f aca="false">IF(MOD(G250,500)=0,20,IF(MOD(G250,100)=0,10,0))</f>
        <v>0</v>
      </c>
      <c r="J250" s="16" t="n">
        <f aca="false">IF(AND(E250&lt;&gt;"",F250-E250&lt;=Assumptions!$B$9),25,0)</f>
        <v>25</v>
      </c>
      <c r="K250" s="16" t="n">
        <f aca="false">IF(ISNUMBER(SEARCH(D250,Assumptions!$B$10)),15,0)</f>
        <v>0</v>
      </c>
      <c r="L250" s="16" t="n">
        <f aca="false">H250+I250+J250+K250</f>
        <v>25</v>
      </c>
      <c r="M250" s="16" t="str">
        <f aca="false">IF(L250&gt;=60,"High",IF(L250&gt;=30,"Medium","Low"))</f>
        <v>Low</v>
      </c>
    </row>
    <row r="251" customFormat="false" ht="15" hidden="false" customHeight="false" outlineLevel="0" collapsed="false">
      <c r="A251" s="16" t="str">
        <f aca="false">Payment_Log_AP!A248</f>
        <v>PAY40247</v>
      </c>
      <c r="B251" s="16" t="str">
        <f aca="false">Payment_Log_AP!C248</f>
        <v>V1017</v>
      </c>
      <c r="C251" s="16" t="str">
        <f aca="false">IFERROR(INDEX(Vendor_Master!$B$2:$B$41,MATCH(B251,Vendor_Master!$A$2:$A$41,0)),"Unknown Vendor")</f>
        <v>Hawkins, Cohen and Cameron</v>
      </c>
      <c r="D251" s="16" t="str">
        <f aca="false">IFERROR(INDEX(Vendor_Master!$D$2:$D$41,MATCH(B251,Vendor_Master!$A$2:$A$41,0)),"Unknown")</f>
        <v>USA</v>
      </c>
      <c r="E251" s="17" t="n">
        <f aca="false">IFERROR(INDEX(Vendor_Master!$E$2:$E$41,MATCH(B251,Vendor_Master!$A$2:$A$41,0)),"")</f>
        <v>46025</v>
      </c>
      <c r="F251" s="17" t="n">
        <f aca="false">Payment_Log_AP!D248</f>
        <v>45860</v>
      </c>
      <c r="G251" s="18" t="n">
        <f aca="false">Payment_Log_AP!E248</f>
        <v>2656.9</v>
      </c>
      <c r="H251" s="16" t="n">
        <f aca="false">IF(G251&gt;=Assumptions!$B$7,40,IF(G251&gt;=Assumptions!$B$8,20,0))</f>
        <v>0</v>
      </c>
      <c r="I251" s="16" t="n">
        <f aca="false">IF(MOD(G251,500)=0,20,IF(MOD(G251,100)=0,10,0))</f>
        <v>0</v>
      </c>
      <c r="J251" s="16" t="n">
        <f aca="false">IF(AND(E251&lt;&gt;"",F251-E251&lt;=Assumptions!$B$9),25,0)</f>
        <v>25</v>
      </c>
      <c r="K251" s="16" t="n">
        <f aca="false">IF(ISNUMBER(SEARCH(D251,Assumptions!$B$10)),15,0)</f>
        <v>0</v>
      </c>
      <c r="L251" s="16" t="n">
        <f aca="false">H251+I251+J251+K251</f>
        <v>25</v>
      </c>
      <c r="M251" s="16" t="str">
        <f aca="false">IF(L251&gt;=60,"High",IF(L251&gt;=30,"Medium","Low"))</f>
        <v>Low</v>
      </c>
    </row>
    <row r="252" customFormat="false" ht="15" hidden="false" customHeight="false" outlineLevel="0" collapsed="false">
      <c r="A252" s="16" t="str">
        <f aca="false">Payment_Log_AP!A249</f>
        <v>PAY40248</v>
      </c>
      <c r="B252" s="16" t="str">
        <f aca="false">Payment_Log_AP!C249</f>
        <v>V1016</v>
      </c>
      <c r="C252" s="16" t="str">
        <f aca="false">IFERROR(INDEX(Vendor_Master!$B$2:$B$41,MATCH(B252,Vendor_Master!$A$2:$A$41,0)),"Unknown Vendor")</f>
        <v>Sanchez, Ford and Nelson</v>
      </c>
      <c r="D252" s="16" t="str">
        <f aca="false">IFERROR(INDEX(Vendor_Master!$D$2:$D$41,MATCH(B252,Vendor_Master!$A$2:$A$41,0)),"Unknown")</f>
        <v>India</v>
      </c>
      <c r="E252" s="17" t="n">
        <f aca="false">IFERROR(INDEX(Vendor_Master!$E$2:$E$41,MATCH(B252,Vendor_Master!$A$2:$A$41,0)),"")</f>
        <v>44832</v>
      </c>
      <c r="F252" s="17" t="n">
        <f aca="false">Payment_Log_AP!D249</f>
        <v>46012</v>
      </c>
      <c r="G252" s="18" t="n">
        <f aca="false">Payment_Log_AP!E249</f>
        <v>611.97</v>
      </c>
      <c r="H252" s="16" t="n">
        <f aca="false">IF(G252&gt;=Assumptions!$B$7,40,IF(G252&gt;=Assumptions!$B$8,20,0))</f>
        <v>0</v>
      </c>
      <c r="I252" s="16" t="n">
        <f aca="false">IF(MOD(G252,500)=0,20,IF(MOD(G252,100)=0,10,0))</f>
        <v>0</v>
      </c>
      <c r="J252" s="16" t="n">
        <f aca="false">IF(AND(E252&lt;&gt;"",F252-E252&lt;=Assumptions!$B$9),25,0)</f>
        <v>0</v>
      </c>
      <c r="K252" s="16" t="n">
        <f aca="false">IF(ISNUMBER(SEARCH(D252,Assumptions!$B$10)),15,0)</f>
        <v>15</v>
      </c>
      <c r="L252" s="16" t="n">
        <f aca="false">H252+I252+J252+K252</f>
        <v>15</v>
      </c>
      <c r="M252" s="16" t="str">
        <f aca="false">IF(L252&gt;=60,"High",IF(L252&gt;=30,"Medium","Low"))</f>
        <v>Low</v>
      </c>
    </row>
    <row r="253" customFormat="false" ht="15" hidden="false" customHeight="false" outlineLevel="0" collapsed="false">
      <c r="A253" s="16" t="str">
        <f aca="false">Payment_Log_AP!A250</f>
        <v>PAY40249</v>
      </c>
      <c r="B253" s="16" t="str">
        <f aca="false">Payment_Log_AP!C250</f>
        <v>V1015</v>
      </c>
      <c r="C253" s="16" t="str">
        <f aca="false">IFERROR(INDEX(Vendor_Master!$B$2:$B$41,MATCH(B253,Vendor_Master!$A$2:$A$41,0)),"Unknown Vendor")</f>
        <v>Zuniga, Wong and Lynch</v>
      </c>
      <c r="D253" s="16" t="str">
        <f aca="false">IFERROR(INDEX(Vendor_Master!$D$2:$D$41,MATCH(B253,Vendor_Master!$A$2:$A$41,0)),"Unknown")</f>
        <v>USA</v>
      </c>
      <c r="E253" s="17" t="n">
        <f aca="false">IFERROR(INDEX(Vendor_Master!$E$2:$E$41,MATCH(B253,Vendor_Master!$A$2:$A$41,0)),"")</f>
        <v>45621</v>
      </c>
      <c r="F253" s="17" t="n">
        <f aca="false">Payment_Log_AP!D250</f>
        <v>45935</v>
      </c>
      <c r="G253" s="18" t="n">
        <f aca="false">Payment_Log_AP!E250</f>
        <v>3378.98</v>
      </c>
      <c r="H253" s="16" t="n">
        <f aca="false">IF(G253&gt;=Assumptions!$B$7,40,IF(G253&gt;=Assumptions!$B$8,20,0))</f>
        <v>0</v>
      </c>
      <c r="I253" s="16" t="n">
        <f aca="false">IF(MOD(G253,500)=0,20,IF(MOD(G253,100)=0,10,0))</f>
        <v>0</v>
      </c>
      <c r="J253" s="16" t="n">
        <f aca="false">IF(AND(E253&lt;&gt;"",F253-E253&lt;=Assumptions!$B$9),25,0)</f>
        <v>0</v>
      </c>
      <c r="K253" s="16" t="n">
        <f aca="false">IF(ISNUMBER(SEARCH(D253,Assumptions!$B$10)),15,0)</f>
        <v>0</v>
      </c>
      <c r="L253" s="16" t="n">
        <f aca="false">H253+I253+J253+K253</f>
        <v>0</v>
      </c>
      <c r="M253" s="16" t="str">
        <f aca="false">IF(L253&gt;=60,"High",IF(L253&gt;=30,"Medium","Low"))</f>
        <v>Low</v>
      </c>
    </row>
    <row r="254" customFormat="false" ht="15" hidden="false" customHeight="false" outlineLevel="0" collapsed="false">
      <c r="A254" s="16" t="str">
        <f aca="false">Payment_Log_AP!A251</f>
        <v>PAY40250</v>
      </c>
      <c r="B254" s="16" t="str">
        <f aca="false">Payment_Log_AP!C251</f>
        <v>V1005</v>
      </c>
      <c r="C254" s="16" t="str">
        <f aca="false">IFERROR(INDEX(Vendor_Master!$B$2:$B$41,MATCH(B254,Vendor_Master!$A$2:$A$41,0)),"Unknown Vendor")</f>
        <v>Cole LLC</v>
      </c>
      <c r="D254" s="16" t="str">
        <f aca="false">IFERROR(INDEX(Vendor_Master!$D$2:$D$41,MATCH(B254,Vendor_Master!$A$2:$A$41,0)),"Unknown")</f>
        <v>UK</v>
      </c>
      <c r="E254" s="17" t="n">
        <f aca="false">IFERROR(INDEX(Vendor_Master!$E$2:$E$41,MATCH(B254,Vendor_Master!$A$2:$A$41,0)),"")</f>
        <v>45423</v>
      </c>
      <c r="F254" s="17" t="n">
        <f aca="false">Payment_Log_AP!D251</f>
        <v>45935</v>
      </c>
      <c r="G254" s="18" t="n">
        <f aca="false">Payment_Log_AP!E251</f>
        <v>225.68</v>
      </c>
      <c r="H254" s="16" t="n">
        <f aca="false">IF(G254&gt;=Assumptions!$B$7,40,IF(G254&gt;=Assumptions!$B$8,20,0))</f>
        <v>0</v>
      </c>
      <c r="I254" s="16" t="n">
        <f aca="false">IF(MOD(G254,500)=0,20,IF(MOD(G254,100)=0,10,0))</f>
        <v>0</v>
      </c>
      <c r="J254" s="16" t="n">
        <f aca="false">IF(AND(E254&lt;&gt;"",F254-E254&lt;=Assumptions!$B$9),25,0)</f>
        <v>0</v>
      </c>
      <c r="K254" s="16" t="n">
        <f aca="false">IF(ISNUMBER(SEARCH(D254,Assumptions!$B$10)),15,0)</f>
        <v>0</v>
      </c>
      <c r="L254" s="16" t="n">
        <f aca="false">H254+I254+J254+K254</f>
        <v>0</v>
      </c>
      <c r="M254" s="16" t="str">
        <f aca="false">IF(L254&gt;=60,"High",IF(L254&gt;=30,"Medium","Low"))</f>
        <v>Low</v>
      </c>
    </row>
    <row r="255" customFormat="false" ht="15" hidden="false" customHeight="false" outlineLevel="0" collapsed="false">
      <c r="A255" s="16" t="str">
        <f aca="false">Payment_Log_AP!A252</f>
        <v>PAY40251</v>
      </c>
      <c r="B255" s="16" t="str">
        <f aca="false">Payment_Log_AP!C252</f>
        <v>V1004</v>
      </c>
      <c r="C255" s="16" t="str">
        <f aca="false">IFERROR(INDEX(Vendor_Master!$B$2:$B$41,MATCH(B255,Vendor_Master!$A$2:$A$41,0)),"Unknown Vendor")</f>
        <v>Johnson, Gonzalez and Santos</v>
      </c>
      <c r="D255" s="16" t="str">
        <f aca="false">IFERROR(INDEX(Vendor_Master!$D$2:$D$41,MATCH(B255,Vendor_Master!$A$2:$A$41,0)),"Unknown")</f>
        <v>Germany</v>
      </c>
      <c r="E255" s="17" t="n">
        <f aca="false">IFERROR(INDEX(Vendor_Master!$E$2:$E$41,MATCH(B255,Vendor_Master!$A$2:$A$41,0)),"")</f>
        <v>44929</v>
      </c>
      <c r="F255" s="17" t="n">
        <f aca="false">Payment_Log_AP!D252</f>
        <v>46093</v>
      </c>
      <c r="G255" s="18" t="n">
        <f aca="false">Payment_Log_AP!E252</f>
        <v>1424.85</v>
      </c>
      <c r="H255" s="16" t="n">
        <f aca="false">IF(G255&gt;=Assumptions!$B$7,40,IF(G255&gt;=Assumptions!$B$8,20,0))</f>
        <v>0</v>
      </c>
      <c r="I255" s="16" t="n">
        <f aca="false">IF(MOD(G255,500)=0,20,IF(MOD(G255,100)=0,10,0))</f>
        <v>0</v>
      </c>
      <c r="J255" s="16" t="n">
        <f aca="false">IF(AND(E255&lt;&gt;"",F255-E255&lt;=Assumptions!$B$9),25,0)</f>
        <v>0</v>
      </c>
      <c r="K255" s="16" t="n">
        <f aca="false">IF(ISNUMBER(SEARCH(D255,Assumptions!$B$10)),15,0)</f>
        <v>0</v>
      </c>
      <c r="L255" s="16" t="n">
        <f aca="false">H255+I255+J255+K255</f>
        <v>0</v>
      </c>
      <c r="M255" s="16" t="str">
        <f aca="false">IF(L255&gt;=60,"High",IF(L255&gt;=30,"Medium","Low"))</f>
        <v>Low</v>
      </c>
    </row>
    <row r="256" customFormat="false" ht="15" hidden="false" customHeight="false" outlineLevel="0" collapsed="false">
      <c r="A256" s="16" t="str">
        <f aca="false">Payment_Log_AP!A253</f>
        <v>PAY40252</v>
      </c>
      <c r="B256" s="16" t="str">
        <f aca="false">Payment_Log_AP!C253</f>
        <v>V1040</v>
      </c>
      <c r="C256" s="16" t="str">
        <f aca="false">IFERROR(INDEX(Vendor_Master!$B$2:$B$41,MATCH(B256,Vendor_Master!$A$2:$A$41,0)),"Unknown Vendor")</f>
        <v>Santos, Kim and Holmes</v>
      </c>
      <c r="D256" s="16" t="str">
        <f aca="false">IFERROR(INDEX(Vendor_Master!$D$2:$D$41,MATCH(B256,Vendor_Master!$A$2:$A$41,0)),"Unknown")</f>
        <v>India</v>
      </c>
      <c r="E256" s="17" t="n">
        <f aca="false">IFERROR(INDEX(Vendor_Master!$E$2:$E$41,MATCH(B256,Vendor_Master!$A$2:$A$41,0)),"")</f>
        <v>45192</v>
      </c>
      <c r="F256" s="17" t="n">
        <f aca="false">Payment_Log_AP!D253</f>
        <v>45856</v>
      </c>
      <c r="G256" s="18" t="n">
        <f aca="false">Payment_Log_AP!E253</f>
        <v>643.44</v>
      </c>
      <c r="H256" s="16" t="n">
        <f aca="false">IF(G256&gt;=Assumptions!$B$7,40,IF(G256&gt;=Assumptions!$B$8,20,0))</f>
        <v>0</v>
      </c>
      <c r="I256" s="16" t="n">
        <f aca="false">IF(MOD(G256,500)=0,20,IF(MOD(G256,100)=0,10,0))</f>
        <v>0</v>
      </c>
      <c r="J256" s="16" t="n">
        <f aca="false">IF(AND(E256&lt;&gt;"",F256-E256&lt;=Assumptions!$B$9),25,0)</f>
        <v>0</v>
      </c>
      <c r="K256" s="16" t="n">
        <f aca="false">IF(ISNUMBER(SEARCH(D256,Assumptions!$B$10)),15,0)</f>
        <v>15</v>
      </c>
      <c r="L256" s="16" t="n">
        <f aca="false">H256+I256+J256+K256</f>
        <v>15</v>
      </c>
      <c r="M256" s="16" t="str">
        <f aca="false">IF(L256&gt;=60,"High",IF(L256&gt;=30,"Medium","Low"))</f>
        <v>Low</v>
      </c>
    </row>
    <row r="257" customFormat="false" ht="15" hidden="false" customHeight="false" outlineLevel="0" collapsed="false">
      <c r="A257" s="16" t="str">
        <f aca="false">Payment_Log_AP!A254</f>
        <v>PAY40253</v>
      </c>
      <c r="B257" s="16" t="str">
        <f aca="false">Payment_Log_AP!C254</f>
        <v>V1038</v>
      </c>
      <c r="C257" s="16" t="str">
        <f aca="false">IFERROR(INDEX(Vendor_Master!$B$2:$B$41,MATCH(B257,Vendor_Master!$A$2:$A$41,0)),"Unknown Vendor")</f>
        <v>Rose-Obrien</v>
      </c>
      <c r="D257" s="16" t="str">
        <f aca="false">IFERROR(INDEX(Vendor_Master!$D$2:$D$41,MATCH(B257,Vendor_Master!$A$2:$A$41,0)),"Unknown")</f>
        <v>USA</v>
      </c>
      <c r="E257" s="17" t="n">
        <f aca="false">IFERROR(INDEX(Vendor_Master!$E$2:$E$41,MATCH(B257,Vendor_Master!$A$2:$A$41,0)),"")</f>
        <v>45431</v>
      </c>
      <c r="F257" s="17" t="n">
        <f aca="false">Payment_Log_AP!D254</f>
        <v>45851</v>
      </c>
      <c r="G257" s="18" t="n">
        <f aca="false">Payment_Log_AP!E254</f>
        <v>289.77</v>
      </c>
      <c r="H257" s="16" t="n">
        <f aca="false">IF(G257&gt;=Assumptions!$B$7,40,IF(G257&gt;=Assumptions!$B$8,20,0))</f>
        <v>0</v>
      </c>
      <c r="I257" s="16" t="n">
        <f aca="false">IF(MOD(G257,500)=0,20,IF(MOD(G257,100)=0,10,0))</f>
        <v>0</v>
      </c>
      <c r="J257" s="16" t="n">
        <f aca="false">IF(AND(E257&lt;&gt;"",F257-E257&lt;=Assumptions!$B$9),25,0)</f>
        <v>0</v>
      </c>
      <c r="K257" s="16" t="n">
        <f aca="false">IF(ISNUMBER(SEARCH(D257,Assumptions!$B$10)),15,0)</f>
        <v>0</v>
      </c>
      <c r="L257" s="16" t="n">
        <f aca="false">H257+I257+J257+K257</f>
        <v>0</v>
      </c>
      <c r="M257" s="16" t="str">
        <f aca="false">IF(L257&gt;=60,"High",IF(L257&gt;=30,"Medium","Low"))</f>
        <v>Low</v>
      </c>
    </row>
    <row r="258" customFormat="false" ht="15" hidden="false" customHeight="false" outlineLevel="0" collapsed="false">
      <c r="A258" s="16" t="str">
        <f aca="false">Payment_Log_AP!A255</f>
        <v>PAY40254</v>
      </c>
      <c r="B258" s="16" t="str">
        <f aca="false">Payment_Log_AP!C255</f>
        <v>V1011</v>
      </c>
      <c r="C258" s="16" t="str">
        <f aca="false">IFERROR(INDEX(Vendor_Master!$B$2:$B$41,MATCH(B258,Vendor_Master!$A$2:$A$41,0)),"Unknown Vendor")</f>
        <v>Montgomery, Hensley and Ray</v>
      </c>
      <c r="D258" s="16" t="str">
        <f aca="false">IFERROR(INDEX(Vendor_Master!$D$2:$D$41,MATCH(B258,Vendor_Master!$A$2:$A$41,0)),"Unknown")</f>
        <v>USA</v>
      </c>
      <c r="E258" s="17" t="n">
        <f aca="false">IFERROR(INDEX(Vendor_Master!$E$2:$E$41,MATCH(B258,Vendor_Master!$A$2:$A$41,0)),"")</f>
        <v>45025</v>
      </c>
      <c r="F258" s="17" t="n">
        <f aca="false">Payment_Log_AP!D255</f>
        <v>45815</v>
      </c>
      <c r="G258" s="18" t="n">
        <f aca="false">Payment_Log_AP!E255</f>
        <v>325.7</v>
      </c>
      <c r="H258" s="16" t="n">
        <f aca="false">IF(G258&gt;=Assumptions!$B$7,40,IF(G258&gt;=Assumptions!$B$8,20,0))</f>
        <v>0</v>
      </c>
      <c r="I258" s="16" t="n">
        <f aca="false">IF(MOD(G258,500)=0,20,IF(MOD(G258,100)=0,10,0))</f>
        <v>0</v>
      </c>
      <c r="J258" s="16" t="n">
        <f aca="false">IF(AND(E258&lt;&gt;"",F258-E258&lt;=Assumptions!$B$9),25,0)</f>
        <v>0</v>
      </c>
      <c r="K258" s="16" t="n">
        <f aca="false">IF(ISNUMBER(SEARCH(D258,Assumptions!$B$10)),15,0)</f>
        <v>0</v>
      </c>
      <c r="L258" s="16" t="n">
        <f aca="false">H258+I258+J258+K258</f>
        <v>0</v>
      </c>
      <c r="M258" s="16" t="str">
        <f aca="false">IF(L258&gt;=60,"High",IF(L258&gt;=30,"Medium","Low"))</f>
        <v>Low</v>
      </c>
    </row>
    <row r="259" customFormat="false" ht="15" hidden="false" customHeight="false" outlineLevel="0" collapsed="false">
      <c r="A259" s="16" t="str">
        <f aca="false">Payment_Log_AP!A256</f>
        <v>PAY40255</v>
      </c>
      <c r="B259" s="16" t="str">
        <f aca="false">Payment_Log_AP!C256</f>
        <v>V1031</v>
      </c>
      <c r="C259" s="16" t="str">
        <f aca="false">IFERROR(INDEX(Vendor_Master!$B$2:$B$41,MATCH(B259,Vendor_Master!$A$2:$A$41,0)),"Unknown Vendor")</f>
        <v>Harrell LLC</v>
      </c>
      <c r="D259" s="16" t="str">
        <f aca="false">IFERROR(INDEX(Vendor_Master!$D$2:$D$41,MATCH(B259,Vendor_Master!$A$2:$A$41,0)),"Unknown")</f>
        <v>Canada</v>
      </c>
      <c r="E259" s="17" t="n">
        <f aca="false">IFERROR(INDEX(Vendor_Master!$E$2:$E$41,MATCH(B259,Vendor_Master!$A$2:$A$41,0)),"")</f>
        <v>45364</v>
      </c>
      <c r="F259" s="17" t="n">
        <f aca="false">Payment_Log_AP!D256</f>
        <v>45734</v>
      </c>
      <c r="G259" s="18" t="n">
        <f aca="false">Payment_Log_AP!E256</f>
        <v>8611.23</v>
      </c>
      <c r="H259" s="16" t="n">
        <f aca="false">IF(G259&gt;=Assumptions!$B$7,40,IF(G259&gt;=Assumptions!$B$8,20,0))</f>
        <v>20</v>
      </c>
      <c r="I259" s="16" t="n">
        <f aca="false">IF(MOD(G259,500)=0,20,IF(MOD(G259,100)=0,10,0))</f>
        <v>0</v>
      </c>
      <c r="J259" s="16" t="n">
        <f aca="false">IF(AND(E259&lt;&gt;"",F259-E259&lt;=Assumptions!$B$9),25,0)</f>
        <v>0</v>
      </c>
      <c r="K259" s="16" t="n">
        <f aca="false">IF(ISNUMBER(SEARCH(D259,Assumptions!$B$10)),15,0)</f>
        <v>0</v>
      </c>
      <c r="L259" s="16" t="n">
        <f aca="false">H259+I259+J259+K259</f>
        <v>20</v>
      </c>
      <c r="M259" s="16" t="str">
        <f aca="false">IF(L259&gt;=60,"High",IF(L259&gt;=30,"Medium","Low"))</f>
        <v>Low</v>
      </c>
    </row>
    <row r="260" customFormat="false" ht="15" hidden="false" customHeight="false" outlineLevel="0" collapsed="false">
      <c r="A260" s="16" t="str">
        <f aca="false">Payment_Log_AP!A257</f>
        <v>PAY40256</v>
      </c>
      <c r="B260" s="16" t="str">
        <f aca="false">Payment_Log_AP!C257</f>
        <v>V1005</v>
      </c>
      <c r="C260" s="16" t="str">
        <f aca="false">IFERROR(INDEX(Vendor_Master!$B$2:$B$41,MATCH(B260,Vendor_Master!$A$2:$A$41,0)),"Unknown Vendor")</f>
        <v>Cole LLC</v>
      </c>
      <c r="D260" s="16" t="str">
        <f aca="false">IFERROR(INDEX(Vendor_Master!$D$2:$D$41,MATCH(B260,Vendor_Master!$A$2:$A$41,0)),"Unknown")</f>
        <v>UK</v>
      </c>
      <c r="E260" s="17" t="n">
        <f aca="false">IFERROR(INDEX(Vendor_Master!$E$2:$E$41,MATCH(B260,Vendor_Master!$A$2:$A$41,0)),"")</f>
        <v>45423</v>
      </c>
      <c r="F260" s="17" t="n">
        <f aca="false">Payment_Log_AP!D257</f>
        <v>45781</v>
      </c>
      <c r="G260" s="18" t="n">
        <f aca="false">Payment_Log_AP!E257</f>
        <v>1496.91</v>
      </c>
      <c r="H260" s="16" t="n">
        <f aca="false">IF(G260&gt;=Assumptions!$B$7,40,IF(G260&gt;=Assumptions!$B$8,20,0))</f>
        <v>0</v>
      </c>
      <c r="I260" s="16" t="n">
        <f aca="false">IF(MOD(G260,500)=0,20,IF(MOD(G260,100)=0,10,0))</f>
        <v>0</v>
      </c>
      <c r="J260" s="16" t="n">
        <f aca="false">IF(AND(E260&lt;&gt;"",F260-E260&lt;=Assumptions!$B$9),25,0)</f>
        <v>0</v>
      </c>
      <c r="K260" s="16" t="n">
        <f aca="false">IF(ISNUMBER(SEARCH(D260,Assumptions!$B$10)),15,0)</f>
        <v>0</v>
      </c>
      <c r="L260" s="16" t="n">
        <f aca="false">H260+I260+J260+K260</f>
        <v>0</v>
      </c>
      <c r="M260" s="16" t="str">
        <f aca="false">IF(L260&gt;=60,"High",IF(L260&gt;=30,"Medium","Low"))</f>
        <v>Low</v>
      </c>
    </row>
    <row r="261" customFormat="false" ht="15" hidden="false" customHeight="false" outlineLevel="0" collapsed="false">
      <c r="A261" s="16" t="str">
        <f aca="false">Payment_Log_AP!A258</f>
        <v>PAY40257</v>
      </c>
      <c r="B261" s="16" t="str">
        <f aca="false">Payment_Log_AP!C258</f>
        <v>V1031</v>
      </c>
      <c r="C261" s="16" t="str">
        <f aca="false">IFERROR(INDEX(Vendor_Master!$B$2:$B$41,MATCH(B261,Vendor_Master!$A$2:$A$41,0)),"Unknown Vendor")</f>
        <v>Harrell LLC</v>
      </c>
      <c r="D261" s="16" t="str">
        <f aca="false">IFERROR(INDEX(Vendor_Master!$D$2:$D$41,MATCH(B261,Vendor_Master!$A$2:$A$41,0)),"Unknown")</f>
        <v>Canada</v>
      </c>
      <c r="E261" s="17" t="n">
        <f aca="false">IFERROR(INDEX(Vendor_Master!$E$2:$E$41,MATCH(B261,Vendor_Master!$A$2:$A$41,0)),"")</f>
        <v>45364</v>
      </c>
      <c r="F261" s="17" t="n">
        <f aca="false">Payment_Log_AP!D258</f>
        <v>45746</v>
      </c>
      <c r="G261" s="18" t="n">
        <f aca="false">Payment_Log_AP!E258</f>
        <v>6053.15</v>
      </c>
      <c r="H261" s="16" t="n">
        <f aca="false">IF(G261&gt;=Assumptions!$B$7,40,IF(G261&gt;=Assumptions!$B$8,20,0))</f>
        <v>20</v>
      </c>
      <c r="I261" s="16" t="n">
        <f aca="false">IF(MOD(G261,500)=0,20,IF(MOD(G261,100)=0,10,0))</f>
        <v>0</v>
      </c>
      <c r="J261" s="16" t="n">
        <f aca="false">IF(AND(E261&lt;&gt;"",F261-E261&lt;=Assumptions!$B$9),25,0)</f>
        <v>0</v>
      </c>
      <c r="K261" s="16" t="n">
        <f aca="false">IF(ISNUMBER(SEARCH(D261,Assumptions!$B$10)),15,0)</f>
        <v>0</v>
      </c>
      <c r="L261" s="16" t="n">
        <f aca="false">H261+I261+J261+K261</f>
        <v>20</v>
      </c>
      <c r="M261" s="16" t="str">
        <f aca="false">IF(L261&gt;=60,"High",IF(L261&gt;=30,"Medium","Low"))</f>
        <v>Low</v>
      </c>
    </row>
    <row r="262" customFormat="false" ht="15" hidden="false" customHeight="false" outlineLevel="0" collapsed="false">
      <c r="A262" s="16" t="str">
        <f aca="false">Payment_Log_AP!A259</f>
        <v>PAY40258</v>
      </c>
      <c r="B262" s="16" t="str">
        <f aca="false">Payment_Log_AP!C259</f>
        <v>V1035</v>
      </c>
      <c r="C262" s="16" t="str">
        <f aca="false">IFERROR(INDEX(Vendor_Master!$B$2:$B$41,MATCH(B262,Vendor_Master!$A$2:$A$41,0)),"Unknown Vendor")</f>
        <v>Allen PLC</v>
      </c>
      <c r="D262" s="16" t="str">
        <f aca="false">IFERROR(INDEX(Vendor_Master!$D$2:$D$41,MATCH(B262,Vendor_Master!$A$2:$A$41,0)),"Unknown")</f>
        <v>Canada</v>
      </c>
      <c r="E262" s="17" t="n">
        <f aca="false">IFERROR(INDEX(Vendor_Master!$E$2:$E$41,MATCH(B262,Vendor_Master!$A$2:$A$41,0)),"")</f>
        <v>45048</v>
      </c>
      <c r="F262" s="17" t="n">
        <f aca="false">Payment_Log_AP!D259</f>
        <v>45990</v>
      </c>
      <c r="G262" s="18" t="n">
        <f aca="false">Payment_Log_AP!E259</f>
        <v>3104.44</v>
      </c>
      <c r="H262" s="16" t="n">
        <f aca="false">IF(G262&gt;=Assumptions!$B$7,40,IF(G262&gt;=Assumptions!$B$8,20,0))</f>
        <v>0</v>
      </c>
      <c r="I262" s="16" t="n">
        <f aca="false">IF(MOD(G262,500)=0,20,IF(MOD(G262,100)=0,10,0))</f>
        <v>0</v>
      </c>
      <c r="J262" s="16" t="n">
        <f aca="false">IF(AND(E262&lt;&gt;"",F262-E262&lt;=Assumptions!$B$9),25,0)</f>
        <v>0</v>
      </c>
      <c r="K262" s="16" t="n">
        <f aca="false">IF(ISNUMBER(SEARCH(D262,Assumptions!$B$10)),15,0)</f>
        <v>0</v>
      </c>
      <c r="L262" s="16" t="n">
        <f aca="false">H262+I262+J262+K262</f>
        <v>0</v>
      </c>
      <c r="M262" s="16" t="str">
        <f aca="false">IF(L262&gt;=60,"High",IF(L262&gt;=30,"Medium","Low"))</f>
        <v>Low</v>
      </c>
    </row>
    <row r="263" customFormat="false" ht="15" hidden="false" customHeight="false" outlineLevel="0" collapsed="false">
      <c r="A263" s="16" t="str">
        <f aca="false">Payment_Log_AP!A260</f>
        <v>PAY40259</v>
      </c>
      <c r="B263" s="16" t="str">
        <f aca="false">Payment_Log_AP!C260</f>
        <v>V1029</v>
      </c>
      <c r="C263" s="16" t="str">
        <f aca="false">IFERROR(INDEX(Vendor_Master!$B$2:$B$41,MATCH(B263,Vendor_Master!$A$2:$A$41,0)),"Unknown Vendor")</f>
        <v>Chavez Ltd</v>
      </c>
      <c r="D263" s="16" t="str">
        <f aca="false">IFERROR(INDEX(Vendor_Master!$D$2:$D$41,MATCH(B263,Vendor_Master!$A$2:$A$41,0)),"Unknown")</f>
        <v>Singapore</v>
      </c>
      <c r="E263" s="17" t="n">
        <f aca="false">IFERROR(INDEX(Vendor_Master!$E$2:$E$41,MATCH(B263,Vendor_Master!$A$2:$A$41,0)),"")</f>
        <v>45026</v>
      </c>
      <c r="F263" s="17" t="n">
        <f aca="false">Payment_Log_AP!D260</f>
        <v>46107</v>
      </c>
      <c r="G263" s="18" t="n">
        <f aca="false">Payment_Log_AP!E260</f>
        <v>1405.31</v>
      </c>
      <c r="H263" s="16" t="n">
        <f aca="false">IF(G263&gt;=Assumptions!$B$7,40,IF(G263&gt;=Assumptions!$B$8,20,0))</f>
        <v>0</v>
      </c>
      <c r="I263" s="16" t="n">
        <f aca="false">IF(MOD(G263,500)=0,20,IF(MOD(G263,100)=0,10,0))</f>
        <v>0</v>
      </c>
      <c r="J263" s="16" t="n">
        <f aca="false">IF(AND(E263&lt;&gt;"",F263-E263&lt;=Assumptions!$B$9),25,0)</f>
        <v>0</v>
      </c>
      <c r="K263" s="16" t="n">
        <f aca="false">IF(ISNUMBER(SEARCH(D263,Assumptions!$B$10)),15,0)</f>
        <v>15</v>
      </c>
      <c r="L263" s="16" t="n">
        <f aca="false">H263+I263+J263+K263</f>
        <v>15</v>
      </c>
      <c r="M263" s="16" t="str">
        <f aca="false">IF(L263&gt;=60,"High",IF(L263&gt;=30,"Medium","Low"))</f>
        <v>Low</v>
      </c>
    </row>
    <row r="264" customFormat="false" ht="15" hidden="false" customHeight="false" outlineLevel="0" collapsed="false">
      <c r="A264" s="16" t="str">
        <f aca="false">Payment_Log_AP!A261</f>
        <v>PAY40260</v>
      </c>
      <c r="B264" s="16" t="str">
        <f aca="false">Payment_Log_AP!C261</f>
        <v>V1026</v>
      </c>
      <c r="C264" s="16" t="str">
        <f aca="false">IFERROR(INDEX(Vendor_Master!$B$2:$B$41,MATCH(B264,Vendor_Master!$A$2:$A$41,0)),"Unknown Vendor")</f>
        <v>James-Ferrell</v>
      </c>
      <c r="D264" s="16" t="str">
        <f aca="false">IFERROR(INDEX(Vendor_Master!$D$2:$D$41,MATCH(B264,Vendor_Master!$A$2:$A$41,0)),"Unknown")</f>
        <v>UAE</v>
      </c>
      <c r="E264" s="17" t="n">
        <f aca="false">IFERROR(INDEX(Vendor_Master!$E$2:$E$41,MATCH(B264,Vendor_Master!$A$2:$A$41,0)),"")</f>
        <v>45504</v>
      </c>
      <c r="F264" s="17" t="n">
        <f aca="false">Payment_Log_AP!D261</f>
        <v>45792</v>
      </c>
      <c r="G264" s="18" t="n">
        <f aca="false">Payment_Log_AP!E261</f>
        <v>3241.37</v>
      </c>
      <c r="H264" s="16" t="n">
        <f aca="false">IF(G264&gt;=Assumptions!$B$7,40,IF(G264&gt;=Assumptions!$B$8,20,0))</f>
        <v>0</v>
      </c>
      <c r="I264" s="16" t="n">
        <f aca="false">IF(MOD(G264,500)=0,20,IF(MOD(G264,100)=0,10,0))</f>
        <v>0</v>
      </c>
      <c r="J264" s="16" t="n">
        <f aca="false">IF(AND(E264&lt;&gt;"",F264-E264&lt;=Assumptions!$B$9),25,0)</f>
        <v>0</v>
      </c>
      <c r="K264" s="16" t="n">
        <f aca="false">IF(ISNUMBER(SEARCH(D264,Assumptions!$B$10)),15,0)</f>
        <v>15</v>
      </c>
      <c r="L264" s="16" t="n">
        <f aca="false">H264+I264+J264+K264</f>
        <v>15</v>
      </c>
      <c r="M264" s="16" t="str">
        <f aca="false">IF(L264&gt;=60,"High",IF(L264&gt;=30,"Medium","Low"))</f>
        <v>Low</v>
      </c>
    </row>
    <row r="265" customFormat="false" ht="15" hidden="false" customHeight="false" outlineLevel="0" collapsed="false">
      <c r="A265" s="16" t="str">
        <f aca="false">Payment_Log_AP!A262</f>
        <v>PAY40261</v>
      </c>
      <c r="B265" s="16" t="str">
        <f aca="false">Payment_Log_AP!C262</f>
        <v>V1036</v>
      </c>
      <c r="C265" s="16" t="str">
        <f aca="false">IFERROR(INDEX(Vendor_Master!$B$2:$B$41,MATCH(B265,Vendor_Master!$A$2:$A$41,0)),"Unknown Vendor")</f>
        <v>Dennis Inc</v>
      </c>
      <c r="D265" s="16" t="str">
        <f aca="false">IFERROR(INDEX(Vendor_Master!$D$2:$D$41,MATCH(B265,Vendor_Master!$A$2:$A$41,0)),"Unknown")</f>
        <v>Singapore</v>
      </c>
      <c r="E265" s="17" t="n">
        <f aca="false">IFERROR(INDEX(Vendor_Master!$E$2:$E$41,MATCH(B265,Vendor_Master!$A$2:$A$41,0)),"")</f>
        <v>46059</v>
      </c>
      <c r="F265" s="17" t="n">
        <f aca="false">Payment_Log_AP!D262</f>
        <v>45794</v>
      </c>
      <c r="G265" s="18" t="n">
        <f aca="false">Payment_Log_AP!E262</f>
        <v>871.5</v>
      </c>
      <c r="H265" s="16" t="n">
        <f aca="false">IF(G265&gt;=Assumptions!$B$7,40,IF(G265&gt;=Assumptions!$B$8,20,0))</f>
        <v>0</v>
      </c>
      <c r="I265" s="16" t="n">
        <f aca="false">IF(MOD(G265,500)=0,20,IF(MOD(G265,100)=0,10,0))</f>
        <v>0</v>
      </c>
      <c r="J265" s="16" t="n">
        <f aca="false">IF(AND(E265&lt;&gt;"",F265-E265&lt;=Assumptions!$B$9),25,0)</f>
        <v>25</v>
      </c>
      <c r="K265" s="16" t="n">
        <f aca="false">IF(ISNUMBER(SEARCH(D265,Assumptions!$B$10)),15,0)</f>
        <v>15</v>
      </c>
      <c r="L265" s="16" t="n">
        <f aca="false">H265+I265+J265+K265</f>
        <v>40</v>
      </c>
      <c r="M265" s="16" t="str">
        <f aca="false">IF(L265&gt;=60,"High",IF(L265&gt;=30,"Medium","Low"))</f>
        <v>Medium</v>
      </c>
    </row>
    <row r="266" customFormat="false" ht="15" hidden="false" customHeight="false" outlineLevel="0" collapsed="false">
      <c r="A266" s="16" t="str">
        <f aca="false">Payment_Log_AP!A263</f>
        <v>PAY40262</v>
      </c>
      <c r="B266" s="16" t="str">
        <f aca="false">Payment_Log_AP!C263</f>
        <v>V1019</v>
      </c>
      <c r="C266" s="16" t="str">
        <f aca="false">IFERROR(INDEX(Vendor_Master!$B$2:$B$41,MATCH(B266,Vendor_Master!$A$2:$A$41,0)),"Unknown Vendor")</f>
        <v>Clark PLC</v>
      </c>
      <c r="D266" s="16" t="str">
        <f aca="false">IFERROR(INDEX(Vendor_Master!$D$2:$D$41,MATCH(B266,Vendor_Master!$A$2:$A$41,0)),"Unknown")</f>
        <v>India</v>
      </c>
      <c r="E266" s="17" t="n">
        <f aca="false">IFERROR(INDEX(Vendor_Master!$E$2:$E$41,MATCH(B266,Vendor_Master!$A$2:$A$41,0)),"")</f>
        <v>45196</v>
      </c>
      <c r="F266" s="17" t="n">
        <f aca="false">Payment_Log_AP!D263</f>
        <v>45948</v>
      </c>
      <c r="G266" s="18" t="n">
        <f aca="false">Payment_Log_AP!E263</f>
        <v>651.66</v>
      </c>
      <c r="H266" s="16" t="n">
        <f aca="false">IF(G266&gt;=Assumptions!$B$7,40,IF(G266&gt;=Assumptions!$B$8,20,0))</f>
        <v>0</v>
      </c>
      <c r="I266" s="16" t="n">
        <f aca="false">IF(MOD(G266,500)=0,20,IF(MOD(G266,100)=0,10,0))</f>
        <v>0</v>
      </c>
      <c r="J266" s="16" t="n">
        <f aca="false">IF(AND(E266&lt;&gt;"",F266-E266&lt;=Assumptions!$B$9),25,0)</f>
        <v>0</v>
      </c>
      <c r="K266" s="16" t="n">
        <f aca="false">IF(ISNUMBER(SEARCH(D266,Assumptions!$B$10)),15,0)</f>
        <v>15</v>
      </c>
      <c r="L266" s="16" t="n">
        <f aca="false">H266+I266+J266+K266</f>
        <v>15</v>
      </c>
      <c r="M266" s="16" t="str">
        <f aca="false">IF(L266&gt;=60,"High",IF(L266&gt;=30,"Medium","Low"))</f>
        <v>Low</v>
      </c>
    </row>
    <row r="267" customFormat="false" ht="15" hidden="false" customHeight="false" outlineLevel="0" collapsed="false">
      <c r="A267" s="16" t="str">
        <f aca="false">Payment_Log_AP!A264</f>
        <v>PAY40263</v>
      </c>
      <c r="B267" s="16" t="str">
        <f aca="false">Payment_Log_AP!C264</f>
        <v>V1027</v>
      </c>
      <c r="C267" s="16" t="str">
        <f aca="false">IFERROR(INDEX(Vendor_Master!$B$2:$B$41,MATCH(B267,Vendor_Master!$A$2:$A$41,0)),"Unknown Vendor")</f>
        <v>Valencia, Smith and Le</v>
      </c>
      <c r="D267" s="16" t="str">
        <f aca="false">IFERROR(INDEX(Vendor_Master!$D$2:$D$41,MATCH(B267,Vendor_Master!$A$2:$A$41,0)),"Unknown")</f>
        <v>Germany</v>
      </c>
      <c r="E267" s="17" t="n">
        <f aca="false">IFERROR(INDEX(Vendor_Master!$E$2:$E$41,MATCH(B267,Vendor_Master!$A$2:$A$41,0)),"")</f>
        <v>45398</v>
      </c>
      <c r="F267" s="17" t="n">
        <f aca="false">Payment_Log_AP!D264</f>
        <v>46077</v>
      </c>
      <c r="G267" s="18" t="n">
        <f aca="false">Payment_Log_AP!E264</f>
        <v>2962.24</v>
      </c>
      <c r="H267" s="16" t="n">
        <f aca="false">IF(G267&gt;=Assumptions!$B$7,40,IF(G267&gt;=Assumptions!$B$8,20,0))</f>
        <v>0</v>
      </c>
      <c r="I267" s="16" t="n">
        <f aca="false">IF(MOD(G267,500)=0,20,IF(MOD(G267,100)=0,10,0))</f>
        <v>0</v>
      </c>
      <c r="J267" s="16" t="n">
        <f aca="false">IF(AND(E267&lt;&gt;"",F267-E267&lt;=Assumptions!$B$9),25,0)</f>
        <v>0</v>
      </c>
      <c r="K267" s="16" t="n">
        <f aca="false">IF(ISNUMBER(SEARCH(D267,Assumptions!$B$10)),15,0)</f>
        <v>0</v>
      </c>
      <c r="L267" s="16" t="n">
        <f aca="false">H267+I267+J267+K267</f>
        <v>0</v>
      </c>
      <c r="M267" s="16" t="str">
        <f aca="false">IF(L267&gt;=60,"High",IF(L267&gt;=30,"Medium","Low"))</f>
        <v>Low</v>
      </c>
    </row>
    <row r="268" customFormat="false" ht="15" hidden="false" customHeight="false" outlineLevel="0" collapsed="false">
      <c r="A268" s="16" t="str">
        <f aca="false">Payment_Log_AP!A265</f>
        <v>PAY40264</v>
      </c>
      <c r="B268" s="16" t="str">
        <f aca="false">Payment_Log_AP!C265</f>
        <v>V1022</v>
      </c>
      <c r="C268" s="16" t="str">
        <f aca="false">IFERROR(INDEX(Vendor_Master!$B$2:$B$41,MATCH(B268,Vendor_Master!$A$2:$A$41,0)),"Unknown Vendor")</f>
        <v>Burgess-Patterson</v>
      </c>
      <c r="D268" s="16" t="str">
        <f aca="false">IFERROR(INDEX(Vendor_Master!$D$2:$D$41,MATCH(B268,Vendor_Master!$A$2:$A$41,0)),"Unknown")</f>
        <v>Germany</v>
      </c>
      <c r="E268" s="17" t="n">
        <f aca="false">IFERROR(INDEX(Vendor_Master!$E$2:$E$41,MATCH(B268,Vendor_Master!$A$2:$A$41,0)),"")</f>
        <v>45449</v>
      </c>
      <c r="F268" s="17" t="n">
        <f aca="false">Payment_Log_AP!D265</f>
        <v>45956</v>
      </c>
      <c r="G268" s="18" t="n">
        <f aca="false">Payment_Log_AP!E265</f>
        <v>7560.72</v>
      </c>
      <c r="H268" s="16" t="n">
        <f aca="false">IF(G268&gt;=Assumptions!$B$7,40,IF(G268&gt;=Assumptions!$B$8,20,0))</f>
        <v>20</v>
      </c>
      <c r="I268" s="16" t="n">
        <f aca="false">IF(MOD(G268,500)=0,20,IF(MOD(G268,100)=0,10,0))</f>
        <v>0</v>
      </c>
      <c r="J268" s="16" t="n">
        <f aca="false">IF(AND(E268&lt;&gt;"",F268-E268&lt;=Assumptions!$B$9),25,0)</f>
        <v>0</v>
      </c>
      <c r="K268" s="16" t="n">
        <f aca="false">IF(ISNUMBER(SEARCH(D268,Assumptions!$B$10)),15,0)</f>
        <v>0</v>
      </c>
      <c r="L268" s="16" t="n">
        <f aca="false">H268+I268+J268+K268</f>
        <v>20</v>
      </c>
      <c r="M268" s="16" t="str">
        <f aca="false">IF(L268&gt;=60,"High",IF(L268&gt;=30,"Medium","Low"))</f>
        <v>Low</v>
      </c>
    </row>
    <row r="269" customFormat="false" ht="15" hidden="false" customHeight="false" outlineLevel="0" collapsed="false">
      <c r="A269" s="16" t="str">
        <f aca="false">Payment_Log_AP!A266</f>
        <v>PAY40265</v>
      </c>
      <c r="B269" s="16" t="str">
        <f aca="false">Payment_Log_AP!C266</f>
        <v>V1032</v>
      </c>
      <c r="C269" s="16" t="str">
        <f aca="false">IFERROR(INDEX(Vendor_Master!$B$2:$B$41,MATCH(B269,Vendor_Master!$A$2:$A$41,0)),"Unknown Vendor")</f>
        <v>Lynch, Hernandez and Farmer</v>
      </c>
      <c r="D269" s="16" t="str">
        <f aca="false">IFERROR(INDEX(Vendor_Master!$D$2:$D$41,MATCH(B269,Vendor_Master!$A$2:$A$41,0)),"Unknown")</f>
        <v>UAE</v>
      </c>
      <c r="E269" s="17" t="n">
        <f aca="false">IFERROR(INDEX(Vendor_Master!$E$2:$E$41,MATCH(B269,Vendor_Master!$A$2:$A$41,0)),"")</f>
        <v>45892</v>
      </c>
      <c r="F269" s="17" t="n">
        <f aca="false">Payment_Log_AP!D266</f>
        <v>45864</v>
      </c>
      <c r="G269" s="18" t="n">
        <f aca="false">Payment_Log_AP!E266</f>
        <v>2957.14</v>
      </c>
      <c r="H269" s="16" t="n">
        <f aca="false">IF(G269&gt;=Assumptions!$B$7,40,IF(G269&gt;=Assumptions!$B$8,20,0))</f>
        <v>0</v>
      </c>
      <c r="I269" s="16" t="n">
        <f aca="false">IF(MOD(G269,500)=0,20,IF(MOD(G269,100)=0,10,0))</f>
        <v>0</v>
      </c>
      <c r="J269" s="16" t="n">
        <f aca="false">IF(AND(E269&lt;&gt;"",F269-E269&lt;=Assumptions!$B$9),25,0)</f>
        <v>25</v>
      </c>
      <c r="K269" s="16" t="n">
        <f aca="false">IF(ISNUMBER(SEARCH(D269,Assumptions!$B$10)),15,0)</f>
        <v>15</v>
      </c>
      <c r="L269" s="16" t="n">
        <f aca="false">H269+I269+J269+K269</f>
        <v>40</v>
      </c>
      <c r="M269" s="16" t="str">
        <f aca="false">IF(L269&gt;=60,"High",IF(L269&gt;=30,"Medium","Low"))</f>
        <v>Medium</v>
      </c>
    </row>
    <row r="270" customFormat="false" ht="15" hidden="false" customHeight="false" outlineLevel="0" collapsed="false">
      <c r="A270" s="16" t="str">
        <f aca="false">Payment_Log_AP!A267</f>
        <v>PAY40266</v>
      </c>
      <c r="B270" s="16" t="str">
        <f aca="false">Payment_Log_AP!C267</f>
        <v>V1023</v>
      </c>
      <c r="C270" s="16" t="str">
        <f aca="false">IFERROR(INDEX(Vendor_Master!$B$2:$B$41,MATCH(B270,Vendor_Master!$A$2:$A$41,0)),"Unknown Vendor")</f>
        <v>Robinson-Bright</v>
      </c>
      <c r="D270" s="16" t="str">
        <f aca="false">IFERROR(INDEX(Vendor_Master!$D$2:$D$41,MATCH(B270,Vendor_Master!$A$2:$A$41,0)),"Unknown")</f>
        <v>India</v>
      </c>
      <c r="E270" s="17" t="n">
        <f aca="false">IFERROR(INDEX(Vendor_Master!$E$2:$E$41,MATCH(B270,Vendor_Master!$A$2:$A$41,0)),"")</f>
        <v>45484</v>
      </c>
      <c r="F270" s="17" t="n">
        <f aca="false">Payment_Log_AP!D267</f>
        <v>45716</v>
      </c>
      <c r="G270" s="18" t="n">
        <f aca="false">Payment_Log_AP!E267</f>
        <v>1792.24</v>
      </c>
      <c r="H270" s="16" t="n">
        <f aca="false">IF(G270&gt;=Assumptions!$B$7,40,IF(G270&gt;=Assumptions!$B$8,20,0))</f>
        <v>0</v>
      </c>
      <c r="I270" s="16" t="n">
        <f aca="false">IF(MOD(G270,500)=0,20,IF(MOD(G270,100)=0,10,0))</f>
        <v>0</v>
      </c>
      <c r="J270" s="16" t="n">
        <f aca="false">IF(AND(E270&lt;&gt;"",F270-E270&lt;=Assumptions!$B$9),25,0)</f>
        <v>0</v>
      </c>
      <c r="K270" s="16" t="n">
        <f aca="false">IF(ISNUMBER(SEARCH(D270,Assumptions!$B$10)),15,0)</f>
        <v>15</v>
      </c>
      <c r="L270" s="16" t="n">
        <f aca="false">H270+I270+J270+K270</f>
        <v>15</v>
      </c>
      <c r="M270" s="16" t="str">
        <f aca="false">IF(L270&gt;=60,"High",IF(L270&gt;=30,"Medium","Low"))</f>
        <v>Low</v>
      </c>
    </row>
    <row r="271" customFormat="false" ht="15" hidden="false" customHeight="false" outlineLevel="0" collapsed="false">
      <c r="A271" s="16" t="str">
        <f aca="false">Payment_Log_AP!A268</f>
        <v>PAY40267</v>
      </c>
      <c r="B271" s="16" t="str">
        <f aca="false">Payment_Log_AP!C268</f>
        <v>V1034</v>
      </c>
      <c r="C271" s="16" t="str">
        <f aca="false">IFERROR(INDEX(Vendor_Master!$B$2:$B$41,MATCH(B271,Vendor_Master!$A$2:$A$41,0)),"Unknown Vendor")</f>
        <v>Koch-Decker</v>
      </c>
      <c r="D271" s="16" t="str">
        <f aca="false">IFERROR(INDEX(Vendor_Master!$D$2:$D$41,MATCH(B271,Vendor_Master!$A$2:$A$41,0)),"Unknown")</f>
        <v>Germany</v>
      </c>
      <c r="E271" s="17" t="n">
        <f aca="false">IFERROR(INDEX(Vendor_Master!$E$2:$E$41,MATCH(B271,Vendor_Master!$A$2:$A$41,0)),"")</f>
        <v>44738</v>
      </c>
      <c r="F271" s="17" t="n">
        <f aca="false">Payment_Log_AP!D268</f>
        <v>45776</v>
      </c>
      <c r="G271" s="18" t="n">
        <f aca="false">Payment_Log_AP!E268</f>
        <v>3587.55</v>
      </c>
      <c r="H271" s="16" t="n">
        <f aca="false">IF(G271&gt;=Assumptions!$B$7,40,IF(G271&gt;=Assumptions!$B$8,20,0))</f>
        <v>0</v>
      </c>
      <c r="I271" s="16" t="n">
        <f aca="false">IF(MOD(G271,500)=0,20,IF(MOD(G271,100)=0,10,0))</f>
        <v>0</v>
      </c>
      <c r="J271" s="16" t="n">
        <f aca="false">IF(AND(E271&lt;&gt;"",F271-E271&lt;=Assumptions!$B$9),25,0)</f>
        <v>0</v>
      </c>
      <c r="K271" s="16" t="n">
        <f aca="false">IF(ISNUMBER(SEARCH(D271,Assumptions!$B$10)),15,0)</f>
        <v>0</v>
      </c>
      <c r="L271" s="16" t="n">
        <f aca="false">H271+I271+J271+K271</f>
        <v>0</v>
      </c>
      <c r="M271" s="16" t="str">
        <f aca="false">IF(L271&gt;=60,"High",IF(L271&gt;=30,"Medium","Low"))</f>
        <v>Low</v>
      </c>
    </row>
    <row r="272" customFormat="false" ht="15" hidden="false" customHeight="false" outlineLevel="0" collapsed="false">
      <c r="A272" s="16" t="str">
        <f aca="false">Payment_Log_AP!A269</f>
        <v>PAY40268</v>
      </c>
      <c r="B272" s="16" t="str">
        <f aca="false">Payment_Log_AP!C269</f>
        <v>V1027</v>
      </c>
      <c r="C272" s="16" t="str">
        <f aca="false">IFERROR(INDEX(Vendor_Master!$B$2:$B$41,MATCH(B272,Vendor_Master!$A$2:$A$41,0)),"Unknown Vendor")</f>
        <v>Valencia, Smith and Le</v>
      </c>
      <c r="D272" s="16" t="str">
        <f aca="false">IFERROR(INDEX(Vendor_Master!$D$2:$D$41,MATCH(B272,Vendor_Master!$A$2:$A$41,0)),"Unknown")</f>
        <v>Germany</v>
      </c>
      <c r="E272" s="17" t="n">
        <f aca="false">IFERROR(INDEX(Vendor_Master!$E$2:$E$41,MATCH(B272,Vendor_Master!$A$2:$A$41,0)),"")</f>
        <v>45398</v>
      </c>
      <c r="F272" s="17" t="n">
        <f aca="false">Payment_Log_AP!D269</f>
        <v>45785</v>
      </c>
      <c r="G272" s="18" t="n">
        <f aca="false">Payment_Log_AP!E269</f>
        <v>13244.8</v>
      </c>
      <c r="H272" s="16" t="n">
        <f aca="false">IF(G272&gt;=Assumptions!$B$7,40,IF(G272&gt;=Assumptions!$B$8,20,0))</f>
        <v>40</v>
      </c>
      <c r="I272" s="16" t="n">
        <f aca="false">IF(MOD(G272,500)=0,20,IF(MOD(G272,100)=0,10,0))</f>
        <v>0</v>
      </c>
      <c r="J272" s="16" t="n">
        <f aca="false">IF(AND(E272&lt;&gt;"",F272-E272&lt;=Assumptions!$B$9),25,0)</f>
        <v>0</v>
      </c>
      <c r="K272" s="16" t="n">
        <f aca="false">IF(ISNUMBER(SEARCH(D272,Assumptions!$B$10)),15,0)</f>
        <v>0</v>
      </c>
      <c r="L272" s="16" t="n">
        <f aca="false">H272+I272+J272+K272</f>
        <v>40</v>
      </c>
      <c r="M272" s="16" t="str">
        <f aca="false">IF(L272&gt;=60,"High",IF(L272&gt;=30,"Medium","Low"))</f>
        <v>Medium</v>
      </c>
    </row>
    <row r="273" customFormat="false" ht="15" hidden="false" customHeight="false" outlineLevel="0" collapsed="false">
      <c r="A273" s="16" t="str">
        <f aca="false">Payment_Log_AP!A270</f>
        <v>PAY40269</v>
      </c>
      <c r="B273" s="16" t="str">
        <f aca="false">Payment_Log_AP!C270</f>
        <v>V1035</v>
      </c>
      <c r="C273" s="16" t="str">
        <f aca="false">IFERROR(INDEX(Vendor_Master!$B$2:$B$41,MATCH(B273,Vendor_Master!$A$2:$A$41,0)),"Unknown Vendor")</f>
        <v>Allen PLC</v>
      </c>
      <c r="D273" s="16" t="str">
        <f aca="false">IFERROR(INDEX(Vendor_Master!$D$2:$D$41,MATCH(B273,Vendor_Master!$A$2:$A$41,0)),"Unknown")</f>
        <v>Canada</v>
      </c>
      <c r="E273" s="17" t="n">
        <f aca="false">IFERROR(INDEX(Vendor_Master!$E$2:$E$41,MATCH(B273,Vendor_Master!$A$2:$A$41,0)),"")</f>
        <v>45048</v>
      </c>
      <c r="F273" s="17" t="n">
        <f aca="false">Payment_Log_AP!D270</f>
        <v>45773</v>
      </c>
      <c r="G273" s="18" t="n">
        <f aca="false">Payment_Log_AP!E270</f>
        <v>810.36</v>
      </c>
      <c r="H273" s="16" t="n">
        <f aca="false">IF(G273&gt;=Assumptions!$B$7,40,IF(G273&gt;=Assumptions!$B$8,20,0))</f>
        <v>0</v>
      </c>
      <c r="I273" s="16" t="n">
        <f aca="false">IF(MOD(G273,500)=0,20,IF(MOD(G273,100)=0,10,0))</f>
        <v>0</v>
      </c>
      <c r="J273" s="16" t="n">
        <f aca="false">IF(AND(E273&lt;&gt;"",F273-E273&lt;=Assumptions!$B$9),25,0)</f>
        <v>0</v>
      </c>
      <c r="K273" s="16" t="n">
        <f aca="false">IF(ISNUMBER(SEARCH(D273,Assumptions!$B$10)),15,0)</f>
        <v>0</v>
      </c>
      <c r="L273" s="16" t="n">
        <f aca="false">H273+I273+J273+K273</f>
        <v>0</v>
      </c>
      <c r="M273" s="16" t="str">
        <f aca="false">IF(L273&gt;=60,"High",IF(L273&gt;=30,"Medium","Low"))</f>
        <v>Low</v>
      </c>
    </row>
    <row r="274" customFormat="false" ht="15" hidden="false" customHeight="false" outlineLevel="0" collapsed="false">
      <c r="A274" s="16" t="str">
        <f aca="false">Payment_Log_AP!A271</f>
        <v>PAY40270</v>
      </c>
      <c r="B274" s="16" t="str">
        <f aca="false">Payment_Log_AP!C271</f>
        <v>V1035</v>
      </c>
      <c r="C274" s="16" t="str">
        <f aca="false">IFERROR(INDEX(Vendor_Master!$B$2:$B$41,MATCH(B274,Vendor_Master!$A$2:$A$41,0)),"Unknown Vendor")</f>
        <v>Allen PLC</v>
      </c>
      <c r="D274" s="16" t="str">
        <f aca="false">IFERROR(INDEX(Vendor_Master!$D$2:$D$41,MATCH(B274,Vendor_Master!$A$2:$A$41,0)),"Unknown")</f>
        <v>Canada</v>
      </c>
      <c r="E274" s="17" t="n">
        <f aca="false">IFERROR(INDEX(Vendor_Master!$E$2:$E$41,MATCH(B274,Vendor_Master!$A$2:$A$41,0)),"")</f>
        <v>45048</v>
      </c>
      <c r="F274" s="17" t="n">
        <f aca="false">Payment_Log_AP!D271</f>
        <v>45775</v>
      </c>
      <c r="G274" s="18" t="n">
        <f aca="false">Payment_Log_AP!E271</f>
        <v>810.36</v>
      </c>
      <c r="H274" s="16" t="n">
        <f aca="false">IF(G274&gt;=Assumptions!$B$7,40,IF(G274&gt;=Assumptions!$B$8,20,0))</f>
        <v>0</v>
      </c>
      <c r="I274" s="16" t="n">
        <f aca="false">IF(MOD(G274,500)=0,20,IF(MOD(G274,100)=0,10,0))</f>
        <v>0</v>
      </c>
      <c r="J274" s="16" t="n">
        <f aca="false">IF(AND(E274&lt;&gt;"",F274-E274&lt;=Assumptions!$B$9),25,0)</f>
        <v>0</v>
      </c>
      <c r="K274" s="16" t="n">
        <f aca="false">IF(ISNUMBER(SEARCH(D274,Assumptions!$B$10)),15,0)</f>
        <v>0</v>
      </c>
      <c r="L274" s="16" t="n">
        <f aca="false">H274+I274+J274+K274</f>
        <v>0</v>
      </c>
      <c r="M274" s="16" t="str">
        <f aca="false">IF(L274&gt;=60,"High",IF(L274&gt;=30,"Medium","Low"))</f>
        <v>Low</v>
      </c>
    </row>
    <row r="275" customFormat="false" ht="15" hidden="false" customHeight="false" outlineLevel="0" collapsed="false">
      <c r="A275" s="16" t="str">
        <f aca="false">Payment_Log_AP!A272</f>
        <v>PAY40271</v>
      </c>
      <c r="B275" s="16" t="str">
        <f aca="false">Payment_Log_AP!C272</f>
        <v>V1009</v>
      </c>
      <c r="C275" s="16" t="str">
        <f aca="false">IFERROR(INDEX(Vendor_Master!$B$2:$B$41,MATCH(B275,Vendor_Master!$A$2:$A$41,0)),"Unknown Vendor")</f>
        <v>Munoz-Roman</v>
      </c>
      <c r="D275" s="16" t="str">
        <f aca="false">IFERROR(INDEX(Vendor_Master!$D$2:$D$41,MATCH(B275,Vendor_Master!$A$2:$A$41,0)),"Unknown")</f>
        <v>India</v>
      </c>
      <c r="E275" s="17" t="n">
        <f aca="false">IFERROR(INDEX(Vendor_Master!$E$2:$E$41,MATCH(B275,Vendor_Master!$A$2:$A$41,0)),"")</f>
        <v>45129</v>
      </c>
      <c r="F275" s="17" t="n">
        <f aca="false">Payment_Log_AP!D272</f>
        <v>45706</v>
      </c>
      <c r="G275" s="18" t="n">
        <f aca="false">Payment_Log_AP!E272</f>
        <v>256.08</v>
      </c>
      <c r="H275" s="16" t="n">
        <f aca="false">IF(G275&gt;=Assumptions!$B$7,40,IF(G275&gt;=Assumptions!$B$8,20,0))</f>
        <v>0</v>
      </c>
      <c r="I275" s="16" t="n">
        <f aca="false">IF(MOD(G275,500)=0,20,IF(MOD(G275,100)=0,10,0))</f>
        <v>0</v>
      </c>
      <c r="J275" s="16" t="n">
        <f aca="false">IF(AND(E275&lt;&gt;"",F275-E275&lt;=Assumptions!$B$9),25,0)</f>
        <v>0</v>
      </c>
      <c r="K275" s="16" t="n">
        <f aca="false">IF(ISNUMBER(SEARCH(D275,Assumptions!$B$10)),15,0)</f>
        <v>15</v>
      </c>
      <c r="L275" s="16" t="n">
        <f aca="false">H275+I275+J275+K275</f>
        <v>15</v>
      </c>
      <c r="M275" s="16" t="str">
        <f aca="false">IF(L275&gt;=60,"High",IF(L275&gt;=30,"Medium","Low"))</f>
        <v>Low</v>
      </c>
    </row>
    <row r="276" customFormat="false" ht="15" hidden="false" customHeight="false" outlineLevel="0" collapsed="false">
      <c r="A276" s="16" t="str">
        <f aca="false">Payment_Log_AP!A273</f>
        <v>PAY40272</v>
      </c>
      <c r="B276" s="16" t="str">
        <f aca="false">Payment_Log_AP!C273</f>
        <v>V1010</v>
      </c>
      <c r="C276" s="16" t="str">
        <f aca="false">IFERROR(INDEX(Vendor_Master!$B$2:$B$41,MATCH(B276,Vendor_Master!$A$2:$A$41,0)),"Unknown Vendor")</f>
        <v>Martinez, Nielsen and Miller</v>
      </c>
      <c r="D276" s="16" t="str">
        <f aca="false">IFERROR(INDEX(Vendor_Master!$D$2:$D$41,MATCH(B276,Vendor_Master!$A$2:$A$41,0)),"Unknown")</f>
        <v>India</v>
      </c>
      <c r="E276" s="17" t="n">
        <f aca="false">IFERROR(INDEX(Vendor_Master!$E$2:$E$41,MATCH(B276,Vendor_Master!$A$2:$A$41,0)),"")</f>
        <v>45715</v>
      </c>
      <c r="F276" s="17" t="n">
        <f aca="false">Payment_Log_AP!D273</f>
        <v>45988</v>
      </c>
      <c r="G276" s="18" t="n">
        <f aca="false">Payment_Log_AP!E273</f>
        <v>8486.94</v>
      </c>
      <c r="H276" s="16" t="n">
        <f aca="false">IF(G276&gt;=Assumptions!$B$7,40,IF(G276&gt;=Assumptions!$B$8,20,0))</f>
        <v>20</v>
      </c>
      <c r="I276" s="16" t="n">
        <f aca="false">IF(MOD(G276,500)=0,20,IF(MOD(G276,100)=0,10,0))</f>
        <v>0</v>
      </c>
      <c r="J276" s="16" t="n">
        <f aca="false">IF(AND(E276&lt;&gt;"",F276-E276&lt;=Assumptions!$B$9),25,0)</f>
        <v>0</v>
      </c>
      <c r="K276" s="16" t="n">
        <f aca="false">IF(ISNUMBER(SEARCH(D276,Assumptions!$B$10)),15,0)</f>
        <v>15</v>
      </c>
      <c r="L276" s="16" t="n">
        <f aca="false">H276+I276+J276+K276</f>
        <v>35</v>
      </c>
      <c r="M276" s="16" t="str">
        <f aca="false">IF(L276&gt;=60,"High",IF(L276&gt;=30,"Medium","Low"))</f>
        <v>Medium</v>
      </c>
    </row>
    <row r="277" customFormat="false" ht="15" hidden="false" customHeight="false" outlineLevel="0" collapsed="false">
      <c r="A277" s="16" t="str">
        <f aca="false">Payment_Log_AP!A274</f>
        <v>PAY40273</v>
      </c>
      <c r="B277" s="16" t="str">
        <f aca="false">Payment_Log_AP!C274</f>
        <v>V1013</v>
      </c>
      <c r="C277" s="16" t="str">
        <f aca="false">IFERROR(INDEX(Vendor_Master!$B$2:$B$41,MATCH(B277,Vendor_Master!$A$2:$A$41,0)),"Unknown Vendor")</f>
        <v>Delacruz Group</v>
      </c>
      <c r="D277" s="16" t="str">
        <f aca="false">IFERROR(INDEX(Vendor_Master!$D$2:$D$41,MATCH(B277,Vendor_Master!$A$2:$A$41,0)),"Unknown")</f>
        <v>USA</v>
      </c>
      <c r="E277" s="17" t="n">
        <f aca="false">IFERROR(INDEX(Vendor_Master!$E$2:$E$41,MATCH(B277,Vendor_Master!$A$2:$A$41,0)),"")</f>
        <v>46119</v>
      </c>
      <c r="F277" s="17" t="n">
        <f aca="false">Payment_Log_AP!D274</f>
        <v>45817</v>
      </c>
      <c r="G277" s="18" t="n">
        <f aca="false">Payment_Log_AP!E274</f>
        <v>3079.87</v>
      </c>
      <c r="H277" s="16" t="n">
        <f aca="false">IF(G277&gt;=Assumptions!$B$7,40,IF(G277&gt;=Assumptions!$B$8,20,0))</f>
        <v>0</v>
      </c>
      <c r="I277" s="16" t="n">
        <f aca="false">IF(MOD(G277,500)=0,20,IF(MOD(G277,100)=0,10,0))</f>
        <v>0</v>
      </c>
      <c r="J277" s="16" t="n">
        <f aca="false">IF(AND(E277&lt;&gt;"",F277-E277&lt;=Assumptions!$B$9),25,0)</f>
        <v>25</v>
      </c>
      <c r="K277" s="16" t="n">
        <f aca="false">IF(ISNUMBER(SEARCH(D277,Assumptions!$B$10)),15,0)</f>
        <v>0</v>
      </c>
      <c r="L277" s="16" t="n">
        <f aca="false">H277+I277+J277+K277</f>
        <v>25</v>
      </c>
      <c r="M277" s="16" t="str">
        <f aca="false">IF(L277&gt;=60,"High",IF(L277&gt;=30,"Medium","Low"))</f>
        <v>Low</v>
      </c>
    </row>
    <row r="278" customFormat="false" ht="15" hidden="false" customHeight="false" outlineLevel="0" collapsed="false">
      <c r="A278" s="16" t="str">
        <f aca="false">Payment_Log_AP!A275</f>
        <v>PAY40274</v>
      </c>
      <c r="B278" s="16" t="str">
        <f aca="false">Payment_Log_AP!C275</f>
        <v>V1037</v>
      </c>
      <c r="C278" s="16" t="str">
        <f aca="false">IFERROR(INDEX(Vendor_Master!$B$2:$B$41,MATCH(B278,Vendor_Master!$A$2:$A$41,0)),"Unknown Vendor")</f>
        <v>Cannon, Anderson and Alvarez</v>
      </c>
      <c r="D278" s="16" t="str">
        <f aca="false">IFERROR(INDEX(Vendor_Master!$D$2:$D$41,MATCH(B278,Vendor_Master!$A$2:$A$41,0)),"Unknown")</f>
        <v>India</v>
      </c>
      <c r="E278" s="17" t="n">
        <f aca="false">IFERROR(INDEX(Vendor_Master!$E$2:$E$41,MATCH(B278,Vendor_Master!$A$2:$A$41,0)),"")</f>
        <v>46108</v>
      </c>
      <c r="F278" s="17" t="n">
        <f aca="false">Payment_Log_AP!D275</f>
        <v>45997</v>
      </c>
      <c r="G278" s="18" t="n">
        <f aca="false">Payment_Log_AP!E275</f>
        <v>4491.48</v>
      </c>
      <c r="H278" s="16" t="n">
        <f aca="false">IF(G278&gt;=Assumptions!$B$7,40,IF(G278&gt;=Assumptions!$B$8,20,0))</f>
        <v>0</v>
      </c>
      <c r="I278" s="16" t="n">
        <f aca="false">IF(MOD(G278,500)=0,20,IF(MOD(G278,100)=0,10,0))</f>
        <v>0</v>
      </c>
      <c r="J278" s="16" t="n">
        <f aca="false">IF(AND(E278&lt;&gt;"",F278-E278&lt;=Assumptions!$B$9),25,0)</f>
        <v>25</v>
      </c>
      <c r="K278" s="16" t="n">
        <f aca="false">IF(ISNUMBER(SEARCH(D278,Assumptions!$B$10)),15,0)</f>
        <v>15</v>
      </c>
      <c r="L278" s="16" t="n">
        <f aca="false">H278+I278+J278+K278</f>
        <v>40</v>
      </c>
      <c r="M278" s="16" t="str">
        <f aca="false">IF(L278&gt;=60,"High",IF(L278&gt;=30,"Medium","Low"))</f>
        <v>Medium</v>
      </c>
    </row>
    <row r="279" customFormat="false" ht="15" hidden="false" customHeight="false" outlineLevel="0" collapsed="false">
      <c r="A279" s="16" t="str">
        <f aca="false">Payment_Log_AP!A276</f>
        <v>PAY40275</v>
      </c>
      <c r="B279" s="16" t="str">
        <f aca="false">Payment_Log_AP!C276</f>
        <v>V1005</v>
      </c>
      <c r="C279" s="16" t="str">
        <f aca="false">IFERROR(INDEX(Vendor_Master!$B$2:$B$41,MATCH(B279,Vendor_Master!$A$2:$A$41,0)),"Unknown Vendor")</f>
        <v>Cole LLC</v>
      </c>
      <c r="D279" s="16" t="str">
        <f aca="false">IFERROR(INDEX(Vendor_Master!$D$2:$D$41,MATCH(B279,Vendor_Master!$A$2:$A$41,0)),"Unknown")</f>
        <v>UK</v>
      </c>
      <c r="E279" s="17" t="n">
        <f aca="false">IFERROR(INDEX(Vendor_Master!$E$2:$E$41,MATCH(B279,Vendor_Master!$A$2:$A$41,0)),"")</f>
        <v>45423</v>
      </c>
      <c r="F279" s="17" t="n">
        <f aca="false">Payment_Log_AP!D276</f>
        <v>46068</v>
      </c>
      <c r="G279" s="18" t="n">
        <f aca="false">Payment_Log_AP!E276</f>
        <v>1494.98</v>
      </c>
      <c r="H279" s="16" t="n">
        <f aca="false">IF(G279&gt;=Assumptions!$B$7,40,IF(G279&gt;=Assumptions!$B$8,20,0))</f>
        <v>0</v>
      </c>
      <c r="I279" s="16" t="n">
        <f aca="false">IF(MOD(G279,500)=0,20,IF(MOD(G279,100)=0,10,0))</f>
        <v>0</v>
      </c>
      <c r="J279" s="16" t="n">
        <f aca="false">IF(AND(E279&lt;&gt;"",F279-E279&lt;=Assumptions!$B$9),25,0)</f>
        <v>0</v>
      </c>
      <c r="K279" s="16" t="n">
        <f aca="false">IF(ISNUMBER(SEARCH(D279,Assumptions!$B$10)),15,0)</f>
        <v>0</v>
      </c>
      <c r="L279" s="16" t="n">
        <f aca="false">H279+I279+J279+K279</f>
        <v>0</v>
      </c>
      <c r="M279" s="16" t="str">
        <f aca="false">IF(L279&gt;=60,"High",IF(L279&gt;=30,"Medium","Low"))</f>
        <v>Low</v>
      </c>
    </row>
    <row r="280" customFormat="false" ht="15" hidden="false" customHeight="false" outlineLevel="0" collapsed="false">
      <c r="A280" s="16" t="str">
        <f aca="false">Payment_Log_AP!A277</f>
        <v>PAY40276</v>
      </c>
      <c r="B280" s="16" t="str">
        <f aca="false">Payment_Log_AP!C277</f>
        <v>V1033</v>
      </c>
      <c r="C280" s="16" t="str">
        <f aca="false">IFERROR(INDEX(Vendor_Master!$B$2:$B$41,MATCH(B280,Vendor_Master!$A$2:$A$41,0)),"Unknown Vendor")</f>
        <v>Sellers, George and Burns</v>
      </c>
      <c r="D280" s="16" t="str">
        <f aca="false">IFERROR(INDEX(Vendor_Master!$D$2:$D$41,MATCH(B280,Vendor_Master!$A$2:$A$41,0)),"Unknown")</f>
        <v>USA</v>
      </c>
      <c r="E280" s="17" t="n">
        <f aca="false">IFERROR(INDEX(Vendor_Master!$E$2:$E$41,MATCH(B280,Vendor_Master!$A$2:$A$41,0)),"")</f>
        <v>45414</v>
      </c>
      <c r="F280" s="17" t="n">
        <f aca="false">Payment_Log_AP!D277</f>
        <v>45739</v>
      </c>
      <c r="G280" s="18" t="n">
        <f aca="false">Payment_Log_AP!E277</f>
        <v>1119.52</v>
      </c>
      <c r="H280" s="16" t="n">
        <f aca="false">IF(G280&gt;=Assumptions!$B$7,40,IF(G280&gt;=Assumptions!$B$8,20,0))</f>
        <v>0</v>
      </c>
      <c r="I280" s="16" t="n">
        <f aca="false">IF(MOD(G280,500)=0,20,IF(MOD(G280,100)=0,10,0))</f>
        <v>0</v>
      </c>
      <c r="J280" s="16" t="n">
        <f aca="false">IF(AND(E280&lt;&gt;"",F280-E280&lt;=Assumptions!$B$9),25,0)</f>
        <v>0</v>
      </c>
      <c r="K280" s="16" t="n">
        <f aca="false">IF(ISNUMBER(SEARCH(D280,Assumptions!$B$10)),15,0)</f>
        <v>0</v>
      </c>
      <c r="L280" s="16" t="n">
        <f aca="false">H280+I280+J280+K280</f>
        <v>0</v>
      </c>
      <c r="M280" s="16" t="str">
        <f aca="false">IF(L280&gt;=60,"High",IF(L280&gt;=30,"Medium","Low"))</f>
        <v>Low</v>
      </c>
    </row>
    <row r="281" customFormat="false" ht="15" hidden="false" customHeight="false" outlineLevel="0" collapsed="false">
      <c r="A281" s="16" t="str">
        <f aca="false">Payment_Log_AP!A278</f>
        <v>PAY40277</v>
      </c>
      <c r="B281" s="16" t="str">
        <f aca="false">Payment_Log_AP!C278</f>
        <v>V1006</v>
      </c>
      <c r="C281" s="16" t="str">
        <f aca="false">IFERROR(INDEX(Vendor_Master!$B$2:$B$41,MATCH(B281,Vendor_Master!$A$2:$A$41,0)),"Unknown Vendor")</f>
        <v>Blake and Sons</v>
      </c>
      <c r="D281" s="16" t="str">
        <f aca="false">IFERROR(INDEX(Vendor_Master!$D$2:$D$41,MATCH(B281,Vendor_Master!$A$2:$A$41,0)),"Unknown")</f>
        <v>UK</v>
      </c>
      <c r="E281" s="17" t="n">
        <f aca="false">IFERROR(INDEX(Vendor_Master!$E$2:$E$41,MATCH(B281,Vendor_Master!$A$2:$A$41,0)),"")</f>
        <v>45841</v>
      </c>
      <c r="F281" s="17" t="n">
        <f aca="false">Payment_Log_AP!D278</f>
        <v>46139</v>
      </c>
      <c r="G281" s="18" t="n">
        <f aca="false">Payment_Log_AP!E278</f>
        <v>531.72</v>
      </c>
      <c r="H281" s="16" t="n">
        <f aca="false">IF(G281&gt;=Assumptions!$B$7,40,IF(G281&gt;=Assumptions!$B$8,20,0))</f>
        <v>0</v>
      </c>
      <c r="I281" s="16" t="n">
        <f aca="false">IF(MOD(G281,500)=0,20,IF(MOD(G281,100)=0,10,0))</f>
        <v>0</v>
      </c>
      <c r="J281" s="16" t="n">
        <f aca="false">IF(AND(E281&lt;&gt;"",F281-E281&lt;=Assumptions!$B$9),25,0)</f>
        <v>0</v>
      </c>
      <c r="K281" s="16" t="n">
        <f aca="false">IF(ISNUMBER(SEARCH(D281,Assumptions!$B$10)),15,0)</f>
        <v>0</v>
      </c>
      <c r="L281" s="16" t="n">
        <f aca="false">H281+I281+J281+K281</f>
        <v>0</v>
      </c>
      <c r="M281" s="16" t="str">
        <f aca="false">IF(L281&gt;=60,"High",IF(L281&gt;=30,"Medium","Low"))</f>
        <v>Low</v>
      </c>
    </row>
    <row r="282" customFormat="false" ht="15" hidden="false" customHeight="false" outlineLevel="0" collapsed="false">
      <c r="A282" s="16" t="str">
        <f aca="false">Payment_Log_AP!A279</f>
        <v>PAY40278</v>
      </c>
      <c r="B282" s="16" t="str">
        <f aca="false">Payment_Log_AP!C279</f>
        <v>V1019</v>
      </c>
      <c r="C282" s="16" t="str">
        <f aca="false">IFERROR(INDEX(Vendor_Master!$B$2:$B$41,MATCH(B282,Vendor_Master!$A$2:$A$41,0)),"Unknown Vendor")</f>
        <v>Clark PLC</v>
      </c>
      <c r="D282" s="16" t="str">
        <f aca="false">IFERROR(INDEX(Vendor_Master!$D$2:$D$41,MATCH(B282,Vendor_Master!$A$2:$A$41,0)),"Unknown")</f>
        <v>India</v>
      </c>
      <c r="E282" s="17" t="n">
        <f aca="false">IFERROR(INDEX(Vendor_Master!$E$2:$E$41,MATCH(B282,Vendor_Master!$A$2:$A$41,0)),"")</f>
        <v>45196</v>
      </c>
      <c r="F282" s="17" t="n">
        <f aca="false">Payment_Log_AP!D279</f>
        <v>46157</v>
      </c>
      <c r="G282" s="18" t="n">
        <f aca="false">Payment_Log_AP!E279</f>
        <v>6043.12</v>
      </c>
      <c r="H282" s="16" t="n">
        <f aca="false">IF(G282&gt;=Assumptions!$B$7,40,IF(G282&gt;=Assumptions!$B$8,20,0))</f>
        <v>20</v>
      </c>
      <c r="I282" s="16" t="n">
        <f aca="false">IF(MOD(G282,500)=0,20,IF(MOD(G282,100)=0,10,0))</f>
        <v>0</v>
      </c>
      <c r="J282" s="16" t="n">
        <f aca="false">IF(AND(E282&lt;&gt;"",F282-E282&lt;=Assumptions!$B$9),25,0)</f>
        <v>0</v>
      </c>
      <c r="K282" s="16" t="n">
        <f aca="false">IF(ISNUMBER(SEARCH(D282,Assumptions!$B$10)),15,0)</f>
        <v>15</v>
      </c>
      <c r="L282" s="16" t="n">
        <f aca="false">H282+I282+J282+K282</f>
        <v>35</v>
      </c>
      <c r="M282" s="16" t="str">
        <f aca="false">IF(L282&gt;=60,"High",IF(L282&gt;=30,"Medium","Low"))</f>
        <v>Medium</v>
      </c>
    </row>
    <row r="283" customFormat="false" ht="15" hidden="false" customHeight="false" outlineLevel="0" collapsed="false">
      <c r="A283" s="16" t="str">
        <f aca="false">Payment_Log_AP!A280</f>
        <v>PAY40279</v>
      </c>
      <c r="B283" s="16" t="str">
        <f aca="false">Payment_Log_AP!C280</f>
        <v>V1014</v>
      </c>
      <c r="C283" s="16" t="str">
        <f aca="false">IFERROR(INDEX(Vendor_Master!$B$2:$B$41,MATCH(B283,Vendor_Master!$A$2:$A$41,0)),"Unknown Vendor")</f>
        <v>Flowers, Martin and Kelly</v>
      </c>
      <c r="D283" s="16" t="str">
        <f aca="false">IFERROR(INDEX(Vendor_Master!$D$2:$D$41,MATCH(B283,Vendor_Master!$A$2:$A$41,0)),"Unknown")</f>
        <v>India</v>
      </c>
      <c r="E283" s="17" t="n">
        <f aca="false">IFERROR(INDEX(Vendor_Master!$E$2:$E$41,MATCH(B283,Vendor_Master!$A$2:$A$41,0)),"")</f>
        <v>45001</v>
      </c>
      <c r="F283" s="17" t="n">
        <f aca="false">Payment_Log_AP!D280</f>
        <v>46009</v>
      </c>
      <c r="G283" s="18" t="n">
        <f aca="false">Payment_Log_AP!E280</f>
        <v>1017.03</v>
      </c>
      <c r="H283" s="16" t="n">
        <f aca="false">IF(G283&gt;=Assumptions!$B$7,40,IF(G283&gt;=Assumptions!$B$8,20,0))</f>
        <v>0</v>
      </c>
      <c r="I283" s="16" t="n">
        <f aca="false">IF(MOD(G283,500)=0,20,IF(MOD(G283,100)=0,10,0))</f>
        <v>0</v>
      </c>
      <c r="J283" s="16" t="n">
        <f aca="false">IF(AND(E283&lt;&gt;"",F283-E283&lt;=Assumptions!$B$9),25,0)</f>
        <v>0</v>
      </c>
      <c r="K283" s="16" t="n">
        <f aca="false">IF(ISNUMBER(SEARCH(D283,Assumptions!$B$10)),15,0)</f>
        <v>15</v>
      </c>
      <c r="L283" s="16" t="n">
        <f aca="false">H283+I283+J283+K283</f>
        <v>15</v>
      </c>
      <c r="M283" s="16" t="str">
        <f aca="false">IF(L283&gt;=60,"High",IF(L283&gt;=30,"Medium","Low"))</f>
        <v>Low</v>
      </c>
    </row>
    <row r="284" customFormat="false" ht="15" hidden="false" customHeight="false" outlineLevel="0" collapsed="false">
      <c r="A284" s="16" t="str">
        <f aca="false">Payment_Log_AP!A281</f>
        <v>PAY40280</v>
      </c>
      <c r="B284" s="16" t="str">
        <f aca="false">Payment_Log_AP!C281</f>
        <v>V1017</v>
      </c>
      <c r="C284" s="16" t="str">
        <f aca="false">IFERROR(INDEX(Vendor_Master!$B$2:$B$41,MATCH(B284,Vendor_Master!$A$2:$A$41,0)),"Unknown Vendor")</f>
        <v>Hawkins, Cohen and Cameron</v>
      </c>
      <c r="D284" s="16" t="str">
        <f aca="false">IFERROR(INDEX(Vendor_Master!$D$2:$D$41,MATCH(B284,Vendor_Master!$A$2:$A$41,0)),"Unknown")</f>
        <v>USA</v>
      </c>
      <c r="E284" s="17" t="n">
        <f aca="false">IFERROR(INDEX(Vendor_Master!$E$2:$E$41,MATCH(B284,Vendor_Master!$A$2:$A$41,0)),"")</f>
        <v>46025</v>
      </c>
      <c r="F284" s="17" t="n">
        <f aca="false">Payment_Log_AP!D281</f>
        <v>45959</v>
      </c>
      <c r="G284" s="18" t="n">
        <f aca="false">Payment_Log_AP!E281</f>
        <v>33982.32</v>
      </c>
      <c r="H284" s="16" t="n">
        <f aca="false">IF(G284&gt;=Assumptions!$B$7,40,IF(G284&gt;=Assumptions!$B$8,20,0))</f>
        <v>40</v>
      </c>
      <c r="I284" s="16" t="n">
        <f aca="false">IF(MOD(G284,500)=0,20,IF(MOD(G284,100)=0,10,0))</f>
        <v>0</v>
      </c>
      <c r="J284" s="16" t="n">
        <f aca="false">IF(AND(E284&lt;&gt;"",F284-E284&lt;=Assumptions!$B$9),25,0)</f>
        <v>25</v>
      </c>
      <c r="K284" s="16" t="n">
        <f aca="false">IF(ISNUMBER(SEARCH(D284,Assumptions!$B$10)),15,0)</f>
        <v>0</v>
      </c>
      <c r="L284" s="16" t="n">
        <f aca="false">H284+I284+J284+K284</f>
        <v>65</v>
      </c>
      <c r="M284" s="16" t="str">
        <f aca="false">IF(L284&gt;=60,"High",IF(L284&gt;=30,"Medium","Low"))</f>
        <v>High</v>
      </c>
    </row>
    <row r="285" customFormat="false" ht="15" hidden="false" customHeight="false" outlineLevel="0" collapsed="false">
      <c r="A285" s="16" t="str">
        <f aca="false">Payment_Log_AP!A282</f>
        <v>PAY40281</v>
      </c>
      <c r="B285" s="16" t="str">
        <f aca="false">Payment_Log_AP!C282</f>
        <v>V1026</v>
      </c>
      <c r="C285" s="16" t="str">
        <f aca="false">IFERROR(INDEX(Vendor_Master!$B$2:$B$41,MATCH(B285,Vendor_Master!$A$2:$A$41,0)),"Unknown Vendor")</f>
        <v>James-Ferrell</v>
      </c>
      <c r="D285" s="16" t="str">
        <f aca="false">IFERROR(INDEX(Vendor_Master!$D$2:$D$41,MATCH(B285,Vendor_Master!$A$2:$A$41,0)),"Unknown")</f>
        <v>UAE</v>
      </c>
      <c r="E285" s="17" t="n">
        <f aca="false">IFERROR(INDEX(Vendor_Master!$E$2:$E$41,MATCH(B285,Vendor_Master!$A$2:$A$41,0)),"")</f>
        <v>45504</v>
      </c>
      <c r="F285" s="17" t="n">
        <f aca="false">Payment_Log_AP!D282</f>
        <v>45949</v>
      </c>
      <c r="G285" s="18" t="n">
        <f aca="false">Payment_Log_AP!E282</f>
        <v>2011.97</v>
      </c>
      <c r="H285" s="16" t="n">
        <f aca="false">IF(G285&gt;=Assumptions!$B$7,40,IF(G285&gt;=Assumptions!$B$8,20,0))</f>
        <v>0</v>
      </c>
      <c r="I285" s="16" t="n">
        <f aca="false">IF(MOD(G285,500)=0,20,IF(MOD(G285,100)=0,10,0))</f>
        <v>0</v>
      </c>
      <c r="J285" s="16" t="n">
        <f aca="false">IF(AND(E285&lt;&gt;"",F285-E285&lt;=Assumptions!$B$9),25,0)</f>
        <v>0</v>
      </c>
      <c r="K285" s="16" t="n">
        <f aca="false">IF(ISNUMBER(SEARCH(D285,Assumptions!$B$10)),15,0)</f>
        <v>15</v>
      </c>
      <c r="L285" s="16" t="n">
        <f aca="false">H285+I285+J285+K285</f>
        <v>15</v>
      </c>
      <c r="M285" s="16" t="str">
        <f aca="false">IF(L285&gt;=60,"High",IF(L285&gt;=30,"Medium","Low"))</f>
        <v>Low</v>
      </c>
    </row>
    <row r="286" customFormat="false" ht="15" hidden="false" customHeight="false" outlineLevel="0" collapsed="false">
      <c r="A286" s="16" t="str">
        <f aca="false">Payment_Log_AP!A283</f>
        <v>PAY40282</v>
      </c>
      <c r="B286" s="16" t="str">
        <f aca="false">Payment_Log_AP!C283</f>
        <v>V1026</v>
      </c>
      <c r="C286" s="16" t="str">
        <f aca="false">IFERROR(INDEX(Vendor_Master!$B$2:$B$41,MATCH(B286,Vendor_Master!$A$2:$A$41,0)),"Unknown Vendor")</f>
        <v>James-Ferrell</v>
      </c>
      <c r="D286" s="16" t="str">
        <f aca="false">IFERROR(INDEX(Vendor_Master!$D$2:$D$41,MATCH(B286,Vendor_Master!$A$2:$A$41,0)),"Unknown")</f>
        <v>UAE</v>
      </c>
      <c r="E286" s="17" t="n">
        <f aca="false">IFERROR(INDEX(Vendor_Master!$E$2:$E$41,MATCH(B286,Vendor_Master!$A$2:$A$41,0)),"")</f>
        <v>45504</v>
      </c>
      <c r="F286" s="17" t="n">
        <f aca="false">Payment_Log_AP!D283</f>
        <v>45725</v>
      </c>
      <c r="G286" s="18" t="n">
        <f aca="false">Payment_Log_AP!E283</f>
        <v>1953.14</v>
      </c>
      <c r="H286" s="16" t="n">
        <f aca="false">IF(G286&gt;=Assumptions!$B$7,40,IF(G286&gt;=Assumptions!$B$8,20,0))</f>
        <v>0</v>
      </c>
      <c r="I286" s="16" t="n">
        <f aca="false">IF(MOD(G286,500)=0,20,IF(MOD(G286,100)=0,10,0))</f>
        <v>0</v>
      </c>
      <c r="J286" s="16" t="n">
        <f aca="false">IF(AND(E286&lt;&gt;"",F286-E286&lt;=Assumptions!$B$9),25,0)</f>
        <v>0</v>
      </c>
      <c r="K286" s="16" t="n">
        <f aca="false">IF(ISNUMBER(SEARCH(D286,Assumptions!$B$10)),15,0)</f>
        <v>15</v>
      </c>
      <c r="L286" s="16" t="n">
        <f aca="false">H286+I286+J286+K286</f>
        <v>15</v>
      </c>
      <c r="M286" s="16" t="str">
        <f aca="false">IF(L286&gt;=60,"High",IF(L286&gt;=30,"Medium","Low"))</f>
        <v>Low</v>
      </c>
    </row>
    <row r="287" customFormat="false" ht="15" hidden="false" customHeight="false" outlineLevel="0" collapsed="false">
      <c r="A287" s="16" t="str">
        <f aca="false">Payment_Log_AP!A284</f>
        <v>PAY40283</v>
      </c>
      <c r="B287" s="16" t="str">
        <f aca="false">Payment_Log_AP!C284</f>
        <v>V1031</v>
      </c>
      <c r="C287" s="16" t="str">
        <f aca="false">IFERROR(INDEX(Vendor_Master!$B$2:$B$41,MATCH(B287,Vendor_Master!$A$2:$A$41,0)),"Unknown Vendor")</f>
        <v>Harrell LLC</v>
      </c>
      <c r="D287" s="16" t="str">
        <f aca="false">IFERROR(INDEX(Vendor_Master!$D$2:$D$41,MATCH(B287,Vendor_Master!$A$2:$A$41,0)),"Unknown")</f>
        <v>Canada</v>
      </c>
      <c r="E287" s="17" t="n">
        <f aca="false">IFERROR(INDEX(Vendor_Master!$E$2:$E$41,MATCH(B287,Vendor_Master!$A$2:$A$41,0)),"")</f>
        <v>45364</v>
      </c>
      <c r="F287" s="17" t="n">
        <f aca="false">Payment_Log_AP!D284</f>
        <v>46204</v>
      </c>
      <c r="G287" s="18" t="n">
        <f aca="false">Payment_Log_AP!E284</f>
        <v>275.18</v>
      </c>
      <c r="H287" s="16" t="n">
        <f aca="false">IF(G287&gt;=Assumptions!$B$7,40,IF(G287&gt;=Assumptions!$B$8,20,0))</f>
        <v>0</v>
      </c>
      <c r="I287" s="16" t="n">
        <f aca="false">IF(MOD(G287,500)=0,20,IF(MOD(G287,100)=0,10,0))</f>
        <v>0</v>
      </c>
      <c r="J287" s="16" t="n">
        <f aca="false">IF(AND(E287&lt;&gt;"",F287-E287&lt;=Assumptions!$B$9),25,0)</f>
        <v>0</v>
      </c>
      <c r="K287" s="16" t="n">
        <f aca="false">IF(ISNUMBER(SEARCH(D287,Assumptions!$B$10)),15,0)</f>
        <v>0</v>
      </c>
      <c r="L287" s="16" t="n">
        <f aca="false">H287+I287+J287+K287</f>
        <v>0</v>
      </c>
      <c r="M287" s="16" t="str">
        <f aca="false">IF(L287&gt;=60,"High",IF(L287&gt;=30,"Medium","Low"))</f>
        <v>Low</v>
      </c>
    </row>
    <row r="288" customFormat="false" ht="15" hidden="false" customHeight="false" outlineLevel="0" collapsed="false">
      <c r="A288" s="16" t="str">
        <f aca="false">Payment_Log_AP!A285</f>
        <v>PAY40284</v>
      </c>
      <c r="B288" s="16" t="str">
        <f aca="false">Payment_Log_AP!C285</f>
        <v>V1002</v>
      </c>
      <c r="C288" s="16" t="str">
        <f aca="false">IFERROR(INDEX(Vendor_Master!$B$2:$B$41,MATCH(B288,Vendor_Master!$A$2:$A$41,0)),"Unknown Vendor")</f>
        <v>Garcia, Yang and Gardner</v>
      </c>
      <c r="D288" s="16" t="str">
        <f aca="false">IFERROR(INDEX(Vendor_Master!$D$2:$D$41,MATCH(B288,Vendor_Master!$A$2:$A$41,0)),"Unknown")</f>
        <v>UK</v>
      </c>
      <c r="E288" s="17" t="n">
        <f aca="false">IFERROR(INDEX(Vendor_Master!$E$2:$E$41,MATCH(B288,Vendor_Master!$A$2:$A$41,0)),"")</f>
        <v>44914</v>
      </c>
      <c r="F288" s="17" t="n">
        <f aca="false">Payment_Log_AP!D285</f>
        <v>45921</v>
      </c>
      <c r="G288" s="18" t="n">
        <f aca="false">Payment_Log_AP!E285</f>
        <v>2929.12</v>
      </c>
      <c r="H288" s="16" t="n">
        <f aca="false">IF(G288&gt;=Assumptions!$B$7,40,IF(G288&gt;=Assumptions!$B$8,20,0))</f>
        <v>0</v>
      </c>
      <c r="I288" s="16" t="n">
        <f aca="false">IF(MOD(G288,500)=0,20,IF(MOD(G288,100)=0,10,0))</f>
        <v>0</v>
      </c>
      <c r="J288" s="16" t="n">
        <f aca="false">IF(AND(E288&lt;&gt;"",F288-E288&lt;=Assumptions!$B$9),25,0)</f>
        <v>0</v>
      </c>
      <c r="K288" s="16" t="n">
        <f aca="false">IF(ISNUMBER(SEARCH(D288,Assumptions!$B$10)),15,0)</f>
        <v>0</v>
      </c>
      <c r="L288" s="16" t="n">
        <f aca="false">H288+I288+J288+K288</f>
        <v>0</v>
      </c>
      <c r="M288" s="16" t="str">
        <f aca="false">IF(L288&gt;=60,"High",IF(L288&gt;=30,"Medium","Low"))</f>
        <v>Low</v>
      </c>
    </row>
    <row r="289" customFormat="false" ht="15" hidden="false" customHeight="false" outlineLevel="0" collapsed="false">
      <c r="A289" s="16" t="str">
        <f aca="false">Payment_Log_AP!A286</f>
        <v>PAY40285</v>
      </c>
      <c r="B289" s="16" t="str">
        <f aca="false">Payment_Log_AP!C286</f>
        <v>V1002</v>
      </c>
      <c r="C289" s="16" t="str">
        <f aca="false">IFERROR(INDEX(Vendor_Master!$B$2:$B$41,MATCH(B289,Vendor_Master!$A$2:$A$41,0)),"Unknown Vendor")</f>
        <v>Garcia, Yang and Gardner</v>
      </c>
      <c r="D289" s="16" t="str">
        <f aca="false">IFERROR(INDEX(Vendor_Master!$D$2:$D$41,MATCH(B289,Vendor_Master!$A$2:$A$41,0)),"Unknown")</f>
        <v>UK</v>
      </c>
      <c r="E289" s="17" t="n">
        <f aca="false">IFERROR(INDEX(Vendor_Master!$E$2:$E$41,MATCH(B289,Vendor_Master!$A$2:$A$41,0)),"")</f>
        <v>44914</v>
      </c>
      <c r="F289" s="17" t="n">
        <f aca="false">Payment_Log_AP!D286</f>
        <v>45927</v>
      </c>
      <c r="G289" s="18" t="n">
        <f aca="false">Payment_Log_AP!E286</f>
        <v>2929.12</v>
      </c>
      <c r="H289" s="16" t="n">
        <f aca="false">IF(G289&gt;=Assumptions!$B$7,40,IF(G289&gt;=Assumptions!$B$8,20,0))</f>
        <v>0</v>
      </c>
      <c r="I289" s="16" t="n">
        <f aca="false">IF(MOD(G289,500)=0,20,IF(MOD(G289,100)=0,10,0))</f>
        <v>0</v>
      </c>
      <c r="J289" s="16" t="n">
        <f aca="false">IF(AND(E289&lt;&gt;"",F289-E289&lt;=Assumptions!$B$9),25,0)</f>
        <v>0</v>
      </c>
      <c r="K289" s="16" t="n">
        <f aca="false">IF(ISNUMBER(SEARCH(D289,Assumptions!$B$10)),15,0)</f>
        <v>0</v>
      </c>
      <c r="L289" s="16" t="n">
        <f aca="false">H289+I289+J289+K289</f>
        <v>0</v>
      </c>
      <c r="M289" s="16" t="str">
        <f aca="false">IF(L289&gt;=60,"High",IF(L289&gt;=30,"Medium","Low"))</f>
        <v>Low</v>
      </c>
    </row>
    <row r="290" customFormat="false" ht="15" hidden="false" customHeight="false" outlineLevel="0" collapsed="false">
      <c r="A290" s="16" t="str">
        <f aca="false">Payment_Log_AP!A287</f>
        <v>PAY40286</v>
      </c>
      <c r="B290" s="16" t="str">
        <f aca="false">Payment_Log_AP!C287</f>
        <v>V1015</v>
      </c>
      <c r="C290" s="16" t="str">
        <f aca="false">IFERROR(INDEX(Vendor_Master!$B$2:$B$41,MATCH(B290,Vendor_Master!$A$2:$A$41,0)),"Unknown Vendor")</f>
        <v>Zuniga, Wong and Lynch</v>
      </c>
      <c r="D290" s="16" t="str">
        <f aca="false">IFERROR(INDEX(Vendor_Master!$D$2:$D$41,MATCH(B290,Vendor_Master!$A$2:$A$41,0)),"Unknown")</f>
        <v>USA</v>
      </c>
      <c r="E290" s="17" t="n">
        <f aca="false">IFERROR(INDEX(Vendor_Master!$E$2:$E$41,MATCH(B290,Vendor_Master!$A$2:$A$41,0)),"")</f>
        <v>45621</v>
      </c>
      <c r="F290" s="17" t="n">
        <f aca="false">Payment_Log_AP!D287</f>
        <v>46138</v>
      </c>
      <c r="G290" s="18" t="n">
        <f aca="false">Payment_Log_AP!E287</f>
        <v>2560.65</v>
      </c>
      <c r="H290" s="16" t="n">
        <f aca="false">IF(G290&gt;=Assumptions!$B$7,40,IF(G290&gt;=Assumptions!$B$8,20,0))</f>
        <v>0</v>
      </c>
      <c r="I290" s="16" t="n">
        <f aca="false">IF(MOD(G290,500)=0,20,IF(MOD(G290,100)=0,10,0))</f>
        <v>0</v>
      </c>
      <c r="J290" s="16" t="n">
        <f aca="false">IF(AND(E290&lt;&gt;"",F290-E290&lt;=Assumptions!$B$9),25,0)</f>
        <v>0</v>
      </c>
      <c r="K290" s="16" t="n">
        <f aca="false">IF(ISNUMBER(SEARCH(D290,Assumptions!$B$10)),15,0)</f>
        <v>0</v>
      </c>
      <c r="L290" s="16" t="n">
        <f aca="false">H290+I290+J290+K290</f>
        <v>0</v>
      </c>
      <c r="M290" s="16" t="str">
        <f aca="false">IF(L290&gt;=60,"High",IF(L290&gt;=30,"Medium","Low"))</f>
        <v>Low</v>
      </c>
    </row>
    <row r="291" customFormat="false" ht="15" hidden="false" customHeight="false" outlineLevel="0" collapsed="false">
      <c r="A291" s="16" t="str">
        <f aca="false">Payment_Log_AP!A288</f>
        <v>PAY40287</v>
      </c>
      <c r="B291" s="16" t="str">
        <f aca="false">Payment_Log_AP!C288</f>
        <v>V1016</v>
      </c>
      <c r="C291" s="16" t="str">
        <f aca="false">IFERROR(INDEX(Vendor_Master!$B$2:$B$41,MATCH(B291,Vendor_Master!$A$2:$A$41,0)),"Unknown Vendor")</f>
        <v>Sanchez, Ford and Nelson</v>
      </c>
      <c r="D291" s="16" t="str">
        <f aca="false">IFERROR(INDEX(Vendor_Master!$D$2:$D$41,MATCH(B291,Vendor_Master!$A$2:$A$41,0)),"Unknown")</f>
        <v>India</v>
      </c>
      <c r="E291" s="17" t="n">
        <f aca="false">IFERROR(INDEX(Vendor_Master!$E$2:$E$41,MATCH(B291,Vendor_Master!$A$2:$A$41,0)),"")</f>
        <v>44832</v>
      </c>
      <c r="F291" s="17" t="n">
        <f aca="false">Payment_Log_AP!D288</f>
        <v>45918</v>
      </c>
      <c r="G291" s="18" t="n">
        <f aca="false">Payment_Log_AP!E288</f>
        <v>1086.25</v>
      </c>
      <c r="H291" s="16" t="n">
        <f aca="false">IF(G291&gt;=Assumptions!$B$7,40,IF(G291&gt;=Assumptions!$B$8,20,0))</f>
        <v>0</v>
      </c>
      <c r="I291" s="16" t="n">
        <f aca="false">IF(MOD(G291,500)=0,20,IF(MOD(G291,100)=0,10,0))</f>
        <v>0</v>
      </c>
      <c r="J291" s="16" t="n">
        <f aca="false">IF(AND(E291&lt;&gt;"",F291-E291&lt;=Assumptions!$B$9),25,0)</f>
        <v>0</v>
      </c>
      <c r="K291" s="16" t="n">
        <f aca="false">IF(ISNUMBER(SEARCH(D291,Assumptions!$B$10)),15,0)</f>
        <v>15</v>
      </c>
      <c r="L291" s="16" t="n">
        <f aca="false">H291+I291+J291+K291</f>
        <v>15</v>
      </c>
      <c r="M291" s="16" t="str">
        <f aca="false">IF(L291&gt;=60,"High",IF(L291&gt;=30,"Medium","Low"))</f>
        <v>Low</v>
      </c>
    </row>
    <row r="292" customFormat="false" ht="15" hidden="false" customHeight="false" outlineLevel="0" collapsed="false">
      <c r="A292" s="16" t="str">
        <f aca="false">Payment_Log_AP!A289</f>
        <v>PAY40288</v>
      </c>
      <c r="B292" s="16" t="str">
        <f aca="false">Payment_Log_AP!C289</f>
        <v>V1039</v>
      </c>
      <c r="C292" s="16" t="str">
        <f aca="false">IFERROR(INDEX(Vendor_Master!$B$2:$B$41,MATCH(B292,Vendor_Master!$A$2:$A$41,0)),"Unknown Vendor")</f>
        <v>Campos, Vaughn and Marquez</v>
      </c>
      <c r="D292" s="16" t="str">
        <f aca="false">IFERROR(INDEX(Vendor_Master!$D$2:$D$41,MATCH(B292,Vendor_Master!$A$2:$A$41,0)),"Unknown")</f>
        <v>USA</v>
      </c>
      <c r="E292" s="17" t="n">
        <f aca="false">IFERROR(INDEX(Vendor_Master!$E$2:$E$41,MATCH(B292,Vendor_Master!$A$2:$A$41,0)),"")</f>
        <v>46086</v>
      </c>
      <c r="F292" s="17" t="n">
        <f aca="false">Payment_Log_AP!D289</f>
        <v>45727</v>
      </c>
      <c r="G292" s="18" t="n">
        <f aca="false">Payment_Log_AP!E289</f>
        <v>3484.24</v>
      </c>
      <c r="H292" s="16" t="n">
        <f aca="false">IF(G292&gt;=Assumptions!$B$7,40,IF(G292&gt;=Assumptions!$B$8,20,0))</f>
        <v>0</v>
      </c>
      <c r="I292" s="16" t="n">
        <f aca="false">IF(MOD(G292,500)=0,20,IF(MOD(G292,100)=0,10,0))</f>
        <v>0</v>
      </c>
      <c r="J292" s="16" t="n">
        <f aca="false">IF(AND(E292&lt;&gt;"",F292-E292&lt;=Assumptions!$B$9),25,0)</f>
        <v>25</v>
      </c>
      <c r="K292" s="16" t="n">
        <f aca="false">IF(ISNUMBER(SEARCH(D292,Assumptions!$B$10)),15,0)</f>
        <v>0</v>
      </c>
      <c r="L292" s="16" t="n">
        <f aca="false">H292+I292+J292+K292</f>
        <v>25</v>
      </c>
      <c r="M292" s="16" t="str">
        <f aca="false">IF(L292&gt;=60,"High",IF(L292&gt;=30,"Medium","Low"))</f>
        <v>Low</v>
      </c>
    </row>
    <row r="293" customFormat="false" ht="15" hidden="false" customHeight="false" outlineLevel="0" collapsed="false">
      <c r="A293" s="16" t="str">
        <f aca="false">Payment_Log_AP!A290</f>
        <v>PAY40289</v>
      </c>
      <c r="B293" s="16" t="str">
        <f aca="false">Payment_Log_AP!C290</f>
        <v>V1025</v>
      </c>
      <c r="C293" s="16" t="str">
        <f aca="false">IFERROR(INDEX(Vendor_Master!$B$2:$B$41,MATCH(B293,Vendor_Master!$A$2:$A$41,0)),"Unknown Vendor")</f>
        <v>Conner Group</v>
      </c>
      <c r="D293" s="16" t="str">
        <f aca="false">IFERROR(INDEX(Vendor_Master!$D$2:$D$41,MATCH(B293,Vendor_Master!$A$2:$A$41,0)),"Unknown")</f>
        <v>USA</v>
      </c>
      <c r="E293" s="17" t="n">
        <f aca="false">IFERROR(INDEX(Vendor_Master!$E$2:$E$41,MATCH(B293,Vendor_Master!$A$2:$A$41,0)),"")</f>
        <v>44803</v>
      </c>
      <c r="F293" s="17" t="n">
        <f aca="false">Payment_Log_AP!D290</f>
        <v>46015</v>
      </c>
      <c r="G293" s="18" t="n">
        <f aca="false">Payment_Log_AP!E290</f>
        <v>4212.6</v>
      </c>
      <c r="H293" s="16" t="n">
        <f aca="false">IF(G293&gt;=Assumptions!$B$7,40,IF(G293&gt;=Assumptions!$B$8,20,0))</f>
        <v>0</v>
      </c>
      <c r="I293" s="16" t="n">
        <f aca="false">IF(MOD(G293,500)=0,20,IF(MOD(G293,100)=0,10,0))</f>
        <v>0</v>
      </c>
      <c r="J293" s="16" t="n">
        <f aca="false">IF(AND(E293&lt;&gt;"",F293-E293&lt;=Assumptions!$B$9),25,0)</f>
        <v>0</v>
      </c>
      <c r="K293" s="16" t="n">
        <f aca="false">IF(ISNUMBER(SEARCH(D293,Assumptions!$B$10)),15,0)</f>
        <v>0</v>
      </c>
      <c r="L293" s="16" t="n">
        <f aca="false">H293+I293+J293+K293</f>
        <v>0</v>
      </c>
      <c r="M293" s="16" t="str">
        <f aca="false">IF(L293&gt;=60,"High",IF(L293&gt;=30,"Medium","Low"))</f>
        <v>Low</v>
      </c>
    </row>
    <row r="294" customFormat="false" ht="15" hidden="false" customHeight="false" outlineLevel="0" collapsed="false">
      <c r="A294" s="16" t="str">
        <f aca="false">Payment_Log_AP!A291</f>
        <v>PAY40290</v>
      </c>
      <c r="B294" s="16" t="str">
        <f aca="false">Payment_Log_AP!C291</f>
        <v>V1032</v>
      </c>
      <c r="C294" s="16" t="str">
        <f aca="false">IFERROR(INDEX(Vendor_Master!$B$2:$B$41,MATCH(B294,Vendor_Master!$A$2:$A$41,0)),"Unknown Vendor")</f>
        <v>Lynch, Hernandez and Farmer</v>
      </c>
      <c r="D294" s="16" t="str">
        <f aca="false">IFERROR(INDEX(Vendor_Master!$D$2:$D$41,MATCH(B294,Vendor_Master!$A$2:$A$41,0)),"Unknown")</f>
        <v>UAE</v>
      </c>
      <c r="E294" s="17" t="n">
        <f aca="false">IFERROR(INDEX(Vendor_Master!$E$2:$E$41,MATCH(B294,Vendor_Master!$A$2:$A$41,0)),"")</f>
        <v>45892</v>
      </c>
      <c r="F294" s="17" t="n">
        <f aca="false">Payment_Log_AP!D291</f>
        <v>45709</v>
      </c>
      <c r="G294" s="18" t="n">
        <f aca="false">Payment_Log_AP!E291</f>
        <v>2560.27</v>
      </c>
      <c r="H294" s="16" t="n">
        <f aca="false">IF(G294&gt;=Assumptions!$B$7,40,IF(G294&gt;=Assumptions!$B$8,20,0))</f>
        <v>0</v>
      </c>
      <c r="I294" s="16" t="n">
        <f aca="false">IF(MOD(G294,500)=0,20,IF(MOD(G294,100)=0,10,0))</f>
        <v>0</v>
      </c>
      <c r="J294" s="16" t="n">
        <f aca="false">IF(AND(E294&lt;&gt;"",F294-E294&lt;=Assumptions!$B$9),25,0)</f>
        <v>25</v>
      </c>
      <c r="K294" s="16" t="n">
        <f aca="false">IF(ISNUMBER(SEARCH(D294,Assumptions!$B$10)),15,0)</f>
        <v>15</v>
      </c>
      <c r="L294" s="16" t="n">
        <f aca="false">H294+I294+J294+K294</f>
        <v>40</v>
      </c>
      <c r="M294" s="16" t="str">
        <f aca="false">IF(L294&gt;=60,"High",IF(L294&gt;=30,"Medium","Low"))</f>
        <v>Medium</v>
      </c>
    </row>
    <row r="295" customFormat="false" ht="15" hidden="false" customHeight="false" outlineLevel="0" collapsed="false">
      <c r="A295" s="16" t="str">
        <f aca="false">Payment_Log_AP!A292</f>
        <v>PAY40291</v>
      </c>
      <c r="B295" s="16" t="str">
        <f aca="false">Payment_Log_AP!C292</f>
        <v>V1025</v>
      </c>
      <c r="C295" s="16" t="str">
        <f aca="false">IFERROR(INDEX(Vendor_Master!$B$2:$B$41,MATCH(B295,Vendor_Master!$A$2:$A$41,0)),"Unknown Vendor")</f>
        <v>Conner Group</v>
      </c>
      <c r="D295" s="16" t="str">
        <f aca="false">IFERROR(INDEX(Vendor_Master!$D$2:$D$41,MATCH(B295,Vendor_Master!$A$2:$A$41,0)),"Unknown")</f>
        <v>USA</v>
      </c>
      <c r="E295" s="17" t="n">
        <f aca="false">IFERROR(INDEX(Vendor_Master!$E$2:$E$41,MATCH(B295,Vendor_Master!$A$2:$A$41,0)),"")</f>
        <v>44803</v>
      </c>
      <c r="F295" s="17" t="n">
        <f aca="false">Payment_Log_AP!D292</f>
        <v>45769</v>
      </c>
      <c r="G295" s="18" t="n">
        <f aca="false">Payment_Log_AP!E292</f>
        <v>3373.65</v>
      </c>
      <c r="H295" s="16" t="n">
        <f aca="false">IF(G295&gt;=Assumptions!$B$7,40,IF(G295&gt;=Assumptions!$B$8,20,0))</f>
        <v>0</v>
      </c>
      <c r="I295" s="16" t="n">
        <f aca="false">IF(MOD(G295,500)=0,20,IF(MOD(G295,100)=0,10,0))</f>
        <v>0</v>
      </c>
      <c r="J295" s="16" t="n">
        <f aca="false">IF(AND(E295&lt;&gt;"",F295-E295&lt;=Assumptions!$B$9),25,0)</f>
        <v>0</v>
      </c>
      <c r="K295" s="16" t="n">
        <f aca="false">IF(ISNUMBER(SEARCH(D295,Assumptions!$B$10)),15,0)</f>
        <v>0</v>
      </c>
      <c r="L295" s="16" t="n">
        <f aca="false">H295+I295+J295+K295</f>
        <v>0</v>
      </c>
      <c r="M295" s="16" t="str">
        <f aca="false">IF(L295&gt;=60,"High",IF(L295&gt;=30,"Medium","Low"))</f>
        <v>Low</v>
      </c>
    </row>
    <row r="296" customFormat="false" ht="15" hidden="false" customHeight="false" outlineLevel="0" collapsed="false">
      <c r="A296" s="16" t="str">
        <f aca="false">Payment_Log_AP!A293</f>
        <v>PAY40292</v>
      </c>
      <c r="B296" s="16" t="str">
        <f aca="false">Payment_Log_AP!C293</f>
        <v>V1031</v>
      </c>
      <c r="C296" s="16" t="str">
        <f aca="false">IFERROR(INDEX(Vendor_Master!$B$2:$B$41,MATCH(B296,Vendor_Master!$A$2:$A$41,0)),"Unknown Vendor")</f>
        <v>Harrell LLC</v>
      </c>
      <c r="D296" s="16" t="str">
        <f aca="false">IFERROR(INDEX(Vendor_Master!$D$2:$D$41,MATCH(B296,Vendor_Master!$A$2:$A$41,0)),"Unknown")</f>
        <v>Canada</v>
      </c>
      <c r="E296" s="17" t="n">
        <f aca="false">IFERROR(INDEX(Vendor_Master!$E$2:$E$41,MATCH(B296,Vendor_Master!$A$2:$A$41,0)),"")</f>
        <v>45364</v>
      </c>
      <c r="F296" s="17" t="n">
        <f aca="false">Payment_Log_AP!D293</f>
        <v>45990</v>
      </c>
      <c r="G296" s="18" t="n">
        <f aca="false">Payment_Log_AP!E293</f>
        <v>1093.64</v>
      </c>
      <c r="H296" s="16" t="n">
        <f aca="false">IF(G296&gt;=Assumptions!$B$7,40,IF(G296&gt;=Assumptions!$B$8,20,0))</f>
        <v>0</v>
      </c>
      <c r="I296" s="16" t="n">
        <f aca="false">IF(MOD(G296,500)=0,20,IF(MOD(G296,100)=0,10,0))</f>
        <v>0</v>
      </c>
      <c r="J296" s="16" t="n">
        <f aca="false">IF(AND(E296&lt;&gt;"",F296-E296&lt;=Assumptions!$B$9),25,0)</f>
        <v>0</v>
      </c>
      <c r="K296" s="16" t="n">
        <f aca="false">IF(ISNUMBER(SEARCH(D296,Assumptions!$B$10)),15,0)</f>
        <v>0</v>
      </c>
      <c r="L296" s="16" t="n">
        <f aca="false">H296+I296+J296+K296</f>
        <v>0</v>
      </c>
      <c r="M296" s="16" t="str">
        <f aca="false">IF(L296&gt;=60,"High",IF(L296&gt;=30,"Medium","Low"))</f>
        <v>Low</v>
      </c>
    </row>
    <row r="297" customFormat="false" ht="15" hidden="false" customHeight="false" outlineLevel="0" collapsed="false">
      <c r="A297" s="16" t="str">
        <f aca="false">Payment_Log_AP!A294</f>
        <v>PAY40293</v>
      </c>
      <c r="B297" s="16" t="str">
        <f aca="false">Payment_Log_AP!C294</f>
        <v>V1038</v>
      </c>
      <c r="C297" s="16" t="str">
        <f aca="false">IFERROR(INDEX(Vendor_Master!$B$2:$B$41,MATCH(B297,Vendor_Master!$A$2:$A$41,0)),"Unknown Vendor")</f>
        <v>Rose-Obrien</v>
      </c>
      <c r="D297" s="16" t="str">
        <f aca="false">IFERROR(INDEX(Vendor_Master!$D$2:$D$41,MATCH(B297,Vendor_Master!$A$2:$A$41,0)),"Unknown")</f>
        <v>USA</v>
      </c>
      <c r="E297" s="17" t="n">
        <f aca="false">IFERROR(INDEX(Vendor_Master!$E$2:$E$41,MATCH(B297,Vendor_Master!$A$2:$A$41,0)),"")</f>
        <v>45431</v>
      </c>
      <c r="F297" s="17" t="n">
        <f aca="false">Payment_Log_AP!D294</f>
        <v>45861</v>
      </c>
      <c r="G297" s="18" t="n">
        <f aca="false">Payment_Log_AP!E294</f>
        <v>1134.36</v>
      </c>
      <c r="H297" s="16" t="n">
        <f aca="false">IF(G297&gt;=Assumptions!$B$7,40,IF(G297&gt;=Assumptions!$B$8,20,0))</f>
        <v>0</v>
      </c>
      <c r="I297" s="16" t="n">
        <f aca="false">IF(MOD(G297,500)=0,20,IF(MOD(G297,100)=0,10,0))</f>
        <v>0</v>
      </c>
      <c r="J297" s="16" t="n">
        <f aca="false">IF(AND(E297&lt;&gt;"",F297-E297&lt;=Assumptions!$B$9),25,0)</f>
        <v>0</v>
      </c>
      <c r="K297" s="16" t="n">
        <f aca="false">IF(ISNUMBER(SEARCH(D297,Assumptions!$B$10)),15,0)</f>
        <v>0</v>
      </c>
      <c r="L297" s="16" t="n">
        <f aca="false">H297+I297+J297+K297</f>
        <v>0</v>
      </c>
      <c r="M297" s="16" t="str">
        <f aca="false">IF(L297&gt;=60,"High",IF(L297&gt;=30,"Medium","Low"))</f>
        <v>Low</v>
      </c>
    </row>
    <row r="298" customFormat="false" ht="15" hidden="false" customHeight="false" outlineLevel="0" collapsed="false">
      <c r="A298" s="16" t="str">
        <f aca="false">Payment_Log_AP!A295</f>
        <v>PAY40294</v>
      </c>
      <c r="B298" s="16" t="str">
        <f aca="false">Payment_Log_AP!C295</f>
        <v>V1009</v>
      </c>
      <c r="C298" s="16" t="str">
        <f aca="false">IFERROR(INDEX(Vendor_Master!$B$2:$B$41,MATCH(B298,Vendor_Master!$A$2:$A$41,0)),"Unknown Vendor")</f>
        <v>Munoz-Roman</v>
      </c>
      <c r="D298" s="16" t="str">
        <f aca="false">IFERROR(INDEX(Vendor_Master!$D$2:$D$41,MATCH(B298,Vendor_Master!$A$2:$A$41,0)),"Unknown")</f>
        <v>India</v>
      </c>
      <c r="E298" s="17" t="n">
        <f aca="false">IFERROR(INDEX(Vendor_Master!$E$2:$E$41,MATCH(B298,Vendor_Master!$A$2:$A$41,0)),"")</f>
        <v>45129</v>
      </c>
      <c r="F298" s="17" t="n">
        <f aca="false">Payment_Log_AP!D295</f>
        <v>46016</v>
      </c>
      <c r="G298" s="18" t="n">
        <f aca="false">Payment_Log_AP!E295</f>
        <v>4424.59</v>
      </c>
      <c r="H298" s="16" t="n">
        <f aca="false">IF(G298&gt;=Assumptions!$B$7,40,IF(G298&gt;=Assumptions!$B$8,20,0))</f>
        <v>0</v>
      </c>
      <c r="I298" s="16" t="n">
        <f aca="false">IF(MOD(G298,500)=0,20,IF(MOD(G298,100)=0,10,0))</f>
        <v>0</v>
      </c>
      <c r="J298" s="16" t="n">
        <f aca="false">IF(AND(E298&lt;&gt;"",F298-E298&lt;=Assumptions!$B$9),25,0)</f>
        <v>0</v>
      </c>
      <c r="K298" s="16" t="n">
        <f aca="false">IF(ISNUMBER(SEARCH(D298,Assumptions!$B$10)),15,0)</f>
        <v>15</v>
      </c>
      <c r="L298" s="16" t="n">
        <f aca="false">H298+I298+J298+K298</f>
        <v>15</v>
      </c>
      <c r="M298" s="16" t="str">
        <f aca="false">IF(L298&gt;=60,"High",IF(L298&gt;=30,"Medium","Low"))</f>
        <v>Low</v>
      </c>
    </row>
    <row r="299" customFormat="false" ht="15" hidden="false" customHeight="false" outlineLevel="0" collapsed="false">
      <c r="A299" s="16" t="str">
        <f aca="false">Payment_Log_AP!A296</f>
        <v>PAY40295</v>
      </c>
      <c r="B299" s="16" t="str">
        <f aca="false">Payment_Log_AP!C296</f>
        <v>V1006</v>
      </c>
      <c r="C299" s="16" t="str">
        <f aca="false">IFERROR(INDEX(Vendor_Master!$B$2:$B$41,MATCH(B299,Vendor_Master!$A$2:$A$41,0)),"Unknown Vendor")</f>
        <v>Blake and Sons</v>
      </c>
      <c r="D299" s="16" t="str">
        <f aca="false">IFERROR(INDEX(Vendor_Master!$D$2:$D$41,MATCH(B299,Vendor_Master!$A$2:$A$41,0)),"Unknown")</f>
        <v>UK</v>
      </c>
      <c r="E299" s="17" t="n">
        <f aca="false">IFERROR(INDEX(Vendor_Master!$E$2:$E$41,MATCH(B299,Vendor_Master!$A$2:$A$41,0)),"")</f>
        <v>45841</v>
      </c>
      <c r="F299" s="17" t="n">
        <f aca="false">Payment_Log_AP!D296</f>
        <v>45799</v>
      </c>
      <c r="G299" s="18" t="n">
        <f aca="false">Payment_Log_AP!E296</f>
        <v>606.42</v>
      </c>
      <c r="H299" s="16" t="n">
        <f aca="false">IF(G299&gt;=Assumptions!$B$7,40,IF(G299&gt;=Assumptions!$B$8,20,0))</f>
        <v>0</v>
      </c>
      <c r="I299" s="16" t="n">
        <f aca="false">IF(MOD(G299,500)=0,20,IF(MOD(G299,100)=0,10,0))</f>
        <v>0</v>
      </c>
      <c r="J299" s="16" t="n">
        <f aca="false">IF(AND(E299&lt;&gt;"",F299-E299&lt;=Assumptions!$B$9),25,0)</f>
        <v>25</v>
      </c>
      <c r="K299" s="16" t="n">
        <f aca="false">IF(ISNUMBER(SEARCH(D299,Assumptions!$B$10)),15,0)</f>
        <v>0</v>
      </c>
      <c r="L299" s="16" t="n">
        <f aca="false">H299+I299+J299+K299</f>
        <v>25</v>
      </c>
      <c r="M299" s="16" t="str">
        <f aca="false">IF(L299&gt;=60,"High",IF(L299&gt;=30,"Medium","Low"))</f>
        <v>Low</v>
      </c>
    </row>
    <row r="300" customFormat="false" ht="15" hidden="false" customHeight="false" outlineLevel="0" collapsed="false">
      <c r="A300" s="16" t="str">
        <f aca="false">Payment_Log_AP!A297</f>
        <v>PAY40296</v>
      </c>
      <c r="B300" s="16" t="str">
        <f aca="false">Payment_Log_AP!C297</f>
        <v>V1002</v>
      </c>
      <c r="C300" s="16" t="str">
        <f aca="false">IFERROR(INDEX(Vendor_Master!$B$2:$B$41,MATCH(B300,Vendor_Master!$A$2:$A$41,0)),"Unknown Vendor")</f>
        <v>Garcia, Yang and Gardner</v>
      </c>
      <c r="D300" s="16" t="str">
        <f aca="false">IFERROR(INDEX(Vendor_Master!$D$2:$D$41,MATCH(B300,Vendor_Master!$A$2:$A$41,0)),"Unknown")</f>
        <v>UK</v>
      </c>
      <c r="E300" s="17" t="n">
        <f aca="false">IFERROR(INDEX(Vendor_Master!$E$2:$E$41,MATCH(B300,Vendor_Master!$A$2:$A$41,0)),"")</f>
        <v>44914</v>
      </c>
      <c r="F300" s="17" t="n">
        <f aca="false">Payment_Log_AP!D297</f>
        <v>45976</v>
      </c>
      <c r="G300" s="18" t="n">
        <f aca="false">Payment_Log_AP!E297</f>
        <v>1652.62</v>
      </c>
      <c r="H300" s="16" t="n">
        <f aca="false">IF(G300&gt;=Assumptions!$B$7,40,IF(G300&gt;=Assumptions!$B$8,20,0))</f>
        <v>0</v>
      </c>
      <c r="I300" s="16" t="n">
        <f aca="false">IF(MOD(G300,500)=0,20,IF(MOD(G300,100)=0,10,0))</f>
        <v>0</v>
      </c>
      <c r="J300" s="16" t="n">
        <f aca="false">IF(AND(E300&lt;&gt;"",F300-E300&lt;=Assumptions!$B$9),25,0)</f>
        <v>0</v>
      </c>
      <c r="K300" s="16" t="n">
        <f aca="false">IF(ISNUMBER(SEARCH(D300,Assumptions!$B$10)),15,0)</f>
        <v>0</v>
      </c>
      <c r="L300" s="16" t="n">
        <f aca="false">H300+I300+J300+K300</f>
        <v>0</v>
      </c>
      <c r="M300" s="16" t="str">
        <f aca="false">IF(L300&gt;=60,"High",IF(L300&gt;=30,"Medium","Low"))</f>
        <v>Low</v>
      </c>
    </row>
    <row r="301" customFormat="false" ht="15" hidden="false" customHeight="false" outlineLevel="0" collapsed="false">
      <c r="A301" s="16" t="str">
        <f aca="false">Payment_Log_AP!A298</f>
        <v>PAY40297</v>
      </c>
      <c r="B301" s="16" t="str">
        <f aca="false">Payment_Log_AP!C298</f>
        <v>V1012</v>
      </c>
      <c r="C301" s="16" t="str">
        <f aca="false">IFERROR(INDEX(Vendor_Master!$B$2:$B$41,MATCH(B301,Vendor_Master!$A$2:$A$41,0)),"Unknown Vendor")</f>
        <v>Stanley LLC</v>
      </c>
      <c r="D301" s="16" t="str">
        <f aca="false">IFERROR(INDEX(Vendor_Master!$D$2:$D$41,MATCH(B301,Vendor_Master!$A$2:$A$41,0)),"Unknown")</f>
        <v>India</v>
      </c>
      <c r="E301" s="17" t="n">
        <f aca="false">IFERROR(INDEX(Vendor_Master!$E$2:$E$41,MATCH(B301,Vendor_Master!$A$2:$A$41,0)),"")</f>
        <v>45675</v>
      </c>
      <c r="F301" s="17" t="n">
        <f aca="false">Payment_Log_AP!D298</f>
        <v>45923</v>
      </c>
      <c r="G301" s="18" t="n">
        <f aca="false">Payment_Log_AP!E298</f>
        <v>609.35</v>
      </c>
      <c r="H301" s="16" t="n">
        <f aca="false">IF(G301&gt;=Assumptions!$B$7,40,IF(G301&gt;=Assumptions!$B$8,20,0))</f>
        <v>0</v>
      </c>
      <c r="I301" s="16" t="n">
        <f aca="false">IF(MOD(G301,500)=0,20,IF(MOD(G301,100)=0,10,0))</f>
        <v>0</v>
      </c>
      <c r="J301" s="16" t="n">
        <f aca="false">IF(AND(E301&lt;&gt;"",F301-E301&lt;=Assumptions!$B$9),25,0)</f>
        <v>0</v>
      </c>
      <c r="K301" s="16" t="n">
        <f aca="false">IF(ISNUMBER(SEARCH(D301,Assumptions!$B$10)),15,0)</f>
        <v>15</v>
      </c>
      <c r="L301" s="16" t="n">
        <f aca="false">H301+I301+J301+K301</f>
        <v>15</v>
      </c>
      <c r="M301" s="16" t="str">
        <f aca="false">IF(L301&gt;=60,"High",IF(L301&gt;=30,"Medium","Low"))</f>
        <v>Low</v>
      </c>
    </row>
    <row r="302" customFormat="false" ht="15" hidden="false" customHeight="false" outlineLevel="0" collapsed="false">
      <c r="A302" s="16" t="str">
        <f aca="false">Payment_Log_AP!A299</f>
        <v>PAY40298</v>
      </c>
      <c r="B302" s="16" t="str">
        <f aca="false">Payment_Log_AP!C299</f>
        <v>V1011</v>
      </c>
      <c r="C302" s="16" t="str">
        <f aca="false">IFERROR(INDEX(Vendor_Master!$B$2:$B$41,MATCH(B302,Vendor_Master!$A$2:$A$41,0)),"Unknown Vendor")</f>
        <v>Montgomery, Hensley and Ray</v>
      </c>
      <c r="D302" s="16" t="str">
        <f aca="false">IFERROR(INDEX(Vendor_Master!$D$2:$D$41,MATCH(B302,Vendor_Master!$A$2:$A$41,0)),"Unknown")</f>
        <v>USA</v>
      </c>
      <c r="E302" s="17" t="n">
        <f aca="false">IFERROR(INDEX(Vendor_Master!$E$2:$E$41,MATCH(B302,Vendor_Master!$A$2:$A$41,0)),"")</f>
        <v>45025</v>
      </c>
      <c r="F302" s="17" t="n">
        <f aca="false">Payment_Log_AP!D299</f>
        <v>45928</v>
      </c>
      <c r="G302" s="18" t="n">
        <f aca="false">Payment_Log_AP!E299</f>
        <v>1216.45</v>
      </c>
      <c r="H302" s="16" t="n">
        <f aca="false">IF(G302&gt;=Assumptions!$B$7,40,IF(G302&gt;=Assumptions!$B$8,20,0))</f>
        <v>0</v>
      </c>
      <c r="I302" s="16" t="n">
        <f aca="false">IF(MOD(G302,500)=0,20,IF(MOD(G302,100)=0,10,0))</f>
        <v>0</v>
      </c>
      <c r="J302" s="16" t="n">
        <f aca="false">IF(AND(E302&lt;&gt;"",F302-E302&lt;=Assumptions!$B$9),25,0)</f>
        <v>0</v>
      </c>
      <c r="K302" s="16" t="n">
        <f aca="false">IF(ISNUMBER(SEARCH(D302,Assumptions!$B$10)),15,0)</f>
        <v>0</v>
      </c>
      <c r="L302" s="16" t="n">
        <f aca="false">H302+I302+J302+K302</f>
        <v>0</v>
      </c>
      <c r="M302" s="16" t="str">
        <f aca="false">IF(L302&gt;=60,"High",IF(L302&gt;=30,"Medium","Low"))</f>
        <v>Low</v>
      </c>
    </row>
    <row r="303" customFormat="false" ht="15" hidden="false" customHeight="false" outlineLevel="0" collapsed="false">
      <c r="A303" s="16" t="str">
        <f aca="false">Payment_Log_AP!A300</f>
        <v>PAY40299</v>
      </c>
      <c r="B303" s="16" t="str">
        <f aca="false">Payment_Log_AP!C300</f>
        <v>V1037</v>
      </c>
      <c r="C303" s="16" t="str">
        <f aca="false">IFERROR(INDEX(Vendor_Master!$B$2:$B$41,MATCH(B303,Vendor_Master!$A$2:$A$41,0)),"Unknown Vendor")</f>
        <v>Cannon, Anderson and Alvarez</v>
      </c>
      <c r="D303" s="16" t="str">
        <f aca="false">IFERROR(INDEX(Vendor_Master!$D$2:$D$41,MATCH(B303,Vendor_Master!$A$2:$A$41,0)),"Unknown")</f>
        <v>India</v>
      </c>
      <c r="E303" s="17" t="n">
        <f aca="false">IFERROR(INDEX(Vendor_Master!$E$2:$E$41,MATCH(B303,Vendor_Master!$A$2:$A$41,0)),"")</f>
        <v>46108</v>
      </c>
      <c r="F303" s="17" t="n">
        <f aca="false">Payment_Log_AP!D300</f>
        <v>46164</v>
      </c>
      <c r="G303" s="18" t="n">
        <f aca="false">Payment_Log_AP!E300</f>
        <v>3585.97</v>
      </c>
      <c r="H303" s="16" t="n">
        <f aca="false">IF(G303&gt;=Assumptions!$B$7,40,IF(G303&gt;=Assumptions!$B$8,20,0))</f>
        <v>0</v>
      </c>
      <c r="I303" s="16" t="n">
        <f aca="false">IF(MOD(G303,500)=0,20,IF(MOD(G303,100)=0,10,0))</f>
        <v>0</v>
      </c>
      <c r="J303" s="16" t="n">
        <f aca="false">IF(AND(E303&lt;&gt;"",F303-E303&lt;=Assumptions!$B$9),25,0)</f>
        <v>25</v>
      </c>
      <c r="K303" s="16" t="n">
        <f aca="false">IF(ISNUMBER(SEARCH(D303,Assumptions!$B$10)),15,0)</f>
        <v>15</v>
      </c>
      <c r="L303" s="16" t="n">
        <f aca="false">H303+I303+J303+K303</f>
        <v>40</v>
      </c>
      <c r="M303" s="16" t="str">
        <f aca="false">IF(L303&gt;=60,"High",IF(L303&gt;=30,"Medium","Low"))</f>
        <v>Medium</v>
      </c>
    </row>
    <row r="304" customFormat="false" ht="15" hidden="false" customHeight="false" outlineLevel="0" collapsed="false">
      <c r="A304" s="16" t="str">
        <f aca="false">Payment_Log_AP!A301</f>
        <v>PAY40300</v>
      </c>
      <c r="B304" s="16" t="str">
        <f aca="false">Payment_Log_AP!C301</f>
        <v>V1006</v>
      </c>
      <c r="C304" s="16" t="str">
        <f aca="false">IFERROR(INDEX(Vendor_Master!$B$2:$B$41,MATCH(B304,Vendor_Master!$A$2:$A$41,0)),"Unknown Vendor")</f>
        <v>Blake and Sons</v>
      </c>
      <c r="D304" s="16" t="str">
        <f aca="false">IFERROR(INDEX(Vendor_Master!$D$2:$D$41,MATCH(B304,Vendor_Master!$A$2:$A$41,0)),"Unknown")</f>
        <v>UK</v>
      </c>
      <c r="E304" s="17" t="n">
        <f aca="false">IFERROR(INDEX(Vendor_Master!$E$2:$E$41,MATCH(B304,Vendor_Master!$A$2:$A$41,0)),"")</f>
        <v>45841</v>
      </c>
      <c r="F304" s="17" t="n">
        <f aca="false">Payment_Log_AP!D301</f>
        <v>45874</v>
      </c>
      <c r="G304" s="18" t="n">
        <f aca="false">Payment_Log_AP!E301</f>
        <v>5413.88</v>
      </c>
      <c r="H304" s="16" t="n">
        <f aca="false">IF(G304&gt;=Assumptions!$B$7,40,IF(G304&gt;=Assumptions!$B$8,20,0))</f>
        <v>20</v>
      </c>
      <c r="I304" s="16" t="n">
        <f aca="false">IF(MOD(G304,500)=0,20,IF(MOD(G304,100)=0,10,0))</f>
        <v>0</v>
      </c>
      <c r="J304" s="16" t="n">
        <f aca="false">IF(AND(E304&lt;&gt;"",F304-E304&lt;=Assumptions!$B$9),25,0)</f>
        <v>25</v>
      </c>
      <c r="K304" s="16" t="n">
        <f aca="false">IF(ISNUMBER(SEARCH(D304,Assumptions!$B$10)),15,0)</f>
        <v>0</v>
      </c>
      <c r="L304" s="16" t="n">
        <f aca="false">H304+I304+J304+K304</f>
        <v>45</v>
      </c>
      <c r="M304" s="16" t="str">
        <f aca="false">IF(L304&gt;=60,"High",IF(L304&gt;=30,"Medium","Low"))</f>
        <v>Medium</v>
      </c>
    </row>
    <row r="305" customFormat="false" ht="15" hidden="false" customHeight="false" outlineLevel="0" collapsed="false">
      <c r="A305" s="16" t="str">
        <f aca="false">Payment_Log_AP!A302</f>
        <v>PAY40301</v>
      </c>
      <c r="B305" s="16" t="str">
        <f aca="false">Payment_Log_AP!C302</f>
        <v>V1029</v>
      </c>
      <c r="C305" s="16" t="str">
        <f aca="false">IFERROR(INDEX(Vendor_Master!$B$2:$B$41,MATCH(B305,Vendor_Master!$A$2:$A$41,0)),"Unknown Vendor")</f>
        <v>Chavez Ltd</v>
      </c>
      <c r="D305" s="16" t="str">
        <f aca="false">IFERROR(INDEX(Vendor_Master!$D$2:$D$41,MATCH(B305,Vendor_Master!$A$2:$A$41,0)),"Unknown")</f>
        <v>Singapore</v>
      </c>
      <c r="E305" s="17" t="n">
        <f aca="false">IFERROR(INDEX(Vendor_Master!$E$2:$E$41,MATCH(B305,Vendor_Master!$A$2:$A$41,0)),"")</f>
        <v>45026</v>
      </c>
      <c r="F305" s="17" t="n">
        <f aca="false">Payment_Log_AP!D302</f>
        <v>46042</v>
      </c>
      <c r="G305" s="18" t="n">
        <f aca="false">Payment_Log_AP!E302</f>
        <v>4075.62</v>
      </c>
      <c r="H305" s="16" t="n">
        <f aca="false">IF(G305&gt;=Assumptions!$B$7,40,IF(G305&gt;=Assumptions!$B$8,20,0))</f>
        <v>0</v>
      </c>
      <c r="I305" s="16" t="n">
        <f aca="false">IF(MOD(G305,500)=0,20,IF(MOD(G305,100)=0,10,0))</f>
        <v>0</v>
      </c>
      <c r="J305" s="16" t="n">
        <f aca="false">IF(AND(E305&lt;&gt;"",F305-E305&lt;=Assumptions!$B$9),25,0)</f>
        <v>0</v>
      </c>
      <c r="K305" s="16" t="n">
        <f aca="false">IF(ISNUMBER(SEARCH(D305,Assumptions!$B$10)),15,0)</f>
        <v>15</v>
      </c>
      <c r="L305" s="16" t="n">
        <f aca="false">H305+I305+J305+K305</f>
        <v>15</v>
      </c>
      <c r="M305" s="16" t="str">
        <f aca="false">IF(L305&gt;=60,"High",IF(L305&gt;=30,"Medium","Low"))</f>
        <v>Low</v>
      </c>
    </row>
    <row r="306" customFormat="false" ht="15" hidden="false" customHeight="false" outlineLevel="0" collapsed="false">
      <c r="A306" s="16" t="str">
        <f aca="false">Payment_Log_AP!A303</f>
        <v>PAY40302</v>
      </c>
      <c r="B306" s="16" t="str">
        <f aca="false">Payment_Log_AP!C303</f>
        <v>V1037</v>
      </c>
      <c r="C306" s="16" t="str">
        <f aca="false">IFERROR(INDEX(Vendor_Master!$B$2:$B$41,MATCH(B306,Vendor_Master!$A$2:$A$41,0)),"Unknown Vendor")</f>
        <v>Cannon, Anderson and Alvarez</v>
      </c>
      <c r="D306" s="16" t="str">
        <f aca="false">IFERROR(INDEX(Vendor_Master!$D$2:$D$41,MATCH(B306,Vendor_Master!$A$2:$A$41,0)),"Unknown")</f>
        <v>India</v>
      </c>
      <c r="E306" s="17" t="n">
        <f aca="false">IFERROR(INDEX(Vendor_Master!$E$2:$E$41,MATCH(B306,Vendor_Master!$A$2:$A$41,0)),"")</f>
        <v>46108</v>
      </c>
      <c r="F306" s="17" t="n">
        <f aca="false">Payment_Log_AP!D303</f>
        <v>46027</v>
      </c>
      <c r="G306" s="18" t="n">
        <f aca="false">Payment_Log_AP!E303</f>
        <v>674.21</v>
      </c>
      <c r="H306" s="16" t="n">
        <f aca="false">IF(G306&gt;=Assumptions!$B$7,40,IF(G306&gt;=Assumptions!$B$8,20,0))</f>
        <v>0</v>
      </c>
      <c r="I306" s="16" t="n">
        <f aca="false">IF(MOD(G306,500)=0,20,IF(MOD(G306,100)=0,10,0))</f>
        <v>0</v>
      </c>
      <c r="J306" s="16" t="n">
        <f aca="false">IF(AND(E306&lt;&gt;"",F306-E306&lt;=Assumptions!$B$9),25,0)</f>
        <v>25</v>
      </c>
      <c r="K306" s="16" t="n">
        <f aca="false">IF(ISNUMBER(SEARCH(D306,Assumptions!$B$10)),15,0)</f>
        <v>15</v>
      </c>
      <c r="L306" s="16" t="n">
        <f aca="false">H306+I306+J306+K306</f>
        <v>40</v>
      </c>
      <c r="M306" s="16" t="str">
        <f aca="false">IF(L306&gt;=60,"High",IF(L306&gt;=30,"Medium","Low"))</f>
        <v>Medium</v>
      </c>
    </row>
    <row r="307" customFormat="false" ht="15" hidden="false" customHeight="false" outlineLevel="0" collapsed="false">
      <c r="A307" s="16" t="str">
        <f aca="false">Payment_Log_AP!A304</f>
        <v>PAY40303</v>
      </c>
      <c r="B307" s="16" t="str">
        <f aca="false">Payment_Log_AP!C304</f>
        <v>V1007</v>
      </c>
      <c r="C307" s="16" t="str">
        <f aca="false">IFERROR(INDEX(Vendor_Master!$B$2:$B$41,MATCH(B307,Vendor_Master!$A$2:$A$41,0)),"Unknown Vendor")</f>
        <v>Ramirez-Lewis</v>
      </c>
      <c r="D307" s="16" t="str">
        <f aca="false">IFERROR(INDEX(Vendor_Master!$D$2:$D$41,MATCH(B307,Vendor_Master!$A$2:$A$41,0)),"Unknown")</f>
        <v>Germany</v>
      </c>
      <c r="E307" s="17" t="n">
        <f aca="false">IFERROR(INDEX(Vendor_Master!$E$2:$E$41,MATCH(B307,Vendor_Master!$A$2:$A$41,0)),"")</f>
        <v>45665</v>
      </c>
      <c r="F307" s="17" t="n">
        <f aca="false">Payment_Log_AP!D304</f>
        <v>46085</v>
      </c>
      <c r="G307" s="18" t="n">
        <f aca="false">Payment_Log_AP!E304</f>
        <v>1314.98</v>
      </c>
      <c r="H307" s="16" t="n">
        <f aca="false">IF(G307&gt;=Assumptions!$B$7,40,IF(G307&gt;=Assumptions!$B$8,20,0))</f>
        <v>0</v>
      </c>
      <c r="I307" s="16" t="n">
        <f aca="false">IF(MOD(G307,500)=0,20,IF(MOD(G307,100)=0,10,0))</f>
        <v>0</v>
      </c>
      <c r="J307" s="16" t="n">
        <f aca="false">IF(AND(E307&lt;&gt;"",F307-E307&lt;=Assumptions!$B$9),25,0)</f>
        <v>0</v>
      </c>
      <c r="K307" s="16" t="n">
        <f aca="false">IF(ISNUMBER(SEARCH(D307,Assumptions!$B$10)),15,0)</f>
        <v>0</v>
      </c>
      <c r="L307" s="16" t="n">
        <f aca="false">H307+I307+J307+K307</f>
        <v>0</v>
      </c>
      <c r="M307" s="16" t="str">
        <f aca="false">IF(L307&gt;=60,"High",IF(L307&gt;=30,"Medium","Low"))</f>
        <v>Low</v>
      </c>
    </row>
    <row r="308" customFormat="false" ht="15" hidden="false" customHeight="false" outlineLevel="0" collapsed="false">
      <c r="A308" s="16" t="str">
        <f aca="false">Payment_Log_AP!A305</f>
        <v>PAY40304</v>
      </c>
      <c r="B308" s="16" t="str">
        <f aca="false">Payment_Log_AP!C305</f>
        <v>V1007</v>
      </c>
      <c r="C308" s="16" t="str">
        <f aca="false">IFERROR(INDEX(Vendor_Master!$B$2:$B$41,MATCH(B308,Vendor_Master!$A$2:$A$41,0)),"Unknown Vendor")</f>
        <v>Ramirez-Lewis</v>
      </c>
      <c r="D308" s="16" t="str">
        <f aca="false">IFERROR(INDEX(Vendor_Master!$D$2:$D$41,MATCH(B308,Vendor_Master!$A$2:$A$41,0)),"Unknown")</f>
        <v>Germany</v>
      </c>
      <c r="E308" s="17" t="n">
        <f aca="false">IFERROR(INDEX(Vendor_Master!$E$2:$E$41,MATCH(B308,Vendor_Master!$A$2:$A$41,0)),"")</f>
        <v>45665</v>
      </c>
      <c r="F308" s="17" t="n">
        <f aca="false">Payment_Log_AP!D305</f>
        <v>46098</v>
      </c>
      <c r="G308" s="18" t="n">
        <f aca="false">Payment_Log_AP!E305</f>
        <v>1314.98</v>
      </c>
      <c r="H308" s="16" t="n">
        <f aca="false">IF(G308&gt;=Assumptions!$B$7,40,IF(G308&gt;=Assumptions!$B$8,20,0))</f>
        <v>0</v>
      </c>
      <c r="I308" s="16" t="n">
        <f aca="false">IF(MOD(G308,500)=0,20,IF(MOD(G308,100)=0,10,0))</f>
        <v>0</v>
      </c>
      <c r="J308" s="16" t="n">
        <f aca="false">IF(AND(E308&lt;&gt;"",F308-E308&lt;=Assumptions!$B$9),25,0)</f>
        <v>0</v>
      </c>
      <c r="K308" s="16" t="n">
        <f aca="false">IF(ISNUMBER(SEARCH(D308,Assumptions!$B$10)),15,0)</f>
        <v>0</v>
      </c>
      <c r="L308" s="16" t="n">
        <f aca="false">H308+I308+J308+K308</f>
        <v>0</v>
      </c>
      <c r="M308" s="16" t="str">
        <f aca="false">IF(L308&gt;=60,"High",IF(L308&gt;=30,"Medium","Low"))</f>
        <v>Low</v>
      </c>
    </row>
    <row r="309" customFormat="false" ht="15" hidden="false" customHeight="false" outlineLevel="0" collapsed="false">
      <c r="A309" s="16" t="str">
        <f aca="false">Payment_Log_AP!A306</f>
        <v>PAY40305</v>
      </c>
      <c r="B309" s="16" t="str">
        <f aca="false">Payment_Log_AP!C306</f>
        <v>V1040</v>
      </c>
      <c r="C309" s="16" t="str">
        <f aca="false">IFERROR(INDEX(Vendor_Master!$B$2:$B$41,MATCH(B309,Vendor_Master!$A$2:$A$41,0)),"Unknown Vendor")</f>
        <v>Santos, Kim and Holmes</v>
      </c>
      <c r="D309" s="16" t="str">
        <f aca="false">IFERROR(INDEX(Vendor_Master!$D$2:$D$41,MATCH(B309,Vendor_Master!$A$2:$A$41,0)),"Unknown")</f>
        <v>India</v>
      </c>
      <c r="E309" s="17" t="n">
        <f aca="false">IFERROR(INDEX(Vendor_Master!$E$2:$E$41,MATCH(B309,Vendor_Master!$A$2:$A$41,0)),"")</f>
        <v>45192</v>
      </c>
      <c r="F309" s="17" t="n">
        <f aca="false">Payment_Log_AP!D306</f>
        <v>45799</v>
      </c>
      <c r="G309" s="18" t="n">
        <f aca="false">Payment_Log_AP!E306</f>
        <v>427.04</v>
      </c>
      <c r="H309" s="16" t="n">
        <f aca="false">IF(G309&gt;=Assumptions!$B$7,40,IF(G309&gt;=Assumptions!$B$8,20,0))</f>
        <v>0</v>
      </c>
      <c r="I309" s="16" t="n">
        <f aca="false">IF(MOD(G309,500)=0,20,IF(MOD(G309,100)=0,10,0))</f>
        <v>0</v>
      </c>
      <c r="J309" s="16" t="n">
        <f aca="false">IF(AND(E309&lt;&gt;"",F309-E309&lt;=Assumptions!$B$9),25,0)</f>
        <v>0</v>
      </c>
      <c r="K309" s="16" t="n">
        <f aca="false">IF(ISNUMBER(SEARCH(D309,Assumptions!$B$10)),15,0)</f>
        <v>15</v>
      </c>
      <c r="L309" s="16" t="n">
        <f aca="false">H309+I309+J309+K309</f>
        <v>15</v>
      </c>
      <c r="M309" s="16" t="str">
        <f aca="false">IF(L309&gt;=60,"High",IF(L309&gt;=30,"Medium","Low"))</f>
        <v>Low</v>
      </c>
    </row>
    <row r="310" customFormat="false" ht="15" hidden="false" customHeight="false" outlineLevel="0" collapsed="false">
      <c r="A310" s="16" t="str">
        <f aca="false">Payment_Log_AP!A307</f>
        <v>PAY40306</v>
      </c>
      <c r="B310" s="16" t="str">
        <f aca="false">Payment_Log_AP!C307</f>
        <v>V1040</v>
      </c>
      <c r="C310" s="16" t="str">
        <f aca="false">IFERROR(INDEX(Vendor_Master!$B$2:$B$41,MATCH(B310,Vendor_Master!$A$2:$A$41,0)),"Unknown Vendor")</f>
        <v>Santos, Kim and Holmes</v>
      </c>
      <c r="D310" s="16" t="str">
        <f aca="false">IFERROR(INDEX(Vendor_Master!$D$2:$D$41,MATCH(B310,Vendor_Master!$A$2:$A$41,0)),"Unknown")</f>
        <v>India</v>
      </c>
      <c r="E310" s="17" t="n">
        <f aca="false">IFERROR(INDEX(Vendor_Master!$E$2:$E$41,MATCH(B310,Vendor_Master!$A$2:$A$41,0)),"")</f>
        <v>45192</v>
      </c>
      <c r="F310" s="17" t="n">
        <f aca="false">Payment_Log_AP!D307</f>
        <v>45794</v>
      </c>
      <c r="G310" s="18" t="n">
        <f aca="false">Payment_Log_AP!E307</f>
        <v>427.04</v>
      </c>
      <c r="H310" s="16" t="n">
        <f aca="false">IF(G310&gt;=Assumptions!$B$7,40,IF(G310&gt;=Assumptions!$B$8,20,0))</f>
        <v>0</v>
      </c>
      <c r="I310" s="16" t="n">
        <f aca="false">IF(MOD(G310,500)=0,20,IF(MOD(G310,100)=0,10,0))</f>
        <v>0</v>
      </c>
      <c r="J310" s="16" t="n">
        <f aca="false">IF(AND(E310&lt;&gt;"",F310-E310&lt;=Assumptions!$B$9),25,0)</f>
        <v>0</v>
      </c>
      <c r="K310" s="16" t="n">
        <f aca="false">IF(ISNUMBER(SEARCH(D310,Assumptions!$B$10)),15,0)</f>
        <v>15</v>
      </c>
      <c r="L310" s="16" t="n">
        <f aca="false">H310+I310+J310+K310</f>
        <v>15</v>
      </c>
      <c r="M310" s="16" t="str">
        <f aca="false">IF(L310&gt;=60,"High",IF(L310&gt;=30,"Medium","Low"))</f>
        <v>Low</v>
      </c>
    </row>
    <row r="311" customFormat="false" ht="15" hidden="false" customHeight="false" outlineLevel="0" collapsed="false">
      <c r="A311" s="16" t="str">
        <f aca="false">Payment_Log_AP!A308</f>
        <v>PAY40307</v>
      </c>
      <c r="B311" s="16" t="str">
        <f aca="false">Payment_Log_AP!C308</f>
        <v>V1003</v>
      </c>
      <c r="C311" s="16" t="str">
        <f aca="false">IFERROR(INDEX(Vendor_Master!$B$2:$B$41,MATCH(B311,Vendor_Master!$A$2:$A$41,0)),"Unknown Vendor")</f>
        <v>Johnson and Sons</v>
      </c>
      <c r="D311" s="16" t="str">
        <f aca="false">IFERROR(INDEX(Vendor_Master!$D$2:$D$41,MATCH(B311,Vendor_Master!$A$2:$A$41,0)),"Unknown")</f>
        <v>UAE</v>
      </c>
      <c r="E311" s="17" t="n">
        <f aca="false">IFERROR(INDEX(Vendor_Master!$E$2:$E$41,MATCH(B311,Vendor_Master!$A$2:$A$41,0)),"")</f>
        <v>45495</v>
      </c>
      <c r="F311" s="17" t="n">
        <f aca="false">Payment_Log_AP!D308</f>
        <v>45793</v>
      </c>
      <c r="G311" s="18" t="n">
        <f aca="false">Payment_Log_AP!E308</f>
        <v>1109.9</v>
      </c>
      <c r="H311" s="16" t="n">
        <f aca="false">IF(G311&gt;=Assumptions!$B$7,40,IF(G311&gt;=Assumptions!$B$8,20,0))</f>
        <v>0</v>
      </c>
      <c r="I311" s="16" t="n">
        <f aca="false">IF(MOD(G311,500)=0,20,IF(MOD(G311,100)=0,10,0))</f>
        <v>0</v>
      </c>
      <c r="J311" s="16" t="n">
        <f aca="false">IF(AND(E311&lt;&gt;"",F311-E311&lt;=Assumptions!$B$9),25,0)</f>
        <v>0</v>
      </c>
      <c r="K311" s="16" t="n">
        <f aca="false">IF(ISNUMBER(SEARCH(D311,Assumptions!$B$10)),15,0)</f>
        <v>15</v>
      </c>
      <c r="L311" s="16" t="n">
        <f aca="false">H311+I311+J311+K311</f>
        <v>15</v>
      </c>
      <c r="M311" s="16" t="str">
        <f aca="false">IF(L311&gt;=60,"High",IF(L311&gt;=30,"Medium","Low"))</f>
        <v>Low</v>
      </c>
    </row>
    <row r="312" customFormat="false" ht="15" hidden="false" customHeight="false" outlineLevel="0" collapsed="false">
      <c r="A312" s="16" t="str">
        <f aca="false">Payment_Log_AP!A309</f>
        <v>PAY40308</v>
      </c>
      <c r="B312" s="16" t="str">
        <f aca="false">Payment_Log_AP!C309</f>
        <v>V1001</v>
      </c>
      <c r="C312" s="16" t="str">
        <f aca="false">IFERROR(INDEX(Vendor_Master!$B$2:$B$41,MATCH(B312,Vendor_Master!$A$2:$A$41,0)),"Unknown Vendor")</f>
        <v>Figueroa and Sons</v>
      </c>
      <c r="D312" s="16" t="str">
        <f aca="false">IFERROR(INDEX(Vendor_Master!$D$2:$D$41,MATCH(B312,Vendor_Master!$A$2:$A$41,0)),"Unknown")</f>
        <v>USA</v>
      </c>
      <c r="E312" s="17" t="n">
        <f aca="false">IFERROR(INDEX(Vendor_Master!$E$2:$E$41,MATCH(B312,Vendor_Master!$A$2:$A$41,0)),"")</f>
        <v>45572</v>
      </c>
      <c r="F312" s="17" t="n">
        <f aca="false">Payment_Log_AP!D309</f>
        <v>46060</v>
      </c>
      <c r="G312" s="18" t="n">
        <f aca="false">Payment_Log_AP!E309</f>
        <v>3284.61</v>
      </c>
      <c r="H312" s="16" t="n">
        <f aca="false">IF(G312&gt;=Assumptions!$B$7,40,IF(G312&gt;=Assumptions!$B$8,20,0))</f>
        <v>0</v>
      </c>
      <c r="I312" s="16" t="n">
        <f aca="false">IF(MOD(G312,500)=0,20,IF(MOD(G312,100)=0,10,0))</f>
        <v>0</v>
      </c>
      <c r="J312" s="16" t="n">
        <f aca="false">IF(AND(E312&lt;&gt;"",F312-E312&lt;=Assumptions!$B$9),25,0)</f>
        <v>0</v>
      </c>
      <c r="K312" s="16" t="n">
        <f aca="false">IF(ISNUMBER(SEARCH(D312,Assumptions!$B$10)),15,0)</f>
        <v>0</v>
      </c>
      <c r="L312" s="16" t="n">
        <f aca="false">H312+I312+J312+K312</f>
        <v>0</v>
      </c>
      <c r="M312" s="16" t="str">
        <f aca="false">IF(L312&gt;=60,"High",IF(L312&gt;=30,"Medium","Low"))</f>
        <v>Low</v>
      </c>
    </row>
    <row r="313" customFormat="false" ht="15" hidden="false" customHeight="false" outlineLevel="0" collapsed="false">
      <c r="A313" s="16" t="str">
        <f aca="false">Payment_Log_AP!A310</f>
        <v>PAY40309</v>
      </c>
      <c r="B313" s="16" t="str">
        <f aca="false">Payment_Log_AP!C310</f>
        <v>V1028</v>
      </c>
      <c r="C313" s="16" t="str">
        <f aca="false">IFERROR(INDEX(Vendor_Master!$B$2:$B$41,MATCH(B313,Vendor_Master!$A$2:$A$41,0)),"Unknown Vendor")</f>
        <v>Potter, Mack and Peterson</v>
      </c>
      <c r="D313" s="16" t="str">
        <f aca="false">IFERROR(INDEX(Vendor_Master!$D$2:$D$41,MATCH(B313,Vendor_Master!$A$2:$A$41,0)),"Unknown")</f>
        <v>UK</v>
      </c>
      <c r="E313" s="17" t="n">
        <f aca="false">IFERROR(INDEX(Vendor_Master!$E$2:$E$41,MATCH(B313,Vendor_Master!$A$2:$A$41,0)),"")</f>
        <v>45639</v>
      </c>
      <c r="F313" s="17" t="n">
        <f aca="false">Payment_Log_AP!D310</f>
        <v>45783</v>
      </c>
      <c r="G313" s="18" t="n">
        <f aca="false">Payment_Log_AP!E310</f>
        <v>2187.07</v>
      </c>
      <c r="H313" s="16" t="n">
        <f aca="false">IF(G313&gt;=Assumptions!$B$7,40,IF(G313&gt;=Assumptions!$B$8,20,0))</f>
        <v>0</v>
      </c>
      <c r="I313" s="16" t="n">
        <f aca="false">IF(MOD(G313,500)=0,20,IF(MOD(G313,100)=0,10,0))</f>
        <v>0</v>
      </c>
      <c r="J313" s="16" t="n">
        <f aca="false">IF(AND(E313&lt;&gt;"",F313-E313&lt;=Assumptions!$B$9),25,0)</f>
        <v>25</v>
      </c>
      <c r="K313" s="16" t="n">
        <f aca="false">IF(ISNUMBER(SEARCH(D313,Assumptions!$B$10)),15,0)</f>
        <v>0</v>
      </c>
      <c r="L313" s="16" t="n">
        <f aca="false">H313+I313+J313+K313</f>
        <v>25</v>
      </c>
      <c r="M313" s="16" t="str">
        <f aca="false">IF(L313&gt;=60,"High",IF(L313&gt;=30,"Medium","Low"))</f>
        <v>Low</v>
      </c>
    </row>
    <row r="314" customFormat="false" ht="15" hidden="false" customHeight="false" outlineLevel="0" collapsed="false">
      <c r="A314" s="16" t="str">
        <f aca="false">Payment_Log_AP!A311</f>
        <v>PAY40310</v>
      </c>
      <c r="B314" s="16" t="str">
        <f aca="false">Payment_Log_AP!C311</f>
        <v>V1026</v>
      </c>
      <c r="C314" s="16" t="str">
        <f aca="false">IFERROR(INDEX(Vendor_Master!$B$2:$B$41,MATCH(B314,Vendor_Master!$A$2:$A$41,0)),"Unknown Vendor")</f>
        <v>James-Ferrell</v>
      </c>
      <c r="D314" s="16" t="str">
        <f aca="false">IFERROR(INDEX(Vendor_Master!$D$2:$D$41,MATCH(B314,Vendor_Master!$A$2:$A$41,0)),"Unknown")</f>
        <v>UAE</v>
      </c>
      <c r="E314" s="17" t="n">
        <f aca="false">IFERROR(INDEX(Vendor_Master!$E$2:$E$41,MATCH(B314,Vendor_Master!$A$2:$A$41,0)),"")</f>
        <v>45504</v>
      </c>
      <c r="F314" s="17" t="n">
        <f aca="false">Payment_Log_AP!D311</f>
        <v>45783</v>
      </c>
      <c r="G314" s="18" t="n">
        <f aca="false">Payment_Log_AP!E311</f>
        <v>4407.35</v>
      </c>
      <c r="H314" s="16" t="n">
        <f aca="false">IF(G314&gt;=Assumptions!$B$7,40,IF(G314&gt;=Assumptions!$B$8,20,0))</f>
        <v>0</v>
      </c>
      <c r="I314" s="16" t="n">
        <f aca="false">IF(MOD(G314,500)=0,20,IF(MOD(G314,100)=0,10,0))</f>
        <v>0</v>
      </c>
      <c r="J314" s="16" t="n">
        <f aca="false">IF(AND(E314&lt;&gt;"",F314-E314&lt;=Assumptions!$B$9),25,0)</f>
        <v>0</v>
      </c>
      <c r="K314" s="16" t="n">
        <f aca="false">IF(ISNUMBER(SEARCH(D314,Assumptions!$B$10)),15,0)</f>
        <v>15</v>
      </c>
      <c r="L314" s="16" t="n">
        <f aca="false">H314+I314+J314+K314</f>
        <v>15</v>
      </c>
      <c r="M314" s="16" t="str">
        <f aca="false">IF(L314&gt;=60,"High",IF(L314&gt;=30,"Medium","Low"))</f>
        <v>Low</v>
      </c>
    </row>
    <row r="315" customFormat="false" ht="15" hidden="false" customHeight="false" outlineLevel="0" collapsed="false">
      <c r="A315" s="16" t="str">
        <f aca="false">Payment_Log_AP!A312</f>
        <v>PAY40311</v>
      </c>
      <c r="B315" s="16" t="str">
        <f aca="false">Payment_Log_AP!C312</f>
        <v>V1024</v>
      </c>
      <c r="C315" s="16" t="str">
        <f aca="false">IFERROR(INDEX(Vendor_Master!$B$2:$B$41,MATCH(B315,Vendor_Master!$A$2:$A$41,0)),"Unknown Vendor")</f>
        <v>Campos Inc</v>
      </c>
      <c r="D315" s="16" t="str">
        <f aca="false">IFERROR(INDEX(Vendor_Master!$D$2:$D$41,MATCH(B315,Vendor_Master!$A$2:$A$41,0)),"Unknown")</f>
        <v>USA</v>
      </c>
      <c r="E315" s="17" t="n">
        <f aca="false">IFERROR(INDEX(Vendor_Master!$E$2:$E$41,MATCH(B315,Vendor_Master!$A$2:$A$41,0)),"")</f>
        <v>45367</v>
      </c>
      <c r="F315" s="17" t="n">
        <f aca="false">Payment_Log_AP!D312</f>
        <v>45713</v>
      </c>
      <c r="G315" s="18" t="n">
        <f aca="false">Payment_Log_AP!E312</f>
        <v>814.56</v>
      </c>
      <c r="H315" s="16" t="n">
        <f aca="false">IF(G315&gt;=Assumptions!$B$7,40,IF(G315&gt;=Assumptions!$B$8,20,0))</f>
        <v>0</v>
      </c>
      <c r="I315" s="16" t="n">
        <f aca="false">IF(MOD(G315,500)=0,20,IF(MOD(G315,100)=0,10,0))</f>
        <v>0</v>
      </c>
      <c r="J315" s="16" t="n">
        <f aca="false">IF(AND(E315&lt;&gt;"",F315-E315&lt;=Assumptions!$B$9),25,0)</f>
        <v>0</v>
      </c>
      <c r="K315" s="16" t="n">
        <f aca="false">IF(ISNUMBER(SEARCH(D315,Assumptions!$B$10)),15,0)</f>
        <v>0</v>
      </c>
      <c r="L315" s="16" t="n">
        <f aca="false">H315+I315+J315+K315</f>
        <v>0</v>
      </c>
      <c r="M315" s="16" t="str">
        <f aca="false">IF(L315&gt;=60,"High",IF(L315&gt;=30,"Medium","Low"))</f>
        <v>Low</v>
      </c>
    </row>
    <row r="316" customFormat="false" ht="15" hidden="false" customHeight="false" outlineLevel="0" collapsed="false">
      <c r="A316" s="16" t="str">
        <f aca="false">Payment_Log_AP!A313</f>
        <v>PAY40312</v>
      </c>
      <c r="B316" s="16" t="str">
        <f aca="false">Payment_Log_AP!C313</f>
        <v>V1003</v>
      </c>
      <c r="C316" s="16" t="str">
        <f aca="false">IFERROR(INDEX(Vendor_Master!$B$2:$B$41,MATCH(B316,Vendor_Master!$A$2:$A$41,0)),"Unknown Vendor")</f>
        <v>Johnson and Sons</v>
      </c>
      <c r="D316" s="16" t="str">
        <f aca="false">IFERROR(INDEX(Vendor_Master!$D$2:$D$41,MATCH(B316,Vendor_Master!$A$2:$A$41,0)),"Unknown")</f>
        <v>UAE</v>
      </c>
      <c r="E316" s="17" t="n">
        <f aca="false">IFERROR(INDEX(Vendor_Master!$E$2:$E$41,MATCH(B316,Vendor_Master!$A$2:$A$41,0)),"")</f>
        <v>45495</v>
      </c>
      <c r="F316" s="17" t="n">
        <f aca="false">Payment_Log_AP!D313</f>
        <v>45673</v>
      </c>
      <c r="G316" s="18" t="n">
        <f aca="false">Payment_Log_AP!E313</f>
        <v>988.16</v>
      </c>
      <c r="H316" s="16" t="n">
        <f aca="false">IF(G316&gt;=Assumptions!$B$7,40,IF(G316&gt;=Assumptions!$B$8,20,0))</f>
        <v>0</v>
      </c>
      <c r="I316" s="16" t="n">
        <f aca="false">IF(MOD(G316,500)=0,20,IF(MOD(G316,100)=0,10,0))</f>
        <v>0</v>
      </c>
      <c r="J316" s="16" t="n">
        <f aca="false">IF(AND(E316&lt;&gt;"",F316-E316&lt;=Assumptions!$B$9),25,0)</f>
        <v>25</v>
      </c>
      <c r="K316" s="16" t="n">
        <f aca="false">IF(ISNUMBER(SEARCH(D316,Assumptions!$B$10)),15,0)</f>
        <v>15</v>
      </c>
      <c r="L316" s="16" t="n">
        <f aca="false">H316+I316+J316+K316</f>
        <v>40</v>
      </c>
      <c r="M316" s="16" t="str">
        <f aca="false">IF(L316&gt;=60,"High",IF(L316&gt;=30,"Medium","Low"))</f>
        <v>Medium</v>
      </c>
    </row>
    <row r="317" customFormat="false" ht="15" hidden="false" customHeight="false" outlineLevel="0" collapsed="false">
      <c r="A317" s="16" t="str">
        <f aca="false">Payment_Log_AP!A314</f>
        <v>PAY40313</v>
      </c>
      <c r="B317" s="16" t="str">
        <f aca="false">Payment_Log_AP!C314</f>
        <v>V1003</v>
      </c>
      <c r="C317" s="16" t="str">
        <f aca="false">IFERROR(INDEX(Vendor_Master!$B$2:$B$41,MATCH(B317,Vendor_Master!$A$2:$A$41,0)),"Unknown Vendor")</f>
        <v>Johnson and Sons</v>
      </c>
      <c r="D317" s="16" t="str">
        <f aca="false">IFERROR(INDEX(Vendor_Master!$D$2:$D$41,MATCH(B317,Vendor_Master!$A$2:$A$41,0)),"Unknown")</f>
        <v>UAE</v>
      </c>
      <c r="E317" s="17" t="n">
        <f aca="false">IFERROR(INDEX(Vendor_Master!$E$2:$E$41,MATCH(B317,Vendor_Master!$A$2:$A$41,0)),"")</f>
        <v>45495</v>
      </c>
      <c r="F317" s="17" t="n">
        <f aca="false">Payment_Log_AP!D314</f>
        <v>45924</v>
      </c>
      <c r="G317" s="18" t="n">
        <f aca="false">Payment_Log_AP!E314</f>
        <v>721.3</v>
      </c>
      <c r="H317" s="16" t="n">
        <f aca="false">IF(G317&gt;=Assumptions!$B$7,40,IF(G317&gt;=Assumptions!$B$8,20,0))</f>
        <v>0</v>
      </c>
      <c r="I317" s="16" t="n">
        <f aca="false">IF(MOD(G317,500)=0,20,IF(MOD(G317,100)=0,10,0))</f>
        <v>0</v>
      </c>
      <c r="J317" s="16" t="n">
        <f aca="false">IF(AND(E317&lt;&gt;"",F317-E317&lt;=Assumptions!$B$9),25,0)</f>
        <v>0</v>
      </c>
      <c r="K317" s="16" t="n">
        <f aca="false">IF(ISNUMBER(SEARCH(D317,Assumptions!$B$10)),15,0)</f>
        <v>15</v>
      </c>
      <c r="L317" s="16" t="n">
        <f aca="false">H317+I317+J317+K317</f>
        <v>15</v>
      </c>
      <c r="M317" s="16" t="str">
        <f aca="false">IF(L317&gt;=60,"High",IF(L317&gt;=30,"Medium","Low"))</f>
        <v>Low</v>
      </c>
    </row>
    <row r="318" customFormat="false" ht="15" hidden="false" customHeight="false" outlineLevel="0" collapsed="false">
      <c r="A318" s="16" t="str">
        <f aca="false">Payment_Log_AP!A315</f>
        <v>PAY40314</v>
      </c>
      <c r="B318" s="16" t="str">
        <f aca="false">Payment_Log_AP!C315</f>
        <v>V1004</v>
      </c>
      <c r="C318" s="16" t="str">
        <f aca="false">IFERROR(INDEX(Vendor_Master!$B$2:$B$41,MATCH(B318,Vendor_Master!$A$2:$A$41,0)),"Unknown Vendor")</f>
        <v>Johnson, Gonzalez and Santos</v>
      </c>
      <c r="D318" s="16" t="str">
        <f aca="false">IFERROR(INDEX(Vendor_Master!$D$2:$D$41,MATCH(B318,Vendor_Master!$A$2:$A$41,0)),"Unknown")</f>
        <v>Germany</v>
      </c>
      <c r="E318" s="17" t="n">
        <f aca="false">IFERROR(INDEX(Vendor_Master!$E$2:$E$41,MATCH(B318,Vendor_Master!$A$2:$A$41,0)),"")</f>
        <v>44929</v>
      </c>
      <c r="F318" s="17" t="n">
        <f aca="false">Payment_Log_AP!D315</f>
        <v>46006</v>
      </c>
      <c r="G318" s="18" t="n">
        <f aca="false">Payment_Log_AP!E315</f>
        <v>5762.48</v>
      </c>
      <c r="H318" s="16" t="n">
        <f aca="false">IF(G318&gt;=Assumptions!$B$7,40,IF(G318&gt;=Assumptions!$B$8,20,0))</f>
        <v>20</v>
      </c>
      <c r="I318" s="16" t="n">
        <f aca="false">IF(MOD(G318,500)=0,20,IF(MOD(G318,100)=0,10,0))</f>
        <v>0</v>
      </c>
      <c r="J318" s="16" t="n">
        <f aca="false">IF(AND(E318&lt;&gt;"",F318-E318&lt;=Assumptions!$B$9),25,0)</f>
        <v>0</v>
      </c>
      <c r="K318" s="16" t="n">
        <f aca="false">IF(ISNUMBER(SEARCH(D318,Assumptions!$B$10)),15,0)</f>
        <v>0</v>
      </c>
      <c r="L318" s="16" t="n">
        <f aca="false">H318+I318+J318+K318</f>
        <v>20</v>
      </c>
      <c r="M318" s="16" t="str">
        <f aca="false">IF(L318&gt;=60,"High",IF(L318&gt;=30,"Medium","Low"))</f>
        <v>Low</v>
      </c>
    </row>
    <row r="319" customFormat="false" ht="15" hidden="false" customHeight="false" outlineLevel="0" collapsed="false">
      <c r="A319" s="16" t="str">
        <f aca="false">Payment_Log_AP!A316</f>
        <v>PAY40315</v>
      </c>
      <c r="B319" s="16" t="str">
        <f aca="false">Payment_Log_AP!C316</f>
        <v>V1005</v>
      </c>
      <c r="C319" s="16" t="str">
        <f aca="false">IFERROR(INDEX(Vendor_Master!$B$2:$B$41,MATCH(B319,Vendor_Master!$A$2:$A$41,0)),"Unknown Vendor")</f>
        <v>Cole LLC</v>
      </c>
      <c r="D319" s="16" t="str">
        <f aca="false">IFERROR(INDEX(Vendor_Master!$D$2:$D$41,MATCH(B319,Vendor_Master!$A$2:$A$41,0)),"Unknown")</f>
        <v>UK</v>
      </c>
      <c r="E319" s="17" t="n">
        <f aca="false">IFERROR(INDEX(Vendor_Master!$E$2:$E$41,MATCH(B319,Vendor_Master!$A$2:$A$41,0)),"")</f>
        <v>45423</v>
      </c>
      <c r="F319" s="17" t="n">
        <f aca="false">Payment_Log_AP!D316</f>
        <v>45849</v>
      </c>
      <c r="G319" s="18" t="n">
        <f aca="false">Payment_Log_AP!E316</f>
        <v>3958.91</v>
      </c>
      <c r="H319" s="16" t="n">
        <f aca="false">IF(G319&gt;=Assumptions!$B$7,40,IF(G319&gt;=Assumptions!$B$8,20,0))</f>
        <v>0</v>
      </c>
      <c r="I319" s="16" t="n">
        <f aca="false">IF(MOD(G319,500)=0,20,IF(MOD(G319,100)=0,10,0))</f>
        <v>0</v>
      </c>
      <c r="J319" s="16" t="n">
        <f aca="false">IF(AND(E319&lt;&gt;"",F319-E319&lt;=Assumptions!$B$9),25,0)</f>
        <v>0</v>
      </c>
      <c r="K319" s="16" t="n">
        <f aca="false">IF(ISNUMBER(SEARCH(D319,Assumptions!$B$10)),15,0)</f>
        <v>0</v>
      </c>
      <c r="L319" s="16" t="n">
        <f aca="false">H319+I319+J319+K319</f>
        <v>0</v>
      </c>
      <c r="M319" s="16" t="str">
        <f aca="false">IF(L319&gt;=60,"High",IF(L319&gt;=30,"Medium","Low"))</f>
        <v>Low</v>
      </c>
    </row>
    <row r="320" customFormat="false" ht="15" hidden="false" customHeight="false" outlineLevel="0" collapsed="false">
      <c r="A320" s="16" t="str">
        <f aca="false">Payment_Log_AP!A317</f>
        <v>PAY40316</v>
      </c>
      <c r="B320" s="16" t="str">
        <f aca="false">Payment_Log_AP!C317</f>
        <v>V1025</v>
      </c>
      <c r="C320" s="16" t="str">
        <f aca="false">IFERROR(INDEX(Vendor_Master!$B$2:$B$41,MATCH(B320,Vendor_Master!$A$2:$A$41,0)),"Unknown Vendor")</f>
        <v>Conner Group</v>
      </c>
      <c r="D320" s="16" t="str">
        <f aca="false">IFERROR(INDEX(Vendor_Master!$D$2:$D$41,MATCH(B320,Vendor_Master!$A$2:$A$41,0)),"Unknown")</f>
        <v>USA</v>
      </c>
      <c r="E320" s="17" t="n">
        <f aca="false">IFERROR(INDEX(Vendor_Master!$E$2:$E$41,MATCH(B320,Vendor_Master!$A$2:$A$41,0)),"")</f>
        <v>44803</v>
      </c>
      <c r="F320" s="17" t="n">
        <f aca="false">Payment_Log_AP!D317</f>
        <v>46097</v>
      </c>
      <c r="G320" s="18" t="n">
        <f aca="false">Payment_Log_AP!E317</f>
        <v>1396.44</v>
      </c>
      <c r="H320" s="16" t="n">
        <f aca="false">IF(G320&gt;=Assumptions!$B$7,40,IF(G320&gt;=Assumptions!$B$8,20,0))</f>
        <v>0</v>
      </c>
      <c r="I320" s="16" t="n">
        <f aca="false">IF(MOD(G320,500)=0,20,IF(MOD(G320,100)=0,10,0))</f>
        <v>0</v>
      </c>
      <c r="J320" s="16" t="n">
        <f aca="false">IF(AND(E320&lt;&gt;"",F320-E320&lt;=Assumptions!$B$9),25,0)</f>
        <v>0</v>
      </c>
      <c r="K320" s="16" t="n">
        <f aca="false">IF(ISNUMBER(SEARCH(D320,Assumptions!$B$10)),15,0)</f>
        <v>0</v>
      </c>
      <c r="L320" s="16" t="n">
        <f aca="false">H320+I320+J320+K320</f>
        <v>0</v>
      </c>
      <c r="M320" s="16" t="str">
        <f aca="false">IF(L320&gt;=60,"High",IF(L320&gt;=30,"Medium","Low"))</f>
        <v>Low</v>
      </c>
    </row>
    <row r="321" customFormat="false" ht="15" hidden="false" customHeight="false" outlineLevel="0" collapsed="false">
      <c r="A321" s="16" t="str">
        <f aca="false">Payment_Log_AP!A318</f>
        <v>PAY40317</v>
      </c>
      <c r="B321" s="16" t="str">
        <f aca="false">Payment_Log_AP!C318</f>
        <v>V1025</v>
      </c>
      <c r="C321" s="16" t="str">
        <f aca="false">IFERROR(INDEX(Vendor_Master!$B$2:$B$41,MATCH(B321,Vendor_Master!$A$2:$A$41,0)),"Unknown Vendor")</f>
        <v>Conner Group</v>
      </c>
      <c r="D321" s="16" t="str">
        <f aca="false">IFERROR(INDEX(Vendor_Master!$D$2:$D$41,MATCH(B321,Vendor_Master!$A$2:$A$41,0)),"Unknown")</f>
        <v>USA</v>
      </c>
      <c r="E321" s="17" t="n">
        <f aca="false">IFERROR(INDEX(Vendor_Master!$E$2:$E$41,MATCH(B321,Vendor_Master!$A$2:$A$41,0)),"")</f>
        <v>44803</v>
      </c>
      <c r="F321" s="17" t="n">
        <f aca="false">Payment_Log_AP!D318</f>
        <v>46102</v>
      </c>
      <c r="G321" s="18" t="n">
        <f aca="false">Payment_Log_AP!E318</f>
        <v>1396.44</v>
      </c>
      <c r="H321" s="16" t="n">
        <f aca="false">IF(G321&gt;=Assumptions!$B$7,40,IF(G321&gt;=Assumptions!$B$8,20,0))</f>
        <v>0</v>
      </c>
      <c r="I321" s="16" t="n">
        <f aca="false">IF(MOD(G321,500)=0,20,IF(MOD(G321,100)=0,10,0))</f>
        <v>0</v>
      </c>
      <c r="J321" s="16" t="n">
        <f aca="false">IF(AND(E321&lt;&gt;"",F321-E321&lt;=Assumptions!$B$9),25,0)</f>
        <v>0</v>
      </c>
      <c r="K321" s="16" t="n">
        <f aca="false">IF(ISNUMBER(SEARCH(D321,Assumptions!$B$10)),15,0)</f>
        <v>0</v>
      </c>
      <c r="L321" s="16" t="n">
        <f aca="false">H321+I321+J321+K321</f>
        <v>0</v>
      </c>
      <c r="M321" s="16" t="str">
        <f aca="false">IF(L321&gt;=60,"High",IF(L321&gt;=30,"Medium","Low"))</f>
        <v>Low</v>
      </c>
    </row>
    <row r="322" customFormat="false" ht="15" hidden="false" customHeight="false" outlineLevel="0" collapsed="false">
      <c r="A322" s="16" t="str">
        <f aca="false">Payment_Log_AP!A319</f>
        <v>PAY40318</v>
      </c>
      <c r="B322" s="16" t="str">
        <f aca="false">Payment_Log_AP!C319</f>
        <v>V1001</v>
      </c>
      <c r="C322" s="16" t="str">
        <f aca="false">IFERROR(INDEX(Vendor_Master!$B$2:$B$41,MATCH(B322,Vendor_Master!$A$2:$A$41,0)),"Unknown Vendor")</f>
        <v>Figueroa and Sons</v>
      </c>
      <c r="D322" s="16" t="str">
        <f aca="false">IFERROR(INDEX(Vendor_Master!$D$2:$D$41,MATCH(B322,Vendor_Master!$A$2:$A$41,0)),"Unknown")</f>
        <v>USA</v>
      </c>
      <c r="E322" s="17" t="n">
        <f aca="false">IFERROR(INDEX(Vendor_Master!$E$2:$E$41,MATCH(B322,Vendor_Master!$A$2:$A$41,0)),"")</f>
        <v>45572</v>
      </c>
      <c r="F322" s="17" t="n">
        <f aca="false">Payment_Log_AP!D319</f>
        <v>45955</v>
      </c>
      <c r="G322" s="18" t="n">
        <f aca="false">Payment_Log_AP!E319</f>
        <v>1682.49</v>
      </c>
      <c r="H322" s="16" t="n">
        <f aca="false">IF(G322&gt;=Assumptions!$B$7,40,IF(G322&gt;=Assumptions!$B$8,20,0))</f>
        <v>0</v>
      </c>
      <c r="I322" s="16" t="n">
        <f aca="false">IF(MOD(G322,500)=0,20,IF(MOD(G322,100)=0,10,0))</f>
        <v>0</v>
      </c>
      <c r="J322" s="16" t="n">
        <f aca="false">IF(AND(E322&lt;&gt;"",F322-E322&lt;=Assumptions!$B$9),25,0)</f>
        <v>0</v>
      </c>
      <c r="K322" s="16" t="n">
        <f aca="false">IF(ISNUMBER(SEARCH(D322,Assumptions!$B$10)),15,0)</f>
        <v>0</v>
      </c>
      <c r="L322" s="16" t="n">
        <f aca="false">H322+I322+J322+K322</f>
        <v>0</v>
      </c>
      <c r="M322" s="16" t="str">
        <f aca="false">IF(L322&gt;=60,"High",IF(L322&gt;=30,"Medium","Low"))</f>
        <v>Low</v>
      </c>
    </row>
    <row r="323" customFormat="false" ht="15" hidden="false" customHeight="false" outlineLevel="0" collapsed="false">
      <c r="A323" s="16" t="str">
        <f aca="false">Payment_Log_AP!A320</f>
        <v>PAY40319</v>
      </c>
      <c r="B323" s="16" t="str">
        <f aca="false">Payment_Log_AP!C320</f>
        <v>V1037</v>
      </c>
      <c r="C323" s="16" t="str">
        <f aca="false">IFERROR(INDEX(Vendor_Master!$B$2:$B$41,MATCH(B323,Vendor_Master!$A$2:$A$41,0)),"Unknown Vendor")</f>
        <v>Cannon, Anderson and Alvarez</v>
      </c>
      <c r="D323" s="16" t="str">
        <f aca="false">IFERROR(INDEX(Vendor_Master!$D$2:$D$41,MATCH(B323,Vendor_Master!$A$2:$A$41,0)),"Unknown")</f>
        <v>India</v>
      </c>
      <c r="E323" s="17" t="n">
        <f aca="false">IFERROR(INDEX(Vendor_Master!$E$2:$E$41,MATCH(B323,Vendor_Master!$A$2:$A$41,0)),"")</f>
        <v>46108</v>
      </c>
      <c r="F323" s="17" t="n">
        <f aca="false">Payment_Log_AP!D320</f>
        <v>46049</v>
      </c>
      <c r="G323" s="18" t="n">
        <f aca="false">Payment_Log_AP!E320</f>
        <v>1974.18</v>
      </c>
      <c r="H323" s="16" t="n">
        <f aca="false">IF(G323&gt;=Assumptions!$B$7,40,IF(G323&gt;=Assumptions!$B$8,20,0))</f>
        <v>0</v>
      </c>
      <c r="I323" s="16" t="n">
        <f aca="false">IF(MOD(G323,500)=0,20,IF(MOD(G323,100)=0,10,0))</f>
        <v>0</v>
      </c>
      <c r="J323" s="16" t="n">
        <f aca="false">IF(AND(E323&lt;&gt;"",F323-E323&lt;=Assumptions!$B$9),25,0)</f>
        <v>25</v>
      </c>
      <c r="K323" s="16" t="n">
        <f aca="false">IF(ISNUMBER(SEARCH(D323,Assumptions!$B$10)),15,0)</f>
        <v>15</v>
      </c>
      <c r="L323" s="16" t="n">
        <f aca="false">H323+I323+J323+K323</f>
        <v>40</v>
      </c>
      <c r="M323" s="16" t="str">
        <f aca="false">IF(L323&gt;=60,"High",IF(L323&gt;=30,"Medium","Low"))</f>
        <v>Medium</v>
      </c>
    </row>
    <row r="324" customFormat="false" ht="15" hidden="false" customHeight="false" outlineLevel="0" collapsed="false">
      <c r="A324" s="16" t="str">
        <f aca="false">Payment_Log_AP!A321</f>
        <v>PAY40320</v>
      </c>
      <c r="B324" s="16" t="str">
        <f aca="false">Payment_Log_AP!C321</f>
        <v>V1020</v>
      </c>
      <c r="C324" s="16" t="str">
        <f aca="false">IFERROR(INDEX(Vendor_Master!$B$2:$B$41,MATCH(B324,Vendor_Master!$A$2:$A$41,0)),"Unknown Vendor")</f>
        <v>Lewis-Porter</v>
      </c>
      <c r="D324" s="16" t="str">
        <f aca="false">IFERROR(INDEX(Vendor_Master!$D$2:$D$41,MATCH(B324,Vendor_Master!$A$2:$A$41,0)),"Unknown")</f>
        <v>UAE</v>
      </c>
      <c r="E324" s="17" t="n">
        <f aca="false">IFERROR(INDEX(Vendor_Master!$E$2:$E$41,MATCH(B324,Vendor_Master!$A$2:$A$41,0)),"")</f>
        <v>45947</v>
      </c>
      <c r="F324" s="17" t="n">
        <f aca="false">Payment_Log_AP!D321</f>
        <v>46016</v>
      </c>
      <c r="G324" s="18" t="n">
        <f aca="false">Payment_Log_AP!E321</f>
        <v>2928.06</v>
      </c>
      <c r="H324" s="16" t="n">
        <f aca="false">IF(G324&gt;=Assumptions!$B$7,40,IF(G324&gt;=Assumptions!$B$8,20,0))</f>
        <v>0</v>
      </c>
      <c r="I324" s="16" t="n">
        <f aca="false">IF(MOD(G324,500)=0,20,IF(MOD(G324,100)=0,10,0))</f>
        <v>0</v>
      </c>
      <c r="J324" s="16" t="n">
        <f aca="false">IF(AND(E324&lt;&gt;"",F324-E324&lt;=Assumptions!$B$9),25,0)</f>
        <v>25</v>
      </c>
      <c r="K324" s="16" t="n">
        <f aca="false">IF(ISNUMBER(SEARCH(D324,Assumptions!$B$10)),15,0)</f>
        <v>15</v>
      </c>
      <c r="L324" s="16" t="n">
        <f aca="false">H324+I324+J324+K324</f>
        <v>40</v>
      </c>
      <c r="M324" s="16" t="str">
        <f aca="false">IF(L324&gt;=60,"High",IF(L324&gt;=30,"Medium","Low"))</f>
        <v>Medium</v>
      </c>
    </row>
    <row r="325" customFormat="false" ht="15" hidden="false" customHeight="false" outlineLevel="0" collapsed="false">
      <c r="A325" s="16" t="str">
        <f aca="false">Payment_Log_AP!A322</f>
        <v>PAY40321</v>
      </c>
      <c r="B325" s="16" t="str">
        <f aca="false">Payment_Log_AP!C322</f>
        <v>V1040</v>
      </c>
      <c r="C325" s="16" t="str">
        <f aca="false">IFERROR(INDEX(Vendor_Master!$B$2:$B$41,MATCH(B325,Vendor_Master!$A$2:$A$41,0)),"Unknown Vendor")</f>
        <v>Santos, Kim and Holmes</v>
      </c>
      <c r="D325" s="16" t="str">
        <f aca="false">IFERROR(INDEX(Vendor_Master!$D$2:$D$41,MATCH(B325,Vendor_Master!$A$2:$A$41,0)),"Unknown")</f>
        <v>India</v>
      </c>
      <c r="E325" s="17" t="n">
        <f aca="false">IFERROR(INDEX(Vendor_Master!$E$2:$E$41,MATCH(B325,Vendor_Master!$A$2:$A$41,0)),"")</f>
        <v>45192</v>
      </c>
      <c r="F325" s="17" t="n">
        <f aca="false">Payment_Log_AP!D322</f>
        <v>46044</v>
      </c>
      <c r="G325" s="18" t="n">
        <f aca="false">Payment_Log_AP!E322</f>
        <v>3306.72</v>
      </c>
      <c r="H325" s="16" t="n">
        <f aca="false">IF(G325&gt;=Assumptions!$B$7,40,IF(G325&gt;=Assumptions!$B$8,20,0))</f>
        <v>0</v>
      </c>
      <c r="I325" s="16" t="n">
        <f aca="false">IF(MOD(G325,500)=0,20,IF(MOD(G325,100)=0,10,0))</f>
        <v>0</v>
      </c>
      <c r="J325" s="16" t="n">
        <f aca="false">IF(AND(E325&lt;&gt;"",F325-E325&lt;=Assumptions!$B$9),25,0)</f>
        <v>0</v>
      </c>
      <c r="K325" s="16" t="n">
        <f aca="false">IF(ISNUMBER(SEARCH(D325,Assumptions!$B$10)),15,0)</f>
        <v>15</v>
      </c>
      <c r="L325" s="16" t="n">
        <f aca="false">H325+I325+J325+K325</f>
        <v>15</v>
      </c>
      <c r="M325" s="16" t="str">
        <f aca="false">IF(L325&gt;=60,"High",IF(L325&gt;=30,"Medium","Low"))</f>
        <v>Low</v>
      </c>
    </row>
    <row r="326" customFormat="false" ht="15" hidden="false" customHeight="false" outlineLevel="0" collapsed="false">
      <c r="A326" s="16" t="str">
        <f aca="false">Payment_Log_AP!A323</f>
        <v>PAY40322</v>
      </c>
      <c r="B326" s="16" t="str">
        <f aca="false">Payment_Log_AP!C323</f>
        <v>V1019</v>
      </c>
      <c r="C326" s="16" t="str">
        <f aca="false">IFERROR(INDEX(Vendor_Master!$B$2:$B$41,MATCH(B326,Vendor_Master!$A$2:$A$41,0)),"Unknown Vendor")</f>
        <v>Clark PLC</v>
      </c>
      <c r="D326" s="16" t="str">
        <f aca="false">IFERROR(INDEX(Vendor_Master!$D$2:$D$41,MATCH(B326,Vendor_Master!$A$2:$A$41,0)),"Unknown")</f>
        <v>India</v>
      </c>
      <c r="E326" s="17" t="n">
        <f aca="false">IFERROR(INDEX(Vendor_Master!$E$2:$E$41,MATCH(B326,Vendor_Master!$A$2:$A$41,0)),"")</f>
        <v>45196</v>
      </c>
      <c r="F326" s="17" t="n">
        <f aca="false">Payment_Log_AP!D323</f>
        <v>46179</v>
      </c>
      <c r="G326" s="18" t="n">
        <f aca="false">Payment_Log_AP!E323</f>
        <v>7330.11</v>
      </c>
      <c r="H326" s="16" t="n">
        <f aca="false">IF(G326&gt;=Assumptions!$B$7,40,IF(G326&gt;=Assumptions!$B$8,20,0))</f>
        <v>20</v>
      </c>
      <c r="I326" s="16" t="n">
        <f aca="false">IF(MOD(G326,500)=0,20,IF(MOD(G326,100)=0,10,0))</f>
        <v>0</v>
      </c>
      <c r="J326" s="16" t="n">
        <f aca="false">IF(AND(E326&lt;&gt;"",F326-E326&lt;=Assumptions!$B$9),25,0)</f>
        <v>0</v>
      </c>
      <c r="K326" s="16" t="n">
        <f aca="false">IF(ISNUMBER(SEARCH(D326,Assumptions!$B$10)),15,0)</f>
        <v>15</v>
      </c>
      <c r="L326" s="16" t="n">
        <f aca="false">H326+I326+J326+K326</f>
        <v>35</v>
      </c>
      <c r="M326" s="16" t="str">
        <f aca="false">IF(L326&gt;=60,"High",IF(L326&gt;=30,"Medium","Low"))</f>
        <v>Medium</v>
      </c>
    </row>
    <row r="327" customFormat="false" ht="15" hidden="false" customHeight="false" outlineLevel="0" collapsed="false">
      <c r="A327" s="16" t="str">
        <f aca="false">Payment_Log_AP!A324</f>
        <v>PAY40323</v>
      </c>
      <c r="B327" s="16" t="str">
        <f aca="false">Payment_Log_AP!C324</f>
        <v>V1040</v>
      </c>
      <c r="C327" s="16" t="str">
        <f aca="false">IFERROR(INDEX(Vendor_Master!$B$2:$B$41,MATCH(B327,Vendor_Master!$A$2:$A$41,0)),"Unknown Vendor")</f>
        <v>Santos, Kim and Holmes</v>
      </c>
      <c r="D327" s="16" t="str">
        <f aca="false">IFERROR(INDEX(Vendor_Master!$D$2:$D$41,MATCH(B327,Vendor_Master!$A$2:$A$41,0)),"Unknown")</f>
        <v>India</v>
      </c>
      <c r="E327" s="17" t="n">
        <f aca="false">IFERROR(INDEX(Vendor_Master!$E$2:$E$41,MATCH(B327,Vendor_Master!$A$2:$A$41,0)),"")</f>
        <v>45192</v>
      </c>
      <c r="F327" s="17" t="n">
        <f aca="false">Payment_Log_AP!D324</f>
        <v>45919</v>
      </c>
      <c r="G327" s="18" t="n">
        <f aca="false">Payment_Log_AP!E324</f>
        <v>305.65</v>
      </c>
      <c r="H327" s="16" t="n">
        <f aca="false">IF(G327&gt;=Assumptions!$B$7,40,IF(G327&gt;=Assumptions!$B$8,20,0))</f>
        <v>0</v>
      </c>
      <c r="I327" s="16" t="n">
        <f aca="false">IF(MOD(G327,500)=0,20,IF(MOD(G327,100)=0,10,0))</f>
        <v>0</v>
      </c>
      <c r="J327" s="16" t="n">
        <f aca="false">IF(AND(E327&lt;&gt;"",F327-E327&lt;=Assumptions!$B$9),25,0)</f>
        <v>0</v>
      </c>
      <c r="K327" s="16" t="n">
        <f aca="false">IF(ISNUMBER(SEARCH(D327,Assumptions!$B$10)),15,0)</f>
        <v>15</v>
      </c>
      <c r="L327" s="16" t="n">
        <f aca="false">H327+I327+J327+K327</f>
        <v>15</v>
      </c>
      <c r="M327" s="16" t="str">
        <f aca="false">IF(L327&gt;=60,"High",IF(L327&gt;=30,"Medium","Low"))</f>
        <v>Low</v>
      </c>
    </row>
    <row r="328" customFormat="false" ht="15" hidden="false" customHeight="false" outlineLevel="0" collapsed="false">
      <c r="A328" s="16" t="str">
        <f aca="false">Payment_Log_AP!A325</f>
        <v>PAY40324</v>
      </c>
      <c r="B328" s="16" t="str">
        <f aca="false">Payment_Log_AP!C325</f>
        <v>V1012</v>
      </c>
      <c r="C328" s="16" t="str">
        <f aca="false">IFERROR(INDEX(Vendor_Master!$B$2:$B$41,MATCH(B328,Vendor_Master!$A$2:$A$41,0)),"Unknown Vendor")</f>
        <v>Stanley LLC</v>
      </c>
      <c r="D328" s="16" t="str">
        <f aca="false">IFERROR(INDEX(Vendor_Master!$D$2:$D$41,MATCH(B328,Vendor_Master!$A$2:$A$41,0)),"Unknown")</f>
        <v>India</v>
      </c>
      <c r="E328" s="17" t="n">
        <f aca="false">IFERROR(INDEX(Vendor_Master!$E$2:$E$41,MATCH(B328,Vendor_Master!$A$2:$A$41,0)),"")</f>
        <v>45675</v>
      </c>
      <c r="F328" s="17" t="n">
        <f aca="false">Payment_Log_AP!D325</f>
        <v>45972</v>
      </c>
      <c r="G328" s="18" t="n">
        <f aca="false">Payment_Log_AP!E325</f>
        <v>695.44</v>
      </c>
      <c r="H328" s="16" t="n">
        <f aca="false">IF(G328&gt;=Assumptions!$B$7,40,IF(G328&gt;=Assumptions!$B$8,20,0))</f>
        <v>0</v>
      </c>
      <c r="I328" s="16" t="n">
        <f aca="false">IF(MOD(G328,500)=0,20,IF(MOD(G328,100)=0,10,0))</f>
        <v>0</v>
      </c>
      <c r="J328" s="16" t="n">
        <f aca="false">IF(AND(E328&lt;&gt;"",F328-E328&lt;=Assumptions!$B$9),25,0)</f>
        <v>0</v>
      </c>
      <c r="K328" s="16" t="n">
        <f aca="false">IF(ISNUMBER(SEARCH(D328,Assumptions!$B$10)),15,0)</f>
        <v>15</v>
      </c>
      <c r="L328" s="16" t="n">
        <f aca="false">H328+I328+J328+K328</f>
        <v>15</v>
      </c>
      <c r="M328" s="16" t="str">
        <f aca="false">IF(L328&gt;=60,"High",IF(L328&gt;=30,"Medium","Low"))</f>
        <v>Low</v>
      </c>
    </row>
    <row r="329" customFormat="false" ht="15" hidden="false" customHeight="false" outlineLevel="0" collapsed="false">
      <c r="A329" s="16" t="str">
        <f aca="false">Payment_Log_AP!A326</f>
        <v>PAY40325</v>
      </c>
      <c r="B329" s="16" t="str">
        <f aca="false">Payment_Log_AP!C326</f>
        <v>V1004</v>
      </c>
      <c r="C329" s="16" t="str">
        <f aca="false">IFERROR(INDEX(Vendor_Master!$B$2:$B$41,MATCH(B329,Vendor_Master!$A$2:$A$41,0)),"Unknown Vendor")</f>
        <v>Johnson, Gonzalez and Santos</v>
      </c>
      <c r="D329" s="16" t="str">
        <f aca="false">IFERROR(INDEX(Vendor_Master!$D$2:$D$41,MATCH(B329,Vendor_Master!$A$2:$A$41,0)),"Unknown")</f>
        <v>Germany</v>
      </c>
      <c r="E329" s="17" t="n">
        <f aca="false">IFERROR(INDEX(Vendor_Master!$E$2:$E$41,MATCH(B329,Vendor_Master!$A$2:$A$41,0)),"")</f>
        <v>44929</v>
      </c>
      <c r="F329" s="17" t="n">
        <f aca="false">Payment_Log_AP!D326</f>
        <v>46055</v>
      </c>
      <c r="G329" s="18" t="n">
        <f aca="false">Payment_Log_AP!E326</f>
        <v>8378.51</v>
      </c>
      <c r="H329" s="16" t="n">
        <f aca="false">IF(G329&gt;=Assumptions!$B$7,40,IF(G329&gt;=Assumptions!$B$8,20,0))</f>
        <v>20</v>
      </c>
      <c r="I329" s="16" t="n">
        <f aca="false">IF(MOD(G329,500)=0,20,IF(MOD(G329,100)=0,10,0))</f>
        <v>0</v>
      </c>
      <c r="J329" s="16" t="n">
        <f aca="false">IF(AND(E329&lt;&gt;"",F329-E329&lt;=Assumptions!$B$9),25,0)</f>
        <v>0</v>
      </c>
      <c r="K329" s="16" t="n">
        <f aca="false">IF(ISNUMBER(SEARCH(D329,Assumptions!$B$10)),15,0)</f>
        <v>0</v>
      </c>
      <c r="L329" s="16" t="n">
        <f aca="false">H329+I329+J329+K329</f>
        <v>20</v>
      </c>
      <c r="M329" s="16" t="str">
        <f aca="false">IF(L329&gt;=60,"High",IF(L329&gt;=30,"Medium","Low"))</f>
        <v>Low</v>
      </c>
    </row>
    <row r="330" customFormat="false" ht="15" hidden="false" customHeight="false" outlineLevel="0" collapsed="false">
      <c r="A330" s="16" t="str">
        <f aca="false">Payment_Log_AP!A327</f>
        <v>PAY40326</v>
      </c>
      <c r="B330" s="16" t="str">
        <f aca="false">Payment_Log_AP!C327</f>
        <v>V1005</v>
      </c>
      <c r="C330" s="16" t="str">
        <f aca="false">IFERROR(INDEX(Vendor_Master!$B$2:$B$41,MATCH(B330,Vendor_Master!$A$2:$A$41,0)),"Unknown Vendor")</f>
        <v>Cole LLC</v>
      </c>
      <c r="D330" s="16" t="str">
        <f aca="false">IFERROR(INDEX(Vendor_Master!$D$2:$D$41,MATCH(B330,Vendor_Master!$A$2:$A$41,0)),"Unknown")</f>
        <v>UK</v>
      </c>
      <c r="E330" s="17" t="n">
        <f aca="false">IFERROR(INDEX(Vendor_Master!$E$2:$E$41,MATCH(B330,Vendor_Master!$A$2:$A$41,0)),"")</f>
        <v>45423</v>
      </c>
      <c r="F330" s="17" t="n">
        <f aca="false">Payment_Log_AP!D327</f>
        <v>46196</v>
      </c>
      <c r="G330" s="18" t="n">
        <f aca="false">Payment_Log_AP!E327</f>
        <v>1194.11</v>
      </c>
      <c r="H330" s="16" t="n">
        <f aca="false">IF(G330&gt;=Assumptions!$B$7,40,IF(G330&gt;=Assumptions!$B$8,20,0))</f>
        <v>0</v>
      </c>
      <c r="I330" s="16" t="n">
        <f aca="false">IF(MOD(G330,500)=0,20,IF(MOD(G330,100)=0,10,0))</f>
        <v>0</v>
      </c>
      <c r="J330" s="16" t="n">
        <f aca="false">IF(AND(E330&lt;&gt;"",F330-E330&lt;=Assumptions!$B$9),25,0)</f>
        <v>0</v>
      </c>
      <c r="K330" s="16" t="n">
        <f aca="false">IF(ISNUMBER(SEARCH(D330,Assumptions!$B$10)),15,0)</f>
        <v>0</v>
      </c>
      <c r="L330" s="16" t="n">
        <f aca="false">H330+I330+J330+K330</f>
        <v>0</v>
      </c>
      <c r="M330" s="16" t="str">
        <f aca="false">IF(L330&gt;=60,"High",IF(L330&gt;=30,"Medium","Low"))</f>
        <v>Low</v>
      </c>
    </row>
    <row r="331" customFormat="false" ht="15" hidden="false" customHeight="false" outlineLevel="0" collapsed="false">
      <c r="A331" s="16" t="str">
        <f aca="false">Payment_Log_AP!A328</f>
        <v>PAY40327</v>
      </c>
      <c r="B331" s="16" t="str">
        <f aca="false">Payment_Log_AP!C328</f>
        <v>V1013</v>
      </c>
      <c r="C331" s="16" t="str">
        <f aca="false">IFERROR(INDEX(Vendor_Master!$B$2:$B$41,MATCH(B331,Vendor_Master!$A$2:$A$41,0)),"Unknown Vendor")</f>
        <v>Delacruz Group</v>
      </c>
      <c r="D331" s="16" t="str">
        <f aca="false">IFERROR(INDEX(Vendor_Master!$D$2:$D$41,MATCH(B331,Vendor_Master!$A$2:$A$41,0)),"Unknown")</f>
        <v>USA</v>
      </c>
      <c r="E331" s="17" t="n">
        <f aca="false">IFERROR(INDEX(Vendor_Master!$E$2:$E$41,MATCH(B331,Vendor_Master!$A$2:$A$41,0)),"")</f>
        <v>46119</v>
      </c>
      <c r="F331" s="17" t="n">
        <f aca="false">Payment_Log_AP!D328</f>
        <v>46140</v>
      </c>
      <c r="G331" s="18" t="n">
        <f aca="false">Payment_Log_AP!E328</f>
        <v>755.76</v>
      </c>
      <c r="H331" s="16" t="n">
        <f aca="false">IF(G331&gt;=Assumptions!$B$7,40,IF(G331&gt;=Assumptions!$B$8,20,0))</f>
        <v>0</v>
      </c>
      <c r="I331" s="16" t="n">
        <f aca="false">IF(MOD(G331,500)=0,20,IF(MOD(G331,100)=0,10,0))</f>
        <v>0</v>
      </c>
      <c r="J331" s="16" t="n">
        <f aca="false">IF(AND(E331&lt;&gt;"",F331-E331&lt;=Assumptions!$B$9),25,0)</f>
        <v>25</v>
      </c>
      <c r="K331" s="16" t="n">
        <f aca="false">IF(ISNUMBER(SEARCH(D331,Assumptions!$B$10)),15,0)</f>
        <v>0</v>
      </c>
      <c r="L331" s="16" t="n">
        <f aca="false">H331+I331+J331+K331</f>
        <v>25</v>
      </c>
      <c r="M331" s="16" t="str">
        <f aca="false">IF(L331&gt;=60,"High",IF(L331&gt;=30,"Medium","Low"))</f>
        <v>Low</v>
      </c>
    </row>
    <row r="332" customFormat="false" ht="15" hidden="false" customHeight="false" outlineLevel="0" collapsed="false">
      <c r="A332" s="16" t="str">
        <f aca="false">Payment_Log_AP!A329</f>
        <v>PAY40328</v>
      </c>
      <c r="B332" s="16" t="str">
        <f aca="false">Payment_Log_AP!C329</f>
        <v>V1033</v>
      </c>
      <c r="C332" s="16" t="str">
        <f aca="false">IFERROR(INDEX(Vendor_Master!$B$2:$B$41,MATCH(B332,Vendor_Master!$A$2:$A$41,0)),"Unknown Vendor")</f>
        <v>Sellers, George and Burns</v>
      </c>
      <c r="D332" s="16" t="str">
        <f aca="false">IFERROR(INDEX(Vendor_Master!$D$2:$D$41,MATCH(B332,Vendor_Master!$A$2:$A$41,0)),"Unknown")</f>
        <v>USA</v>
      </c>
      <c r="E332" s="17" t="n">
        <f aca="false">IFERROR(INDEX(Vendor_Master!$E$2:$E$41,MATCH(B332,Vendor_Master!$A$2:$A$41,0)),"")</f>
        <v>45414</v>
      </c>
      <c r="F332" s="17" t="n">
        <f aca="false">Payment_Log_AP!D329</f>
        <v>45701</v>
      </c>
      <c r="G332" s="18" t="n">
        <f aca="false">Payment_Log_AP!E329</f>
        <v>14821.15</v>
      </c>
      <c r="H332" s="16" t="n">
        <f aca="false">IF(G332&gt;=Assumptions!$B$7,40,IF(G332&gt;=Assumptions!$B$8,20,0))</f>
        <v>40</v>
      </c>
      <c r="I332" s="16" t="n">
        <f aca="false">IF(MOD(G332,500)=0,20,IF(MOD(G332,100)=0,10,0))</f>
        <v>0</v>
      </c>
      <c r="J332" s="16" t="n">
        <f aca="false">IF(AND(E332&lt;&gt;"",F332-E332&lt;=Assumptions!$B$9),25,0)</f>
        <v>0</v>
      </c>
      <c r="K332" s="16" t="n">
        <f aca="false">IF(ISNUMBER(SEARCH(D332,Assumptions!$B$10)),15,0)</f>
        <v>0</v>
      </c>
      <c r="L332" s="16" t="n">
        <f aca="false">H332+I332+J332+K332</f>
        <v>40</v>
      </c>
      <c r="M332" s="16" t="str">
        <f aca="false">IF(L332&gt;=60,"High",IF(L332&gt;=30,"Medium","Low"))</f>
        <v>Medium</v>
      </c>
    </row>
    <row r="333" customFormat="false" ht="15" hidden="false" customHeight="false" outlineLevel="0" collapsed="false">
      <c r="A333" s="16" t="str">
        <f aca="false">Payment_Log_AP!A330</f>
        <v>PAY40329</v>
      </c>
      <c r="B333" s="16" t="str">
        <f aca="false">Payment_Log_AP!C330</f>
        <v>V1037</v>
      </c>
      <c r="C333" s="16" t="str">
        <f aca="false">IFERROR(INDEX(Vendor_Master!$B$2:$B$41,MATCH(B333,Vendor_Master!$A$2:$A$41,0)),"Unknown Vendor")</f>
        <v>Cannon, Anderson and Alvarez</v>
      </c>
      <c r="D333" s="16" t="str">
        <f aca="false">IFERROR(INDEX(Vendor_Master!$D$2:$D$41,MATCH(B333,Vendor_Master!$A$2:$A$41,0)),"Unknown")</f>
        <v>India</v>
      </c>
      <c r="E333" s="17" t="n">
        <f aca="false">IFERROR(INDEX(Vendor_Master!$E$2:$E$41,MATCH(B333,Vendor_Master!$A$2:$A$41,0)),"")</f>
        <v>46108</v>
      </c>
      <c r="F333" s="17" t="n">
        <f aca="false">Payment_Log_AP!D330</f>
        <v>45855</v>
      </c>
      <c r="G333" s="18" t="n">
        <f aca="false">Payment_Log_AP!E330</f>
        <v>4303.23</v>
      </c>
      <c r="H333" s="16" t="n">
        <f aca="false">IF(G333&gt;=Assumptions!$B$7,40,IF(G333&gt;=Assumptions!$B$8,20,0))</f>
        <v>0</v>
      </c>
      <c r="I333" s="16" t="n">
        <f aca="false">IF(MOD(G333,500)=0,20,IF(MOD(G333,100)=0,10,0))</f>
        <v>0</v>
      </c>
      <c r="J333" s="16" t="n">
        <f aca="false">IF(AND(E333&lt;&gt;"",F333-E333&lt;=Assumptions!$B$9),25,0)</f>
        <v>25</v>
      </c>
      <c r="K333" s="16" t="n">
        <f aca="false">IF(ISNUMBER(SEARCH(D333,Assumptions!$B$10)),15,0)</f>
        <v>15</v>
      </c>
      <c r="L333" s="16" t="n">
        <f aca="false">H333+I333+J333+K333</f>
        <v>40</v>
      </c>
      <c r="M333" s="16" t="str">
        <f aca="false">IF(L333&gt;=60,"High",IF(L333&gt;=30,"Medium","Low"))</f>
        <v>Medium</v>
      </c>
    </row>
    <row r="334" customFormat="false" ht="15" hidden="false" customHeight="false" outlineLevel="0" collapsed="false">
      <c r="A334" s="16" t="str">
        <f aca="false">Payment_Log_AP!A331</f>
        <v>PAY40330</v>
      </c>
      <c r="B334" s="16" t="str">
        <f aca="false">Payment_Log_AP!C331</f>
        <v>V1035</v>
      </c>
      <c r="C334" s="16" t="str">
        <f aca="false">IFERROR(INDEX(Vendor_Master!$B$2:$B$41,MATCH(B334,Vendor_Master!$A$2:$A$41,0)),"Unknown Vendor")</f>
        <v>Allen PLC</v>
      </c>
      <c r="D334" s="16" t="str">
        <f aca="false">IFERROR(INDEX(Vendor_Master!$D$2:$D$41,MATCH(B334,Vendor_Master!$A$2:$A$41,0)),"Unknown")</f>
        <v>Canada</v>
      </c>
      <c r="E334" s="17" t="n">
        <f aca="false">IFERROR(INDEX(Vendor_Master!$E$2:$E$41,MATCH(B334,Vendor_Master!$A$2:$A$41,0)),"")</f>
        <v>45048</v>
      </c>
      <c r="F334" s="17" t="n">
        <f aca="false">Payment_Log_AP!D331</f>
        <v>46125</v>
      </c>
      <c r="G334" s="18" t="n">
        <f aca="false">Payment_Log_AP!E331</f>
        <v>525.18</v>
      </c>
      <c r="H334" s="16" t="n">
        <f aca="false">IF(G334&gt;=Assumptions!$B$7,40,IF(G334&gt;=Assumptions!$B$8,20,0))</f>
        <v>0</v>
      </c>
      <c r="I334" s="16" t="n">
        <f aca="false">IF(MOD(G334,500)=0,20,IF(MOD(G334,100)=0,10,0))</f>
        <v>0</v>
      </c>
      <c r="J334" s="16" t="n">
        <f aca="false">IF(AND(E334&lt;&gt;"",F334-E334&lt;=Assumptions!$B$9),25,0)</f>
        <v>0</v>
      </c>
      <c r="K334" s="16" t="n">
        <f aca="false">IF(ISNUMBER(SEARCH(D334,Assumptions!$B$10)),15,0)</f>
        <v>0</v>
      </c>
      <c r="L334" s="16" t="n">
        <f aca="false">H334+I334+J334+K334</f>
        <v>0</v>
      </c>
      <c r="M334" s="16" t="str">
        <f aca="false">IF(L334&gt;=60,"High",IF(L334&gt;=30,"Medium","Low"))</f>
        <v>Low</v>
      </c>
    </row>
    <row r="335" customFormat="false" ht="15" hidden="false" customHeight="false" outlineLevel="0" collapsed="false">
      <c r="A335" s="16" t="str">
        <f aca="false">Payment_Log_AP!A332</f>
        <v>PAY40331</v>
      </c>
      <c r="B335" s="16" t="str">
        <f aca="false">Payment_Log_AP!C332</f>
        <v>V1020</v>
      </c>
      <c r="C335" s="16" t="str">
        <f aca="false">IFERROR(INDEX(Vendor_Master!$B$2:$B$41,MATCH(B335,Vendor_Master!$A$2:$A$41,0)),"Unknown Vendor")</f>
        <v>Lewis-Porter</v>
      </c>
      <c r="D335" s="16" t="str">
        <f aca="false">IFERROR(INDEX(Vendor_Master!$D$2:$D$41,MATCH(B335,Vendor_Master!$A$2:$A$41,0)),"Unknown")</f>
        <v>UAE</v>
      </c>
      <c r="E335" s="17" t="n">
        <f aca="false">IFERROR(INDEX(Vendor_Master!$E$2:$E$41,MATCH(B335,Vendor_Master!$A$2:$A$41,0)),"")</f>
        <v>45947</v>
      </c>
      <c r="F335" s="17" t="n">
        <f aca="false">Payment_Log_AP!D332</f>
        <v>46002</v>
      </c>
      <c r="G335" s="18" t="n">
        <f aca="false">Payment_Log_AP!E332</f>
        <v>2740.38</v>
      </c>
      <c r="H335" s="16" t="n">
        <f aca="false">IF(G335&gt;=Assumptions!$B$7,40,IF(G335&gt;=Assumptions!$B$8,20,0))</f>
        <v>0</v>
      </c>
      <c r="I335" s="16" t="n">
        <f aca="false">IF(MOD(G335,500)=0,20,IF(MOD(G335,100)=0,10,0))</f>
        <v>0</v>
      </c>
      <c r="J335" s="16" t="n">
        <f aca="false">IF(AND(E335&lt;&gt;"",F335-E335&lt;=Assumptions!$B$9),25,0)</f>
        <v>25</v>
      </c>
      <c r="K335" s="16" t="n">
        <f aca="false">IF(ISNUMBER(SEARCH(D335,Assumptions!$B$10)),15,0)</f>
        <v>15</v>
      </c>
      <c r="L335" s="16" t="n">
        <f aca="false">H335+I335+J335+K335</f>
        <v>40</v>
      </c>
      <c r="M335" s="16" t="str">
        <f aca="false">IF(L335&gt;=60,"High",IF(L335&gt;=30,"Medium","Low"))</f>
        <v>Medium</v>
      </c>
    </row>
    <row r="336" customFormat="false" ht="15" hidden="false" customHeight="false" outlineLevel="0" collapsed="false">
      <c r="A336" s="16" t="str">
        <f aca="false">Payment_Log_AP!A333</f>
        <v>PAY40332</v>
      </c>
      <c r="B336" s="16" t="str">
        <f aca="false">Payment_Log_AP!C333</f>
        <v>V1008</v>
      </c>
      <c r="C336" s="16" t="str">
        <f aca="false">IFERROR(INDEX(Vendor_Master!$B$2:$B$41,MATCH(B336,Vendor_Master!$A$2:$A$41,0)),"Unknown Vendor")</f>
        <v>Davis Inc</v>
      </c>
      <c r="D336" s="16" t="str">
        <f aca="false">IFERROR(INDEX(Vendor_Master!$D$2:$D$41,MATCH(B336,Vendor_Master!$A$2:$A$41,0)),"Unknown")</f>
        <v>Canada</v>
      </c>
      <c r="E336" s="17" t="n">
        <f aca="false">IFERROR(INDEX(Vendor_Master!$E$2:$E$41,MATCH(B336,Vendor_Master!$A$2:$A$41,0)),"")</f>
        <v>45769</v>
      </c>
      <c r="F336" s="17" t="n">
        <f aca="false">Payment_Log_AP!D333</f>
        <v>45849</v>
      </c>
      <c r="G336" s="18" t="n">
        <f aca="false">Payment_Log_AP!E333</f>
        <v>9606.11</v>
      </c>
      <c r="H336" s="16" t="n">
        <f aca="false">IF(G336&gt;=Assumptions!$B$7,40,IF(G336&gt;=Assumptions!$B$8,20,0))</f>
        <v>20</v>
      </c>
      <c r="I336" s="16" t="n">
        <f aca="false">IF(MOD(G336,500)=0,20,IF(MOD(G336,100)=0,10,0))</f>
        <v>0</v>
      </c>
      <c r="J336" s="16" t="n">
        <f aca="false">IF(AND(E336&lt;&gt;"",F336-E336&lt;=Assumptions!$B$9),25,0)</f>
        <v>25</v>
      </c>
      <c r="K336" s="16" t="n">
        <f aca="false">IF(ISNUMBER(SEARCH(D336,Assumptions!$B$10)),15,0)</f>
        <v>0</v>
      </c>
      <c r="L336" s="16" t="n">
        <f aca="false">H336+I336+J336+K336</f>
        <v>45</v>
      </c>
      <c r="M336" s="16" t="str">
        <f aca="false">IF(L336&gt;=60,"High",IF(L336&gt;=30,"Medium","Low"))</f>
        <v>Medium</v>
      </c>
    </row>
    <row r="337" customFormat="false" ht="15" hidden="false" customHeight="false" outlineLevel="0" collapsed="false">
      <c r="A337" s="16" t="str">
        <f aca="false">Payment_Log_AP!A334</f>
        <v>PAY40333</v>
      </c>
      <c r="B337" s="16" t="str">
        <f aca="false">Payment_Log_AP!C334</f>
        <v>V1021</v>
      </c>
      <c r="C337" s="16" t="str">
        <f aca="false">IFERROR(INDEX(Vendor_Master!$B$2:$B$41,MATCH(B337,Vendor_Master!$A$2:$A$41,0)),"Unknown Vendor")</f>
        <v>Ellis, Baker and Wright</v>
      </c>
      <c r="D337" s="16" t="str">
        <f aca="false">IFERROR(INDEX(Vendor_Master!$D$2:$D$41,MATCH(B337,Vendor_Master!$A$2:$A$41,0)),"Unknown")</f>
        <v>UAE</v>
      </c>
      <c r="E337" s="17" t="n">
        <f aca="false">IFERROR(INDEX(Vendor_Master!$E$2:$E$41,MATCH(B337,Vendor_Master!$A$2:$A$41,0)),"")</f>
        <v>45960</v>
      </c>
      <c r="F337" s="17" t="n">
        <f aca="false">Payment_Log_AP!D334</f>
        <v>45741</v>
      </c>
      <c r="G337" s="18" t="n">
        <f aca="false">Payment_Log_AP!E334</f>
        <v>3156.13</v>
      </c>
      <c r="H337" s="16" t="n">
        <f aca="false">IF(G337&gt;=Assumptions!$B$7,40,IF(G337&gt;=Assumptions!$B$8,20,0))</f>
        <v>0</v>
      </c>
      <c r="I337" s="16" t="n">
        <f aca="false">IF(MOD(G337,500)=0,20,IF(MOD(G337,100)=0,10,0))</f>
        <v>0</v>
      </c>
      <c r="J337" s="16" t="n">
        <f aca="false">IF(AND(E337&lt;&gt;"",F337-E337&lt;=Assumptions!$B$9),25,0)</f>
        <v>25</v>
      </c>
      <c r="K337" s="16" t="n">
        <f aca="false">IF(ISNUMBER(SEARCH(D337,Assumptions!$B$10)),15,0)</f>
        <v>15</v>
      </c>
      <c r="L337" s="16" t="n">
        <f aca="false">H337+I337+J337+K337</f>
        <v>40</v>
      </c>
      <c r="M337" s="16" t="str">
        <f aca="false">IF(L337&gt;=60,"High",IF(L337&gt;=30,"Medium","Low"))</f>
        <v>Medium</v>
      </c>
    </row>
    <row r="338" customFormat="false" ht="15" hidden="false" customHeight="false" outlineLevel="0" collapsed="false">
      <c r="A338" s="16" t="str">
        <f aca="false">Payment_Log_AP!A335</f>
        <v>PAY40334</v>
      </c>
      <c r="B338" s="16" t="str">
        <f aca="false">Payment_Log_AP!C335</f>
        <v>V1037</v>
      </c>
      <c r="C338" s="16" t="str">
        <f aca="false">IFERROR(INDEX(Vendor_Master!$B$2:$B$41,MATCH(B338,Vendor_Master!$A$2:$A$41,0)),"Unknown Vendor")</f>
        <v>Cannon, Anderson and Alvarez</v>
      </c>
      <c r="D338" s="16" t="str">
        <f aca="false">IFERROR(INDEX(Vendor_Master!$D$2:$D$41,MATCH(B338,Vendor_Master!$A$2:$A$41,0)),"Unknown")</f>
        <v>India</v>
      </c>
      <c r="E338" s="17" t="n">
        <f aca="false">IFERROR(INDEX(Vendor_Master!$E$2:$E$41,MATCH(B338,Vendor_Master!$A$2:$A$41,0)),"")</f>
        <v>46108</v>
      </c>
      <c r="F338" s="17" t="n">
        <f aca="false">Payment_Log_AP!D335</f>
        <v>46067</v>
      </c>
      <c r="G338" s="18" t="n">
        <f aca="false">Payment_Log_AP!E335</f>
        <v>4442.2</v>
      </c>
      <c r="H338" s="16" t="n">
        <f aca="false">IF(G338&gt;=Assumptions!$B$7,40,IF(G338&gt;=Assumptions!$B$8,20,0))</f>
        <v>0</v>
      </c>
      <c r="I338" s="16" t="n">
        <f aca="false">IF(MOD(G338,500)=0,20,IF(MOD(G338,100)=0,10,0))</f>
        <v>0</v>
      </c>
      <c r="J338" s="16" t="n">
        <f aca="false">IF(AND(E338&lt;&gt;"",F338-E338&lt;=Assumptions!$B$9),25,0)</f>
        <v>25</v>
      </c>
      <c r="K338" s="16" t="n">
        <f aca="false">IF(ISNUMBER(SEARCH(D338,Assumptions!$B$10)),15,0)</f>
        <v>15</v>
      </c>
      <c r="L338" s="16" t="n">
        <f aca="false">H338+I338+J338+K338</f>
        <v>40</v>
      </c>
      <c r="M338" s="16" t="str">
        <f aca="false">IF(L338&gt;=60,"High",IF(L338&gt;=30,"Medium","Low"))</f>
        <v>Medium</v>
      </c>
    </row>
    <row r="339" customFormat="false" ht="15" hidden="false" customHeight="false" outlineLevel="0" collapsed="false">
      <c r="A339" s="16" t="str">
        <f aca="false">Payment_Log_AP!A336</f>
        <v>PAY40335</v>
      </c>
      <c r="B339" s="16" t="str">
        <f aca="false">Payment_Log_AP!C336</f>
        <v>V1004</v>
      </c>
      <c r="C339" s="16" t="str">
        <f aca="false">IFERROR(INDEX(Vendor_Master!$B$2:$B$41,MATCH(B339,Vendor_Master!$A$2:$A$41,0)),"Unknown Vendor")</f>
        <v>Johnson, Gonzalez and Santos</v>
      </c>
      <c r="D339" s="16" t="str">
        <f aca="false">IFERROR(INDEX(Vendor_Master!$D$2:$D$41,MATCH(B339,Vendor_Master!$A$2:$A$41,0)),"Unknown")</f>
        <v>Germany</v>
      </c>
      <c r="E339" s="17" t="n">
        <f aca="false">IFERROR(INDEX(Vendor_Master!$E$2:$E$41,MATCH(B339,Vendor_Master!$A$2:$A$41,0)),"")</f>
        <v>44929</v>
      </c>
      <c r="F339" s="17" t="n">
        <f aca="false">Payment_Log_AP!D336</f>
        <v>45970</v>
      </c>
      <c r="G339" s="18" t="n">
        <f aca="false">Payment_Log_AP!E336</f>
        <v>2002.66</v>
      </c>
      <c r="H339" s="16" t="n">
        <f aca="false">IF(G339&gt;=Assumptions!$B$7,40,IF(G339&gt;=Assumptions!$B$8,20,0))</f>
        <v>0</v>
      </c>
      <c r="I339" s="16" t="n">
        <f aca="false">IF(MOD(G339,500)=0,20,IF(MOD(G339,100)=0,10,0))</f>
        <v>0</v>
      </c>
      <c r="J339" s="16" t="n">
        <f aca="false">IF(AND(E339&lt;&gt;"",F339-E339&lt;=Assumptions!$B$9),25,0)</f>
        <v>0</v>
      </c>
      <c r="K339" s="16" t="n">
        <f aca="false">IF(ISNUMBER(SEARCH(D339,Assumptions!$B$10)),15,0)</f>
        <v>0</v>
      </c>
      <c r="L339" s="16" t="n">
        <f aca="false">H339+I339+J339+K339</f>
        <v>0</v>
      </c>
      <c r="M339" s="16" t="str">
        <f aca="false">IF(L339&gt;=60,"High",IF(L339&gt;=30,"Medium","Low"))</f>
        <v>Low</v>
      </c>
    </row>
    <row r="340" customFormat="false" ht="15" hidden="false" customHeight="false" outlineLevel="0" collapsed="false">
      <c r="A340" s="16" t="str">
        <f aca="false">Payment_Log_AP!A337</f>
        <v>PAY40336</v>
      </c>
      <c r="B340" s="16" t="str">
        <f aca="false">Payment_Log_AP!C337</f>
        <v>V1024</v>
      </c>
      <c r="C340" s="16" t="str">
        <f aca="false">IFERROR(INDEX(Vendor_Master!$B$2:$B$41,MATCH(B340,Vendor_Master!$A$2:$A$41,0)),"Unknown Vendor")</f>
        <v>Campos Inc</v>
      </c>
      <c r="D340" s="16" t="str">
        <f aca="false">IFERROR(INDEX(Vendor_Master!$D$2:$D$41,MATCH(B340,Vendor_Master!$A$2:$A$41,0)),"Unknown")</f>
        <v>USA</v>
      </c>
      <c r="E340" s="17" t="n">
        <f aca="false">IFERROR(INDEX(Vendor_Master!$E$2:$E$41,MATCH(B340,Vendor_Master!$A$2:$A$41,0)),"")</f>
        <v>45367</v>
      </c>
      <c r="F340" s="17" t="n">
        <f aca="false">Payment_Log_AP!D337</f>
        <v>45969</v>
      </c>
      <c r="G340" s="18" t="n">
        <f aca="false">Payment_Log_AP!E337</f>
        <v>1387.72</v>
      </c>
      <c r="H340" s="16" t="n">
        <f aca="false">IF(G340&gt;=Assumptions!$B$7,40,IF(G340&gt;=Assumptions!$B$8,20,0))</f>
        <v>0</v>
      </c>
      <c r="I340" s="16" t="n">
        <f aca="false">IF(MOD(G340,500)=0,20,IF(MOD(G340,100)=0,10,0))</f>
        <v>0</v>
      </c>
      <c r="J340" s="16" t="n">
        <f aca="false">IF(AND(E340&lt;&gt;"",F340-E340&lt;=Assumptions!$B$9),25,0)</f>
        <v>0</v>
      </c>
      <c r="K340" s="16" t="n">
        <f aca="false">IF(ISNUMBER(SEARCH(D340,Assumptions!$B$10)),15,0)</f>
        <v>0</v>
      </c>
      <c r="L340" s="16" t="n">
        <f aca="false">H340+I340+J340+K340</f>
        <v>0</v>
      </c>
      <c r="M340" s="16" t="str">
        <f aca="false">IF(L340&gt;=60,"High",IF(L340&gt;=30,"Medium","Low"))</f>
        <v>Low</v>
      </c>
    </row>
    <row r="341" customFormat="false" ht="15" hidden="false" customHeight="false" outlineLevel="0" collapsed="false">
      <c r="A341" s="16" t="str">
        <f aca="false">Payment_Log_AP!A338</f>
        <v>PAY40337</v>
      </c>
      <c r="B341" s="16" t="str">
        <f aca="false">Payment_Log_AP!C338</f>
        <v>V1034</v>
      </c>
      <c r="C341" s="16" t="str">
        <f aca="false">IFERROR(INDEX(Vendor_Master!$B$2:$B$41,MATCH(B341,Vendor_Master!$A$2:$A$41,0)),"Unknown Vendor")</f>
        <v>Koch-Decker</v>
      </c>
      <c r="D341" s="16" t="str">
        <f aca="false">IFERROR(INDEX(Vendor_Master!$D$2:$D$41,MATCH(B341,Vendor_Master!$A$2:$A$41,0)),"Unknown")</f>
        <v>Germany</v>
      </c>
      <c r="E341" s="17" t="n">
        <f aca="false">IFERROR(INDEX(Vendor_Master!$E$2:$E$41,MATCH(B341,Vendor_Master!$A$2:$A$41,0)),"")</f>
        <v>44738</v>
      </c>
      <c r="F341" s="17" t="n">
        <f aca="false">Payment_Log_AP!D338</f>
        <v>45752</v>
      </c>
      <c r="G341" s="18" t="n">
        <f aca="false">Payment_Log_AP!E338</f>
        <v>2387.19</v>
      </c>
      <c r="H341" s="16" t="n">
        <f aca="false">IF(G341&gt;=Assumptions!$B$7,40,IF(G341&gt;=Assumptions!$B$8,20,0))</f>
        <v>0</v>
      </c>
      <c r="I341" s="16" t="n">
        <f aca="false">IF(MOD(G341,500)=0,20,IF(MOD(G341,100)=0,10,0))</f>
        <v>0</v>
      </c>
      <c r="J341" s="16" t="n">
        <f aca="false">IF(AND(E341&lt;&gt;"",F341-E341&lt;=Assumptions!$B$9),25,0)</f>
        <v>0</v>
      </c>
      <c r="K341" s="16" t="n">
        <f aca="false">IF(ISNUMBER(SEARCH(D341,Assumptions!$B$10)),15,0)</f>
        <v>0</v>
      </c>
      <c r="L341" s="16" t="n">
        <f aca="false">H341+I341+J341+K341</f>
        <v>0</v>
      </c>
      <c r="M341" s="16" t="str">
        <f aca="false">IF(L341&gt;=60,"High",IF(L341&gt;=30,"Medium","Low"))</f>
        <v>Low</v>
      </c>
    </row>
    <row r="342" customFormat="false" ht="15" hidden="false" customHeight="false" outlineLevel="0" collapsed="false">
      <c r="A342" s="16" t="str">
        <f aca="false">Payment_Log_AP!A339</f>
        <v>PAY40338</v>
      </c>
      <c r="B342" s="16" t="str">
        <f aca="false">Payment_Log_AP!C339</f>
        <v>V1015</v>
      </c>
      <c r="C342" s="16" t="str">
        <f aca="false">IFERROR(INDEX(Vendor_Master!$B$2:$B$41,MATCH(B342,Vendor_Master!$A$2:$A$41,0)),"Unknown Vendor")</f>
        <v>Zuniga, Wong and Lynch</v>
      </c>
      <c r="D342" s="16" t="str">
        <f aca="false">IFERROR(INDEX(Vendor_Master!$D$2:$D$41,MATCH(B342,Vendor_Master!$A$2:$A$41,0)),"Unknown")</f>
        <v>USA</v>
      </c>
      <c r="E342" s="17" t="n">
        <f aca="false">IFERROR(INDEX(Vendor_Master!$E$2:$E$41,MATCH(B342,Vendor_Master!$A$2:$A$41,0)),"")</f>
        <v>45621</v>
      </c>
      <c r="F342" s="17" t="n">
        <f aca="false">Payment_Log_AP!D339</f>
        <v>45699</v>
      </c>
      <c r="G342" s="18" t="n">
        <f aca="false">Payment_Log_AP!E339</f>
        <v>4785.43</v>
      </c>
      <c r="H342" s="16" t="n">
        <f aca="false">IF(G342&gt;=Assumptions!$B$7,40,IF(G342&gt;=Assumptions!$B$8,20,0))</f>
        <v>0</v>
      </c>
      <c r="I342" s="16" t="n">
        <f aca="false">IF(MOD(G342,500)=0,20,IF(MOD(G342,100)=0,10,0))</f>
        <v>0</v>
      </c>
      <c r="J342" s="16" t="n">
        <f aca="false">IF(AND(E342&lt;&gt;"",F342-E342&lt;=Assumptions!$B$9),25,0)</f>
        <v>25</v>
      </c>
      <c r="K342" s="16" t="n">
        <f aca="false">IF(ISNUMBER(SEARCH(D342,Assumptions!$B$10)),15,0)</f>
        <v>0</v>
      </c>
      <c r="L342" s="16" t="n">
        <f aca="false">H342+I342+J342+K342</f>
        <v>25</v>
      </c>
      <c r="M342" s="16" t="str">
        <f aca="false">IF(L342&gt;=60,"High",IF(L342&gt;=30,"Medium","Low"))</f>
        <v>Low</v>
      </c>
    </row>
    <row r="343" customFormat="false" ht="15" hidden="false" customHeight="false" outlineLevel="0" collapsed="false">
      <c r="A343" s="16" t="str">
        <f aca="false">Payment_Log_AP!A340</f>
        <v>PAY40339</v>
      </c>
      <c r="B343" s="16" t="str">
        <f aca="false">Payment_Log_AP!C340</f>
        <v>V1004</v>
      </c>
      <c r="C343" s="16" t="str">
        <f aca="false">IFERROR(INDEX(Vendor_Master!$B$2:$B$41,MATCH(B343,Vendor_Master!$A$2:$A$41,0)),"Unknown Vendor")</f>
        <v>Johnson, Gonzalez and Santos</v>
      </c>
      <c r="D343" s="16" t="str">
        <f aca="false">IFERROR(INDEX(Vendor_Master!$D$2:$D$41,MATCH(B343,Vendor_Master!$A$2:$A$41,0)),"Unknown")</f>
        <v>Germany</v>
      </c>
      <c r="E343" s="17" t="n">
        <f aca="false">IFERROR(INDEX(Vendor_Master!$E$2:$E$41,MATCH(B343,Vendor_Master!$A$2:$A$41,0)),"")</f>
        <v>44929</v>
      </c>
      <c r="F343" s="17" t="n">
        <f aca="false">Payment_Log_AP!D340</f>
        <v>45934</v>
      </c>
      <c r="G343" s="18" t="n">
        <f aca="false">Payment_Log_AP!E340</f>
        <v>543.23</v>
      </c>
      <c r="H343" s="16" t="n">
        <f aca="false">IF(G343&gt;=Assumptions!$B$7,40,IF(G343&gt;=Assumptions!$B$8,20,0))</f>
        <v>0</v>
      </c>
      <c r="I343" s="16" t="n">
        <f aca="false">IF(MOD(G343,500)=0,20,IF(MOD(G343,100)=0,10,0))</f>
        <v>0</v>
      </c>
      <c r="J343" s="16" t="n">
        <f aca="false">IF(AND(E343&lt;&gt;"",F343-E343&lt;=Assumptions!$B$9),25,0)</f>
        <v>0</v>
      </c>
      <c r="K343" s="16" t="n">
        <f aca="false">IF(ISNUMBER(SEARCH(D343,Assumptions!$B$10)),15,0)</f>
        <v>0</v>
      </c>
      <c r="L343" s="16" t="n">
        <f aca="false">H343+I343+J343+K343</f>
        <v>0</v>
      </c>
      <c r="M343" s="16" t="str">
        <f aca="false">IF(L343&gt;=60,"High",IF(L343&gt;=30,"Medium","Low"))</f>
        <v>Low</v>
      </c>
    </row>
    <row r="344" customFormat="false" ht="15" hidden="false" customHeight="false" outlineLevel="0" collapsed="false">
      <c r="A344" s="16" t="str">
        <f aca="false">Payment_Log_AP!A341</f>
        <v>PAY40340</v>
      </c>
      <c r="B344" s="16" t="str">
        <f aca="false">Payment_Log_AP!C341</f>
        <v>V1027</v>
      </c>
      <c r="C344" s="16" t="str">
        <f aca="false">IFERROR(INDEX(Vendor_Master!$B$2:$B$41,MATCH(B344,Vendor_Master!$A$2:$A$41,0)),"Unknown Vendor")</f>
        <v>Valencia, Smith and Le</v>
      </c>
      <c r="D344" s="16" t="str">
        <f aca="false">IFERROR(INDEX(Vendor_Master!$D$2:$D$41,MATCH(B344,Vendor_Master!$A$2:$A$41,0)),"Unknown")</f>
        <v>Germany</v>
      </c>
      <c r="E344" s="17" t="n">
        <f aca="false">IFERROR(INDEX(Vendor_Master!$E$2:$E$41,MATCH(B344,Vendor_Master!$A$2:$A$41,0)),"")</f>
        <v>45398</v>
      </c>
      <c r="F344" s="17" t="n">
        <f aca="false">Payment_Log_AP!D341</f>
        <v>45883</v>
      </c>
      <c r="G344" s="18" t="n">
        <f aca="false">Payment_Log_AP!E341</f>
        <v>327.34</v>
      </c>
      <c r="H344" s="16" t="n">
        <f aca="false">IF(G344&gt;=Assumptions!$B$7,40,IF(G344&gt;=Assumptions!$B$8,20,0))</f>
        <v>0</v>
      </c>
      <c r="I344" s="16" t="n">
        <f aca="false">IF(MOD(G344,500)=0,20,IF(MOD(G344,100)=0,10,0))</f>
        <v>0</v>
      </c>
      <c r="J344" s="16" t="n">
        <f aca="false">IF(AND(E344&lt;&gt;"",F344-E344&lt;=Assumptions!$B$9),25,0)</f>
        <v>0</v>
      </c>
      <c r="K344" s="16" t="n">
        <f aca="false">IF(ISNUMBER(SEARCH(D344,Assumptions!$B$10)),15,0)</f>
        <v>0</v>
      </c>
      <c r="L344" s="16" t="n">
        <f aca="false">H344+I344+J344+K344</f>
        <v>0</v>
      </c>
      <c r="M344" s="16" t="str">
        <f aca="false">IF(L344&gt;=60,"High",IF(L344&gt;=30,"Medium","Low"))</f>
        <v>Low</v>
      </c>
    </row>
    <row r="345" customFormat="false" ht="15" hidden="false" customHeight="false" outlineLevel="0" collapsed="false">
      <c r="A345" s="16" t="str">
        <f aca="false">Payment_Log_AP!A342</f>
        <v>PAY40341</v>
      </c>
      <c r="B345" s="16" t="str">
        <f aca="false">Payment_Log_AP!C342</f>
        <v>V1027</v>
      </c>
      <c r="C345" s="16" t="str">
        <f aca="false">IFERROR(INDEX(Vendor_Master!$B$2:$B$41,MATCH(B345,Vendor_Master!$A$2:$A$41,0)),"Unknown Vendor")</f>
        <v>Valencia, Smith and Le</v>
      </c>
      <c r="D345" s="16" t="str">
        <f aca="false">IFERROR(INDEX(Vendor_Master!$D$2:$D$41,MATCH(B345,Vendor_Master!$A$2:$A$41,0)),"Unknown")</f>
        <v>Germany</v>
      </c>
      <c r="E345" s="17" t="n">
        <f aca="false">IFERROR(INDEX(Vendor_Master!$E$2:$E$41,MATCH(B345,Vendor_Master!$A$2:$A$41,0)),"")</f>
        <v>45398</v>
      </c>
      <c r="F345" s="17" t="n">
        <f aca="false">Payment_Log_AP!D342</f>
        <v>45863</v>
      </c>
      <c r="G345" s="18" t="n">
        <f aca="false">Payment_Log_AP!E342</f>
        <v>327.34</v>
      </c>
      <c r="H345" s="16" t="n">
        <f aca="false">IF(G345&gt;=Assumptions!$B$7,40,IF(G345&gt;=Assumptions!$B$8,20,0))</f>
        <v>0</v>
      </c>
      <c r="I345" s="16" t="n">
        <f aca="false">IF(MOD(G345,500)=0,20,IF(MOD(G345,100)=0,10,0))</f>
        <v>0</v>
      </c>
      <c r="J345" s="16" t="n">
        <f aca="false">IF(AND(E345&lt;&gt;"",F345-E345&lt;=Assumptions!$B$9),25,0)</f>
        <v>0</v>
      </c>
      <c r="K345" s="16" t="n">
        <f aca="false">IF(ISNUMBER(SEARCH(D345,Assumptions!$B$10)),15,0)</f>
        <v>0</v>
      </c>
      <c r="L345" s="16" t="n">
        <f aca="false">H345+I345+J345+K345</f>
        <v>0</v>
      </c>
      <c r="M345" s="16" t="str">
        <f aca="false">IF(L345&gt;=60,"High",IF(L345&gt;=30,"Medium","Low"))</f>
        <v>Low</v>
      </c>
    </row>
    <row r="346" customFormat="false" ht="15" hidden="false" customHeight="false" outlineLevel="0" collapsed="false">
      <c r="A346" s="16" t="str">
        <f aca="false">Payment_Log_AP!A343</f>
        <v>PAY40342</v>
      </c>
      <c r="B346" s="16" t="str">
        <f aca="false">Payment_Log_AP!C343</f>
        <v>V1004</v>
      </c>
      <c r="C346" s="16" t="str">
        <f aca="false">IFERROR(INDEX(Vendor_Master!$B$2:$B$41,MATCH(B346,Vendor_Master!$A$2:$A$41,0)),"Unknown Vendor")</f>
        <v>Johnson, Gonzalez and Santos</v>
      </c>
      <c r="D346" s="16" t="str">
        <f aca="false">IFERROR(INDEX(Vendor_Master!$D$2:$D$41,MATCH(B346,Vendor_Master!$A$2:$A$41,0)),"Unknown")</f>
        <v>Germany</v>
      </c>
      <c r="E346" s="17" t="n">
        <f aca="false">IFERROR(INDEX(Vendor_Master!$E$2:$E$41,MATCH(B346,Vendor_Master!$A$2:$A$41,0)),"")</f>
        <v>44929</v>
      </c>
      <c r="F346" s="17" t="n">
        <f aca="false">Payment_Log_AP!D343</f>
        <v>45826</v>
      </c>
      <c r="G346" s="18" t="n">
        <f aca="false">Payment_Log_AP!E343</f>
        <v>2106.84</v>
      </c>
      <c r="H346" s="16" t="n">
        <f aca="false">IF(G346&gt;=Assumptions!$B$7,40,IF(G346&gt;=Assumptions!$B$8,20,0))</f>
        <v>0</v>
      </c>
      <c r="I346" s="16" t="n">
        <f aca="false">IF(MOD(G346,500)=0,20,IF(MOD(G346,100)=0,10,0))</f>
        <v>0</v>
      </c>
      <c r="J346" s="16" t="n">
        <f aca="false">IF(AND(E346&lt;&gt;"",F346-E346&lt;=Assumptions!$B$9),25,0)</f>
        <v>0</v>
      </c>
      <c r="K346" s="16" t="n">
        <f aca="false">IF(ISNUMBER(SEARCH(D346,Assumptions!$B$10)),15,0)</f>
        <v>0</v>
      </c>
      <c r="L346" s="16" t="n">
        <f aca="false">H346+I346+J346+K346</f>
        <v>0</v>
      </c>
      <c r="M346" s="16" t="str">
        <f aca="false">IF(L346&gt;=60,"High",IF(L346&gt;=30,"Medium","Low"))</f>
        <v>Low</v>
      </c>
    </row>
    <row r="347" customFormat="false" ht="15" hidden="false" customHeight="false" outlineLevel="0" collapsed="false">
      <c r="A347" s="16" t="str">
        <f aca="false">Payment_Log_AP!A344</f>
        <v>PAY40343</v>
      </c>
      <c r="B347" s="16" t="str">
        <f aca="false">Payment_Log_AP!C344</f>
        <v>V1020</v>
      </c>
      <c r="C347" s="16" t="str">
        <f aca="false">IFERROR(INDEX(Vendor_Master!$B$2:$B$41,MATCH(B347,Vendor_Master!$A$2:$A$41,0)),"Unknown Vendor")</f>
        <v>Lewis-Porter</v>
      </c>
      <c r="D347" s="16" t="str">
        <f aca="false">IFERROR(INDEX(Vendor_Master!$D$2:$D$41,MATCH(B347,Vendor_Master!$A$2:$A$41,0)),"Unknown")</f>
        <v>UAE</v>
      </c>
      <c r="E347" s="17" t="n">
        <f aca="false">IFERROR(INDEX(Vendor_Master!$E$2:$E$41,MATCH(B347,Vendor_Master!$A$2:$A$41,0)),"")</f>
        <v>45947</v>
      </c>
      <c r="F347" s="17" t="n">
        <f aca="false">Payment_Log_AP!D344</f>
        <v>45746</v>
      </c>
      <c r="G347" s="18" t="n">
        <f aca="false">Payment_Log_AP!E344</f>
        <v>175.5</v>
      </c>
      <c r="H347" s="16" t="n">
        <f aca="false">IF(G347&gt;=Assumptions!$B$7,40,IF(G347&gt;=Assumptions!$B$8,20,0))</f>
        <v>0</v>
      </c>
      <c r="I347" s="16" t="n">
        <f aca="false">IF(MOD(G347,500)=0,20,IF(MOD(G347,100)=0,10,0))</f>
        <v>0</v>
      </c>
      <c r="J347" s="16" t="n">
        <f aca="false">IF(AND(E347&lt;&gt;"",F347-E347&lt;=Assumptions!$B$9),25,0)</f>
        <v>25</v>
      </c>
      <c r="K347" s="16" t="n">
        <f aca="false">IF(ISNUMBER(SEARCH(D347,Assumptions!$B$10)),15,0)</f>
        <v>15</v>
      </c>
      <c r="L347" s="16" t="n">
        <f aca="false">H347+I347+J347+K347</f>
        <v>40</v>
      </c>
      <c r="M347" s="16" t="str">
        <f aca="false">IF(L347&gt;=60,"High",IF(L347&gt;=30,"Medium","Low"))</f>
        <v>Medium</v>
      </c>
    </row>
    <row r="348" customFormat="false" ht="15" hidden="false" customHeight="false" outlineLevel="0" collapsed="false">
      <c r="A348" s="16" t="str">
        <f aca="false">Payment_Log_AP!A345</f>
        <v>PAY40344</v>
      </c>
      <c r="B348" s="16" t="str">
        <f aca="false">Payment_Log_AP!C345</f>
        <v>V1024</v>
      </c>
      <c r="C348" s="16" t="str">
        <f aca="false">IFERROR(INDEX(Vendor_Master!$B$2:$B$41,MATCH(B348,Vendor_Master!$A$2:$A$41,0)),"Unknown Vendor")</f>
        <v>Campos Inc</v>
      </c>
      <c r="D348" s="16" t="str">
        <f aca="false">IFERROR(INDEX(Vendor_Master!$D$2:$D$41,MATCH(B348,Vendor_Master!$A$2:$A$41,0)),"Unknown")</f>
        <v>USA</v>
      </c>
      <c r="E348" s="17" t="n">
        <f aca="false">IFERROR(INDEX(Vendor_Master!$E$2:$E$41,MATCH(B348,Vendor_Master!$A$2:$A$41,0)),"")</f>
        <v>45367</v>
      </c>
      <c r="F348" s="17" t="n">
        <f aca="false">Payment_Log_AP!D345</f>
        <v>46146</v>
      </c>
      <c r="G348" s="18" t="n">
        <f aca="false">Payment_Log_AP!E345</f>
        <v>3683.41</v>
      </c>
      <c r="H348" s="16" t="n">
        <f aca="false">IF(G348&gt;=Assumptions!$B$7,40,IF(G348&gt;=Assumptions!$B$8,20,0))</f>
        <v>0</v>
      </c>
      <c r="I348" s="16" t="n">
        <f aca="false">IF(MOD(G348,500)=0,20,IF(MOD(G348,100)=0,10,0))</f>
        <v>0</v>
      </c>
      <c r="J348" s="16" t="n">
        <f aca="false">IF(AND(E348&lt;&gt;"",F348-E348&lt;=Assumptions!$B$9),25,0)</f>
        <v>0</v>
      </c>
      <c r="K348" s="16" t="n">
        <f aca="false">IF(ISNUMBER(SEARCH(D348,Assumptions!$B$10)),15,0)</f>
        <v>0</v>
      </c>
      <c r="L348" s="16" t="n">
        <f aca="false">H348+I348+J348+K348</f>
        <v>0</v>
      </c>
      <c r="M348" s="16" t="str">
        <f aca="false">IF(L348&gt;=60,"High",IF(L348&gt;=30,"Medium","Low"))</f>
        <v>Low</v>
      </c>
    </row>
    <row r="349" customFormat="false" ht="15" hidden="false" customHeight="false" outlineLevel="0" collapsed="false">
      <c r="A349" s="16" t="str">
        <f aca="false">Payment_Log_AP!A346</f>
        <v>PAY40345</v>
      </c>
      <c r="B349" s="16" t="str">
        <f aca="false">Payment_Log_AP!C346</f>
        <v>V1038</v>
      </c>
      <c r="C349" s="16" t="str">
        <f aca="false">IFERROR(INDEX(Vendor_Master!$B$2:$B$41,MATCH(B349,Vendor_Master!$A$2:$A$41,0)),"Unknown Vendor")</f>
        <v>Rose-Obrien</v>
      </c>
      <c r="D349" s="16" t="str">
        <f aca="false">IFERROR(INDEX(Vendor_Master!$D$2:$D$41,MATCH(B349,Vendor_Master!$A$2:$A$41,0)),"Unknown")</f>
        <v>USA</v>
      </c>
      <c r="E349" s="17" t="n">
        <f aca="false">IFERROR(INDEX(Vendor_Master!$E$2:$E$41,MATCH(B349,Vendor_Master!$A$2:$A$41,0)),"")</f>
        <v>45431</v>
      </c>
      <c r="F349" s="17" t="n">
        <f aca="false">Payment_Log_AP!D346</f>
        <v>46004</v>
      </c>
      <c r="G349" s="18" t="n">
        <f aca="false">Payment_Log_AP!E346</f>
        <v>1037.11</v>
      </c>
      <c r="H349" s="16" t="n">
        <f aca="false">IF(G349&gt;=Assumptions!$B$7,40,IF(G349&gt;=Assumptions!$B$8,20,0))</f>
        <v>0</v>
      </c>
      <c r="I349" s="16" t="n">
        <f aca="false">IF(MOD(G349,500)=0,20,IF(MOD(G349,100)=0,10,0))</f>
        <v>0</v>
      </c>
      <c r="J349" s="16" t="n">
        <f aca="false">IF(AND(E349&lt;&gt;"",F349-E349&lt;=Assumptions!$B$9),25,0)</f>
        <v>0</v>
      </c>
      <c r="K349" s="16" t="n">
        <f aca="false">IF(ISNUMBER(SEARCH(D349,Assumptions!$B$10)),15,0)</f>
        <v>0</v>
      </c>
      <c r="L349" s="16" t="n">
        <f aca="false">H349+I349+J349+K349</f>
        <v>0</v>
      </c>
      <c r="M349" s="16" t="str">
        <f aca="false">IF(L349&gt;=60,"High",IF(L349&gt;=30,"Medium","Low"))</f>
        <v>Low</v>
      </c>
    </row>
    <row r="350" customFormat="false" ht="15" hidden="false" customHeight="false" outlineLevel="0" collapsed="false">
      <c r="A350" s="16" t="str">
        <f aca="false">Payment_Log_AP!A347</f>
        <v>PAY40346</v>
      </c>
      <c r="B350" s="16" t="str">
        <f aca="false">Payment_Log_AP!C347</f>
        <v>V1008</v>
      </c>
      <c r="C350" s="16" t="str">
        <f aca="false">IFERROR(INDEX(Vendor_Master!$B$2:$B$41,MATCH(B350,Vendor_Master!$A$2:$A$41,0)),"Unknown Vendor")</f>
        <v>Davis Inc</v>
      </c>
      <c r="D350" s="16" t="str">
        <f aca="false">IFERROR(INDEX(Vendor_Master!$D$2:$D$41,MATCH(B350,Vendor_Master!$A$2:$A$41,0)),"Unknown")</f>
        <v>Canada</v>
      </c>
      <c r="E350" s="17" t="n">
        <f aca="false">IFERROR(INDEX(Vendor_Master!$E$2:$E$41,MATCH(B350,Vendor_Master!$A$2:$A$41,0)),"")</f>
        <v>45769</v>
      </c>
      <c r="F350" s="17" t="n">
        <f aca="false">Payment_Log_AP!D347</f>
        <v>46059</v>
      </c>
      <c r="G350" s="18" t="n">
        <f aca="false">Payment_Log_AP!E347</f>
        <v>688.7</v>
      </c>
      <c r="H350" s="16" t="n">
        <f aca="false">IF(G350&gt;=Assumptions!$B$7,40,IF(G350&gt;=Assumptions!$B$8,20,0))</f>
        <v>0</v>
      </c>
      <c r="I350" s="16" t="n">
        <f aca="false">IF(MOD(G350,500)=0,20,IF(MOD(G350,100)=0,10,0))</f>
        <v>0</v>
      </c>
      <c r="J350" s="16" t="n">
        <f aca="false">IF(AND(E350&lt;&gt;"",F350-E350&lt;=Assumptions!$B$9),25,0)</f>
        <v>0</v>
      </c>
      <c r="K350" s="16" t="n">
        <f aca="false">IF(ISNUMBER(SEARCH(D350,Assumptions!$B$10)),15,0)</f>
        <v>0</v>
      </c>
      <c r="L350" s="16" t="n">
        <f aca="false">H350+I350+J350+K350</f>
        <v>0</v>
      </c>
      <c r="M350" s="16" t="str">
        <f aca="false">IF(L350&gt;=60,"High",IF(L350&gt;=30,"Medium","Low"))</f>
        <v>Low</v>
      </c>
    </row>
    <row r="351" customFormat="false" ht="15" hidden="false" customHeight="false" outlineLevel="0" collapsed="false">
      <c r="A351" s="16" t="str">
        <f aca="false">Payment_Log_AP!A348</f>
        <v>PAY40347</v>
      </c>
      <c r="B351" s="16" t="str">
        <f aca="false">Payment_Log_AP!C348</f>
        <v>V1025</v>
      </c>
      <c r="C351" s="16" t="str">
        <f aca="false">IFERROR(INDEX(Vendor_Master!$B$2:$B$41,MATCH(B351,Vendor_Master!$A$2:$A$41,0)),"Unknown Vendor")</f>
        <v>Conner Group</v>
      </c>
      <c r="D351" s="16" t="str">
        <f aca="false">IFERROR(INDEX(Vendor_Master!$D$2:$D$41,MATCH(B351,Vendor_Master!$A$2:$A$41,0)),"Unknown")</f>
        <v>USA</v>
      </c>
      <c r="E351" s="17" t="n">
        <f aca="false">IFERROR(INDEX(Vendor_Master!$E$2:$E$41,MATCH(B351,Vendor_Master!$A$2:$A$41,0)),"")</f>
        <v>44803</v>
      </c>
      <c r="F351" s="17" t="n">
        <f aca="false">Payment_Log_AP!D348</f>
        <v>45835</v>
      </c>
      <c r="G351" s="18" t="n">
        <f aca="false">Payment_Log_AP!E348</f>
        <v>8582.35</v>
      </c>
      <c r="H351" s="16" t="n">
        <f aca="false">IF(G351&gt;=Assumptions!$B$7,40,IF(G351&gt;=Assumptions!$B$8,20,0))</f>
        <v>20</v>
      </c>
      <c r="I351" s="16" t="n">
        <f aca="false">IF(MOD(G351,500)=0,20,IF(MOD(G351,100)=0,10,0))</f>
        <v>0</v>
      </c>
      <c r="J351" s="16" t="n">
        <f aca="false">IF(AND(E351&lt;&gt;"",F351-E351&lt;=Assumptions!$B$9),25,0)</f>
        <v>0</v>
      </c>
      <c r="K351" s="16" t="n">
        <f aca="false">IF(ISNUMBER(SEARCH(D351,Assumptions!$B$10)),15,0)</f>
        <v>0</v>
      </c>
      <c r="L351" s="16" t="n">
        <f aca="false">H351+I351+J351+K351</f>
        <v>20</v>
      </c>
      <c r="M351" s="16" t="str">
        <f aca="false">IF(L351&gt;=60,"High",IF(L351&gt;=30,"Medium","Low"))</f>
        <v>Low</v>
      </c>
    </row>
    <row r="352" customFormat="false" ht="15" hidden="false" customHeight="false" outlineLevel="0" collapsed="false">
      <c r="A352" s="16" t="str">
        <f aca="false">Payment_Log_AP!A349</f>
        <v>PAY40348</v>
      </c>
      <c r="B352" s="16" t="str">
        <f aca="false">Payment_Log_AP!C349</f>
        <v>V1011</v>
      </c>
      <c r="C352" s="16" t="str">
        <f aca="false">IFERROR(INDEX(Vendor_Master!$B$2:$B$41,MATCH(B352,Vendor_Master!$A$2:$A$41,0)),"Unknown Vendor")</f>
        <v>Montgomery, Hensley and Ray</v>
      </c>
      <c r="D352" s="16" t="str">
        <f aca="false">IFERROR(INDEX(Vendor_Master!$D$2:$D$41,MATCH(B352,Vendor_Master!$A$2:$A$41,0)),"Unknown")</f>
        <v>USA</v>
      </c>
      <c r="E352" s="17" t="n">
        <f aca="false">IFERROR(INDEX(Vendor_Master!$E$2:$E$41,MATCH(B352,Vendor_Master!$A$2:$A$41,0)),"")</f>
        <v>45025</v>
      </c>
      <c r="F352" s="17" t="n">
        <f aca="false">Payment_Log_AP!D349</f>
        <v>45709</v>
      </c>
      <c r="G352" s="18" t="n">
        <f aca="false">Payment_Log_AP!E349</f>
        <v>4765.55</v>
      </c>
      <c r="H352" s="16" t="n">
        <f aca="false">IF(G352&gt;=Assumptions!$B$7,40,IF(G352&gt;=Assumptions!$B$8,20,0))</f>
        <v>0</v>
      </c>
      <c r="I352" s="16" t="n">
        <f aca="false">IF(MOD(G352,500)=0,20,IF(MOD(G352,100)=0,10,0))</f>
        <v>0</v>
      </c>
      <c r="J352" s="16" t="n">
        <f aca="false">IF(AND(E352&lt;&gt;"",F352-E352&lt;=Assumptions!$B$9),25,0)</f>
        <v>0</v>
      </c>
      <c r="K352" s="16" t="n">
        <f aca="false">IF(ISNUMBER(SEARCH(D352,Assumptions!$B$10)),15,0)</f>
        <v>0</v>
      </c>
      <c r="L352" s="16" t="n">
        <f aca="false">H352+I352+J352+K352</f>
        <v>0</v>
      </c>
      <c r="M352" s="16" t="str">
        <f aca="false">IF(L352&gt;=60,"High",IF(L352&gt;=30,"Medium","Low"))</f>
        <v>Low</v>
      </c>
    </row>
    <row r="353" customFormat="false" ht="15" hidden="false" customHeight="false" outlineLevel="0" collapsed="false">
      <c r="A353" s="16" t="str">
        <f aca="false">Payment_Log_AP!A350</f>
        <v>PAY40349</v>
      </c>
      <c r="B353" s="16" t="str">
        <f aca="false">Payment_Log_AP!C350</f>
        <v>V1002</v>
      </c>
      <c r="C353" s="16" t="str">
        <f aca="false">IFERROR(INDEX(Vendor_Master!$B$2:$B$41,MATCH(B353,Vendor_Master!$A$2:$A$41,0)),"Unknown Vendor")</f>
        <v>Garcia, Yang and Gardner</v>
      </c>
      <c r="D353" s="16" t="str">
        <f aca="false">IFERROR(INDEX(Vendor_Master!$D$2:$D$41,MATCH(B353,Vendor_Master!$A$2:$A$41,0)),"Unknown")</f>
        <v>UK</v>
      </c>
      <c r="E353" s="17" t="n">
        <f aca="false">IFERROR(INDEX(Vendor_Master!$E$2:$E$41,MATCH(B353,Vendor_Master!$A$2:$A$41,0)),"")</f>
        <v>44914</v>
      </c>
      <c r="F353" s="17" t="n">
        <f aca="false">Payment_Log_AP!D350</f>
        <v>46095</v>
      </c>
      <c r="G353" s="18" t="n">
        <f aca="false">Payment_Log_AP!E350</f>
        <v>3276.88</v>
      </c>
      <c r="H353" s="16" t="n">
        <f aca="false">IF(G353&gt;=Assumptions!$B$7,40,IF(G353&gt;=Assumptions!$B$8,20,0))</f>
        <v>0</v>
      </c>
      <c r="I353" s="16" t="n">
        <f aca="false">IF(MOD(G353,500)=0,20,IF(MOD(G353,100)=0,10,0))</f>
        <v>0</v>
      </c>
      <c r="J353" s="16" t="n">
        <f aca="false">IF(AND(E353&lt;&gt;"",F353-E353&lt;=Assumptions!$B$9),25,0)</f>
        <v>0</v>
      </c>
      <c r="K353" s="16" t="n">
        <f aca="false">IF(ISNUMBER(SEARCH(D353,Assumptions!$B$10)),15,0)</f>
        <v>0</v>
      </c>
      <c r="L353" s="16" t="n">
        <f aca="false">H353+I353+J353+K353</f>
        <v>0</v>
      </c>
      <c r="M353" s="16" t="str">
        <f aca="false">IF(L353&gt;=60,"High",IF(L353&gt;=30,"Medium","Low"))</f>
        <v>Low</v>
      </c>
    </row>
    <row r="354" customFormat="false" ht="15" hidden="false" customHeight="false" outlineLevel="0" collapsed="false">
      <c r="A354" s="16" t="str">
        <f aca="false">Payment_Log_AP!A351</f>
        <v>PAY40350</v>
      </c>
      <c r="B354" s="16" t="str">
        <f aca="false">Payment_Log_AP!C351</f>
        <v>V1033</v>
      </c>
      <c r="C354" s="16" t="str">
        <f aca="false">IFERROR(INDEX(Vendor_Master!$B$2:$B$41,MATCH(B354,Vendor_Master!$A$2:$A$41,0)),"Unknown Vendor")</f>
        <v>Sellers, George and Burns</v>
      </c>
      <c r="D354" s="16" t="str">
        <f aca="false">IFERROR(INDEX(Vendor_Master!$D$2:$D$41,MATCH(B354,Vendor_Master!$A$2:$A$41,0)),"Unknown")</f>
        <v>USA</v>
      </c>
      <c r="E354" s="17" t="n">
        <f aca="false">IFERROR(INDEX(Vendor_Master!$E$2:$E$41,MATCH(B354,Vendor_Master!$A$2:$A$41,0)),"")</f>
        <v>45414</v>
      </c>
      <c r="F354" s="17" t="n">
        <f aca="false">Payment_Log_AP!D351</f>
        <v>45933</v>
      </c>
      <c r="G354" s="18" t="n">
        <f aca="false">Payment_Log_AP!E351</f>
        <v>1027.11</v>
      </c>
      <c r="H354" s="16" t="n">
        <f aca="false">IF(G354&gt;=Assumptions!$B$7,40,IF(G354&gt;=Assumptions!$B$8,20,0))</f>
        <v>0</v>
      </c>
      <c r="I354" s="16" t="n">
        <f aca="false">IF(MOD(G354,500)=0,20,IF(MOD(G354,100)=0,10,0))</f>
        <v>0</v>
      </c>
      <c r="J354" s="16" t="n">
        <f aca="false">IF(AND(E354&lt;&gt;"",F354-E354&lt;=Assumptions!$B$9),25,0)</f>
        <v>0</v>
      </c>
      <c r="K354" s="16" t="n">
        <f aca="false">IF(ISNUMBER(SEARCH(D354,Assumptions!$B$10)),15,0)</f>
        <v>0</v>
      </c>
      <c r="L354" s="16" t="n">
        <f aca="false">H354+I354+J354+K354</f>
        <v>0</v>
      </c>
      <c r="M354" s="16" t="str">
        <f aca="false">IF(L354&gt;=60,"High",IF(L354&gt;=30,"Medium","Low"))</f>
        <v>Low</v>
      </c>
    </row>
    <row r="355" customFormat="false" ht="15" hidden="false" customHeight="false" outlineLevel="0" collapsed="false">
      <c r="A355" s="16" t="str">
        <f aca="false">Payment_Log_AP!A352</f>
        <v>PAY40351</v>
      </c>
      <c r="B355" s="16" t="str">
        <f aca="false">Payment_Log_AP!C352</f>
        <v>V1033</v>
      </c>
      <c r="C355" s="16" t="str">
        <f aca="false">IFERROR(INDEX(Vendor_Master!$B$2:$B$41,MATCH(B355,Vendor_Master!$A$2:$A$41,0)),"Unknown Vendor")</f>
        <v>Sellers, George and Burns</v>
      </c>
      <c r="D355" s="16" t="str">
        <f aca="false">IFERROR(INDEX(Vendor_Master!$D$2:$D$41,MATCH(B355,Vendor_Master!$A$2:$A$41,0)),"Unknown")</f>
        <v>USA</v>
      </c>
      <c r="E355" s="17" t="n">
        <f aca="false">IFERROR(INDEX(Vendor_Master!$E$2:$E$41,MATCH(B355,Vendor_Master!$A$2:$A$41,0)),"")</f>
        <v>45414</v>
      </c>
      <c r="F355" s="17" t="n">
        <f aca="false">Payment_Log_AP!D352</f>
        <v>45949</v>
      </c>
      <c r="G355" s="18" t="n">
        <f aca="false">Payment_Log_AP!E352</f>
        <v>1027.11</v>
      </c>
      <c r="H355" s="16" t="n">
        <f aca="false">IF(G355&gt;=Assumptions!$B$7,40,IF(G355&gt;=Assumptions!$B$8,20,0))</f>
        <v>0</v>
      </c>
      <c r="I355" s="16" t="n">
        <f aca="false">IF(MOD(G355,500)=0,20,IF(MOD(G355,100)=0,10,0))</f>
        <v>0</v>
      </c>
      <c r="J355" s="16" t="n">
        <f aca="false">IF(AND(E355&lt;&gt;"",F355-E355&lt;=Assumptions!$B$9),25,0)</f>
        <v>0</v>
      </c>
      <c r="K355" s="16" t="n">
        <f aca="false">IF(ISNUMBER(SEARCH(D355,Assumptions!$B$10)),15,0)</f>
        <v>0</v>
      </c>
      <c r="L355" s="16" t="n">
        <f aca="false">H355+I355+J355+K355</f>
        <v>0</v>
      </c>
      <c r="M355" s="16" t="str">
        <f aca="false">IF(L355&gt;=60,"High",IF(L355&gt;=30,"Medium","Low"))</f>
        <v>Low</v>
      </c>
    </row>
    <row r="356" customFormat="false" ht="15" hidden="false" customHeight="false" outlineLevel="0" collapsed="false">
      <c r="A356" s="16" t="str">
        <f aca="false">Payment_Log_AP!A353</f>
        <v>PAY40352</v>
      </c>
      <c r="B356" s="16" t="str">
        <f aca="false">Payment_Log_AP!C353</f>
        <v>V1030</v>
      </c>
      <c r="C356" s="16" t="str">
        <f aca="false">IFERROR(INDEX(Vendor_Master!$B$2:$B$41,MATCH(B356,Vendor_Master!$A$2:$A$41,0)),"Unknown Vendor")</f>
        <v>Stanton-Gill</v>
      </c>
      <c r="D356" s="16" t="str">
        <f aca="false">IFERROR(INDEX(Vendor_Master!$D$2:$D$41,MATCH(B356,Vendor_Master!$A$2:$A$41,0)),"Unknown")</f>
        <v>UK</v>
      </c>
      <c r="E356" s="17" t="n">
        <f aca="false">IFERROR(INDEX(Vendor_Master!$E$2:$E$41,MATCH(B356,Vendor_Master!$A$2:$A$41,0)),"")</f>
        <v>45946</v>
      </c>
      <c r="F356" s="17" t="n">
        <f aca="false">Payment_Log_AP!D353</f>
        <v>46065</v>
      </c>
      <c r="G356" s="18" t="n">
        <f aca="false">Payment_Log_AP!E353</f>
        <v>4853.33</v>
      </c>
      <c r="H356" s="16" t="n">
        <f aca="false">IF(G356&gt;=Assumptions!$B$7,40,IF(G356&gt;=Assumptions!$B$8,20,0))</f>
        <v>0</v>
      </c>
      <c r="I356" s="16" t="n">
        <f aca="false">IF(MOD(G356,500)=0,20,IF(MOD(G356,100)=0,10,0))</f>
        <v>0</v>
      </c>
      <c r="J356" s="16" t="n">
        <f aca="false">IF(AND(E356&lt;&gt;"",F356-E356&lt;=Assumptions!$B$9),25,0)</f>
        <v>25</v>
      </c>
      <c r="K356" s="16" t="n">
        <f aca="false">IF(ISNUMBER(SEARCH(D356,Assumptions!$B$10)),15,0)</f>
        <v>0</v>
      </c>
      <c r="L356" s="16" t="n">
        <f aca="false">H356+I356+J356+K356</f>
        <v>25</v>
      </c>
      <c r="M356" s="16" t="str">
        <f aca="false">IF(L356&gt;=60,"High",IF(L356&gt;=30,"Medium","Low"))</f>
        <v>Low</v>
      </c>
    </row>
    <row r="357" customFormat="false" ht="15" hidden="false" customHeight="false" outlineLevel="0" collapsed="false">
      <c r="A357" s="16" t="str">
        <f aca="false">Payment_Log_AP!A354</f>
        <v>PAY40353</v>
      </c>
      <c r="B357" s="16" t="str">
        <f aca="false">Payment_Log_AP!C354</f>
        <v>V1017</v>
      </c>
      <c r="C357" s="16" t="str">
        <f aca="false">IFERROR(INDEX(Vendor_Master!$B$2:$B$41,MATCH(B357,Vendor_Master!$A$2:$A$41,0)),"Unknown Vendor")</f>
        <v>Hawkins, Cohen and Cameron</v>
      </c>
      <c r="D357" s="16" t="str">
        <f aca="false">IFERROR(INDEX(Vendor_Master!$D$2:$D$41,MATCH(B357,Vendor_Master!$A$2:$A$41,0)),"Unknown")</f>
        <v>USA</v>
      </c>
      <c r="E357" s="17" t="n">
        <f aca="false">IFERROR(INDEX(Vendor_Master!$E$2:$E$41,MATCH(B357,Vendor_Master!$A$2:$A$41,0)),"")</f>
        <v>46025</v>
      </c>
      <c r="F357" s="17" t="n">
        <f aca="false">Payment_Log_AP!D354</f>
        <v>46192</v>
      </c>
      <c r="G357" s="18" t="n">
        <f aca="false">Payment_Log_AP!E354</f>
        <v>4213.88</v>
      </c>
      <c r="H357" s="16" t="n">
        <f aca="false">IF(G357&gt;=Assumptions!$B$7,40,IF(G357&gt;=Assumptions!$B$8,20,0))</f>
        <v>0</v>
      </c>
      <c r="I357" s="16" t="n">
        <f aca="false">IF(MOD(G357,500)=0,20,IF(MOD(G357,100)=0,10,0))</f>
        <v>0</v>
      </c>
      <c r="J357" s="16" t="n">
        <f aca="false">IF(AND(E357&lt;&gt;"",F357-E357&lt;=Assumptions!$B$9),25,0)</f>
        <v>25</v>
      </c>
      <c r="K357" s="16" t="n">
        <f aca="false">IF(ISNUMBER(SEARCH(D357,Assumptions!$B$10)),15,0)</f>
        <v>0</v>
      </c>
      <c r="L357" s="16" t="n">
        <f aca="false">H357+I357+J357+K357</f>
        <v>25</v>
      </c>
      <c r="M357" s="16" t="str">
        <f aca="false">IF(L357&gt;=60,"High",IF(L357&gt;=30,"Medium","Low"))</f>
        <v>Low</v>
      </c>
    </row>
    <row r="358" customFormat="false" ht="15" hidden="false" customHeight="false" outlineLevel="0" collapsed="false">
      <c r="A358" s="16" t="str">
        <f aca="false">Payment_Log_AP!A355</f>
        <v>PAY40354</v>
      </c>
      <c r="B358" s="16" t="str">
        <f aca="false">Payment_Log_AP!C355</f>
        <v>V1018</v>
      </c>
      <c r="C358" s="16" t="str">
        <f aca="false">IFERROR(INDEX(Vendor_Master!$B$2:$B$41,MATCH(B358,Vendor_Master!$A$2:$A$41,0)),"Unknown Vendor")</f>
        <v>Underwood LLC</v>
      </c>
      <c r="D358" s="16" t="str">
        <f aca="false">IFERROR(INDEX(Vendor_Master!$D$2:$D$41,MATCH(B358,Vendor_Master!$A$2:$A$41,0)),"Unknown")</f>
        <v>UAE</v>
      </c>
      <c r="E358" s="17" t="n">
        <f aca="false">IFERROR(INDEX(Vendor_Master!$E$2:$E$41,MATCH(B358,Vendor_Master!$A$2:$A$41,0)),"")</f>
        <v>45788</v>
      </c>
      <c r="F358" s="17" t="n">
        <f aca="false">Payment_Log_AP!D355</f>
        <v>45787</v>
      </c>
      <c r="G358" s="18" t="n">
        <f aca="false">Payment_Log_AP!E355</f>
        <v>1024.13</v>
      </c>
      <c r="H358" s="16" t="n">
        <f aca="false">IF(G358&gt;=Assumptions!$B$7,40,IF(G358&gt;=Assumptions!$B$8,20,0))</f>
        <v>0</v>
      </c>
      <c r="I358" s="16" t="n">
        <f aca="false">IF(MOD(G358,500)=0,20,IF(MOD(G358,100)=0,10,0))</f>
        <v>0</v>
      </c>
      <c r="J358" s="16" t="n">
        <f aca="false">IF(AND(E358&lt;&gt;"",F358-E358&lt;=Assumptions!$B$9),25,0)</f>
        <v>25</v>
      </c>
      <c r="K358" s="16" t="n">
        <f aca="false">IF(ISNUMBER(SEARCH(D358,Assumptions!$B$10)),15,0)</f>
        <v>15</v>
      </c>
      <c r="L358" s="16" t="n">
        <f aca="false">H358+I358+J358+K358</f>
        <v>40</v>
      </c>
      <c r="M358" s="16" t="str">
        <f aca="false">IF(L358&gt;=60,"High",IF(L358&gt;=30,"Medium","Low"))</f>
        <v>Medium</v>
      </c>
    </row>
    <row r="359" customFormat="false" ht="15" hidden="false" customHeight="false" outlineLevel="0" collapsed="false">
      <c r="A359" s="16" t="str">
        <f aca="false">Payment_Log_AP!A356</f>
        <v>PAY40355</v>
      </c>
      <c r="B359" s="16" t="str">
        <f aca="false">Payment_Log_AP!C356</f>
        <v>V1002</v>
      </c>
      <c r="C359" s="16" t="str">
        <f aca="false">IFERROR(INDEX(Vendor_Master!$B$2:$B$41,MATCH(B359,Vendor_Master!$A$2:$A$41,0)),"Unknown Vendor")</f>
        <v>Garcia, Yang and Gardner</v>
      </c>
      <c r="D359" s="16" t="str">
        <f aca="false">IFERROR(INDEX(Vendor_Master!$D$2:$D$41,MATCH(B359,Vendor_Master!$A$2:$A$41,0)),"Unknown")</f>
        <v>UK</v>
      </c>
      <c r="E359" s="17" t="n">
        <f aca="false">IFERROR(INDEX(Vendor_Master!$E$2:$E$41,MATCH(B359,Vendor_Master!$A$2:$A$41,0)),"")</f>
        <v>44914</v>
      </c>
      <c r="F359" s="17" t="n">
        <f aca="false">Payment_Log_AP!D356</f>
        <v>45994</v>
      </c>
      <c r="G359" s="18" t="n">
        <f aca="false">Payment_Log_AP!E356</f>
        <v>6836.7</v>
      </c>
      <c r="H359" s="16" t="n">
        <f aca="false">IF(G359&gt;=Assumptions!$B$7,40,IF(G359&gt;=Assumptions!$B$8,20,0))</f>
        <v>20</v>
      </c>
      <c r="I359" s="16" t="n">
        <f aca="false">IF(MOD(G359,500)=0,20,IF(MOD(G359,100)=0,10,0))</f>
        <v>0</v>
      </c>
      <c r="J359" s="16" t="n">
        <f aca="false">IF(AND(E359&lt;&gt;"",F359-E359&lt;=Assumptions!$B$9),25,0)</f>
        <v>0</v>
      </c>
      <c r="K359" s="16" t="n">
        <f aca="false">IF(ISNUMBER(SEARCH(D359,Assumptions!$B$10)),15,0)</f>
        <v>0</v>
      </c>
      <c r="L359" s="16" t="n">
        <f aca="false">H359+I359+J359+K359</f>
        <v>20</v>
      </c>
      <c r="M359" s="16" t="str">
        <f aca="false">IF(L359&gt;=60,"High",IF(L359&gt;=30,"Medium","Low"))</f>
        <v>Low</v>
      </c>
    </row>
    <row r="360" customFormat="false" ht="15" hidden="false" customHeight="false" outlineLevel="0" collapsed="false">
      <c r="A360" s="16" t="str">
        <f aca="false">Payment_Log_AP!A357</f>
        <v>PAY40356</v>
      </c>
      <c r="B360" s="16" t="str">
        <f aca="false">Payment_Log_AP!C357</f>
        <v>V1029</v>
      </c>
      <c r="C360" s="16" t="str">
        <f aca="false">IFERROR(INDEX(Vendor_Master!$B$2:$B$41,MATCH(B360,Vendor_Master!$A$2:$A$41,0)),"Unknown Vendor")</f>
        <v>Chavez Ltd</v>
      </c>
      <c r="D360" s="16" t="str">
        <f aca="false">IFERROR(INDEX(Vendor_Master!$D$2:$D$41,MATCH(B360,Vendor_Master!$A$2:$A$41,0)),"Unknown")</f>
        <v>Singapore</v>
      </c>
      <c r="E360" s="17" t="n">
        <f aca="false">IFERROR(INDEX(Vendor_Master!$E$2:$E$41,MATCH(B360,Vendor_Master!$A$2:$A$41,0)),"")</f>
        <v>45026</v>
      </c>
      <c r="F360" s="17" t="n">
        <f aca="false">Payment_Log_AP!D357</f>
        <v>46058</v>
      </c>
      <c r="G360" s="18" t="n">
        <f aca="false">Payment_Log_AP!E357</f>
        <v>2800.96</v>
      </c>
      <c r="H360" s="16" t="n">
        <f aca="false">IF(G360&gt;=Assumptions!$B$7,40,IF(G360&gt;=Assumptions!$B$8,20,0))</f>
        <v>0</v>
      </c>
      <c r="I360" s="16" t="n">
        <f aca="false">IF(MOD(G360,500)=0,20,IF(MOD(G360,100)=0,10,0))</f>
        <v>0</v>
      </c>
      <c r="J360" s="16" t="n">
        <f aca="false">IF(AND(E360&lt;&gt;"",F360-E360&lt;=Assumptions!$B$9),25,0)</f>
        <v>0</v>
      </c>
      <c r="K360" s="16" t="n">
        <f aca="false">IF(ISNUMBER(SEARCH(D360,Assumptions!$B$10)),15,0)</f>
        <v>15</v>
      </c>
      <c r="L360" s="16" t="n">
        <f aca="false">H360+I360+J360+K360</f>
        <v>15</v>
      </c>
      <c r="M360" s="16" t="str">
        <f aca="false">IF(L360&gt;=60,"High",IF(L360&gt;=30,"Medium","Low"))</f>
        <v>Low</v>
      </c>
    </row>
    <row r="361" customFormat="false" ht="15" hidden="false" customHeight="false" outlineLevel="0" collapsed="false">
      <c r="A361" s="16" t="str">
        <f aca="false">Payment_Log_AP!A358</f>
        <v>PAY40357</v>
      </c>
      <c r="B361" s="16" t="str">
        <f aca="false">Payment_Log_AP!C358</f>
        <v>V1004</v>
      </c>
      <c r="C361" s="16" t="str">
        <f aca="false">IFERROR(INDEX(Vendor_Master!$B$2:$B$41,MATCH(B361,Vendor_Master!$A$2:$A$41,0)),"Unknown Vendor")</f>
        <v>Johnson, Gonzalez and Santos</v>
      </c>
      <c r="D361" s="16" t="str">
        <f aca="false">IFERROR(INDEX(Vendor_Master!$D$2:$D$41,MATCH(B361,Vendor_Master!$A$2:$A$41,0)),"Unknown")</f>
        <v>Germany</v>
      </c>
      <c r="E361" s="17" t="n">
        <f aca="false">IFERROR(INDEX(Vendor_Master!$E$2:$E$41,MATCH(B361,Vendor_Master!$A$2:$A$41,0)),"")</f>
        <v>44929</v>
      </c>
      <c r="F361" s="17" t="n">
        <f aca="false">Payment_Log_AP!D358</f>
        <v>45958</v>
      </c>
      <c r="G361" s="18" t="n">
        <f aca="false">Payment_Log_AP!E358</f>
        <v>2607.21</v>
      </c>
      <c r="H361" s="16" t="n">
        <f aca="false">IF(G361&gt;=Assumptions!$B$7,40,IF(G361&gt;=Assumptions!$B$8,20,0))</f>
        <v>0</v>
      </c>
      <c r="I361" s="16" t="n">
        <f aca="false">IF(MOD(G361,500)=0,20,IF(MOD(G361,100)=0,10,0))</f>
        <v>0</v>
      </c>
      <c r="J361" s="16" t="n">
        <f aca="false">IF(AND(E361&lt;&gt;"",F361-E361&lt;=Assumptions!$B$9),25,0)</f>
        <v>0</v>
      </c>
      <c r="K361" s="16" t="n">
        <f aca="false">IF(ISNUMBER(SEARCH(D361,Assumptions!$B$10)),15,0)</f>
        <v>0</v>
      </c>
      <c r="L361" s="16" t="n">
        <f aca="false">H361+I361+J361+K361</f>
        <v>0</v>
      </c>
      <c r="M361" s="16" t="str">
        <f aca="false">IF(L361&gt;=60,"High",IF(L361&gt;=30,"Medium","Low"))</f>
        <v>Low</v>
      </c>
    </row>
    <row r="362" customFormat="false" ht="15" hidden="false" customHeight="false" outlineLevel="0" collapsed="false">
      <c r="A362" s="16" t="str">
        <f aca="false">Payment_Log_AP!A359</f>
        <v>PAY40358</v>
      </c>
      <c r="B362" s="16" t="str">
        <f aca="false">Payment_Log_AP!C359</f>
        <v>V1014</v>
      </c>
      <c r="C362" s="16" t="str">
        <f aca="false">IFERROR(INDEX(Vendor_Master!$B$2:$B$41,MATCH(B362,Vendor_Master!$A$2:$A$41,0)),"Unknown Vendor")</f>
        <v>Flowers, Martin and Kelly</v>
      </c>
      <c r="D362" s="16" t="str">
        <f aca="false">IFERROR(INDEX(Vendor_Master!$D$2:$D$41,MATCH(B362,Vendor_Master!$A$2:$A$41,0)),"Unknown")</f>
        <v>India</v>
      </c>
      <c r="E362" s="17" t="n">
        <f aca="false">IFERROR(INDEX(Vendor_Master!$E$2:$E$41,MATCH(B362,Vendor_Master!$A$2:$A$41,0)),"")</f>
        <v>45001</v>
      </c>
      <c r="F362" s="17" t="n">
        <f aca="false">Payment_Log_AP!D359</f>
        <v>45742</v>
      </c>
      <c r="G362" s="18" t="n">
        <f aca="false">Payment_Log_AP!E359</f>
        <v>3346.97</v>
      </c>
      <c r="H362" s="16" t="n">
        <f aca="false">IF(G362&gt;=Assumptions!$B$7,40,IF(G362&gt;=Assumptions!$B$8,20,0))</f>
        <v>0</v>
      </c>
      <c r="I362" s="16" t="n">
        <f aca="false">IF(MOD(G362,500)=0,20,IF(MOD(G362,100)=0,10,0))</f>
        <v>0</v>
      </c>
      <c r="J362" s="16" t="n">
        <f aca="false">IF(AND(E362&lt;&gt;"",F362-E362&lt;=Assumptions!$B$9),25,0)</f>
        <v>0</v>
      </c>
      <c r="K362" s="16" t="n">
        <f aca="false">IF(ISNUMBER(SEARCH(D362,Assumptions!$B$10)),15,0)</f>
        <v>15</v>
      </c>
      <c r="L362" s="16" t="n">
        <f aca="false">H362+I362+J362+K362</f>
        <v>15</v>
      </c>
      <c r="M362" s="16" t="str">
        <f aca="false">IF(L362&gt;=60,"High",IF(L362&gt;=30,"Medium","Low"))</f>
        <v>Low</v>
      </c>
    </row>
    <row r="363" customFormat="false" ht="15" hidden="false" customHeight="false" outlineLevel="0" collapsed="false">
      <c r="A363" s="16" t="str">
        <f aca="false">Payment_Log_AP!A360</f>
        <v>PAY40359</v>
      </c>
      <c r="B363" s="16" t="str">
        <f aca="false">Payment_Log_AP!C360</f>
        <v>V1028</v>
      </c>
      <c r="C363" s="16" t="str">
        <f aca="false">IFERROR(INDEX(Vendor_Master!$B$2:$B$41,MATCH(B363,Vendor_Master!$A$2:$A$41,0)),"Unknown Vendor")</f>
        <v>Potter, Mack and Peterson</v>
      </c>
      <c r="D363" s="16" t="str">
        <f aca="false">IFERROR(INDEX(Vendor_Master!$D$2:$D$41,MATCH(B363,Vendor_Master!$A$2:$A$41,0)),"Unknown")</f>
        <v>UK</v>
      </c>
      <c r="E363" s="17" t="n">
        <f aca="false">IFERROR(INDEX(Vendor_Master!$E$2:$E$41,MATCH(B363,Vendor_Master!$A$2:$A$41,0)),"")</f>
        <v>45639</v>
      </c>
      <c r="F363" s="17" t="n">
        <f aca="false">Payment_Log_AP!D360</f>
        <v>45871</v>
      </c>
      <c r="G363" s="18" t="n">
        <f aca="false">Payment_Log_AP!E360</f>
        <v>927.7</v>
      </c>
      <c r="H363" s="16" t="n">
        <f aca="false">IF(G363&gt;=Assumptions!$B$7,40,IF(G363&gt;=Assumptions!$B$8,20,0))</f>
        <v>0</v>
      </c>
      <c r="I363" s="16" t="n">
        <f aca="false">IF(MOD(G363,500)=0,20,IF(MOD(G363,100)=0,10,0))</f>
        <v>0</v>
      </c>
      <c r="J363" s="16" t="n">
        <f aca="false">IF(AND(E363&lt;&gt;"",F363-E363&lt;=Assumptions!$B$9),25,0)</f>
        <v>0</v>
      </c>
      <c r="K363" s="16" t="n">
        <f aca="false">IF(ISNUMBER(SEARCH(D363,Assumptions!$B$10)),15,0)</f>
        <v>0</v>
      </c>
      <c r="L363" s="16" t="n">
        <f aca="false">H363+I363+J363+K363</f>
        <v>0</v>
      </c>
      <c r="M363" s="16" t="str">
        <f aca="false">IF(L363&gt;=60,"High",IF(L363&gt;=30,"Medium","Low"))</f>
        <v>Low</v>
      </c>
    </row>
    <row r="364" customFormat="false" ht="15" hidden="false" customHeight="false" outlineLevel="0" collapsed="false">
      <c r="A364" s="16" t="str">
        <f aca="false">Payment_Log_AP!A361</f>
        <v>PAY40360</v>
      </c>
      <c r="B364" s="16" t="str">
        <f aca="false">Payment_Log_AP!C361</f>
        <v>V1018</v>
      </c>
      <c r="C364" s="16" t="str">
        <f aca="false">IFERROR(INDEX(Vendor_Master!$B$2:$B$41,MATCH(B364,Vendor_Master!$A$2:$A$41,0)),"Unknown Vendor")</f>
        <v>Underwood LLC</v>
      </c>
      <c r="D364" s="16" t="str">
        <f aca="false">IFERROR(INDEX(Vendor_Master!$D$2:$D$41,MATCH(B364,Vendor_Master!$A$2:$A$41,0)),"Unknown")</f>
        <v>UAE</v>
      </c>
      <c r="E364" s="17" t="n">
        <f aca="false">IFERROR(INDEX(Vendor_Master!$E$2:$E$41,MATCH(B364,Vendor_Master!$A$2:$A$41,0)),"")</f>
        <v>45788</v>
      </c>
      <c r="F364" s="17" t="n">
        <f aca="false">Payment_Log_AP!D361</f>
        <v>45871</v>
      </c>
      <c r="G364" s="18" t="n">
        <f aca="false">Payment_Log_AP!E361</f>
        <v>1759.54</v>
      </c>
      <c r="H364" s="16" t="n">
        <f aca="false">IF(G364&gt;=Assumptions!$B$7,40,IF(G364&gt;=Assumptions!$B$8,20,0))</f>
        <v>0</v>
      </c>
      <c r="I364" s="16" t="n">
        <f aca="false">IF(MOD(G364,500)=0,20,IF(MOD(G364,100)=0,10,0))</f>
        <v>0</v>
      </c>
      <c r="J364" s="16" t="n">
        <f aca="false">IF(AND(E364&lt;&gt;"",F364-E364&lt;=Assumptions!$B$9),25,0)</f>
        <v>25</v>
      </c>
      <c r="K364" s="16" t="n">
        <f aca="false">IF(ISNUMBER(SEARCH(D364,Assumptions!$B$10)),15,0)</f>
        <v>15</v>
      </c>
      <c r="L364" s="16" t="n">
        <f aca="false">H364+I364+J364+K364</f>
        <v>40</v>
      </c>
      <c r="M364" s="16" t="str">
        <f aca="false">IF(L364&gt;=60,"High",IF(L364&gt;=30,"Medium","Low"))</f>
        <v>Medium</v>
      </c>
    </row>
    <row r="365" customFormat="false" ht="15" hidden="false" customHeight="false" outlineLevel="0" collapsed="false">
      <c r="A365" s="16" t="str">
        <f aca="false">Payment_Log_AP!A362</f>
        <v>PAY40361</v>
      </c>
      <c r="B365" s="16" t="str">
        <f aca="false">Payment_Log_AP!C362</f>
        <v>V1029</v>
      </c>
      <c r="C365" s="16" t="str">
        <f aca="false">IFERROR(INDEX(Vendor_Master!$B$2:$B$41,MATCH(B365,Vendor_Master!$A$2:$A$41,0)),"Unknown Vendor")</f>
        <v>Chavez Ltd</v>
      </c>
      <c r="D365" s="16" t="str">
        <f aca="false">IFERROR(INDEX(Vendor_Master!$D$2:$D$41,MATCH(B365,Vendor_Master!$A$2:$A$41,0)),"Unknown")</f>
        <v>Singapore</v>
      </c>
      <c r="E365" s="17" t="n">
        <f aca="false">IFERROR(INDEX(Vendor_Master!$E$2:$E$41,MATCH(B365,Vendor_Master!$A$2:$A$41,0)),"")</f>
        <v>45026</v>
      </c>
      <c r="F365" s="17" t="n">
        <f aca="false">Payment_Log_AP!D362</f>
        <v>46061</v>
      </c>
      <c r="G365" s="18" t="n">
        <f aca="false">Payment_Log_AP!E362</f>
        <v>1478.45</v>
      </c>
      <c r="H365" s="16" t="n">
        <f aca="false">IF(G365&gt;=Assumptions!$B$7,40,IF(G365&gt;=Assumptions!$B$8,20,0))</f>
        <v>0</v>
      </c>
      <c r="I365" s="16" t="n">
        <f aca="false">IF(MOD(G365,500)=0,20,IF(MOD(G365,100)=0,10,0))</f>
        <v>0</v>
      </c>
      <c r="J365" s="16" t="n">
        <f aca="false">IF(AND(E365&lt;&gt;"",F365-E365&lt;=Assumptions!$B$9),25,0)</f>
        <v>0</v>
      </c>
      <c r="K365" s="16" t="n">
        <f aca="false">IF(ISNUMBER(SEARCH(D365,Assumptions!$B$10)),15,0)</f>
        <v>15</v>
      </c>
      <c r="L365" s="16" t="n">
        <f aca="false">H365+I365+J365+K365</f>
        <v>15</v>
      </c>
      <c r="M365" s="16" t="str">
        <f aca="false">IF(L365&gt;=60,"High",IF(L365&gt;=30,"Medium","Low"))</f>
        <v>Low</v>
      </c>
    </row>
    <row r="366" customFormat="false" ht="15" hidden="false" customHeight="false" outlineLevel="0" collapsed="false">
      <c r="A366" s="16" t="str">
        <f aca="false">Payment_Log_AP!A363</f>
        <v>PAY40362</v>
      </c>
      <c r="B366" s="16" t="str">
        <f aca="false">Payment_Log_AP!C363</f>
        <v>V1026</v>
      </c>
      <c r="C366" s="16" t="str">
        <f aca="false">IFERROR(INDEX(Vendor_Master!$B$2:$B$41,MATCH(B366,Vendor_Master!$A$2:$A$41,0)),"Unknown Vendor")</f>
        <v>James-Ferrell</v>
      </c>
      <c r="D366" s="16" t="str">
        <f aca="false">IFERROR(INDEX(Vendor_Master!$D$2:$D$41,MATCH(B366,Vendor_Master!$A$2:$A$41,0)),"Unknown")</f>
        <v>UAE</v>
      </c>
      <c r="E366" s="17" t="n">
        <f aca="false">IFERROR(INDEX(Vendor_Master!$E$2:$E$41,MATCH(B366,Vendor_Master!$A$2:$A$41,0)),"")</f>
        <v>45504</v>
      </c>
      <c r="F366" s="17" t="n">
        <f aca="false">Payment_Log_AP!D363</f>
        <v>46145</v>
      </c>
      <c r="G366" s="18" t="n">
        <f aca="false">Payment_Log_AP!E363</f>
        <v>5195.5</v>
      </c>
      <c r="H366" s="16" t="n">
        <f aca="false">IF(G366&gt;=Assumptions!$B$7,40,IF(G366&gt;=Assumptions!$B$8,20,0))</f>
        <v>20</v>
      </c>
      <c r="I366" s="16" t="n">
        <f aca="false">IF(MOD(G366,500)=0,20,IF(MOD(G366,100)=0,10,0))</f>
        <v>0</v>
      </c>
      <c r="J366" s="16" t="n">
        <f aca="false">IF(AND(E366&lt;&gt;"",F366-E366&lt;=Assumptions!$B$9),25,0)</f>
        <v>0</v>
      </c>
      <c r="K366" s="16" t="n">
        <f aca="false">IF(ISNUMBER(SEARCH(D366,Assumptions!$B$10)),15,0)</f>
        <v>15</v>
      </c>
      <c r="L366" s="16" t="n">
        <f aca="false">H366+I366+J366+K366</f>
        <v>35</v>
      </c>
      <c r="M366" s="16" t="str">
        <f aca="false">IF(L366&gt;=60,"High",IF(L366&gt;=30,"Medium","Low"))</f>
        <v>Medium</v>
      </c>
    </row>
    <row r="367" customFormat="false" ht="15" hidden="false" customHeight="false" outlineLevel="0" collapsed="false">
      <c r="A367" s="16" t="str">
        <f aca="false">Payment_Log_AP!A364</f>
        <v>PAY40363</v>
      </c>
      <c r="B367" s="16" t="str">
        <f aca="false">Payment_Log_AP!C364</f>
        <v>V1025</v>
      </c>
      <c r="C367" s="16" t="str">
        <f aca="false">IFERROR(INDEX(Vendor_Master!$B$2:$B$41,MATCH(B367,Vendor_Master!$A$2:$A$41,0)),"Unknown Vendor")</f>
        <v>Conner Group</v>
      </c>
      <c r="D367" s="16" t="str">
        <f aca="false">IFERROR(INDEX(Vendor_Master!$D$2:$D$41,MATCH(B367,Vendor_Master!$A$2:$A$41,0)),"Unknown")</f>
        <v>USA</v>
      </c>
      <c r="E367" s="17" t="n">
        <f aca="false">IFERROR(INDEX(Vendor_Master!$E$2:$E$41,MATCH(B367,Vendor_Master!$A$2:$A$41,0)),"")</f>
        <v>44803</v>
      </c>
      <c r="F367" s="17" t="n">
        <f aca="false">Payment_Log_AP!D364</f>
        <v>45892</v>
      </c>
      <c r="G367" s="18" t="n">
        <f aca="false">Payment_Log_AP!E364</f>
        <v>3949.44</v>
      </c>
      <c r="H367" s="16" t="n">
        <f aca="false">IF(G367&gt;=Assumptions!$B$7,40,IF(G367&gt;=Assumptions!$B$8,20,0))</f>
        <v>0</v>
      </c>
      <c r="I367" s="16" t="n">
        <f aca="false">IF(MOD(G367,500)=0,20,IF(MOD(G367,100)=0,10,0))</f>
        <v>0</v>
      </c>
      <c r="J367" s="16" t="n">
        <f aca="false">IF(AND(E367&lt;&gt;"",F367-E367&lt;=Assumptions!$B$9),25,0)</f>
        <v>0</v>
      </c>
      <c r="K367" s="16" t="n">
        <f aca="false">IF(ISNUMBER(SEARCH(D367,Assumptions!$B$10)),15,0)</f>
        <v>0</v>
      </c>
      <c r="L367" s="16" t="n">
        <f aca="false">H367+I367+J367+K367</f>
        <v>0</v>
      </c>
      <c r="M367" s="16" t="str">
        <f aca="false">IF(L367&gt;=60,"High",IF(L367&gt;=30,"Medium","Low"))</f>
        <v>Low</v>
      </c>
    </row>
    <row r="368" customFormat="false" ht="15" hidden="false" customHeight="false" outlineLevel="0" collapsed="false">
      <c r="A368" s="16" t="str">
        <f aca="false">Payment_Log_AP!A365</f>
        <v>PAY40364</v>
      </c>
      <c r="B368" s="16" t="str">
        <f aca="false">Payment_Log_AP!C365</f>
        <v>V1031</v>
      </c>
      <c r="C368" s="16" t="str">
        <f aca="false">IFERROR(INDEX(Vendor_Master!$B$2:$B$41,MATCH(B368,Vendor_Master!$A$2:$A$41,0)),"Unknown Vendor")</f>
        <v>Harrell LLC</v>
      </c>
      <c r="D368" s="16" t="str">
        <f aca="false">IFERROR(INDEX(Vendor_Master!$D$2:$D$41,MATCH(B368,Vendor_Master!$A$2:$A$41,0)),"Unknown")</f>
        <v>Canada</v>
      </c>
      <c r="E368" s="17" t="n">
        <f aca="false">IFERROR(INDEX(Vendor_Master!$E$2:$E$41,MATCH(B368,Vendor_Master!$A$2:$A$41,0)),"")</f>
        <v>45364</v>
      </c>
      <c r="F368" s="17" t="n">
        <f aca="false">Payment_Log_AP!D365</f>
        <v>46048</v>
      </c>
      <c r="G368" s="18" t="n">
        <f aca="false">Payment_Log_AP!E365</f>
        <v>1814.72</v>
      </c>
      <c r="H368" s="16" t="n">
        <f aca="false">IF(G368&gt;=Assumptions!$B$7,40,IF(G368&gt;=Assumptions!$B$8,20,0))</f>
        <v>0</v>
      </c>
      <c r="I368" s="16" t="n">
        <f aca="false">IF(MOD(G368,500)=0,20,IF(MOD(G368,100)=0,10,0))</f>
        <v>0</v>
      </c>
      <c r="J368" s="16" t="n">
        <f aca="false">IF(AND(E368&lt;&gt;"",F368-E368&lt;=Assumptions!$B$9),25,0)</f>
        <v>0</v>
      </c>
      <c r="K368" s="16" t="n">
        <f aca="false">IF(ISNUMBER(SEARCH(D368,Assumptions!$B$10)),15,0)</f>
        <v>0</v>
      </c>
      <c r="L368" s="16" t="n">
        <f aca="false">H368+I368+J368+K368</f>
        <v>0</v>
      </c>
      <c r="M368" s="16" t="str">
        <f aca="false">IF(L368&gt;=60,"High",IF(L368&gt;=30,"Medium","Low"))</f>
        <v>Low</v>
      </c>
    </row>
    <row r="369" customFormat="false" ht="15" hidden="false" customHeight="false" outlineLevel="0" collapsed="false">
      <c r="A369" s="16" t="str">
        <f aca="false">Payment_Log_AP!A366</f>
        <v>PAY40365</v>
      </c>
      <c r="B369" s="16" t="str">
        <f aca="false">Payment_Log_AP!C366</f>
        <v>V1003</v>
      </c>
      <c r="C369" s="16" t="str">
        <f aca="false">IFERROR(INDEX(Vendor_Master!$B$2:$B$41,MATCH(B369,Vendor_Master!$A$2:$A$41,0)),"Unknown Vendor")</f>
        <v>Johnson and Sons</v>
      </c>
      <c r="D369" s="16" t="str">
        <f aca="false">IFERROR(INDEX(Vendor_Master!$D$2:$D$41,MATCH(B369,Vendor_Master!$A$2:$A$41,0)),"Unknown")</f>
        <v>UAE</v>
      </c>
      <c r="E369" s="17" t="n">
        <f aca="false">IFERROR(INDEX(Vendor_Master!$E$2:$E$41,MATCH(B369,Vendor_Master!$A$2:$A$41,0)),"")</f>
        <v>45495</v>
      </c>
      <c r="F369" s="17" t="n">
        <f aca="false">Payment_Log_AP!D366</f>
        <v>45833</v>
      </c>
      <c r="G369" s="18" t="n">
        <f aca="false">Payment_Log_AP!E366</f>
        <v>3826.85</v>
      </c>
      <c r="H369" s="16" t="n">
        <f aca="false">IF(G369&gt;=Assumptions!$B$7,40,IF(G369&gt;=Assumptions!$B$8,20,0))</f>
        <v>0</v>
      </c>
      <c r="I369" s="16" t="n">
        <f aca="false">IF(MOD(G369,500)=0,20,IF(MOD(G369,100)=0,10,0))</f>
        <v>0</v>
      </c>
      <c r="J369" s="16" t="n">
        <f aca="false">IF(AND(E369&lt;&gt;"",F369-E369&lt;=Assumptions!$B$9),25,0)</f>
        <v>0</v>
      </c>
      <c r="K369" s="16" t="n">
        <f aca="false">IF(ISNUMBER(SEARCH(D369,Assumptions!$B$10)),15,0)</f>
        <v>15</v>
      </c>
      <c r="L369" s="16" t="n">
        <f aca="false">H369+I369+J369+K369</f>
        <v>15</v>
      </c>
      <c r="M369" s="16" t="str">
        <f aca="false">IF(L369&gt;=60,"High",IF(L369&gt;=30,"Medium","Low"))</f>
        <v>Low</v>
      </c>
    </row>
    <row r="370" customFormat="false" ht="15" hidden="false" customHeight="false" outlineLevel="0" collapsed="false">
      <c r="A370" s="16" t="str">
        <f aca="false">Payment_Log_AP!A367</f>
        <v>PAY40366</v>
      </c>
      <c r="B370" s="16" t="str">
        <f aca="false">Payment_Log_AP!C367</f>
        <v>V1013</v>
      </c>
      <c r="C370" s="16" t="str">
        <f aca="false">IFERROR(INDEX(Vendor_Master!$B$2:$B$41,MATCH(B370,Vendor_Master!$A$2:$A$41,0)),"Unknown Vendor")</f>
        <v>Delacruz Group</v>
      </c>
      <c r="D370" s="16" t="str">
        <f aca="false">IFERROR(INDEX(Vendor_Master!$D$2:$D$41,MATCH(B370,Vendor_Master!$A$2:$A$41,0)),"Unknown")</f>
        <v>USA</v>
      </c>
      <c r="E370" s="17" t="n">
        <f aca="false">IFERROR(INDEX(Vendor_Master!$E$2:$E$41,MATCH(B370,Vendor_Master!$A$2:$A$41,0)),"")</f>
        <v>46119</v>
      </c>
      <c r="F370" s="17" t="n">
        <f aca="false">Payment_Log_AP!D367</f>
        <v>46200</v>
      </c>
      <c r="G370" s="18" t="n">
        <f aca="false">Payment_Log_AP!E367</f>
        <v>1836.32</v>
      </c>
      <c r="H370" s="16" t="n">
        <f aca="false">IF(G370&gt;=Assumptions!$B$7,40,IF(G370&gt;=Assumptions!$B$8,20,0))</f>
        <v>0</v>
      </c>
      <c r="I370" s="16" t="n">
        <f aca="false">IF(MOD(G370,500)=0,20,IF(MOD(G370,100)=0,10,0))</f>
        <v>0</v>
      </c>
      <c r="J370" s="16" t="n">
        <f aca="false">IF(AND(E370&lt;&gt;"",F370-E370&lt;=Assumptions!$B$9),25,0)</f>
        <v>25</v>
      </c>
      <c r="K370" s="16" t="n">
        <f aca="false">IF(ISNUMBER(SEARCH(D370,Assumptions!$B$10)),15,0)</f>
        <v>0</v>
      </c>
      <c r="L370" s="16" t="n">
        <f aca="false">H370+I370+J370+K370</f>
        <v>25</v>
      </c>
      <c r="M370" s="16" t="str">
        <f aca="false">IF(L370&gt;=60,"High",IF(L370&gt;=30,"Medium","Low"))</f>
        <v>Low</v>
      </c>
    </row>
    <row r="371" customFormat="false" ht="15" hidden="false" customHeight="false" outlineLevel="0" collapsed="false">
      <c r="A371" s="16" t="str">
        <f aca="false">Payment_Log_AP!A368</f>
        <v>PAY40367</v>
      </c>
      <c r="B371" s="16" t="str">
        <f aca="false">Payment_Log_AP!C368</f>
        <v>V1012</v>
      </c>
      <c r="C371" s="16" t="str">
        <f aca="false">IFERROR(INDEX(Vendor_Master!$B$2:$B$41,MATCH(B371,Vendor_Master!$A$2:$A$41,0)),"Unknown Vendor")</f>
        <v>Stanley LLC</v>
      </c>
      <c r="D371" s="16" t="str">
        <f aca="false">IFERROR(INDEX(Vendor_Master!$D$2:$D$41,MATCH(B371,Vendor_Master!$A$2:$A$41,0)),"Unknown")</f>
        <v>India</v>
      </c>
      <c r="E371" s="17" t="n">
        <f aca="false">IFERROR(INDEX(Vendor_Master!$E$2:$E$41,MATCH(B371,Vendor_Master!$A$2:$A$41,0)),"")</f>
        <v>45675</v>
      </c>
      <c r="F371" s="17" t="n">
        <f aca="false">Payment_Log_AP!D368</f>
        <v>45978</v>
      </c>
      <c r="G371" s="18" t="n">
        <f aca="false">Payment_Log_AP!E368</f>
        <v>7023.92</v>
      </c>
      <c r="H371" s="16" t="n">
        <f aca="false">IF(G371&gt;=Assumptions!$B$7,40,IF(G371&gt;=Assumptions!$B$8,20,0))</f>
        <v>20</v>
      </c>
      <c r="I371" s="16" t="n">
        <f aca="false">IF(MOD(G371,500)=0,20,IF(MOD(G371,100)=0,10,0))</f>
        <v>0</v>
      </c>
      <c r="J371" s="16" t="n">
        <f aca="false">IF(AND(E371&lt;&gt;"",F371-E371&lt;=Assumptions!$B$9),25,0)</f>
        <v>0</v>
      </c>
      <c r="K371" s="16" t="n">
        <f aca="false">IF(ISNUMBER(SEARCH(D371,Assumptions!$B$10)),15,0)</f>
        <v>15</v>
      </c>
      <c r="L371" s="16" t="n">
        <f aca="false">H371+I371+J371+K371</f>
        <v>35</v>
      </c>
      <c r="M371" s="16" t="str">
        <f aca="false">IF(L371&gt;=60,"High",IF(L371&gt;=30,"Medium","Low"))</f>
        <v>Medium</v>
      </c>
    </row>
    <row r="372" customFormat="false" ht="15" hidden="false" customHeight="false" outlineLevel="0" collapsed="false">
      <c r="A372" s="16" t="str">
        <f aca="false">Payment_Log_AP!A369</f>
        <v>PAY40368</v>
      </c>
      <c r="B372" s="16" t="str">
        <f aca="false">Payment_Log_AP!C369</f>
        <v>V1022</v>
      </c>
      <c r="C372" s="16" t="str">
        <f aca="false">IFERROR(INDEX(Vendor_Master!$B$2:$B$41,MATCH(B372,Vendor_Master!$A$2:$A$41,0)),"Unknown Vendor")</f>
        <v>Burgess-Patterson</v>
      </c>
      <c r="D372" s="16" t="str">
        <f aca="false">IFERROR(INDEX(Vendor_Master!$D$2:$D$41,MATCH(B372,Vendor_Master!$A$2:$A$41,0)),"Unknown")</f>
        <v>Germany</v>
      </c>
      <c r="E372" s="17" t="n">
        <f aca="false">IFERROR(INDEX(Vendor_Master!$E$2:$E$41,MATCH(B372,Vendor_Master!$A$2:$A$41,0)),"")</f>
        <v>45449</v>
      </c>
      <c r="F372" s="17" t="n">
        <f aca="false">Payment_Log_AP!D369</f>
        <v>45920</v>
      </c>
      <c r="G372" s="18" t="n">
        <f aca="false">Payment_Log_AP!E369</f>
        <v>3586.35</v>
      </c>
      <c r="H372" s="16" t="n">
        <f aca="false">IF(G372&gt;=Assumptions!$B$7,40,IF(G372&gt;=Assumptions!$B$8,20,0))</f>
        <v>0</v>
      </c>
      <c r="I372" s="16" t="n">
        <f aca="false">IF(MOD(G372,500)=0,20,IF(MOD(G372,100)=0,10,0))</f>
        <v>0</v>
      </c>
      <c r="J372" s="16" t="n">
        <f aca="false">IF(AND(E372&lt;&gt;"",F372-E372&lt;=Assumptions!$B$9),25,0)</f>
        <v>0</v>
      </c>
      <c r="K372" s="16" t="n">
        <f aca="false">IF(ISNUMBER(SEARCH(D372,Assumptions!$B$10)),15,0)</f>
        <v>0</v>
      </c>
      <c r="L372" s="16" t="n">
        <f aca="false">H372+I372+J372+K372</f>
        <v>0</v>
      </c>
      <c r="M372" s="16" t="str">
        <f aca="false">IF(L372&gt;=60,"High",IF(L372&gt;=30,"Medium","Low"))</f>
        <v>Low</v>
      </c>
    </row>
    <row r="373" customFormat="false" ht="15" hidden="false" customHeight="false" outlineLevel="0" collapsed="false">
      <c r="A373" s="16" t="str">
        <f aca="false">Payment_Log_AP!A370</f>
        <v>PAY40369</v>
      </c>
      <c r="B373" s="16" t="str">
        <f aca="false">Payment_Log_AP!C370</f>
        <v>V1029</v>
      </c>
      <c r="C373" s="16" t="str">
        <f aca="false">IFERROR(INDEX(Vendor_Master!$B$2:$B$41,MATCH(B373,Vendor_Master!$A$2:$A$41,0)),"Unknown Vendor")</f>
        <v>Chavez Ltd</v>
      </c>
      <c r="D373" s="16" t="str">
        <f aca="false">IFERROR(INDEX(Vendor_Master!$D$2:$D$41,MATCH(B373,Vendor_Master!$A$2:$A$41,0)),"Unknown")</f>
        <v>Singapore</v>
      </c>
      <c r="E373" s="17" t="n">
        <f aca="false">IFERROR(INDEX(Vendor_Master!$E$2:$E$41,MATCH(B373,Vendor_Master!$A$2:$A$41,0)),"")</f>
        <v>45026</v>
      </c>
      <c r="F373" s="17" t="n">
        <f aca="false">Payment_Log_AP!D370</f>
        <v>45862</v>
      </c>
      <c r="G373" s="18" t="n">
        <f aca="false">Payment_Log_AP!E370</f>
        <v>3705.05</v>
      </c>
      <c r="H373" s="16" t="n">
        <f aca="false">IF(G373&gt;=Assumptions!$B$7,40,IF(G373&gt;=Assumptions!$B$8,20,0))</f>
        <v>0</v>
      </c>
      <c r="I373" s="16" t="n">
        <f aca="false">IF(MOD(G373,500)=0,20,IF(MOD(G373,100)=0,10,0))</f>
        <v>0</v>
      </c>
      <c r="J373" s="16" t="n">
        <f aca="false">IF(AND(E373&lt;&gt;"",F373-E373&lt;=Assumptions!$B$9),25,0)</f>
        <v>0</v>
      </c>
      <c r="K373" s="16" t="n">
        <f aca="false">IF(ISNUMBER(SEARCH(D373,Assumptions!$B$10)),15,0)</f>
        <v>15</v>
      </c>
      <c r="L373" s="16" t="n">
        <f aca="false">H373+I373+J373+K373</f>
        <v>15</v>
      </c>
      <c r="M373" s="16" t="str">
        <f aca="false">IF(L373&gt;=60,"High",IF(L373&gt;=30,"Medium","Low"))</f>
        <v>Low</v>
      </c>
    </row>
    <row r="374" customFormat="false" ht="15" hidden="false" customHeight="false" outlineLevel="0" collapsed="false">
      <c r="A374" s="16" t="str">
        <f aca="false">Payment_Log_AP!A371</f>
        <v>PAY40370</v>
      </c>
      <c r="B374" s="16" t="str">
        <f aca="false">Payment_Log_AP!C371</f>
        <v>V1005</v>
      </c>
      <c r="C374" s="16" t="str">
        <f aca="false">IFERROR(INDEX(Vendor_Master!$B$2:$B$41,MATCH(B374,Vendor_Master!$A$2:$A$41,0)),"Unknown Vendor")</f>
        <v>Cole LLC</v>
      </c>
      <c r="D374" s="16" t="str">
        <f aca="false">IFERROR(INDEX(Vendor_Master!$D$2:$D$41,MATCH(B374,Vendor_Master!$A$2:$A$41,0)),"Unknown")</f>
        <v>UK</v>
      </c>
      <c r="E374" s="17" t="n">
        <f aca="false">IFERROR(INDEX(Vendor_Master!$E$2:$E$41,MATCH(B374,Vendor_Master!$A$2:$A$41,0)),"")</f>
        <v>45423</v>
      </c>
      <c r="F374" s="17" t="n">
        <f aca="false">Payment_Log_AP!D371</f>
        <v>45860</v>
      </c>
      <c r="G374" s="18" t="n">
        <f aca="false">Payment_Log_AP!E371</f>
        <v>4579.99</v>
      </c>
      <c r="H374" s="16" t="n">
        <f aca="false">IF(G374&gt;=Assumptions!$B$7,40,IF(G374&gt;=Assumptions!$B$8,20,0))</f>
        <v>0</v>
      </c>
      <c r="I374" s="16" t="n">
        <f aca="false">IF(MOD(G374,500)=0,20,IF(MOD(G374,100)=0,10,0))</f>
        <v>0</v>
      </c>
      <c r="J374" s="16" t="n">
        <f aca="false">IF(AND(E374&lt;&gt;"",F374-E374&lt;=Assumptions!$B$9),25,0)</f>
        <v>0</v>
      </c>
      <c r="K374" s="16" t="n">
        <f aca="false">IF(ISNUMBER(SEARCH(D374,Assumptions!$B$10)),15,0)</f>
        <v>0</v>
      </c>
      <c r="L374" s="16" t="n">
        <f aca="false">H374+I374+J374+K374</f>
        <v>0</v>
      </c>
      <c r="M374" s="16" t="str">
        <f aca="false">IF(L374&gt;=60,"High",IF(L374&gt;=30,"Medium","Low"))</f>
        <v>Low</v>
      </c>
    </row>
    <row r="375" customFormat="false" ht="15" hidden="false" customHeight="false" outlineLevel="0" collapsed="false">
      <c r="A375" s="16" t="str">
        <f aca="false">Payment_Log_AP!A372</f>
        <v>PAY40371</v>
      </c>
      <c r="B375" s="16" t="str">
        <f aca="false">Payment_Log_AP!C372</f>
        <v>V1010</v>
      </c>
      <c r="C375" s="16" t="str">
        <f aca="false">IFERROR(INDEX(Vendor_Master!$B$2:$B$41,MATCH(B375,Vendor_Master!$A$2:$A$41,0)),"Unknown Vendor")</f>
        <v>Martinez, Nielsen and Miller</v>
      </c>
      <c r="D375" s="16" t="str">
        <f aca="false">IFERROR(INDEX(Vendor_Master!$D$2:$D$41,MATCH(B375,Vendor_Master!$A$2:$A$41,0)),"Unknown")</f>
        <v>India</v>
      </c>
      <c r="E375" s="17" t="n">
        <f aca="false">IFERROR(INDEX(Vendor_Master!$E$2:$E$41,MATCH(B375,Vendor_Master!$A$2:$A$41,0)),"")</f>
        <v>45715</v>
      </c>
      <c r="F375" s="17" t="n">
        <f aca="false">Payment_Log_AP!D372</f>
        <v>45907</v>
      </c>
      <c r="G375" s="18" t="n">
        <f aca="false">Payment_Log_AP!E372</f>
        <v>1348.19</v>
      </c>
      <c r="H375" s="16" t="n">
        <f aca="false">IF(G375&gt;=Assumptions!$B$7,40,IF(G375&gt;=Assumptions!$B$8,20,0))</f>
        <v>0</v>
      </c>
      <c r="I375" s="16" t="n">
        <f aca="false">IF(MOD(G375,500)=0,20,IF(MOD(G375,100)=0,10,0))</f>
        <v>0</v>
      </c>
      <c r="J375" s="16" t="n">
        <f aca="false">IF(AND(E375&lt;&gt;"",F375-E375&lt;=Assumptions!$B$9),25,0)</f>
        <v>0</v>
      </c>
      <c r="K375" s="16" t="n">
        <f aca="false">IF(ISNUMBER(SEARCH(D375,Assumptions!$B$10)),15,0)</f>
        <v>15</v>
      </c>
      <c r="L375" s="16" t="n">
        <f aca="false">H375+I375+J375+K375</f>
        <v>15</v>
      </c>
      <c r="M375" s="16" t="str">
        <f aca="false">IF(L375&gt;=60,"High",IF(L375&gt;=30,"Medium","Low"))</f>
        <v>Low</v>
      </c>
    </row>
    <row r="376" customFormat="false" ht="15" hidden="false" customHeight="false" outlineLevel="0" collapsed="false">
      <c r="A376" s="16" t="str">
        <f aca="false">Payment_Log_AP!A373</f>
        <v>PAY40372</v>
      </c>
      <c r="B376" s="16" t="str">
        <f aca="false">Payment_Log_AP!C373</f>
        <v>V1010</v>
      </c>
      <c r="C376" s="16" t="str">
        <f aca="false">IFERROR(INDEX(Vendor_Master!$B$2:$B$41,MATCH(B376,Vendor_Master!$A$2:$A$41,0)),"Unknown Vendor")</f>
        <v>Martinez, Nielsen and Miller</v>
      </c>
      <c r="D376" s="16" t="str">
        <f aca="false">IFERROR(INDEX(Vendor_Master!$D$2:$D$41,MATCH(B376,Vendor_Master!$A$2:$A$41,0)),"Unknown")</f>
        <v>India</v>
      </c>
      <c r="E376" s="17" t="n">
        <f aca="false">IFERROR(INDEX(Vendor_Master!$E$2:$E$41,MATCH(B376,Vendor_Master!$A$2:$A$41,0)),"")</f>
        <v>45715</v>
      </c>
      <c r="F376" s="17" t="n">
        <f aca="false">Payment_Log_AP!D373</f>
        <v>45913</v>
      </c>
      <c r="G376" s="18" t="n">
        <f aca="false">Payment_Log_AP!E373</f>
        <v>1348.19</v>
      </c>
      <c r="H376" s="16" t="n">
        <f aca="false">IF(G376&gt;=Assumptions!$B$7,40,IF(G376&gt;=Assumptions!$B$8,20,0))</f>
        <v>0</v>
      </c>
      <c r="I376" s="16" t="n">
        <f aca="false">IF(MOD(G376,500)=0,20,IF(MOD(G376,100)=0,10,0))</f>
        <v>0</v>
      </c>
      <c r="J376" s="16" t="n">
        <f aca="false">IF(AND(E376&lt;&gt;"",F376-E376&lt;=Assumptions!$B$9),25,0)</f>
        <v>0</v>
      </c>
      <c r="K376" s="16" t="n">
        <f aca="false">IF(ISNUMBER(SEARCH(D376,Assumptions!$B$10)),15,0)</f>
        <v>15</v>
      </c>
      <c r="L376" s="16" t="n">
        <f aca="false">H376+I376+J376+K376</f>
        <v>15</v>
      </c>
      <c r="M376" s="16" t="str">
        <f aca="false">IF(L376&gt;=60,"High",IF(L376&gt;=30,"Medium","Low"))</f>
        <v>Low</v>
      </c>
    </row>
    <row r="377" customFormat="false" ht="15" hidden="false" customHeight="false" outlineLevel="0" collapsed="false">
      <c r="A377" s="16" t="str">
        <f aca="false">Payment_Log_AP!A374</f>
        <v>PAY40373</v>
      </c>
      <c r="B377" s="16" t="str">
        <f aca="false">Payment_Log_AP!C374</f>
        <v>V1018</v>
      </c>
      <c r="C377" s="16" t="str">
        <f aca="false">IFERROR(INDEX(Vendor_Master!$B$2:$B$41,MATCH(B377,Vendor_Master!$A$2:$A$41,0)),"Unknown Vendor")</f>
        <v>Underwood LLC</v>
      </c>
      <c r="D377" s="16" t="str">
        <f aca="false">IFERROR(INDEX(Vendor_Master!$D$2:$D$41,MATCH(B377,Vendor_Master!$A$2:$A$41,0)),"Unknown")</f>
        <v>UAE</v>
      </c>
      <c r="E377" s="17" t="n">
        <f aca="false">IFERROR(INDEX(Vendor_Master!$E$2:$E$41,MATCH(B377,Vendor_Master!$A$2:$A$41,0)),"")</f>
        <v>45788</v>
      </c>
      <c r="F377" s="17" t="n">
        <f aca="false">Payment_Log_AP!D374</f>
        <v>45991</v>
      </c>
      <c r="G377" s="18" t="n">
        <f aca="false">Payment_Log_AP!E374</f>
        <v>2579.5</v>
      </c>
      <c r="H377" s="16" t="n">
        <f aca="false">IF(G377&gt;=Assumptions!$B$7,40,IF(G377&gt;=Assumptions!$B$8,20,0))</f>
        <v>0</v>
      </c>
      <c r="I377" s="16" t="n">
        <f aca="false">IF(MOD(G377,500)=0,20,IF(MOD(G377,100)=0,10,0))</f>
        <v>0</v>
      </c>
      <c r="J377" s="16" t="n">
        <f aca="false">IF(AND(E377&lt;&gt;"",F377-E377&lt;=Assumptions!$B$9),25,0)</f>
        <v>0</v>
      </c>
      <c r="K377" s="16" t="n">
        <f aca="false">IF(ISNUMBER(SEARCH(D377,Assumptions!$B$10)),15,0)</f>
        <v>15</v>
      </c>
      <c r="L377" s="16" t="n">
        <f aca="false">H377+I377+J377+K377</f>
        <v>15</v>
      </c>
      <c r="M377" s="16" t="str">
        <f aca="false">IF(L377&gt;=60,"High",IF(L377&gt;=30,"Medium","Low"))</f>
        <v>Low</v>
      </c>
    </row>
    <row r="378" customFormat="false" ht="15" hidden="false" customHeight="false" outlineLevel="0" collapsed="false">
      <c r="A378" s="16" t="str">
        <f aca="false">Payment_Log_AP!A375</f>
        <v>PAY40374</v>
      </c>
      <c r="B378" s="16" t="str">
        <f aca="false">Payment_Log_AP!C375</f>
        <v>V1034</v>
      </c>
      <c r="C378" s="16" t="str">
        <f aca="false">IFERROR(INDEX(Vendor_Master!$B$2:$B$41,MATCH(B378,Vendor_Master!$A$2:$A$41,0)),"Unknown Vendor")</f>
        <v>Koch-Decker</v>
      </c>
      <c r="D378" s="16" t="str">
        <f aca="false">IFERROR(INDEX(Vendor_Master!$D$2:$D$41,MATCH(B378,Vendor_Master!$A$2:$A$41,0)),"Unknown")</f>
        <v>Germany</v>
      </c>
      <c r="E378" s="17" t="n">
        <f aca="false">IFERROR(INDEX(Vendor_Master!$E$2:$E$41,MATCH(B378,Vendor_Master!$A$2:$A$41,0)),"")</f>
        <v>44738</v>
      </c>
      <c r="F378" s="17" t="n">
        <f aca="false">Payment_Log_AP!D375</f>
        <v>46052</v>
      </c>
      <c r="G378" s="18" t="n">
        <f aca="false">Payment_Log_AP!E375</f>
        <v>1850.75</v>
      </c>
      <c r="H378" s="16" t="n">
        <f aca="false">IF(G378&gt;=Assumptions!$B$7,40,IF(G378&gt;=Assumptions!$B$8,20,0))</f>
        <v>0</v>
      </c>
      <c r="I378" s="16" t="n">
        <f aca="false">IF(MOD(G378,500)=0,20,IF(MOD(G378,100)=0,10,0))</f>
        <v>0</v>
      </c>
      <c r="J378" s="16" t="n">
        <f aca="false">IF(AND(E378&lt;&gt;"",F378-E378&lt;=Assumptions!$B$9),25,0)</f>
        <v>0</v>
      </c>
      <c r="K378" s="16" t="n">
        <f aca="false">IF(ISNUMBER(SEARCH(D378,Assumptions!$B$10)),15,0)</f>
        <v>0</v>
      </c>
      <c r="L378" s="16" t="n">
        <f aca="false">H378+I378+J378+K378</f>
        <v>0</v>
      </c>
      <c r="M378" s="16" t="str">
        <f aca="false">IF(L378&gt;=60,"High",IF(L378&gt;=30,"Medium","Low"))</f>
        <v>Low</v>
      </c>
    </row>
    <row r="379" customFormat="false" ht="15" hidden="false" customHeight="false" outlineLevel="0" collapsed="false">
      <c r="A379" s="16" t="str">
        <f aca="false">Payment_Log_AP!A376</f>
        <v>PAY40375</v>
      </c>
      <c r="B379" s="16" t="str">
        <f aca="false">Payment_Log_AP!C376</f>
        <v>V1006</v>
      </c>
      <c r="C379" s="16" t="str">
        <f aca="false">IFERROR(INDEX(Vendor_Master!$B$2:$B$41,MATCH(B379,Vendor_Master!$A$2:$A$41,0)),"Unknown Vendor")</f>
        <v>Blake and Sons</v>
      </c>
      <c r="D379" s="16" t="str">
        <f aca="false">IFERROR(INDEX(Vendor_Master!$D$2:$D$41,MATCH(B379,Vendor_Master!$A$2:$A$41,0)),"Unknown")</f>
        <v>UK</v>
      </c>
      <c r="E379" s="17" t="n">
        <f aca="false">IFERROR(INDEX(Vendor_Master!$E$2:$E$41,MATCH(B379,Vendor_Master!$A$2:$A$41,0)),"")</f>
        <v>45841</v>
      </c>
      <c r="F379" s="17" t="n">
        <f aca="false">Payment_Log_AP!D376</f>
        <v>45972</v>
      </c>
      <c r="G379" s="18" t="n">
        <f aca="false">Payment_Log_AP!E376</f>
        <v>1673.73</v>
      </c>
      <c r="H379" s="16" t="n">
        <f aca="false">IF(G379&gt;=Assumptions!$B$7,40,IF(G379&gt;=Assumptions!$B$8,20,0))</f>
        <v>0</v>
      </c>
      <c r="I379" s="16" t="n">
        <f aca="false">IF(MOD(G379,500)=0,20,IF(MOD(G379,100)=0,10,0))</f>
        <v>0</v>
      </c>
      <c r="J379" s="16" t="n">
        <f aca="false">IF(AND(E379&lt;&gt;"",F379-E379&lt;=Assumptions!$B$9),25,0)</f>
        <v>25</v>
      </c>
      <c r="K379" s="16" t="n">
        <f aca="false">IF(ISNUMBER(SEARCH(D379,Assumptions!$B$10)),15,0)</f>
        <v>0</v>
      </c>
      <c r="L379" s="16" t="n">
        <f aca="false">H379+I379+J379+K379</f>
        <v>25</v>
      </c>
      <c r="M379" s="16" t="str">
        <f aca="false">IF(L379&gt;=60,"High",IF(L379&gt;=30,"Medium","Low"))</f>
        <v>Low</v>
      </c>
    </row>
    <row r="380" customFormat="false" ht="15" hidden="false" customHeight="false" outlineLevel="0" collapsed="false">
      <c r="A380" s="16" t="str">
        <f aca="false">Payment_Log_AP!A377</f>
        <v>PAY40376</v>
      </c>
      <c r="B380" s="16" t="str">
        <f aca="false">Payment_Log_AP!C377</f>
        <v>V1002</v>
      </c>
      <c r="C380" s="16" t="str">
        <f aca="false">IFERROR(INDEX(Vendor_Master!$B$2:$B$41,MATCH(B380,Vendor_Master!$A$2:$A$41,0)),"Unknown Vendor")</f>
        <v>Garcia, Yang and Gardner</v>
      </c>
      <c r="D380" s="16" t="str">
        <f aca="false">IFERROR(INDEX(Vendor_Master!$D$2:$D$41,MATCH(B380,Vendor_Master!$A$2:$A$41,0)),"Unknown")</f>
        <v>UK</v>
      </c>
      <c r="E380" s="17" t="n">
        <f aca="false">IFERROR(INDEX(Vendor_Master!$E$2:$E$41,MATCH(B380,Vendor_Master!$A$2:$A$41,0)),"")</f>
        <v>44914</v>
      </c>
      <c r="F380" s="17" t="n">
        <f aca="false">Payment_Log_AP!D377</f>
        <v>45929</v>
      </c>
      <c r="G380" s="18" t="n">
        <f aca="false">Payment_Log_AP!E377</f>
        <v>3809.51</v>
      </c>
      <c r="H380" s="16" t="n">
        <f aca="false">IF(G380&gt;=Assumptions!$B$7,40,IF(G380&gt;=Assumptions!$B$8,20,0))</f>
        <v>0</v>
      </c>
      <c r="I380" s="16" t="n">
        <f aca="false">IF(MOD(G380,500)=0,20,IF(MOD(G380,100)=0,10,0))</f>
        <v>0</v>
      </c>
      <c r="J380" s="16" t="n">
        <f aca="false">IF(AND(E380&lt;&gt;"",F380-E380&lt;=Assumptions!$B$9),25,0)</f>
        <v>0</v>
      </c>
      <c r="K380" s="16" t="n">
        <f aca="false">IF(ISNUMBER(SEARCH(D380,Assumptions!$B$10)),15,0)</f>
        <v>0</v>
      </c>
      <c r="L380" s="16" t="n">
        <f aca="false">H380+I380+J380+K380</f>
        <v>0</v>
      </c>
      <c r="M380" s="16" t="str">
        <f aca="false">IF(L380&gt;=60,"High",IF(L380&gt;=30,"Medium","Low"))</f>
        <v>Low</v>
      </c>
    </row>
    <row r="381" customFormat="false" ht="15" hidden="false" customHeight="false" outlineLevel="0" collapsed="false">
      <c r="A381" s="16" t="str">
        <f aca="false">Payment_Log_AP!A378</f>
        <v>PAY40377</v>
      </c>
      <c r="B381" s="16" t="str">
        <f aca="false">Payment_Log_AP!C378</f>
        <v>V1007</v>
      </c>
      <c r="C381" s="16" t="str">
        <f aca="false">IFERROR(INDEX(Vendor_Master!$B$2:$B$41,MATCH(B381,Vendor_Master!$A$2:$A$41,0)),"Unknown Vendor")</f>
        <v>Ramirez-Lewis</v>
      </c>
      <c r="D381" s="16" t="str">
        <f aca="false">IFERROR(INDEX(Vendor_Master!$D$2:$D$41,MATCH(B381,Vendor_Master!$A$2:$A$41,0)),"Unknown")</f>
        <v>Germany</v>
      </c>
      <c r="E381" s="17" t="n">
        <f aca="false">IFERROR(INDEX(Vendor_Master!$E$2:$E$41,MATCH(B381,Vendor_Master!$A$2:$A$41,0)),"")</f>
        <v>45665</v>
      </c>
      <c r="F381" s="17" t="n">
        <f aca="false">Payment_Log_AP!D378</f>
        <v>45885</v>
      </c>
      <c r="G381" s="18" t="n">
        <f aca="false">Payment_Log_AP!E378</f>
        <v>1115.7</v>
      </c>
      <c r="H381" s="16" t="n">
        <f aca="false">IF(G381&gt;=Assumptions!$B$7,40,IF(G381&gt;=Assumptions!$B$8,20,0))</f>
        <v>0</v>
      </c>
      <c r="I381" s="16" t="n">
        <f aca="false">IF(MOD(G381,500)=0,20,IF(MOD(G381,100)=0,10,0))</f>
        <v>0</v>
      </c>
      <c r="J381" s="16" t="n">
        <f aca="false">IF(AND(E381&lt;&gt;"",F381-E381&lt;=Assumptions!$B$9),25,0)</f>
        <v>0</v>
      </c>
      <c r="K381" s="16" t="n">
        <f aca="false">IF(ISNUMBER(SEARCH(D381,Assumptions!$B$10)),15,0)</f>
        <v>0</v>
      </c>
      <c r="L381" s="16" t="n">
        <f aca="false">H381+I381+J381+K381</f>
        <v>0</v>
      </c>
      <c r="M381" s="16" t="str">
        <f aca="false">IF(L381&gt;=60,"High",IF(L381&gt;=30,"Medium","Low"))</f>
        <v>Low</v>
      </c>
    </row>
    <row r="382" customFormat="false" ht="15" hidden="false" customHeight="false" outlineLevel="0" collapsed="false">
      <c r="A382" s="16" t="str">
        <f aca="false">Payment_Log_AP!A379</f>
        <v>PAY40378</v>
      </c>
      <c r="B382" s="16" t="str">
        <f aca="false">Payment_Log_AP!C379</f>
        <v>V1019</v>
      </c>
      <c r="C382" s="16" t="str">
        <f aca="false">IFERROR(INDEX(Vendor_Master!$B$2:$B$41,MATCH(B382,Vendor_Master!$A$2:$A$41,0)),"Unknown Vendor")</f>
        <v>Clark PLC</v>
      </c>
      <c r="D382" s="16" t="str">
        <f aca="false">IFERROR(INDEX(Vendor_Master!$D$2:$D$41,MATCH(B382,Vendor_Master!$A$2:$A$41,0)),"Unknown")</f>
        <v>India</v>
      </c>
      <c r="E382" s="17" t="n">
        <f aca="false">IFERROR(INDEX(Vendor_Master!$E$2:$E$41,MATCH(B382,Vendor_Master!$A$2:$A$41,0)),"")</f>
        <v>45196</v>
      </c>
      <c r="F382" s="17" t="n">
        <f aca="false">Payment_Log_AP!D379</f>
        <v>46104</v>
      </c>
      <c r="G382" s="18" t="n">
        <f aca="false">Payment_Log_AP!E379</f>
        <v>1572.78</v>
      </c>
      <c r="H382" s="16" t="n">
        <f aca="false">IF(G382&gt;=Assumptions!$B$7,40,IF(G382&gt;=Assumptions!$B$8,20,0))</f>
        <v>0</v>
      </c>
      <c r="I382" s="16" t="n">
        <f aca="false">IF(MOD(G382,500)=0,20,IF(MOD(G382,100)=0,10,0))</f>
        <v>0</v>
      </c>
      <c r="J382" s="16" t="n">
        <f aca="false">IF(AND(E382&lt;&gt;"",F382-E382&lt;=Assumptions!$B$9),25,0)</f>
        <v>0</v>
      </c>
      <c r="K382" s="16" t="n">
        <f aca="false">IF(ISNUMBER(SEARCH(D382,Assumptions!$B$10)),15,0)</f>
        <v>15</v>
      </c>
      <c r="L382" s="16" t="n">
        <f aca="false">H382+I382+J382+K382</f>
        <v>15</v>
      </c>
      <c r="M382" s="16" t="str">
        <f aca="false">IF(L382&gt;=60,"High",IF(L382&gt;=30,"Medium","Low"))</f>
        <v>Low</v>
      </c>
    </row>
    <row r="383" customFormat="false" ht="15" hidden="false" customHeight="false" outlineLevel="0" collapsed="false">
      <c r="A383" s="16" t="str">
        <f aca="false">Payment_Log_AP!A380</f>
        <v>PAY40379</v>
      </c>
      <c r="B383" s="16" t="str">
        <f aca="false">Payment_Log_AP!C380</f>
        <v>V1025</v>
      </c>
      <c r="C383" s="16" t="str">
        <f aca="false">IFERROR(INDEX(Vendor_Master!$B$2:$B$41,MATCH(B383,Vendor_Master!$A$2:$A$41,0)),"Unknown Vendor")</f>
        <v>Conner Group</v>
      </c>
      <c r="D383" s="16" t="str">
        <f aca="false">IFERROR(INDEX(Vendor_Master!$D$2:$D$41,MATCH(B383,Vendor_Master!$A$2:$A$41,0)),"Unknown")</f>
        <v>USA</v>
      </c>
      <c r="E383" s="17" t="n">
        <f aca="false">IFERROR(INDEX(Vendor_Master!$E$2:$E$41,MATCH(B383,Vendor_Master!$A$2:$A$41,0)),"")</f>
        <v>44803</v>
      </c>
      <c r="F383" s="17" t="n">
        <f aca="false">Payment_Log_AP!D380</f>
        <v>46029</v>
      </c>
      <c r="G383" s="18" t="n">
        <f aca="false">Payment_Log_AP!E380</f>
        <v>1440.58</v>
      </c>
      <c r="H383" s="16" t="n">
        <f aca="false">IF(G383&gt;=Assumptions!$B$7,40,IF(G383&gt;=Assumptions!$B$8,20,0))</f>
        <v>0</v>
      </c>
      <c r="I383" s="16" t="n">
        <f aca="false">IF(MOD(G383,500)=0,20,IF(MOD(G383,100)=0,10,0))</f>
        <v>0</v>
      </c>
      <c r="J383" s="16" t="n">
        <f aca="false">IF(AND(E383&lt;&gt;"",F383-E383&lt;=Assumptions!$B$9),25,0)</f>
        <v>0</v>
      </c>
      <c r="K383" s="16" t="n">
        <f aca="false">IF(ISNUMBER(SEARCH(D383,Assumptions!$B$10)),15,0)</f>
        <v>0</v>
      </c>
      <c r="L383" s="16" t="n">
        <f aca="false">H383+I383+J383+K383</f>
        <v>0</v>
      </c>
      <c r="M383" s="16" t="str">
        <f aca="false">IF(L383&gt;=60,"High",IF(L383&gt;=30,"Medium","Low"))</f>
        <v>Low</v>
      </c>
    </row>
    <row r="384" customFormat="false" ht="15" hidden="false" customHeight="false" outlineLevel="0" collapsed="false">
      <c r="A384" s="16" t="str">
        <f aca="false">Payment_Log_AP!A381</f>
        <v>PAY40380</v>
      </c>
      <c r="B384" s="16" t="str">
        <f aca="false">Payment_Log_AP!C381</f>
        <v>V1020</v>
      </c>
      <c r="C384" s="16" t="str">
        <f aca="false">IFERROR(INDEX(Vendor_Master!$B$2:$B$41,MATCH(B384,Vendor_Master!$A$2:$A$41,0)),"Unknown Vendor")</f>
        <v>Lewis-Porter</v>
      </c>
      <c r="D384" s="16" t="str">
        <f aca="false">IFERROR(INDEX(Vendor_Master!$D$2:$D$41,MATCH(B384,Vendor_Master!$A$2:$A$41,0)),"Unknown")</f>
        <v>UAE</v>
      </c>
      <c r="E384" s="17" t="n">
        <f aca="false">IFERROR(INDEX(Vendor_Master!$E$2:$E$41,MATCH(B384,Vendor_Master!$A$2:$A$41,0)),"")</f>
        <v>45947</v>
      </c>
      <c r="F384" s="17" t="n">
        <f aca="false">Payment_Log_AP!D381</f>
        <v>46124</v>
      </c>
      <c r="G384" s="18" t="n">
        <f aca="false">Payment_Log_AP!E381</f>
        <v>308.34</v>
      </c>
      <c r="H384" s="16" t="n">
        <f aca="false">IF(G384&gt;=Assumptions!$B$7,40,IF(G384&gt;=Assumptions!$B$8,20,0))</f>
        <v>0</v>
      </c>
      <c r="I384" s="16" t="n">
        <f aca="false">IF(MOD(G384,500)=0,20,IF(MOD(G384,100)=0,10,0))</f>
        <v>0</v>
      </c>
      <c r="J384" s="16" t="n">
        <f aca="false">IF(AND(E384&lt;&gt;"",F384-E384&lt;=Assumptions!$B$9),25,0)</f>
        <v>25</v>
      </c>
      <c r="K384" s="16" t="n">
        <f aca="false">IF(ISNUMBER(SEARCH(D384,Assumptions!$B$10)),15,0)</f>
        <v>15</v>
      </c>
      <c r="L384" s="16" t="n">
        <f aca="false">H384+I384+J384+K384</f>
        <v>40</v>
      </c>
      <c r="M384" s="16" t="str">
        <f aca="false">IF(L384&gt;=60,"High",IF(L384&gt;=30,"Medium","Low"))</f>
        <v>Medium</v>
      </c>
    </row>
    <row r="385" customFormat="false" ht="15" hidden="false" customHeight="false" outlineLevel="0" collapsed="false">
      <c r="A385" s="16" t="str">
        <f aca="false">Payment_Log_AP!A382</f>
        <v>PAY40381</v>
      </c>
      <c r="B385" s="16" t="str">
        <f aca="false">Payment_Log_AP!C382</f>
        <v>V1034</v>
      </c>
      <c r="C385" s="16" t="str">
        <f aca="false">IFERROR(INDEX(Vendor_Master!$B$2:$B$41,MATCH(B385,Vendor_Master!$A$2:$A$41,0)),"Unknown Vendor")</f>
        <v>Koch-Decker</v>
      </c>
      <c r="D385" s="16" t="str">
        <f aca="false">IFERROR(INDEX(Vendor_Master!$D$2:$D$41,MATCH(B385,Vendor_Master!$A$2:$A$41,0)),"Unknown")</f>
        <v>Germany</v>
      </c>
      <c r="E385" s="17" t="n">
        <f aca="false">IFERROR(INDEX(Vendor_Master!$E$2:$E$41,MATCH(B385,Vendor_Master!$A$2:$A$41,0)),"")</f>
        <v>44738</v>
      </c>
      <c r="F385" s="17" t="n">
        <f aca="false">Payment_Log_AP!D382</f>
        <v>45790</v>
      </c>
      <c r="G385" s="18" t="n">
        <f aca="false">Payment_Log_AP!E382</f>
        <v>303.89</v>
      </c>
      <c r="H385" s="16" t="n">
        <f aca="false">IF(G385&gt;=Assumptions!$B$7,40,IF(G385&gt;=Assumptions!$B$8,20,0))</f>
        <v>0</v>
      </c>
      <c r="I385" s="16" t="n">
        <f aca="false">IF(MOD(G385,500)=0,20,IF(MOD(G385,100)=0,10,0))</f>
        <v>0</v>
      </c>
      <c r="J385" s="16" t="n">
        <f aca="false">IF(AND(E385&lt;&gt;"",F385-E385&lt;=Assumptions!$B$9),25,0)</f>
        <v>0</v>
      </c>
      <c r="K385" s="16" t="n">
        <f aca="false">IF(ISNUMBER(SEARCH(D385,Assumptions!$B$10)),15,0)</f>
        <v>0</v>
      </c>
      <c r="L385" s="16" t="n">
        <f aca="false">H385+I385+J385+K385</f>
        <v>0</v>
      </c>
      <c r="M385" s="16" t="str">
        <f aca="false">IF(L385&gt;=60,"High",IF(L385&gt;=30,"Medium","Low"))</f>
        <v>Low</v>
      </c>
    </row>
    <row r="386" customFormat="false" ht="15" hidden="false" customHeight="false" outlineLevel="0" collapsed="false">
      <c r="A386" s="16" t="str">
        <f aca="false">Payment_Log_AP!A383</f>
        <v>PAY40382</v>
      </c>
      <c r="B386" s="16" t="str">
        <f aca="false">Payment_Log_AP!C383</f>
        <v>V1023</v>
      </c>
      <c r="C386" s="16" t="str">
        <f aca="false">IFERROR(INDEX(Vendor_Master!$B$2:$B$41,MATCH(B386,Vendor_Master!$A$2:$A$41,0)),"Unknown Vendor")</f>
        <v>Robinson-Bright</v>
      </c>
      <c r="D386" s="16" t="str">
        <f aca="false">IFERROR(INDEX(Vendor_Master!$D$2:$D$41,MATCH(B386,Vendor_Master!$A$2:$A$41,0)),"Unknown")</f>
        <v>India</v>
      </c>
      <c r="E386" s="17" t="n">
        <f aca="false">IFERROR(INDEX(Vendor_Master!$E$2:$E$41,MATCH(B386,Vendor_Master!$A$2:$A$41,0)),"")</f>
        <v>45484</v>
      </c>
      <c r="F386" s="17" t="n">
        <f aca="false">Payment_Log_AP!D383</f>
        <v>45984</v>
      </c>
      <c r="G386" s="18" t="n">
        <f aca="false">Payment_Log_AP!E383</f>
        <v>4223.32</v>
      </c>
      <c r="H386" s="16" t="n">
        <f aca="false">IF(G386&gt;=Assumptions!$B$7,40,IF(G386&gt;=Assumptions!$B$8,20,0))</f>
        <v>0</v>
      </c>
      <c r="I386" s="16" t="n">
        <f aca="false">IF(MOD(G386,500)=0,20,IF(MOD(G386,100)=0,10,0))</f>
        <v>0</v>
      </c>
      <c r="J386" s="16" t="n">
        <f aca="false">IF(AND(E386&lt;&gt;"",F386-E386&lt;=Assumptions!$B$9),25,0)</f>
        <v>0</v>
      </c>
      <c r="K386" s="16" t="n">
        <f aca="false">IF(ISNUMBER(SEARCH(D386,Assumptions!$B$10)),15,0)</f>
        <v>15</v>
      </c>
      <c r="L386" s="16" t="n">
        <f aca="false">H386+I386+J386+K386</f>
        <v>15</v>
      </c>
      <c r="M386" s="16" t="str">
        <f aca="false">IF(L386&gt;=60,"High",IF(L386&gt;=30,"Medium","Low"))</f>
        <v>Low</v>
      </c>
    </row>
    <row r="387" customFormat="false" ht="15" hidden="false" customHeight="false" outlineLevel="0" collapsed="false">
      <c r="A387" s="16" t="str">
        <f aca="false">Payment_Log_AP!A384</f>
        <v>PAY40383</v>
      </c>
      <c r="B387" s="16" t="str">
        <f aca="false">Payment_Log_AP!C384</f>
        <v>V1015</v>
      </c>
      <c r="C387" s="16" t="str">
        <f aca="false">IFERROR(INDEX(Vendor_Master!$B$2:$B$41,MATCH(B387,Vendor_Master!$A$2:$A$41,0)),"Unknown Vendor")</f>
        <v>Zuniga, Wong and Lynch</v>
      </c>
      <c r="D387" s="16" t="str">
        <f aca="false">IFERROR(INDEX(Vendor_Master!$D$2:$D$41,MATCH(B387,Vendor_Master!$A$2:$A$41,0)),"Unknown")</f>
        <v>USA</v>
      </c>
      <c r="E387" s="17" t="n">
        <f aca="false">IFERROR(INDEX(Vendor_Master!$E$2:$E$41,MATCH(B387,Vendor_Master!$A$2:$A$41,0)),"")</f>
        <v>45621</v>
      </c>
      <c r="F387" s="17" t="n">
        <f aca="false">Payment_Log_AP!D384</f>
        <v>46185</v>
      </c>
      <c r="G387" s="18" t="n">
        <f aca="false">Payment_Log_AP!E384</f>
        <v>1084.38</v>
      </c>
      <c r="H387" s="16" t="n">
        <f aca="false">IF(G387&gt;=Assumptions!$B$7,40,IF(G387&gt;=Assumptions!$B$8,20,0))</f>
        <v>0</v>
      </c>
      <c r="I387" s="16" t="n">
        <f aca="false">IF(MOD(G387,500)=0,20,IF(MOD(G387,100)=0,10,0))</f>
        <v>0</v>
      </c>
      <c r="J387" s="16" t="n">
        <f aca="false">IF(AND(E387&lt;&gt;"",F387-E387&lt;=Assumptions!$B$9),25,0)</f>
        <v>0</v>
      </c>
      <c r="K387" s="16" t="n">
        <f aca="false">IF(ISNUMBER(SEARCH(D387,Assumptions!$B$10)),15,0)</f>
        <v>0</v>
      </c>
      <c r="L387" s="16" t="n">
        <f aca="false">H387+I387+J387+K387</f>
        <v>0</v>
      </c>
      <c r="M387" s="16" t="str">
        <f aca="false">IF(L387&gt;=60,"High",IF(L387&gt;=30,"Medium","Low"))</f>
        <v>Low</v>
      </c>
    </row>
    <row r="388" customFormat="false" ht="15" hidden="false" customHeight="false" outlineLevel="0" collapsed="false">
      <c r="A388" s="16" t="str">
        <f aca="false">Payment_Log_AP!A385</f>
        <v>PAY40384</v>
      </c>
      <c r="B388" s="16" t="str">
        <f aca="false">Payment_Log_AP!C385</f>
        <v>V1037</v>
      </c>
      <c r="C388" s="16" t="str">
        <f aca="false">IFERROR(INDEX(Vendor_Master!$B$2:$B$41,MATCH(B388,Vendor_Master!$A$2:$A$41,0)),"Unknown Vendor")</f>
        <v>Cannon, Anderson and Alvarez</v>
      </c>
      <c r="D388" s="16" t="str">
        <f aca="false">IFERROR(INDEX(Vendor_Master!$D$2:$D$41,MATCH(B388,Vendor_Master!$A$2:$A$41,0)),"Unknown")</f>
        <v>India</v>
      </c>
      <c r="E388" s="17" t="n">
        <f aca="false">IFERROR(INDEX(Vendor_Master!$E$2:$E$41,MATCH(B388,Vendor_Master!$A$2:$A$41,0)),"")</f>
        <v>46108</v>
      </c>
      <c r="F388" s="17" t="n">
        <f aca="false">Payment_Log_AP!D385</f>
        <v>45908</v>
      </c>
      <c r="G388" s="18" t="n">
        <f aca="false">Payment_Log_AP!E385</f>
        <v>3288.85</v>
      </c>
      <c r="H388" s="16" t="n">
        <f aca="false">IF(G388&gt;=Assumptions!$B$7,40,IF(G388&gt;=Assumptions!$B$8,20,0))</f>
        <v>0</v>
      </c>
      <c r="I388" s="16" t="n">
        <f aca="false">IF(MOD(G388,500)=0,20,IF(MOD(G388,100)=0,10,0))</f>
        <v>0</v>
      </c>
      <c r="J388" s="16" t="n">
        <f aca="false">IF(AND(E388&lt;&gt;"",F388-E388&lt;=Assumptions!$B$9),25,0)</f>
        <v>25</v>
      </c>
      <c r="K388" s="16" t="n">
        <f aca="false">IF(ISNUMBER(SEARCH(D388,Assumptions!$B$10)),15,0)</f>
        <v>15</v>
      </c>
      <c r="L388" s="16" t="n">
        <f aca="false">H388+I388+J388+K388</f>
        <v>40</v>
      </c>
      <c r="M388" s="16" t="str">
        <f aca="false">IF(L388&gt;=60,"High",IF(L388&gt;=30,"Medium","Low"))</f>
        <v>Medium</v>
      </c>
    </row>
    <row r="389" customFormat="false" ht="15" hidden="false" customHeight="false" outlineLevel="0" collapsed="false">
      <c r="A389" s="16" t="str">
        <f aca="false">Payment_Log_AP!A386</f>
        <v>PAY40385</v>
      </c>
      <c r="B389" s="16" t="str">
        <f aca="false">Payment_Log_AP!C386</f>
        <v>V1002</v>
      </c>
      <c r="C389" s="16" t="str">
        <f aca="false">IFERROR(INDEX(Vendor_Master!$B$2:$B$41,MATCH(B389,Vendor_Master!$A$2:$A$41,0)),"Unknown Vendor")</f>
        <v>Garcia, Yang and Gardner</v>
      </c>
      <c r="D389" s="16" t="str">
        <f aca="false">IFERROR(INDEX(Vendor_Master!$D$2:$D$41,MATCH(B389,Vendor_Master!$A$2:$A$41,0)),"Unknown")</f>
        <v>UK</v>
      </c>
      <c r="E389" s="17" t="n">
        <f aca="false">IFERROR(INDEX(Vendor_Master!$E$2:$E$41,MATCH(B389,Vendor_Master!$A$2:$A$41,0)),"")</f>
        <v>44914</v>
      </c>
      <c r="F389" s="17" t="n">
        <f aca="false">Payment_Log_AP!D386</f>
        <v>46078</v>
      </c>
      <c r="G389" s="18" t="n">
        <f aca="false">Payment_Log_AP!E386</f>
        <v>2979.58</v>
      </c>
      <c r="H389" s="16" t="n">
        <f aca="false">IF(G389&gt;=Assumptions!$B$7,40,IF(G389&gt;=Assumptions!$B$8,20,0))</f>
        <v>0</v>
      </c>
      <c r="I389" s="16" t="n">
        <f aca="false">IF(MOD(G389,500)=0,20,IF(MOD(G389,100)=0,10,0))</f>
        <v>0</v>
      </c>
      <c r="J389" s="16" t="n">
        <f aca="false">IF(AND(E389&lt;&gt;"",F389-E389&lt;=Assumptions!$B$9),25,0)</f>
        <v>0</v>
      </c>
      <c r="K389" s="16" t="n">
        <f aca="false">IF(ISNUMBER(SEARCH(D389,Assumptions!$B$10)),15,0)</f>
        <v>0</v>
      </c>
      <c r="L389" s="16" t="n">
        <f aca="false">H389+I389+J389+K389</f>
        <v>0</v>
      </c>
      <c r="M389" s="16" t="str">
        <f aca="false">IF(L389&gt;=60,"High",IF(L389&gt;=30,"Medium","Low"))</f>
        <v>Low</v>
      </c>
    </row>
    <row r="390" customFormat="false" ht="15" hidden="false" customHeight="false" outlineLevel="0" collapsed="false">
      <c r="A390" s="16" t="str">
        <f aca="false">Payment_Log_AP!A387</f>
        <v>PAY40386</v>
      </c>
      <c r="B390" s="16" t="str">
        <f aca="false">Payment_Log_AP!C387</f>
        <v>V1018</v>
      </c>
      <c r="C390" s="16" t="str">
        <f aca="false">IFERROR(INDEX(Vendor_Master!$B$2:$B$41,MATCH(B390,Vendor_Master!$A$2:$A$41,0)),"Unknown Vendor")</f>
        <v>Underwood LLC</v>
      </c>
      <c r="D390" s="16" t="str">
        <f aca="false">IFERROR(INDEX(Vendor_Master!$D$2:$D$41,MATCH(B390,Vendor_Master!$A$2:$A$41,0)),"Unknown")</f>
        <v>UAE</v>
      </c>
      <c r="E390" s="17" t="n">
        <f aca="false">IFERROR(INDEX(Vendor_Master!$E$2:$E$41,MATCH(B390,Vendor_Master!$A$2:$A$41,0)),"")</f>
        <v>45788</v>
      </c>
      <c r="F390" s="17" t="n">
        <f aca="false">Payment_Log_AP!D387</f>
        <v>45732</v>
      </c>
      <c r="G390" s="18" t="n">
        <f aca="false">Payment_Log_AP!E387</f>
        <v>209.66</v>
      </c>
      <c r="H390" s="16" t="n">
        <f aca="false">IF(G390&gt;=Assumptions!$B$7,40,IF(G390&gt;=Assumptions!$B$8,20,0))</f>
        <v>0</v>
      </c>
      <c r="I390" s="16" t="n">
        <f aca="false">IF(MOD(G390,500)=0,20,IF(MOD(G390,100)=0,10,0))</f>
        <v>0</v>
      </c>
      <c r="J390" s="16" t="n">
        <f aca="false">IF(AND(E390&lt;&gt;"",F390-E390&lt;=Assumptions!$B$9),25,0)</f>
        <v>25</v>
      </c>
      <c r="K390" s="16" t="n">
        <f aca="false">IF(ISNUMBER(SEARCH(D390,Assumptions!$B$10)),15,0)</f>
        <v>15</v>
      </c>
      <c r="L390" s="16" t="n">
        <f aca="false">H390+I390+J390+K390</f>
        <v>40</v>
      </c>
      <c r="M390" s="16" t="str">
        <f aca="false">IF(L390&gt;=60,"High",IF(L390&gt;=30,"Medium","Low"))</f>
        <v>Medium</v>
      </c>
    </row>
    <row r="391" customFormat="false" ht="15" hidden="false" customHeight="false" outlineLevel="0" collapsed="false">
      <c r="A391" s="16" t="str">
        <f aca="false">Payment_Log_AP!A388</f>
        <v>PAY40387</v>
      </c>
      <c r="B391" s="16" t="str">
        <f aca="false">Payment_Log_AP!C388</f>
        <v>V1037</v>
      </c>
      <c r="C391" s="16" t="str">
        <f aca="false">IFERROR(INDEX(Vendor_Master!$B$2:$B$41,MATCH(B391,Vendor_Master!$A$2:$A$41,0)),"Unknown Vendor")</f>
        <v>Cannon, Anderson and Alvarez</v>
      </c>
      <c r="D391" s="16" t="str">
        <f aca="false">IFERROR(INDEX(Vendor_Master!$D$2:$D$41,MATCH(B391,Vendor_Master!$A$2:$A$41,0)),"Unknown")</f>
        <v>India</v>
      </c>
      <c r="E391" s="17" t="n">
        <f aca="false">IFERROR(INDEX(Vendor_Master!$E$2:$E$41,MATCH(B391,Vendor_Master!$A$2:$A$41,0)),"")</f>
        <v>46108</v>
      </c>
      <c r="F391" s="17" t="n">
        <f aca="false">Payment_Log_AP!D388</f>
        <v>46198</v>
      </c>
      <c r="G391" s="18" t="n">
        <f aca="false">Payment_Log_AP!E388</f>
        <v>3415.67</v>
      </c>
      <c r="H391" s="16" t="n">
        <f aca="false">IF(G391&gt;=Assumptions!$B$7,40,IF(G391&gt;=Assumptions!$B$8,20,0))</f>
        <v>0</v>
      </c>
      <c r="I391" s="16" t="n">
        <f aca="false">IF(MOD(G391,500)=0,20,IF(MOD(G391,100)=0,10,0))</f>
        <v>0</v>
      </c>
      <c r="J391" s="16" t="n">
        <f aca="false">IF(AND(E391&lt;&gt;"",F391-E391&lt;=Assumptions!$B$9),25,0)</f>
        <v>25</v>
      </c>
      <c r="K391" s="16" t="n">
        <f aca="false">IF(ISNUMBER(SEARCH(D391,Assumptions!$B$10)),15,0)</f>
        <v>15</v>
      </c>
      <c r="L391" s="16" t="n">
        <f aca="false">H391+I391+J391+K391</f>
        <v>40</v>
      </c>
      <c r="M391" s="16" t="str">
        <f aca="false">IF(L391&gt;=60,"High",IF(L391&gt;=30,"Medium","Low"))</f>
        <v>Medium</v>
      </c>
    </row>
    <row r="392" customFormat="false" ht="15" hidden="false" customHeight="false" outlineLevel="0" collapsed="false">
      <c r="A392" s="16" t="str">
        <f aca="false">Payment_Log_AP!A389</f>
        <v>PAY40388</v>
      </c>
      <c r="B392" s="16" t="str">
        <f aca="false">Payment_Log_AP!C389</f>
        <v>V1026</v>
      </c>
      <c r="C392" s="16" t="str">
        <f aca="false">IFERROR(INDEX(Vendor_Master!$B$2:$B$41,MATCH(B392,Vendor_Master!$A$2:$A$41,0)),"Unknown Vendor")</f>
        <v>James-Ferrell</v>
      </c>
      <c r="D392" s="16" t="str">
        <f aca="false">IFERROR(INDEX(Vendor_Master!$D$2:$D$41,MATCH(B392,Vendor_Master!$A$2:$A$41,0)),"Unknown")</f>
        <v>UAE</v>
      </c>
      <c r="E392" s="17" t="n">
        <f aca="false">IFERROR(INDEX(Vendor_Master!$E$2:$E$41,MATCH(B392,Vendor_Master!$A$2:$A$41,0)),"")</f>
        <v>45504</v>
      </c>
      <c r="F392" s="17" t="n">
        <f aca="false">Payment_Log_AP!D389</f>
        <v>46011</v>
      </c>
      <c r="G392" s="18" t="n">
        <f aca="false">Payment_Log_AP!E389</f>
        <v>1992.56</v>
      </c>
      <c r="H392" s="16" t="n">
        <f aca="false">IF(G392&gt;=Assumptions!$B$7,40,IF(G392&gt;=Assumptions!$B$8,20,0))</f>
        <v>0</v>
      </c>
      <c r="I392" s="16" t="n">
        <f aca="false">IF(MOD(G392,500)=0,20,IF(MOD(G392,100)=0,10,0))</f>
        <v>0</v>
      </c>
      <c r="J392" s="16" t="n">
        <f aca="false">IF(AND(E392&lt;&gt;"",F392-E392&lt;=Assumptions!$B$9),25,0)</f>
        <v>0</v>
      </c>
      <c r="K392" s="16" t="n">
        <f aca="false">IF(ISNUMBER(SEARCH(D392,Assumptions!$B$10)),15,0)</f>
        <v>15</v>
      </c>
      <c r="L392" s="16" t="n">
        <f aca="false">H392+I392+J392+K392</f>
        <v>15</v>
      </c>
      <c r="M392" s="16" t="str">
        <f aca="false">IF(L392&gt;=60,"High",IF(L392&gt;=30,"Medium","Low"))</f>
        <v>Low</v>
      </c>
    </row>
    <row r="393" customFormat="false" ht="15" hidden="false" customHeight="false" outlineLevel="0" collapsed="false">
      <c r="A393" s="16" t="str">
        <f aca="false">Payment_Log_AP!A390</f>
        <v>PAY40389</v>
      </c>
      <c r="B393" s="16" t="str">
        <f aca="false">Payment_Log_AP!C390</f>
        <v>V1001</v>
      </c>
      <c r="C393" s="16" t="str">
        <f aca="false">IFERROR(INDEX(Vendor_Master!$B$2:$B$41,MATCH(B393,Vendor_Master!$A$2:$A$41,0)),"Unknown Vendor")</f>
        <v>Figueroa and Sons</v>
      </c>
      <c r="D393" s="16" t="str">
        <f aca="false">IFERROR(INDEX(Vendor_Master!$D$2:$D$41,MATCH(B393,Vendor_Master!$A$2:$A$41,0)),"Unknown")</f>
        <v>USA</v>
      </c>
      <c r="E393" s="17" t="n">
        <f aca="false">IFERROR(INDEX(Vendor_Master!$E$2:$E$41,MATCH(B393,Vendor_Master!$A$2:$A$41,0)),"")</f>
        <v>45572</v>
      </c>
      <c r="F393" s="17" t="n">
        <f aca="false">Payment_Log_AP!D390</f>
        <v>45820</v>
      </c>
      <c r="G393" s="18" t="n">
        <f aca="false">Payment_Log_AP!E390</f>
        <v>2035.46</v>
      </c>
      <c r="H393" s="16" t="n">
        <f aca="false">IF(G393&gt;=Assumptions!$B$7,40,IF(G393&gt;=Assumptions!$B$8,20,0))</f>
        <v>0</v>
      </c>
      <c r="I393" s="16" t="n">
        <f aca="false">IF(MOD(G393,500)=0,20,IF(MOD(G393,100)=0,10,0))</f>
        <v>0</v>
      </c>
      <c r="J393" s="16" t="n">
        <f aca="false">IF(AND(E393&lt;&gt;"",F393-E393&lt;=Assumptions!$B$9),25,0)</f>
        <v>0</v>
      </c>
      <c r="K393" s="16" t="n">
        <f aca="false">IF(ISNUMBER(SEARCH(D393,Assumptions!$B$10)),15,0)</f>
        <v>0</v>
      </c>
      <c r="L393" s="16" t="n">
        <f aca="false">H393+I393+J393+K393</f>
        <v>0</v>
      </c>
      <c r="M393" s="16" t="str">
        <f aca="false">IF(L393&gt;=60,"High",IF(L393&gt;=30,"Medium","Low"))</f>
        <v>Low</v>
      </c>
    </row>
    <row r="394" customFormat="false" ht="15" hidden="false" customHeight="false" outlineLevel="0" collapsed="false">
      <c r="A394" s="16" t="str">
        <f aca="false">Payment_Log_AP!A391</f>
        <v>PAY40390</v>
      </c>
      <c r="B394" s="16" t="str">
        <f aca="false">Payment_Log_AP!C391</f>
        <v>V1006</v>
      </c>
      <c r="C394" s="16" t="str">
        <f aca="false">IFERROR(INDEX(Vendor_Master!$B$2:$B$41,MATCH(B394,Vendor_Master!$A$2:$A$41,0)),"Unknown Vendor")</f>
        <v>Blake and Sons</v>
      </c>
      <c r="D394" s="16" t="str">
        <f aca="false">IFERROR(INDEX(Vendor_Master!$D$2:$D$41,MATCH(B394,Vendor_Master!$A$2:$A$41,0)),"Unknown")</f>
        <v>UK</v>
      </c>
      <c r="E394" s="17" t="n">
        <f aca="false">IFERROR(INDEX(Vendor_Master!$E$2:$E$41,MATCH(B394,Vendor_Master!$A$2:$A$41,0)),"")</f>
        <v>45841</v>
      </c>
      <c r="F394" s="17" t="n">
        <f aca="false">Payment_Log_AP!D391</f>
        <v>45757</v>
      </c>
      <c r="G394" s="18" t="n">
        <f aca="false">Payment_Log_AP!E391</f>
        <v>9019.36</v>
      </c>
      <c r="H394" s="16" t="n">
        <f aca="false">IF(G394&gt;=Assumptions!$B$7,40,IF(G394&gt;=Assumptions!$B$8,20,0))</f>
        <v>20</v>
      </c>
      <c r="I394" s="16" t="n">
        <f aca="false">IF(MOD(G394,500)=0,20,IF(MOD(G394,100)=0,10,0))</f>
        <v>0</v>
      </c>
      <c r="J394" s="16" t="n">
        <f aca="false">IF(AND(E394&lt;&gt;"",F394-E394&lt;=Assumptions!$B$9),25,0)</f>
        <v>25</v>
      </c>
      <c r="K394" s="16" t="n">
        <f aca="false">IF(ISNUMBER(SEARCH(D394,Assumptions!$B$10)),15,0)</f>
        <v>0</v>
      </c>
      <c r="L394" s="16" t="n">
        <f aca="false">H394+I394+J394+K394</f>
        <v>45</v>
      </c>
      <c r="M394" s="16" t="str">
        <f aca="false">IF(L394&gt;=60,"High",IF(L394&gt;=30,"Medium","Low"))</f>
        <v>Medium</v>
      </c>
    </row>
    <row r="395" customFormat="false" ht="15" hidden="false" customHeight="false" outlineLevel="0" collapsed="false">
      <c r="A395" s="16" t="str">
        <f aca="false">Payment_Log_AP!A392</f>
        <v>PAY40391</v>
      </c>
      <c r="B395" s="16" t="str">
        <f aca="false">Payment_Log_AP!C392</f>
        <v>V1016</v>
      </c>
      <c r="C395" s="16" t="str">
        <f aca="false">IFERROR(INDEX(Vendor_Master!$B$2:$B$41,MATCH(B395,Vendor_Master!$A$2:$A$41,0)),"Unknown Vendor")</f>
        <v>Sanchez, Ford and Nelson</v>
      </c>
      <c r="D395" s="16" t="str">
        <f aca="false">IFERROR(INDEX(Vendor_Master!$D$2:$D$41,MATCH(B395,Vendor_Master!$A$2:$A$41,0)),"Unknown")</f>
        <v>India</v>
      </c>
      <c r="E395" s="17" t="n">
        <f aca="false">IFERROR(INDEX(Vendor_Master!$E$2:$E$41,MATCH(B395,Vendor_Master!$A$2:$A$41,0)),"")</f>
        <v>44832</v>
      </c>
      <c r="F395" s="17" t="n">
        <f aca="false">Payment_Log_AP!D392</f>
        <v>45989</v>
      </c>
      <c r="G395" s="18" t="n">
        <f aca="false">Payment_Log_AP!E392</f>
        <v>1812.95</v>
      </c>
      <c r="H395" s="16" t="n">
        <f aca="false">IF(G395&gt;=Assumptions!$B$7,40,IF(G395&gt;=Assumptions!$B$8,20,0))</f>
        <v>0</v>
      </c>
      <c r="I395" s="16" t="n">
        <f aca="false">IF(MOD(G395,500)=0,20,IF(MOD(G395,100)=0,10,0))</f>
        <v>0</v>
      </c>
      <c r="J395" s="16" t="n">
        <f aca="false">IF(AND(E395&lt;&gt;"",F395-E395&lt;=Assumptions!$B$9),25,0)</f>
        <v>0</v>
      </c>
      <c r="K395" s="16" t="n">
        <f aca="false">IF(ISNUMBER(SEARCH(D395,Assumptions!$B$10)),15,0)</f>
        <v>15</v>
      </c>
      <c r="L395" s="16" t="n">
        <f aca="false">H395+I395+J395+K395</f>
        <v>15</v>
      </c>
      <c r="M395" s="16" t="str">
        <f aca="false">IF(L395&gt;=60,"High",IF(L395&gt;=30,"Medium","Low"))</f>
        <v>Low</v>
      </c>
    </row>
    <row r="396" customFormat="false" ht="15" hidden="false" customHeight="false" outlineLevel="0" collapsed="false">
      <c r="A396" s="16" t="str">
        <f aca="false">Payment_Log_AP!A393</f>
        <v>PAY40392</v>
      </c>
      <c r="B396" s="16" t="str">
        <f aca="false">Payment_Log_AP!C393</f>
        <v>V1023</v>
      </c>
      <c r="C396" s="16" t="str">
        <f aca="false">IFERROR(INDEX(Vendor_Master!$B$2:$B$41,MATCH(B396,Vendor_Master!$A$2:$A$41,0)),"Unknown Vendor")</f>
        <v>Robinson-Bright</v>
      </c>
      <c r="D396" s="16" t="str">
        <f aca="false">IFERROR(INDEX(Vendor_Master!$D$2:$D$41,MATCH(B396,Vendor_Master!$A$2:$A$41,0)),"Unknown")</f>
        <v>India</v>
      </c>
      <c r="E396" s="17" t="n">
        <f aca="false">IFERROR(INDEX(Vendor_Master!$E$2:$E$41,MATCH(B396,Vendor_Master!$A$2:$A$41,0)),"")</f>
        <v>45484</v>
      </c>
      <c r="F396" s="17" t="n">
        <f aca="false">Payment_Log_AP!D393</f>
        <v>45997</v>
      </c>
      <c r="G396" s="18" t="n">
        <f aca="false">Payment_Log_AP!E393</f>
        <v>1047.46</v>
      </c>
      <c r="H396" s="16" t="n">
        <f aca="false">IF(G396&gt;=Assumptions!$B$7,40,IF(G396&gt;=Assumptions!$B$8,20,0))</f>
        <v>0</v>
      </c>
      <c r="I396" s="16" t="n">
        <f aca="false">IF(MOD(G396,500)=0,20,IF(MOD(G396,100)=0,10,0))</f>
        <v>0</v>
      </c>
      <c r="J396" s="16" t="n">
        <f aca="false">IF(AND(E396&lt;&gt;"",F396-E396&lt;=Assumptions!$B$9),25,0)</f>
        <v>0</v>
      </c>
      <c r="K396" s="16" t="n">
        <f aca="false">IF(ISNUMBER(SEARCH(D396,Assumptions!$B$10)),15,0)</f>
        <v>15</v>
      </c>
      <c r="L396" s="16" t="n">
        <f aca="false">H396+I396+J396+K396</f>
        <v>15</v>
      </c>
      <c r="M396" s="16" t="str">
        <f aca="false">IF(L396&gt;=60,"High",IF(L396&gt;=30,"Medium","Low"))</f>
        <v>Low</v>
      </c>
    </row>
    <row r="397" customFormat="false" ht="15" hidden="false" customHeight="false" outlineLevel="0" collapsed="false">
      <c r="A397" s="16" t="str">
        <f aca="false">Payment_Log_AP!A394</f>
        <v>PAY40393</v>
      </c>
      <c r="B397" s="16" t="str">
        <f aca="false">Payment_Log_AP!C394</f>
        <v>V1009</v>
      </c>
      <c r="C397" s="16" t="str">
        <f aca="false">IFERROR(INDEX(Vendor_Master!$B$2:$B$41,MATCH(B397,Vendor_Master!$A$2:$A$41,0)),"Unknown Vendor")</f>
        <v>Munoz-Roman</v>
      </c>
      <c r="D397" s="16" t="str">
        <f aca="false">IFERROR(INDEX(Vendor_Master!$D$2:$D$41,MATCH(B397,Vendor_Master!$A$2:$A$41,0)),"Unknown")</f>
        <v>India</v>
      </c>
      <c r="E397" s="17" t="n">
        <f aca="false">IFERROR(INDEX(Vendor_Master!$E$2:$E$41,MATCH(B397,Vendor_Master!$A$2:$A$41,0)),"")</f>
        <v>45129</v>
      </c>
      <c r="F397" s="17" t="n">
        <f aca="false">Payment_Log_AP!D394</f>
        <v>45727</v>
      </c>
      <c r="G397" s="18" t="n">
        <f aca="false">Payment_Log_AP!E394</f>
        <v>3396.34</v>
      </c>
      <c r="H397" s="16" t="n">
        <f aca="false">IF(G397&gt;=Assumptions!$B$7,40,IF(G397&gt;=Assumptions!$B$8,20,0))</f>
        <v>0</v>
      </c>
      <c r="I397" s="16" t="n">
        <f aca="false">IF(MOD(G397,500)=0,20,IF(MOD(G397,100)=0,10,0))</f>
        <v>0</v>
      </c>
      <c r="J397" s="16" t="n">
        <f aca="false">IF(AND(E397&lt;&gt;"",F397-E397&lt;=Assumptions!$B$9),25,0)</f>
        <v>0</v>
      </c>
      <c r="K397" s="16" t="n">
        <f aca="false">IF(ISNUMBER(SEARCH(D397,Assumptions!$B$10)),15,0)</f>
        <v>15</v>
      </c>
      <c r="L397" s="16" t="n">
        <f aca="false">H397+I397+J397+K397</f>
        <v>15</v>
      </c>
      <c r="M397" s="16" t="str">
        <f aca="false">IF(L397&gt;=60,"High",IF(L397&gt;=30,"Medium","Low"))</f>
        <v>Low</v>
      </c>
    </row>
    <row r="398" customFormat="false" ht="15" hidden="false" customHeight="false" outlineLevel="0" collapsed="false">
      <c r="A398" s="16" t="str">
        <f aca="false">Payment_Log_AP!A395</f>
        <v>PAY40394</v>
      </c>
      <c r="B398" s="16" t="str">
        <f aca="false">Payment_Log_AP!C395</f>
        <v>V1013</v>
      </c>
      <c r="C398" s="16" t="str">
        <f aca="false">IFERROR(INDEX(Vendor_Master!$B$2:$B$41,MATCH(B398,Vendor_Master!$A$2:$A$41,0)),"Unknown Vendor")</f>
        <v>Delacruz Group</v>
      </c>
      <c r="D398" s="16" t="str">
        <f aca="false">IFERROR(INDEX(Vendor_Master!$D$2:$D$41,MATCH(B398,Vendor_Master!$A$2:$A$41,0)),"Unknown")</f>
        <v>USA</v>
      </c>
      <c r="E398" s="17" t="n">
        <f aca="false">IFERROR(INDEX(Vendor_Master!$E$2:$E$41,MATCH(B398,Vendor_Master!$A$2:$A$41,0)),"")</f>
        <v>46119</v>
      </c>
      <c r="F398" s="17" t="n">
        <f aca="false">Payment_Log_AP!D395</f>
        <v>46171</v>
      </c>
      <c r="G398" s="18" t="n">
        <f aca="false">Payment_Log_AP!E395</f>
        <v>1201.82</v>
      </c>
      <c r="H398" s="16" t="n">
        <f aca="false">IF(G398&gt;=Assumptions!$B$7,40,IF(G398&gt;=Assumptions!$B$8,20,0))</f>
        <v>0</v>
      </c>
      <c r="I398" s="16" t="n">
        <f aca="false">IF(MOD(G398,500)=0,20,IF(MOD(G398,100)=0,10,0))</f>
        <v>0</v>
      </c>
      <c r="J398" s="16" t="n">
        <f aca="false">IF(AND(E398&lt;&gt;"",F398-E398&lt;=Assumptions!$B$9),25,0)</f>
        <v>25</v>
      </c>
      <c r="K398" s="16" t="n">
        <f aca="false">IF(ISNUMBER(SEARCH(D398,Assumptions!$B$10)),15,0)</f>
        <v>0</v>
      </c>
      <c r="L398" s="16" t="n">
        <f aca="false">H398+I398+J398+K398</f>
        <v>25</v>
      </c>
      <c r="M398" s="16" t="str">
        <f aca="false">IF(L398&gt;=60,"High",IF(L398&gt;=30,"Medium","Low"))</f>
        <v>Low</v>
      </c>
    </row>
    <row r="399" customFormat="false" ht="15" hidden="false" customHeight="false" outlineLevel="0" collapsed="false">
      <c r="A399" s="16" t="str">
        <f aca="false">Payment_Log_AP!A396</f>
        <v>PAY40395</v>
      </c>
      <c r="B399" s="16" t="str">
        <f aca="false">Payment_Log_AP!C396</f>
        <v>V1010</v>
      </c>
      <c r="C399" s="16" t="str">
        <f aca="false">IFERROR(INDEX(Vendor_Master!$B$2:$B$41,MATCH(B399,Vendor_Master!$A$2:$A$41,0)),"Unknown Vendor")</f>
        <v>Martinez, Nielsen and Miller</v>
      </c>
      <c r="D399" s="16" t="str">
        <f aca="false">IFERROR(INDEX(Vendor_Master!$D$2:$D$41,MATCH(B399,Vendor_Master!$A$2:$A$41,0)),"Unknown")</f>
        <v>India</v>
      </c>
      <c r="E399" s="17" t="n">
        <f aca="false">IFERROR(INDEX(Vendor_Master!$E$2:$E$41,MATCH(B399,Vendor_Master!$A$2:$A$41,0)),"")</f>
        <v>45715</v>
      </c>
      <c r="F399" s="17" t="n">
        <f aca="false">Payment_Log_AP!D396</f>
        <v>45954</v>
      </c>
      <c r="G399" s="18" t="n">
        <f aca="false">Payment_Log_AP!E396</f>
        <v>1494.41</v>
      </c>
      <c r="H399" s="16" t="n">
        <f aca="false">IF(G399&gt;=Assumptions!$B$7,40,IF(G399&gt;=Assumptions!$B$8,20,0))</f>
        <v>0</v>
      </c>
      <c r="I399" s="16" t="n">
        <f aca="false">IF(MOD(G399,500)=0,20,IF(MOD(G399,100)=0,10,0))</f>
        <v>0</v>
      </c>
      <c r="J399" s="16" t="n">
        <f aca="false">IF(AND(E399&lt;&gt;"",F399-E399&lt;=Assumptions!$B$9),25,0)</f>
        <v>0</v>
      </c>
      <c r="K399" s="16" t="n">
        <f aca="false">IF(ISNUMBER(SEARCH(D399,Assumptions!$B$10)),15,0)</f>
        <v>15</v>
      </c>
      <c r="L399" s="16" t="n">
        <f aca="false">H399+I399+J399+K399</f>
        <v>15</v>
      </c>
      <c r="M399" s="16" t="str">
        <f aca="false">IF(L399&gt;=60,"High",IF(L399&gt;=30,"Medium","Low"))</f>
        <v>Low</v>
      </c>
    </row>
    <row r="400" customFormat="false" ht="15" hidden="false" customHeight="false" outlineLevel="0" collapsed="false">
      <c r="A400" s="16" t="str">
        <f aca="false">Payment_Log_AP!A397</f>
        <v>PAY40396</v>
      </c>
      <c r="B400" s="16" t="str">
        <f aca="false">Payment_Log_AP!C397</f>
        <v>V1018</v>
      </c>
      <c r="C400" s="16" t="str">
        <f aca="false">IFERROR(INDEX(Vendor_Master!$B$2:$B$41,MATCH(B400,Vendor_Master!$A$2:$A$41,0)),"Unknown Vendor")</f>
        <v>Underwood LLC</v>
      </c>
      <c r="D400" s="16" t="str">
        <f aca="false">IFERROR(INDEX(Vendor_Master!$D$2:$D$41,MATCH(B400,Vendor_Master!$A$2:$A$41,0)),"Unknown")</f>
        <v>UAE</v>
      </c>
      <c r="E400" s="17" t="n">
        <f aca="false">IFERROR(INDEX(Vendor_Master!$E$2:$E$41,MATCH(B400,Vendor_Master!$A$2:$A$41,0)),"")</f>
        <v>45788</v>
      </c>
      <c r="F400" s="17" t="n">
        <f aca="false">Payment_Log_AP!D397</f>
        <v>46150</v>
      </c>
      <c r="G400" s="18" t="n">
        <f aca="false">Payment_Log_AP!E397</f>
        <v>2064.66</v>
      </c>
      <c r="H400" s="16" t="n">
        <f aca="false">IF(G400&gt;=Assumptions!$B$7,40,IF(G400&gt;=Assumptions!$B$8,20,0))</f>
        <v>0</v>
      </c>
      <c r="I400" s="16" t="n">
        <f aca="false">IF(MOD(G400,500)=0,20,IF(MOD(G400,100)=0,10,0))</f>
        <v>0</v>
      </c>
      <c r="J400" s="16" t="n">
        <f aca="false">IF(AND(E400&lt;&gt;"",F400-E400&lt;=Assumptions!$B$9),25,0)</f>
        <v>0</v>
      </c>
      <c r="K400" s="16" t="n">
        <f aca="false">IF(ISNUMBER(SEARCH(D400,Assumptions!$B$10)),15,0)</f>
        <v>15</v>
      </c>
      <c r="L400" s="16" t="n">
        <f aca="false">H400+I400+J400+K400</f>
        <v>15</v>
      </c>
      <c r="M400" s="16" t="str">
        <f aca="false">IF(L400&gt;=60,"High",IF(L400&gt;=30,"Medium","Low"))</f>
        <v>Low</v>
      </c>
    </row>
    <row r="401" customFormat="false" ht="15" hidden="false" customHeight="false" outlineLevel="0" collapsed="false">
      <c r="A401" s="16" t="str">
        <f aca="false">Payment_Log_AP!A398</f>
        <v>PAY40397</v>
      </c>
      <c r="B401" s="16" t="str">
        <f aca="false">Payment_Log_AP!C398</f>
        <v>V1018</v>
      </c>
      <c r="C401" s="16" t="str">
        <f aca="false">IFERROR(INDEX(Vendor_Master!$B$2:$B$41,MATCH(B401,Vendor_Master!$A$2:$A$41,0)),"Unknown Vendor")</f>
        <v>Underwood LLC</v>
      </c>
      <c r="D401" s="16" t="str">
        <f aca="false">IFERROR(INDEX(Vendor_Master!$D$2:$D$41,MATCH(B401,Vendor_Master!$A$2:$A$41,0)),"Unknown")</f>
        <v>UAE</v>
      </c>
      <c r="E401" s="17" t="n">
        <f aca="false">IFERROR(INDEX(Vendor_Master!$E$2:$E$41,MATCH(B401,Vendor_Master!$A$2:$A$41,0)),"")</f>
        <v>45788</v>
      </c>
      <c r="F401" s="17" t="n">
        <f aca="false">Payment_Log_AP!D398</f>
        <v>45966</v>
      </c>
      <c r="G401" s="18" t="n">
        <f aca="false">Payment_Log_AP!E398</f>
        <v>882.52</v>
      </c>
      <c r="H401" s="16" t="n">
        <f aca="false">IF(G401&gt;=Assumptions!$B$7,40,IF(G401&gt;=Assumptions!$B$8,20,0))</f>
        <v>0</v>
      </c>
      <c r="I401" s="16" t="n">
        <f aca="false">IF(MOD(G401,500)=0,20,IF(MOD(G401,100)=0,10,0))</f>
        <v>0</v>
      </c>
      <c r="J401" s="16" t="n">
        <f aca="false">IF(AND(E401&lt;&gt;"",F401-E401&lt;=Assumptions!$B$9),25,0)</f>
        <v>25</v>
      </c>
      <c r="K401" s="16" t="n">
        <f aca="false">IF(ISNUMBER(SEARCH(D401,Assumptions!$B$10)),15,0)</f>
        <v>15</v>
      </c>
      <c r="L401" s="16" t="n">
        <f aca="false">H401+I401+J401+K401</f>
        <v>40</v>
      </c>
      <c r="M401" s="16" t="str">
        <f aca="false">IF(L401&gt;=60,"High",IF(L401&gt;=30,"Medium","Low"))</f>
        <v>Medium</v>
      </c>
    </row>
    <row r="402" customFormat="false" ht="15" hidden="false" customHeight="false" outlineLevel="0" collapsed="false">
      <c r="A402" s="16" t="str">
        <f aca="false">Payment_Log_AP!A399</f>
        <v>PAY40398</v>
      </c>
      <c r="B402" s="16" t="str">
        <f aca="false">Payment_Log_AP!C399</f>
        <v>V1028</v>
      </c>
      <c r="C402" s="16" t="str">
        <f aca="false">IFERROR(INDEX(Vendor_Master!$B$2:$B$41,MATCH(B402,Vendor_Master!$A$2:$A$41,0)),"Unknown Vendor")</f>
        <v>Potter, Mack and Peterson</v>
      </c>
      <c r="D402" s="16" t="str">
        <f aca="false">IFERROR(INDEX(Vendor_Master!$D$2:$D$41,MATCH(B402,Vendor_Master!$A$2:$A$41,0)),"Unknown")</f>
        <v>UK</v>
      </c>
      <c r="E402" s="17" t="n">
        <f aca="false">IFERROR(INDEX(Vendor_Master!$E$2:$E$41,MATCH(B402,Vendor_Master!$A$2:$A$41,0)),"")</f>
        <v>45639</v>
      </c>
      <c r="F402" s="17" t="n">
        <f aca="false">Payment_Log_AP!D399</f>
        <v>46086</v>
      </c>
      <c r="G402" s="18" t="n">
        <f aca="false">Payment_Log_AP!E399</f>
        <v>3855.85</v>
      </c>
      <c r="H402" s="16" t="n">
        <f aca="false">IF(G402&gt;=Assumptions!$B$7,40,IF(G402&gt;=Assumptions!$B$8,20,0))</f>
        <v>0</v>
      </c>
      <c r="I402" s="16" t="n">
        <f aca="false">IF(MOD(G402,500)=0,20,IF(MOD(G402,100)=0,10,0))</f>
        <v>0</v>
      </c>
      <c r="J402" s="16" t="n">
        <f aca="false">IF(AND(E402&lt;&gt;"",F402-E402&lt;=Assumptions!$B$9),25,0)</f>
        <v>0</v>
      </c>
      <c r="K402" s="16" t="n">
        <f aca="false">IF(ISNUMBER(SEARCH(D402,Assumptions!$B$10)),15,0)</f>
        <v>0</v>
      </c>
      <c r="L402" s="16" t="n">
        <f aca="false">H402+I402+J402+K402</f>
        <v>0</v>
      </c>
      <c r="M402" s="16" t="str">
        <f aca="false">IF(L402&gt;=60,"High",IF(L402&gt;=30,"Medium","Low"))</f>
        <v>Low</v>
      </c>
    </row>
    <row r="403" customFormat="false" ht="15" hidden="false" customHeight="false" outlineLevel="0" collapsed="false">
      <c r="A403" s="16" t="str">
        <f aca="false">Payment_Log_AP!A400</f>
        <v>PAY40399</v>
      </c>
      <c r="B403" s="16" t="str">
        <f aca="false">Payment_Log_AP!C400</f>
        <v>V1027</v>
      </c>
      <c r="C403" s="16" t="str">
        <f aca="false">IFERROR(INDEX(Vendor_Master!$B$2:$B$41,MATCH(B403,Vendor_Master!$A$2:$A$41,0)),"Unknown Vendor")</f>
        <v>Valencia, Smith and Le</v>
      </c>
      <c r="D403" s="16" t="str">
        <f aca="false">IFERROR(INDEX(Vendor_Master!$D$2:$D$41,MATCH(B403,Vendor_Master!$A$2:$A$41,0)),"Unknown")</f>
        <v>Germany</v>
      </c>
      <c r="E403" s="17" t="n">
        <f aca="false">IFERROR(INDEX(Vendor_Master!$E$2:$E$41,MATCH(B403,Vendor_Master!$A$2:$A$41,0)),"")</f>
        <v>45398</v>
      </c>
      <c r="F403" s="17" t="n">
        <f aca="false">Payment_Log_AP!D400</f>
        <v>45939</v>
      </c>
      <c r="G403" s="18" t="n">
        <f aca="false">Payment_Log_AP!E400</f>
        <v>1396.94</v>
      </c>
      <c r="H403" s="16" t="n">
        <f aca="false">IF(G403&gt;=Assumptions!$B$7,40,IF(G403&gt;=Assumptions!$B$8,20,0))</f>
        <v>0</v>
      </c>
      <c r="I403" s="16" t="n">
        <f aca="false">IF(MOD(G403,500)=0,20,IF(MOD(G403,100)=0,10,0))</f>
        <v>0</v>
      </c>
      <c r="J403" s="16" t="n">
        <f aca="false">IF(AND(E403&lt;&gt;"",F403-E403&lt;=Assumptions!$B$9),25,0)</f>
        <v>0</v>
      </c>
      <c r="K403" s="16" t="n">
        <f aca="false">IF(ISNUMBER(SEARCH(D403,Assumptions!$B$10)),15,0)</f>
        <v>0</v>
      </c>
      <c r="L403" s="16" t="n">
        <f aca="false">H403+I403+J403+K403</f>
        <v>0</v>
      </c>
      <c r="M403" s="16" t="str">
        <f aca="false">IF(L403&gt;=60,"High",IF(L403&gt;=30,"Medium","Low"))</f>
        <v>Low</v>
      </c>
    </row>
    <row r="404" customFormat="false" ht="15" hidden="false" customHeight="false" outlineLevel="0" collapsed="false">
      <c r="A404" s="16" t="str">
        <f aca="false">Payment_Log_AP!A401</f>
        <v>PAY40400</v>
      </c>
      <c r="B404" s="16" t="str">
        <f aca="false">Payment_Log_AP!C401</f>
        <v>V1038</v>
      </c>
      <c r="C404" s="16" t="str">
        <f aca="false">IFERROR(INDEX(Vendor_Master!$B$2:$B$41,MATCH(B404,Vendor_Master!$A$2:$A$41,0)),"Unknown Vendor")</f>
        <v>Rose-Obrien</v>
      </c>
      <c r="D404" s="16" t="str">
        <f aca="false">IFERROR(INDEX(Vendor_Master!$D$2:$D$41,MATCH(B404,Vendor_Master!$A$2:$A$41,0)),"Unknown")</f>
        <v>USA</v>
      </c>
      <c r="E404" s="17" t="n">
        <f aca="false">IFERROR(INDEX(Vendor_Master!$E$2:$E$41,MATCH(B404,Vendor_Master!$A$2:$A$41,0)),"")</f>
        <v>45431</v>
      </c>
      <c r="F404" s="17" t="n">
        <f aca="false">Payment_Log_AP!D401</f>
        <v>45832</v>
      </c>
      <c r="G404" s="18" t="n">
        <f aca="false">Payment_Log_AP!E401</f>
        <v>1284.51</v>
      </c>
      <c r="H404" s="16" t="n">
        <f aca="false">IF(G404&gt;=Assumptions!$B$7,40,IF(G404&gt;=Assumptions!$B$8,20,0))</f>
        <v>0</v>
      </c>
      <c r="I404" s="16" t="n">
        <f aca="false">IF(MOD(G404,500)=0,20,IF(MOD(G404,100)=0,10,0))</f>
        <v>0</v>
      </c>
      <c r="J404" s="16" t="n">
        <f aca="false">IF(AND(E404&lt;&gt;"",F404-E404&lt;=Assumptions!$B$9),25,0)</f>
        <v>0</v>
      </c>
      <c r="K404" s="16" t="n">
        <f aca="false">IF(ISNUMBER(SEARCH(D404,Assumptions!$B$10)),15,0)</f>
        <v>0</v>
      </c>
      <c r="L404" s="16" t="n">
        <f aca="false">H404+I404+J404+K404</f>
        <v>0</v>
      </c>
      <c r="M404" s="16" t="str">
        <f aca="false">IF(L404&gt;=60,"High",IF(L404&gt;=30,"Medium","Low"))</f>
        <v>Low</v>
      </c>
    </row>
    <row r="405" customFormat="false" ht="15" hidden="false" customHeight="false" outlineLevel="0" collapsed="false">
      <c r="A405" s="16" t="str">
        <f aca="false">Payment_Log_AP!A402</f>
        <v>PAY40401</v>
      </c>
      <c r="B405" s="16" t="str">
        <f aca="false">Payment_Log_AP!C402</f>
        <v>V1030</v>
      </c>
      <c r="C405" s="16" t="str">
        <f aca="false">IFERROR(INDEX(Vendor_Master!$B$2:$B$41,MATCH(B405,Vendor_Master!$A$2:$A$41,0)),"Unknown Vendor")</f>
        <v>Stanton-Gill</v>
      </c>
      <c r="D405" s="16" t="str">
        <f aca="false">IFERROR(INDEX(Vendor_Master!$D$2:$D$41,MATCH(B405,Vendor_Master!$A$2:$A$41,0)),"Unknown")</f>
        <v>UK</v>
      </c>
      <c r="E405" s="17" t="n">
        <f aca="false">IFERROR(INDEX(Vendor_Master!$E$2:$E$41,MATCH(B405,Vendor_Master!$A$2:$A$41,0)),"")</f>
        <v>45946</v>
      </c>
      <c r="F405" s="17" t="n">
        <f aca="false">Payment_Log_AP!D402</f>
        <v>46149</v>
      </c>
      <c r="G405" s="18" t="n">
        <f aca="false">Payment_Log_AP!E402</f>
        <v>3088.46</v>
      </c>
      <c r="H405" s="16" t="n">
        <f aca="false">IF(G405&gt;=Assumptions!$B$7,40,IF(G405&gt;=Assumptions!$B$8,20,0))</f>
        <v>0</v>
      </c>
      <c r="I405" s="16" t="n">
        <f aca="false">IF(MOD(G405,500)=0,20,IF(MOD(G405,100)=0,10,0))</f>
        <v>0</v>
      </c>
      <c r="J405" s="16" t="n">
        <f aca="false">IF(AND(E405&lt;&gt;"",F405-E405&lt;=Assumptions!$B$9),25,0)</f>
        <v>0</v>
      </c>
      <c r="K405" s="16" t="n">
        <f aca="false">IF(ISNUMBER(SEARCH(D405,Assumptions!$B$10)),15,0)</f>
        <v>0</v>
      </c>
      <c r="L405" s="16" t="n">
        <f aca="false">H405+I405+J405+K405</f>
        <v>0</v>
      </c>
      <c r="M405" s="16" t="str">
        <f aca="false">IF(L405&gt;=60,"High",IF(L405&gt;=30,"Medium","Low"))</f>
        <v>Low</v>
      </c>
    </row>
    <row r="406" customFormat="false" ht="15" hidden="false" customHeight="false" outlineLevel="0" collapsed="false">
      <c r="A406" s="16" t="str">
        <f aca="false">Payment_Log_AP!A403</f>
        <v>PAY40402</v>
      </c>
      <c r="B406" s="16" t="str">
        <f aca="false">Payment_Log_AP!C403</f>
        <v>V1009</v>
      </c>
      <c r="C406" s="16" t="str">
        <f aca="false">IFERROR(INDEX(Vendor_Master!$B$2:$B$41,MATCH(B406,Vendor_Master!$A$2:$A$41,0)),"Unknown Vendor")</f>
        <v>Munoz-Roman</v>
      </c>
      <c r="D406" s="16" t="str">
        <f aca="false">IFERROR(INDEX(Vendor_Master!$D$2:$D$41,MATCH(B406,Vendor_Master!$A$2:$A$41,0)),"Unknown")</f>
        <v>India</v>
      </c>
      <c r="E406" s="17" t="n">
        <f aca="false">IFERROR(INDEX(Vendor_Master!$E$2:$E$41,MATCH(B406,Vendor_Master!$A$2:$A$41,0)),"")</f>
        <v>45129</v>
      </c>
      <c r="F406" s="17" t="n">
        <f aca="false">Payment_Log_AP!D403</f>
        <v>45810</v>
      </c>
      <c r="G406" s="18" t="n">
        <f aca="false">Payment_Log_AP!E403</f>
        <v>3083.99</v>
      </c>
      <c r="H406" s="16" t="n">
        <f aca="false">IF(G406&gt;=Assumptions!$B$7,40,IF(G406&gt;=Assumptions!$B$8,20,0))</f>
        <v>0</v>
      </c>
      <c r="I406" s="16" t="n">
        <f aca="false">IF(MOD(G406,500)=0,20,IF(MOD(G406,100)=0,10,0))</f>
        <v>0</v>
      </c>
      <c r="J406" s="16" t="n">
        <f aca="false">IF(AND(E406&lt;&gt;"",F406-E406&lt;=Assumptions!$B$9),25,0)</f>
        <v>0</v>
      </c>
      <c r="K406" s="16" t="n">
        <f aca="false">IF(ISNUMBER(SEARCH(D406,Assumptions!$B$10)),15,0)</f>
        <v>15</v>
      </c>
      <c r="L406" s="16" t="n">
        <f aca="false">H406+I406+J406+K406</f>
        <v>15</v>
      </c>
      <c r="M406" s="16" t="str">
        <f aca="false">IF(L406&gt;=60,"High",IF(L406&gt;=30,"Medium","Low"))</f>
        <v>Low</v>
      </c>
    </row>
    <row r="407" customFormat="false" ht="15" hidden="false" customHeight="false" outlineLevel="0" collapsed="false">
      <c r="A407" s="16" t="str">
        <f aca="false">Payment_Log_AP!A404</f>
        <v>PAY40403</v>
      </c>
      <c r="B407" s="16" t="str">
        <f aca="false">Payment_Log_AP!C404</f>
        <v>V1019</v>
      </c>
      <c r="C407" s="16" t="str">
        <f aca="false">IFERROR(INDEX(Vendor_Master!$B$2:$B$41,MATCH(B407,Vendor_Master!$A$2:$A$41,0)),"Unknown Vendor")</f>
        <v>Clark PLC</v>
      </c>
      <c r="D407" s="16" t="str">
        <f aca="false">IFERROR(INDEX(Vendor_Master!$D$2:$D$41,MATCH(B407,Vendor_Master!$A$2:$A$41,0)),"Unknown")</f>
        <v>India</v>
      </c>
      <c r="E407" s="17" t="n">
        <f aca="false">IFERROR(INDEX(Vendor_Master!$E$2:$E$41,MATCH(B407,Vendor_Master!$A$2:$A$41,0)),"")</f>
        <v>45196</v>
      </c>
      <c r="F407" s="17" t="n">
        <f aca="false">Payment_Log_AP!D404</f>
        <v>45903</v>
      </c>
      <c r="G407" s="18" t="n">
        <f aca="false">Payment_Log_AP!E404</f>
        <v>1846.25</v>
      </c>
      <c r="H407" s="16" t="n">
        <f aca="false">IF(G407&gt;=Assumptions!$B$7,40,IF(G407&gt;=Assumptions!$B$8,20,0))</f>
        <v>0</v>
      </c>
      <c r="I407" s="16" t="n">
        <f aca="false">IF(MOD(G407,500)=0,20,IF(MOD(G407,100)=0,10,0))</f>
        <v>0</v>
      </c>
      <c r="J407" s="16" t="n">
        <f aca="false">IF(AND(E407&lt;&gt;"",F407-E407&lt;=Assumptions!$B$9),25,0)</f>
        <v>0</v>
      </c>
      <c r="K407" s="16" t="n">
        <f aca="false">IF(ISNUMBER(SEARCH(D407,Assumptions!$B$10)),15,0)</f>
        <v>15</v>
      </c>
      <c r="L407" s="16" t="n">
        <f aca="false">H407+I407+J407+K407</f>
        <v>15</v>
      </c>
      <c r="M407" s="16" t="str">
        <f aca="false">IF(L407&gt;=60,"High",IF(L407&gt;=30,"Medium","Low"))</f>
        <v>Low</v>
      </c>
    </row>
    <row r="408" customFormat="false" ht="15" hidden="false" customHeight="false" outlineLevel="0" collapsed="false">
      <c r="A408" s="16" t="str">
        <f aca="false">Payment_Log_AP!A405</f>
        <v>PAY40404</v>
      </c>
      <c r="B408" s="16" t="str">
        <f aca="false">Payment_Log_AP!C405</f>
        <v>V1016</v>
      </c>
      <c r="C408" s="16" t="str">
        <f aca="false">IFERROR(INDEX(Vendor_Master!$B$2:$B$41,MATCH(B408,Vendor_Master!$A$2:$A$41,0)),"Unknown Vendor")</f>
        <v>Sanchez, Ford and Nelson</v>
      </c>
      <c r="D408" s="16" t="str">
        <f aca="false">IFERROR(INDEX(Vendor_Master!$D$2:$D$41,MATCH(B408,Vendor_Master!$A$2:$A$41,0)),"Unknown")</f>
        <v>India</v>
      </c>
      <c r="E408" s="17" t="n">
        <f aca="false">IFERROR(INDEX(Vendor_Master!$E$2:$E$41,MATCH(B408,Vendor_Master!$A$2:$A$41,0)),"")</f>
        <v>44832</v>
      </c>
      <c r="F408" s="17" t="n">
        <f aca="false">Payment_Log_AP!D405</f>
        <v>46168</v>
      </c>
      <c r="G408" s="18" t="n">
        <f aca="false">Payment_Log_AP!E405</f>
        <v>4660.66</v>
      </c>
      <c r="H408" s="16" t="n">
        <f aca="false">IF(G408&gt;=Assumptions!$B$7,40,IF(G408&gt;=Assumptions!$B$8,20,0))</f>
        <v>0</v>
      </c>
      <c r="I408" s="16" t="n">
        <f aca="false">IF(MOD(G408,500)=0,20,IF(MOD(G408,100)=0,10,0))</f>
        <v>0</v>
      </c>
      <c r="J408" s="16" t="n">
        <f aca="false">IF(AND(E408&lt;&gt;"",F408-E408&lt;=Assumptions!$B$9),25,0)</f>
        <v>0</v>
      </c>
      <c r="K408" s="16" t="n">
        <f aca="false">IF(ISNUMBER(SEARCH(D408,Assumptions!$B$10)),15,0)</f>
        <v>15</v>
      </c>
      <c r="L408" s="16" t="n">
        <f aca="false">H408+I408+J408+K408</f>
        <v>15</v>
      </c>
      <c r="M408" s="16" t="str">
        <f aca="false">IF(L408&gt;=60,"High",IF(L408&gt;=30,"Medium","Low"))</f>
        <v>Low</v>
      </c>
    </row>
    <row r="409" customFormat="false" ht="15" hidden="false" customHeight="false" outlineLevel="0" collapsed="false">
      <c r="A409" s="16" t="str">
        <f aca="false">Payment_Log_AP!A406</f>
        <v>PAY40405</v>
      </c>
      <c r="B409" s="16" t="str">
        <f aca="false">Payment_Log_AP!C406</f>
        <v>V1011</v>
      </c>
      <c r="C409" s="16" t="str">
        <f aca="false">IFERROR(INDEX(Vendor_Master!$B$2:$B$41,MATCH(B409,Vendor_Master!$A$2:$A$41,0)),"Unknown Vendor")</f>
        <v>Montgomery, Hensley and Ray</v>
      </c>
      <c r="D409" s="16" t="str">
        <f aca="false">IFERROR(INDEX(Vendor_Master!$D$2:$D$41,MATCH(B409,Vendor_Master!$A$2:$A$41,0)),"Unknown")</f>
        <v>USA</v>
      </c>
      <c r="E409" s="17" t="n">
        <f aca="false">IFERROR(INDEX(Vendor_Master!$E$2:$E$41,MATCH(B409,Vendor_Master!$A$2:$A$41,0)),"")</f>
        <v>45025</v>
      </c>
      <c r="F409" s="17" t="n">
        <f aca="false">Payment_Log_AP!D406</f>
        <v>45854</v>
      </c>
      <c r="G409" s="18" t="n">
        <f aca="false">Payment_Log_AP!E406</f>
        <v>4354.54</v>
      </c>
      <c r="H409" s="16" t="n">
        <f aca="false">IF(G409&gt;=Assumptions!$B$7,40,IF(G409&gt;=Assumptions!$B$8,20,0))</f>
        <v>0</v>
      </c>
      <c r="I409" s="16" t="n">
        <f aca="false">IF(MOD(G409,500)=0,20,IF(MOD(G409,100)=0,10,0))</f>
        <v>0</v>
      </c>
      <c r="J409" s="16" t="n">
        <f aca="false">IF(AND(E409&lt;&gt;"",F409-E409&lt;=Assumptions!$B$9),25,0)</f>
        <v>0</v>
      </c>
      <c r="K409" s="16" t="n">
        <f aca="false">IF(ISNUMBER(SEARCH(D409,Assumptions!$B$10)),15,0)</f>
        <v>0</v>
      </c>
      <c r="L409" s="16" t="n">
        <f aca="false">H409+I409+J409+K409</f>
        <v>0</v>
      </c>
      <c r="M409" s="16" t="str">
        <f aca="false">IF(L409&gt;=60,"High",IF(L409&gt;=30,"Medium","Low"))</f>
        <v>Low</v>
      </c>
    </row>
    <row r="410" customFormat="false" ht="15" hidden="false" customHeight="false" outlineLevel="0" collapsed="false">
      <c r="A410" s="16" t="str">
        <f aca="false">Payment_Log_AP!A407</f>
        <v>PAY40406</v>
      </c>
      <c r="B410" s="16" t="str">
        <f aca="false">Payment_Log_AP!C407</f>
        <v>V1007</v>
      </c>
      <c r="C410" s="16" t="str">
        <f aca="false">IFERROR(INDEX(Vendor_Master!$B$2:$B$41,MATCH(B410,Vendor_Master!$A$2:$A$41,0)),"Unknown Vendor")</f>
        <v>Ramirez-Lewis</v>
      </c>
      <c r="D410" s="16" t="str">
        <f aca="false">IFERROR(INDEX(Vendor_Master!$D$2:$D$41,MATCH(B410,Vendor_Master!$A$2:$A$41,0)),"Unknown")</f>
        <v>Germany</v>
      </c>
      <c r="E410" s="17" t="n">
        <f aca="false">IFERROR(INDEX(Vendor_Master!$E$2:$E$41,MATCH(B410,Vendor_Master!$A$2:$A$41,0)),"")</f>
        <v>45665</v>
      </c>
      <c r="F410" s="17" t="n">
        <f aca="false">Payment_Log_AP!D407</f>
        <v>46115</v>
      </c>
      <c r="G410" s="18" t="n">
        <f aca="false">Payment_Log_AP!E407</f>
        <v>1820.28</v>
      </c>
      <c r="H410" s="16" t="n">
        <f aca="false">IF(G410&gt;=Assumptions!$B$7,40,IF(G410&gt;=Assumptions!$B$8,20,0))</f>
        <v>0</v>
      </c>
      <c r="I410" s="16" t="n">
        <f aca="false">IF(MOD(G410,500)=0,20,IF(MOD(G410,100)=0,10,0))</f>
        <v>0</v>
      </c>
      <c r="J410" s="16" t="n">
        <f aca="false">IF(AND(E410&lt;&gt;"",F410-E410&lt;=Assumptions!$B$9),25,0)</f>
        <v>0</v>
      </c>
      <c r="K410" s="16" t="n">
        <f aca="false">IF(ISNUMBER(SEARCH(D410,Assumptions!$B$10)),15,0)</f>
        <v>0</v>
      </c>
      <c r="L410" s="16" t="n">
        <f aca="false">H410+I410+J410+K410</f>
        <v>0</v>
      </c>
      <c r="M410" s="16" t="str">
        <f aca="false">IF(L410&gt;=60,"High",IF(L410&gt;=30,"Medium","Low"))</f>
        <v>Low</v>
      </c>
    </row>
    <row r="411" customFormat="false" ht="15" hidden="false" customHeight="false" outlineLevel="0" collapsed="false">
      <c r="A411" s="16" t="str">
        <f aca="false">Payment_Log_AP!A408</f>
        <v>PAY40407</v>
      </c>
      <c r="B411" s="16" t="str">
        <f aca="false">Payment_Log_AP!C408</f>
        <v>V1013</v>
      </c>
      <c r="C411" s="16" t="str">
        <f aca="false">IFERROR(INDEX(Vendor_Master!$B$2:$B$41,MATCH(B411,Vendor_Master!$A$2:$A$41,0)),"Unknown Vendor")</f>
        <v>Delacruz Group</v>
      </c>
      <c r="D411" s="16" t="str">
        <f aca="false">IFERROR(INDEX(Vendor_Master!$D$2:$D$41,MATCH(B411,Vendor_Master!$A$2:$A$41,0)),"Unknown")</f>
        <v>USA</v>
      </c>
      <c r="E411" s="17" t="n">
        <f aca="false">IFERROR(INDEX(Vendor_Master!$E$2:$E$41,MATCH(B411,Vendor_Master!$A$2:$A$41,0)),"")</f>
        <v>46119</v>
      </c>
      <c r="F411" s="17" t="n">
        <f aca="false">Payment_Log_AP!D408</f>
        <v>45983</v>
      </c>
      <c r="G411" s="18" t="n">
        <f aca="false">Payment_Log_AP!E408</f>
        <v>1334.13</v>
      </c>
      <c r="H411" s="16" t="n">
        <f aca="false">IF(G411&gt;=Assumptions!$B$7,40,IF(G411&gt;=Assumptions!$B$8,20,0))</f>
        <v>0</v>
      </c>
      <c r="I411" s="16" t="n">
        <f aca="false">IF(MOD(G411,500)=0,20,IF(MOD(G411,100)=0,10,0))</f>
        <v>0</v>
      </c>
      <c r="J411" s="16" t="n">
        <f aca="false">IF(AND(E411&lt;&gt;"",F411-E411&lt;=Assumptions!$B$9),25,0)</f>
        <v>25</v>
      </c>
      <c r="K411" s="16" t="n">
        <f aca="false">IF(ISNUMBER(SEARCH(D411,Assumptions!$B$10)),15,0)</f>
        <v>0</v>
      </c>
      <c r="L411" s="16" t="n">
        <f aca="false">H411+I411+J411+K411</f>
        <v>25</v>
      </c>
      <c r="M411" s="16" t="str">
        <f aca="false">IF(L411&gt;=60,"High",IF(L411&gt;=30,"Medium","Low"))</f>
        <v>Low</v>
      </c>
    </row>
    <row r="412" customFormat="false" ht="15" hidden="false" customHeight="false" outlineLevel="0" collapsed="false">
      <c r="A412" s="16" t="str">
        <f aca="false">Payment_Log_AP!A409</f>
        <v>PAY40408</v>
      </c>
      <c r="B412" s="16" t="str">
        <f aca="false">Payment_Log_AP!C409</f>
        <v>V1011</v>
      </c>
      <c r="C412" s="16" t="str">
        <f aca="false">IFERROR(INDEX(Vendor_Master!$B$2:$B$41,MATCH(B412,Vendor_Master!$A$2:$A$41,0)),"Unknown Vendor")</f>
        <v>Montgomery, Hensley and Ray</v>
      </c>
      <c r="D412" s="16" t="str">
        <f aca="false">IFERROR(INDEX(Vendor_Master!$D$2:$D$41,MATCH(B412,Vendor_Master!$A$2:$A$41,0)),"Unknown")</f>
        <v>USA</v>
      </c>
      <c r="E412" s="17" t="n">
        <f aca="false">IFERROR(INDEX(Vendor_Master!$E$2:$E$41,MATCH(B412,Vendor_Master!$A$2:$A$41,0)),"")</f>
        <v>45025</v>
      </c>
      <c r="F412" s="17" t="n">
        <f aca="false">Payment_Log_AP!D409</f>
        <v>46154</v>
      </c>
      <c r="G412" s="18" t="n">
        <f aca="false">Payment_Log_AP!E409</f>
        <v>2328.91</v>
      </c>
      <c r="H412" s="16" t="n">
        <f aca="false">IF(G412&gt;=Assumptions!$B$7,40,IF(G412&gt;=Assumptions!$B$8,20,0))</f>
        <v>0</v>
      </c>
      <c r="I412" s="16" t="n">
        <f aca="false">IF(MOD(G412,500)=0,20,IF(MOD(G412,100)=0,10,0))</f>
        <v>0</v>
      </c>
      <c r="J412" s="16" t="n">
        <f aca="false">IF(AND(E412&lt;&gt;"",F412-E412&lt;=Assumptions!$B$9),25,0)</f>
        <v>0</v>
      </c>
      <c r="K412" s="16" t="n">
        <f aca="false">IF(ISNUMBER(SEARCH(D412,Assumptions!$B$10)),15,0)</f>
        <v>0</v>
      </c>
      <c r="L412" s="16" t="n">
        <f aca="false">H412+I412+J412+K412</f>
        <v>0</v>
      </c>
      <c r="M412" s="16" t="str">
        <f aca="false">IF(L412&gt;=60,"High",IF(L412&gt;=30,"Medium","Low"))</f>
        <v>Low</v>
      </c>
    </row>
    <row r="413" customFormat="false" ht="15" hidden="false" customHeight="false" outlineLevel="0" collapsed="false">
      <c r="A413" s="16" t="str">
        <f aca="false">Payment_Log_AP!A410</f>
        <v>PAY40409</v>
      </c>
      <c r="B413" s="16" t="str">
        <f aca="false">Payment_Log_AP!C410</f>
        <v>V1036</v>
      </c>
      <c r="C413" s="16" t="str">
        <f aca="false">IFERROR(INDEX(Vendor_Master!$B$2:$B$41,MATCH(B413,Vendor_Master!$A$2:$A$41,0)),"Unknown Vendor")</f>
        <v>Dennis Inc</v>
      </c>
      <c r="D413" s="16" t="str">
        <f aca="false">IFERROR(INDEX(Vendor_Master!$D$2:$D$41,MATCH(B413,Vendor_Master!$A$2:$A$41,0)),"Unknown")</f>
        <v>Singapore</v>
      </c>
      <c r="E413" s="17" t="n">
        <f aca="false">IFERROR(INDEX(Vendor_Master!$E$2:$E$41,MATCH(B413,Vendor_Master!$A$2:$A$41,0)),"")</f>
        <v>46059</v>
      </c>
      <c r="F413" s="17" t="n">
        <f aca="false">Payment_Log_AP!D410</f>
        <v>45843</v>
      </c>
      <c r="G413" s="18" t="n">
        <f aca="false">Payment_Log_AP!E410</f>
        <v>460.42</v>
      </c>
      <c r="H413" s="16" t="n">
        <f aca="false">IF(G413&gt;=Assumptions!$B$7,40,IF(G413&gt;=Assumptions!$B$8,20,0))</f>
        <v>0</v>
      </c>
      <c r="I413" s="16" t="n">
        <f aca="false">IF(MOD(G413,500)=0,20,IF(MOD(G413,100)=0,10,0))</f>
        <v>0</v>
      </c>
      <c r="J413" s="16" t="n">
        <f aca="false">IF(AND(E413&lt;&gt;"",F413-E413&lt;=Assumptions!$B$9),25,0)</f>
        <v>25</v>
      </c>
      <c r="K413" s="16" t="n">
        <f aca="false">IF(ISNUMBER(SEARCH(D413,Assumptions!$B$10)),15,0)</f>
        <v>15</v>
      </c>
      <c r="L413" s="16" t="n">
        <f aca="false">H413+I413+J413+K413</f>
        <v>40</v>
      </c>
      <c r="M413" s="16" t="str">
        <f aca="false">IF(L413&gt;=60,"High",IF(L413&gt;=30,"Medium","Low"))</f>
        <v>Medium</v>
      </c>
    </row>
    <row r="414" customFormat="false" ht="15" hidden="false" customHeight="false" outlineLevel="0" collapsed="false">
      <c r="A414" s="16" t="str">
        <f aca="false">Payment_Log_AP!A411</f>
        <v>PAY40410</v>
      </c>
      <c r="B414" s="16" t="str">
        <f aca="false">Payment_Log_AP!C411</f>
        <v>V1030</v>
      </c>
      <c r="C414" s="16" t="str">
        <f aca="false">IFERROR(INDEX(Vendor_Master!$B$2:$B$41,MATCH(B414,Vendor_Master!$A$2:$A$41,0)),"Unknown Vendor")</f>
        <v>Stanton-Gill</v>
      </c>
      <c r="D414" s="16" t="str">
        <f aca="false">IFERROR(INDEX(Vendor_Master!$D$2:$D$41,MATCH(B414,Vendor_Master!$A$2:$A$41,0)),"Unknown")</f>
        <v>UK</v>
      </c>
      <c r="E414" s="17" t="n">
        <f aca="false">IFERROR(INDEX(Vendor_Master!$E$2:$E$41,MATCH(B414,Vendor_Master!$A$2:$A$41,0)),"")</f>
        <v>45946</v>
      </c>
      <c r="F414" s="17" t="n">
        <f aca="false">Payment_Log_AP!D411</f>
        <v>45849</v>
      </c>
      <c r="G414" s="18" t="n">
        <f aca="false">Payment_Log_AP!E411</f>
        <v>820.42</v>
      </c>
      <c r="H414" s="16" t="n">
        <f aca="false">IF(G414&gt;=Assumptions!$B$7,40,IF(G414&gt;=Assumptions!$B$8,20,0))</f>
        <v>0</v>
      </c>
      <c r="I414" s="16" t="n">
        <f aca="false">IF(MOD(G414,500)=0,20,IF(MOD(G414,100)=0,10,0))</f>
        <v>0</v>
      </c>
      <c r="J414" s="16" t="n">
        <f aca="false">IF(AND(E414&lt;&gt;"",F414-E414&lt;=Assumptions!$B$9),25,0)</f>
        <v>25</v>
      </c>
      <c r="K414" s="16" t="n">
        <f aca="false">IF(ISNUMBER(SEARCH(D414,Assumptions!$B$10)),15,0)</f>
        <v>0</v>
      </c>
      <c r="L414" s="16" t="n">
        <f aca="false">H414+I414+J414+K414</f>
        <v>25</v>
      </c>
      <c r="M414" s="16" t="str">
        <f aca="false">IF(L414&gt;=60,"High",IF(L414&gt;=30,"Medium","Low"))</f>
        <v>Low</v>
      </c>
    </row>
    <row r="415" customFormat="false" ht="15" hidden="false" customHeight="false" outlineLevel="0" collapsed="false">
      <c r="A415" s="16" t="str">
        <f aca="false">Payment_Log_AP!A412</f>
        <v>PAY40411</v>
      </c>
      <c r="B415" s="16" t="str">
        <f aca="false">Payment_Log_AP!C412</f>
        <v>V1028</v>
      </c>
      <c r="C415" s="16" t="str">
        <f aca="false">IFERROR(INDEX(Vendor_Master!$B$2:$B$41,MATCH(B415,Vendor_Master!$A$2:$A$41,0)),"Unknown Vendor")</f>
        <v>Potter, Mack and Peterson</v>
      </c>
      <c r="D415" s="16" t="str">
        <f aca="false">IFERROR(INDEX(Vendor_Master!$D$2:$D$41,MATCH(B415,Vendor_Master!$A$2:$A$41,0)),"Unknown")</f>
        <v>UK</v>
      </c>
      <c r="E415" s="17" t="n">
        <f aca="false">IFERROR(INDEX(Vendor_Master!$E$2:$E$41,MATCH(B415,Vendor_Master!$A$2:$A$41,0)),"")</f>
        <v>45639</v>
      </c>
      <c r="F415" s="17" t="n">
        <f aca="false">Payment_Log_AP!D412</f>
        <v>46010</v>
      </c>
      <c r="G415" s="18" t="n">
        <f aca="false">Payment_Log_AP!E412</f>
        <v>1135.98</v>
      </c>
      <c r="H415" s="16" t="n">
        <f aca="false">IF(G415&gt;=Assumptions!$B$7,40,IF(G415&gt;=Assumptions!$B$8,20,0))</f>
        <v>0</v>
      </c>
      <c r="I415" s="16" t="n">
        <f aca="false">IF(MOD(G415,500)=0,20,IF(MOD(G415,100)=0,10,0))</f>
        <v>0</v>
      </c>
      <c r="J415" s="16" t="n">
        <f aca="false">IF(AND(E415&lt;&gt;"",F415-E415&lt;=Assumptions!$B$9),25,0)</f>
        <v>0</v>
      </c>
      <c r="K415" s="16" t="n">
        <f aca="false">IF(ISNUMBER(SEARCH(D415,Assumptions!$B$10)),15,0)</f>
        <v>0</v>
      </c>
      <c r="L415" s="16" t="n">
        <f aca="false">H415+I415+J415+K415</f>
        <v>0</v>
      </c>
      <c r="M415" s="16" t="str">
        <f aca="false">IF(L415&gt;=60,"High",IF(L415&gt;=30,"Medium","Low"))</f>
        <v>Low</v>
      </c>
    </row>
    <row r="416" customFormat="false" ht="15" hidden="false" customHeight="false" outlineLevel="0" collapsed="false">
      <c r="A416" s="16" t="str">
        <f aca="false">Payment_Log_AP!A413</f>
        <v>PAY40412</v>
      </c>
      <c r="B416" s="16" t="str">
        <f aca="false">Payment_Log_AP!C413</f>
        <v>V1028</v>
      </c>
      <c r="C416" s="16" t="str">
        <f aca="false">IFERROR(INDEX(Vendor_Master!$B$2:$B$41,MATCH(B416,Vendor_Master!$A$2:$A$41,0)),"Unknown Vendor")</f>
        <v>Potter, Mack and Peterson</v>
      </c>
      <c r="D416" s="16" t="str">
        <f aca="false">IFERROR(INDEX(Vendor_Master!$D$2:$D$41,MATCH(B416,Vendor_Master!$A$2:$A$41,0)),"Unknown")</f>
        <v>UK</v>
      </c>
      <c r="E416" s="17" t="n">
        <f aca="false">IFERROR(INDEX(Vendor_Master!$E$2:$E$41,MATCH(B416,Vendor_Master!$A$2:$A$41,0)),"")</f>
        <v>45639</v>
      </c>
      <c r="F416" s="17" t="n">
        <f aca="false">Payment_Log_AP!D413</f>
        <v>46012</v>
      </c>
      <c r="G416" s="18" t="n">
        <f aca="false">Payment_Log_AP!E413</f>
        <v>1135.98</v>
      </c>
      <c r="H416" s="16" t="n">
        <f aca="false">IF(G416&gt;=Assumptions!$B$7,40,IF(G416&gt;=Assumptions!$B$8,20,0))</f>
        <v>0</v>
      </c>
      <c r="I416" s="16" t="n">
        <f aca="false">IF(MOD(G416,500)=0,20,IF(MOD(G416,100)=0,10,0))</f>
        <v>0</v>
      </c>
      <c r="J416" s="16" t="n">
        <f aca="false">IF(AND(E416&lt;&gt;"",F416-E416&lt;=Assumptions!$B$9),25,0)</f>
        <v>0</v>
      </c>
      <c r="K416" s="16" t="n">
        <f aca="false">IF(ISNUMBER(SEARCH(D416,Assumptions!$B$10)),15,0)</f>
        <v>0</v>
      </c>
      <c r="L416" s="16" t="n">
        <f aca="false">H416+I416+J416+K416</f>
        <v>0</v>
      </c>
      <c r="M416" s="16" t="str">
        <f aca="false">IF(L416&gt;=60,"High",IF(L416&gt;=30,"Medium","Low"))</f>
        <v>Low</v>
      </c>
    </row>
    <row r="417" customFormat="false" ht="15" hidden="false" customHeight="false" outlineLevel="0" collapsed="false">
      <c r="A417" s="16" t="str">
        <f aca="false">Payment_Log_AP!A414</f>
        <v>PAY40413</v>
      </c>
      <c r="B417" s="16" t="str">
        <f aca="false">Payment_Log_AP!C414</f>
        <v>V1028</v>
      </c>
      <c r="C417" s="16" t="str">
        <f aca="false">IFERROR(INDEX(Vendor_Master!$B$2:$B$41,MATCH(B417,Vendor_Master!$A$2:$A$41,0)),"Unknown Vendor")</f>
        <v>Potter, Mack and Peterson</v>
      </c>
      <c r="D417" s="16" t="str">
        <f aca="false">IFERROR(INDEX(Vendor_Master!$D$2:$D$41,MATCH(B417,Vendor_Master!$A$2:$A$41,0)),"Unknown")</f>
        <v>UK</v>
      </c>
      <c r="E417" s="17" t="n">
        <f aca="false">IFERROR(INDEX(Vendor_Master!$E$2:$E$41,MATCH(B417,Vendor_Master!$A$2:$A$41,0)),"")</f>
        <v>45639</v>
      </c>
      <c r="F417" s="17" t="n">
        <f aca="false">Payment_Log_AP!D414</f>
        <v>46000</v>
      </c>
      <c r="G417" s="18" t="n">
        <f aca="false">Payment_Log_AP!E414</f>
        <v>1135.98</v>
      </c>
      <c r="H417" s="16" t="n">
        <f aca="false">IF(G417&gt;=Assumptions!$B$7,40,IF(G417&gt;=Assumptions!$B$8,20,0))</f>
        <v>0</v>
      </c>
      <c r="I417" s="16" t="n">
        <f aca="false">IF(MOD(G417,500)=0,20,IF(MOD(G417,100)=0,10,0))</f>
        <v>0</v>
      </c>
      <c r="J417" s="16" t="n">
        <f aca="false">IF(AND(E417&lt;&gt;"",F417-E417&lt;=Assumptions!$B$9),25,0)</f>
        <v>0</v>
      </c>
      <c r="K417" s="16" t="n">
        <f aca="false">IF(ISNUMBER(SEARCH(D417,Assumptions!$B$10)),15,0)</f>
        <v>0</v>
      </c>
      <c r="L417" s="16" t="n">
        <f aca="false">H417+I417+J417+K417</f>
        <v>0</v>
      </c>
      <c r="M417" s="16" t="str">
        <f aca="false">IF(L417&gt;=60,"High",IF(L417&gt;=30,"Medium","Low"))</f>
        <v>Low</v>
      </c>
    </row>
    <row r="418" customFormat="false" ht="15" hidden="false" customHeight="false" outlineLevel="0" collapsed="false">
      <c r="A418" s="16" t="str">
        <f aca="false">Payment_Log_AP!A415</f>
        <v>PAY40414</v>
      </c>
      <c r="B418" s="16" t="str">
        <f aca="false">Payment_Log_AP!C415</f>
        <v>V1001</v>
      </c>
      <c r="C418" s="16" t="str">
        <f aca="false">IFERROR(INDEX(Vendor_Master!$B$2:$B$41,MATCH(B418,Vendor_Master!$A$2:$A$41,0)),"Unknown Vendor")</f>
        <v>Figueroa and Sons</v>
      </c>
      <c r="D418" s="16" t="str">
        <f aca="false">IFERROR(INDEX(Vendor_Master!$D$2:$D$41,MATCH(B418,Vendor_Master!$A$2:$A$41,0)),"Unknown")</f>
        <v>USA</v>
      </c>
      <c r="E418" s="17" t="n">
        <f aca="false">IFERROR(INDEX(Vendor_Master!$E$2:$E$41,MATCH(B418,Vendor_Master!$A$2:$A$41,0)),"")</f>
        <v>45572</v>
      </c>
      <c r="F418" s="17" t="n">
        <f aca="false">Payment_Log_AP!D415</f>
        <v>45949</v>
      </c>
      <c r="G418" s="18" t="n">
        <f aca="false">Payment_Log_AP!E415</f>
        <v>15313.53</v>
      </c>
      <c r="H418" s="16" t="n">
        <f aca="false">IF(G418&gt;=Assumptions!$B$7,40,IF(G418&gt;=Assumptions!$B$8,20,0))</f>
        <v>40</v>
      </c>
      <c r="I418" s="16" t="n">
        <f aca="false">IF(MOD(G418,500)=0,20,IF(MOD(G418,100)=0,10,0))</f>
        <v>0</v>
      </c>
      <c r="J418" s="16" t="n">
        <f aca="false">IF(AND(E418&lt;&gt;"",F418-E418&lt;=Assumptions!$B$9),25,0)</f>
        <v>0</v>
      </c>
      <c r="K418" s="16" t="n">
        <f aca="false">IF(ISNUMBER(SEARCH(D418,Assumptions!$B$10)),15,0)</f>
        <v>0</v>
      </c>
      <c r="L418" s="16" t="n">
        <f aca="false">H418+I418+J418+K418</f>
        <v>40</v>
      </c>
      <c r="M418" s="16" t="str">
        <f aca="false">IF(L418&gt;=60,"High",IF(L418&gt;=30,"Medium","Low"))</f>
        <v>Medium</v>
      </c>
    </row>
    <row r="419" customFormat="false" ht="15" hidden="false" customHeight="false" outlineLevel="0" collapsed="false">
      <c r="A419" s="16" t="str">
        <f aca="false">Payment_Log_AP!A416</f>
        <v>PAY40415</v>
      </c>
      <c r="B419" s="16" t="str">
        <f aca="false">Payment_Log_AP!C416</f>
        <v>V1007</v>
      </c>
      <c r="C419" s="16" t="str">
        <f aca="false">IFERROR(INDEX(Vendor_Master!$B$2:$B$41,MATCH(B419,Vendor_Master!$A$2:$A$41,0)),"Unknown Vendor")</f>
        <v>Ramirez-Lewis</v>
      </c>
      <c r="D419" s="16" t="str">
        <f aca="false">IFERROR(INDEX(Vendor_Master!$D$2:$D$41,MATCH(B419,Vendor_Master!$A$2:$A$41,0)),"Unknown")</f>
        <v>Germany</v>
      </c>
      <c r="E419" s="17" t="n">
        <f aca="false">IFERROR(INDEX(Vendor_Master!$E$2:$E$41,MATCH(B419,Vendor_Master!$A$2:$A$41,0)),"")</f>
        <v>45665</v>
      </c>
      <c r="F419" s="17" t="n">
        <f aca="false">Payment_Log_AP!D416</f>
        <v>45749</v>
      </c>
      <c r="G419" s="18" t="n">
        <f aca="false">Payment_Log_AP!E416</f>
        <v>653.1</v>
      </c>
      <c r="H419" s="16" t="n">
        <f aca="false">IF(G419&gt;=Assumptions!$B$7,40,IF(G419&gt;=Assumptions!$B$8,20,0))</f>
        <v>0</v>
      </c>
      <c r="I419" s="16" t="n">
        <f aca="false">IF(MOD(G419,500)=0,20,IF(MOD(G419,100)=0,10,0))</f>
        <v>0</v>
      </c>
      <c r="J419" s="16" t="n">
        <f aca="false">IF(AND(E419&lt;&gt;"",F419-E419&lt;=Assumptions!$B$9),25,0)</f>
        <v>25</v>
      </c>
      <c r="K419" s="16" t="n">
        <f aca="false">IF(ISNUMBER(SEARCH(D419,Assumptions!$B$10)),15,0)</f>
        <v>0</v>
      </c>
      <c r="L419" s="16" t="n">
        <f aca="false">H419+I419+J419+K419</f>
        <v>25</v>
      </c>
      <c r="M419" s="16" t="str">
        <f aca="false">IF(L419&gt;=60,"High",IF(L419&gt;=30,"Medium","Low"))</f>
        <v>Low</v>
      </c>
    </row>
    <row r="420" customFormat="false" ht="15" hidden="false" customHeight="false" outlineLevel="0" collapsed="false">
      <c r="A420" s="16" t="str">
        <f aca="false">Payment_Log_AP!A417</f>
        <v>PAY40416</v>
      </c>
      <c r="B420" s="16" t="str">
        <f aca="false">Payment_Log_AP!C417</f>
        <v>V1008</v>
      </c>
      <c r="C420" s="16" t="str">
        <f aca="false">IFERROR(INDEX(Vendor_Master!$B$2:$B$41,MATCH(B420,Vendor_Master!$A$2:$A$41,0)),"Unknown Vendor")</f>
        <v>Davis Inc</v>
      </c>
      <c r="D420" s="16" t="str">
        <f aca="false">IFERROR(INDEX(Vendor_Master!$D$2:$D$41,MATCH(B420,Vendor_Master!$A$2:$A$41,0)),"Unknown")</f>
        <v>Canada</v>
      </c>
      <c r="E420" s="17" t="n">
        <f aca="false">IFERROR(INDEX(Vendor_Master!$E$2:$E$41,MATCH(B420,Vendor_Master!$A$2:$A$41,0)),"")</f>
        <v>45769</v>
      </c>
      <c r="F420" s="17" t="n">
        <f aca="false">Payment_Log_AP!D417</f>
        <v>45985</v>
      </c>
      <c r="G420" s="18" t="n">
        <f aca="false">Payment_Log_AP!E417</f>
        <v>2324.66</v>
      </c>
      <c r="H420" s="16" t="n">
        <f aca="false">IF(G420&gt;=Assumptions!$B$7,40,IF(G420&gt;=Assumptions!$B$8,20,0))</f>
        <v>0</v>
      </c>
      <c r="I420" s="16" t="n">
        <f aca="false">IF(MOD(G420,500)=0,20,IF(MOD(G420,100)=0,10,0))</f>
        <v>0</v>
      </c>
      <c r="J420" s="16" t="n">
        <f aca="false">IF(AND(E420&lt;&gt;"",F420-E420&lt;=Assumptions!$B$9),25,0)</f>
        <v>0</v>
      </c>
      <c r="K420" s="16" t="n">
        <f aca="false">IF(ISNUMBER(SEARCH(D420,Assumptions!$B$10)),15,0)</f>
        <v>0</v>
      </c>
      <c r="L420" s="16" t="n">
        <f aca="false">H420+I420+J420+K420</f>
        <v>0</v>
      </c>
      <c r="M420" s="16" t="str">
        <f aca="false">IF(L420&gt;=60,"High",IF(L420&gt;=30,"Medium","Low"))</f>
        <v>Low</v>
      </c>
    </row>
    <row r="421" customFormat="false" ht="15" hidden="false" customHeight="false" outlineLevel="0" collapsed="false">
      <c r="A421" s="16" t="str">
        <f aca="false">Payment_Log_AP!A418</f>
        <v>PAY40417</v>
      </c>
      <c r="B421" s="16" t="str">
        <f aca="false">Payment_Log_AP!C418</f>
        <v>V1031</v>
      </c>
      <c r="C421" s="16" t="str">
        <f aca="false">IFERROR(INDEX(Vendor_Master!$B$2:$B$41,MATCH(B421,Vendor_Master!$A$2:$A$41,0)),"Unknown Vendor")</f>
        <v>Harrell LLC</v>
      </c>
      <c r="D421" s="16" t="str">
        <f aca="false">IFERROR(INDEX(Vendor_Master!$D$2:$D$41,MATCH(B421,Vendor_Master!$A$2:$A$41,0)),"Unknown")</f>
        <v>Canada</v>
      </c>
      <c r="E421" s="17" t="n">
        <f aca="false">IFERROR(INDEX(Vendor_Master!$E$2:$E$41,MATCH(B421,Vendor_Master!$A$2:$A$41,0)),"")</f>
        <v>45364</v>
      </c>
      <c r="F421" s="17" t="n">
        <f aca="false">Payment_Log_AP!D418</f>
        <v>45887</v>
      </c>
      <c r="G421" s="18" t="n">
        <f aca="false">Payment_Log_AP!E418</f>
        <v>1644.55</v>
      </c>
      <c r="H421" s="16" t="n">
        <f aca="false">IF(G421&gt;=Assumptions!$B$7,40,IF(G421&gt;=Assumptions!$B$8,20,0))</f>
        <v>0</v>
      </c>
      <c r="I421" s="16" t="n">
        <f aca="false">IF(MOD(G421,500)=0,20,IF(MOD(G421,100)=0,10,0))</f>
        <v>0</v>
      </c>
      <c r="J421" s="16" t="n">
        <f aca="false">IF(AND(E421&lt;&gt;"",F421-E421&lt;=Assumptions!$B$9),25,0)</f>
        <v>0</v>
      </c>
      <c r="K421" s="16" t="n">
        <f aca="false">IF(ISNUMBER(SEARCH(D421,Assumptions!$B$10)),15,0)</f>
        <v>0</v>
      </c>
      <c r="L421" s="16" t="n">
        <f aca="false">H421+I421+J421+K421</f>
        <v>0</v>
      </c>
      <c r="M421" s="16" t="str">
        <f aca="false">IF(L421&gt;=60,"High",IF(L421&gt;=30,"Medium","Low"))</f>
        <v>Low</v>
      </c>
    </row>
    <row r="422" customFormat="false" ht="15" hidden="false" customHeight="false" outlineLevel="0" collapsed="false">
      <c r="A422" s="16" t="str">
        <f aca="false">Payment_Log_AP!A419</f>
        <v>PAY40418</v>
      </c>
      <c r="B422" s="16" t="str">
        <f aca="false">Payment_Log_AP!C419</f>
        <v>V1031</v>
      </c>
      <c r="C422" s="16" t="str">
        <f aca="false">IFERROR(INDEX(Vendor_Master!$B$2:$B$41,MATCH(B422,Vendor_Master!$A$2:$A$41,0)),"Unknown Vendor")</f>
        <v>Harrell LLC</v>
      </c>
      <c r="D422" s="16" t="str">
        <f aca="false">IFERROR(INDEX(Vendor_Master!$D$2:$D$41,MATCH(B422,Vendor_Master!$A$2:$A$41,0)),"Unknown")</f>
        <v>Canada</v>
      </c>
      <c r="E422" s="17" t="n">
        <f aca="false">IFERROR(INDEX(Vendor_Master!$E$2:$E$41,MATCH(B422,Vendor_Master!$A$2:$A$41,0)),"")</f>
        <v>45364</v>
      </c>
      <c r="F422" s="17" t="n">
        <f aca="false">Payment_Log_AP!D419</f>
        <v>45890</v>
      </c>
      <c r="G422" s="18" t="n">
        <f aca="false">Payment_Log_AP!E419</f>
        <v>1644.55</v>
      </c>
      <c r="H422" s="16" t="n">
        <f aca="false">IF(G422&gt;=Assumptions!$B$7,40,IF(G422&gt;=Assumptions!$B$8,20,0))</f>
        <v>0</v>
      </c>
      <c r="I422" s="16" t="n">
        <f aca="false">IF(MOD(G422,500)=0,20,IF(MOD(G422,100)=0,10,0))</f>
        <v>0</v>
      </c>
      <c r="J422" s="16" t="n">
        <f aca="false">IF(AND(E422&lt;&gt;"",F422-E422&lt;=Assumptions!$B$9),25,0)</f>
        <v>0</v>
      </c>
      <c r="K422" s="16" t="n">
        <f aca="false">IF(ISNUMBER(SEARCH(D422,Assumptions!$B$10)),15,0)</f>
        <v>0</v>
      </c>
      <c r="L422" s="16" t="n">
        <f aca="false">H422+I422+J422+K422</f>
        <v>0</v>
      </c>
      <c r="M422" s="16" t="str">
        <f aca="false">IF(L422&gt;=60,"High",IF(L422&gt;=30,"Medium","Low"))</f>
        <v>Low</v>
      </c>
    </row>
    <row r="423" customFormat="false" ht="15" hidden="false" customHeight="false" outlineLevel="0" collapsed="false">
      <c r="A423" s="16" t="str">
        <f aca="false">Payment_Log_AP!A420</f>
        <v>PAY40419</v>
      </c>
      <c r="B423" s="16" t="str">
        <f aca="false">Payment_Log_AP!C420</f>
        <v>V1003</v>
      </c>
      <c r="C423" s="16" t="str">
        <f aca="false">IFERROR(INDEX(Vendor_Master!$B$2:$B$41,MATCH(B423,Vendor_Master!$A$2:$A$41,0)),"Unknown Vendor")</f>
        <v>Johnson and Sons</v>
      </c>
      <c r="D423" s="16" t="str">
        <f aca="false">IFERROR(INDEX(Vendor_Master!$D$2:$D$41,MATCH(B423,Vendor_Master!$A$2:$A$41,0)),"Unknown")</f>
        <v>UAE</v>
      </c>
      <c r="E423" s="17" t="n">
        <f aca="false">IFERROR(INDEX(Vendor_Master!$E$2:$E$41,MATCH(B423,Vendor_Master!$A$2:$A$41,0)),"")</f>
        <v>45495</v>
      </c>
      <c r="F423" s="17" t="n">
        <f aca="false">Payment_Log_AP!D420</f>
        <v>45970</v>
      </c>
      <c r="G423" s="18" t="n">
        <f aca="false">Payment_Log_AP!E420</f>
        <v>236.77</v>
      </c>
      <c r="H423" s="16" t="n">
        <f aca="false">IF(G423&gt;=Assumptions!$B$7,40,IF(G423&gt;=Assumptions!$B$8,20,0))</f>
        <v>0</v>
      </c>
      <c r="I423" s="16" t="n">
        <f aca="false">IF(MOD(G423,500)=0,20,IF(MOD(G423,100)=0,10,0))</f>
        <v>0</v>
      </c>
      <c r="J423" s="16" t="n">
        <f aca="false">IF(AND(E423&lt;&gt;"",F423-E423&lt;=Assumptions!$B$9),25,0)</f>
        <v>0</v>
      </c>
      <c r="K423" s="16" t="n">
        <f aca="false">IF(ISNUMBER(SEARCH(D423,Assumptions!$B$10)),15,0)</f>
        <v>15</v>
      </c>
      <c r="L423" s="16" t="n">
        <f aca="false">H423+I423+J423+K423</f>
        <v>15</v>
      </c>
      <c r="M423" s="16" t="str">
        <f aca="false">IF(L423&gt;=60,"High",IF(L423&gt;=30,"Medium","Low"))</f>
        <v>Low</v>
      </c>
    </row>
    <row r="424" customFormat="false" ht="15" hidden="false" customHeight="false" outlineLevel="0" collapsed="false">
      <c r="A424" s="16" t="str">
        <f aca="false">Payment_Log_AP!A421</f>
        <v>PAY40420</v>
      </c>
      <c r="B424" s="16" t="str">
        <f aca="false">Payment_Log_AP!C421</f>
        <v>V1025</v>
      </c>
      <c r="C424" s="16" t="str">
        <f aca="false">IFERROR(INDEX(Vendor_Master!$B$2:$B$41,MATCH(B424,Vendor_Master!$A$2:$A$41,0)),"Unknown Vendor")</f>
        <v>Conner Group</v>
      </c>
      <c r="D424" s="16" t="str">
        <f aca="false">IFERROR(INDEX(Vendor_Master!$D$2:$D$41,MATCH(B424,Vendor_Master!$A$2:$A$41,0)),"Unknown")</f>
        <v>USA</v>
      </c>
      <c r="E424" s="17" t="n">
        <f aca="false">IFERROR(INDEX(Vendor_Master!$E$2:$E$41,MATCH(B424,Vendor_Master!$A$2:$A$41,0)),"")</f>
        <v>44803</v>
      </c>
      <c r="F424" s="17" t="n">
        <f aca="false">Payment_Log_AP!D421</f>
        <v>45994</v>
      </c>
      <c r="G424" s="18" t="n">
        <f aca="false">Payment_Log_AP!E421</f>
        <v>1018.47</v>
      </c>
      <c r="H424" s="16" t="n">
        <f aca="false">IF(G424&gt;=Assumptions!$B$7,40,IF(G424&gt;=Assumptions!$B$8,20,0))</f>
        <v>0</v>
      </c>
      <c r="I424" s="16" t="n">
        <f aca="false">IF(MOD(G424,500)=0,20,IF(MOD(G424,100)=0,10,0))</f>
        <v>0</v>
      </c>
      <c r="J424" s="16" t="n">
        <f aca="false">IF(AND(E424&lt;&gt;"",F424-E424&lt;=Assumptions!$B$9),25,0)</f>
        <v>0</v>
      </c>
      <c r="K424" s="16" t="n">
        <f aca="false">IF(ISNUMBER(SEARCH(D424,Assumptions!$B$10)),15,0)</f>
        <v>0</v>
      </c>
      <c r="L424" s="16" t="n">
        <f aca="false">H424+I424+J424+K424</f>
        <v>0</v>
      </c>
      <c r="M424" s="16" t="str">
        <f aca="false">IF(L424&gt;=60,"High",IF(L424&gt;=30,"Medium","Low"))</f>
        <v>Low</v>
      </c>
    </row>
    <row r="425" customFormat="false" ht="15" hidden="false" customHeight="false" outlineLevel="0" collapsed="false">
      <c r="A425" s="16" t="str">
        <f aca="false">Payment_Log_AP!A422</f>
        <v>PAY40421</v>
      </c>
      <c r="B425" s="16" t="str">
        <f aca="false">Payment_Log_AP!C422</f>
        <v>V1024</v>
      </c>
      <c r="C425" s="16" t="str">
        <f aca="false">IFERROR(INDEX(Vendor_Master!$B$2:$B$41,MATCH(B425,Vendor_Master!$A$2:$A$41,0)),"Unknown Vendor")</f>
        <v>Campos Inc</v>
      </c>
      <c r="D425" s="16" t="str">
        <f aca="false">IFERROR(INDEX(Vendor_Master!$D$2:$D$41,MATCH(B425,Vendor_Master!$A$2:$A$41,0)),"Unknown")</f>
        <v>USA</v>
      </c>
      <c r="E425" s="17" t="n">
        <f aca="false">IFERROR(INDEX(Vendor_Master!$E$2:$E$41,MATCH(B425,Vendor_Master!$A$2:$A$41,0)),"")</f>
        <v>45367</v>
      </c>
      <c r="F425" s="17" t="n">
        <f aca="false">Payment_Log_AP!D422</f>
        <v>45930</v>
      </c>
      <c r="G425" s="18" t="n">
        <f aca="false">Payment_Log_AP!E422</f>
        <v>3142.38</v>
      </c>
      <c r="H425" s="16" t="n">
        <f aca="false">IF(G425&gt;=Assumptions!$B$7,40,IF(G425&gt;=Assumptions!$B$8,20,0))</f>
        <v>0</v>
      </c>
      <c r="I425" s="16" t="n">
        <f aca="false">IF(MOD(G425,500)=0,20,IF(MOD(G425,100)=0,10,0))</f>
        <v>0</v>
      </c>
      <c r="J425" s="16" t="n">
        <f aca="false">IF(AND(E425&lt;&gt;"",F425-E425&lt;=Assumptions!$B$9),25,0)</f>
        <v>0</v>
      </c>
      <c r="K425" s="16" t="n">
        <f aca="false">IF(ISNUMBER(SEARCH(D425,Assumptions!$B$10)),15,0)</f>
        <v>0</v>
      </c>
      <c r="L425" s="16" t="n">
        <f aca="false">H425+I425+J425+K425</f>
        <v>0</v>
      </c>
      <c r="M425" s="16" t="str">
        <f aca="false">IF(L425&gt;=60,"High",IF(L425&gt;=30,"Medium","Low"))</f>
        <v>Low</v>
      </c>
    </row>
    <row r="426" customFormat="false" ht="15" hidden="false" customHeight="false" outlineLevel="0" collapsed="false">
      <c r="A426" s="16" t="str">
        <f aca="false">Payment_Log_AP!A423</f>
        <v>PAY40422</v>
      </c>
      <c r="B426" s="16" t="str">
        <f aca="false">Payment_Log_AP!C423</f>
        <v>V1034</v>
      </c>
      <c r="C426" s="16" t="str">
        <f aca="false">IFERROR(INDEX(Vendor_Master!$B$2:$B$41,MATCH(B426,Vendor_Master!$A$2:$A$41,0)),"Unknown Vendor")</f>
        <v>Koch-Decker</v>
      </c>
      <c r="D426" s="16" t="str">
        <f aca="false">IFERROR(INDEX(Vendor_Master!$D$2:$D$41,MATCH(B426,Vendor_Master!$A$2:$A$41,0)),"Unknown")</f>
        <v>Germany</v>
      </c>
      <c r="E426" s="17" t="n">
        <f aca="false">IFERROR(INDEX(Vendor_Master!$E$2:$E$41,MATCH(B426,Vendor_Master!$A$2:$A$41,0)),"")</f>
        <v>44738</v>
      </c>
      <c r="F426" s="17" t="n">
        <f aca="false">Payment_Log_AP!D423</f>
        <v>45853</v>
      </c>
      <c r="G426" s="18" t="n">
        <f aca="false">Payment_Log_AP!E423</f>
        <v>2788.31</v>
      </c>
      <c r="H426" s="16" t="n">
        <f aca="false">IF(G426&gt;=Assumptions!$B$7,40,IF(G426&gt;=Assumptions!$B$8,20,0))</f>
        <v>0</v>
      </c>
      <c r="I426" s="16" t="n">
        <f aca="false">IF(MOD(G426,500)=0,20,IF(MOD(G426,100)=0,10,0))</f>
        <v>0</v>
      </c>
      <c r="J426" s="16" t="n">
        <f aca="false">IF(AND(E426&lt;&gt;"",F426-E426&lt;=Assumptions!$B$9),25,0)</f>
        <v>0</v>
      </c>
      <c r="K426" s="16" t="n">
        <f aca="false">IF(ISNUMBER(SEARCH(D426,Assumptions!$B$10)),15,0)</f>
        <v>0</v>
      </c>
      <c r="L426" s="16" t="n">
        <f aca="false">H426+I426+J426+K426</f>
        <v>0</v>
      </c>
      <c r="M426" s="16" t="str">
        <f aca="false">IF(L426&gt;=60,"High",IF(L426&gt;=30,"Medium","Low"))</f>
        <v>Low</v>
      </c>
    </row>
    <row r="427" customFormat="false" ht="15" hidden="false" customHeight="false" outlineLevel="0" collapsed="false">
      <c r="A427" s="16" t="str">
        <f aca="false">Payment_Log_AP!A424</f>
        <v>PAY40423</v>
      </c>
      <c r="B427" s="16" t="str">
        <f aca="false">Payment_Log_AP!C424</f>
        <v>V1022</v>
      </c>
      <c r="C427" s="16" t="str">
        <f aca="false">IFERROR(INDEX(Vendor_Master!$B$2:$B$41,MATCH(B427,Vendor_Master!$A$2:$A$41,0)),"Unknown Vendor")</f>
        <v>Burgess-Patterson</v>
      </c>
      <c r="D427" s="16" t="str">
        <f aca="false">IFERROR(INDEX(Vendor_Master!$D$2:$D$41,MATCH(B427,Vendor_Master!$A$2:$A$41,0)),"Unknown")</f>
        <v>Germany</v>
      </c>
      <c r="E427" s="17" t="n">
        <f aca="false">IFERROR(INDEX(Vendor_Master!$E$2:$E$41,MATCH(B427,Vendor_Master!$A$2:$A$41,0)),"")</f>
        <v>45449</v>
      </c>
      <c r="F427" s="17" t="n">
        <f aca="false">Payment_Log_AP!D424</f>
        <v>45796</v>
      </c>
      <c r="G427" s="18" t="n">
        <f aca="false">Payment_Log_AP!E424</f>
        <v>12520.7</v>
      </c>
      <c r="H427" s="16" t="n">
        <f aca="false">IF(G427&gt;=Assumptions!$B$7,40,IF(G427&gt;=Assumptions!$B$8,20,0))</f>
        <v>40</v>
      </c>
      <c r="I427" s="16" t="n">
        <f aca="false">IF(MOD(G427,500)=0,20,IF(MOD(G427,100)=0,10,0))</f>
        <v>0</v>
      </c>
      <c r="J427" s="16" t="n">
        <f aca="false">IF(AND(E427&lt;&gt;"",F427-E427&lt;=Assumptions!$B$9),25,0)</f>
        <v>0</v>
      </c>
      <c r="K427" s="16" t="n">
        <f aca="false">IF(ISNUMBER(SEARCH(D427,Assumptions!$B$10)),15,0)</f>
        <v>0</v>
      </c>
      <c r="L427" s="16" t="n">
        <f aca="false">H427+I427+J427+K427</f>
        <v>40</v>
      </c>
      <c r="M427" s="16" t="str">
        <f aca="false">IF(L427&gt;=60,"High",IF(L427&gt;=30,"Medium","Low"))</f>
        <v>Medium</v>
      </c>
    </row>
    <row r="428" customFormat="false" ht="15" hidden="false" customHeight="false" outlineLevel="0" collapsed="false">
      <c r="A428" s="16" t="str">
        <f aca="false">Payment_Log_AP!A425</f>
        <v>PAY40424</v>
      </c>
      <c r="B428" s="16" t="str">
        <f aca="false">Payment_Log_AP!C425</f>
        <v>V1019</v>
      </c>
      <c r="C428" s="16" t="str">
        <f aca="false">IFERROR(INDEX(Vendor_Master!$B$2:$B$41,MATCH(B428,Vendor_Master!$A$2:$A$41,0)),"Unknown Vendor")</f>
        <v>Clark PLC</v>
      </c>
      <c r="D428" s="16" t="str">
        <f aca="false">IFERROR(INDEX(Vendor_Master!$D$2:$D$41,MATCH(B428,Vendor_Master!$A$2:$A$41,0)),"Unknown")</f>
        <v>India</v>
      </c>
      <c r="E428" s="17" t="n">
        <f aca="false">IFERROR(INDEX(Vendor_Master!$E$2:$E$41,MATCH(B428,Vendor_Master!$A$2:$A$41,0)),"")</f>
        <v>45196</v>
      </c>
      <c r="F428" s="17" t="n">
        <f aca="false">Payment_Log_AP!D425</f>
        <v>46075</v>
      </c>
      <c r="G428" s="18" t="n">
        <f aca="false">Payment_Log_AP!E425</f>
        <v>1099.38</v>
      </c>
      <c r="H428" s="16" t="n">
        <f aca="false">IF(G428&gt;=Assumptions!$B$7,40,IF(G428&gt;=Assumptions!$B$8,20,0))</f>
        <v>0</v>
      </c>
      <c r="I428" s="16" t="n">
        <f aca="false">IF(MOD(G428,500)=0,20,IF(MOD(G428,100)=0,10,0))</f>
        <v>0</v>
      </c>
      <c r="J428" s="16" t="n">
        <f aca="false">IF(AND(E428&lt;&gt;"",F428-E428&lt;=Assumptions!$B$9),25,0)</f>
        <v>0</v>
      </c>
      <c r="K428" s="16" t="n">
        <f aca="false">IF(ISNUMBER(SEARCH(D428,Assumptions!$B$10)),15,0)</f>
        <v>15</v>
      </c>
      <c r="L428" s="16" t="n">
        <f aca="false">H428+I428+J428+K428</f>
        <v>15</v>
      </c>
      <c r="M428" s="16" t="str">
        <f aca="false">IF(L428&gt;=60,"High",IF(L428&gt;=30,"Medium","Low"))</f>
        <v>Low</v>
      </c>
    </row>
    <row r="429" customFormat="false" ht="15" hidden="false" customHeight="false" outlineLevel="0" collapsed="false">
      <c r="A429" s="16" t="str">
        <f aca="false">Payment_Log_AP!A426</f>
        <v>PAY40425</v>
      </c>
      <c r="B429" s="16" t="str">
        <f aca="false">Payment_Log_AP!C426</f>
        <v>V1023</v>
      </c>
      <c r="C429" s="16" t="str">
        <f aca="false">IFERROR(INDEX(Vendor_Master!$B$2:$B$41,MATCH(B429,Vendor_Master!$A$2:$A$41,0)),"Unknown Vendor")</f>
        <v>Robinson-Bright</v>
      </c>
      <c r="D429" s="16" t="str">
        <f aca="false">IFERROR(INDEX(Vendor_Master!$D$2:$D$41,MATCH(B429,Vendor_Master!$A$2:$A$41,0)),"Unknown")</f>
        <v>India</v>
      </c>
      <c r="E429" s="17" t="n">
        <f aca="false">IFERROR(INDEX(Vendor_Master!$E$2:$E$41,MATCH(B429,Vendor_Master!$A$2:$A$41,0)),"")</f>
        <v>45484</v>
      </c>
      <c r="F429" s="17" t="n">
        <f aca="false">Payment_Log_AP!D426</f>
        <v>46018</v>
      </c>
      <c r="G429" s="18" t="n">
        <f aca="false">Payment_Log_AP!E426</f>
        <v>3207.79</v>
      </c>
      <c r="H429" s="16" t="n">
        <f aca="false">IF(G429&gt;=Assumptions!$B$7,40,IF(G429&gt;=Assumptions!$B$8,20,0))</f>
        <v>0</v>
      </c>
      <c r="I429" s="16" t="n">
        <f aca="false">IF(MOD(G429,500)=0,20,IF(MOD(G429,100)=0,10,0))</f>
        <v>0</v>
      </c>
      <c r="J429" s="16" t="n">
        <f aca="false">IF(AND(E429&lt;&gt;"",F429-E429&lt;=Assumptions!$B$9),25,0)</f>
        <v>0</v>
      </c>
      <c r="K429" s="16" t="n">
        <f aca="false">IF(ISNUMBER(SEARCH(D429,Assumptions!$B$10)),15,0)</f>
        <v>15</v>
      </c>
      <c r="L429" s="16" t="n">
        <f aca="false">H429+I429+J429+K429</f>
        <v>15</v>
      </c>
      <c r="M429" s="16" t="str">
        <f aca="false">IF(L429&gt;=60,"High",IF(L429&gt;=30,"Medium","Low"))</f>
        <v>Low</v>
      </c>
    </row>
    <row r="430" customFormat="false" ht="15" hidden="false" customHeight="false" outlineLevel="0" collapsed="false">
      <c r="A430" s="16" t="str">
        <f aca="false">Payment_Log_AP!A427</f>
        <v>PAY40426</v>
      </c>
      <c r="B430" s="16" t="str">
        <f aca="false">Payment_Log_AP!C427</f>
        <v>V1001</v>
      </c>
      <c r="C430" s="16" t="str">
        <f aca="false">IFERROR(INDEX(Vendor_Master!$B$2:$B$41,MATCH(B430,Vendor_Master!$A$2:$A$41,0)),"Unknown Vendor")</f>
        <v>Figueroa and Sons</v>
      </c>
      <c r="D430" s="16" t="str">
        <f aca="false">IFERROR(INDEX(Vendor_Master!$D$2:$D$41,MATCH(B430,Vendor_Master!$A$2:$A$41,0)),"Unknown")</f>
        <v>USA</v>
      </c>
      <c r="E430" s="17" t="n">
        <f aca="false">IFERROR(INDEX(Vendor_Master!$E$2:$E$41,MATCH(B430,Vendor_Master!$A$2:$A$41,0)),"")</f>
        <v>45572</v>
      </c>
      <c r="F430" s="17" t="n">
        <f aca="false">Payment_Log_AP!D427</f>
        <v>45809</v>
      </c>
      <c r="G430" s="18" t="n">
        <f aca="false">Payment_Log_AP!E427</f>
        <v>182.59</v>
      </c>
      <c r="H430" s="16" t="n">
        <f aca="false">IF(G430&gt;=Assumptions!$B$7,40,IF(G430&gt;=Assumptions!$B$8,20,0))</f>
        <v>0</v>
      </c>
      <c r="I430" s="16" t="n">
        <f aca="false">IF(MOD(G430,500)=0,20,IF(MOD(G430,100)=0,10,0))</f>
        <v>0</v>
      </c>
      <c r="J430" s="16" t="n">
        <f aca="false">IF(AND(E430&lt;&gt;"",F430-E430&lt;=Assumptions!$B$9),25,0)</f>
        <v>0</v>
      </c>
      <c r="K430" s="16" t="n">
        <f aca="false">IF(ISNUMBER(SEARCH(D430,Assumptions!$B$10)),15,0)</f>
        <v>0</v>
      </c>
      <c r="L430" s="16" t="n">
        <f aca="false">H430+I430+J430+K430</f>
        <v>0</v>
      </c>
      <c r="M430" s="16" t="str">
        <f aca="false">IF(L430&gt;=60,"High",IF(L430&gt;=30,"Medium","Low"))</f>
        <v>Low</v>
      </c>
    </row>
    <row r="431" customFormat="false" ht="15" hidden="false" customHeight="false" outlineLevel="0" collapsed="false">
      <c r="A431" s="16" t="str">
        <f aca="false">Payment_Log_AP!A428</f>
        <v>PAY40427</v>
      </c>
      <c r="B431" s="16" t="str">
        <f aca="false">Payment_Log_AP!C428</f>
        <v>V1040</v>
      </c>
      <c r="C431" s="16" t="str">
        <f aca="false">IFERROR(INDEX(Vendor_Master!$B$2:$B$41,MATCH(B431,Vendor_Master!$A$2:$A$41,0)),"Unknown Vendor")</f>
        <v>Santos, Kim and Holmes</v>
      </c>
      <c r="D431" s="16" t="str">
        <f aca="false">IFERROR(INDEX(Vendor_Master!$D$2:$D$41,MATCH(B431,Vendor_Master!$A$2:$A$41,0)),"Unknown")</f>
        <v>India</v>
      </c>
      <c r="E431" s="17" t="n">
        <f aca="false">IFERROR(INDEX(Vendor_Master!$E$2:$E$41,MATCH(B431,Vendor_Master!$A$2:$A$41,0)),"")</f>
        <v>45192</v>
      </c>
      <c r="F431" s="17" t="n">
        <f aca="false">Payment_Log_AP!D428</f>
        <v>46116</v>
      </c>
      <c r="G431" s="18" t="n">
        <f aca="false">Payment_Log_AP!E428</f>
        <v>1223.73</v>
      </c>
      <c r="H431" s="16" t="n">
        <f aca="false">IF(G431&gt;=Assumptions!$B$7,40,IF(G431&gt;=Assumptions!$B$8,20,0))</f>
        <v>0</v>
      </c>
      <c r="I431" s="16" t="n">
        <f aca="false">IF(MOD(G431,500)=0,20,IF(MOD(G431,100)=0,10,0))</f>
        <v>0</v>
      </c>
      <c r="J431" s="16" t="n">
        <f aca="false">IF(AND(E431&lt;&gt;"",F431-E431&lt;=Assumptions!$B$9),25,0)</f>
        <v>0</v>
      </c>
      <c r="K431" s="16" t="n">
        <f aca="false">IF(ISNUMBER(SEARCH(D431,Assumptions!$B$10)),15,0)</f>
        <v>15</v>
      </c>
      <c r="L431" s="16" t="n">
        <f aca="false">H431+I431+J431+K431</f>
        <v>15</v>
      </c>
      <c r="M431" s="16" t="str">
        <f aca="false">IF(L431&gt;=60,"High",IF(L431&gt;=30,"Medium","Low"))</f>
        <v>Low</v>
      </c>
    </row>
    <row r="432" customFormat="false" ht="15" hidden="false" customHeight="false" outlineLevel="0" collapsed="false">
      <c r="A432" s="16" t="str">
        <f aca="false">Payment_Log_AP!A429</f>
        <v>PAY40428</v>
      </c>
      <c r="B432" s="16" t="str">
        <f aca="false">Payment_Log_AP!C429</f>
        <v>V1015</v>
      </c>
      <c r="C432" s="16" t="str">
        <f aca="false">IFERROR(INDEX(Vendor_Master!$B$2:$B$41,MATCH(B432,Vendor_Master!$A$2:$A$41,0)),"Unknown Vendor")</f>
        <v>Zuniga, Wong and Lynch</v>
      </c>
      <c r="D432" s="16" t="str">
        <f aca="false">IFERROR(INDEX(Vendor_Master!$D$2:$D$41,MATCH(B432,Vendor_Master!$A$2:$A$41,0)),"Unknown")</f>
        <v>USA</v>
      </c>
      <c r="E432" s="17" t="n">
        <f aca="false">IFERROR(INDEX(Vendor_Master!$E$2:$E$41,MATCH(B432,Vendor_Master!$A$2:$A$41,0)),"")</f>
        <v>45621</v>
      </c>
      <c r="F432" s="17" t="n">
        <f aca="false">Payment_Log_AP!D429</f>
        <v>45709</v>
      </c>
      <c r="G432" s="18" t="n">
        <f aca="false">Payment_Log_AP!E429</f>
        <v>585.34</v>
      </c>
      <c r="H432" s="16" t="n">
        <f aca="false">IF(G432&gt;=Assumptions!$B$7,40,IF(G432&gt;=Assumptions!$B$8,20,0))</f>
        <v>0</v>
      </c>
      <c r="I432" s="16" t="n">
        <f aca="false">IF(MOD(G432,500)=0,20,IF(MOD(G432,100)=0,10,0))</f>
        <v>0</v>
      </c>
      <c r="J432" s="16" t="n">
        <f aca="false">IF(AND(E432&lt;&gt;"",F432-E432&lt;=Assumptions!$B$9),25,0)</f>
        <v>25</v>
      </c>
      <c r="K432" s="16" t="n">
        <f aca="false">IF(ISNUMBER(SEARCH(D432,Assumptions!$B$10)),15,0)</f>
        <v>0</v>
      </c>
      <c r="L432" s="16" t="n">
        <f aca="false">H432+I432+J432+K432</f>
        <v>25</v>
      </c>
      <c r="M432" s="16" t="str">
        <f aca="false">IF(L432&gt;=60,"High",IF(L432&gt;=30,"Medium","Low"))</f>
        <v>Low</v>
      </c>
    </row>
    <row r="433" customFormat="false" ht="15" hidden="false" customHeight="false" outlineLevel="0" collapsed="false">
      <c r="A433" s="16" t="str">
        <f aca="false">Payment_Log_AP!A430</f>
        <v>PAY40429</v>
      </c>
      <c r="B433" s="16" t="str">
        <f aca="false">Payment_Log_AP!C430</f>
        <v>V1039</v>
      </c>
      <c r="C433" s="16" t="str">
        <f aca="false">IFERROR(INDEX(Vendor_Master!$B$2:$B$41,MATCH(B433,Vendor_Master!$A$2:$A$41,0)),"Unknown Vendor")</f>
        <v>Campos, Vaughn and Marquez</v>
      </c>
      <c r="D433" s="16" t="str">
        <f aca="false">IFERROR(INDEX(Vendor_Master!$D$2:$D$41,MATCH(B433,Vendor_Master!$A$2:$A$41,0)),"Unknown")</f>
        <v>USA</v>
      </c>
      <c r="E433" s="17" t="n">
        <f aca="false">IFERROR(INDEX(Vendor_Master!$E$2:$E$41,MATCH(B433,Vendor_Master!$A$2:$A$41,0)),"")</f>
        <v>46086</v>
      </c>
      <c r="F433" s="17" t="n">
        <f aca="false">Payment_Log_AP!D430</f>
        <v>46081</v>
      </c>
      <c r="G433" s="18" t="n">
        <f aca="false">Payment_Log_AP!E430</f>
        <v>40497.91</v>
      </c>
      <c r="H433" s="16" t="n">
        <f aca="false">IF(G433&gt;=Assumptions!$B$7,40,IF(G433&gt;=Assumptions!$B$8,20,0))</f>
        <v>40</v>
      </c>
      <c r="I433" s="16" t="n">
        <f aca="false">IF(MOD(G433,500)=0,20,IF(MOD(G433,100)=0,10,0))</f>
        <v>0</v>
      </c>
      <c r="J433" s="16" t="n">
        <f aca="false">IF(AND(E433&lt;&gt;"",F433-E433&lt;=Assumptions!$B$9),25,0)</f>
        <v>25</v>
      </c>
      <c r="K433" s="16" t="n">
        <f aca="false">IF(ISNUMBER(SEARCH(D433,Assumptions!$B$10)),15,0)</f>
        <v>0</v>
      </c>
      <c r="L433" s="16" t="n">
        <f aca="false">H433+I433+J433+K433</f>
        <v>65</v>
      </c>
      <c r="M433" s="16" t="str">
        <f aca="false">IF(L433&gt;=60,"High",IF(L433&gt;=30,"Medium","Low"))</f>
        <v>High</v>
      </c>
    </row>
    <row r="434" customFormat="false" ht="15" hidden="false" customHeight="false" outlineLevel="0" collapsed="false">
      <c r="A434" s="16" t="str">
        <f aca="false">Payment_Log_AP!A431</f>
        <v>PAY40430</v>
      </c>
      <c r="B434" s="16" t="str">
        <f aca="false">Payment_Log_AP!C431</f>
        <v>V1016</v>
      </c>
      <c r="C434" s="16" t="str">
        <f aca="false">IFERROR(INDEX(Vendor_Master!$B$2:$B$41,MATCH(B434,Vendor_Master!$A$2:$A$41,0)),"Unknown Vendor")</f>
        <v>Sanchez, Ford and Nelson</v>
      </c>
      <c r="D434" s="16" t="str">
        <f aca="false">IFERROR(INDEX(Vendor_Master!$D$2:$D$41,MATCH(B434,Vendor_Master!$A$2:$A$41,0)),"Unknown")</f>
        <v>India</v>
      </c>
      <c r="E434" s="17" t="n">
        <f aca="false">IFERROR(INDEX(Vendor_Master!$E$2:$E$41,MATCH(B434,Vendor_Master!$A$2:$A$41,0)),"")</f>
        <v>44832</v>
      </c>
      <c r="F434" s="17" t="n">
        <f aca="false">Payment_Log_AP!D431</f>
        <v>46051</v>
      </c>
      <c r="G434" s="18" t="n">
        <f aca="false">Payment_Log_AP!E431</f>
        <v>8071.8</v>
      </c>
      <c r="H434" s="16" t="n">
        <f aca="false">IF(G434&gt;=Assumptions!$B$7,40,IF(G434&gt;=Assumptions!$B$8,20,0))</f>
        <v>20</v>
      </c>
      <c r="I434" s="16" t="n">
        <f aca="false">IF(MOD(G434,500)=0,20,IF(MOD(G434,100)=0,10,0))</f>
        <v>0</v>
      </c>
      <c r="J434" s="16" t="n">
        <f aca="false">IF(AND(E434&lt;&gt;"",F434-E434&lt;=Assumptions!$B$9),25,0)</f>
        <v>0</v>
      </c>
      <c r="K434" s="16" t="n">
        <f aca="false">IF(ISNUMBER(SEARCH(D434,Assumptions!$B$10)),15,0)</f>
        <v>15</v>
      </c>
      <c r="L434" s="16" t="n">
        <f aca="false">H434+I434+J434+K434</f>
        <v>35</v>
      </c>
      <c r="M434" s="16" t="str">
        <f aca="false">IF(L434&gt;=60,"High",IF(L434&gt;=30,"Medium","Low"))</f>
        <v>Medium</v>
      </c>
    </row>
    <row r="435" customFormat="false" ht="15" hidden="false" customHeight="false" outlineLevel="0" collapsed="false">
      <c r="A435" s="16" t="str">
        <f aca="false">Payment_Log_AP!A432</f>
        <v>PAY40431</v>
      </c>
      <c r="B435" s="16" t="str">
        <f aca="false">Payment_Log_AP!C432</f>
        <v>V1012</v>
      </c>
      <c r="C435" s="16" t="str">
        <f aca="false">IFERROR(INDEX(Vendor_Master!$B$2:$B$41,MATCH(B435,Vendor_Master!$A$2:$A$41,0)),"Unknown Vendor")</f>
        <v>Stanley LLC</v>
      </c>
      <c r="D435" s="16" t="str">
        <f aca="false">IFERROR(INDEX(Vendor_Master!$D$2:$D$41,MATCH(B435,Vendor_Master!$A$2:$A$41,0)),"Unknown")</f>
        <v>India</v>
      </c>
      <c r="E435" s="17" t="n">
        <f aca="false">IFERROR(INDEX(Vendor_Master!$E$2:$E$41,MATCH(B435,Vendor_Master!$A$2:$A$41,0)),"")</f>
        <v>45675</v>
      </c>
      <c r="F435" s="17" t="n">
        <f aca="false">Payment_Log_AP!D432</f>
        <v>45923</v>
      </c>
      <c r="G435" s="18" t="n">
        <f aca="false">Payment_Log_AP!E432</f>
        <v>1395.93</v>
      </c>
      <c r="H435" s="16" t="n">
        <f aca="false">IF(G435&gt;=Assumptions!$B$7,40,IF(G435&gt;=Assumptions!$B$8,20,0))</f>
        <v>0</v>
      </c>
      <c r="I435" s="16" t="n">
        <f aca="false">IF(MOD(G435,500)=0,20,IF(MOD(G435,100)=0,10,0))</f>
        <v>0</v>
      </c>
      <c r="J435" s="16" t="n">
        <f aca="false">IF(AND(E435&lt;&gt;"",F435-E435&lt;=Assumptions!$B$9),25,0)</f>
        <v>0</v>
      </c>
      <c r="K435" s="16" t="n">
        <f aca="false">IF(ISNUMBER(SEARCH(D435,Assumptions!$B$10)),15,0)</f>
        <v>15</v>
      </c>
      <c r="L435" s="16" t="n">
        <f aca="false">H435+I435+J435+K435</f>
        <v>15</v>
      </c>
      <c r="M435" s="16" t="str">
        <f aca="false">IF(L435&gt;=60,"High",IF(L435&gt;=30,"Medium","Low"))</f>
        <v>Low</v>
      </c>
    </row>
    <row r="436" customFormat="false" ht="15" hidden="false" customHeight="false" outlineLevel="0" collapsed="false">
      <c r="A436" s="16" t="str">
        <f aca="false">Payment_Log_AP!A433</f>
        <v>PAY40432</v>
      </c>
      <c r="B436" s="16" t="str">
        <f aca="false">Payment_Log_AP!C433</f>
        <v>V1019</v>
      </c>
      <c r="C436" s="16" t="str">
        <f aca="false">IFERROR(INDEX(Vendor_Master!$B$2:$B$41,MATCH(B436,Vendor_Master!$A$2:$A$41,0)),"Unknown Vendor")</f>
        <v>Clark PLC</v>
      </c>
      <c r="D436" s="16" t="str">
        <f aca="false">IFERROR(INDEX(Vendor_Master!$D$2:$D$41,MATCH(B436,Vendor_Master!$A$2:$A$41,0)),"Unknown")</f>
        <v>India</v>
      </c>
      <c r="E436" s="17" t="n">
        <f aca="false">IFERROR(INDEX(Vendor_Master!$E$2:$E$41,MATCH(B436,Vendor_Master!$A$2:$A$41,0)),"")</f>
        <v>45196</v>
      </c>
      <c r="F436" s="17" t="n">
        <f aca="false">Payment_Log_AP!D433</f>
        <v>46055</v>
      </c>
      <c r="G436" s="18" t="n">
        <f aca="false">Payment_Log_AP!E433</f>
        <v>2578.48</v>
      </c>
      <c r="H436" s="16" t="n">
        <f aca="false">IF(G436&gt;=Assumptions!$B$7,40,IF(G436&gt;=Assumptions!$B$8,20,0))</f>
        <v>0</v>
      </c>
      <c r="I436" s="16" t="n">
        <f aca="false">IF(MOD(G436,500)=0,20,IF(MOD(G436,100)=0,10,0))</f>
        <v>0</v>
      </c>
      <c r="J436" s="16" t="n">
        <f aca="false">IF(AND(E436&lt;&gt;"",F436-E436&lt;=Assumptions!$B$9),25,0)</f>
        <v>0</v>
      </c>
      <c r="K436" s="16" t="n">
        <f aca="false">IF(ISNUMBER(SEARCH(D436,Assumptions!$B$10)),15,0)</f>
        <v>15</v>
      </c>
      <c r="L436" s="16" t="n">
        <f aca="false">H436+I436+J436+K436</f>
        <v>15</v>
      </c>
      <c r="M436" s="16" t="str">
        <f aca="false">IF(L436&gt;=60,"High",IF(L436&gt;=30,"Medium","Low"))</f>
        <v>Low</v>
      </c>
    </row>
    <row r="437" customFormat="false" ht="15" hidden="false" customHeight="false" outlineLevel="0" collapsed="false">
      <c r="A437" s="16" t="str">
        <f aca="false">Payment_Log_AP!A434</f>
        <v>PAY40433</v>
      </c>
      <c r="B437" s="16" t="str">
        <f aca="false">Payment_Log_AP!C434</f>
        <v>V1004</v>
      </c>
      <c r="C437" s="16" t="str">
        <f aca="false">IFERROR(INDEX(Vendor_Master!$B$2:$B$41,MATCH(B437,Vendor_Master!$A$2:$A$41,0)),"Unknown Vendor")</f>
        <v>Johnson, Gonzalez and Santos</v>
      </c>
      <c r="D437" s="16" t="str">
        <f aca="false">IFERROR(INDEX(Vendor_Master!$D$2:$D$41,MATCH(B437,Vendor_Master!$A$2:$A$41,0)),"Unknown")</f>
        <v>Germany</v>
      </c>
      <c r="E437" s="17" t="n">
        <f aca="false">IFERROR(INDEX(Vendor_Master!$E$2:$E$41,MATCH(B437,Vendor_Master!$A$2:$A$41,0)),"")</f>
        <v>44929</v>
      </c>
      <c r="F437" s="17" t="n">
        <f aca="false">Payment_Log_AP!D434</f>
        <v>46134</v>
      </c>
      <c r="G437" s="18" t="n">
        <f aca="false">Payment_Log_AP!E434</f>
        <v>891.87</v>
      </c>
      <c r="H437" s="16" t="n">
        <f aca="false">IF(G437&gt;=Assumptions!$B$7,40,IF(G437&gt;=Assumptions!$B$8,20,0))</f>
        <v>0</v>
      </c>
      <c r="I437" s="16" t="n">
        <f aca="false">IF(MOD(G437,500)=0,20,IF(MOD(G437,100)=0,10,0))</f>
        <v>0</v>
      </c>
      <c r="J437" s="16" t="n">
        <f aca="false">IF(AND(E437&lt;&gt;"",F437-E437&lt;=Assumptions!$B$9),25,0)</f>
        <v>0</v>
      </c>
      <c r="K437" s="16" t="n">
        <f aca="false">IF(ISNUMBER(SEARCH(D437,Assumptions!$B$10)),15,0)</f>
        <v>0</v>
      </c>
      <c r="L437" s="16" t="n">
        <f aca="false">H437+I437+J437+K437</f>
        <v>0</v>
      </c>
      <c r="M437" s="16" t="str">
        <f aca="false">IF(L437&gt;=60,"High",IF(L437&gt;=30,"Medium","Low"))</f>
        <v>Low</v>
      </c>
    </row>
    <row r="438" customFormat="false" ht="15" hidden="false" customHeight="false" outlineLevel="0" collapsed="false">
      <c r="A438" s="16" t="str">
        <f aca="false">Payment_Log_AP!A435</f>
        <v>PAY40434</v>
      </c>
      <c r="B438" s="16" t="str">
        <f aca="false">Payment_Log_AP!C435</f>
        <v>V1006</v>
      </c>
      <c r="C438" s="16" t="str">
        <f aca="false">IFERROR(INDEX(Vendor_Master!$B$2:$B$41,MATCH(B438,Vendor_Master!$A$2:$A$41,0)),"Unknown Vendor")</f>
        <v>Blake and Sons</v>
      </c>
      <c r="D438" s="16" t="str">
        <f aca="false">IFERROR(INDEX(Vendor_Master!$D$2:$D$41,MATCH(B438,Vendor_Master!$A$2:$A$41,0)),"Unknown")</f>
        <v>UK</v>
      </c>
      <c r="E438" s="17" t="n">
        <f aca="false">IFERROR(INDEX(Vendor_Master!$E$2:$E$41,MATCH(B438,Vendor_Master!$A$2:$A$41,0)),"")</f>
        <v>45841</v>
      </c>
      <c r="F438" s="17" t="n">
        <f aca="false">Payment_Log_AP!D435</f>
        <v>45965</v>
      </c>
      <c r="G438" s="18" t="n">
        <f aca="false">Payment_Log_AP!E435</f>
        <v>1155.61</v>
      </c>
      <c r="H438" s="16" t="n">
        <f aca="false">IF(G438&gt;=Assumptions!$B$7,40,IF(G438&gt;=Assumptions!$B$8,20,0))</f>
        <v>0</v>
      </c>
      <c r="I438" s="16" t="n">
        <f aca="false">IF(MOD(G438,500)=0,20,IF(MOD(G438,100)=0,10,0))</f>
        <v>0</v>
      </c>
      <c r="J438" s="16" t="n">
        <f aca="false">IF(AND(E438&lt;&gt;"",F438-E438&lt;=Assumptions!$B$9),25,0)</f>
        <v>25</v>
      </c>
      <c r="K438" s="16" t="n">
        <f aca="false">IF(ISNUMBER(SEARCH(D438,Assumptions!$B$10)),15,0)</f>
        <v>0</v>
      </c>
      <c r="L438" s="16" t="n">
        <f aca="false">H438+I438+J438+K438</f>
        <v>25</v>
      </c>
      <c r="M438" s="16" t="str">
        <f aca="false">IF(L438&gt;=60,"High",IF(L438&gt;=30,"Medium","Low"))</f>
        <v>Low</v>
      </c>
    </row>
    <row r="439" customFormat="false" ht="15" hidden="false" customHeight="false" outlineLevel="0" collapsed="false">
      <c r="A439" s="16" t="str">
        <f aca="false">Payment_Log_AP!A436</f>
        <v>PAY40435</v>
      </c>
      <c r="B439" s="16" t="str">
        <f aca="false">Payment_Log_AP!C436</f>
        <v>V1007</v>
      </c>
      <c r="C439" s="16" t="str">
        <f aca="false">IFERROR(INDEX(Vendor_Master!$B$2:$B$41,MATCH(B439,Vendor_Master!$A$2:$A$41,0)),"Unknown Vendor")</f>
        <v>Ramirez-Lewis</v>
      </c>
      <c r="D439" s="16" t="str">
        <f aca="false">IFERROR(INDEX(Vendor_Master!$D$2:$D$41,MATCH(B439,Vendor_Master!$A$2:$A$41,0)),"Unknown")</f>
        <v>Germany</v>
      </c>
      <c r="E439" s="17" t="n">
        <f aca="false">IFERROR(INDEX(Vendor_Master!$E$2:$E$41,MATCH(B439,Vendor_Master!$A$2:$A$41,0)),"")</f>
        <v>45665</v>
      </c>
      <c r="F439" s="17" t="n">
        <f aca="false">Payment_Log_AP!D436</f>
        <v>45708</v>
      </c>
      <c r="G439" s="18" t="n">
        <f aca="false">Payment_Log_AP!E436</f>
        <v>542.8</v>
      </c>
      <c r="H439" s="16" t="n">
        <f aca="false">IF(G439&gt;=Assumptions!$B$7,40,IF(G439&gt;=Assumptions!$B$8,20,0))</f>
        <v>0</v>
      </c>
      <c r="I439" s="16" t="n">
        <f aca="false">IF(MOD(G439,500)=0,20,IF(MOD(G439,100)=0,10,0))</f>
        <v>0</v>
      </c>
      <c r="J439" s="16" t="n">
        <f aca="false">IF(AND(E439&lt;&gt;"",F439-E439&lt;=Assumptions!$B$9),25,0)</f>
        <v>25</v>
      </c>
      <c r="K439" s="16" t="n">
        <f aca="false">IF(ISNUMBER(SEARCH(D439,Assumptions!$B$10)),15,0)</f>
        <v>0</v>
      </c>
      <c r="L439" s="16" t="n">
        <f aca="false">H439+I439+J439+K439</f>
        <v>25</v>
      </c>
      <c r="M439" s="16" t="str">
        <f aca="false">IF(L439&gt;=60,"High",IF(L439&gt;=30,"Medium","Low"))</f>
        <v>Low</v>
      </c>
    </row>
    <row r="440" customFormat="false" ht="15" hidden="false" customHeight="false" outlineLevel="0" collapsed="false">
      <c r="A440" s="16" t="str">
        <f aca="false">Payment_Log_AP!A437</f>
        <v>PAY40436</v>
      </c>
      <c r="B440" s="16" t="str">
        <f aca="false">Payment_Log_AP!C437</f>
        <v>V1021</v>
      </c>
      <c r="C440" s="16" t="str">
        <f aca="false">IFERROR(INDEX(Vendor_Master!$B$2:$B$41,MATCH(B440,Vendor_Master!$A$2:$A$41,0)),"Unknown Vendor")</f>
        <v>Ellis, Baker and Wright</v>
      </c>
      <c r="D440" s="16" t="str">
        <f aca="false">IFERROR(INDEX(Vendor_Master!$D$2:$D$41,MATCH(B440,Vendor_Master!$A$2:$A$41,0)),"Unknown")</f>
        <v>UAE</v>
      </c>
      <c r="E440" s="17" t="n">
        <f aca="false">IFERROR(INDEX(Vendor_Master!$E$2:$E$41,MATCH(B440,Vendor_Master!$A$2:$A$41,0)),"")</f>
        <v>45960</v>
      </c>
      <c r="F440" s="17" t="n">
        <f aca="false">Payment_Log_AP!D437</f>
        <v>45983</v>
      </c>
      <c r="G440" s="18" t="n">
        <f aca="false">Payment_Log_AP!E437</f>
        <v>1208.25</v>
      </c>
      <c r="H440" s="16" t="n">
        <f aca="false">IF(G440&gt;=Assumptions!$B$7,40,IF(G440&gt;=Assumptions!$B$8,20,0))</f>
        <v>0</v>
      </c>
      <c r="I440" s="16" t="n">
        <f aca="false">IF(MOD(G440,500)=0,20,IF(MOD(G440,100)=0,10,0))</f>
        <v>0</v>
      </c>
      <c r="J440" s="16" t="n">
        <f aca="false">IF(AND(E440&lt;&gt;"",F440-E440&lt;=Assumptions!$B$9),25,0)</f>
        <v>25</v>
      </c>
      <c r="K440" s="16" t="n">
        <f aca="false">IF(ISNUMBER(SEARCH(D440,Assumptions!$B$10)),15,0)</f>
        <v>15</v>
      </c>
      <c r="L440" s="16" t="n">
        <f aca="false">H440+I440+J440+K440</f>
        <v>40</v>
      </c>
      <c r="M440" s="16" t="str">
        <f aca="false">IF(L440&gt;=60,"High",IF(L440&gt;=30,"Medium","Low"))</f>
        <v>Medium</v>
      </c>
    </row>
    <row r="441" customFormat="false" ht="15" hidden="false" customHeight="false" outlineLevel="0" collapsed="false">
      <c r="A441" s="16" t="str">
        <f aca="false">Payment_Log_AP!A438</f>
        <v>PAY40437</v>
      </c>
      <c r="B441" s="16" t="str">
        <f aca="false">Payment_Log_AP!C438</f>
        <v>V1038</v>
      </c>
      <c r="C441" s="16" t="str">
        <f aca="false">IFERROR(INDEX(Vendor_Master!$B$2:$B$41,MATCH(B441,Vendor_Master!$A$2:$A$41,0)),"Unknown Vendor")</f>
        <v>Rose-Obrien</v>
      </c>
      <c r="D441" s="16" t="str">
        <f aca="false">IFERROR(INDEX(Vendor_Master!$D$2:$D$41,MATCH(B441,Vendor_Master!$A$2:$A$41,0)),"Unknown")</f>
        <v>USA</v>
      </c>
      <c r="E441" s="17" t="n">
        <f aca="false">IFERROR(INDEX(Vendor_Master!$E$2:$E$41,MATCH(B441,Vendor_Master!$A$2:$A$41,0)),"")</f>
        <v>45431</v>
      </c>
      <c r="F441" s="17" t="n">
        <f aca="false">Payment_Log_AP!D438</f>
        <v>46006</v>
      </c>
      <c r="G441" s="18" t="n">
        <f aca="false">Payment_Log_AP!E438</f>
        <v>1492.36</v>
      </c>
      <c r="H441" s="16" t="n">
        <f aca="false">IF(G441&gt;=Assumptions!$B$7,40,IF(G441&gt;=Assumptions!$B$8,20,0))</f>
        <v>0</v>
      </c>
      <c r="I441" s="16" t="n">
        <f aca="false">IF(MOD(G441,500)=0,20,IF(MOD(G441,100)=0,10,0))</f>
        <v>0</v>
      </c>
      <c r="J441" s="16" t="n">
        <f aca="false">IF(AND(E441&lt;&gt;"",F441-E441&lt;=Assumptions!$B$9),25,0)</f>
        <v>0</v>
      </c>
      <c r="K441" s="16" t="n">
        <f aca="false">IF(ISNUMBER(SEARCH(D441,Assumptions!$B$10)),15,0)</f>
        <v>0</v>
      </c>
      <c r="L441" s="16" t="n">
        <f aca="false">H441+I441+J441+K441</f>
        <v>0</v>
      </c>
      <c r="M441" s="16" t="str">
        <f aca="false">IF(L441&gt;=60,"High",IF(L441&gt;=30,"Medium","Low"))</f>
        <v>Low</v>
      </c>
    </row>
    <row r="442" customFormat="false" ht="15" hidden="false" customHeight="false" outlineLevel="0" collapsed="false">
      <c r="A442" s="16" t="str">
        <f aca="false">Payment_Log_AP!A439</f>
        <v>PAY40438</v>
      </c>
      <c r="B442" s="16" t="str">
        <f aca="false">Payment_Log_AP!C439</f>
        <v>V1013</v>
      </c>
      <c r="C442" s="16" t="str">
        <f aca="false">IFERROR(INDEX(Vendor_Master!$B$2:$B$41,MATCH(B442,Vendor_Master!$A$2:$A$41,0)),"Unknown Vendor")</f>
        <v>Delacruz Group</v>
      </c>
      <c r="D442" s="16" t="str">
        <f aca="false">IFERROR(INDEX(Vendor_Master!$D$2:$D$41,MATCH(B442,Vendor_Master!$A$2:$A$41,0)),"Unknown")</f>
        <v>USA</v>
      </c>
      <c r="E442" s="17" t="n">
        <f aca="false">IFERROR(INDEX(Vendor_Master!$E$2:$E$41,MATCH(B442,Vendor_Master!$A$2:$A$41,0)),"")</f>
        <v>46119</v>
      </c>
      <c r="F442" s="17" t="n">
        <f aca="false">Payment_Log_AP!D439</f>
        <v>46165</v>
      </c>
      <c r="G442" s="18" t="n">
        <f aca="false">Payment_Log_AP!E439</f>
        <v>916.33</v>
      </c>
      <c r="H442" s="16" t="n">
        <f aca="false">IF(G442&gt;=Assumptions!$B$7,40,IF(G442&gt;=Assumptions!$B$8,20,0))</f>
        <v>0</v>
      </c>
      <c r="I442" s="16" t="n">
        <f aca="false">IF(MOD(G442,500)=0,20,IF(MOD(G442,100)=0,10,0))</f>
        <v>0</v>
      </c>
      <c r="J442" s="16" t="n">
        <f aca="false">IF(AND(E442&lt;&gt;"",F442-E442&lt;=Assumptions!$B$9),25,0)</f>
        <v>25</v>
      </c>
      <c r="K442" s="16" t="n">
        <f aca="false">IF(ISNUMBER(SEARCH(D442,Assumptions!$B$10)),15,0)</f>
        <v>0</v>
      </c>
      <c r="L442" s="16" t="n">
        <f aca="false">H442+I442+J442+K442</f>
        <v>25</v>
      </c>
      <c r="M442" s="16" t="str">
        <f aca="false">IF(L442&gt;=60,"High",IF(L442&gt;=30,"Medium","Low"))</f>
        <v>Low</v>
      </c>
    </row>
    <row r="443" customFormat="false" ht="15" hidden="false" customHeight="false" outlineLevel="0" collapsed="false">
      <c r="A443" s="16" t="str">
        <f aca="false">Payment_Log_AP!A440</f>
        <v>PAY40439</v>
      </c>
      <c r="B443" s="16" t="str">
        <f aca="false">Payment_Log_AP!C440</f>
        <v>V1016</v>
      </c>
      <c r="C443" s="16" t="str">
        <f aca="false">IFERROR(INDEX(Vendor_Master!$B$2:$B$41,MATCH(B443,Vendor_Master!$A$2:$A$41,0)),"Unknown Vendor")</f>
        <v>Sanchez, Ford and Nelson</v>
      </c>
      <c r="D443" s="16" t="str">
        <f aca="false">IFERROR(INDEX(Vendor_Master!$D$2:$D$41,MATCH(B443,Vendor_Master!$A$2:$A$41,0)),"Unknown")</f>
        <v>India</v>
      </c>
      <c r="E443" s="17" t="n">
        <f aca="false">IFERROR(INDEX(Vendor_Master!$E$2:$E$41,MATCH(B443,Vendor_Master!$A$2:$A$41,0)),"")</f>
        <v>44832</v>
      </c>
      <c r="F443" s="17" t="n">
        <f aca="false">Payment_Log_AP!D440</f>
        <v>46160</v>
      </c>
      <c r="G443" s="18" t="n">
        <f aca="false">Payment_Log_AP!E440</f>
        <v>13637.91</v>
      </c>
      <c r="H443" s="16" t="n">
        <f aca="false">IF(G443&gt;=Assumptions!$B$7,40,IF(G443&gt;=Assumptions!$B$8,20,0))</f>
        <v>40</v>
      </c>
      <c r="I443" s="16" t="n">
        <f aca="false">IF(MOD(G443,500)=0,20,IF(MOD(G443,100)=0,10,0))</f>
        <v>0</v>
      </c>
      <c r="J443" s="16" t="n">
        <f aca="false">IF(AND(E443&lt;&gt;"",F443-E443&lt;=Assumptions!$B$9),25,0)</f>
        <v>0</v>
      </c>
      <c r="K443" s="16" t="n">
        <f aca="false">IF(ISNUMBER(SEARCH(D443,Assumptions!$B$10)),15,0)</f>
        <v>15</v>
      </c>
      <c r="L443" s="16" t="n">
        <f aca="false">H443+I443+J443+K443</f>
        <v>55</v>
      </c>
      <c r="M443" s="16" t="str">
        <f aca="false">IF(L443&gt;=60,"High",IF(L443&gt;=30,"Medium","Low"))</f>
        <v>Medium</v>
      </c>
    </row>
    <row r="444" customFormat="false" ht="15" hidden="false" customHeight="false" outlineLevel="0" collapsed="false">
      <c r="A444" s="16" t="str">
        <f aca="false">Payment_Log_AP!A441</f>
        <v>PAY40440</v>
      </c>
      <c r="B444" s="16" t="str">
        <f aca="false">Payment_Log_AP!C441</f>
        <v>V1004</v>
      </c>
      <c r="C444" s="16" t="str">
        <f aca="false">IFERROR(INDEX(Vendor_Master!$B$2:$B$41,MATCH(B444,Vendor_Master!$A$2:$A$41,0)),"Unknown Vendor")</f>
        <v>Johnson, Gonzalez and Santos</v>
      </c>
      <c r="D444" s="16" t="str">
        <f aca="false">IFERROR(INDEX(Vendor_Master!$D$2:$D$41,MATCH(B444,Vendor_Master!$A$2:$A$41,0)),"Unknown")</f>
        <v>Germany</v>
      </c>
      <c r="E444" s="17" t="n">
        <f aca="false">IFERROR(INDEX(Vendor_Master!$E$2:$E$41,MATCH(B444,Vendor_Master!$A$2:$A$41,0)),"")</f>
        <v>44929</v>
      </c>
      <c r="F444" s="17" t="n">
        <f aca="false">Payment_Log_AP!D441</f>
        <v>45927</v>
      </c>
      <c r="G444" s="18" t="n">
        <f aca="false">Payment_Log_AP!E441</f>
        <v>984.21</v>
      </c>
      <c r="H444" s="16" t="n">
        <f aca="false">IF(G444&gt;=Assumptions!$B$7,40,IF(G444&gt;=Assumptions!$B$8,20,0))</f>
        <v>0</v>
      </c>
      <c r="I444" s="16" t="n">
        <f aca="false">IF(MOD(G444,500)=0,20,IF(MOD(G444,100)=0,10,0))</f>
        <v>0</v>
      </c>
      <c r="J444" s="16" t="n">
        <f aca="false">IF(AND(E444&lt;&gt;"",F444-E444&lt;=Assumptions!$B$9),25,0)</f>
        <v>0</v>
      </c>
      <c r="K444" s="16" t="n">
        <f aca="false">IF(ISNUMBER(SEARCH(D444,Assumptions!$B$10)),15,0)</f>
        <v>0</v>
      </c>
      <c r="L444" s="16" t="n">
        <f aca="false">H444+I444+J444+K444</f>
        <v>0</v>
      </c>
      <c r="M444" s="16" t="str">
        <f aca="false">IF(L444&gt;=60,"High",IF(L444&gt;=30,"Medium","Low"))</f>
        <v>Low</v>
      </c>
    </row>
    <row r="445" customFormat="false" ht="15" hidden="false" customHeight="false" outlineLevel="0" collapsed="false">
      <c r="A445" s="16" t="str">
        <f aca="false">Payment_Log_AP!A442</f>
        <v>PAY40441</v>
      </c>
      <c r="B445" s="16" t="str">
        <f aca="false">Payment_Log_AP!C442</f>
        <v>V1012</v>
      </c>
      <c r="C445" s="16" t="str">
        <f aca="false">IFERROR(INDEX(Vendor_Master!$B$2:$B$41,MATCH(B445,Vendor_Master!$A$2:$A$41,0)),"Unknown Vendor")</f>
        <v>Stanley LLC</v>
      </c>
      <c r="D445" s="16" t="str">
        <f aca="false">IFERROR(INDEX(Vendor_Master!$D$2:$D$41,MATCH(B445,Vendor_Master!$A$2:$A$41,0)),"Unknown")</f>
        <v>India</v>
      </c>
      <c r="E445" s="17" t="n">
        <f aca="false">IFERROR(INDEX(Vendor_Master!$E$2:$E$41,MATCH(B445,Vendor_Master!$A$2:$A$41,0)),"")</f>
        <v>45675</v>
      </c>
      <c r="F445" s="17" t="n">
        <f aca="false">Payment_Log_AP!D442</f>
        <v>45972</v>
      </c>
      <c r="G445" s="18" t="n">
        <f aca="false">Payment_Log_AP!E442</f>
        <v>2718.82</v>
      </c>
      <c r="H445" s="16" t="n">
        <f aca="false">IF(G445&gt;=Assumptions!$B$7,40,IF(G445&gt;=Assumptions!$B$8,20,0))</f>
        <v>0</v>
      </c>
      <c r="I445" s="16" t="n">
        <f aca="false">IF(MOD(G445,500)=0,20,IF(MOD(G445,100)=0,10,0))</f>
        <v>0</v>
      </c>
      <c r="J445" s="16" t="n">
        <f aca="false">IF(AND(E445&lt;&gt;"",F445-E445&lt;=Assumptions!$B$9),25,0)</f>
        <v>0</v>
      </c>
      <c r="K445" s="16" t="n">
        <f aca="false">IF(ISNUMBER(SEARCH(D445,Assumptions!$B$10)),15,0)</f>
        <v>15</v>
      </c>
      <c r="L445" s="16" t="n">
        <f aca="false">H445+I445+J445+K445</f>
        <v>15</v>
      </c>
      <c r="M445" s="16" t="str">
        <f aca="false">IF(L445&gt;=60,"High",IF(L445&gt;=30,"Medium","Low"))</f>
        <v>Low</v>
      </c>
    </row>
    <row r="446" customFormat="false" ht="15" hidden="false" customHeight="false" outlineLevel="0" collapsed="false">
      <c r="A446" s="16" t="str">
        <f aca="false">Payment_Log_AP!A443</f>
        <v>PAY40442</v>
      </c>
      <c r="B446" s="16" t="str">
        <f aca="false">Payment_Log_AP!C443</f>
        <v>V1014</v>
      </c>
      <c r="C446" s="16" t="str">
        <f aca="false">IFERROR(INDEX(Vendor_Master!$B$2:$B$41,MATCH(B446,Vendor_Master!$A$2:$A$41,0)),"Unknown Vendor")</f>
        <v>Flowers, Martin and Kelly</v>
      </c>
      <c r="D446" s="16" t="str">
        <f aca="false">IFERROR(INDEX(Vendor_Master!$D$2:$D$41,MATCH(B446,Vendor_Master!$A$2:$A$41,0)),"Unknown")</f>
        <v>India</v>
      </c>
      <c r="E446" s="17" t="n">
        <f aca="false">IFERROR(INDEX(Vendor_Master!$E$2:$E$41,MATCH(B446,Vendor_Master!$A$2:$A$41,0)),"")</f>
        <v>45001</v>
      </c>
      <c r="F446" s="17" t="n">
        <f aca="false">Payment_Log_AP!D443</f>
        <v>46036</v>
      </c>
      <c r="G446" s="18" t="n">
        <f aca="false">Payment_Log_AP!E443</f>
        <v>790.15</v>
      </c>
      <c r="H446" s="16" t="n">
        <f aca="false">IF(G446&gt;=Assumptions!$B$7,40,IF(G446&gt;=Assumptions!$B$8,20,0))</f>
        <v>0</v>
      </c>
      <c r="I446" s="16" t="n">
        <f aca="false">IF(MOD(G446,500)=0,20,IF(MOD(G446,100)=0,10,0))</f>
        <v>0</v>
      </c>
      <c r="J446" s="16" t="n">
        <f aca="false">IF(AND(E446&lt;&gt;"",F446-E446&lt;=Assumptions!$B$9),25,0)</f>
        <v>0</v>
      </c>
      <c r="K446" s="16" t="n">
        <f aca="false">IF(ISNUMBER(SEARCH(D446,Assumptions!$B$10)),15,0)</f>
        <v>15</v>
      </c>
      <c r="L446" s="16" t="n">
        <f aca="false">H446+I446+J446+K446</f>
        <v>15</v>
      </c>
      <c r="M446" s="16" t="str">
        <f aca="false">IF(L446&gt;=60,"High",IF(L446&gt;=30,"Medium","Low"))</f>
        <v>Low</v>
      </c>
    </row>
    <row r="447" customFormat="false" ht="15" hidden="false" customHeight="false" outlineLevel="0" collapsed="false">
      <c r="A447" s="16" t="str">
        <f aca="false">Payment_Log_AP!A444</f>
        <v>PAY40443</v>
      </c>
      <c r="B447" s="16" t="str">
        <f aca="false">Payment_Log_AP!C444</f>
        <v>V1009</v>
      </c>
      <c r="C447" s="16" t="str">
        <f aca="false">IFERROR(INDEX(Vendor_Master!$B$2:$B$41,MATCH(B447,Vendor_Master!$A$2:$A$41,0)),"Unknown Vendor")</f>
        <v>Munoz-Roman</v>
      </c>
      <c r="D447" s="16" t="str">
        <f aca="false">IFERROR(INDEX(Vendor_Master!$D$2:$D$41,MATCH(B447,Vendor_Master!$A$2:$A$41,0)),"Unknown")</f>
        <v>India</v>
      </c>
      <c r="E447" s="17" t="n">
        <f aca="false">IFERROR(INDEX(Vendor_Master!$E$2:$E$41,MATCH(B447,Vendor_Master!$A$2:$A$41,0)),"")</f>
        <v>45129</v>
      </c>
      <c r="F447" s="17" t="n">
        <f aca="false">Payment_Log_AP!D444</f>
        <v>45775</v>
      </c>
      <c r="G447" s="18" t="n">
        <f aca="false">Payment_Log_AP!E444</f>
        <v>2141.21</v>
      </c>
      <c r="H447" s="16" t="n">
        <f aca="false">IF(G447&gt;=Assumptions!$B$7,40,IF(G447&gt;=Assumptions!$B$8,20,0))</f>
        <v>0</v>
      </c>
      <c r="I447" s="16" t="n">
        <f aca="false">IF(MOD(G447,500)=0,20,IF(MOD(G447,100)=0,10,0))</f>
        <v>0</v>
      </c>
      <c r="J447" s="16" t="n">
        <f aca="false">IF(AND(E447&lt;&gt;"",F447-E447&lt;=Assumptions!$B$9),25,0)</f>
        <v>0</v>
      </c>
      <c r="K447" s="16" t="n">
        <f aca="false">IF(ISNUMBER(SEARCH(D447,Assumptions!$B$10)),15,0)</f>
        <v>15</v>
      </c>
      <c r="L447" s="16" t="n">
        <f aca="false">H447+I447+J447+K447</f>
        <v>15</v>
      </c>
      <c r="M447" s="16" t="str">
        <f aca="false">IF(L447&gt;=60,"High",IF(L447&gt;=30,"Medium","Low"))</f>
        <v>Low</v>
      </c>
    </row>
    <row r="448" customFormat="false" ht="15" hidden="false" customHeight="false" outlineLevel="0" collapsed="false">
      <c r="A448" s="16" t="str">
        <f aca="false">Payment_Log_AP!A445</f>
        <v>PAY40444</v>
      </c>
      <c r="B448" s="16" t="str">
        <f aca="false">Payment_Log_AP!C445</f>
        <v>V1010</v>
      </c>
      <c r="C448" s="16" t="str">
        <f aca="false">IFERROR(INDEX(Vendor_Master!$B$2:$B$41,MATCH(B448,Vendor_Master!$A$2:$A$41,0)),"Unknown Vendor")</f>
        <v>Martinez, Nielsen and Miller</v>
      </c>
      <c r="D448" s="16" t="str">
        <f aca="false">IFERROR(INDEX(Vendor_Master!$D$2:$D$41,MATCH(B448,Vendor_Master!$A$2:$A$41,0)),"Unknown")</f>
        <v>India</v>
      </c>
      <c r="E448" s="17" t="n">
        <f aca="false">IFERROR(INDEX(Vendor_Master!$E$2:$E$41,MATCH(B448,Vendor_Master!$A$2:$A$41,0)),"")</f>
        <v>45715</v>
      </c>
      <c r="F448" s="17" t="n">
        <f aca="false">Payment_Log_AP!D445</f>
        <v>45955</v>
      </c>
      <c r="G448" s="18" t="n">
        <f aca="false">Payment_Log_AP!E445</f>
        <v>506.73</v>
      </c>
      <c r="H448" s="16" t="n">
        <f aca="false">IF(G448&gt;=Assumptions!$B$7,40,IF(G448&gt;=Assumptions!$B$8,20,0))</f>
        <v>0</v>
      </c>
      <c r="I448" s="16" t="n">
        <f aca="false">IF(MOD(G448,500)=0,20,IF(MOD(G448,100)=0,10,0))</f>
        <v>0</v>
      </c>
      <c r="J448" s="16" t="n">
        <f aca="false">IF(AND(E448&lt;&gt;"",F448-E448&lt;=Assumptions!$B$9),25,0)</f>
        <v>0</v>
      </c>
      <c r="K448" s="16" t="n">
        <f aca="false">IF(ISNUMBER(SEARCH(D448,Assumptions!$B$10)),15,0)</f>
        <v>15</v>
      </c>
      <c r="L448" s="16" t="n">
        <f aca="false">H448+I448+J448+K448</f>
        <v>15</v>
      </c>
      <c r="M448" s="16" t="str">
        <f aca="false">IF(L448&gt;=60,"High",IF(L448&gt;=30,"Medium","Low"))</f>
        <v>Low</v>
      </c>
    </row>
    <row r="449" customFormat="false" ht="15" hidden="false" customHeight="false" outlineLevel="0" collapsed="false">
      <c r="A449" s="16" t="str">
        <f aca="false">Payment_Log_AP!A446</f>
        <v>PAY40445</v>
      </c>
      <c r="B449" s="16" t="str">
        <f aca="false">Payment_Log_AP!C446</f>
        <v>V1010</v>
      </c>
      <c r="C449" s="16" t="str">
        <f aca="false">IFERROR(INDEX(Vendor_Master!$B$2:$B$41,MATCH(B449,Vendor_Master!$A$2:$A$41,0)),"Unknown Vendor")</f>
        <v>Martinez, Nielsen and Miller</v>
      </c>
      <c r="D449" s="16" t="str">
        <f aca="false">IFERROR(INDEX(Vendor_Master!$D$2:$D$41,MATCH(B449,Vendor_Master!$A$2:$A$41,0)),"Unknown")</f>
        <v>India</v>
      </c>
      <c r="E449" s="17" t="n">
        <f aca="false">IFERROR(INDEX(Vendor_Master!$E$2:$E$41,MATCH(B449,Vendor_Master!$A$2:$A$41,0)),"")</f>
        <v>45715</v>
      </c>
      <c r="F449" s="17" t="n">
        <f aca="false">Payment_Log_AP!D446</f>
        <v>45938</v>
      </c>
      <c r="G449" s="18" t="n">
        <f aca="false">Payment_Log_AP!E446</f>
        <v>426.29</v>
      </c>
      <c r="H449" s="16" t="n">
        <f aca="false">IF(G449&gt;=Assumptions!$B$7,40,IF(G449&gt;=Assumptions!$B$8,20,0))</f>
        <v>0</v>
      </c>
      <c r="I449" s="16" t="n">
        <f aca="false">IF(MOD(G449,500)=0,20,IF(MOD(G449,100)=0,10,0))</f>
        <v>0</v>
      </c>
      <c r="J449" s="16" t="n">
        <f aca="false">IF(AND(E449&lt;&gt;"",F449-E449&lt;=Assumptions!$B$9),25,0)</f>
        <v>0</v>
      </c>
      <c r="K449" s="16" t="n">
        <f aca="false">IF(ISNUMBER(SEARCH(D449,Assumptions!$B$10)),15,0)</f>
        <v>15</v>
      </c>
      <c r="L449" s="16" t="n">
        <f aca="false">H449+I449+J449+K449</f>
        <v>15</v>
      </c>
      <c r="M449" s="16" t="str">
        <f aca="false">IF(L449&gt;=60,"High",IF(L449&gt;=30,"Medium","Low"))</f>
        <v>Low</v>
      </c>
    </row>
    <row r="450" customFormat="false" ht="15" hidden="false" customHeight="false" outlineLevel="0" collapsed="false">
      <c r="A450" s="16" t="str">
        <f aca="false">Payment_Log_AP!A447</f>
        <v>PAY40446</v>
      </c>
      <c r="B450" s="16" t="str">
        <f aca="false">Payment_Log_AP!C447</f>
        <v>V1030</v>
      </c>
      <c r="C450" s="16" t="str">
        <f aca="false">IFERROR(INDEX(Vendor_Master!$B$2:$B$41,MATCH(B450,Vendor_Master!$A$2:$A$41,0)),"Unknown Vendor")</f>
        <v>Stanton-Gill</v>
      </c>
      <c r="D450" s="16" t="str">
        <f aca="false">IFERROR(INDEX(Vendor_Master!$D$2:$D$41,MATCH(B450,Vendor_Master!$A$2:$A$41,0)),"Unknown")</f>
        <v>UK</v>
      </c>
      <c r="E450" s="17" t="n">
        <f aca="false">IFERROR(INDEX(Vendor_Master!$E$2:$E$41,MATCH(B450,Vendor_Master!$A$2:$A$41,0)),"")</f>
        <v>45946</v>
      </c>
      <c r="F450" s="17" t="n">
        <f aca="false">Payment_Log_AP!D447</f>
        <v>45863</v>
      </c>
      <c r="G450" s="18" t="n">
        <f aca="false">Payment_Log_AP!E447</f>
        <v>3958.3</v>
      </c>
      <c r="H450" s="16" t="n">
        <f aca="false">IF(G450&gt;=Assumptions!$B$7,40,IF(G450&gt;=Assumptions!$B$8,20,0))</f>
        <v>0</v>
      </c>
      <c r="I450" s="16" t="n">
        <f aca="false">IF(MOD(G450,500)=0,20,IF(MOD(G450,100)=0,10,0))</f>
        <v>0</v>
      </c>
      <c r="J450" s="16" t="n">
        <f aca="false">IF(AND(E450&lt;&gt;"",F450-E450&lt;=Assumptions!$B$9),25,0)</f>
        <v>25</v>
      </c>
      <c r="K450" s="16" t="n">
        <f aca="false">IF(ISNUMBER(SEARCH(D450,Assumptions!$B$10)),15,0)</f>
        <v>0</v>
      </c>
      <c r="L450" s="16" t="n">
        <f aca="false">H450+I450+J450+K450</f>
        <v>25</v>
      </c>
      <c r="M450" s="16" t="str">
        <f aca="false">IF(L450&gt;=60,"High",IF(L450&gt;=30,"Medium","Low"))</f>
        <v>Low</v>
      </c>
    </row>
    <row r="451" customFormat="false" ht="15" hidden="false" customHeight="false" outlineLevel="0" collapsed="false">
      <c r="A451" s="16" t="str">
        <f aca="false">Payment_Log_AP!A448</f>
        <v>PAY40447</v>
      </c>
      <c r="B451" s="16" t="str">
        <f aca="false">Payment_Log_AP!C448</f>
        <v>V1025</v>
      </c>
      <c r="C451" s="16" t="str">
        <f aca="false">IFERROR(INDEX(Vendor_Master!$B$2:$B$41,MATCH(B451,Vendor_Master!$A$2:$A$41,0)),"Unknown Vendor")</f>
        <v>Conner Group</v>
      </c>
      <c r="D451" s="16" t="str">
        <f aca="false">IFERROR(INDEX(Vendor_Master!$D$2:$D$41,MATCH(B451,Vendor_Master!$A$2:$A$41,0)),"Unknown")</f>
        <v>USA</v>
      </c>
      <c r="E451" s="17" t="n">
        <f aca="false">IFERROR(INDEX(Vendor_Master!$E$2:$E$41,MATCH(B451,Vendor_Master!$A$2:$A$41,0)),"")</f>
        <v>44803</v>
      </c>
      <c r="F451" s="17" t="n">
        <f aca="false">Payment_Log_AP!D448</f>
        <v>46070</v>
      </c>
      <c r="G451" s="18" t="n">
        <f aca="false">Payment_Log_AP!E448</f>
        <v>3426.38</v>
      </c>
      <c r="H451" s="16" t="n">
        <f aca="false">IF(G451&gt;=Assumptions!$B$7,40,IF(G451&gt;=Assumptions!$B$8,20,0))</f>
        <v>0</v>
      </c>
      <c r="I451" s="16" t="n">
        <f aca="false">IF(MOD(G451,500)=0,20,IF(MOD(G451,100)=0,10,0))</f>
        <v>0</v>
      </c>
      <c r="J451" s="16" t="n">
        <f aca="false">IF(AND(E451&lt;&gt;"",F451-E451&lt;=Assumptions!$B$9),25,0)</f>
        <v>0</v>
      </c>
      <c r="K451" s="16" t="n">
        <f aca="false">IF(ISNUMBER(SEARCH(D451,Assumptions!$B$10)),15,0)</f>
        <v>0</v>
      </c>
      <c r="L451" s="16" t="n">
        <f aca="false">H451+I451+J451+K451</f>
        <v>0</v>
      </c>
      <c r="M451" s="16" t="str">
        <f aca="false">IF(L451&gt;=60,"High",IF(L451&gt;=30,"Medium","Low"))</f>
        <v>Low</v>
      </c>
    </row>
    <row r="452" customFormat="false" ht="15" hidden="false" customHeight="false" outlineLevel="0" collapsed="false">
      <c r="A452" s="16" t="str">
        <f aca="false">Payment_Log_AP!A449</f>
        <v>PAY40448</v>
      </c>
      <c r="B452" s="16" t="str">
        <f aca="false">Payment_Log_AP!C449</f>
        <v>V1033</v>
      </c>
      <c r="C452" s="16" t="str">
        <f aca="false">IFERROR(INDEX(Vendor_Master!$B$2:$B$41,MATCH(B452,Vendor_Master!$A$2:$A$41,0)),"Unknown Vendor")</f>
        <v>Sellers, George and Burns</v>
      </c>
      <c r="D452" s="16" t="str">
        <f aca="false">IFERROR(INDEX(Vendor_Master!$D$2:$D$41,MATCH(B452,Vendor_Master!$A$2:$A$41,0)),"Unknown")</f>
        <v>USA</v>
      </c>
      <c r="E452" s="17" t="n">
        <f aca="false">IFERROR(INDEX(Vendor_Master!$E$2:$E$41,MATCH(B452,Vendor_Master!$A$2:$A$41,0)),"")</f>
        <v>45414</v>
      </c>
      <c r="F452" s="17" t="n">
        <f aca="false">Payment_Log_AP!D449</f>
        <v>46034</v>
      </c>
      <c r="G452" s="18" t="n">
        <f aca="false">Payment_Log_AP!E449</f>
        <v>663.66</v>
      </c>
      <c r="H452" s="16" t="n">
        <f aca="false">IF(G452&gt;=Assumptions!$B$7,40,IF(G452&gt;=Assumptions!$B$8,20,0))</f>
        <v>0</v>
      </c>
      <c r="I452" s="16" t="n">
        <f aca="false">IF(MOD(G452,500)=0,20,IF(MOD(G452,100)=0,10,0))</f>
        <v>0</v>
      </c>
      <c r="J452" s="16" t="n">
        <f aca="false">IF(AND(E452&lt;&gt;"",F452-E452&lt;=Assumptions!$B$9),25,0)</f>
        <v>0</v>
      </c>
      <c r="K452" s="16" t="n">
        <f aca="false">IF(ISNUMBER(SEARCH(D452,Assumptions!$B$10)),15,0)</f>
        <v>0</v>
      </c>
      <c r="L452" s="16" t="n">
        <f aca="false">H452+I452+J452+K452</f>
        <v>0</v>
      </c>
      <c r="M452" s="16" t="str">
        <f aca="false">IF(L452&gt;=60,"High",IF(L452&gt;=30,"Medium","Low"))</f>
        <v>Low</v>
      </c>
    </row>
    <row r="453" customFormat="false" ht="15" hidden="false" customHeight="false" outlineLevel="0" collapsed="false">
      <c r="A453" s="16" t="str">
        <f aca="false">Payment_Log_AP!A450</f>
        <v>PAY40449</v>
      </c>
      <c r="B453" s="16" t="str">
        <f aca="false">Payment_Log_AP!C450</f>
        <v>V1010</v>
      </c>
      <c r="C453" s="16" t="str">
        <f aca="false">IFERROR(INDEX(Vendor_Master!$B$2:$B$41,MATCH(B453,Vendor_Master!$A$2:$A$41,0)),"Unknown Vendor")</f>
        <v>Martinez, Nielsen and Miller</v>
      </c>
      <c r="D453" s="16" t="str">
        <f aca="false">IFERROR(INDEX(Vendor_Master!$D$2:$D$41,MATCH(B453,Vendor_Master!$A$2:$A$41,0)),"Unknown")</f>
        <v>India</v>
      </c>
      <c r="E453" s="17" t="n">
        <f aca="false">IFERROR(INDEX(Vendor_Master!$E$2:$E$41,MATCH(B453,Vendor_Master!$A$2:$A$41,0)),"")</f>
        <v>45715</v>
      </c>
      <c r="F453" s="17" t="n">
        <f aca="false">Payment_Log_AP!D450</f>
        <v>46146</v>
      </c>
      <c r="G453" s="18" t="n">
        <f aca="false">Payment_Log_AP!E450</f>
        <v>980.08</v>
      </c>
      <c r="H453" s="16" t="n">
        <f aca="false">IF(G453&gt;=Assumptions!$B$7,40,IF(G453&gt;=Assumptions!$B$8,20,0))</f>
        <v>0</v>
      </c>
      <c r="I453" s="16" t="n">
        <f aca="false">IF(MOD(G453,500)=0,20,IF(MOD(G453,100)=0,10,0))</f>
        <v>0</v>
      </c>
      <c r="J453" s="16" t="n">
        <f aca="false">IF(AND(E453&lt;&gt;"",F453-E453&lt;=Assumptions!$B$9),25,0)</f>
        <v>0</v>
      </c>
      <c r="K453" s="16" t="n">
        <f aca="false">IF(ISNUMBER(SEARCH(D453,Assumptions!$B$10)),15,0)</f>
        <v>15</v>
      </c>
      <c r="L453" s="16" t="n">
        <f aca="false">H453+I453+J453+K453</f>
        <v>15</v>
      </c>
      <c r="M453" s="16" t="str">
        <f aca="false">IF(L453&gt;=60,"High",IF(L453&gt;=30,"Medium","Low"))</f>
        <v>Low</v>
      </c>
    </row>
    <row r="454" customFormat="false" ht="15" hidden="false" customHeight="false" outlineLevel="0" collapsed="false">
      <c r="A454" s="16" t="str">
        <f aca="false">Payment_Log_AP!A451</f>
        <v>PAY40450</v>
      </c>
      <c r="B454" s="16" t="str">
        <f aca="false">Payment_Log_AP!C451</f>
        <v>V1004</v>
      </c>
      <c r="C454" s="16" t="str">
        <f aca="false">IFERROR(INDEX(Vendor_Master!$B$2:$B$41,MATCH(B454,Vendor_Master!$A$2:$A$41,0)),"Unknown Vendor")</f>
        <v>Johnson, Gonzalez and Santos</v>
      </c>
      <c r="D454" s="16" t="str">
        <f aca="false">IFERROR(INDEX(Vendor_Master!$D$2:$D$41,MATCH(B454,Vendor_Master!$A$2:$A$41,0)),"Unknown")</f>
        <v>Germany</v>
      </c>
      <c r="E454" s="17" t="n">
        <f aca="false">IFERROR(INDEX(Vendor_Master!$E$2:$E$41,MATCH(B454,Vendor_Master!$A$2:$A$41,0)),"")</f>
        <v>44929</v>
      </c>
      <c r="F454" s="17" t="n">
        <f aca="false">Payment_Log_AP!D451</f>
        <v>46166</v>
      </c>
      <c r="G454" s="18" t="n">
        <f aca="false">Payment_Log_AP!E451</f>
        <v>2579.28</v>
      </c>
      <c r="H454" s="16" t="n">
        <f aca="false">IF(G454&gt;=Assumptions!$B$7,40,IF(G454&gt;=Assumptions!$B$8,20,0))</f>
        <v>0</v>
      </c>
      <c r="I454" s="16" t="n">
        <f aca="false">IF(MOD(G454,500)=0,20,IF(MOD(G454,100)=0,10,0))</f>
        <v>0</v>
      </c>
      <c r="J454" s="16" t="n">
        <f aca="false">IF(AND(E454&lt;&gt;"",F454-E454&lt;=Assumptions!$B$9),25,0)</f>
        <v>0</v>
      </c>
      <c r="K454" s="16" t="n">
        <f aca="false">IF(ISNUMBER(SEARCH(D454,Assumptions!$B$10)),15,0)</f>
        <v>0</v>
      </c>
      <c r="L454" s="16" t="n">
        <f aca="false">H454+I454+J454+K454</f>
        <v>0</v>
      </c>
      <c r="M454" s="16" t="str">
        <f aca="false">IF(L454&gt;=60,"High",IF(L454&gt;=30,"Medium","Low"))</f>
        <v>Low</v>
      </c>
    </row>
    <row r="455" customFormat="false" ht="15" hidden="false" customHeight="false" outlineLevel="0" collapsed="false">
      <c r="A455" s="16" t="str">
        <f aca="false">Payment_Log_AP!A452</f>
        <v>PAY40451</v>
      </c>
      <c r="B455" s="16" t="str">
        <f aca="false">Payment_Log_AP!C452</f>
        <v>V1029</v>
      </c>
      <c r="C455" s="16" t="str">
        <f aca="false">IFERROR(INDEX(Vendor_Master!$B$2:$B$41,MATCH(B455,Vendor_Master!$A$2:$A$41,0)),"Unknown Vendor")</f>
        <v>Chavez Ltd</v>
      </c>
      <c r="D455" s="16" t="str">
        <f aca="false">IFERROR(INDEX(Vendor_Master!$D$2:$D$41,MATCH(B455,Vendor_Master!$A$2:$A$41,0)),"Unknown")</f>
        <v>Singapore</v>
      </c>
      <c r="E455" s="17" t="n">
        <f aca="false">IFERROR(INDEX(Vendor_Master!$E$2:$E$41,MATCH(B455,Vendor_Master!$A$2:$A$41,0)),"")</f>
        <v>45026</v>
      </c>
      <c r="F455" s="17" t="n">
        <f aca="false">Payment_Log_AP!D452</f>
        <v>45905</v>
      </c>
      <c r="G455" s="18" t="n">
        <f aca="false">Payment_Log_AP!E452</f>
        <v>3221.77</v>
      </c>
      <c r="H455" s="16" t="n">
        <f aca="false">IF(G455&gt;=Assumptions!$B$7,40,IF(G455&gt;=Assumptions!$B$8,20,0))</f>
        <v>0</v>
      </c>
      <c r="I455" s="16" t="n">
        <f aca="false">IF(MOD(G455,500)=0,20,IF(MOD(G455,100)=0,10,0))</f>
        <v>0</v>
      </c>
      <c r="J455" s="16" t="n">
        <f aca="false">IF(AND(E455&lt;&gt;"",F455-E455&lt;=Assumptions!$B$9),25,0)</f>
        <v>0</v>
      </c>
      <c r="K455" s="16" t="n">
        <f aca="false">IF(ISNUMBER(SEARCH(D455,Assumptions!$B$10)),15,0)</f>
        <v>15</v>
      </c>
      <c r="L455" s="16" t="n">
        <f aca="false">H455+I455+J455+K455</f>
        <v>15</v>
      </c>
      <c r="M455" s="16" t="str">
        <f aca="false">IF(L455&gt;=60,"High",IF(L455&gt;=30,"Medium","Low"))</f>
        <v>Low</v>
      </c>
    </row>
    <row r="456" customFormat="false" ht="15" hidden="false" customHeight="false" outlineLevel="0" collapsed="false">
      <c r="A456" s="16" t="str">
        <f aca="false">Payment_Log_AP!A453</f>
        <v>PAY40452</v>
      </c>
      <c r="B456" s="16" t="str">
        <f aca="false">Payment_Log_AP!C453</f>
        <v>V1029</v>
      </c>
      <c r="C456" s="16" t="str">
        <f aca="false">IFERROR(INDEX(Vendor_Master!$B$2:$B$41,MATCH(B456,Vendor_Master!$A$2:$A$41,0)),"Unknown Vendor")</f>
        <v>Chavez Ltd</v>
      </c>
      <c r="D456" s="16" t="str">
        <f aca="false">IFERROR(INDEX(Vendor_Master!$D$2:$D$41,MATCH(B456,Vendor_Master!$A$2:$A$41,0)),"Unknown")</f>
        <v>Singapore</v>
      </c>
      <c r="E456" s="17" t="n">
        <f aca="false">IFERROR(INDEX(Vendor_Master!$E$2:$E$41,MATCH(B456,Vendor_Master!$A$2:$A$41,0)),"")</f>
        <v>45026</v>
      </c>
      <c r="F456" s="17" t="n">
        <f aca="false">Payment_Log_AP!D453</f>
        <v>45841</v>
      </c>
      <c r="G456" s="18" t="n">
        <f aca="false">Payment_Log_AP!E453</f>
        <v>130.66</v>
      </c>
      <c r="H456" s="16" t="n">
        <f aca="false">IF(G456&gt;=Assumptions!$B$7,40,IF(G456&gt;=Assumptions!$B$8,20,0))</f>
        <v>0</v>
      </c>
      <c r="I456" s="16" t="n">
        <f aca="false">IF(MOD(G456,500)=0,20,IF(MOD(G456,100)=0,10,0))</f>
        <v>0</v>
      </c>
      <c r="J456" s="16" t="n">
        <f aca="false">IF(AND(E456&lt;&gt;"",F456-E456&lt;=Assumptions!$B$9),25,0)</f>
        <v>0</v>
      </c>
      <c r="K456" s="16" t="n">
        <f aca="false">IF(ISNUMBER(SEARCH(D456,Assumptions!$B$10)),15,0)</f>
        <v>15</v>
      </c>
      <c r="L456" s="16" t="n">
        <f aca="false">H456+I456+J456+K456</f>
        <v>15</v>
      </c>
      <c r="M456" s="16" t="str">
        <f aca="false">IF(L456&gt;=60,"High",IF(L456&gt;=30,"Medium","Low"))</f>
        <v>Low</v>
      </c>
    </row>
    <row r="457" customFormat="false" ht="15" hidden="false" customHeight="false" outlineLevel="0" collapsed="false">
      <c r="A457" s="16" t="str">
        <f aca="false">Payment_Log_AP!A454</f>
        <v>PAY40453</v>
      </c>
      <c r="B457" s="16" t="str">
        <f aca="false">Payment_Log_AP!C454</f>
        <v>V1014</v>
      </c>
      <c r="C457" s="16" t="str">
        <f aca="false">IFERROR(INDEX(Vendor_Master!$B$2:$B$41,MATCH(B457,Vendor_Master!$A$2:$A$41,0)),"Unknown Vendor")</f>
        <v>Flowers, Martin and Kelly</v>
      </c>
      <c r="D457" s="16" t="str">
        <f aca="false">IFERROR(INDEX(Vendor_Master!$D$2:$D$41,MATCH(B457,Vendor_Master!$A$2:$A$41,0)),"Unknown")</f>
        <v>India</v>
      </c>
      <c r="E457" s="17" t="n">
        <f aca="false">IFERROR(INDEX(Vendor_Master!$E$2:$E$41,MATCH(B457,Vendor_Master!$A$2:$A$41,0)),"")</f>
        <v>45001</v>
      </c>
      <c r="F457" s="17" t="n">
        <f aca="false">Payment_Log_AP!D454</f>
        <v>46086</v>
      </c>
      <c r="G457" s="18" t="n">
        <f aca="false">Payment_Log_AP!E454</f>
        <v>1768.65</v>
      </c>
      <c r="H457" s="16" t="n">
        <f aca="false">IF(G457&gt;=Assumptions!$B$7,40,IF(G457&gt;=Assumptions!$B$8,20,0))</f>
        <v>0</v>
      </c>
      <c r="I457" s="16" t="n">
        <f aca="false">IF(MOD(G457,500)=0,20,IF(MOD(G457,100)=0,10,0))</f>
        <v>0</v>
      </c>
      <c r="J457" s="16" t="n">
        <f aca="false">IF(AND(E457&lt;&gt;"",F457-E457&lt;=Assumptions!$B$9),25,0)</f>
        <v>0</v>
      </c>
      <c r="K457" s="16" t="n">
        <f aca="false">IF(ISNUMBER(SEARCH(D457,Assumptions!$B$10)),15,0)</f>
        <v>15</v>
      </c>
      <c r="L457" s="16" t="n">
        <f aca="false">H457+I457+J457+K457</f>
        <v>15</v>
      </c>
      <c r="M457" s="16" t="str">
        <f aca="false">IF(L457&gt;=60,"High",IF(L457&gt;=30,"Medium","Low"))</f>
        <v>Low</v>
      </c>
    </row>
    <row r="458" customFormat="false" ht="15" hidden="false" customHeight="false" outlineLevel="0" collapsed="false">
      <c r="A458" s="16" t="str">
        <f aca="false">Payment_Log_AP!A455</f>
        <v>PAY40454</v>
      </c>
      <c r="B458" s="16" t="str">
        <f aca="false">Payment_Log_AP!C455</f>
        <v>V1034</v>
      </c>
      <c r="C458" s="16" t="str">
        <f aca="false">IFERROR(INDEX(Vendor_Master!$B$2:$B$41,MATCH(B458,Vendor_Master!$A$2:$A$41,0)),"Unknown Vendor")</f>
        <v>Koch-Decker</v>
      </c>
      <c r="D458" s="16" t="str">
        <f aca="false">IFERROR(INDEX(Vendor_Master!$D$2:$D$41,MATCH(B458,Vendor_Master!$A$2:$A$41,0)),"Unknown")</f>
        <v>Germany</v>
      </c>
      <c r="E458" s="17" t="n">
        <f aca="false">IFERROR(INDEX(Vendor_Master!$E$2:$E$41,MATCH(B458,Vendor_Master!$A$2:$A$41,0)),"")</f>
        <v>44738</v>
      </c>
      <c r="F458" s="17" t="n">
        <f aca="false">Payment_Log_AP!D455</f>
        <v>46116</v>
      </c>
      <c r="G458" s="18" t="n">
        <f aca="false">Payment_Log_AP!E455</f>
        <v>359.03</v>
      </c>
      <c r="H458" s="16" t="n">
        <f aca="false">IF(G458&gt;=Assumptions!$B$7,40,IF(G458&gt;=Assumptions!$B$8,20,0))</f>
        <v>0</v>
      </c>
      <c r="I458" s="16" t="n">
        <f aca="false">IF(MOD(G458,500)=0,20,IF(MOD(G458,100)=0,10,0))</f>
        <v>0</v>
      </c>
      <c r="J458" s="16" t="n">
        <f aca="false">IF(AND(E458&lt;&gt;"",F458-E458&lt;=Assumptions!$B$9),25,0)</f>
        <v>0</v>
      </c>
      <c r="K458" s="16" t="n">
        <f aca="false">IF(ISNUMBER(SEARCH(D458,Assumptions!$B$10)),15,0)</f>
        <v>0</v>
      </c>
      <c r="L458" s="16" t="n">
        <f aca="false">H458+I458+J458+K458</f>
        <v>0</v>
      </c>
      <c r="M458" s="16" t="str">
        <f aca="false">IF(L458&gt;=60,"High",IF(L458&gt;=30,"Medium","Low"))</f>
        <v>Low</v>
      </c>
    </row>
    <row r="459" customFormat="false" ht="15" hidden="false" customHeight="false" outlineLevel="0" collapsed="false">
      <c r="A459" s="16" t="str">
        <f aca="false">Payment_Log_AP!A456</f>
        <v>PAY40455</v>
      </c>
      <c r="B459" s="16" t="str">
        <f aca="false">Payment_Log_AP!C456</f>
        <v>V1017</v>
      </c>
      <c r="C459" s="16" t="str">
        <f aca="false">IFERROR(INDEX(Vendor_Master!$B$2:$B$41,MATCH(B459,Vendor_Master!$A$2:$A$41,0)),"Unknown Vendor")</f>
        <v>Hawkins, Cohen and Cameron</v>
      </c>
      <c r="D459" s="16" t="str">
        <f aca="false">IFERROR(INDEX(Vendor_Master!$D$2:$D$41,MATCH(B459,Vendor_Master!$A$2:$A$41,0)),"Unknown")</f>
        <v>USA</v>
      </c>
      <c r="E459" s="17" t="n">
        <f aca="false">IFERROR(INDEX(Vendor_Master!$E$2:$E$41,MATCH(B459,Vendor_Master!$A$2:$A$41,0)),"")</f>
        <v>46025</v>
      </c>
      <c r="F459" s="17" t="n">
        <f aca="false">Payment_Log_AP!D456</f>
        <v>46155</v>
      </c>
      <c r="G459" s="18" t="n">
        <f aca="false">Payment_Log_AP!E456</f>
        <v>2508.58</v>
      </c>
      <c r="H459" s="16" t="n">
        <f aca="false">IF(G459&gt;=Assumptions!$B$7,40,IF(G459&gt;=Assumptions!$B$8,20,0))</f>
        <v>0</v>
      </c>
      <c r="I459" s="16" t="n">
        <f aca="false">IF(MOD(G459,500)=0,20,IF(MOD(G459,100)=0,10,0))</f>
        <v>0</v>
      </c>
      <c r="J459" s="16" t="n">
        <f aca="false">IF(AND(E459&lt;&gt;"",F459-E459&lt;=Assumptions!$B$9),25,0)</f>
        <v>25</v>
      </c>
      <c r="K459" s="16" t="n">
        <f aca="false">IF(ISNUMBER(SEARCH(D459,Assumptions!$B$10)),15,0)</f>
        <v>0</v>
      </c>
      <c r="L459" s="16" t="n">
        <f aca="false">H459+I459+J459+K459</f>
        <v>25</v>
      </c>
      <c r="M459" s="16" t="str">
        <f aca="false">IF(L459&gt;=60,"High",IF(L459&gt;=30,"Medium","Low"))</f>
        <v>Low</v>
      </c>
    </row>
    <row r="460" customFormat="false" ht="15" hidden="false" customHeight="false" outlineLevel="0" collapsed="false">
      <c r="A460" s="16" t="str">
        <f aca="false">Payment_Log_AP!A457</f>
        <v>PAY40456</v>
      </c>
      <c r="B460" s="16" t="str">
        <f aca="false">Payment_Log_AP!C457</f>
        <v>V1010</v>
      </c>
      <c r="C460" s="16" t="str">
        <f aca="false">IFERROR(INDEX(Vendor_Master!$B$2:$B$41,MATCH(B460,Vendor_Master!$A$2:$A$41,0)),"Unknown Vendor")</f>
        <v>Martinez, Nielsen and Miller</v>
      </c>
      <c r="D460" s="16" t="str">
        <f aca="false">IFERROR(INDEX(Vendor_Master!$D$2:$D$41,MATCH(B460,Vendor_Master!$A$2:$A$41,0)),"Unknown")</f>
        <v>India</v>
      </c>
      <c r="E460" s="17" t="n">
        <f aca="false">IFERROR(INDEX(Vendor_Master!$E$2:$E$41,MATCH(B460,Vendor_Master!$A$2:$A$41,0)),"")</f>
        <v>45715</v>
      </c>
      <c r="F460" s="17" t="n">
        <f aca="false">Payment_Log_AP!D457</f>
        <v>45740</v>
      </c>
      <c r="G460" s="18" t="n">
        <f aca="false">Payment_Log_AP!E457</f>
        <v>1846.15</v>
      </c>
      <c r="H460" s="16" t="n">
        <f aca="false">IF(G460&gt;=Assumptions!$B$7,40,IF(G460&gt;=Assumptions!$B$8,20,0))</f>
        <v>0</v>
      </c>
      <c r="I460" s="16" t="n">
        <f aca="false">IF(MOD(G460,500)=0,20,IF(MOD(G460,100)=0,10,0))</f>
        <v>0</v>
      </c>
      <c r="J460" s="16" t="n">
        <f aca="false">IF(AND(E460&lt;&gt;"",F460-E460&lt;=Assumptions!$B$9),25,0)</f>
        <v>25</v>
      </c>
      <c r="K460" s="16" t="n">
        <f aca="false">IF(ISNUMBER(SEARCH(D460,Assumptions!$B$10)),15,0)</f>
        <v>15</v>
      </c>
      <c r="L460" s="16" t="n">
        <f aca="false">H460+I460+J460+K460</f>
        <v>40</v>
      </c>
      <c r="M460" s="16" t="str">
        <f aca="false">IF(L460&gt;=60,"High",IF(L460&gt;=30,"Medium","Low"))</f>
        <v>Medium</v>
      </c>
    </row>
    <row r="461" customFormat="false" ht="15" hidden="false" customHeight="false" outlineLevel="0" collapsed="false">
      <c r="A461" s="16" t="str">
        <f aca="false">Payment_Log_AP!A458</f>
        <v>PAY40457</v>
      </c>
      <c r="B461" s="16" t="str">
        <f aca="false">Payment_Log_AP!C458</f>
        <v>V1018</v>
      </c>
      <c r="C461" s="16" t="str">
        <f aca="false">IFERROR(INDEX(Vendor_Master!$B$2:$B$41,MATCH(B461,Vendor_Master!$A$2:$A$41,0)),"Unknown Vendor")</f>
        <v>Underwood LLC</v>
      </c>
      <c r="D461" s="16" t="str">
        <f aca="false">IFERROR(INDEX(Vendor_Master!$D$2:$D$41,MATCH(B461,Vendor_Master!$A$2:$A$41,0)),"Unknown")</f>
        <v>UAE</v>
      </c>
      <c r="E461" s="17" t="n">
        <f aca="false">IFERROR(INDEX(Vendor_Master!$E$2:$E$41,MATCH(B461,Vendor_Master!$A$2:$A$41,0)),"")</f>
        <v>45788</v>
      </c>
      <c r="F461" s="17" t="n">
        <f aca="false">Payment_Log_AP!D458</f>
        <v>46041</v>
      </c>
      <c r="G461" s="18" t="n">
        <f aca="false">Payment_Log_AP!E458</f>
        <v>1888.25</v>
      </c>
      <c r="H461" s="16" t="n">
        <f aca="false">IF(G461&gt;=Assumptions!$B$7,40,IF(G461&gt;=Assumptions!$B$8,20,0))</f>
        <v>0</v>
      </c>
      <c r="I461" s="16" t="n">
        <f aca="false">IF(MOD(G461,500)=0,20,IF(MOD(G461,100)=0,10,0))</f>
        <v>0</v>
      </c>
      <c r="J461" s="16" t="n">
        <f aca="false">IF(AND(E461&lt;&gt;"",F461-E461&lt;=Assumptions!$B$9),25,0)</f>
        <v>0</v>
      </c>
      <c r="K461" s="16" t="n">
        <f aca="false">IF(ISNUMBER(SEARCH(D461,Assumptions!$B$10)),15,0)</f>
        <v>15</v>
      </c>
      <c r="L461" s="16" t="n">
        <f aca="false">H461+I461+J461+K461</f>
        <v>15</v>
      </c>
      <c r="M461" s="16" t="str">
        <f aca="false">IF(L461&gt;=60,"High",IF(L461&gt;=30,"Medium","Low"))</f>
        <v>Low</v>
      </c>
    </row>
    <row r="462" customFormat="false" ht="15" hidden="false" customHeight="false" outlineLevel="0" collapsed="false">
      <c r="A462" s="16" t="str">
        <f aca="false">Payment_Log_AP!A459</f>
        <v>PAY40458</v>
      </c>
      <c r="B462" s="16" t="str">
        <f aca="false">Payment_Log_AP!C459</f>
        <v>V1012</v>
      </c>
      <c r="C462" s="16" t="str">
        <f aca="false">IFERROR(INDEX(Vendor_Master!$B$2:$B$41,MATCH(B462,Vendor_Master!$A$2:$A$41,0)),"Unknown Vendor")</f>
        <v>Stanley LLC</v>
      </c>
      <c r="D462" s="16" t="str">
        <f aca="false">IFERROR(INDEX(Vendor_Master!$D$2:$D$41,MATCH(B462,Vendor_Master!$A$2:$A$41,0)),"Unknown")</f>
        <v>India</v>
      </c>
      <c r="E462" s="17" t="n">
        <f aca="false">IFERROR(INDEX(Vendor_Master!$E$2:$E$41,MATCH(B462,Vendor_Master!$A$2:$A$41,0)),"")</f>
        <v>45675</v>
      </c>
      <c r="F462" s="17" t="n">
        <f aca="false">Payment_Log_AP!D459</f>
        <v>46115</v>
      </c>
      <c r="G462" s="18" t="n">
        <f aca="false">Payment_Log_AP!E459</f>
        <v>28542.14</v>
      </c>
      <c r="H462" s="16" t="n">
        <f aca="false">IF(G462&gt;=Assumptions!$B$7,40,IF(G462&gt;=Assumptions!$B$8,20,0))</f>
        <v>40</v>
      </c>
      <c r="I462" s="16" t="n">
        <f aca="false">IF(MOD(G462,500)=0,20,IF(MOD(G462,100)=0,10,0))</f>
        <v>0</v>
      </c>
      <c r="J462" s="16" t="n">
        <f aca="false">IF(AND(E462&lt;&gt;"",F462-E462&lt;=Assumptions!$B$9),25,0)</f>
        <v>0</v>
      </c>
      <c r="K462" s="16" t="n">
        <f aca="false">IF(ISNUMBER(SEARCH(D462,Assumptions!$B$10)),15,0)</f>
        <v>15</v>
      </c>
      <c r="L462" s="16" t="n">
        <f aca="false">H462+I462+J462+K462</f>
        <v>55</v>
      </c>
      <c r="M462" s="16" t="str">
        <f aca="false">IF(L462&gt;=60,"High",IF(L462&gt;=30,"Medium","Low"))</f>
        <v>Medium</v>
      </c>
    </row>
    <row r="463" customFormat="false" ht="15" hidden="false" customHeight="false" outlineLevel="0" collapsed="false">
      <c r="A463" s="16" t="str">
        <f aca="false">Payment_Log_AP!A460</f>
        <v>PAY40459</v>
      </c>
      <c r="B463" s="16" t="str">
        <f aca="false">Payment_Log_AP!C460</f>
        <v>V1033</v>
      </c>
      <c r="C463" s="16" t="str">
        <f aca="false">IFERROR(INDEX(Vendor_Master!$B$2:$B$41,MATCH(B463,Vendor_Master!$A$2:$A$41,0)),"Unknown Vendor")</f>
        <v>Sellers, George and Burns</v>
      </c>
      <c r="D463" s="16" t="str">
        <f aca="false">IFERROR(INDEX(Vendor_Master!$D$2:$D$41,MATCH(B463,Vendor_Master!$A$2:$A$41,0)),"Unknown")</f>
        <v>USA</v>
      </c>
      <c r="E463" s="17" t="n">
        <f aca="false">IFERROR(INDEX(Vendor_Master!$E$2:$E$41,MATCH(B463,Vendor_Master!$A$2:$A$41,0)),"")</f>
        <v>45414</v>
      </c>
      <c r="F463" s="17" t="n">
        <f aca="false">Payment_Log_AP!D460</f>
        <v>45915</v>
      </c>
      <c r="G463" s="18" t="n">
        <f aca="false">Payment_Log_AP!E460</f>
        <v>13194.36</v>
      </c>
      <c r="H463" s="16" t="n">
        <f aca="false">IF(G463&gt;=Assumptions!$B$7,40,IF(G463&gt;=Assumptions!$B$8,20,0))</f>
        <v>40</v>
      </c>
      <c r="I463" s="16" t="n">
        <f aca="false">IF(MOD(G463,500)=0,20,IF(MOD(G463,100)=0,10,0))</f>
        <v>0</v>
      </c>
      <c r="J463" s="16" t="n">
        <f aca="false">IF(AND(E463&lt;&gt;"",F463-E463&lt;=Assumptions!$B$9),25,0)</f>
        <v>0</v>
      </c>
      <c r="K463" s="16" t="n">
        <f aca="false">IF(ISNUMBER(SEARCH(D463,Assumptions!$B$10)),15,0)</f>
        <v>0</v>
      </c>
      <c r="L463" s="16" t="n">
        <f aca="false">H463+I463+J463+K463</f>
        <v>40</v>
      </c>
      <c r="M463" s="16" t="str">
        <f aca="false">IF(L463&gt;=60,"High",IF(L463&gt;=30,"Medium","Low"))</f>
        <v>Medium</v>
      </c>
    </row>
    <row r="464" customFormat="false" ht="15" hidden="false" customHeight="false" outlineLevel="0" collapsed="false">
      <c r="A464" s="16" t="str">
        <f aca="false">Payment_Log_AP!A461</f>
        <v>PAY40460</v>
      </c>
      <c r="B464" s="16" t="str">
        <f aca="false">Payment_Log_AP!C461</f>
        <v>V1034</v>
      </c>
      <c r="C464" s="16" t="str">
        <f aca="false">IFERROR(INDEX(Vendor_Master!$B$2:$B$41,MATCH(B464,Vendor_Master!$A$2:$A$41,0)),"Unknown Vendor")</f>
        <v>Koch-Decker</v>
      </c>
      <c r="D464" s="16" t="str">
        <f aca="false">IFERROR(INDEX(Vendor_Master!$D$2:$D$41,MATCH(B464,Vendor_Master!$A$2:$A$41,0)),"Unknown")</f>
        <v>Germany</v>
      </c>
      <c r="E464" s="17" t="n">
        <f aca="false">IFERROR(INDEX(Vendor_Master!$E$2:$E$41,MATCH(B464,Vendor_Master!$A$2:$A$41,0)),"")</f>
        <v>44738</v>
      </c>
      <c r="F464" s="17" t="n">
        <f aca="false">Payment_Log_AP!D461</f>
        <v>46045</v>
      </c>
      <c r="G464" s="18" t="n">
        <f aca="false">Payment_Log_AP!E461</f>
        <v>999.65</v>
      </c>
      <c r="H464" s="16" t="n">
        <f aca="false">IF(G464&gt;=Assumptions!$B$7,40,IF(G464&gt;=Assumptions!$B$8,20,0))</f>
        <v>0</v>
      </c>
      <c r="I464" s="16" t="n">
        <f aca="false">IF(MOD(G464,500)=0,20,IF(MOD(G464,100)=0,10,0))</f>
        <v>0</v>
      </c>
      <c r="J464" s="16" t="n">
        <f aca="false">IF(AND(E464&lt;&gt;"",F464-E464&lt;=Assumptions!$B$9),25,0)</f>
        <v>0</v>
      </c>
      <c r="K464" s="16" t="n">
        <f aca="false">IF(ISNUMBER(SEARCH(D464,Assumptions!$B$10)),15,0)</f>
        <v>0</v>
      </c>
      <c r="L464" s="16" t="n">
        <f aca="false">H464+I464+J464+K464</f>
        <v>0</v>
      </c>
      <c r="M464" s="16" t="str">
        <f aca="false">IF(L464&gt;=60,"High",IF(L464&gt;=30,"Medium","Low"))</f>
        <v>Low</v>
      </c>
    </row>
    <row r="465" customFormat="false" ht="15" hidden="false" customHeight="false" outlineLevel="0" collapsed="false">
      <c r="A465" s="16" t="str">
        <f aca="false">Payment_Log_AP!A462</f>
        <v>PAY40461</v>
      </c>
      <c r="B465" s="16" t="str">
        <f aca="false">Payment_Log_AP!C462</f>
        <v>V1010</v>
      </c>
      <c r="C465" s="16" t="str">
        <f aca="false">IFERROR(INDEX(Vendor_Master!$B$2:$B$41,MATCH(B465,Vendor_Master!$A$2:$A$41,0)),"Unknown Vendor")</f>
        <v>Martinez, Nielsen and Miller</v>
      </c>
      <c r="D465" s="16" t="str">
        <f aca="false">IFERROR(INDEX(Vendor_Master!$D$2:$D$41,MATCH(B465,Vendor_Master!$A$2:$A$41,0)),"Unknown")</f>
        <v>India</v>
      </c>
      <c r="E465" s="17" t="n">
        <f aca="false">IFERROR(INDEX(Vendor_Master!$E$2:$E$41,MATCH(B465,Vendor_Master!$A$2:$A$41,0)),"")</f>
        <v>45715</v>
      </c>
      <c r="F465" s="17" t="n">
        <f aca="false">Payment_Log_AP!D462</f>
        <v>46179</v>
      </c>
      <c r="G465" s="18" t="n">
        <f aca="false">Payment_Log_AP!E462</f>
        <v>2025.11</v>
      </c>
      <c r="H465" s="16" t="n">
        <f aca="false">IF(G465&gt;=Assumptions!$B$7,40,IF(G465&gt;=Assumptions!$B$8,20,0))</f>
        <v>0</v>
      </c>
      <c r="I465" s="16" t="n">
        <f aca="false">IF(MOD(G465,500)=0,20,IF(MOD(G465,100)=0,10,0))</f>
        <v>0</v>
      </c>
      <c r="J465" s="16" t="n">
        <f aca="false">IF(AND(E465&lt;&gt;"",F465-E465&lt;=Assumptions!$B$9),25,0)</f>
        <v>0</v>
      </c>
      <c r="K465" s="16" t="n">
        <f aca="false">IF(ISNUMBER(SEARCH(D465,Assumptions!$B$10)),15,0)</f>
        <v>15</v>
      </c>
      <c r="L465" s="16" t="n">
        <f aca="false">H465+I465+J465+K465</f>
        <v>15</v>
      </c>
      <c r="M465" s="16" t="str">
        <f aca="false">IF(L465&gt;=60,"High",IF(L465&gt;=30,"Medium","Low"))</f>
        <v>Low</v>
      </c>
    </row>
    <row r="466" customFormat="false" ht="15" hidden="false" customHeight="false" outlineLevel="0" collapsed="false">
      <c r="A466" s="16" t="str">
        <f aca="false">Payment_Log_AP!A463</f>
        <v>PAY40462</v>
      </c>
      <c r="B466" s="16" t="str">
        <f aca="false">Payment_Log_AP!C463</f>
        <v>V1010</v>
      </c>
      <c r="C466" s="16" t="str">
        <f aca="false">IFERROR(INDEX(Vendor_Master!$B$2:$B$41,MATCH(B466,Vendor_Master!$A$2:$A$41,0)),"Unknown Vendor")</f>
        <v>Martinez, Nielsen and Miller</v>
      </c>
      <c r="D466" s="16" t="str">
        <f aca="false">IFERROR(INDEX(Vendor_Master!$D$2:$D$41,MATCH(B466,Vendor_Master!$A$2:$A$41,0)),"Unknown")</f>
        <v>India</v>
      </c>
      <c r="E466" s="17" t="n">
        <f aca="false">IFERROR(INDEX(Vendor_Master!$E$2:$E$41,MATCH(B466,Vendor_Master!$A$2:$A$41,0)),"")</f>
        <v>45715</v>
      </c>
      <c r="F466" s="17" t="n">
        <f aca="false">Payment_Log_AP!D463</f>
        <v>46172</v>
      </c>
      <c r="G466" s="18" t="n">
        <f aca="false">Payment_Log_AP!E463</f>
        <v>2025.11</v>
      </c>
      <c r="H466" s="16" t="n">
        <f aca="false">IF(G466&gt;=Assumptions!$B$7,40,IF(G466&gt;=Assumptions!$B$8,20,0))</f>
        <v>0</v>
      </c>
      <c r="I466" s="16" t="n">
        <f aca="false">IF(MOD(G466,500)=0,20,IF(MOD(G466,100)=0,10,0))</f>
        <v>0</v>
      </c>
      <c r="J466" s="16" t="n">
        <f aca="false">IF(AND(E466&lt;&gt;"",F466-E466&lt;=Assumptions!$B$9),25,0)</f>
        <v>0</v>
      </c>
      <c r="K466" s="16" t="n">
        <f aca="false">IF(ISNUMBER(SEARCH(D466,Assumptions!$B$10)),15,0)</f>
        <v>15</v>
      </c>
      <c r="L466" s="16" t="n">
        <f aca="false">H466+I466+J466+K466</f>
        <v>15</v>
      </c>
      <c r="M466" s="16" t="str">
        <f aca="false">IF(L466&gt;=60,"High",IF(L466&gt;=30,"Medium","Low"))</f>
        <v>Low</v>
      </c>
    </row>
    <row r="467" customFormat="false" ht="15" hidden="false" customHeight="false" outlineLevel="0" collapsed="false">
      <c r="A467" s="16" t="str">
        <f aca="false">Payment_Log_AP!A464</f>
        <v>PAY40463</v>
      </c>
      <c r="B467" s="16" t="str">
        <f aca="false">Payment_Log_AP!C464</f>
        <v>V1013</v>
      </c>
      <c r="C467" s="16" t="str">
        <f aca="false">IFERROR(INDEX(Vendor_Master!$B$2:$B$41,MATCH(B467,Vendor_Master!$A$2:$A$41,0)),"Unknown Vendor")</f>
        <v>Delacruz Group</v>
      </c>
      <c r="D467" s="16" t="str">
        <f aca="false">IFERROR(INDEX(Vendor_Master!$D$2:$D$41,MATCH(B467,Vendor_Master!$A$2:$A$41,0)),"Unknown")</f>
        <v>USA</v>
      </c>
      <c r="E467" s="17" t="n">
        <f aca="false">IFERROR(INDEX(Vendor_Master!$E$2:$E$41,MATCH(B467,Vendor_Master!$A$2:$A$41,0)),"")</f>
        <v>46119</v>
      </c>
      <c r="F467" s="17" t="n">
        <f aca="false">Payment_Log_AP!D464</f>
        <v>45933</v>
      </c>
      <c r="G467" s="18" t="n">
        <f aca="false">Payment_Log_AP!E464</f>
        <v>1346.34</v>
      </c>
      <c r="H467" s="16" t="n">
        <f aca="false">IF(G467&gt;=Assumptions!$B$7,40,IF(G467&gt;=Assumptions!$B$8,20,0))</f>
        <v>0</v>
      </c>
      <c r="I467" s="16" t="n">
        <f aca="false">IF(MOD(G467,500)=0,20,IF(MOD(G467,100)=0,10,0))</f>
        <v>0</v>
      </c>
      <c r="J467" s="16" t="n">
        <f aca="false">IF(AND(E467&lt;&gt;"",F467-E467&lt;=Assumptions!$B$9),25,0)</f>
        <v>25</v>
      </c>
      <c r="K467" s="16" t="n">
        <f aca="false">IF(ISNUMBER(SEARCH(D467,Assumptions!$B$10)),15,0)</f>
        <v>0</v>
      </c>
      <c r="L467" s="16" t="n">
        <f aca="false">H467+I467+J467+K467</f>
        <v>25</v>
      </c>
      <c r="M467" s="16" t="str">
        <f aca="false">IF(L467&gt;=60,"High",IF(L467&gt;=30,"Medium","Low"))</f>
        <v>Low</v>
      </c>
    </row>
    <row r="468" customFormat="false" ht="15" hidden="false" customHeight="false" outlineLevel="0" collapsed="false">
      <c r="A468" s="16" t="str">
        <f aca="false">Payment_Log_AP!A465</f>
        <v>PAY40464</v>
      </c>
      <c r="B468" s="16" t="str">
        <f aca="false">Payment_Log_AP!C465</f>
        <v>V1017</v>
      </c>
      <c r="C468" s="16" t="str">
        <f aca="false">IFERROR(INDEX(Vendor_Master!$B$2:$B$41,MATCH(B468,Vendor_Master!$A$2:$A$41,0)),"Unknown Vendor")</f>
        <v>Hawkins, Cohen and Cameron</v>
      </c>
      <c r="D468" s="16" t="str">
        <f aca="false">IFERROR(INDEX(Vendor_Master!$D$2:$D$41,MATCH(B468,Vendor_Master!$A$2:$A$41,0)),"Unknown")</f>
        <v>USA</v>
      </c>
      <c r="E468" s="17" t="n">
        <f aca="false">IFERROR(INDEX(Vendor_Master!$E$2:$E$41,MATCH(B468,Vendor_Master!$A$2:$A$41,0)),"")</f>
        <v>46025</v>
      </c>
      <c r="F468" s="17" t="n">
        <f aca="false">Payment_Log_AP!D465</f>
        <v>46050</v>
      </c>
      <c r="G468" s="18" t="n">
        <f aca="false">Payment_Log_AP!E465</f>
        <v>473.72</v>
      </c>
      <c r="H468" s="16" t="n">
        <f aca="false">IF(G468&gt;=Assumptions!$B$7,40,IF(G468&gt;=Assumptions!$B$8,20,0))</f>
        <v>0</v>
      </c>
      <c r="I468" s="16" t="n">
        <f aca="false">IF(MOD(G468,500)=0,20,IF(MOD(G468,100)=0,10,0))</f>
        <v>0</v>
      </c>
      <c r="J468" s="16" t="n">
        <f aca="false">IF(AND(E468&lt;&gt;"",F468-E468&lt;=Assumptions!$B$9),25,0)</f>
        <v>25</v>
      </c>
      <c r="K468" s="16" t="n">
        <f aca="false">IF(ISNUMBER(SEARCH(D468,Assumptions!$B$10)),15,0)</f>
        <v>0</v>
      </c>
      <c r="L468" s="16" t="n">
        <f aca="false">H468+I468+J468+K468</f>
        <v>25</v>
      </c>
      <c r="M468" s="16" t="str">
        <f aca="false">IF(L468&gt;=60,"High",IF(L468&gt;=30,"Medium","Low"))</f>
        <v>Low</v>
      </c>
    </row>
    <row r="469" customFormat="false" ht="15" hidden="false" customHeight="false" outlineLevel="0" collapsed="false">
      <c r="A469" s="16" t="str">
        <f aca="false">Payment_Log_AP!A466</f>
        <v>PAY40465</v>
      </c>
      <c r="B469" s="16" t="str">
        <f aca="false">Payment_Log_AP!C466</f>
        <v>V1029</v>
      </c>
      <c r="C469" s="16" t="str">
        <f aca="false">IFERROR(INDEX(Vendor_Master!$B$2:$B$41,MATCH(B469,Vendor_Master!$A$2:$A$41,0)),"Unknown Vendor")</f>
        <v>Chavez Ltd</v>
      </c>
      <c r="D469" s="16" t="str">
        <f aca="false">IFERROR(INDEX(Vendor_Master!$D$2:$D$41,MATCH(B469,Vendor_Master!$A$2:$A$41,0)),"Unknown")</f>
        <v>Singapore</v>
      </c>
      <c r="E469" s="17" t="n">
        <f aca="false">IFERROR(INDEX(Vendor_Master!$E$2:$E$41,MATCH(B469,Vendor_Master!$A$2:$A$41,0)),"")</f>
        <v>45026</v>
      </c>
      <c r="F469" s="17" t="n">
        <f aca="false">Payment_Log_AP!D466</f>
        <v>46127</v>
      </c>
      <c r="G469" s="18" t="n">
        <f aca="false">Payment_Log_AP!E466</f>
        <v>4513.74</v>
      </c>
      <c r="H469" s="16" t="n">
        <f aca="false">IF(G469&gt;=Assumptions!$B$7,40,IF(G469&gt;=Assumptions!$B$8,20,0))</f>
        <v>0</v>
      </c>
      <c r="I469" s="16" t="n">
        <f aca="false">IF(MOD(G469,500)=0,20,IF(MOD(G469,100)=0,10,0))</f>
        <v>0</v>
      </c>
      <c r="J469" s="16" t="n">
        <f aca="false">IF(AND(E469&lt;&gt;"",F469-E469&lt;=Assumptions!$B$9),25,0)</f>
        <v>0</v>
      </c>
      <c r="K469" s="16" t="n">
        <f aca="false">IF(ISNUMBER(SEARCH(D469,Assumptions!$B$10)),15,0)</f>
        <v>15</v>
      </c>
      <c r="L469" s="16" t="n">
        <f aca="false">H469+I469+J469+K469</f>
        <v>15</v>
      </c>
      <c r="M469" s="16" t="str">
        <f aca="false">IF(L469&gt;=60,"High",IF(L469&gt;=30,"Medium","Low"))</f>
        <v>Low</v>
      </c>
    </row>
    <row r="470" customFormat="false" ht="15" hidden="false" customHeight="false" outlineLevel="0" collapsed="false">
      <c r="A470" s="16" t="str">
        <f aca="false">Payment_Log_AP!A467</f>
        <v>PAY40466</v>
      </c>
      <c r="B470" s="16" t="str">
        <f aca="false">Payment_Log_AP!C467</f>
        <v>V1028</v>
      </c>
      <c r="C470" s="16" t="str">
        <f aca="false">IFERROR(INDEX(Vendor_Master!$B$2:$B$41,MATCH(B470,Vendor_Master!$A$2:$A$41,0)),"Unknown Vendor")</f>
        <v>Potter, Mack and Peterson</v>
      </c>
      <c r="D470" s="16" t="str">
        <f aca="false">IFERROR(INDEX(Vendor_Master!$D$2:$D$41,MATCH(B470,Vendor_Master!$A$2:$A$41,0)),"Unknown")</f>
        <v>UK</v>
      </c>
      <c r="E470" s="17" t="n">
        <f aca="false">IFERROR(INDEX(Vendor_Master!$E$2:$E$41,MATCH(B470,Vendor_Master!$A$2:$A$41,0)),"")</f>
        <v>45639</v>
      </c>
      <c r="F470" s="17" t="n">
        <f aca="false">Payment_Log_AP!D467</f>
        <v>45840</v>
      </c>
      <c r="G470" s="18" t="n">
        <f aca="false">Payment_Log_AP!E467</f>
        <v>1308.52</v>
      </c>
      <c r="H470" s="16" t="n">
        <f aca="false">IF(G470&gt;=Assumptions!$B$7,40,IF(G470&gt;=Assumptions!$B$8,20,0))</f>
        <v>0</v>
      </c>
      <c r="I470" s="16" t="n">
        <f aca="false">IF(MOD(G470,500)=0,20,IF(MOD(G470,100)=0,10,0))</f>
        <v>0</v>
      </c>
      <c r="J470" s="16" t="n">
        <f aca="false">IF(AND(E470&lt;&gt;"",F470-E470&lt;=Assumptions!$B$9),25,0)</f>
        <v>0</v>
      </c>
      <c r="K470" s="16" t="n">
        <f aca="false">IF(ISNUMBER(SEARCH(D470,Assumptions!$B$10)),15,0)</f>
        <v>0</v>
      </c>
      <c r="L470" s="16" t="n">
        <f aca="false">H470+I470+J470+K470</f>
        <v>0</v>
      </c>
      <c r="M470" s="16" t="str">
        <f aca="false">IF(L470&gt;=60,"High",IF(L470&gt;=30,"Medium","Low"))</f>
        <v>Low</v>
      </c>
    </row>
    <row r="471" customFormat="false" ht="15" hidden="false" customHeight="false" outlineLevel="0" collapsed="false">
      <c r="A471" s="16" t="str">
        <f aca="false">Payment_Log_AP!A468</f>
        <v>PAY40467</v>
      </c>
      <c r="B471" s="16" t="str">
        <f aca="false">Payment_Log_AP!C468</f>
        <v>V1028</v>
      </c>
      <c r="C471" s="16" t="str">
        <f aca="false">IFERROR(INDEX(Vendor_Master!$B$2:$B$41,MATCH(B471,Vendor_Master!$A$2:$A$41,0)),"Unknown Vendor")</f>
        <v>Potter, Mack and Peterson</v>
      </c>
      <c r="D471" s="16" t="str">
        <f aca="false">IFERROR(INDEX(Vendor_Master!$D$2:$D$41,MATCH(B471,Vendor_Master!$A$2:$A$41,0)),"Unknown")</f>
        <v>UK</v>
      </c>
      <c r="E471" s="17" t="n">
        <f aca="false">IFERROR(INDEX(Vendor_Master!$E$2:$E$41,MATCH(B471,Vendor_Master!$A$2:$A$41,0)),"")</f>
        <v>45639</v>
      </c>
      <c r="F471" s="17" t="n">
        <f aca="false">Payment_Log_AP!D468</f>
        <v>45871</v>
      </c>
      <c r="G471" s="18" t="n">
        <f aca="false">Payment_Log_AP!E468</f>
        <v>2254.68</v>
      </c>
      <c r="H471" s="16" t="n">
        <f aca="false">IF(G471&gt;=Assumptions!$B$7,40,IF(G471&gt;=Assumptions!$B$8,20,0))</f>
        <v>0</v>
      </c>
      <c r="I471" s="16" t="n">
        <f aca="false">IF(MOD(G471,500)=0,20,IF(MOD(G471,100)=0,10,0))</f>
        <v>0</v>
      </c>
      <c r="J471" s="16" t="n">
        <f aca="false">IF(AND(E471&lt;&gt;"",F471-E471&lt;=Assumptions!$B$9),25,0)</f>
        <v>0</v>
      </c>
      <c r="K471" s="16" t="n">
        <f aca="false">IF(ISNUMBER(SEARCH(D471,Assumptions!$B$10)),15,0)</f>
        <v>0</v>
      </c>
      <c r="L471" s="16" t="n">
        <f aca="false">H471+I471+J471+K471</f>
        <v>0</v>
      </c>
      <c r="M471" s="16" t="str">
        <f aca="false">IF(L471&gt;=60,"High",IF(L471&gt;=30,"Medium","Low"))</f>
        <v>Low</v>
      </c>
    </row>
    <row r="472" customFormat="false" ht="15" hidden="false" customHeight="false" outlineLevel="0" collapsed="false">
      <c r="A472" s="16" t="str">
        <f aca="false">Payment_Log_AP!A469</f>
        <v>PAY40468</v>
      </c>
      <c r="B472" s="16" t="str">
        <f aca="false">Payment_Log_AP!C469</f>
        <v>V1028</v>
      </c>
      <c r="C472" s="16" t="str">
        <f aca="false">IFERROR(INDEX(Vendor_Master!$B$2:$B$41,MATCH(B472,Vendor_Master!$A$2:$A$41,0)),"Unknown Vendor")</f>
        <v>Potter, Mack and Peterson</v>
      </c>
      <c r="D472" s="16" t="str">
        <f aca="false">IFERROR(INDEX(Vendor_Master!$D$2:$D$41,MATCH(B472,Vendor_Master!$A$2:$A$41,0)),"Unknown")</f>
        <v>UK</v>
      </c>
      <c r="E472" s="17" t="n">
        <f aca="false">IFERROR(INDEX(Vendor_Master!$E$2:$E$41,MATCH(B472,Vendor_Master!$A$2:$A$41,0)),"")</f>
        <v>45639</v>
      </c>
      <c r="F472" s="17" t="n">
        <f aca="false">Payment_Log_AP!D469</f>
        <v>45891</v>
      </c>
      <c r="G472" s="18" t="n">
        <f aca="false">Payment_Log_AP!E469</f>
        <v>2254.68</v>
      </c>
      <c r="H472" s="16" t="n">
        <f aca="false">IF(G472&gt;=Assumptions!$B$7,40,IF(G472&gt;=Assumptions!$B$8,20,0))</f>
        <v>0</v>
      </c>
      <c r="I472" s="16" t="n">
        <f aca="false">IF(MOD(G472,500)=0,20,IF(MOD(G472,100)=0,10,0))</f>
        <v>0</v>
      </c>
      <c r="J472" s="16" t="n">
        <f aca="false">IF(AND(E472&lt;&gt;"",F472-E472&lt;=Assumptions!$B$9),25,0)</f>
        <v>0</v>
      </c>
      <c r="K472" s="16" t="n">
        <f aca="false">IF(ISNUMBER(SEARCH(D472,Assumptions!$B$10)),15,0)</f>
        <v>0</v>
      </c>
      <c r="L472" s="16" t="n">
        <f aca="false">H472+I472+J472+K472</f>
        <v>0</v>
      </c>
      <c r="M472" s="16" t="str">
        <f aca="false">IF(L472&gt;=60,"High",IF(L472&gt;=30,"Medium","Low"))</f>
        <v>Low</v>
      </c>
    </row>
    <row r="473" customFormat="false" ht="15" hidden="false" customHeight="false" outlineLevel="0" collapsed="false">
      <c r="A473" s="16" t="str">
        <f aca="false">Payment_Log_AP!A470</f>
        <v>PAY40469</v>
      </c>
      <c r="B473" s="16" t="str">
        <f aca="false">Payment_Log_AP!C470</f>
        <v>V1023</v>
      </c>
      <c r="C473" s="16" t="str">
        <f aca="false">IFERROR(INDEX(Vendor_Master!$B$2:$B$41,MATCH(B473,Vendor_Master!$A$2:$A$41,0)),"Unknown Vendor")</f>
        <v>Robinson-Bright</v>
      </c>
      <c r="D473" s="16" t="str">
        <f aca="false">IFERROR(INDEX(Vendor_Master!$D$2:$D$41,MATCH(B473,Vendor_Master!$A$2:$A$41,0)),"Unknown")</f>
        <v>India</v>
      </c>
      <c r="E473" s="17" t="n">
        <f aca="false">IFERROR(INDEX(Vendor_Master!$E$2:$E$41,MATCH(B473,Vendor_Master!$A$2:$A$41,0)),"")</f>
        <v>45484</v>
      </c>
      <c r="F473" s="17" t="n">
        <f aca="false">Payment_Log_AP!D470</f>
        <v>45760</v>
      </c>
      <c r="G473" s="18" t="n">
        <f aca="false">Payment_Log_AP!E470</f>
        <v>5770.92</v>
      </c>
      <c r="H473" s="16" t="n">
        <f aca="false">IF(G473&gt;=Assumptions!$B$7,40,IF(G473&gt;=Assumptions!$B$8,20,0))</f>
        <v>20</v>
      </c>
      <c r="I473" s="16" t="n">
        <f aca="false">IF(MOD(G473,500)=0,20,IF(MOD(G473,100)=0,10,0))</f>
        <v>0</v>
      </c>
      <c r="J473" s="16" t="n">
        <f aca="false">IF(AND(E473&lt;&gt;"",F473-E473&lt;=Assumptions!$B$9),25,0)</f>
        <v>0</v>
      </c>
      <c r="K473" s="16" t="n">
        <f aca="false">IF(ISNUMBER(SEARCH(D473,Assumptions!$B$10)),15,0)</f>
        <v>15</v>
      </c>
      <c r="L473" s="16" t="n">
        <f aca="false">H473+I473+J473+K473</f>
        <v>35</v>
      </c>
      <c r="M473" s="16" t="str">
        <f aca="false">IF(L473&gt;=60,"High",IF(L473&gt;=30,"Medium","Low"))</f>
        <v>Medium</v>
      </c>
    </row>
    <row r="474" customFormat="false" ht="15" hidden="false" customHeight="false" outlineLevel="0" collapsed="false">
      <c r="A474" s="16" t="str">
        <f aca="false">Payment_Log_AP!A471</f>
        <v>PAY40470</v>
      </c>
      <c r="B474" s="16" t="str">
        <f aca="false">Payment_Log_AP!C471</f>
        <v>V1016</v>
      </c>
      <c r="C474" s="16" t="str">
        <f aca="false">IFERROR(INDEX(Vendor_Master!$B$2:$B$41,MATCH(B474,Vendor_Master!$A$2:$A$41,0)),"Unknown Vendor")</f>
        <v>Sanchez, Ford and Nelson</v>
      </c>
      <c r="D474" s="16" t="str">
        <f aca="false">IFERROR(INDEX(Vendor_Master!$D$2:$D$41,MATCH(B474,Vendor_Master!$A$2:$A$41,0)),"Unknown")</f>
        <v>India</v>
      </c>
      <c r="E474" s="17" t="n">
        <f aca="false">IFERROR(INDEX(Vendor_Master!$E$2:$E$41,MATCH(B474,Vendor_Master!$A$2:$A$41,0)),"")</f>
        <v>44832</v>
      </c>
      <c r="F474" s="17" t="n">
        <f aca="false">Payment_Log_AP!D471</f>
        <v>45972</v>
      </c>
      <c r="G474" s="18" t="n">
        <f aca="false">Payment_Log_AP!E471</f>
        <v>2271.46</v>
      </c>
      <c r="H474" s="16" t="n">
        <f aca="false">IF(G474&gt;=Assumptions!$B$7,40,IF(G474&gt;=Assumptions!$B$8,20,0))</f>
        <v>0</v>
      </c>
      <c r="I474" s="16" t="n">
        <f aca="false">IF(MOD(G474,500)=0,20,IF(MOD(G474,100)=0,10,0))</f>
        <v>0</v>
      </c>
      <c r="J474" s="16" t="n">
        <f aca="false">IF(AND(E474&lt;&gt;"",F474-E474&lt;=Assumptions!$B$9),25,0)</f>
        <v>0</v>
      </c>
      <c r="K474" s="16" t="n">
        <f aca="false">IF(ISNUMBER(SEARCH(D474,Assumptions!$B$10)),15,0)</f>
        <v>15</v>
      </c>
      <c r="L474" s="16" t="n">
        <f aca="false">H474+I474+J474+K474</f>
        <v>15</v>
      </c>
      <c r="M474" s="16" t="str">
        <f aca="false">IF(L474&gt;=60,"High",IF(L474&gt;=30,"Medium","Low"))</f>
        <v>Low</v>
      </c>
    </row>
    <row r="475" customFormat="false" ht="15" hidden="false" customHeight="false" outlineLevel="0" collapsed="false">
      <c r="A475" s="16" t="str">
        <f aca="false">Payment_Log_AP!A472</f>
        <v>PAY40471</v>
      </c>
      <c r="B475" s="16" t="str">
        <f aca="false">Payment_Log_AP!C472</f>
        <v>V1012</v>
      </c>
      <c r="C475" s="16" t="str">
        <f aca="false">IFERROR(INDEX(Vendor_Master!$B$2:$B$41,MATCH(B475,Vendor_Master!$A$2:$A$41,0)),"Unknown Vendor")</f>
        <v>Stanley LLC</v>
      </c>
      <c r="D475" s="16" t="str">
        <f aca="false">IFERROR(INDEX(Vendor_Master!$D$2:$D$41,MATCH(B475,Vendor_Master!$A$2:$A$41,0)),"Unknown")</f>
        <v>India</v>
      </c>
      <c r="E475" s="17" t="n">
        <f aca="false">IFERROR(INDEX(Vendor_Master!$E$2:$E$41,MATCH(B475,Vendor_Master!$A$2:$A$41,0)),"")</f>
        <v>45675</v>
      </c>
      <c r="F475" s="17" t="n">
        <f aca="false">Payment_Log_AP!D472</f>
        <v>45994</v>
      </c>
      <c r="G475" s="18" t="n">
        <f aca="false">Payment_Log_AP!E472</f>
        <v>567.17</v>
      </c>
      <c r="H475" s="16" t="n">
        <f aca="false">IF(G475&gt;=Assumptions!$B$7,40,IF(G475&gt;=Assumptions!$B$8,20,0))</f>
        <v>0</v>
      </c>
      <c r="I475" s="16" t="n">
        <f aca="false">IF(MOD(G475,500)=0,20,IF(MOD(G475,100)=0,10,0))</f>
        <v>0</v>
      </c>
      <c r="J475" s="16" t="n">
        <f aca="false">IF(AND(E475&lt;&gt;"",F475-E475&lt;=Assumptions!$B$9),25,0)</f>
        <v>0</v>
      </c>
      <c r="K475" s="16" t="n">
        <f aca="false">IF(ISNUMBER(SEARCH(D475,Assumptions!$B$10)),15,0)</f>
        <v>15</v>
      </c>
      <c r="L475" s="16" t="n">
        <f aca="false">H475+I475+J475+K475</f>
        <v>15</v>
      </c>
      <c r="M475" s="16" t="str">
        <f aca="false">IF(L475&gt;=60,"High",IF(L475&gt;=30,"Medium","Low"))</f>
        <v>Low</v>
      </c>
    </row>
    <row r="476" customFormat="false" ht="15" hidden="false" customHeight="false" outlineLevel="0" collapsed="false">
      <c r="A476" s="16" t="str">
        <f aca="false">Payment_Log_AP!A473</f>
        <v>PAY40472</v>
      </c>
      <c r="B476" s="16" t="str">
        <f aca="false">Payment_Log_AP!C473</f>
        <v>V1010</v>
      </c>
      <c r="C476" s="16" t="str">
        <f aca="false">IFERROR(INDEX(Vendor_Master!$B$2:$B$41,MATCH(B476,Vendor_Master!$A$2:$A$41,0)),"Unknown Vendor")</f>
        <v>Martinez, Nielsen and Miller</v>
      </c>
      <c r="D476" s="16" t="str">
        <f aca="false">IFERROR(INDEX(Vendor_Master!$D$2:$D$41,MATCH(B476,Vendor_Master!$A$2:$A$41,0)),"Unknown")</f>
        <v>India</v>
      </c>
      <c r="E476" s="17" t="n">
        <f aca="false">IFERROR(INDEX(Vendor_Master!$E$2:$E$41,MATCH(B476,Vendor_Master!$A$2:$A$41,0)),"")</f>
        <v>45715</v>
      </c>
      <c r="F476" s="17" t="n">
        <f aca="false">Payment_Log_AP!D473</f>
        <v>46104</v>
      </c>
      <c r="G476" s="18" t="n">
        <f aca="false">Payment_Log_AP!E473</f>
        <v>4021.66</v>
      </c>
      <c r="H476" s="16" t="n">
        <f aca="false">IF(G476&gt;=Assumptions!$B$7,40,IF(G476&gt;=Assumptions!$B$8,20,0))</f>
        <v>0</v>
      </c>
      <c r="I476" s="16" t="n">
        <f aca="false">IF(MOD(G476,500)=0,20,IF(MOD(G476,100)=0,10,0))</f>
        <v>0</v>
      </c>
      <c r="J476" s="16" t="n">
        <f aca="false">IF(AND(E476&lt;&gt;"",F476-E476&lt;=Assumptions!$B$9),25,0)</f>
        <v>0</v>
      </c>
      <c r="K476" s="16" t="n">
        <f aca="false">IF(ISNUMBER(SEARCH(D476,Assumptions!$B$10)),15,0)</f>
        <v>15</v>
      </c>
      <c r="L476" s="16" t="n">
        <f aca="false">H476+I476+J476+K476</f>
        <v>15</v>
      </c>
      <c r="M476" s="16" t="str">
        <f aca="false">IF(L476&gt;=60,"High",IF(L476&gt;=30,"Medium","Low"))</f>
        <v>Low</v>
      </c>
    </row>
    <row r="477" customFormat="false" ht="15" hidden="false" customHeight="false" outlineLevel="0" collapsed="false">
      <c r="A477" s="16" t="str">
        <f aca="false">Payment_Log_AP!A474</f>
        <v>PAY40473</v>
      </c>
      <c r="B477" s="16" t="str">
        <f aca="false">Payment_Log_AP!C474</f>
        <v>V1002</v>
      </c>
      <c r="C477" s="16" t="str">
        <f aca="false">IFERROR(INDEX(Vendor_Master!$B$2:$B$41,MATCH(B477,Vendor_Master!$A$2:$A$41,0)),"Unknown Vendor")</f>
        <v>Garcia, Yang and Gardner</v>
      </c>
      <c r="D477" s="16" t="str">
        <f aca="false">IFERROR(INDEX(Vendor_Master!$D$2:$D$41,MATCH(B477,Vendor_Master!$A$2:$A$41,0)),"Unknown")</f>
        <v>UK</v>
      </c>
      <c r="E477" s="17" t="n">
        <f aca="false">IFERROR(INDEX(Vendor_Master!$E$2:$E$41,MATCH(B477,Vendor_Master!$A$2:$A$41,0)),"")</f>
        <v>44914</v>
      </c>
      <c r="F477" s="17" t="n">
        <f aca="false">Payment_Log_AP!D474</f>
        <v>45720</v>
      </c>
      <c r="G477" s="18" t="n">
        <f aca="false">Payment_Log_AP!E474</f>
        <v>21176.94</v>
      </c>
      <c r="H477" s="16" t="n">
        <f aca="false">IF(G477&gt;=Assumptions!$B$7,40,IF(G477&gt;=Assumptions!$B$8,20,0))</f>
        <v>40</v>
      </c>
      <c r="I477" s="16" t="n">
        <f aca="false">IF(MOD(G477,500)=0,20,IF(MOD(G477,100)=0,10,0))</f>
        <v>0</v>
      </c>
      <c r="J477" s="16" t="n">
        <f aca="false">IF(AND(E477&lt;&gt;"",F477-E477&lt;=Assumptions!$B$9),25,0)</f>
        <v>0</v>
      </c>
      <c r="K477" s="16" t="n">
        <f aca="false">IF(ISNUMBER(SEARCH(D477,Assumptions!$B$10)),15,0)</f>
        <v>0</v>
      </c>
      <c r="L477" s="16" t="n">
        <f aca="false">H477+I477+J477+K477</f>
        <v>40</v>
      </c>
      <c r="M477" s="16" t="str">
        <f aca="false">IF(L477&gt;=60,"High",IF(L477&gt;=30,"Medium","Low"))</f>
        <v>Medium</v>
      </c>
    </row>
    <row r="478" customFormat="false" ht="15" hidden="false" customHeight="false" outlineLevel="0" collapsed="false">
      <c r="A478" s="16" t="str">
        <f aca="false">Payment_Log_AP!A475</f>
        <v>PAY40474</v>
      </c>
      <c r="B478" s="16" t="str">
        <f aca="false">Payment_Log_AP!C475</f>
        <v>V1010</v>
      </c>
      <c r="C478" s="16" t="str">
        <f aca="false">IFERROR(INDEX(Vendor_Master!$B$2:$B$41,MATCH(B478,Vendor_Master!$A$2:$A$41,0)),"Unknown Vendor")</f>
        <v>Martinez, Nielsen and Miller</v>
      </c>
      <c r="D478" s="16" t="str">
        <f aca="false">IFERROR(INDEX(Vendor_Master!$D$2:$D$41,MATCH(B478,Vendor_Master!$A$2:$A$41,0)),"Unknown")</f>
        <v>India</v>
      </c>
      <c r="E478" s="17" t="n">
        <f aca="false">IFERROR(INDEX(Vendor_Master!$E$2:$E$41,MATCH(B478,Vendor_Master!$A$2:$A$41,0)),"")</f>
        <v>45715</v>
      </c>
      <c r="F478" s="17" t="n">
        <f aca="false">Payment_Log_AP!D475</f>
        <v>46176</v>
      </c>
      <c r="G478" s="18" t="n">
        <f aca="false">Payment_Log_AP!E475</f>
        <v>3298.58</v>
      </c>
      <c r="H478" s="16" t="n">
        <f aca="false">IF(G478&gt;=Assumptions!$B$7,40,IF(G478&gt;=Assumptions!$B$8,20,0))</f>
        <v>0</v>
      </c>
      <c r="I478" s="16" t="n">
        <f aca="false">IF(MOD(G478,500)=0,20,IF(MOD(G478,100)=0,10,0))</f>
        <v>0</v>
      </c>
      <c r="J478" s="16" t="n">
        <f aca="false">IF(AND(E478&lt;&gt;"",F478-E478&lt;=Assumptions!$B$9),25,0)</f>
        <v>0</v>
      </c>
      <c r="K478" s="16" t="n">
        <f aca="false">IF(ISNUMBER(SEARCH(D478,Assumptions!$B$10)),15,0)</f>
        <v>15</v>
      </c>
      <c r="L478" s="16" t="n">
        <f aca="false">H478+I478+J478+K478</f>
        <v>15</v>
      </c>
      <c r="M478" s="16" t="str">
        <f aca="false">IF(L478&gt;=60,"High",IF(L478&gt;=30,"Medium","Low"))</f>
        <v>Low</v>
      </c>
    </row>
    <row r="479" customFormat="false" ht="15" hidden="false" customHeight="false" outlineLevel="0" collapsed="false">
      <c r="A479" s="16" t="str">
        <f aca="false">Payment_Log_AP!A476</f>
        <v>PAY40475</v>
      </c>
      <c r="B479" s="16" t="str">
        <f aca="false">Payment_Log_AP!C476</f>
        <v>V1031</v>
      </c>
      <c r="C479" s="16" t="str">
        <f aca="false">IFERROR(INDEX(Vendor_Master!$B$2:$B$41,MATCH(B479,Vendor_Master!$A$2:$A$41,0)),"Unknown Vendor")</f>
        <v>Harrell LLC</v>
      </c>
      <c r="D479" s="16" t="str">
        <f aca="false">IFERROR(INDEX(Vendor_Master!$D$2:$D$41,MATCH(B479,Vendor_Master!$A$2:$A$41,0)),"Unknown")</f>
        <v>Canada</v>
      </c>
      <c r="E479" s="17" t="n">
        <f aca="false">IFERROR(INDEX(Vendor_Master!$E$2:$E$41,MATCH(B479,Vendor_Master!$A$2:$A$41,0)),"")</f>
        <v>45364</v>
      </c>
      <c r="F479" s="17" t="n">
        <f aca="false">Payment_Log_AP!D476</f>
        <v>46018</v>
      </c>
      <c r="G479" s="18" t="n">
        <f aca="false">Payment_Log_AP!E476</f>
        <v>6459.27</v>
      </c>
      <c r="H479" s="16" t="n">
        <f aca="false">IF(G479&gt;=Assumptions!$B$7,40,IF(G479&gt;=Assumptions!$B$8,20,0))</f>
        <v>20</v>
      </c>
      <c r="I479" s="16" t="n">
        <f aca="false">IF(MOD(G479,500)=0,20,IF(MOD(G479,100)=0,10,0))</f>
        <v>0</v>
      </c>
      <c r="J479" s="16" t="n">
        <f aca="false">IF(AND(E479&lt;&gt;"",F479-E479&lt;=Assumptions!$B$9),25,0)</f>
        <v>0</v>
      </c>
      <c r="K479" s="16" t="n">
        <f aca="false">IF(ISNUMBER(SEARCH(D479,Assumptions!$B$10)),15,0)</f>
        <v>0</v>
      </c>
      <c r="L479" s="16" t="n">
        <f aca="false">H479+I479+J479+K479</f>
        <v>20</v>
      </c>
      <c r="M479" s="16" t="str">
        <f aca="false">IF(L479&gt;=60,"High",IF(L479&gt;=30,"Medium","Low"))</f>
        <v>Low</v>
      </c>
    </row>
    <row r="480" customFormat="false" ht="15" hidden="false" customHeight="false" outlineLevel="0" collapsed="false">
      <c r="A480" s="16" t="str">
        <f aca="false">Payment_Log_AP!A477</f>
        <v>PAY40476</v>
      </c>
      <c r="B480" s="16" t="str">
        <f aca="false">Payment_Log_AP!C477</f>
        <v>V1012</v>
      </c>
      <c r="C480" s="16" t="str">
        <f aca="false">IFERROR(INDEX(Vendor_Master!$B$2:$B$41,MATCH(B480,Vendor_Master!$A$2:$A$41,0)),"Unknown Vendor")</f>
        <v>Stanley LLC</v>
      </c>
      <c r="D480" s="16" t="str">
        <f aca="false">IFERROR(INDEX(Vendor_Master!$D$2:$D$41,MATCH(B480,Vendor_Master!$A$2:$A$41,0)),"Unknown")</f>
        <v>India</v>
      </c>
      <c r="E480" s="17" t="n">
        <f aca="false">IFERROR(INDEX(Vendor_Master!$E$2:$E$41,MATCH(B480,Vendor_Master!$A$2:$A$41,0)),"")</f>
        <v>45675</v>
      </c>
      <c r="F480" s="17" t="n">
        <f aca="false">Payment_Log_AP!D477</f>
        <v>45823</v>
      </c>
      <c r="G480" s="18" t="n">
        <f aca="false">Payment_Log_AP!E477</f>
        <v>622.67</v>
      </c>
      <c r="H480" s="16" t="n">
        <f aca="false">IF(G480&gt;=Assumptions!$B$7,40,IF(G480&gt;=Assumptions!$B$8,20,0))</f>
        <v>0</v>
      </c>
      <c r="I480" s="16" t="n">
        <f aca="false">IF(MOD(G480,500)=0,20,IF(MOD(G480,100)=0,10,0))</f>
        <v>0</v>
      </c>
      <c r="J480" s="16" t="n">
        <f aca="false">IF(AND(E480&lt;&gt;"",F480-E480&lt;=Assumptions!$B$9),25,0)</f>
        <v>25</v>
      </c>
      <c r="K480" s="16" t="n">
        <f aca="false">IF(ISNUMBER(SEARCH(D480,Assumptions!$B$10)),15,0)</f>
        <v>15</v>
      </c>
      <c r="L480" s="16" t="n">
        <f aca="false">H480+I480+J480+K480</f>
        <v>40</v>
      </c>
      <c r="M480" s="16" t="str">
        <f aca="false">IF(L480&gt;=60,"High",IF(L480&gt;=30,"Medium","Low"))</f>
        <v>Medium</v>
      </c>
    </row>
    <row r="481" customFormat="false" ht="15" hidden="false" customHeight="false" outlineLevel="0" collapsed="false">
      <c r="A481" s="16" t="str">
        <f aca="false">Payment_Log_AP!A478</f>
        <v>PAY40477</v>
      </c>
      <c r="B481" s="16" t="str">
        <f aca="false">Payment_Log_AP!C478</f>
        <v>V1005</v>
      </c>
      <c r="C481" s="16" t="str">
        <f aca="false">IFERROR(INDEX(Vendor_Master!$B$2:$B$41,MATCH(B481,Vendor_Master!$A$2:$A$41,0)),"Unknown Vendor")</f>
        <v>Cole LLC</v>
      </c>
      <c r="D481" s="16" t="str">
        <f aca="false">IFERROR(INDEX(Vendor_Master!$D$2:$D$41,MATCH(B481,Vendor_Master!$A$2:$A$41,0)),"Unknown")</f>
        <v>UK</v>
      </c>
      <c r="E481" s="17" t="n">
        <f aca="false">IFERROR(INDEX(Vendor_Master!$E$2:$E$41,MATCH(B481,Vendor_Master!$A$2:$A$41,0)),"")</f>
        <v>45423</v>
      </c>
      <c r="F481" s="17" t="n">
        <f aca="false">Payment_Log_AP!D478</f>
        <v>45752</v>
      </c>
      <c r="G481" s="18" t="n">
        <f aca="false">Payment_Log_AP!E478</f>
        <v>4894.13</v>
      </c>
      <c r="H481" s="16" t="n">
        <f aca="false">IF(G481&gt;=Assumptions!$B$7,40,IF(G481&gt;=Assumptions!$B$8,20,0))</f>
        <v>0</v>
      </c>
      <c r="I481" s="16" t="n">
        <f aca="false">IF(MOD(G481,500)=0,20,IF(MOD(G481,100)=0,10,0))</f>
        <v>0</v>
      </c>
      <c r="J481" s="16" t="n">
        <f aca="false">IF(AND(E481&lt;&gt;"",F481-E481&lt;=Assumptions!$B$9),25,0)</f>
        <v>0</v>
      </c>
      <c r="K481" s="16" t="n">
        <f aca="false">IF(ISNUMBER(SEARCH(D481,Assumptions!$B$10)),15,0)</f>
        <v>0</v>
      </c>
      <c r="L481" s="16" t="n">
        <f aca="false">H481+I481+J481+K481</f>
        <v>0</v>
      </c>
      <c r="M481" s="16" t="str">
        <f aca="false">IF(L481&gt;=60,"High",IF(L481&gt;=30,"Medium","Low"))</f>
        <v>Low</v>
      </c>
    </row>
    <row r="482" customFormat="false" ht="15" hidden="false" customHeight="false" outlineLevel="0" collapsed="false">
      <c r="A482" s="16" t="str">
        <f aca="false">Payment_Log_AP!A479</f>
        <v>PAY40478</v>
      </c>
      <c r="B482" s="16" t="str">
        <f aca="false">Payment_Log_AP!C479</f>
        <v>V1024</v>
      </c>
      <c r="C482" s="16" t="str">
        <f aca="false">IFERROR(INDEX(Vendor_Master!$B$2:$B$41,MATCH(B482,Vendor_Master!$A$2:$A$41,0)),"Unknown Vendor")</f>
        <v>Campos Inc</v>
      </c>
      <c r="D482" s="16" t="str">
        <f aca="false">IFERROR(INDEX(Vendor_Master!$D$2:$D$41,MATCH(B482,Vendor_Master!$A$2:$A$41,0)),"Unknown")</f>
        <v>USA</v>
      </c>
      <c r="E482" s="17" t="n">
        <f aca="false">IFERROR(INDEX(Vendor_Master!$E$2:$E$41,MATCH(B482,Vendor_Master!$A$2:$A$41,0)),"")</f>
        <v>45367</v>
      </c>
      <c r="F482" s="17" t="n">
        <f aca="false">Payment_Log_AP!D479</f>
        <v>45946</v>
      </c>
      <c r="G482" s="18" t="n">
        <f aca="false">Payment_Log_AP!E479</f>
        <v>640.41</v>
      </c>
      <c r="H482" s="16" t="n">
        <f aca="false">IF(G482&gt;=Assumptions!$B$7,40,IF(G482&gt;=Assumptions!$B$8,20,0))</f>
        <v>0</v>
      </c>
      <c r="I482" s="16" t="n">
        <f aca="false">IF(MOD(G482,500)=0,20,IF(MOD(G482,100)=0,10,0))</f>
        <v>0</v>
      </c>
      <c r="J482" s="16" t="n">
        <f aca="false">IF(AND(E482&lt;&gt;"",F482-E482&lt;=Assumptions!$B$9),25,0)</f>
        <v>0</v>
      </c>
      <c r="K482" s="16" t="n">
        <f aca="false">IF(ISNUMBER(SEARCH(D482,Assumptions!$B$10)),15,0)</f>
        <v>0</v>
      </c>
      <c r="L482" s="16" t="n">
        <f aca="false">H482+I482+J482+K482</f>
        <v>0</v>
      </c>
      <c r="M482" s="16" t="str">
        <f aca="false">IF(L482&gt;=60,"High",IF(L482&gt;=30,"Medium","Low"))</f>
        <v>Low</v>
      </c>
    </row>
    <row r="483" customFormat="false" ht="15" hidden="false" customHeight="false" outlineLevel="0" collapsed="false">
      <c r="A483" s="16" t="str">
        <f aca="false">Payment_Log_AP!A480</f>
        <v>PAY40479</v>
      </c>
      <c r="B483" s="16" t="str">
        <f aca="false">Payment_Log_AP!C480</f>
        <v>V1016</v>
      </c>
      <c r="C483" s="16" t="str">
        <f aca="false">IFERROR(INDEX(Vendor_Master!$B$2:$B$41,MATCH(B483,Vendor_Master!$A$2:$A$41,0)),"Unknown Vendor")</f>
        <v>Sanchez, Ford and Nelson</v>
      </c>
      <c r="D483" s="16" t="str">
        <f aca="false">IFERROR(INDEX(Vendor_Master!$D$2:$D$41,MATCH(B483,Vendor_Master!$A$2:$A$41,0)),"Unknown")</f>
        <v>India</v>
      </c>
      <c r="E483" s="17" t="n">
        <f aca="false">IFERROR(INDEX(Vendor_Master!$E$2:$E$41,MATCH(B483,Vendor_Master!$A$2:$A$41,0)),"")</f>
        <v>44832</v>
      </c>
      <c r="F483" s="17" t="n">
        <f aca="false">Payment_Log_AP!D480</f>
        <v>45816</v>
      </c>
      <c r="G483" s="18" t="n">
        <f aca="false">Payment_Log_AP!E480</f>
        <v>6607.07</v>
      </c>
      <c r="H483" s="16" t="n">
        <f aca="false">IF(G483&gt;=Assumptions!$B$7,40,IF(G483&gt;=Assumptions!$B$8,20,0))</f>
        <v>20</v>
      </c>
      <c r="I483" s="16" t="n">
        <f aca="false">IF(MOD(G483,500)=0,20,IF(MOD(G483,100)=0,10,0))</f>
        <v>0</v>
      </c>
      <c r="J483" s="16" t="n">
        <f aca="false">IF(AND(E483&lt;&gt;"",F483-E483&lt;=Assumptions!$B$9),25,0)</f>
        <v>0</v>
      </c>
      <c r="K483" s="16" t="n">
        <f aca="false">IF(ISNUMBER(SEARCH(D483,Assumptions!$B$10)),15,0)</f>
        <v>15</v>
      </c>
      <c r="L483" s="16" t="n">
        <f aca="false">H483+I483+J483+K483</f>
        <v>35</v>
      </c>
      <c r="M483" s="16" t="str">
        <f aca="false">IF(L483&gt;=60,"High",IF(L483&gt;=30,"Medium","Low"))</f>
        <v>Medium</v>
      </c>
    </row>
    <row r="484" customFormat="false" ht="15" hidden="false" customHeight="false" outlineLevel="0" collapsed="false">
      <c r="A484" s="16" t="str">
        <f aca="false">Payment_Log_AP!A481</f>
        <v>PAY40480</v>
      </c>
      <c r="B484" s="16" t="str">
        <f aca="false">Payment_Log_AP!C481</f>
        <v>V1028</v>
      </c>
      <c r="C484" s="16" t="str">
        <f aca="false">IFERROR(INDEX(Vendor_Master!$B$2:$B$41,MATCH(B484,Vendor_Master!$A$2:$A$41,0)),"Unknown Vendor")</f>
        <v>Potter, Mack and Peterson</v>
      </c>
      <c r="D484" s="16" t="str">
        <f aca="false">IFERROR(INDEX(Vendor_Master!$D$2:$D$41,MATCH(B484,Vendor_Master!$A$2:$A$41,0)),"Unknown")</f>
        <v>UK</v>
      </c>
      <c r="E484" s="17" t="n">
        <f aca="false">IFERROR(INDEX(Vendor_Master!$E$2:$E$41,MATCH(B484,Vendor_Master!$A$2:$A$41,0)),"")</f>
        <v>45639</v>
      </c>
      <c r="F484" s="17" t="n">
        <f aca="false">Payment_Log_AP!D481</f>
        <v>45845</v>
      </c>
      <c r="G484" s="18" t="n">
        <f aca="false">Payment_Log_AP!E481</f>
        <v>647.86</v>
      </c>
      <c r="H484" s="16" t="n">
        <f aca="false">IF(G484&gt;=Assumptions!$B$7,40,IF(G484&gt;=Assumptions!$B$8,20,0))</f>
        <v>0</v>
      </c>
      <c r="I484" s="16" t="n">
        <f aca="false">IF(MOD(G484,500)=0,20,IF(MOD(G484,100)=0,10,0))</f>
        <v>0</v>
      </c>
      <c r="J484" s="16" t="n">
        <f aca="false">IF(AND(E484&lt;&gt;"",F484-E484&lt;=Assumptions!$B$9),25,0)</f>
        <v>0</v>
      </c>
      <c r="K484" s="16" t="n">
        <f aca="false">IF(ISNUMBER(SEARCH(D484,Assumptions!$B$10)),15,0)</f>
        <v>0</v>
      </c>
      <c r="L484" s="16" t="n">
        <f aca="false">H484+I484+J484+K484</f>
        <v>0</v>
      </c>
      <c r="M484" s="16" t="str">
        <f aca="false">IF(L484&gt;=60,"High",IF(L484&gt;=30,"Medium","Low"))</f>
        <v>Low</v>
      </c>
    </row>
    <row r="485" customFormat="false" ht="15" hidden="false" customHeight="false" outlineLevel="0" collapsed="false">
      <c r="A485" s="16" t="str">
        <f aca="false">Payment_Log_AP!A482</f>
        <v>PAY40481</v>
      </c>
      <c r="B485" s="16" t="str">
        <f aca="false">Payment_Log_AP!C482</f>
        <v>V1022</v>
      </c>
      <c r="C485" s="16" t="str">
        <f aca="false">IFERROR(INDEX(Vendor_Master!$B$2:$B$41,MATCH(B485,Vendor_Master!$A$2:$A$41,0)),"Unknown Vendor")</f>
        <v>Burgess-Patterson</v>
      </c>
      <c r="D485" s="16" t="str">
        <f aca="false">IFERROR(INDEX(Vendor_Master!$D$2:$D$41,MATCH(B485,Vendor_Master!$A$2:$A$41,0)),"Unknown")</f>
        <v>Germany</v>
      </c>
      <c r="E485" s="17" t="n">
        <f aca="false">IFERROR(INDEX(Vendor_Master!$E$2:$E$41,MATCH(B485,Vendor_Master!$A$2:$A$41,0)),"")</f>
        <v>45449</v>
      </c>
      <c r="F485" s="17" t="n">
        <f aca="false">Payment_Log_AP!D482</f>
        <v>45717</v>
      </c>
      <c r="G485" s="18" t="n">
        <f aca="false">Payment_Log_AP!E482</f>
        <v>517.06</v>
      </c>
      <c r="H485" s="16" t="n">
        <f aca="false">IF(G485&gt;=Assumptions!$B$7,40,IF(G485&gt;=Assumptions!$B$8,20,0))</f>
        <v>0</v>
      </c>
      <c r="I485" s="16" t="n">
        <f aca="false">IF(MOD(G485,500)=0,20,IF(MOD(G485,100)=0,10,0))</f>
        <v>0</v>
      </c>
      <c r="J485" s="16" t="n">
        <f aca="false">IF(AND(E485&lt;&gt;"",F485-E485&lt;=Assumptions!$B$9),25,0)</f>
        <v>0</v>
      </c>
      <c r="K485" s="16" t="n">
        <f aca="false">IF(ISNUMBER(SEARCH(D485,Assumptions!$B$10)),15,0)</f>
        <v>0</v>
      </c>
      <c r="L485" s="16" t="n">
        <f aca="false">H485+I485+J485+K485</f>
        <v>0</v>
      </c>
      <c r="M485" s="16" t="str">
        <f aca="false">IF(L485&gt;=60,"High",IF(L485&gt;=30,"Medium","Low"))</f>
        <v>Low</v>
      </c>
    </row>
    <row r="486" customFormat="false" ht="15" hidden="false" customHeight="false" outlineLevel="0" collapsed="false">
      <c r="A486" s="16" t="str">
        <f aca="false">Payment_Log_AP!A483</f>
        <v>PAY40482</v>
      </c>
      <c r="B486" s="16" t="str">
        <f aca="false">Payment_Log_AP!C483</f>
        <v>V1011</v>
      </c>
      <c r="C486" s="16" t="str">
        <f aca="false">IFERROR(INDEX(Vendor_Master!$B$2:$B$41,MATCH(B486,Vendor_Master!$A$2:$A$41,0)),"Unknown Vendor")</f>
        <v>Montgomery, Hensley and Ray</v>
      </c>
      <c r="D486" s="16" t="str">
        <f aca="false">IFERROR(INDEX(Vendor_Master!$D$2:$D$41,MATCH(B486,Vendor_Master!$A$2:$A$41,0)),"Unknown")</f>
        <v>USA</v>
      </c>
      <c r="E486" s="17" t="n">
        <f aca="false">IFERROR(INDEX(Vendor_Master!$E$2:$E$41,MATCH(B486,Vendor_Master!$A$2:$A$41,0)),"")</f>
        <v>45025</v>
      </c>
      <c r="F486" s="17" t="n">
        <f aca="false">Payment_Log_AP!D483</f>
        <v>46111</v>
      </c>
      <c r="G486" s="18" t="n">
        <f aca="false">Payment_Log_AP!E483</f>
        <v>316.1</v>
      </c>
      <c r="H486" s="16" t="n">
        <f aca="false">IF(G486&gt;=Assumptions!$B$7,40,IF(G486&gt;=Assumptions!$B$8,20,0))</f>
        <v>0</v>
      </c>
      <c r="I486" s="16" t="n">
        <f aca="false">IF(MOD(G486,500)=0,20,IF(MOD(G486,100)=0,10,0))</f>
        <v>0</v>
      </c>
      <c r="J486" s="16" t="n">
        <f aca="false">IF(AND(E486&lt;&gt;"",F486-E486&lt;=Assumptions!$B$9),25,0)</f>
        <v>0</v>
      </c>
      <c r="K486" s="16" t="n">
        <f aca="false">IF(ISNUMBER(SEARCH(D486,Assumptions!$B$10)),15,0)</f>
        <v>0</v>
      </c>
      <c r="L486" s="16" t="n">
        <f aca="false">H486+I486+J486+K486</f>
        <v>0</v>
      </c>
      <c r="M486" s="16" t="str">
        <f aca="false">IF(L486&gt;=60,"High",IF(L486&gt;=30,"Medium","Low"))</f>
        <v>Low</v>
      </c>
    </row>
    <row r="487" customFormat="false" ht="15" hidden="false" customHeight="false" outlineLevel="0" collapsed="false">
      <c r="A487" s="16" t="str">
        <f aca="false">Payment_Log_AP!A484</f>
        <v>PAY40483</v>
      </c>
      <c r="B487" s="16" t="str">
        <f aca="false">Payment_Log_AP!C484</f>
        <v>V1034</v>
      </c>
      <c r="C487" s="16" t="str">
        <f aca="false">IFERROR(INDEX(Vendor_Master!$B$2:$B$41,MATCH(B487,Vendor_Master!$A$2:$A$41,0)),"Unknown Vendor")</f>
        <v>Koch-Decker</v>
      </c>
      <c r="D487" s="16" t="str">
        <f aca="false">IFERROR(INDEX(Vendor_Master!$D$2:$D$41,MATCH(B487,Vendor_Master!$A$2:$A$41,0)),"Unknown")</f>
        <v>Germany</v>
      </c>
      <c r="E487" s="17" t="n">
        <f aca="false">IFERROR(INDEX(Vendor_Master!$E$2:$E$41,MATCH(B487,Vendor_Master!$A$2:$A$41,0)),"")</f>
        <v>44738</v>
      </c>
      <c r="F487" s="17" t="n">
        <f aca="false">Payment_Log_AP!D484</f>
        <v>46190</v>
      </c>
      <c r="G487" s="18" t="n">
        <f aca="false">Payment_Log_AP!E484</f>
        <v>4436.8</v>
      </c>
      <c r="H487" s="16" t="n">
        <f aca="false">IF(G487&gt;=Assumptions!$B$7,40,IF(G487&gt;=Assumptions!$B$8,20,0))</f>
        <v>0</v>
      </c>
      <c r="I487" s="16" t="n">
        <f aca="false">IF(MOD(G487,500)=0,20,IF(MOD(G487,100)=0,10,0))</f>
        <v>0</v>
      </c>
      <c r="J487" s="16" t="n">
        <f aca="false">IF(AND(E487&lt;&gt;"",F487-E487&lt;=Assumptions!$B$9),25,0)</f>
        <v>0</v>
      </c>
      <c r="K487" s="16" t="n">
        <f aca="false">IF(ISNUMBER(SEARCH(D487,Assumptions!$B$10)),15,0)</f>
        <v>0</v>
      </c>
      <c r="L487" s="16" t="n">
        <f aca="false">H487+I487+J487+K487</f>
        <v>0</v>
      </c>
      <c r="M487" s="16" t="str">
        <f aca="false">IF(L487&gt;=60,"High",IF(L487&gt;=30,"Medium","Low"))</f>
        <v>Low</v>
      </c>
    </row>
    <row r="488" customFormat="false" ht="15" hidden="false" customHeight="false" outlineLevel="0" collapsed="false">
      <c r="A488" s="16" t="str">
        <f aca="false">Payment_Log_AP!A485</f>
        <v>PAY40484</v>
      </c>
      <c r="B488" s="16" t="str">
        <f aca="false">Payment_Log_AP!C485</f>
        <v>V1026</v>
      </c>
      <c r="C488" s="16" t="str">
        <f aca="false">IFERROR(INDEX(Vendor_Master!$B$2:$B$41,MATCH(B488,Vendor_Master!$A$2:$A$41,0)),"Unknown Vendor")</f>
        <v>James-Ferrell</v>
      </c>
      <c r="D488" s="16" t="str">
        <f aca="false">IFERROR(INDEX(Vendor_Master!$D$2:$D$41,MATCH(B488,Vendor_Master!$A$2:$A$41,0)),"Unknown")</f>
        <v>UAE</v>
      </c>
      <c r="E488" s="17" t="n">
        <f aca="false">IFERROR(INDEX(Vendor_Master!$E$2:$E$41,MATCH(B488,Vendor_Master!$A$2:$A$41,0)),"")</f>
        <v>45504</v>
      </c>
      <c r="F488" s="17" t="n">
        <f aca="false">Payment_Log_AP!D485</f>
        <v>46054</v>
      </c>
      <c r="G488" s="18" t="n">
        <f aca="false">Payment_Log_AP!E485</f>
        <v>6594.42</v>
      </c>
      <c r="H488" s="16" t="n">
        <f aca="false">IF(G488&gt;=Assumptions!$B$7,40,IF(G488&gt;=Assumptions!$B$8,20,0))</f>
        <v>20</v>
      </c>
      <c r="I488" s="16" t="n">
        <f aca="false">IF(MOD(G488,500)=0,20,IF(MOD(G488,100)=0,10,0))</f>
        <v>0</v>
      </c>
      <c r="J488" s="16" t="n">
        <f aca="false">IF(AND(E488&lt;&gt;"",F488-E488&lt;=Assumptions!$B$9),25,0)</f>
        <v>0</v>
      </c>
      <c r="K488" s="16" t="n">
        <f aca="false">IF(ISNUMBER(SEARCH(D488,Assumptions!$B$10)),15,0)</f>
        <v>15</v>
      </c>
      <c r="L488" s="16" t="n">
        <f aca="false">H488+I488+J488+K488</f>
        <v>35</v>
      </c>
      <c r="M488" s="16" t="str">
        <f aca="false">IF(L488&gt;=60,"High",IF(L488&gt;=30,"Medium","Low"))</f>
        <v>Medium</v>
      </c>
    </row>
    <row r="489" customFormat="false" ht="15" hidden="false" customHeight="false" outlineLevel="0" collapsed="false">
      <c r="A489" s="16" t="str">
        <f aca="false">Payment_Log_AP!A486</f>
        <v>PAY40485</v>
      </c>
      <c r="B489" s="16" t="str">
        <f aca="false">Payment_Log_AP!C486</f>
        <v>V1027</v>
      </c>
      <c r="C489" s="16" t="str">
        <f aca="false">IFERROR(INDEX(Vendor_Master!$B$2:$B$41,MATCH(B489,Vendor_Master!$A$2:$A$41,0)),"Unknown Vendor")</f>
        <v>Valencia, Smith and Le</v>
      </c>
      <c r="D489" s="16" t="str">
        <f aca="false">IFERROR(INDEX(Vendor_Master!$D$2:$D$41,MATCH(B489,Vendor_Master!$A$2:$A$41,0)),"Unknown")</f>
        <v>Germany</v>
      </c>
      <c r="E489" s="17" t="n">
        <f aca="false">IFERROR(INDEX(Vendor_Master!$E$2:$E$41,MATCH(B489,Vendor_Master!$A$2:$A$41,0)),"")</f>
        <v>45398</v>
      </c>
      <c r="F489" s="17" t="n">
        <f aca="false">Payment_Log_AP!D486</f>
        <v>45780</v>
      </c>
      <c r="G489" s="18" t="n">
        <f aca="false">Payment_Log_AP!E486</f>
        <v>836.54</v>
      </c>
      <c r="H489" s="16" t="n">
        <f aca="false">IF(G489&gt;=Assumptions!$B$7,40,IF(G489&gt;=Assumptions!$B$8,20,0))</f>
        <v>0</v>
      </c>
      <c r="I489" s="16" t="n">
        <f aca="false">IF(MOD(G489,500)=0,20,IF(MOD(G489,100)=0,10,0))</f>
        <v>0</v>
      </c>
      <c r="J489" s="16" t="n">
        <f aca="false">IF(AND(E489&lt;&gt;"",F489-E489&lt;=Assumptions!$B$9),25,0)</f>
        <v>0</v>
      </c>
      <c r="K489" s="16" t="n">
        <f aca="false">IF(ISNUMBER(SEARCH(D489,Assumptions!$B$10)),15,0)</f>
        <v>0</v>
      </c>
      <c r="L489" s="16" t="n">
        <f aca="false">H489+I489+J489+K489</f>
        <v>0</v>
      </c>
      <c r="M489" s="16" t="str">
        <f aca="false">IF(L489&gt;=60,"High",IF(L489&gt;=30,"Medium","Low"))</f>
        <v>Low</v>
      </c>
    </row>
    <row r="490" customFormat="false" ht="15" hidden="false" customHeight="false" outlineLevel="0" collapsed="false">
      <c r="A490" s="16" t="str">
        <f aca="false">Payment_Log_AP!A487</f>
        <v>PAY40486</v>
      </c>
      <c r="B490" s="16" t="str">
        <f aca="false">Payment_Log_AP!C487</f>
        <v>V1020</v>
      </c>
      <c r="C490" s="16" t="str">
        <f aca="false">IFERROR(INDEX(Vendor_Master!$B$2:$B$41,MATCH(B490,Vendor_Master!$A$2:$A$41,0)),"Unknown Vendor")</f>
        <v>Lewis-Porter</v>
      </c>
      <c r="D490" s="16" t="str">
        <f aca="false">IFERROR(INDEX(Vendor_Master!$D$2:$D$41,MATCH(B490,Vendor_Master!$A$2:$A$41,0)),"Unknown")</f>
        <v>UAE</v>
      </c>
      <c r="E490" s="17" t="n">
        <f aca="false">IFERROR(INDEX(Vendor_Master!$E$2:$E$41,MATCH(B490,Vendor_Master!$A$2:$A$41,0)),"")</f>
        <v>45947</v>
      </c>
      <c r="F490" s="17" t="n">
        <f aca="false">Payment_Log_AP!D487</f>
        <v>45953</v>
      </c>
      <c r="G490" s="18" t="n">
        <f aca="false">Payment_Log_AP!E487</f>
        <v>1170.71</v>
      </c>
      <c r="H490" s="16" t="n">
        <f aca="false">IF(G490&gt;=Assumptions!$B$7,40,IF(G490&gt;=Assumptions!$B$8,20,0))</f>
        <v>0</v>
      </c>
      <c r="I490" s="16" t="n">
        <f aca="false">IF(MOD(G490,500)=0,20,IF(MOD(G490,100)=0,10,0))</f>
        <v>0</v>
      </c>
      <c r="J490" s="16" t="n">
        <f aca="false">IF(AND(E490&lt;&gt;"",F490-E490&lt;=Assumptions!$B$9),25,0)</f>
        <v>25</v>
      </c>
      <c r="K490" s="16" t="n">
        <f aca="false">IF(ISNUMBER(SEARCH(D490,Assumptions!$B$10)),15,0)</f>
        <v>15</v>
      </c>
      <c r="L490" s="16" t="n">
        <f aca="false">H490+I490+J490+K490</f>
        <v>40</v>
      </c>
      <c r="M490" s="16" t="str">
        <f aca="false">IF(L490&gt;=60,"High",IF(L490&gt;=30,"Medium","Low"))</f>
        <v>Medium</v>
      </c>
    </row>
    <row r="491" customFormat="false" ht="15" hidden="false" customHeight="false" outlineLevel="0" collapsed="false">
      <c r="A491" s="16" t="str">
        <f aca="false">Payment_Log_AP!A488</f>
        <v>PAY40487</v>
      </c>
      <c r="B491" s="16" t="str">
        <f aca="false">Payment_Log_AP!C488</f>
        <v>V1027</v>
      </c>
      <c r="C491" s="16" t="str">
        <f aca="false">IFERROR(INDEX(Vendor_Master!$B$2:$B$41,MATCH(B491,Vendor_Master!$A$2:$A$41,0)),"Unknown Vendor")</f>
        <v>Valencia, Smith and Le</v>
      </c>
      <c r="D491" s="16" t="str">
        <f aca="false">IFERROR(INDEX(Vendor_Master!$D$2:$D$41,MATCH(B491,Vendor_Master!$A$2:$A$41,0)),"Unknown")</f>
        <v>Germany</v>
      </c>
      <c r="E491" s="17" t="n">
        <f aca="false">IFERROR(INDEX(Vendor_Master!$E$2:$E$41,MATCH(B491,Vendor_Master!$A$2:$A$41,0)),"")</f>
        <v>45398</v>
      </c>
      <c r="F491" s="17" t="n">
        <f aca="false">Payment_Log_AP!D488</f>
        <v>45879</v>
      </c>
      <c r="G491" s="18" t="n">
        <f aca="false">Payment_Log_AP!E488</f>
        <v>4155.49</v>
      </c>
      <c r="H491" s="16" t="n">
        <f aca="false">IF(G491&gt;=Assumptions!$B$7,40,IF(G491&gt;=Assumptions!$B$8,20,0))</f>
        <v>0</v>
      </c>
      <c r="I491" s="16" t="n">
        <f aca="false">IF(MOD(G491,500)=0,20,IF(MOD(G491,100)=0,10,0))</f>
        <v>0</v>
      </c>
      <c r="J491" s="16" t="n">
        <f aca="false">IF(AND(E491&lt;&gt;"",F491-E491&lt;=Assumptions!$B$9),25,0)</f>
        <v>0</v>
      </c>
      <c r="K491" s="16" t="n">
        <f aca="false">IF(ISNUMBER(SEARCH(D491,Assumptions!$B$10)),15,0)</f>
        <v>0</v>
      </c>
      <c r="L491" s="16" t="n">
        <f aca="false">H491+I491+J491+K491</f>
        <v>0</v>
      </c>
      <c r="M491" s="16" t="str">
        <f aca="false">IF(L491&gt;=60,"High",IF(L491&gt;=30,"Medium","Low"))</f>
        <v>Low</v>
      </c>
    </row>
    <row r="492" customFormat="false" ht="15" hidden="false" customHeight="false" outlineLevel="0" collapsed="false">
      <c r="A492" s="16" t="str">
        <f aca="false">Payment_Log_AP!A489</f>
        <v>PAY40488</v>
      </c>
      <c r="B492" s="16" t="str">
        <f aca="false">Payment_Log_AP!C489</f>
        <v>V1028</v>
      </c>
      <c r="C492" s="16" t="str">
        <f aca="false">IFERROR(INDEX(Vendor_Master!$B$2:$B$41,MATCH(B492,Vendor_Master!$A$2:$A$41,0)),"Unknown Vendor")</f>
        <v>Potter, Mack and Peterson</v>
      </c>
      <c r="D492" s="16" t="str">
        <f aca="false">IFERROR(INDEX(Vendor_Master!$D$2:$D$41,MATCH(B492,Vendor_Master!$A$2:$A$41,0)),"Unknown")</f>
        <v>UK</v>
      </c>
      <c r="E492" s="17" t="n">
        <f aca="false">IFERROR(INDEX(Vendor_Master!$E$2:$E$41,MATCH(B492,Vendor_Master!$A$2:$A$41,0)),"")</f>
        <v>45639</v>
      </c>
      <c r="F492" s="17" t="n">
        <f aca="false">Payment_Log_AP!D489</f>
        <v>45987</v>
      </c>
      <c r="G492" s="18" t="n">
        <f aca="false">Payment_Log_AP!E489</f>
        <v>813.95</v>
      </c>
      <c r="H492" s="16" t="n">
        <f aca="false">IF(G492&gt;=Assumptions!$B$7,40,IF(G492&gt;=Assumptions!$B$8,20,0))</f>
        <v>0</v>
      </c>
      <c r="I492" s="16" t="n">
        <f aca="false">IF(MOD(G492,500)=0,20,IF(MOD(G492,100)=0,10,0))</f>
        <v>0</v>
      </c>
      <c r="J492" s="16" t="n">
        <f aca="false">IF(AND(E492&lt;&gt;"",F492-E492&lt;=Assumptions!$B$9),25,0)</f>
        <v>0</v>
      </c>
      <c r="K492" s="16" t="n">
        <f aca="false">IF(ISNUMBER(SEARCH(D492,Assumptions!$B$10)),15,0)</f>
        <v>0</v>
      </c>
      <c r="L492" s="16" t="n">
        <f aca="false">H492+I492+J492+K492</f>
        <v>0</v>
      </c>
      <c r="M492" s="16" t="str">
        <f aca="false">IF(L492&gt;=60,"High",IF(L492&gt;=30,"Medium","Low"))</f>
        <v>Low</v>
      </c>
    </row>
    <row r="493" customFormat="false" ht="15" hidden="false" customHeight="false" outlineLevel="0" collapsed="false">
      <c r="A493" s="16" t="str">
        <f aca="false">Payment_Log_AP!A490</f>
        <v>PAY40489</v>
      </c>
      <c r="B493" s="16" t="str">
        <f aca="false">Payment_Log_AP!C490</f>
        <v>V1021</v>
      </c>
      <c r="C493" s="16" t="str">
        <f aca="false">IFERROR(INDEX(Vendor_Master!$B$2:$B$41,MATCH(B493,Vendor_Master!$A$2:$A$41,0)),"Unknown Vendor")</f>
        <v>Ellis, Baker and Wright</v>
      </c>
      <c r="D493" s="16" t="str">
        <f aca="false">IFERROR(INDEX(Vendor_Master!$D$2:$D$41,MATCH(B493,Vendor_Master!$A$2:$A$41,0)),"Unknown")</f>
        <v>UAE</v>
      </c>
      <c r="E493" s="17" t="n">
        <f aca="false">IFERROR(INDEX(Vendor_Master!$E$2:$E$41,MATCH(B493,Vendor_Master!$A$2:$A$41,0)),"")</f>
        <v>45960</v>
      </c>
      <c r="F493" s="17" t="n">
        <f aca="false">Payment_Log_AP!D490</f>
        <v>46022</v>
      </c>
      <c r="G493" s="18" t="n">
        <f aca="false">Payment_Log_AP!E490</f>
        <v>219.09</v>
      </c>
      <c r="H493" s="16" t="n">
        <f aca="false">IF(G493&gt;=Assumptions!$B$7,40,IF(G493&gt;=Assumptions!$B$8,20,0))</f>
        <v>0</v>
      </c>
      <c r="I493" s="16" t="n">
        <f aca="false">IF(MOD(G493,500)=0,20,IF(MOD(G493,100)=0,10,0))</f>
        <v>0</v>
      </c>
      <c r="J493" s="16" t="n">
        <f aca="false">IF(AND(E493&lt;&gt;"",F493-E493&lt;=Assumptions!$B$9),25,0)</f>
        <v>25</v>
      </c>
      <c r="K493" s="16" t="n">
        <f aca="false">IF(ISNUMBER(SEARCH(D493,Assumptions!$B$10)),15,0)</f>
        <v>15</v>
      </c>
      <c r="L493" s="16" t="n">
        <f aca="false">H493+I493+J493+K493</f>
        <v>40</v>
      </c>
      <c r="M493" s="16" t="str">
        <f aca="false">IF(L493&gt;=60,"High",IF(L493&gt;=30,"Medium","Low"))</f>
        <v>Medium</v>
      </c>
    </row>
    <row r="494" customFormat="false" ht="15" hidden="false" customHeight="false" outlineLevel="0" collapsed="false">
      <c r="A494" s="16" t="str">
        <f aca="false">Payment_Log_AP!A491</f>
        <v>PAY40490</v>
      </c>
      <c r="B494" s="16" t="str">
        <f aca="false">Payment_Log_AP!C491</f>
        <v>V1018</v>
      </c>
      <c r="C494" s="16" t="str">
        <f aca="false">IFERROR(INDEX(Vendor_Master!$B$2:$B$41,MATCH(B494,Vendor_Master!$A$2:$A$41,0)),"Unknown Vendor")</f>
        <v>Underwood LLC</v>
      </c>
      <c r="D494" s="16" t="str">
        <f aca="false">IFERROR(INDEX(Vendor_Master!$D$2:$D$41,MATCH(B494,Vendor_Master!$A$2:$A$41,0)),"Unknown")</f>
        <v>UAE</v>
      </c>
      <c r="E494" s="17" t="n">
        <f aca="false">IFERROR(INDEX(Vendor_Master!$E$2:$E$41,MATCH(B494,Vendor_Master!$A$2:$A$41,0)),"")</f>
        <v>45788</v>
      </c>
      <c r="F494" s="17" t="n">
        <f aca="false">Payment_Log_AP!D491</f>
        <v>45908</v>
      </c>
      <c r="G494" s="18" t="n">
        <f aca="false">Payment_Log_AP!E491</f>
        <v>313.99</v>
      </c>
      <c r="H494" s="16" t="n">
        <f aca="false">IF(G494&gt;=Assumptions!$B$7,40,IF(G494&gt;=Assumptions!$B$8,20,0))</f>
        <v>0</v>
      </c>
      <c r="I494" s="16" t="n">
        <f aca="false">IF(MOD(G494,500)=0,20,IF(MOD(G494,100)=0,10,0))</f>
        <v>0</v>
      </c>
      <c r="J494" s="16" t="n">
        <f aca="false">IF(AND(E494&lt;&gt;"",F494-E494&lt;=Assumptions!$B$9),25,0)</f>
        <v>25</v>
      </c>
      <c r="K494" s="16" t="n">
        <f aca="false">IF(ISNUMBER(SEARCH(D494,Assumptions!$B$10)),15,0)</f>
        <v>15</v>
      </c>
      <c r="L494" s="16" t="n">
        <f aca="false">H494+I494+J494+K494</f>
        <v>40</v>
      </c>
      <c r="M494" s="16" t="str">
        <f aca="false">IF(L494&gt;=60,"High",IF(L494&gt;=30,"Medium","Low"))</f>
        <v>Medium</v>
      </c>
    </row>
    <row r="495" customFormat="false" ht="15" hidden="false" customHeight="false" outlineLevel="0" collapsed="false">
      <c r="A495" s="16" t="str">
        <f aca="false">Payment_Log_AP!A492</f>
        <v>PAY40491</v>
      </c>
      <c r="B495" s="16" t="str">
        <f aca="false">Payment_Log_AP!C492</f>
        <v>V1018</v>
      </c>
      <c r="C495" s="16" t="str">
        <f aca="false">IFERROR(INDEX(Vendor_Master!$B$2:$B$41,MATCH(B495,Vendor_Master!$A$2:$A$41,0)),"Unknown Vendor")</f>
        <v>Underwood LLC</v>
      </c>
      <c r="D495" s="16" t="str">
        <f aca="false">IFERROR(INDEX(Vendor_Master!$D$2:$D$41,MATCH(B495,Vendor_Master!$A$2:$A$41,0)),"Unknown")</f>
        <v>UAE</v>
      </c>
      <c r="E495" s="17" t="n">
        <f aca="false">IFERROR(INDEX(Vendor_Master!$E$2:$E$41,MATCH(B495,Vendor_Master!$A$2:$A$41,0)),"")</f>
        <v>45788</v>
      </c>
      <c r="F495" s="17" t="n">
        <f aca="false">Payment_Log_AP!D492</f>
        <v>45911</v>
      </c>
      <c r="G495" s="18" t="n">
        <f aca="false">Payment_Log_AP!E492</f>
        <v>313.99</v>
      </c>
      <c r="H495" s="16" t="n">
        <f aca="false">IF(G495&gt;=Assumptions!$B$7,40,IF(G495&gt;=Assumptions!$B$8,20,0))</f>
        <v>0</v>
      </c>
      <c r="I495" s="16" t="n">
        <f aca="false">IF(MOD(G495,500)=0,20,IF(MOD(G495,100)=0,10,0))</f>
        <v>0</v>
      </c>
      <c r="J495" s="16" t="n">
        <f aca="false">IF(AND(E495&lt;&gt;"",F495-E495&lt;=Assumptions!$B$9),25,0)</f>
        <v>25</v>
      </c>
      <c r="K495" s="16" t="n">
        <f aca="false">IF(ISNUMBER(SEARCH(D495,Assumptions!$B$10)),15,0)</f>
        <v>15</v>
      </c>
      <c r="L495" s="16" t="n">
        <f aca="false">H495+I495+J495+K495</f>
        <v>40</v>
      </c>
      <c r="M495" s="16" t="str">
        <f aca="false">IF(L495&gt;=60,"High",IF(L495&gt;=30,"Medium","Low"))</f>
        <v>Medium</v>
      </c>
    </row>
    <row r="496" customFormat="false" ht="15" hidden="false" customHeight="false" outlineLevel="0" collapsed="false">
      <c r="A496" s="16" t="str">
        <f aca="false">Payment_Log_AP!A493</f>
        <v>PAY40492</v>
      </c>
      <c r="B496" s="16" t="str">
        <f aca="false">Payment_Log_AP!C493</f>
        <v>V1005</v>
      </c>
      <c r="C496" s="16" t="str">
        <f aca="false">IFERROR(INDEX(Vendor_Master!$B$2:$B$41,MATCH(B496,Vendor_Master!$A$2:$A$41,0)),"Unknown Vendor")</f>
        <v>Cole LLC</v>
      </c>
      <c r="D496" s="16" t="str">
        <f aca="false">IFERROR(INDEX(Vendor_Master!$D$2:$D$41,MATCH(B496,Vendor_Master!$A$2:$A$41,0)),"Unknown")</f>
        <v>UK</v>
      </c>
      <c r="E496" s="17" t="n">
        <f aca="false">IFERROR(INDEX(Vendor_Master!$E$2:$E$41,MATCH(B496,Vendor_Master!$A$2:$A$41,0)),"")</f>
        <v>45423</v>
      </c>
      <c r="F496" s="17" t="n">
        <f aca="false">Payment_Log_AP!D493</f>
        <v>45818</v>
      </c>
      <c r="G496" s="18" t="n">
        <f aca="false">Payment_Log_AP!E493</f>
        <v>7086.46</v>
      </c>
      <c r="H496" s="16" t="n">
        <f aca="false">IF(G496&gt;=Assumptions!$B$7,40,IF(G496&gt;=Assumptions!$B$8,20,0))</f>
        <v>20</v>
      </c>
      <c r="I496" s="16" t="n">
        <f aca="false">IF(MOD(G496,500)=0,20,IF(MOD(G496,100)=0,10,0))</f>
        <v>0</v>
      </c>
      <c r="J496" s="16" t="n">
        <f aca="false">IF(AND(E496&lt;&gt;"",F496-E496&lt;=Assumptions!$B$9),25,0)</f>
        <v>0</v>
      </c>
      <c r="K496" s="16" t="n">
        <f aca="false">IF(ISNUMBER(SEARCH(D496,Assumptions!$B$10)),15,0)</f>
        <v>0</v>
      </c>
      <c r="L496" s="16" t="n">
        <f aca="false">H496+I496+J496+K496</f>
        <v>20</v>
      </c>
      <c r="M496" s="16" t="str">
        <f aca="false">IF(L496&gt;=60,"High",IF(L496&gt;=30,"Medium","Low"))</f>
        <v>Low</v>
      </c>
    </row>
    <row r="497" customFormat="false" ht="15" hidden="false" customHeight="false" outlineLevel="0" collapsed="false">
      <c r="A497" s="16" t="str">
        <f aca="false">Payment_Log_AP!A494</f>
        <v>PAY40493</v>
      </c>
      <c r="B497" s="16" t="str">
        <f aca="false">Payment_Log_AP!C494</f>
        <v>V1005</v>
      </c>
      <c r="C497" s="16" t="str">
        <f aca="false">IFERROR(INDEX(Vendor_Master!$B$2:$B$41,MATCH(B497,Vendor_Master!$A$2:$A$41,0)),"Unknown Vendor")</f>
        <v>Cole LLC</v>
      </c>
      <c r="D497" s="16" t="str">
        <f aca="false">IFERROR(INDEX(Vendor_Master!$D$2:$D$41,MATCH(B497,Vendor_Master!$A$2:$A$41,0)),"Unknown")</f>
        <v>UK</v>
      </c>
      <c r="E497" s="17" t="n">
        <f aca="false">IFERROR(INDEX(Vendor_Master!$E$2:$E$41,MATCH(B497,Vendor_Master!$A$2:$A$41,0)),"")</f>
        <v>45423</v>
      </c>
      <c r="F497" s="17" t="n">
        <f aca="false">Payment_Log_AP!D494</f>
        <v>45806</v>
      </c>
      <c r="G497" s="18" t="n">
        <f aca="false">Payment_Log_AP!E494</f>
        <v>745.67</v>
      </c>
      <c r="H497" s="16" t="n">
        <f aca="false">IF(G497&gt;=Assumptions!$B$7,40,IF(G497&gt;=Assumptions!$B$8,20,0))</f>
        <v>0</v>
      </c>
      <c r="I497" s="16" t="n">
        <f aca="false">IF(MOD(G497,500)=0,20,IF(MOD(G497,100)=0,10,0))</f>
        <v>0</v>
      </c>
      <c r="J497" s="16" t="n">
        <f aca="false">IF(AND(E497&lt;&gt;"",F497-E497&lt;=Assumptions!$B$9),25,0)</f>
        <v>0</v>
      </c>
      <c r="K497" s="16" t="n">
        <f aca="false">IF(ISNUMBER(SEARCH(D497,Assumptions!$B$10)),15,0)</f>
        <v>0</v>
      </c>
      <c r="L497" s="16" t="n">
        <f aca="false">H497+I497+J497+K497</f>
        <v>0</v>
      </c>
      <c r="M497" s="16" t="str">
        <f aca="false">IF(L497&gt;=60,"High",IF(L497&gt;=30,"Medium","Low"))</f>
        <v>Low</v>
      </c>
    </row>
    <row r="498" customFormat="false" ht="15" hidden="false" customHeight="false" outlineLevel="0" collapsed="false">
      <c r="A498" s="16" t="str">
        <f aca="false">Payment_Log_AP!A495</f>
        <v>PAY40494</v>
      </c>
      <c r="B498" s="16" t="str">
        <f aca="false">Payment_Log_AP!C495</f>
        <v>V1005</v>
      </c>
      <c r="C498" s="16" t="str">
        <f aca="false">IFERROR(INDEX(Vendor_Master!$B$2:$B$41,MATCH(B498,Vendor_Master!$A$2:$A$41,0)),"Unknown Vendor")</f>
        <v>Cole LLC</v>
      </c>
      <c r="D498" s="16" t="str">
        <f aca="false">IFERROR(INDEX(Vendor_Master!$D$2:$D$41,MATCH(B498,Vendor_Master!$A$2:$A$41,0)),"Unknown")</f>
        <v>UK</v>
      </c>
      <c r="E498" s="17" t="n">
        <f aca="false">IFERROR(INDEX(Vendor_Master!$E$2:$E$41,MATCH(B498,Vendor_Master!$A$2:$A$41,0)),"")</f>
        <v>45423</v>
      </c>
      <c r="F498" s="17" t="n">
        <f aca="false">Payment_Log_AP!D495</f>
        <v>45808</v>
      </c>
      <c r="G498" s="18" t="n">
        <f aca="false">Payment_Log_AP!E495</f>
        <v>745.67</v>
      </c>
      <c r="H498" s="16" t="n">
        <f aca="false">IF(G498&gt;=Assumptions!$B$7,40,IF(G498&gt;=Assumptions!$B$8,20,0))</f>
        <v>0</v>
      </c>
      <c r="I498" s="16" t="n">
        <f aca="false">IF(MOD(G498,500)=0,20,IF(MOD(G498,100)=0,10,0))</f>
        <v>0</v>
      </c>
      <c r="J498" s="16" t="n">
        <f aca="false">IF(AND(E498&lt;&gt;"",F498-E498&lt;=Assumptions!$B$9),25,0)</f>
        <v>0</v>
      </c>
      <c r="K498" s="16" t="n">
        <f aca="false">IF(ISNUMBER(SEARCH(D498,Assumptions!$B$10)),15,0)</f>
        <v>0</v>
      </c>
      <c r="L498" s="16" t="n">
        <f aca="false">H498+I498+J498+K498</f>
        <v>0</v>
      </c>
      <c r="M498" s="16" t="str">
        <f aca="false">IF(L498&gt;=60,"High",IF(L498&gt;=30,"Medium","Low"))</f>
        <v>Low</v>
      </c>
    </row>
    <row r="499" customFormat="false" ht="15" hidden="false" customHeight="false" outlineLevel="0" collapsed="false">
      <c r="A499" s="16" t="str">
        <f aca="false">Payment_Log_AP!A496</f>
        <v>PAY40495</v>
      </c>
      <c r="B499" s="16" t="str">
        <f aca="false">Payment_Log_AP!C496</f>
        <v>V1038</v>
      </c>
      <c r="C499" s="16" t="str">
        <f aca="false">IFERROR(INDEX(Vendor_Master!$B$2:$B$41,MATCH(B499,Vendor_Master!$A$2:$A$41,0)),"Unknown Vendor")</f>
        <v>Rose-Obrien</v>
      </c>
      <c r="D499" s="16" t="str">
        <f aca="false">IFERROR(INDEX(Vendor_Master!$D$2:$D$41,MATCH(B499,Vendor_Master!$A$2:$A$41,0)),"Unknown")</f>
        <v>USA</v>
      </c>
      <c r="E499" s="17" t="n">
        <f aca="false">IFERROR(INDEX(Vendor_Master!$E$2:$E$41,MATCH(B499,Vendor_Master!$A$2:$A$41,0)),"")</f>
        <v>45431</v>
      </c>
      <c r="F499" s="17" t="n">
        <f aca="false">Payment_Log_AP!D496</f>
        <v>45895</v>
      </c>
      <c r="G499" s="18" t="n">
        <f aca="false">Payment_Log_AP!E496</f>
        <v>2119.2</v>
      </c>
      <c r="H499" s="16" t="n">
        <f aca="false">IF(G499&gt;=Assumptions!$B$7,40,IF(G499&gt;=Assumptions!$B$8,20,0))</f>
        <v>0</v>
      </c>
      <c r="I499" s="16" t="n">
        <f aca="false">IF(MOD(G499,500)=0,20,IF(MOD(G499,100)=0,10,0))</f>
        <v>0</v>
      </c>
      <c r="J499" s="16" t="n">
        <f aca="false">IF(AND(E499&lt;&gt;"",F499-E499&lt;=Assumptions!$B$9),25,0)</f>
        <v>0</v>
      </c>
      <c r="K499" s="16" t="n">
        <f aca="false">IF(ISNUMBER(SEARCH(D499,Assumptions!$B$10)),15,0)</f>
        <v>0</v>
      </c>
      <c r="L499" s="16" t="n">
        <f aca="false">H499+I499+J499+K499</f>
        <v>0</v>
      </c>
      <c r="M499" s="16" t="str">
        <f aca="false">IF(L499&gt;=60,"High",IF(L499&gt;=30,"Medium","Low"))</f>
        <v>Low</v>
      </c>
    </row>
    <row r="500" customFormat="false" ht="15" hidden="false" customHeight="false" outlineLevel="0" collapsed="false">
      <c r="A500" s="16" t="str">
        <f aca="false">Payment_Log_AP!A497</f>
        <v>PAY40496</v>
      </c>
      <c r="B500" s="16" t="str">
        <f aca="false">Payment_Log_AP!C497</f>
        <v>V1015</v>
      </c>
      <c r="C500" s="16" t="str">
        <f aca="false">IFERROR(INDEX(Vendor_Master!$B$2:$B$41,MATCH(B500,Vendor_Master!$A$2:$A$41,0)),"Unknown Vendor")</f>
        <v>Zuniga, Wong and Lynch</v>
      </c>
      <c r="D500" s="16" t="str">
        <f aca="false">IFERROR(INDEX(Vendor_Master!$D$2:$D$41,MATCH(B500,Vendor_Master!$A$2:$A$41,0)),"Unknown")</f>
        <v>USA</v>
      </c>
      <c r="E500" s="17" t="n">
        <f aca="false">IFERROR(INDEX(Vendor_Master!$E$2:$E$41,MATCH(B500,Vendor_Master!$A$2:$A$41,0)),"")</f>
        <v>45621</v>
      </c>
      <c r="F500" s="17" t="n">
        <f aca="false">Payment_Log_AP!D497</f>
        <v>45946</v>
      </c>
      <c r="G500" s="18" t="n">
        <f aca="false">Payment_Log_AP!E497</f>
        <v>202.78</v>
      </c>
      <c r="H500" s="16" t="n">
        <f aca="false">IF(G500&gt;=Assumptions!$B$7,40,IF(G500&gt;=Assumptions!$B$8,20,0))</f>
        <v>0</v>
      </c>
      <c r="I500" s="16" t="n">
        <f aca="false">IF(MOD(G500,500)=0,20,IF(MOD(G500,100)=0,10,0))</f>
        <v>0</v>
      </c>
      <c r="J500" s="16" t="n">
        <f aca="false">IF(AND(E500&lt;&gt;"",F500-E500&lt;=Assumptions!$B$9),25,0)</f>
        <v>0</v>
      </c>
      <c r="K500" s="16" t="n">
        <f aca="false">IF(ISNUMBER(SEARCH(D500,Assumptions!$B$10)),15,0)</f>
        <v>0</v>
      </c>
      <c r="L500" s="16" t="n">
        <f aca="false">H500+I500+J500+K500</f>
        <v>0</v>
      </c>
      <c r="M500" s="16" t="str">
        <f aca="false">IF(L500&gt;=60,"High",IF(L500&gt;=30,"Medium","Low"))</f>
        <v>Low</v>
      </c>
    </row>
    <row r="501" customFormat="false" ht="15" hidden="false" customHeight="false" outlineLevel="0" collapsed="false">
      <c r="A501" s="16" t="str">
        <f aca="false">Payment_Log_AP!A498</f>
        <v>PAY40497</v>
      </c>
      <c r="B501" s="16" t="str">
        <f aca="false">Payment_Log_AP!C498</f>
        <v>V1023</v>
      </c>
      <c r="C501" s="16" t="str">
        <f aca="false">IFERROR(INDEX(Vendor_Master!$B$2:$B$41,MATCH(B501,Vendor_Master!$A$2:$A$41,0)),"Unknown Vendor")</f>
        <v>Robinson-Bright</v>
      </c>
      <c r="D501" s="16" t="str">
        <f aca="false">IFERROR(INDEX(Vendor_Master!$D$2:$D$41,MATCH(B501,Vendor_Master!$A$2:$A$41,0)),"Unknown")</f>
        <v>India</v>
      </c>
      <c r="E501" s="17" t="n">
        <f aca="false">IFERROR(INDEX(Vendor_Master!$E$2:$E$41,MATCH(B501,Vendor_Master!$A$2:$A$41,0)),"")</f>
        <v>45484</v>
      </c>
      <c r="F501" s="17" t="n">
        <f aca="false">Payment_Log_AP!D498</f>
        <v>45815</v>
      </c>
      <c r="G501" s="18" t="n">
        <f aca="false">Payment_Log_AP!E498</f>
        <v>1869.57</v>
      </c>
      <c r="H501" s="16" t="n">
        <f aca="false">IF(G501&gt;=Assumptions!$B$7,40,IF(G501&gt;=Assumptions!$B$8,20,0))</f>
        <v>0</v>
      </c>
      <c r="I501" s="16" t="n">
        <f aca="false">IF(MOD(G501,500)=0,20,IF(MOD(G501,100)=0,10,0))</f>
        <v>0</v>
      </c>
      <c r="J501" s="16" t="n">
        <f aca="false">IF(AND(E501&lt;&gt;"",F501-E501&lt;=Assumptions!$B$9),25,0)</f>
        <v>0</v>
      </c>
      <c r="K501" s="16" t="n">
        <f aca="false">IF(ISNUMBER(SEARCH(D501,Assumptions!$B$10)),15,0)</f>
        <v>15</v>
      </c>
      <c r="L501" s="16" t="n">
        <f aca="false">H501+I501+J501+K501</f>
        <v>15</v>
      </c>
      <c r="M501" s="16" t="str">
        <f aca="false">IF(L501&gt;=60,"High",IF(L501&gt;=30,"Medium","Low"))</f>
        <v>Low</v>
      </c>
    </row>
    <row r="502" customFormat="false" ht="15" hidden="false" customHeight="false" outlineLevel="0" collapsed="false">
      <c r="A502" s="16" t="str">
        <f aca="false">Payment_Log_AP!A499</f>
        <v>PAY40498</v>
      </c>
      <c r="B502" s="16" t="str">
        <f aca="false">Payment_Log_AP!C499</f>
        <v>V1012</v>
      </c>
      <c r="C502" s="16" t="str">
        <f aca="false">IFERROR(INDEX(Vendor_Master!$B$2:$B$41,MATCH(B502,Vendor_Master!$A$2:$A$41,0)),"Unknown Vendor")</f>
        <v>Stanley LLC</v>
      </c>
      <c r="D502" s="16" t="str">
        <f aca="false">IFERROR(INDEX(Vendor_Master!$D$2:$D$41,MATCH(B502,Vendor_Master!$A$2:$A$41,0)),"Unknown")</f>
        <v>India</v>
      </c>
      <c r="E502" s="17" t="n">
        <f aca="false">IFERROR(INDEX(Vendor_Master!$E$2:$E$41,MATCH(B502,Vendor_Master!$A$2:$A$41,0)),"")</f>
        <v>45675</v>
      </c>
      <c r="F502" s="17" t="n">
        <f aca="false">Payment_Log_AP!D499</f>
        <v>46017</v>
      </c>
      <c r="G502" s="18" t="n">
        <f aca="false">Payment_Log_AP!E499</f>
        <v>1002.81</v>
      </c>
      <c r="H502" s="16" t="n">
        <f aca="false">IF(G502&gt;=Assumptions!$B$7,40,IF(G502&gt;=Assumptions!$B$8,20,0))</f>
        <v>0</v>
      </c>
      <c r="I502" s="16" t="n">
        <f aca="false">IF(MOD(G502,500)=0,20,IF(MOD(G502,100)=0,10,0))</f>
        <v>0</v>
      </c>
      <c r="J502" s="16" t="n">
        <f aca="false">IF(AND(E502&lt;&gt;"",F502-E502&lt;=Assumptions!$B$9),25,0)</f>
        <v>0</v>
      </c>
      <c r="K502" s="16" t="n">
        <f aca="false">IF(ISNUMBER(SEARCH(D502,Assumptions!$B$10)),15,0)</f>
        <v>15</v>
      </c>
      <c r="L502" s="16" t="n">
        <f aca="false">H502+I502+J502+K502</f>
        <v>15</v>
      </c>
      <c r="M502" s="16" t="str">
        <f aca="false">IF(L502&gt;=60,"High",IF(L502&gt;=30,"Medium","Low"))</f>
        <v>Low</v>
      </c>
    </row>
    <row r="503" customFormat="false" ht="15" hidden="false" customHeight="false" outlineLevel="0" collapsed="false">
      <c r="A503" s="16" t="str">
        <f aca="false">Payment_Log_AP!A500</f>
        <v>PAY40499</v>
      </c>
      <c r="B503" s="16" t="str">
        <f aca="false">Payment_Log_AP!C500</f>
        <v>V1019</v>
      </c>
      <c r="C503" s="16" t="str">
        <f aca="false">IFERROR(INDEX(Vendor_Master!$B$2:$B$41,MATCH(B503,Vendor_Master!$A$2:$A$41,0)),"Unknown Vendor")</f>
        <v>Clark PLC</v>
      </c>
      <c r="D503" s="16" t="str">
        <f aca="false">IFERROR(INDEX(Vendor_Master!$D$2:$D$41,MATCH(B503,Vendor_Master!$A$2:$A$41,0)),"Unknown")</f>
        <v>India</v>
      </c>
      <c r="E503" s="17" t="n">
        <f aca="false">IFERROR(INDEX(Vendor_Master!$E$2:$E$41,MATCH(B503,Vendor_Master!$A$2:$A$41,0)),"")</f>
        <v>45196</v>
      </c>
      <c r="F503" s="17" t="n">
        <f aca="false">Payment_Log_AP!D500</f>
        <v>45987</v>
      </c>
      <c r="G503" s="18" t="n">
        <f aca="false">Payment_Log_AP!E500</f>
        <v>829.86</v>
      </c>
      <c r="H503" s="16" t="n">
        <f aca="false">IF(G503&gt;=Assumptions!$B$7,40,IF(G503&gt;=Assumptions!$B$8,20,0))</f>
        <v>0</v>
      </c>
      <c r="I503" s="16" t="n">
        <f aca="false">IF(MOD(G503,500)=0,20,IF(MOD(G503,100)=0,10,0))</f>
        <v>0</v>
      </c>
      <c r="J503" s="16" t="n">
        <f aca="false">IF(AND(E503&lt;&gt;"",F503-E503&lt;=Assumptions!$B$9),25,0)</f>
        <v>0</v>
      </c>
      <c r="K503" s="16" t="n">
        <f aca="false">IF(ISNUMBER(SEARCH(D503,Assumptions!$B$10)),15,0)</f>
        <v>15</v>
      </c>
      <c r="L503" s="16" t="n">
        <f aca="false">H503+I503+J503+K503</f>
        <v>15</v>
      </c>
      <c r="M503" s="16" t="str">
        <f aca="false">IF(L503&gt;=60,"High",IF(L503&gt;=30,"Medium","Low"))</f>
        <v>Low</v>
      </c>
    </row>
    <row r="504" customFormat="false" ht="15" hidden="false" customHeight="false" outlineLevel="0" collapsed="false">
      <c r="A504" s="16" t="str">
        <f aca="false">Payment_Log_AP!A501</f>
        <v>PAY40500</v>
      </c>
      <c r="B504" s="16" t="str">
        <f aca="false">Payment_Log_AP!C501</f>
        <v>V1028</v>
      </c>
      <c r="C504" s="16" t="str">
        <f aca="false">IFERROR(INDEX(Vendor_Master!$B$2:$B$41,MATCH(B504,Vendor_Master!$A$2:$A$41,0)),"Unknown Vendor")</f>
        <v>Potter, Mack and Peterson</v>
      </c>
      <c r="D504" s="16" t="str">
        <f aca="false">IFERROR(INDEX(Vendor_Master!$D$2:$D$41,MATCH(B504,Vendor_Master!$A$2:$A$41,0)),"Unknown")</f>
        <v>UK</v>
      </c>
      <c r="E504" s="17" t="n">
        <f aca="false">IFERROR(INDEX(Vendor_Master!$E$2:$E$41,MATCH(B504,Vendor_Master!$A$2:$A$41,0)),"")</f>
        <v>45639</v>
      </c>
      <c r="F504" s="17" t="n">
        <f aca="false">Payment_Log_AP!D501</f>
        <v>45844</v>
      </c>
      <c r="G504" s="18" t="n">
        <f aca="false">Payment_Log_AP!E501</f>
        <v>3096.07</v>
      </c>
      <c r="H504" s="16" t="n">
        <f aca="false">IF(G504&gt;=Assumptions!$B$7,40,IF(G504&gt;=Assumptions!$B$8,20,0))</f>
        <v>0</v>
      </c>
      <c r="I504" s="16" t="n">
        <f aca="false">IF(MOD(G504,500)=0,20,IF(MOD(G504,100)=0,10,0))</f>
        <v>0</v>
      </c>
      <c r="J504" s="16" t="n">
        <f aca="false">IF(AND(E504&lt;&gt;"",F504-E504&lt;=Assumptions!$B$9),25,0)</f>
        <v>0</v>
      </c>
      <c r="K504" s="16" t="n">
        <f aca="false">IF(ISNUMBER(SEARCH(D504,Assumptions!$B$10)),15,0)</f>
        <v>0</v>
      </c>
      <c r="L504" s="16" t="n">
        <f aca="false">H504+I504+J504+K504</f>
        <v>0</v>
      </c>
      <c r="M504" s="16" t="str">
        <f aca="false">IF(L504&gt;=60,"High",IF(L504&gt;=30,"Medium","Low"))</f>
        <v>Low</v>
      </c>
    </row>
    <row r="505" customFormat="false" ht="15" hidden="false" customHeight="false" outlineLevel="0" collapsed="false">
      <c r="A505" s="16" t="str">
        <f aca="false">Payment_Log_AP!A502</f>
        <v>PAY40501</v>
      </c>
      <c r="B505" s="16" t="str">
        <f aca="false">Payment_Log_AP!C502</f>
        <v>V1003</v>
      </c>
      <c r="C505" s="16" t="str">
        <f aca="false">IFERROR(INDEX(Vendor_Master!$B$2:$B$41,MATCH(B505,Vendor_Master!$A$2:$A$41,0)),"Unknown Vendor")</f>
        <v>Johnson and Sons</v>
      </c>
      <c r="D505" s="16" t="str">
        <f aca="false">IFERROR(INDEX(Vendor_Master!$D$2:$D$41,MATCH(B505,Vendor_Master!$A$2:$A$41,0)),"Unknown")</f>
        <v>UAE</v>
      </c>
      <c r="E505" s="17" t="n">
        <f aca="false">IFERROR(INDEX(Vendor_Master!$E$2:$E$41,MATCH(B505,Vendor_Master!$A$2:$A$41,0)),"")</f>
        <v>45495</v>
      </c>
      <c r="F505" s="17" t="n">
        <f aca="false">Payment_Log_AP!D502</f>
        <v>46061</v>
      </c>
      <c r="G505" s="18" t="n">
        <f aca="false">Payment_Log_AP!E502</f>
        <v>1462.27</v>
      </c>
      <c r="H505" s="16" t="n">
        <f aca="false">IF(G505&gt;=Assumptions!$B$7,40,IF(G505&gt;=Assumptions!$B$8,20,0))</f>
        <v>0</v>
      </c>
      <c r="I505" s="16" t="n">
        <f aca="false">IF(MOD(G505,500)=0,20,IF(MOD(G505,100)=0,10,0))</f>
        <v>0</v>
      </c>
      <c r="J505" s="16" t="n">
        <f aca="false">IF(AND(E505&lt;&gt;"",F505-E505&lt;=Assumptions!$B$9),25,0)</f>
        <v>0</v>
      </c>
      <c r="K505" s="16" t="n">
        <f aca="false">IF(ISNUMBER(SEARCH(D505,Assumptions!$B$10)),15,0)</f>
        <v>15</v>
      </c>
      <c r="L505" s="16" t="n">
        <f aca="false">H505+I505+J505+K505</f>
        <v>15</v>
      </c>
      <c r="M505" s="16" t="str">
        <f aca="false">IF(L505&gt;=60,"High",IF(L505&gt;=30,"Medium","Low"))</f>
        <v>Low</v>
      </c>
    </row>
    <row r="506" customFormat="false" ht="15" hidden="false" customHeight="false" outlineLevel="0" collapsed="false">
      <c r="A506" s="16" t="str">
        <f aca="false">Payment_Log_AP!A503</f>
        <v>PAY40502</v>
      </c>
      <c r="B506" s="16" t="str">
        <f aca="false">Payment_Log_AP!C503</f>
        <v>V1023</v>
      </c>
      <c r="C506" s="16" t="str">
        <f aca="false">IFERROR(INDEX(Vendor_Master!$B$2:$B$41,MATCH(B506,Vendor_Master!$A$2:$A$41,0)),"Unknown Vendor")</f>
        <v>Robinson-Bright</v>
      </c>
      <c r="D506" s="16" t="str">
        <f aca="false">IFERROR(INDEX(Vendor_Master!$D$2:$D$41,MATCH(B506,Vendor_Master!$A$2:$A$41,0)),"Unknown")</f>
        <v>India</v>
      </c>
      <c r="E506" s="17" t="n">
        <f aca="false">IFERROR(INDEX(Vendor_Master!$E$2:$E$41,MATCH(B506,Vendor_Master!$A$2:$A$41,0)),"")</f>
        <v>45484</v>
      </c>
      <c r="F506" s="17" t="n">
        <f aca="false">Payment_Log_AP!D503</f>
        <v>45845</v>
      </c>
      <c r="G506" s="18" t="n">
        <f aca="false">Payment_Log_AP!E503</f>
        <v>1476.77</v>
      </c>
      <c r="H506" s="16" t="n">
        <f aca="false">IF(G506&gt;=Assumptions!$B$7,40,IF(G506&gt;=Assumptions!$B$8,20,0))</f>
        <v>0</v>
      </c>
      <c r="I506" s="16" t="n">
        <f aca="false">IF(MOD(G506,500)=0,20,IF(MOD(G506,100)=0,10,0))</f>
        <v>0</v>
      </c>
      <c r="J506" s="16" t="n">
        <f aca="false">IF(AND(E506&lt;&gt;"",F506-E506&lt;=Assumptions!$B$9),25,0)</f>
        <v>0</v>
      </c>
      <c r="K506" s="16" t="n">
        <f aca="false">IF(ISNUMBER(SEARCH(D506,Assumptions!$B$10)),15,0)</f>
        <v>15</v>
      </c>
      <c r="L506" s="16" t="n">
        <f aca="false">H506+I506+J506+K506</f>
        <v>15</v>
      </c>
      <c r="M506" s="16" t="str">
        <f aca="false">IF(L506&gt;=60,"High",IF(L506&gt;=30,"Medium","Low"))</f>
        <v>Low</v>
      </c>
    </row>
    <row r="507" customFormat="false" ht="15" hidden="false" customHeight="false" outlineLevel="0" collapsed="false">
      <c r="A507" s="16" t="str">
        <f aca="false">Payment_Log_AP!A504</f>
        <v>PAY40503</v>
      </c>
      <c r="B507" s="16" t="str">
        <f aca="false">Payment_Log_AP!C504</f>
        <v>V1036</v>
      </c>
      <c r="C507" s="16" t="str">
        <f aca="false">IFERROR(INDEX(Vendor_Master!$B$2:$B$41,MATCH(B507,Vendor_Master!$A$2:$A$41,0)),"Unknown Vendor")</f>
        <v>Dennis Inc</v>
      </c>
      <c r="D507" s="16" t="str">
        <f aca="false">IFERROR(INDEX(Vendor_Master!$D$2:$D$41,MATCH(B507,Vendor_Master!$A$2:$A$41,0)),"Unknown")</f>
        <v>Singapore</v>
      </c>
      <c r="E507" s="17" t="n">
        <f aca="false">IFERROR(INDEX(Vendor_Master!$E$2:$E$41,MATCH(B507,Vendor_Master!$A$2:$A$41,0)),"")</f>
        <v>46059</v>
      </c>
      <c r="F507" s="17" t="n">
        <f aca="false">Payment_Log_AP!D504</f>
        <v>45983</v>
      </c>
      <c r="G507" s="18" t="n">
        <f aca="false">Payment_Log_AP!E504</f>
        <v>3152.95</v>
      </c>
      <c r="H507" s="16" t="n">
        <f aca="false">IF(G507&gt;=Assumptions!$B$7,40,IF(G507&gt;=Assumptions!$B$8,20,0))</f>
        <v>0</v>
      </c>
      <c r="I507" s="16" t="n">
        <f aca="false">IF(MOD(G507,500)=0,20,IF(MOD(G507,100)=0,10,0))</f>
        <v>0</v>
      </c>
      <c r="J507" s="16" t="n">
        <f aca="false">IF(AND(E507&lt;&gt;"",F507-E507&lt;=Assumptions!$B$9),25,0)</f>
        <v>25</v>
      </c>
      <c r="K507" s="16" t="n">
        <f aca="false">IF(ISNUMBER(SEARCH(D507,Assumptions!$B$10)),15,0)</f>
        <v>15</v>
      </c>
      <c r="L507" s="16" t="n">
        <f aca="false">H507+I507+J507+K507</f>
        <v>40</v>
      </c>
      <c r="M507" s="16" t="str">
        <f aca="false">IF(L507&gt;=60,"High",IF(L507&gt;=30,"Medium","Low"))</f>
        <v>Medium</v>
      </c>
    </row>
    <row r="508" customFormat="false" ht="15" hidden="false" customHeight="false" outlineLevel="0" collapsed="false">
      <c r="A508" s="16" t="str">
        <f aca="false">Payment_Log_AP!A505</f>
        <v>PAY40504</v>
      </c>
      <c r="B508" s="16" t="str">
        <f aca="false">Payment_Log_AP!C505</f>
        <v>V1003</v>
      </c>
      <c r="C508" s="16" t="str">
        <f aca="false">IFERROR(INDEX(Vendor_Master!$B$2:$B$41,MATCH(B508,Vendor_Master!$A$2:$A$41,0)),"Unknown Vendor")</f>
        <v>Johnson and Sons</v>
      </c>
      <c r="D508" s="16" t="str">
        <f aca="false">IFERROR(INDEX(Vendor_Master!$D$2:$D$41,MATCH(B508,Vendor_Master!$A$2:$A$41,0)),"Unknown")</f>
        <v>UAE</v>
      </c>
      <c r="E508" s="17" t="n">
        <f aca="false">IFERROR(INDEX(Vendor_Master!$E$2:$E$41,MATCH(B508,Vendor_Master!$A$2:$A$41,0)),"")</f>
        <v>45495</v>
      </c>
      <c r="F508" s="17" t="n">
        <f aca="false">Payment_Log_AP!D505</f>
        <v>46068</v>
      </c>
      <c r="G508" s="18" t="n">
        <f aca="false">Payment_Log_AP!E505</f>
        <v>3405.2</v>
      </c>
      <c r="H508" s="16" t="n">
        <f aca="false">IF(G508&gt;=Assumptions!$B$7,40,IF(G508&gt;=Assumptions!$B$8,20,0))</f>
        <v>0</v>
      </c>
      <c r="I508" s="16" t="n">
        <f aca="false">IF(MOD(G508,500)=0,20,IF(MOD(G508,100)=0,10,0))</f>
        <v>0</v>
      </c>
      <c r="J508" s="16" t="n">
        <f aca="false">IF(AND(E508&lt;&gt;"",F508-E508&lt;=Assumptions!$B$9),25,0)</f>
        <v>0</v>
      </c>
      <c r="K508" s="16" t="n">
        <f aca="false">IF(ISNUMBER(SEARCH(D508,Assumptions!$B$10)),15,0)</f>
        <v>15</v>
      </c>
      <c r="L508" s="16" t="n">
        <f aca="false">H508+I508+J508+K508</f>
        <v>15</v>
      </c>
      <c r="M508" s="16" t="str">
        <f aca="false">IF(L508&gt;=60,"High",IF(L508&gt;=30,"Medium","Low"))</f>
        <v>Low</v>
      </c>
    </row>
    <row r="509" customFormat="false" ht="15" hidden="false" customHeight="false" outlineLevel="0" collapsed="false">
      <c r="A509" s="16" t="str">
        <f aca="false">Payment_Log_AP!A506</f>
        <v>PAY40505</v>
      </c>
      <c r="B509" s="16" t="str">
        <f aca="false">Payment_Log_AP!C506</f>
        <v>V1013</v>
      </c>
      <c r="C509" s="16" t="str">
        <f aca="false">IFERROR(INDEX(Vendor_Master!$B$2:$B$41,MATCH(B509,Vendor_Master!$A$2:$A$41,0)),"Unknown Vendor")</f>
        <v>Delacruz Group</v>
      </c>
      <c r="D509" s="16" t="str">
        <f aca="false">IFERROR(INDEX(Vendor_Master!$D$2:$D$41,MATCH(B509,Vendor_Master!$A$2:$A$41,0)),"Unknown")</f>
        <v>USA</v>
      </c>
      <c r="E509" s="17" t="n">
        <f aca="false">IFERROR(INDEX(Vendor_Master!$E$2:$E$41,MATCH(B509,Vendor_Master!$A$2:$A$41,0)),"")</f>
        <v>46119</v>
      </c>
      <c r="F509" s="17" t="n">
        <f aca="false">Payment_Log_AP!D506</f>
        <v>46093</v>
      </c>
      <c r="G509" s="18" t="n">
        <f aca="false">Payment_Log_AP!E506</f>
        <v>290.16</v>
      </c>
      <c r="H509" s="16" t="n">
        <f aca="false">IF(G509&gt;=Assumptions!$B$7,40,IF(G509&gt;=Assumptions!$B$8,20,0))</f>
        <v>0</v>
      </c>
      <c r="I509" s="16" t="n">
        <f aca="false">IF(MOD(G509,500)=0,20,IF(MOD(G509,100)=0,10,0))</f>
        <v>0</v>
      </c>
      <c r="J509" s="16" t="n">
        <f aca="false">IF(AND(E509&lt;&gt;"",F509-E509&lt;=Assumptions!$B$9),25,0)</f>
        <v>25</v>
      </c>
      <c r="K509" s="16" t="n">
        <f aca="false">IF(ISNUMBER(SEARCH(D509,Assumptions!$B$10)),15,0)</f>
        <v>0</v>
      </c>
      <c r="L509" s="16" t="n">
        <f aca="false">H509+I509+J509+K509</f>
        <v>25</v>
      </c>
      <c r="M509" s="16" t="str">
        <f aca="false">IF(L509&gt;=60,"High",IF(L509&gt;=30,"Medium","Low"))</f>
        <v>Low</v>
      </c>
    </row>
    <row r="510" customFormat="false" ht="15" hidden="false" customHeight="false" outlineLevel="0" collapsed="false">
      <c r="A510" s="16" t="str">
        <f aca="false">Payment_Log_AP!A507</f>
        <v>PAY40506</v>
      </c>
      <c r="B510" s="16" t="str">
        <f aca="false">Payment_Log_AP!C507</f>
        <v>V1030</v>
      </c>
      <c r="C510" s="16" t="str">
        <f aca="false">IFERROR(INDEX(Vendor_Master!$B$2:$B$41,MATCH(B510,Vendor_Master!$A$2:$A$41,0)),"Unknown Vendor")</f>
        <v>Stanton-Gill</v>
      </c>
      <c r="D510" s="16" t="str">
        <f aca="false">IFERROR(INDEX(Vendor_Master!$D$2:$D$41,MATCH(B510,Vendor_Master!$A$2:$A$41,0)),"Unknown")</f>
        <v>UK</v>
      </c>
      <c r="E510" s="17" t="n">
        <f aca="false">IFERROR(INDEX(Vendor_Master!$E$2:$E$41,MATCH(B510,Vendor_Master!$A$2:$A$41,0)),"")</f>
        <v>45946</v>
      </c>
      <c r="F510" s="17" t="n">
        <f aca="false">Payment_Log_AP!D507</f>
        <v>45719</v>
      </c>
      <c r="G510" s="18" t="n">
        <f aca="false">Payment_Log_AP!E507</f>
        <v>3177.82</v>
      </c>
      <c r="H510" s="16" t="n">
        <f aca="false">IF(G510&gt;=Assumptions!$B$7,40,IF(G510&gt;=Assumptions!$B$8,20,0))</f>
        <v>0</v>
      </c>
      <c r="I510" s="16" t="n">
        <f aca="false">IF(MOD(G510,500)=0,20,IF(MOD(G510,100)=0,10,0))</f>
        <v>0</v>
      </c>
      <c r="J510" s="16" t="n">
        <f aca="false">IF(AND(E510&lt;&gt;"",F510-E510&lt;=Assumptions!$B$9),25,0)</f>
        <v>25</v>
      </c>
      <c r="K510" s="16" t="n">
        <f aca="false">IF(ISNUMBER(SEARCH(D510,Assumptions!$B$10)),15,0)</f>
        <v>0</v>
      </c>
      <c r="L510" s="16" t="n">
        <f aca="false">H510+I510+J510+K510</f>
        <v>25</v>
      </c>
      <c r="M510" s="16" t="str">
        <f aca="false">IF(L510&gt;=60,"High",IF(L510&gt;=30,"Medium","Low"))</f>
        <v>Low</v>
      </c>
    </row>
    <row r="511" customFormat="false" ht="15" hidden="false" customHeight="false" outlineLevel="0" collapsed="false">
      <c r="A511" s="16" t="str">
        <f aca="false">Payment_Log_AP!A508</f>
        <v>PAY40507</v>
      </c>
      <c r="B511" s="16" t="str">
        <f aca="false">Payment_Log_AP!C508</f>
        <v>V1009</v>
      </c>
      <c r="C511" s="16" t="str">
        <f aca="false">IFERROR(INDEX(Vendor_Master!$B$2:$B$41,MATCH(B511,Vendor_Master!$A$2:$A$41,0)),"Unknown Vendor")</f>
        <v>Munoz-Roman</v>
      </c>
      <c r="D511" s="16" t="str">
        <f aca="false">IFERROR(INDEX(Vendor_Master!$D$2:$D$41,MATCH(B511,Vendor_Master!$A$2:$A$41,0)),"Unknown")</f>
        <v>India</v>
      </c>
      <c r="E511" s="17" t="n">
        <f aca="false">IFERROR(INDEX(Vendor_Master!$E$2:$E$41,MATCH(B511,Vendor_Master!$A$2:$A$41,0)),"")</f>
        <v>45129</v>
      </c>
      <c r="F511" s="17" t="n">
        <f aca="false">Payment_Log_AP!D508</f>
        <v>45951</v>
      </c>
      <c r="G511" s="18" t="n">
        <f aca="false">Payment_Log_AP!E508</f>
        <v>2363.54</v>
      </c>
      <c r="H511" s="16" t="n">
        <f aca="false">IF(G511&gt;=Assumptions!$B$7,40,IF(G511&gt;=Assumptions!$B$8,20,0))</f>
        <v>0</v>
      </c>
      <c r="I511" s="16" t="n">
        <f aca="false">IF(MOD(G511,500)=0,20,IF(MOD(G511,100)=0,10,0))</f>
        <v>0</v>
      </c>
      <c r="J511" s="16" t="n">
        <f aca="false">IF(AND(E511&lt;&gt;"",F511-E511&lt;=Assumptions!$B$9),25,0)</f>
        <v>0</v>
      </c>
      <c r="K511" s="16" t="n">
        <f aca="false">IF(ISNUMBER(SEARCH(D511,Assumptions!$B$10)),15,0)</f>
        <v>15</v>
      </c>
      <c r="L511" s="16" t="n">
        <f aca="false">H511+I511+J511+K511</f>
        <v>15</v>
      </c>
      <c r="M511" s="16" t="str">
        <f aca="false">IF(L511&gt;=60,"High",IF(L511&gt;=30,"Medium","Low"))</f>
        <v>Low</v>
      </c>
    </row>
    <row r="512" customFormat="false" ht="15" hidden="false" customHeight="false" outlineLevel="0" collapsed="false">
      <c r="A512" s="16" t="str">
        <f aca="false">Payment_Log_AP!A509</f>
        <v>PAY40508</v>
      </c>
      <c r="B512" s="16" t="str">
        <f aca="false">Payment_Log_AP!C509</f>
        <v>V1006</v>
      </c>
      <c r="C512" s="16" t="str">
        <f aca="false">IFERROR(INDEX(Vendor_Master!$B$2:$B$41,MATCH(B512,Vendor_Master!$A$2:$A$41,0)),"Unknown Vendor")</f>
        <v>Blake and Sons</v>
      </c>
      <c r="D512" s="16" t="str">
        <f aca="false">IFERROR(INDEX(Vendor_Master!$D$2:$D$41,MATCH(B512,Vendor_Master!$A$2:$A$41,0)),"Unknown")</f>
        <v>UK</v>
      </c>
      <c r="E512" s="17" t="n">
        <f aca="false">IFERROR(INDEX(Vendor_Master!$E$2:$E$41,MATCH(B512,Vendor_Master!$A$2:$A$41,0)),"")</f>
        <v>45841</v>
      </c>
      <c r="F512" s="17" t="n">
        <f aca="false">Payment_Log_AP!D509</f>
        <v>46174</v>
      </c>
      <c r="G512" s="18" t="n">
        <f aca="false">Payment_Log_AP!E509</f>
        <v>1328.83</v>
      </c>
      <c r="H512" s="16" t="n">
        <f aca="false">IF(G512&gt;=Assumptions!$B$7,40,IF(G512&gt;=Assumptions!$B$8,20,0))</f>
        <v>0</v>
      </c>
      <c r="I512" s="16" t="n">
        <f aca="false">IF(MOD(G512,500)=0,20,IF(MOD(G512,100)=0,10,0))</f>
        <v>0</v>
      </c>
      <c r="J512" s="16" t="n">
        <f aca="false">IF(AND(E512&lt;&gt;"",F512-E512&lt;=Assumptions!$B$9),25,0)</f>
        <v>0</v>
      </c>
      <c r="K512" s="16" t="n">
        <f aca="false">IF(ISNUMBER(SEARCH(D512,Assumptions!$B$10)),15,0)</f>
        <v>0</v>
      </c>
      <c r="L512" s="16" t="n">
        <f aca="false">H512+I512+J512+K512</f>
        <v>0</v>
      </c>
      <c r="M512" s="16" t="str">
        <f aca="false">IF(L512&gt;=60,"High",IF(L512&gt;=30,"Medium","Low"))</f>
        <v>Low</v>
      </c>
    </row>
    <row r="513" customFormat="false" ht="15" hidden="false" customHeight="false" outlineLevel="0" collapsed="false">
      <c r="A513" s="16" t="str">
        <f aca="false">Payment_Log_AP!A510</f>
        <v>PAY40509</v>
      </c>
      <c r="B513" s="16" t="str">
        <f aca="false">Payment_Log_AP!C510</f>
        <v>V1020</v>
      </c>
      <c r="C513" s="16" t="str">
        <f aca="false">IFERROR(INDEX(Vendor_Master!$B$2:$B$41,MATCH(B513,Vendor_Master!$A$2:$A$41,0)),"Unknown Vendor")</f>
        <v>Lewis-Porter</v>
      </c>
      <c r="D513" s="16" t="str">
        <f aca="false">IFERROR(INDEX(Vendor_Master!$D$2:$D$41,MATCH(B513,Vendor_Master!$A$2:$A$41,0)),"Unknown")</f>
        <v>UAE</v>
      </c>
      <c r="E513" s="17" t="n">
        <f aca="false">IFERROR(INDEX(Vendor_Master!$E$2:$E$41,MATCH(B513,Vendor_Master!$A$2:$A$41,0)),"")</f>
        <v>45947</v>
      </c>
      <c r="F513" s="17" t="n">
        <f aca="false">Payment_Log_AP!D510</f>
        <v>45848</v>
      </c>
      <c r="G513" s="18" t="n">
        <f aca="false">Payment_Log_AP!E510</f>
        <v>940.45</v>
      </c>
      <c r="H513" s="16" t="n">
        <f aca="false">IF(G513&gt;=Assumptions!$B$7,40,IF(G513&gt;=Assumptions!$B$8,20,0))</f>
        <v>0</v>
      </c>
      <c r="I513" s="16" t="n">
        <f aca="false">IF(MOD(G513,500)=0,20,IF(MOD(G513,100)=0,10,0))</f>
        <v>0</v>
      </c>
      <c r="J513" s="16" t="n">
        <f aca="false">IF(AND(E513&lt;&gt;"",F513-E513&lt;=Assumptions!$B$9),25,0)</f>
        <v>25</v>
      </c>
      <c r="K513" s="16" t="n">
        <f aca="false">IF(ISNUMBER(SEARCH(D513,Assumptions!$B$10)),15,0)</f>
        <v>15</v>
      </c>
      <c r="L513" s="16" t="n">
        <f aca="false">H513+I513+J513+K513</f>
        <v>40</v>
      </c>
      <c r="M513" s="16" t="str">
        <f aca="false">IF(L513&gt;=60,"High",IF(L513&gt;=30,"Medium","Low"))</f>
        <v>Medium</v>
      </c>
    </row>
    <row r="514" customFormat="false" ht="15" hidden="false" customHeight="false" outlineLevel="0" collapsed="false">
      <c r="A514" s="16" t="str">
        <f aca="false">Payment_Log_AP!A511</f>
        <v>PAY40510</v>
      </c>
      <c r="B514" s="16" t="str">
        <f aca="false">Payment_Log_AP!C511</f>
        <v>V1036</v>
      </c>
      <c r="C514" s="16" t="str">
        <f aca="false">IFERROR(INDEX(Vendor_Master!$B$2:$B$41,MATCH(B514,Vendor_Master!$A$2:$A$41,0)),"Unknown Vendor")</f>
        <v>Dennis Inc</v>
      </c>
      <c r="D514" s="16" t="str">
        <f aca="false">IFERROR(INDEX(Vendor_Master!$D$2:$D$41,MATCH(B514,Vendor_Master!$A$2:$A$41,0)),"Unknown")</f>
        <v>Singapore</v>
      </c>
      <c r="E514" s="17" t="n">
        <f aca="false">IFERROR(INDEX(Vendor_Master!$E$2:$E$41,MATCH(B514,Vendor_Master!$A$2:$A$41,0)),"")</f>
        <v>46059</v>
      </c>
      <c r="F514" s="17" t="n">
        <f aca="false">Payment_Log_AP!D511</f>
        <v>46106</v>
      </c>
      <c r="G514" s="18" t="n">
        <f aca="false">Payment_Log_AP!E511</f>
        <v>3318.83</v>
      </c>
      <c r="H514" s="16" t="n">
        <f aca="false">IF(G514&gt;=Assumptions!$B$7,40,IF(G514&gt;=Assumptions!$B$8,20,0))</f>
        <v>0</v>
      </c>
      <c r="I514" s="16" t="n">
        <f aca="false">IF(MOD(G514,500)=0,20,IF(MOD(G514,100)=0,10,0))</f>
        <v>0</v>
      </c>
      <c r="J514" s="16" t="n">
        <f aca="false">IF(AND(E514&lt;&gt;"",F514-E514&lt;=Assumptions!$B$9),25,0)</f>
        <v>25</v>
      </c>
      <c r="K514" s="16" t="n">
        <f aca="false">IF(ISNUMBER(SEARCH(D514,Assumptions!$B$10)),15,0)</f>
        <v>15</v>
      </c>
      <c r="L514" s="16" t="n">
        <f aca="false">H514+I514+J514+K514</f>
        <v>40</v>
      </c>
      <c r="M514" s="16" t="str">
        <f aca="false">IF(L514&gt;=60,"High",IF(L514&gt;=30,"Medium","Low"))</f>
        <v>Medium</v>
      </c>
    </row>
    <row r="515" customFormat="false" ht="15" hidden="false" customHeight="false" outlineLevel="0" collapsed="false">
      <c r="A515" s="16" t="str">
        <f aca="false">Payment_Log_AP!A512</f>
        <v>PAY40511</v>
      </c>
      <c r="B515" s="16" t="str">
        <f aca="false">Payment_Log_AP!C512</f>
        <v>V1007</v>
      </c>
      <c r="C515" s="16" t="str">
        <f aca="false">IFERROR(INDEX(Vendor_Master!$B$2:$B$41,MATCH(B515,Vendor_Master!$A$2:$A$41,0)),"Unknown Vendor")</f>
        <v>Ramirez-Lewis</v>
      </c>
      <c r="D515" s="16" t="str">
        <f aca="false">IFERROR(INDEX(Vendor_Master!$D$2:$D$41,MATCH(B515,Vendor_Master!$A$2:$A$41,0)),"Unknown")</f>
        <v>Germany</v>
      </c>
      <c r="E515" s="17" t="n">
        <f aca="false">IFERROR(INDEX(Vendor_Master!$E$2:$E$41,MATCH(B515,Vendor_Master!$A$2:$A$41,0)),"")</f>
        <v>45665</v>
      </c>
      <c r="F515" s="17" t="n">
        <f aca="false">Payment_Log_AP!D512</f>
        <v>46021</v>
      </c>
      <c r="G515" s="18" t="n">
        <f aca="false">Payment_Log_AP!E512</f>
        <v>2949.36</v>
      </c>
      <c r="H515" s="16" t="n">
        <f aca="false">IF(G515&gt;=Assumptions!$B$7,40,IF(G515&gt;=Assumptions!$B$8,20,0))</f>
        <v>0</v>
      </c>
      <c r="I515" s="16" t="n">
        <f aca="false">IF(MOD(G515,500)=0,20,IF(MOD(G515,100)=0,10,0))</f>
        <v>0</v>
      </c>
      <c r="J515" s="16" t="n">
        <f aca="false">IF(AND(E515&lt;&gt;"",F515-E515&lt;=Assumptions!$B$9),25,0)</f>
        <v>0</v>
      </c>
      <c r="K515" s="16" t="n">
        <f aca="false">IF(ISNUMBER(SEARCH(D515,Assumptions!$B$10)),15,0)</f>
        <v>0</v>
      </c>
      <c r="L515" s="16" t="n">
        <f aca="false">H515+I515+J515+K515</f>
        <v>0</v>
      </c>
      <c r="M515" s="16" t="str">
        <f aca="false">IF(L515&gt;=60,"High",IF(L515&gt;=30,"Medium","Low"))</f>
        <v>Low</v>
      </c>
    </row>
    <row r="516" customFormat="false" ht="15" hidden="false" customHeight="false" outlineLevel="0" collapsed="false">
      <c r="A516" s="16" t="str">
        <f aca="false">Payment_Log_AP!A513</f>
        <v>PAY40512</v>
      </c>
      <c r="B516" s="16" t="str">
        <f aca="false">Payment_Log_AP!C513</f>
        <v>V1008</v>
      </c>
      <c r="C516" s="16" t="str">
        <f aca="false">IFERROR(INDEX(Vendor_Master!$B$2:$B$41,MATCH(B516,Vendor_Master!$A$2:$A$41,0)),"Unknown Vendor")</f>
        <v>Davis Inc</v>
      </c>
      <c r="D516" s="16" t="str">
        <f aca="false">IFERROR(INDEX(Vendor_Master!$D$2:$D$41,MATCH(B516,Vendor_Master!$A$2:$A$41,0)),"Unknown")</f>
        <v>Canada</v>
      </c>
      <c r="E516" s="17" t="n">
        <f aca="false">IFERROR(INDEX(Vendor_Master!$E$2:$E$41,MATCH(B516,Vendor_Master!$A$2:$A$41,0)),"")</f>
        <v>45769</v>
      </c>
      <c r="F516" s="17" t="n">
        <f aca="false">Payment_Log_AP!D513</f>
        <v>45865</v>
      </c>
      <c r="G516" s="18" t="n">
        <f aca="false">Payment_Log_AP!E513</f>
        <v>1733.53</v>
      </c>
      <c r="H516" s="16" t="n">
        <f aca="false">IF(G516&gt;=Assumptions!$B$7,40,IF(G516&gt;=Assumptions!$B$8,20,0))</f>
        <v>0</v>
      </c>
      <c r="I516" s="16" t="n">
        <f aca="false">IF(MOD(G516,500)=0,20,IF(MOD(G516,100)=0,10,0))</f>
        <v>0</v>
      </c>
      <c r="J516" s="16" t="n">
        <f aca="false">IF(AND(E516&lt;&gt;"",F516-E516&lt;=Assumptions!$B$9),25,0)</f>
        <v>25</v>
      </c>
      <c r="K516" s="16" t="n">
        <f aca="false">IF(ISNUMBER(SEARCH(D516,Assumptions!$B$10)),15,0)</f>
        <v>0</v>
      </c>
      <c r="L516" s="16" t="n">
        <f aca="false">H516+I516+J516+K516</f>
        <v>25</v>
      </c>
      <c r="M516" s="16" t="str">
        <f aca="false">IF(L516&gt;=60,"High",IF(L516&gt;=30,"Medium","Low"))</f>
        <v>Low</v>
      </c>
    </row>
    <row r="517" customFormat="false" ht="15" hidden="false" customHeight="false" outlineLevel="0" collapsed="false">
      <c r="A517" s="16" t="str">
        <f aca="false">Payment_Log_AP!A514</f>
        <v>PAY40513</v>
      </c>
      <c r="B517" s="16" t="str">
        <f aca="false">Payment_Log_AP!C514</f>
        <v>V1035</v>
      </c>
      <c r="C517" s="16" t="str">
        <f aca="false">IFERROR(INDEX(Vendor_Master!$B$2:$B$41,MATCH(B517,Vendor_Master!$A$2:$A$41,0)),"Unknown Vendor")</f>
        <v>Allen PLC</v>
      </c>
      <c r="D517" s="16" t="str">
        <f aca="false">IFERROR(INDEX(Vendor_Master!$D$2:$D$41,MATCH(B517,Vendor_Master!$A$2:$A$41,0)),"Unknown")</f>
        <v>Canada</v>
      </c>
      <c r="E517" s="17" t="n">
        <f aca="false">IFERROR(INDEX(Vendor_Master!$E$2:$E$41,MATCH(B517,Vendor_Master!$A$2:$A$41,0)),"")</f>
        <v>45048</v>
      </c>
      <c r="F517" s="17" t="n">
        <f aca="false">Payment_Log_AP!D514</f>
        <v>46039</v>
      </c>
      <c r="G517" s="18" t="n">
        <f aca="false">Payment_Log_AP!E514</f>
        <v>2308.67</v>
      </c>
      <c r="H517" s="16" t="n">
        <f aca="false">IF(G517&gt;=Assumptions!$B$7,40,IF(G517&gt;=Assumptions!$B$8,20,0))</f>
        <v>0</v>
      </c>
      <c r="I517" s="16" t="n">
        <f aca="false">IF(MOD(G517,500)=0,20,IF(MOD(G517,100)=0,10,0))</f>
        <v>0</v>
      </c>
      <c r="J517" s="16" t="n">
        <f aca="false">IF(AND(E517&lt;&gt;"",F517-E517&lt;=Assumptions!$B$9),25,0)</f>
        <v>0</v>
      </c>
      <c r="K517" s="16" t="n">
        <f aca="false">IF(ISNUMBER(SEARCH(D517,Assumptions!$B$10)),15,0)</f>
        <v>0</v>
      </c>
      <c r="L517" s="16" t="n">
        <f aca="false">H517+I517+J517+K517</f>
        <v>0</v>
      </c>
      <c r="M517" s="16" t="str">
        <f aca="false">IF(L517&gt;=60,"High",IF(L517&gt;=30,"Medium","Low"))</f>
        <v>Low</v>
      </c>
    </row>
    <row r="518" customFormat="false" ht="15" hidden="false" customHeight="false" outlineLevel="0" collapsed="false">
      <c r="A518" s="16" t="str">
        <f aca="false">Payment_Log_AP!A515</f>
        <v>PAY40514</v>
      </c>
      <c r="B518" s="16" t="str">
        <f aca="false">Payment_Log_AP!C515</f>
        <v>V1029</v>
      </c>
      <c r="C518" s="16" t="str">
        <f aca="false">IFERROR(INDEX(Vendor_Master!$B$2:$B$41,MATCH(B518,Vendor_Master!$A$2:$A$41,0)),"Unknown Vendor")</f>
        <v>Chavez Ltd</v>
      </c>
      <c r="D518" s="16" t="str">
        <f aca="false">IFERROR(INDEX(Vendor_Master!$D$2:$D$41,MATCH(B518,Vendor_Master!$A$2:$A$41,0)),"Unknown")</f>
        <v>Singapore</v>
      </c>
      <c r="E518" s="17" t="n">
        <f aca="false">IFERROR(INDEX(Vendor_Master!$E$2:$E$41,MATCH(B518,Vendor_Master!$A$2:$A$41,0)),"")</f>
        <v>45026</v>
      </c>
      <c r="F518" s="17" t="n">
        <f aca="false">Payment_Log_AP!D515</f>
        <v>46045</v>
      </c>
      <c r="G518" s="18" t="n">
        <f aca="false">Payment_Log_AP!E515</f>
        <v>3697.76</v>
      </c>
      <c r="H518" s="16" t="n">
        <f aca="false">IF(G518&gt;=Assumptions!$B$7,40,IF(G518&gt;=Assumptions!$B$8,20,0))</f>
        <v>0</v>
      </c>
      <c r="I518" s="16" t="n">
        <f aca="false">IF(MOD(G518,500)=0,20,IF(MOD(G518,100)=0,10,0))</f>
        <v>0</v>
      </c>
      <c r="J518" s="16" t="n">
        <f aca="false">IF(AND(E518&lt;&gt;"",F518-E518&lt;=Assumptions!$B$9),25,0)</f>
        <v>0</v>
      </c>
      <c r="K518" s="16" t="n">
        <f aca="false">IF(ISNUMBER(SEARCH(D518,Assumptions!$B$10)),15,0)</f>
        <v>15</v>
      </c>
      <c r="L518" s="16" t="n">
        <f aca="false">H518+I518+J518+K518</f>
        <v>15</v>
      </c>
      <c r="M518" s="16" t="str">
        <f aca="false">IF(L518&gt;=60,"High",IF(L518&gt;=30,"Medium","Low"))</f>
        <v>Low</v>
      </c>
    </row>
    <row r="519" customFormat="false" ht="15" hidden="false" customHeight="false" outlineLevel="0" collapsed="false">
      <c r="A519" s="16" t="str">
        <f aca="false">Payment_Log_AP!A516</f>
        <v>PAY40515</v>
      </c>
      <c r="B519" s="16" t="str">
        <f aca="false">Payment_Log_AP!C516</f>
        <v>V1013</v>
      </c>
      <c r="C519" s="16" t="str">
        <f aca="false">IFERROR(INDEX(Vendor_Master!$B$2:$B$41,MATCH(B519,Vendor_Master!$A$2:$A$41,0)),"Unknown Vendor")</f>
        <v>Delacruz Group</v>
      </c>
      <c r="D519" s="16" t="str">
        <f aca="false">IFERROR(INDEX(Vendor_Master!$D$2:$D$41,MATCH(B519,Vendor_Master!$A$2:$A$41,0)),"Unknown")</f>
        <v>USA</v>
      </c>
      <c r="E519" s="17" t="n">
        <f aca="false">IFERROR(INDEX(Vendor_Master!$E$2:$E$41,MATCH(B519,Vendor_Master!$A$2:$A$41,0)),"")</f>
        <v>46119</v>
      </c>
      <c r="F519" s="17" t="n">
        <f aca="false">Payment_Log_AP!D516</f>
        <v>46076</v>
      </c>
      <c r="G519" s="18" t="n">
        <f aca="false">Payment_Log_AP!E516</f>
        <v>1532.53</v>
      </c>
      <c r="H519" s="16" t="n">
        <f aca="false">IF(G519&gt;=Assumptions!$B$7,40,IF(G519&gt;=Assumptions!$B$8,20,0))</f>
        <v>0</v>
      </c>
      <c r="I519" s="16" t="n">
        <f aca="false">IF(MOD(G519,500)=0,20,IF(MOD(G519,100)=0,10,0))</f>
        <v>0</v>
      </c>
      <c r="J519" s="16" t="n">
        <f aca="false">IF(AND(E519&lt;&gt;"",F519-E519&lt;=Assumptions!$B$9),25,0)</f>
        <v>25</v>
      </c>
      <c r="K519" s="16" t="n">
        <f aca="false">IF(ISNUMBER(SEARCH(D519,Assumptions!$B$10)),15,0)</f>
        <v>0</v>
      </c>
      <c r="L519" s="16" t="n">
        <f aca="false">H519+I519+J519+K519</f>
        <v>25</v>
      </c>
      <c r="M519" s="16" t="str">
        <f aca="false">IF(L519&gt;=60,"High",IF(L519&gt;=30,"Medium","Low"))</f>
        <v>Low</v>
      </c>
    </row>
    <row r="520" customFormat="false" ht="15" hidden="false" customHeight="false" outlineLevel="0" collapsed="false">
      <c r="A520" s="16" t="str">
        <f aca="false">Payment_Log_AP!A517</f>
        <v>PAY40516</v>
      </c>
      <c r="B520" s="16" t="str">
        <f aca="false">Payment_Log_AP!C517</f>
        <v>V1018</v>
      </c>
      <c r="C520" s="16" t="str">
        <f aca="false">IFERROR(INDEX(Vendor_Master!$B$2:$B$41,MATCH(B520,Vendor_Master!$A$2:$A$41,0)),"Unknown Vendor")</f>
        <v>Underwood LLC</v>
      </c>
      <c r="D520" s="16" t="str">
        <f aca="false">IFERROR(INDEX(Vendor_Master!$D$2:$D$41,MATCH(B520,Vendor_Master!$A$2:$A$41,0)),"Unknown")</f>
        <v>UAE</v>
      </c>
      <c r="E520" s="17" t="n">
        <f aca="false">IFERROR(INDEX(Vendor_Master!$E$2:$E$41,MATCH(B520,Vendor_Master!$A$2:$A$41,0)),"")</f>
        <v>45788</v>
      </c>
      <c r="F520" s="17" t="n">
        <f aca="false">Payment_Log_AP!D517</f>
        <v>46104</v>
      </c>
      <c r="G520" s="18" t="n">
        <f aca="false">Payment_Log_AP!E517</f>
        <v>354.2</v>
      </c>
      <c r="H520" s="16" t="n">
        <f aca="false">IF(G520&gt;=Assumptions!$B$7,40,IF(G520&gt;=Assumptions!$B$8,20,0))</f>
        <v>0</v>
      </c>
      <c r="I520" s="16" t="n">
        <f aca="false">IF(MOD(G520,500)=0,20,IF(MOD(G520,100)=0,10,0))</f>
        <v>0</v>
      </c>
      <c r="J520" s="16" t="n">
        <f aca="false">IF(AND(E520&lt;&gt;"",F520-E520&lt;=Assumptions!$B$9),25,0)</f>
        <v>0</v>
      </c>
      <c r="K520" s="16" t="n">
        <f aca="false">IF(ISNUMBER(SEARCH(D520,Assumptions!$B$10)),15,0)</f>
        <v>15</v>
      </c>
      <c r="L520" s="16" t="n">
        <f aca="false">H520+I520+J520+K520</f>
        <v>15</v>
      </c>
      <c r="M520" s="16" t="str">
        <f aca="false">IF(L520&gt;=60,"High",IF(L520&gt;=30,"Medium","Low"))</f>
        <v>Low</v>
      </c>
    </row>
    <row r="521" customFormat="false" ht="15" hidden="false" customHeight="false" outlineLevel="0" collapsed="false">
      <c r="A521" s="16" t="str">
        <f aca="false">Payment_Log_AP!A518</f>
        <v>PAY40517</v>
      </c>
      <c r="B521" s="16" t="str">
        <f aca="false">Payment_Log_AP!C518</f>
        <v>V1021</v>
      </c>
      <c r="C521" s="16" t="str">
        <f aca="false">IFERROR(INDEX(Vendor_Master!$B$2:$B$41,MATCH(B521,Vendor_Master!$A$2:$A$41,0)),"Unknown Vendor")</f>
        <v>Ellis, Baker and Wright</v>
      </c>
      <c r="D521" s="16" t="str">
        <f aca="false">IFERROR(INDEX(Vendor_Master!$D$2:$D$41,MATCH(B521,Vendor_Master!$A$2:$A$41,0)),"Unknown")</f>
        <v>UAE</v>
      </c>
      <c r="E521" s="17" t="n">
        <f aca="false">IFERROR(INDEX(Vendor_Master!$E$2:$E$41,MATCH(B521,Vendor_Master!$A$2:$A$41,0)),"")</f>
        <v>45960</v>
      </c>
      <c r="F521" s="17" t="n">
        <f aca="false">Payment_Log_AP!D518</f>
        <v>46052</v>
      </c>
      <c r="G521" s="18" t="n">
        <f aca="false">Payment_Log_AP!E518</f>
        <v>1077.17</v>
      </c>
      <c r="H521" s="16" t="n">
        <f aca="false">IF(G521&gt;=Assumptions!$B$7,40,IF(G521&gt;=Assumptions!$B$8,20,0))</f>
        <v>0</v>
      </c>
      <c r="I521" s="16" t="n">
        <f aca="false">IF(MOD(G521,500)=0,20,IF(MOD(G521,100)=0,10,0))</f>
        <v>0</v>
      </c>
      <c r="J521" s="16" t="n">
        <f aca="false">IF(AND(E521&lt;&gt;"",F521-E521&lt;=Assumptions!$B$9),25,0)</f>
        <v>25</v>
      </c>
      <c r="K521" s="16" t="n">
        <f aca="false">IF(ISNUMBER(SEARCH(D521,Assumptions!$B$10)),15,0)</f>
        <v>15</v>
      </c>
      <c r="L521" s="16" t="n">
        <f aca="false">H521+I521+J521+K521</f>
        <v>40</v>
      </c>
      <c r="M521" s="16" t="str">
        <f aca="false">IF(L521&gt;=60,"High",IF(L521&gt;=30,"Medium","Low"))</f>
        <v>Medium</v>
      </c>
    </row>
    <row r="522" customFormat="false" ht="15" hidden="false" customHeight="false" outlineLevel="0" collapsed="false">
      <c r="A522" s="16" t="str">
        <f aca="false">Payment_Log_AP!A519</f>
        <v>PAY40518</v>
      </c>
      <c r="B522" s="16" t="str">
        <f aca="false">Payment_Log_AP!C519</f>
        <v>V1015</v>
      </c>
      <c r="C522" s="16" t="str">
        <f aca="false">IFERROR(INDEX(Vendor_Master!$B$2:$B$41,MATCH(B522,Vendor_Master!$A$2:$A$41,0)),"Unknown Vendor")</f>
        <v>Zuniga, Wong and Lynch</v>
      </c>
      <c r="D522" s="16" t="str">
        <f aca="false">IFERROR(INDEX(Vendor_Master!$D$2:$D$41,MATCH(B522,Vendor_Master!$A$2:$A$41,0)),"Unknown")</f>
        <v>USA</v>
      </c>
      <c r="E522" s="17" t="n">
        <f aca="false">IFERROR(INDEX(Vendor_Master!$E$2:$E$41,MATCH(B522,Vendor_Master!$A$2:$A$41,0)),"")</f>
        <v>45621</v>
      </c>
      <c r="F522" s="17" t="n">
        <f aca="false">Payment_Log_AP!D519</f>
        <v>46146</v>
      </c>
      <c r="G522" s="18" t="n">
        <f aca="false">Payment_Log_AP!E519</f>
        <v>968.37</v>
      </c>
      <c r="H522" s="16" t="n">
        <f aca="false">IF(G522&gt;=Assumptions!$B$7,40,IF(G522&gt;=Assumptions!$B$8,20,0))</f>
        <v>0</v>
      </c>
      <c r="I522" s="16" t="n">
        <f aca="false">IF(MOD(G522,500)=0,20,IF(MOD(G522,100)=0,10,0))</f>
        <v>0</v>
      </c>
      <c r="J522" s="16" t="n">
        <f aca="false">IF(AND(E522&lt;&gt;"",F522-E522&lt;=Assumptions!$B$9),25,0)</f>
        <v>0</v>
      </c>
      <c r="K522" s="16" t="n">
        <f aca="false">IF(ISNUMBER(SEARCH(D522,Assumptions!$B$10)),15,0)</f>
        <v>0</v>
      </c>
      <c r="L522" s="16" t="n">
        <f aca="false">H522+I522+J522+K522</f>
        <v>0</v>
      </c>
      <c r="M522" s="16" t="str">
        <f aca="false">IF(L522&gt;=60,"High",IF(L522&gt;=30,"Medium","Low"))</f>
        <v>Low</v>
      </c>
    </row>
    <row r="523" customFormat="false" ht="15" hidden="false" customHeight="false" outlineLevel="0" collapsed="false">
      <c r="A523" s="16" t="str">
        <f aca="false">Payment_Log_AP!A520</f>
        <v>PAY40519</v>
      </c>
      <c r="B523" s="16" t="str">
        <f aca="false">Payment_Log_AP!C520</f>
        <v>V1005</v>
      </c>
      <c r="C523" s="16" t="str">
        <f aca="false">IFERROR(INDEX(Vendor_Master!$B$2:$B$41,MATCH(B523,Vendor_Master!$A$2:$A$41,0)),"Unknown Vendor")</f>
        <v>Cole LLC</v>
      </c>
      <c r="D523" s="16" t="str">
        <f aca="false">IFERROR(INDEX(Vendor_Master!$D$2:$D$41,MATCH(B523,Vendor_Master!$A$2:$A$41,0)),"Unknown")</f>
        <v>UK</v>
      </c>
      <c r="E523" s="17" t="n">
        <f aca="false">IFERROR(INDEX(Vendor_Master!$E$2:$E$41,MATCH(B523,Vendor_Master!$A$2:$A$41,0)),"")</f>
        <v>45423</v>
      </c>
      <c r="F523" s="17" t="n">
        <f aca="false">Payment_Log_AP!D520</f>
        <v>46028</v>
      </c>
      <c r="G523" s="18" t="n">
        <f aca="false">Payment_Log_AP!E520</f>
        <v>1370.11</v>
      </c>
      <c r="H523" s="16" t="n">
        <f aca="false">IF(G523&gt;=Assumptions!$B$7,40,IF(G523&gt;=Assumptions!$B$8,20,0))</f>
        <v>0</v>
      </c>
      <c r="I523" s="16" t="n">
        <f aca="false">IF(MOD(G523,500)=0,20,IF(MOD(G523,100)=0,10,0))</f>
        <v>0</v>
      </c>
      <c r="J523" s="16" t="n">
        <f aca="false">IF(AND(E523&lt;&gt;"",F523-E523&lt;=Assumptions!$B$9),25,0)</f>
        <v>0</v>
      </c>
      <c r="K523" s="16" t="n">
        <f aca="false">IF(ISNUMBER(SEARCH(D523,Assumptions!$B$10)),15,0)</f>
        <v>0</v>
      </c>
      <c r="L523" s="16" t="n">
        <f aca="false">H523+I523+J523+K523</f>
        <v>0</v>
      </c>
      <c r="M523" s="16" t="str">
        <f aca="false">IF(L523&gt;=60,"High",IF(L523&gt;=30,"Medium","Low"))</f>
        <v>Low</v>
      </c>
    </row>
    <row r="524" customFormat="false" ht="15" hidden="false" customHeight="false" outlineLevel="0" collapsed="false">
      <c r="A524" s="16" t="str">
        <f aca="false">Payment_Log_AP!A521</f>
        <v>PAY40520</v>
      </c>
      <c r="B524" s="16" t="str">
        <f aca="false">Payment_Log_AP!C521</f>
        <v>V1030</v>
      </c>
      <c r="C524" s="16" t="str">
        <f aca="false">IFERROR(INDEX(Vendor_Master!$B$2:$B$41,MATCH(B524,Vendor_Master!$A$2:$A$41,0)),"Unknown Vendor")</f>
        <v>Stanton-Gill</v>
      </c>
      <c r="D524" s="16" t="str">
        <f aca="false">IFERROR(INDEX(Vendor_Master!$D$2:$D$41,MATCH(B524,Vendor_Master!$A$2:$A$41,0)),"Unknown")</f>
        <v>UK</v>
      </c>
      <c r="E524" s="17" t="n">
        <f aca="false">IFERROR(INDEX(Vendor_Master!$E$2:$E$41,MATCH(B524,Vendor_Master!$A$2:$A$41,0)),"")</f>
        <v>45946</v>
      </c>
      <c r="F524" s="17" t="n">
        <f aca="false">Payment_Log_AP!D521</f>
        <v>46018</v>
      </c>
      <c r="G524" s="18" t="n">
        <f aca="false">Payment_Log_AP!E521</f>
        <v>3138.5</v>
      </c>
      <c r="H524" s="16" t="n">
        <f aca="false">IF(G524&gt;=Assumptions!$B$7,40,IF(G524&gt;=Assumptions!$B$8,20,0))</f>
        <v>0</v>
      </c>
      <c r="I524" s="16" t="n">
        <f aca="false">IF(MOD(G524,500)=0,20,IF(MOD(G524,100)=0,10,0))</f>
        <v>0</v>
      </c>
      <c r="J524" s="16" t="n">
        <f aca="false">IF(AND(E524&lt;&gt;"",F524-E524&lt;=Assumptions!$B$9),25,0)</f>
        <v>25</v>
      </c>
      <c r="K524" s="16" t="n">
        <f aca="false">IF(ISNUMBER(SEARCH(D524,Assumptions!$B$10)),15,0)</f>
        <v>0</v>
      </c>
      <c r="L524" s="16" t="n">
        <f aca="false">H524+I524+J524+K524</f>
        <v>25</v>
      </c>
      <c r="M524" s="16" t="str">
        <f aca="false">IF(L524&gt;=60,"High",IF(L524&gt;=30,"Medium","Low"))</f>
        <v>Low</v>
      </c>
    </row>
    <row r="525" customFormat="false" ht="15" hidden="false" customHeight="false" outlineLevel="0" collapsed="false">
      <c r="A525" s="16" t="str">
        <f aca="false">Payment_Log_AP!A522</f>
        <v>PAY40521</v>
      </c>
      <c r="B525" s="16" t="str">
        <f aca="false">Payment_Log_AP!C522</f>
        <v>V1011</v>
      </c>
      <c r="C525" s="16" t="str">
        <f aca="false">IFERROR(INDEX(Vendor_Master!$B$2:$B$41,MATCH(B525,Vendor_Master!$A$2:$A$41,0)),"Unknown Vendor")</f>
        <v>Montgomery, Hensley and Ray</v>
      </c>
      <c r="D525" s="16" t="str">
        <f aca="false">IFERROR(INDEX(Vendor_Master!$D$2:$D$41,MATCH(B525,Vendor_Master!$A$2:$A$41,0)),"Unknown")</f>
        <v>USA</v>
      </c>
      <c r="E525" s="17" t="n">
        <f aca="false">IFERROR(INDEX(Vendor_Master!$E$2:$E$41,MATCH(B525,Vendor_Master!$A$2:$A$41,0)),"")</f>
        <v>45025</v>
      </c>
      <c r="F525" s="17" t="n">
        <f aca="false">Payment_Log_AP!D522</f>
        <v>45869</v>
      </c>
      <c r="G525" s="18" t="n">
        <f aca="false">Payment_Log_AP!E522</f>
        <v>4085.56</v>
      </c>
      <c r="H525" s="16" t="n">
        <f aca="false">IF(G525&gt;=Assumptions!$B$7,40,IF(G525&gt;=Assumptions!$B$8,20,0))</f>
        <v>0</v>
      </c>
      <c r="I525" s="16" t="n">
        <f aca="false">IF(MOD(G525,500)=0,20,IF(MOD(G525,100)=0,10,0))</f>
        <v>0</v>
      </c>
      <c r="J525" s="16" t="n">
        <f aca="false">IF(AND(E525&lt;&gt;"",F525-E525&lt;=Assumptions!$B$9),25,0)</f>
        <v>0</v>
      </c>
      <c r="K525" s="16" t="n">
        <f aca="false">IF(ISNUMBER(SEARCH(D525,Assumptions!$B$10)),15,0)</f>
        <v>0</v>
      </c>
      <c r="L525" s="16" t="n">
        <f aca="false">H525+I525+J525+K525</f>
        <v>0</v>
      </c>
      <c r="M525" s="16" t="str">
        <f aca="false">IF(L525&gt;=60,"High",IF(L525&gt;=30,"Medium","Low"))</f>
        <v>Low</v>
      </c>
    </row>
    <row r="526" customFormat="false" ht="15" hidden="false" customHeight="false" outlineLevel="0" collapsed="false">
      <c r="A526" s="16" t="str">
        <f aca="false">Payment_Log_AP!A523</f>
        <v>PAY40522</v>
      </c>
      <c r="B526" s="16" t="str">
        <f aca="false">Payment_Log_AP!C523</f>
        <v>V1001</v>
      </c>
      <c r="C526" s="16" t="str">
        <f aca="false">IFERROR(INDEX(Vendor_Master!$B$2:$B$41,MATCH(B526,Vendor_Master!$A$2:$A$41,0)),"Unknown Vendor")</f>
        <v>Figueroa and Sons</v>
      </c>
      <c r="D526" s="16" t="str">
        <f aca="false">IFERROR(INDEX(Vendor_Master!$D$2:$D$41,MATCH(B526,Vendor_Master!$A$2:$A$41,0)),"Unknown")</f>
        <v>USA</v>
      </c>
      <c r="E526" s="17" t="n">
        <f aca="false">IFERROR(INDEX(Vendor_Master!$E$2:$E$41,MATCH(B526,Vendor_Master!$A$2:$A$41,0)),"")</f>
        <v>45572</v>
      </c>
      <c r="F526" s="17" t="n">
        <f aca="false">Payment_Log_AP!D523</f>
        <v>45934</v>
      </c>
      <c r="G526" s="18" t="n">
        <f aca="false">Payment_Log_AP!E523</f>
        <v>2086.29</v>
      </c>
      <c r="H526" s="16" t="n">
        <f aca="false">IF(G526&gt;=Assumptions!$B$7,40,IF(G526&gt;=Assumptions!$B$8,20,0))</f>
        <v>0</v>
      </c>
      <c r="I526" s="16" t="n">
        <f aca="false">IF(MOD(G526,500)=0,20,IF(MOD(G526,100)=0,10,0))</f>
        <v>0</v>
      </c>
      <c r="J526" s="16" t="n">
        <f aca="false">IF(AND(E526&lt;&gt;"",F526-E526&lt;=Assumptions!$B$9),25,0)</f>
        <v>0</v>
      </c>
      <c r="K526" s="16" t="n">
        <f aca="false">IF(ISNUMBER(SEARCH(D526,Assumptions!$B$10)),15,0)</f>
        <v>0</v>
      </c>
      <c r="L526" s="16" t="n">
        <f aca="false">H526+I526+J526+K526</f>
        <v>0</v>
      </c>
      <c r="M526" s="16" t="str">
        <f aca="false">IF(L526&gt;=60,"High",IF(L526&gt;=30,"Medium","Low"))</f>
        <v>Low</v>
      </c>
    </row>
    <row r="527" customFormat="false" ht="15" hidden="false" customHeight="false" outlineLevel="0" collapsed="false">
      <c r="A527" s="16" t="str">
        <f aca="false">Payment_Log_AP!A524</f>
        <v>PAY40523</v>
      </c>
      <c r="B527" s="16" t="str">
        <f aca="false">Payment_Log_AP!C524</f>
        <v>V1027</v>
      </c>
      <c r="C527" s="16" t="str">
        <f aca="false">IFERROR(INDEX(Vendor_Master!$B$2:$B$41,MATCH(B527,Vendor_Master!$A$2:$A$41,0)),"Unknown Vendor")</f>
        <v>Valencia, Smith and Le</v>
      </c>
      <c r="D527" s="16" t="str">
        <f aca="false">IFERROR(INDEX(Vendor_Master!$D$2:$D$41,MATCH(B527,Vendor_Master!$A$2:$A$41,0)),"Unknown")</f>
        <v>Germany</v>
      </c>
      <c r="E527" s="17" t="n">
        <f aca="false">IFERROR(INDEX(Vendor_Master!$E$2:$E$41,MATCH(B527,Vendor_Master!$A$2:$A$41,0)),"")</f>
        <v>45398</v>
      </c>
      <c r="F527" s="17" t="n">
        <f aca="false">Payment_Log_AP!D524</f>
        <v>46019</v>
      </c>
      <c r="G527" s="18" t="n">
        <f aca="false">Payment_Log_AP!E524</f>
        <v>345.65</v>
      </c>
      <c r="H527" s="16" t="n">
        <f aca="false">IF(G527&gt;=Assumptions!$B$7,40,IF(G527&gt;=Assumptions!$B$8,20,0))</f>
        <v>0</v>
      </c>
      <c r="I527" s="16" t="n">
        <f aca="false">IF(MOD(G527,500)=0,20,IF(MOD(G527,100)=0,10,0))</f>
        <v>0</v>
      </c>
      <c r="J527" s="16" t="n">
        <f aca="false">IF(AND(E527&lt;&gt;"",F527-E527&lt;=Assumptions!$B$9),25,0)</f>
        <v>0</v>
      </c>
      <c r="K527" s="16" t="n">
        <f aca="false">IF(ISNUMBER(SEARCH(D527,Assumptions!$B$10)),15,0)</f>
        <v>0</v>
      </c>
      <c r="L527" s="16" t="n">
        <f aca="false">H527+I527+J527+K527</f>
        <v>0</v>
      </c>
      <c r="M527" s="16" t="str">
        <f aca="false">IF(L527&gt;=60,"High",IF(L527&gt;=30,"Medium","Low"))</f>
        <v>Low</v>
      </c>
    </row>
    <row r="528" customFormat="false" ht="15" hidden="false" customHeight="false" outlineLevel="0" collapsed="false">
      <c r="A528" s="16" t="str">
        <f aca="false">Payment_Log_AP!A525</f>
        <v>PAY40524</v>
      </c>
      <c r="B528" s="16" t="str">
        <f aca="false">Payment_Log_AP!C525</f>
        <v>V1020</v>
      </c>
      <c r="C528" s="16" t="str">
        <f aca="false">IFERROR(INDEX(Vendor_Master!$B$2:$B$41,MATCH(B528,Vendor_Master!$A$2:$A$41,0)),"Unknown Vendor")</f>
        <v>Lewis-Porter</v>
      </c>
      <c r="D528" s="16" t="str">
        <f aca="false">IFERROR(INDEX(Vendor_Master!$D$2:$D$41,MATCH(B528,Vendor_Master!$A$2:$A$41,0)),"Unknown")</f>
        <v>UAE</v>
      </c>
      <c r="E528" s="17" t="n">
        <f aca="false">IFERROR(INDEX(Vendor_Master!$E$2:$E$41,MATCH(B528,Vendor_Master!$A$2:$A$41,0)),"")</f>
        <v>45947</v>
      </c>
      <c r="F528" s="17" t="n">
        <f aca="false">Payment_Log_AP!D525</f>
        <v>46080</v>
      </c>
      <c r="G528" s="18" t="n">
        <f aca="false">Payment_Log_AP!E525</f>
        <v>1516.39</v>
      </c>
      <c r="H528" s="16" t="n">
        <f aca="false">IF(G528&gt;=Assumptions!$B$7,40,IF(G528&gt;=Assumptions!$B$8,20,0))</f>
        <v>0</v>
      </c>
      <c r="I528" s="16" t="n">
        <f aca="false">IF(MOD(G528,500)=0,20,IF(MOD(G528,100)=0,10,0))</f>
        <v>0</v>
      </c>
      <c r="J528" s="16" t="n">
        <f aca="false">IF(AND(E528&lt;&gt;"",F528-E528&lt;=Assumptions!$B$9),25,0)</f>
        <v>25</v>
      </c>
      <c r="K528" s="16" t="n">
        <f aca="false">IF(ISNUMBER(SEARCH(D528,Assumptions!$B$10)),15,0)</f>
        <v>15</v>
      </c>
      <c r="L528" s="16" t="n">
        <f aca="false">H528+I528+J528+K528</f>
        <v>40</v>
      </c>
      <c r="M528" s="16" t="str">
        <f aca="false">IF(L528&gt;=60,"High",IF(L528&gt;=30,"Medium","Low"))</f>
        <v>Medium</v>
      </c>
    </row>
    <row r="529" customFormat="false" ht="15" hidden="false" customHeight="false" outlineLevel="0" collapsed="false">
      <c r="A529" s="16" t="str">
        <f aca="false">Payment_Log_AP!A526</f>
        <v>PAY40525</v>
      </c>
      <c r="B529" s="16" t="str">
        <f aca="false">Payment_Log_AP!C526</f>
        <v>V1001</v>
      </c>
      <c r="C529" s="16" t="str">
        <f aca="false">IFERROR(INDEX(Vendor_Master!$B$2:$B$41,MATCH(B529,Vendor_Master!$A$2:$A$41,0)),"Unknown Vendor")</f>
        <v>Figueroa and Sons</v>
      </c>
      <c r="D529" s="16" t="str">
        <f aca="false">IFERROR(INDEX(Vendor_Master!$D$2:$D$41,MATCH(B529,Vendor_Master!$A$2:$A$41,0)),"Unknown")</f>
        <v>USA</v>
      </c>
      <c r="E529" s="17" t="n">
        <f aca="false">IFERROR(INDEX(Vendor_Master!$E$2:$E$41,MATCH(B529,Vendor_Master!$A$2:$A$41,0)),"")</f>
        <v>45572</v>
      </c>
      <c r="F529" s="17" t="n">
        <f aca="false">Payment_Log_AP!D526</f>
        <v>45745</v>
      </c>
      <c r="G529" s="18" t="n">
        <f aca="false">Payment_Log_AP!E526</f>
        <v>19832.55</v>
      </c>
      <c r="H529" s="16" t="n">
        <f aca="false">IF(G529&gt;=Assumptions!$B$7,40,IF(G529&gt;=Assumptions!$B$8,20,0))</f>
        <v>40</v>
      </c>
      <c r="I529" s="16" t="n">
        <f aca="false">IF(MOD(G529,500)=0,20,IF(MOD(G529,100)=0,10,0))</f>
        <v>0</v>
      </c>
      <c r="J529" s="16" t="n">
        <f aca="false">IF(AND(E529&lt;&gt;"",F529-E529&lt;=Assumptions!$B$9),25,0)</f>
        <v>25</v>
      </c>
      <c r="K529" s="16" t="n">
        <f aca="false">IF(ISNUMBER(SEARCH(D529,Assumptions!$B$10)),15,0)</f>
        <v>0</v>
      </c>
      <c r="L529" s="16" t="n">
        <f aca="false">H529+I529+J529+K529</f>
        <v>65</v>
      </c>
      <c r="M529" s="16" t="str">
        <f aca="false">IF(L529&gt;=60,"High",IF(L529&gt;=30,"Medium","Low"))</f>
        <v>High</v>
      </c>
    </row>
    <row r="530" customFormat="false" ht="15" hidden="false" customHeight="false" outlineLevel="0" collapsed="false">
      <c r="A530" s="16" t="str">
        <f aca="false">Payment_Log_AP!A527</f>
        <v>PAY40526</v>
      </c>
      <c r="B530" s="16" t="str">
        <f aca="false">Payment_Log_AP!C527</f>
        <v>V1009</v>
      </c>
      <c r="C530" s="16" t="str">
        <f aca="false">IFERROR(INDEX(Vendor_Master!$B$2:$B$41,MATCH(B530,Vendor_Master!$A$2:$A$41,0)),"Unknown Vendor")</f>
        <v>Munoz-Roman</v>
      </c>
      <c r="D530" s="16" t="str">
        <f aca="false">IFERROR(INDEX(Vendor_Master!$D$2:$D$41,MATCH(B530,Vendor_Master!$A$2:$A$41,0)),"Unknown")</f>
        <v>India</v>
      </c>
      <c r="E530" s="17" t="n">
        <f aca="false">IFERROR(INDEX(Vendor_Master!$E$2:$E$41,MATCH(B530,Vendor_Master!$A$2:$A$41,0)),"")</f>
        <v>45129</v>
      </c>
      <c r="F530" s="17" t="n">
        <f aca="false">Payment_Log_AP!D527</f>
        <v>46119</v>
      </c>
      <c r="G530" s="18" t="n">
        <f aca="false">Payment_Log_AP!E527</f>
        <v>2360.64</v>
      </c>
      <c r="H530" s="16" t="n">
        <f aca="false">IF(G530&gt;=Assumptions!$B$7,40,IF(G530&gt;=Assumptions!$B$8,20,0))</f>
        <v>0</v>
      </c>
      <c r="I530" s="16" t="n">
        <f aca="false">IF(MOD(G530,500)=0,20,IF(MOD(G530,100)=0,10,0))</f>
        <v>0</v>
      </c>
      <c r="J530" s="16" t="n">
        <f aca="false">IF(AND(E530&lt;&gt;"",F530-E530&lt;=Assumptions!$B$9),25,0)</f>
        <v>0</v>
      </c>
      <c r="K530" s="16" t="n">
        <f aca="false">IF(ISNUMBER(SEARCH(D530,Assumptions!$B$10)),15,0)</f>
        <v>15</v>
      </c>
      <c r="L530" s="16" t="n">
        <f aca="false">H530+I530+J530+K530</f>
        <v>15</v>
      </c>
      <c r="M530" s="16" t="str">
        <f aca="false">IF(L530&gt;=60,"High",IF(L530&gt;=30,"Medium","Low"))</f>
        <v>Low</v>
      </c>
    </row>
    <row r="531" customFormat="false" ht="15" hidden="false" customHeight="false" outlineLevel="0" collapsed="false">
      <c r="A531" s="16" t="str">
        <f aca="false">Payment_Log_AP!A528</f>
        <v>PAY40527</v>
      </c>
      <c r="B531" s="16" t="str">
        <f aca="false">Payment_Log_AP!C528</f>
        <v>V1009</v>
      </c>
      <c r="C531" s="16" t="str">
        <f aca="false">IFERROR(INDEX(Vendor_Master!$B$2:$B$41,MATCH(B531,Vendor_Master!$A$2:$A$41,0)),"Unknown Vendor")</f>
        <v>Munoz-Roman</v>
      </c>
      <c r="D531" s="16" t="str">
        <f aca="false">IFERROR(INDEX(Vendor_Master!$D$2:$D$41,MATCH(B531,Vendor_Master!$A$2:$A$41,0)),"Unknown")</f>
        <v>India</v>
      </c>
      <c r="E531" s="17" t="n">
        <f aca="false">IFERROR(INDEX(Vendor_Master!$E$2:$E$41,MATCH(B531,Vendor_Master!$A$2:$A$41,0)),"")</f>
        <v>45129</v>
      </c>
      <c r="F531" s="17" t="n">
        <f aca="false">Payment_Log_AP!D528</f>
        <v>45781</v>
      </c>
      <c r="G531" s="18" t="n">
        <f aca="false">Payment_Log_AP!E528</f>
        <v>1484.72</v>
      </c>
      <c r="H531" s="16" t="n">
        <f aca="false">IF(G531&gt;=Assumptions!$B$7,40,IF(G531&gt;=Assumptions!$B$8,20,0))</f>
        <v>0</v>
      </c>
      <c r="I531" s="16" t="n">
        <f aca="false">IF(MOD(G531,500)=0,20,IF(MOD(G531,100)=0,10,0))</f>
        <v>0</v>
      </c>
      <c r="J531" s="16" t="n">
        <f aca="false">IF(AND(E531&lt;&gt;"",F531-E531&lt;=Assumptions!$B$9),25,0)</f>
        <v>0</v>
      </c>
      <c r="K531" s="16" t="n">
        <f aca="false">IF(ISNUMBER(SEARCH(D531,Assumptions!$B$10)),15,0)</f>
        <v>15</v>
      </c>
      <c r="L531" s="16" t="n">
        <f aca="false">H531+I531+J531+K531</f>
        <v>15</v>
      </c>
      <c r="M531" s="16" t="str">
        <f aca="false">IF(L531&gt;=60,"High",IF(L531&gt;=30,"Medium","Low"))</f>
        <v>Low</v>
      </c>
    </row>
    <row r="532" customFormat="false" ht="15" hidden="false" customHeight="false" outlineLevel="0" collapsed="false">
      <c r="A532" s="16" t="str">
        <f aca="false">Payment_Log_AP!A529</f>
        <v>PAY40528</v>
      </c>
      <c r="B532" s="16" t="str">
        <f aca="false">Payment_Log_AP!C529</f>
        <v>V1018</v>
      </c>
      <c r="C532" s="16" t="str">
        <f aca="false">IFERROR(INDEX(Vendor_Master!$B$2:$B$41,MATCH(B532,Vendor_Master!$A$2:$A$41,0)),"Unknown Vendor")</f>
        <v>Underwood LLC</v>
      </c>
      <c r="D532" s="16" t="str">
        <f aca="false">IFERROR(INDEX(Vendor_Master!$D$2:$D$41,MATCH(B532,Vendor_Master!$A$2:$A$41,0)),"Unknown")</f>
        <v>UAE</v>
      </c>
      <c r="E532" s="17" t="n">
        <f aca="false">IFERROR(INDEX(Vendor_Master!$E$2:$E$41,MATCH(B532,Vendor_Master!$A$2:$A$41,0)),"")</f>
        <v>45788</v>
      </c>
      <c r="F532" s="17" t="n">
        <f aca="false">Payment_Log_AP!D529</f>
        <v>45771</v>
      </c>
      <c r="G532" s="18" t="n">
        <f aca="false">Payment_Log_AP!E529</f>
        <v>1627.91</v>
      </c>
      <c r="H532" s="16" t="n">
        <f aca="false">IF(G532&gt;=Assumptions!$B$7,40,IF(G532&gt;=Assumptions!$B$8,20,0))</f>
        <v>0</v>
      </c>
      <c r="I532" s="16" t="n">
        <f aca="false">IF(MOD(G532,500)=0,20,IF(MOD(G532,100)=0,10,0))</f>
        <v>0</v>
      </c>
      <c r="J532" s="16" t="n">
        <f aca="false">IF(AND(E532&lt;&gt;"",F532-E532&lt;=Assumptions!$B$9),25,0)</f>
        <v>25</v>
      </c>
      <c r="K532" s="16" t="n">
        <f aca="false">IF(ISNUMBER(SEARCH(D532,Assumptions!$B$10)),15,0)</f>
        <v>15</v>
      </c>
      <c r="L532" s="16" t="n">
        <f aca="false">H532+I532+J532+K532</f>
        <v>40</v>
      </c>
      <c r="M532" s="16" t="str">
        <f aca="false">IF(L532&gt;=60,"High",IF(L532&gt;=30,"Medium","Low"))</f>
        <v>Medium</v>
      </c>
    </row>
    <row r="533" customFormat="false" ht="15" hidden="false" customHeight="false" outlineLevel="0" collapsed="false">
      <c r="A533" s="16" t="str">
        <f aca="false">Payment_Log_AP!A530</f>
        <v>PAY40529</v>
      </c>
      <c r="B533" s="16" t="str">
        <f aca="false">Payment_Log_AP!C530</f>
        <v>V1001</v>
      </c>
      <c r="C533" s="16" t="str">
        <f aca="false">IFERROR(INDEX(Vendor_Master!$B$2:$B$41,MATCH(B533,Vendor_Master!$A$2:$A$41,0)),"Unknown Vendor")</f>
        <v>Figueroa and Sons</v>
      </c>
      <c r="D533" s="16" t="str">
        <f aca="false">IFERROR(INDEX(Vendor_Master!$D$2:$D$41,MATCH(B533,Vendor_Master!$A$2:$A$41,0)),"Unknown")</f>
        <v>USA</v>
      </c>
      <c r="E533" s="17" t="n">
        <f aca="false">IFERROR(INDEX(Vendor_Master!$E$2:$E$41,MATCH(B533,Vendor_Master!$A$2:$A$41,0)),"")</f>
        <v>45572</v>
      </c>
      <c r="F533" s="17" t="n">
        <f aca="false">Payment_Log_AP!D530</f>
        <v>45979</v>
      </c>
      <c r="G533" s="18" t="n">
        <f aca="false">Payment_Log_AP!E530</f>
        <v>1311.69</v>
      </c>
      <c r="H533" s="16" t="n">
        <f aca="false">IF(G533&gt;=Assumptions!$B$7,40,IF(G533&gt;=Assumptions!$B$8,20,0))</f>
        <v>0</v>
      </c>
      <c r="I533" s="16" t="n">
        <f aca="false">IF(MOD(G533,500)=0,20,IF(MOD(G533,100)=0,10,0))</f>
        <v>0</v>
      </c>
      <c r="J533" s="16" t="n">
        <f aca="false">IF(AND(E533&lt;&gt;"",F533-E533&lt;=Assumptions!$B$9),25,0)</f>
        <v>0</v>
      </c>
      <c r="K533" s="16" t="n">
        <f aca="false">IF(ISNUMBER(SEARCH(D533,Assumptions!$B$10)),15,0)</f>
        <v>0</v>
      </c>
      <c r="L533" s="16" t="n">
        <f aca="false">H533+I533+J533+K533</f>
        <v>0</v>
      </c>
      <c r="M533" s="16" t="str">
        <f aca="false">IF(L533&gt;=60,"High",IF(L533&gt;=30,"Medium","Low"))</f>
        <v>Low</v>
      </c>
    </row>
    <row r="534" customFormat="false" ht="15" hidden="false" customHeight="false" outlineLevel="0" collapsed="false">
      <c r="A534" s="16" t="str">
        <f aca="false">Payment_Log_AP!A531</f>
        <v>PAY40530</v>
      </c>
      <c r="B534" s="16" t="str">
        <f aca="false">Payment_Log_AP!C531</f>
        <v>V1001</v>
      </c>
      <c r="C534" s="16" t="str">
        <f aca="false">IFERROR(INDEX(Vendor_Master!$B$2:$B$41,MATCH(B534,Vendor_Master!$A$2:$A$41,0)),"Unknown Vendor")</f>
        <v>Figueroa and Sons</v>
      </c>
      <c r="D534" s="16" t="str">
        <f aca="false">IFERROR(INDEX(Vendor_Master!$D$2:$D$41,MATCH(B534,Vendor_Master!$A$2:$A$41,0)),"Unknown")</f>
        <v>USA</v>
      </c>
      <c r="E534" s="17" t="n">
        <f aca="false">IFERROR(INDEX(Vendor_Master!$E$2:$E$41,MATCH(B534,Vendor_Master!$A$2:$A$41,0)),"")</f>
        <v>45572</v>
      </c>
      <c r="F534" s="17" t="n">
        <f aca="false">Payment_Log_AP!D531</f>
        <v>45971</v>
      </c>
      <c r="G534" s="18" t="n">
        <f aca="false">Payment_Log_AP!E531</f>
        <v>1090.07</v>
      </c>
      <c r="H534" s="16" t="n">
        <f aca="false">IF(G534&gt;=Assumptions!$B$7,40,IF(G534&gt;=Assumptions!$B$8,20,0))</f>
        <v>0</v>
      </c>
      <c r="I534" s="16" t="n">
        <f aca="false">IF(MOD(G534,500)=0,20,IF(MOD(G534,100)=0,10,0))</f>
        <v>0</v>
      </c>
      <c r="J534" s="16" t="n">
        <f aca="false">IF(AND(E534&lt;&gt;"",F534-E534&lt;=Assumptions!$B$9),25,0)</f>
        <v>0</v>
      </c>
      <c r="K534" s="16" t="n">
        <f aca="false">IF(ISNUMBER(SEARCH(D534,Assumptions!$B$10)),15,0)</f>
        <v>0</v>
      </c>
      <c r="L534" s="16" t="n">
        <f aca="false">H534+I534+J534+K534</f>
        <v>0</v>
      </c>
      <c r="M534" s="16" t="str">
        <f aca="false">IF(L534&gt;=60,"High",IF(L534&gt;=30,"Medium","Low"))</f>
        <v>Low</v>
      </c>
    </row>
    <row r="535" customFormat="false" ht="15" hidden="false" customHeight="false" outlineLevel="0" collapsed="false">
      <c r="A535" s="16" t="str">
        <f aca="false">Payment_Log_AP!A532</f>
        <v>PAY40531</v>
      </c>
      <c r="B535" s="16" t="str">
        <f aca="false">Payment_Log_AP!C532</f>
        <v>V1001</v>
      </c>
      <c r="C535" s="16" t="str">
        <f aca="false">IFERROR(INDEX(Vendor_Master!$B$2:$B$41,MATCH(B535,Vendor_Master!$A$2:$A$41,0)),"Unknown Vendor")</f>
        <v>Figueroa and Sons</v>
      </c>
      <c r="D535" s="16" t="str">
        <f aca="false">IFERROR(INDEX(Vendor_Master!$D$2:$D$41,MATCH(B535,Vendor_Master!$A$2:$A$41,0)),"Unknown")</f>
        <v>USA</v>
      </c>
      <c r="E535" s="17" t="n">
        <f aca="false">IFERROR(INDEX(Vendor_Master!$E$2:$E$41,MATCH(B535,Vendor_Master!$A$2:$A$41,0)),"")</f>
        <v>45572</v>
      </c>
      <c r="F535" s="17" t="n">
        <f aca="false">Payment_Log_AP!D532</f>
        <v>45981</v>
      </c>
      <c r="G535" s="18" t="n">
        <f aca="false">Payment_Log_AP!E532</f>
        <v>1090.07</v>
      </c>
      <c r="H535" s="16" t="n">
        <f aca="false">IF(G535&gt;=Assumptions!$B$7,40,IF(G535&gt;=Assumptions!$B$8,20,0))</f>
        <v>0</v>
      </c>
      <c r="I535" s="16" t="n">
        <f aca="false">IF(MOD(G535,500)=0,20,IF(MOD(G535,100)=0,10,0))</f>
        <v>0</v>
      </c>
      <c r="J535" s="16" t="n">
        <f aca="false">IF(AND(E535&lt;&gt;"",F535-E535&lt;=Assumptions!$B$9),25,0)</f>
        <v>0</v>
      </c>
      <c r="K535" s="16" t="n">
        <f aca="false">IF(ISNUMBER(SEARCH(D535,Assumptions!$B$10)),15,0)</f>
        <v>0</v>
      </c>
      <c r="L535" s="16" t="n">
        <f aca="false">H535+I535+J535+K535</f>
        <v>0</v>
      </c>
      <c r="M535" s="16" t="str">
        <f aca="false">IF(L535&gt;=60,"High",IF(L535&gt;=30,"Medium","Low"))</f>
        <v>Low</v>
      </c>
    </row>
    <row r="536" customFormat="false" ht="15" hidden="false" customHeight="false" outlineLevel="0" collapsed="false">
      <c r="A536" s="16" t="str">
        <f aca="false">Payment_Log_AP!A533</f>
        <v>PAY40532</v>
      </c>
      <c r="B536" s="16" t="str">
        <f aca="false">Payment_Log_AP!C533</f>
        <v>V1024</v>
      </c>
      <c r="C536" s="16" t="str">
        <f aca="false">IFERROR(INDEX(Vendor_Master!$B$2:$B$41,MATCH(B536,Vendor_Master!$A$2:$A$41,0)),"Unknown Vendor")</f>
        <v>Campos Inc</v>
      </c>
      <c r="D536" s="16" t="str">
        <f aca="false">IFERROR(INDEX(Vendor_Master!$D$2:$D$41,MATCH(B536,Vendor_Master!$A$2:$A$41,0)),"Unknown")</f>
        <v>USA</v>
      </c>
      <c r="E536" s="17" t="n">
        <f aca="false">IFERROR(INDEX(Vendor_Master!$E$2:$E$41,MATCH(B536,Vendor_Master!$A$2:$A$41,0)),"")</f>
        <v>45367</v>
      </c>
      <c r="F536" s="17" t="n">
        <f aca="false">Payment_Log_AP!D533</f>
        <v>46116</v>
      </c>
      <c r="G536" s="18" t="n">
        <f aca="false">Payment_Log_AP!E533</f>
        <v>2753.96</v>
      </c>
      <c r="H536" s="16" t="n">
        <f aca="false">IF(G536&gt;=Assumptions!$B$7,40,IF(G536&gt;=Assumptions!$B$8,20,0))</f>
        <v>0</v>
      </c>
      <c r="I536" s="16" t="n">
        <f aca="false">IF(MOD(G536,500)=0,20,IF(MOD(G536,100)=0,10,0))</f>
        <v>0</v>
      </c>
      <c r="J536" s="16" t="n">
        <f aca="false">IF(AND(E536&lt;&gt;"",F536-E536&lt;=Assumptions!$B$9),25,0)</f>
        <v>0</v>
      </c>
      <c r="K536" s="16" t="n">
        <f aca="false">IF(ISNUMBER(SEARCH(D536,Assumptions!$B$10)),15,0)</f>
        <v>0</v>
      </c>
      <c r="L536" s="16" t="n">
        <f aca="false">H536+I536+J536+K536</f>
        <v>0</v>
      </c>
      <c r="M536" s="16" t="str">
        <f aca="false">IF(L536&gt;=60,"High",IF(L536&gt;=30,"Medium","Low"))</f>
        <v>Low</v>
      </c>
    </row>
    <row r="537" customFormat="false" ht="15" hidden="false" customHeight="false" outlineLevel="0" collapsed="false">
      <c r="A537" s="16" t="str">
        <f aca="false">Payment_Log_AP!A534</f>
        <v>PAY40533</v>
      </c>
      <c r="B537" s="16" t="str">
        <f aca="false">Payment_Log_AP!C534</f>
        <v>V1013</v>
      </c>
      <c r="C537" s="16" t="str">
        <f aca="false">IFERROR(INDEX(Vendor_Master!$B$2:$B$41,MATCH(B537,Vendor_Master!$A$2:$A$41,0)),"Unknown Vendor")</f>
        <v>Delacruz Group</v>
      </c>
      <c r="D537" s="16" t="str">
        <f aca="false">IFERROR(INDEX(Vendor_Master!$D$2:$D$41,MATCH(B537,Vendor_Master!$A$2:$A$41,0)),"Unknown")</f>
        <v>USA</v>
      </c>
      <c r="E537" s="17" t="n">
        <f aca="false">IFERROR(INDEX(Vendor_Master!$E$2:$E$41,MATCH(B537,Vendor_Master!$A$2:$A$41,0)),"")</f>
        <v>46119</v>
      </c>
      <c r="F537" s="17" t="n">
        <f aca="false">Payment_Log_AP!D534</f>
        <v>45804</v>
      </c>
      <c r="G537" s="18" t="n">
        <f aca="false">Payment_Log_AP!E534</f>
        <v>5478.24</v>
      </c>
      <c r="H537" s="16" t="n">
        <f aca="false">IF(G537&gt;=Assumptions!$B$7,40,IF(G537&gt;=Assumptions!$B$8,20,0))</f>
        <v>20</v>
      </c>
      <c r="I537" s="16" t="n">
        <f aca="false">IF(MOD(G537,500)=0,20,IF(MOD(G537,100)=0,10,0))</f>
        <v>0</v>
      </c>
      <c r="J537" s="16" t="n">
        <f aca="false">IF(AND(E537&lt;&gt;"",F537-E537&lt;=Assumptions!$B$9),25,0)</f>
        <v>25</v>
      </c>
      <c r="K537" s="16" t="n">
        <f aca="false">IF(ISNUMBER(SEARCH(D537,Assumptions!$B$10)),15,0)</f>
        <v>0</v>
      </c>
      <c r="L537" s="16" t="n">
        <f aca="false">H537+I537+J537+K537</f>
        <v>45</v>
      </c>
      <c r="M537" s="16" t="str">
        <f aca="false">IF(L537&gt;=60,"High",IF(L537&gt;=30,"Medium","Low"))</f>
        <v>Medium</v>
      </c>
    </row>
    <row r="538" customFormat="false" ht="15" hidden="false" customHeight="false" outlineLevel="0" collapsed="false">
      <c r="A538" s="16" t="str">
        <f aca="false">Payment_Log_AP!A535</f>
        <v>PAY40534</v>
      </c>
      <c r="B538" s="16" t="str">
        <f aca="false">Payment_Log_AP!C535</f>
        <v>V1013</v>
      </c>
      <c r="C538" s="16" t="str">
        <f aca="false">IFERROR(INDEX(Vendor_Master!$B$2:$B$41,MATCH(B538,Vendor_Master!$A$2:$A$41,0)),"Unknown Vendor")</f>
        <v>Delacruz Group</v>
      </c>
      <c r="D538" s="16" t="str">
        <f aca="false">IFERROR(INDEX(Vendor_Master!$D$2:$D$41,MATCH(B538,Vendor_Master!$A$2:$A$41,0)),"Unknown")</f>
        <v>USA</v>
      </c>
      <c r="E538" s="17" t="n">
        <f aca="false">IFERROR(INDEX(Vendor_Master!$E$2:$E$41,MATCH(B538,Vendor_Master!$A$2:$A$41,0)),"")</f>
        <v>46119</v>
      </c>
      <c r="F538" s="17" t="n">
        <f aca="false">Payment_Log_AP!D535</f>
        <v>45812</v>
      </c>
      <c r="G538" s="18" t="n">
        <f aca="false">Payment_Log_AP!E535</f>
        <v>5478.24</v>
      </c>
      <c r="H538" s="16" t="n">
        <f aca="false">IF(G538&gt;=Assumptions!$B$7,40,IF(G538&gt;=Assumptions!$B$8,20,0))</f>
        <v>20</v>
      </c>
      <c r="I538" s="16" t="n">
        <f aca="false">IF(MOD(G538,500)=0,20,IF(MOD(G538,100)=0,10,0))</f>
        <v>0</v>
      </c>
      <c r="J538" s="16" t="n">
        <f aca="false">IF(AND(E538&lt;&gt;"",F538-E538&lt;=Assumptions!$B$9),25,0)</f>
        <v>25</v>
      </c>
      <c r="K538" s="16" t="n">
        <f aca="false">IF(ISNUMBER(SEARCH(D538,Assumptions!$B$10)),15,0)</f>
        <v>0</v>
      </c>
      <c r="L538" s="16" t="n">
        <f aca="false">H538+I538+J538+K538</f>
        <v>45</v>
      </c>
      <c r="M538" s="16" t="str">
        <f aca="false">IF(L538&gt;=60,"High",IF(L538&gt;=30,"Medium","Low"))</f>
        <v>Medium</v>
      </c>
    </row>
    <row r="539" customFormat="false" ht="15" hidden="false" customHeight="false" outlineLevel="0" collapsed="false">
      <c r="A539" s="16" t="str">
        <f aca="false">Payment_Log_AP!A536</f>
        <v>PAY40535</v>
      </c>
      <c r="B539" s="16" t="str">
        <f aca="false">Payment_Log_AP!C536</f>
        <v>V1009</v>
      </c>
      <c r="C539" s="16" t="str">
        <f aca="false">IFERROR(INDEX(Vendor_Master!$B$2:$B$41,MATCH(B539,Vendor_Master!$A$2:$A$41,0)),"Unknown Vendor")</f>
        <v>Munoz-Roman</v>
      </c>
      <c r="D539" s="16" t="str">
        <f aca="false">IFERROR(INDEX(Vendor_Master!$D$2:$D$41,MATCH(B539,Vendor_Master!$A$2:$A$41,0)),"Unknown")</f>
        <v>India</v>
      </c>
      <c r="E539" s="17" t="n">
        <f aca="false">IFERROR(INDEX(Vendor_Master!$E$2:$E$41,MATCH(B539,Vendor_Master!$A$2:$A$41,0)),"")</f>
        <v>45129</v>
      </c>
      <c r="F539" s="17" t="n">
        <f aca="false">Payment_Log_AP!D536</f>
        <v>46117</v>
      </c>
      <c r="G539" s="18" t="n">
        <f aca="false">Payment_Log_AP!E536</f>
        <v>581.73</v>
      </c>
      <c r="H539" s="16" t="n">
        <f aca="false">IF(G539&gt;=Assumptions!$B$7,40,IF(G539&gt;=Assumptions!$B$8,20,0))</f>
        <v>0</v>
      </c>
      <c r="I539" s="16" t="n">
        <f aca="false">IF(MOD(G539,500)=0,20,IF(MOD(G539,100)=0,10,0))</f>
        <v>0</v>
      </c>
      <c r="J539" s="16" t="n">
        <f aca="false">IF(AND(E539&lt;&gt;"",F539-E539&lt;=Assumptions!$B$9),25,0)</f>
        <v>0</v>
      </c>
      <c r="K539" s="16" t="n">
        <f aca="false">IF(ISNUMBER(SEARCH(D539,Assumptions!$B$10)),15,0)</f>
        <v>15</v>
      </c>
      <c r="L539" s="16" t="n">
        <f aca="false">H539+I539+J539+K539</f>
        <v>15</v>
      </c>
      <c r="M539" s="16" t="str">
        <f aca="false">IF(L539&gt;=60,"High",IF(L539&gt;=30,"Medium","Low"))</f>
        <v>Low</v>
      </c>
    </row>
    <row r="540" customFormat="false" ht="15" hidden="false" customHeight="false" outlineLevel="0" collapsed="false">
      <c r="A540" s="16" t="str">
        <f aca="false">Payment_Log_AP!A537</f>
        <v>PAY40536</v>
      </c>
      <c r="B540" s="16" t="str">
        <f aca="false">Payment_Log_AP!C537</f>
        <v>V1005</v>
      </c>
      <c r="C540" s="16" t="str">
        <f aca="false">IFERROR(INDEX(Vendor_Master!$B$2:$B$41,MATCH(B540,Vendor_Master!$A$2:$A$41,0)),"Unknown Vendor")</f>
        <v>Cole LLC</v>
      </c>
      <c r="D540" s="16" t="str">
        <f aca="false">IFERROR(INDEX(Vendor_Master!$D$2:$D$41,MATCH(B540,Vendor_Master!$A$2:$A$41,0)),"Unknown")</f>
        <v>UK</v>
      </c>
      <c r="E540" s="17" t="n">
        <f aca="false">IFERROR(INDEX(Vendor_Master!$E$2:$E$41,MATCH(B540,Vendor_Master!$A$2:$A$41,0)),"")</f>
        <v>45423</v>
      </c>
      <c r="F540" s="17" t="n">
        <f aca="false">Payment_Log_AP!D537</f>
        <v>45948</v>
      </c>
      <c r="G540" s="18" t="n">
        <f aca="false">Payment_Log_AP!E537</f>
        <v>2739.78</v>
      </c>
      <c r="H540" s="16" t="n">
        <f aca="false">IF(G540&gt;=Assumptions!$B$7,40,IF(G540&gt;=Assumptions!$B$8,20,0))</f>
        <v>0</v>
      </c>
      <c r="I540" s="16" t="n">
        <f aca="false">IF(MOD(G540,500)=0,20,IF(MOD(G540,100)=0,10,0))</f>
        <v>0</v>
      </c>
      <c r="J540" s="16" t="n">
        <f aca="false">IF(AND(E540&lt;&gt;"",F540-E540&lt;=Assumptions!$B$9),25,0)</f>
        <v>0</v>
      </c>
      <c r="K540" s="16" t="n">
        <f aca="false">IF(ISNUMBER(SEARCH(D540,Assumptions!$B$10)),15,0)</f>
        <v>0</v>
      </c>
      <c r="L540" s="16" t="n">
        <f aca="false">H540+I540+J540+K540</f>
        <v>0</v>
      </c>
      <c r="M540" s="16" t="str">
        <f aca="false">IF(L540&gt;=60,"High",IF(L540&gt;=30,"Medium","Low"))</f>
        <v>Low</v>
      </c>
    </row>
    <row r="541" customFormat="false" ht="15" hidden="false" customHeight="false" outlineLevel="0" collapsed="false">
      <c r="A541" s="16" t="str">
        <f aca="false">Payment_Log_AP!A538</f>
        <v>PAY40537</v>
      </c>
      <c r="B541" s="16" t="str">
        <f aca="false">Payment_Log_AP!C538</f>
        <v>V1005</v>
      </c>
      <c r="C541" s="16" t="str">
        <f aca="false">IFERROR(INDEX(Vendor_Master!$B$2:$B$41,MATCH(B541,Vendor_Master!$A$2:$A$41,0)),"Unknown Vendor")</f>
        <v>Cole LLC</v>
      </c>
      <c r="D541" s="16" t="str">
        <f aca="false">IFERROR(INDEX(Vendor_Master!$D$2:$D$41,MATCH(B541,Vendor_Master!$A$2:$A$41,0)),"Unknown")</f>
        <v>UK</v>
      </c>
      <c r="E541" s="17" t="n">
        <f aca="false">IFERROR(INDEX(Vendor_Master!$E$2:$E$41,MATCH(B541,Vendor_Master!$A$2:$A$41,0)),"")</f>
        <v>45423</v>
      </c>
      <c r="F541" s="17" t="n">
        <f aca="false">Payment_Log_AP!D538</f>
        <v>45955</v>
      </c>
      <c r="G541" s="18" t="n">
        <f aca="false">Payment_Log_AP!E538</f>
        <v>2739.78</v>
      </c>
      <c r="H541" s="16" t="n">
        <f aca="false">IF(G541&gt;=Assumptions!$B$7,40,IF(G541&gt;=Assumptions!$B$8,20,0))</f>
        <v>0</v>
      </c>
      <c r="I541" s="16" t="n">
        <f aca="false">IF(MOD(G541,500)=0,20,IF(MOD(G541,100)=0,10,0))</f>
        <v>0</v>
      </c>
      <c r="J541" s="16" t="n">
        <f aca="false">IF(AND(E541&lt;&gt;"",F541-E541&lt;=Assumptions!$B$9),25,0)</f>
        <v>0</v>
      </c>
      <c r="K541" s="16" t="n">
        <f aca="false">IF(ISNUMBER(SEARCH(D541,Assumptions!$B$10)),15,0)</f>
        <v>0</v>
      </c>
      <c r="L541" s="16" t="n">
        <f aca="false">H541+I541+J541+K541</f>
        <v>0</v>
      </c>
      <c r="M541" s="16" t="str">
        <f aca="false">IF(L541&gt;=60,"High",IF(L541&gt;=30,"Medium","Low"))</f>
        <v>Low</v>
      </c>
    </row>
    <row r="542" customFormat="false" ht="15" hidden="false" customHeight="false" outlineLevel="0" collapsed="false">
      <c r="A542" s="16" t="str">
        <f aca="false">Payment_Log_AP!A539</f>
        <v>PAY40538</v>
      </c>
      <c r="B542" s="16" t="str">
        <f aca="false">Payment_Log_AP!C539</f>
        <v>V1011</v>
      </c>
      <c r="C542" s="16" t="str">
        <f aca="false">IFERROR(INDEX(Vendor_Master!$B$2:$B$41,MATCH(B542,Vendor_Master!$A$2:$A$41,0)),"Unknown Vendor")</f>
        <v>Montgomery, Hensley and Ray</v>
      </c>
      <c r="D542" s="16" t="str">
        <f aca="false">IFERROR(INDEX(Vendor_Master!$D$2:$D$41,MATCH(B542,Vendor_Master!$A$2:$A$41,0)),"Unknown")</f>
        <v>USA</v>
      </c>
      <c r="E542" s="17" t="n">
        <f aca="false">IFERROR(INDEX(Vendor_Master!$E$2:$E$41,MATCH(B542,Vendor_Master!$A$2:$A$41,0)),"")</f>
        <v>45025</v>
      </c>
      <c r="F542" s="17" t="n">
        <f aca="false">Payment_Log_AP!D539</f>
        <v>46142</v>
      </c>
      <c r="G542" s="18" t="n">
        <f aca="false">Payment_Log_AP!E539</f>
        <v>329.34</v>
      </c>
      <c r="H542" s="16" t="n">
        <f aca="false">IF(G542&gt;=Assumptions!$B$7,40,IF(G542&gt;=Assumptions!$B$8,20,0))</f>
        <v>0</v>
      </c>
      <c r="I542" s="16" t="n">
        <f aca="false">IF(MOD(G542,500)=0,20,IF(MOD(G542,100)=0,10,0))</f>
        <v>0</v>
      </c>
      <c r="J542" s="16" t="n">
        <f aca="false">IF(AND(E542&lt;&gt;"",F542-E542&lt;=Assumptions!$B$9),25,0)</f>
        <v>0</v>
      </c>
      <c r="K542" s="16" t="n">
        <f aca="false">IF(ISNUMBER(SEARCH(D542,Assumptions!$B$10)),15,0)</f>
        <v>0</v>
      </c>
      <c r="L542" s="16" t="n">
        <f aca="false">H542+I542+J542+K542</f>
        <v>0</v>
      </c>
      <c r="M542" s="16" t="str">
        <f aca="false">IF(L542&gt;=60,"High",IF(L542&gt;=30,"Medium","Low"))</f>
        <v>Low</v>
      </c>
    </row>
    <row r="543" customFormat="false" ht="15" hidden="false" customHeight="false" outlineLevel="0" collapsed="false">
      <c r="A543" s="16" t="str">
        <f aca="false">Payment_Log_AP!A540</f>
        <v>PAY40539</v>
      </c>
      <c r="B543" s="16" t="str">
        <f aca="false">Payment_Log_AP!C540</f>
        <v>V1024</v>
      </c>
      <c r="C543" s="16" t="str">
        <f aca="false">IFERROR(INDEX(Vendor_Master!$B$2:$B$41,MATCH(B543,Vendor_Master!$A$2:$A$41,0)),"Unknown Vendor")</f>
        <v>Campos Inc</v>
      </c>
      <c r="D543" s="16" t="str">
        <f aca="false">IFERROR(INDEX(Vendor_Master!$D$2:$D$41,MATCH(B543,Vendor_Master!$A$2:$A$41,0)),"Unknown")</f>
        <v>USA</v>
      </c>
      <c r="E543" s="17" t="n">
        <f aca="false">IFERROR(INDEX(Vendor_Master!$E$2:$E$41,MATCH(B543,Vendor_Master!$A$2:$A$41,0)),"")</f>
        <v>45367</v>
      </c>
      <c r="F543" s="17" t="n">
        <f aca="false">Payment_Log_AP!D540</f>
        <v>45864</v>
      </c>
      <c r="G543" s="18" t="n">
        <f aca="false">Payment_Log_AP!E540</f>
        <v>5307.07</v>
      </c>
      <c r="H543" s="16" t="n">
        <f aca="false">IF(G543&gt;=Assumptions!$B$7,40,IF(G543&gt;=Assumptions!$B$8,20,0))</f>
        <v>20</v>
      </c>
      <c r="I543" s="16" t="n">
        <f aca="false">IF(MOD(G543,500)=0,20,IF(MOD(G543,100)=0,10,0))</f>
        <v>0</v>
      </c>
      <c r="J543" s="16" t="n">
        <f aca="false">IF(AND(E543&lt;&gt;"",F543-E543&lt;=Assumptions!$B$9),25,0)</f>
        <v>0</v>
      </c>
      <c r="K543" s="16" t="n">
        <f aca="false">IF(ISNUMBER(SEARCH(D543,Assumptions!$B$10)),15,0)</f>
        <v>0</v>
      </c>
      <c r="L543" s="16" t="n">
        <f aca="false">H543+I543+J543+K543</f>
        <v>20</v>
      </c>
      <c r="M543" s="16" t="str">
        <f aca="false">IF(L543&gt;=60,"High",IF(L543&gt;=30,"Medium","Low"))</f>
        <v>Low</v>
      </c>
    </row>
    <row r="544" customFormat="false" ht="15" hidden="false" customHeight="false" outlineLevel="0" collapsed="false">
      <c r="A544" s="16" t="str">
        <f aca="false">Payment_Log_AP!A541</f>
        <v>PAY40540</v>
      </c>
      <c r="B544" s="16" t="str">
        <f aca="false">Payment_Log_AP!C541</f>
        <v>V1004</v>
      </c>
      <c r="C544" s="16" t="str">
        <f aca="false">IFERROR(INDEX(Vendor_Master!$B$2:$B$41,MATCH(B544,Vendor_Master!$A$2:$A$41,0)),"Unknown Vendor")</f>
        <v>Johnson, Gonzalez and Santos</v>
      </c>
      <c r="D544" s="16" t="str">
        <f aca="false">IFERROR(INDEX(Vendor_Master!$D$2:$D$41,MATCH(B544,Vendor_Master!$A$2:$A$41,0)),"Unknown")</f>
        <v>Germany</v>
      </c>
      <c r="E544" s="17" t="n">
        <f aca="false">IFERROR(INDEX(Vendor_Master!$E$2:$E$41,MATCH(B544,Vendor_Master!$A$2:$A$41,0)),"")</f>
        <v>44929</v>
      </c>
      <c r="F544" s="17" t="n">
        <f aca="false">Payment_Log_AP!D541</f>
        <v>45765</v>
      </c>
      <c r="G544" s="18" t="n">
        <f aca="false">Payment_Log_AP!E541</f>
        <v>4575.5</v>
      </c>
      <c r="H544" s="16" t="n">
        <f aca="false">IF(G544&gt;=Assumptions!$B$7,40,IF(G544&gt;=Assumptions!$B$8,20,0))</f>
        <v>0</v>
      </c>
      <c r="I544" s="16" t="n">
        <f aca="false">IF(MOD(G544,500)=0,20,IF(MOD(G544,100)=0,10,0))</f>
        <v>0</v>
      </c>
      <c r="J544" s="16" t="n">
        <f aca="false">IF(AND(E544&lt;&gt;"",F544-E544&lt;=Assumptions!$B$9),25,0)</f>
        <v>0</v>
      </c>
      <c r="K544" s="16" t="n">
        <f aca="false">IF(ISNUMBER(SEARCH(D544,Assumptions!$B$10)),15,0)</f>
        <v>0</v>
      </c>
      <c r="L544" s="16" t="n">
        <f aca="false">H544+I544+J544+K544</f>
        <v>0</v>
      </c>
      <c r="M544" s="16" t="str">
        <f aca="false">IF(L544&gt;=60,"High",IF(L544&gt;=30,"Medium","Low"))</f>
        <v>Low</v>
      </c>
    </row>
    <row r="545" customFormat="false" ht="15" hidden="false" customHeight="false" outlineLevel="0" collapsed="false">
      <c r="A545" s="16" t="str">
        <f aca="false">Payment_Log_AP!A542</f>
        <v>PAY40541</v>
      </c>
      <c r="B545" s="16" t="str">
        <f aca="false">Payment_Log_AP!C542</f>
        <v>V1024</v>
      </c>
      <c r="C545" s="16" t="str">
        <f aca="false">IFERROR(INDEX(Vendor_Master!$B$2:$B$41,MATCH(B545,Vendor_Master!$A$2:$A$41,0)),"Unknown Vendor")</f>
        <v>Campos Inc</v>
      </c>
      <c r="D545" s="16" t="str">
        <f aca="false">IFERROR(INDEX(Vendor_Master!$D$2:$D$41,MATCH(B545,Vendor_Master!$A$2:$A$41,0)),"Unknown")</f>
        <v>USA</v>
      </c>
      <c r="E545" s="17" t="n">
        <f aca="false">IFERROR(INDEX(Vendor_Master!$E$2:$E$41,MATCH(B545,Vendor_Master!$A$2:$A$41,0)),"")</f>
        <v>45367</v>
      </c>
      <c r="F545" s="17" t="n">
        <f aca="false">Payment_Log_AP!D542</f>
        <v>45788</v>
      </c>
      <c r="G545" s="18" t="n">
        <f aca="false">Payment_Log_AP!E542</f>
        <v>4978.47</v>
      </c>
      <c r="H545" s="16" t="n">
        <f aca="false">IF(G545&gt;=Assumptions!$B$7,40,IF(G545&gt;=Assumptions!$B$8,20,0))</f>
        <v>0</v>
      </c>
      <c r="I545" s="16" t="n">
        <f aca="false">IF(MOD(G545,500)=0,20,IF(MOD(G545,100)=0,10,0))</f>
        <v>0</v>
      </c>
      <c r="J545" s="16" t="n">
        <f aca="false">IF(AND(E545&lt;&gt;"",F545-E545&lt;=Assumptions!$B$9),25,0)</f>
        <v>0</v>
      </c>
      <c r="K545" s="16" t="n">
        <f aca="false">IF(ISNUMBER(SEARCH(D545,Assumptions!$B$10)),15,0)</f>
        <v>0</v>
      </c>
      <c r="L545" s="16" t="n">
        <f aca="false">H545+I545+J545+K545</f>
        <v>0</v>
      </c>
      <c r="M545" s="16" t="str">
        <f aca="false">IF(L545&gt;=60,"High",IF(L545&gt;=30,"Medium","Low"))</f>
        <v>Low</v>
      </c>
    </row>
    <row r="546" customFormat="false" ht="15" hidden="false" customHeight="false" outlineLevel="0" collapsed="false">
      <c r="A546" s="16" t="str">
        <f aca="false">Payment_Log_AP!A543</f>
        <v>PAY40542</v>
      </c>
      <c r="B546" s="16" t="str">
        <f aca="false">Payment_Log_AP!C543</f>
        <v>V1024</v>
      </c>
      <c r="C546" s="16" t="str">
        <f aca="false">IFERROR(INDEX(Vendor_Master!$B$2:$B$41,MATCH(B546,Vendor_Master!$A$2:$A$41,0)),"Unknown Vendor")</f>
        <v>Campos Inc</v>
      </c>
      <c r="D546" s="16" t="str">
        <f aca="false">IFERROR(INDEX(Vendor_Master!$D$2:$D$41,MATCH(B546,Vendor_Master!$A$2:$A$41,0)),"Unknown")</f>
        <v>USA</v>
      </c>
      <c r="E546" s="17" t="n">
        <f aca="false">IFERROR(INDEX(Vendor_Master!$E$2:$E$41,MATCH(B546,Vendor_Master!$A$2:$A$41,0)),"")</f>
        <v>45367</v>
      </c>
      <c r="F546" s="17" t="n">
        <f aca="false">Payment_Log_AP!D543</f>
        <v>46147</v>
      </c>
      <c r="G546" s="18" t="n">
        <f aca="false">Payment_Log_AP!E543</f>
        <v>4005.11</v>
      </c>
      <c r="H546" s="16" t="n">
        <f aca="false">IF(G546&gt;=Assumptions!$B$7,40,IF(G546&gt;=Assumptions!$B$8,20,0))</f>
        <v>0</v>
      </c>
      <c r="I546" s="16" t="n">
        <f aca="false">IF(MOD(G546,500)=0,20,IF(MOD(G546,100)=0,10,0))</f>
        <v>0</v>
      </c>
      <c r="J546" s="16" t="n">
        <f aca="false">IF(AND(E546&lt;&gt;"",F546-E546&lt;=Assumptions!$B$9),25,0)</f>
        <v>0</v>
      </c>
      <c r="K546" s="16" t="n">
        <f aca="false">IF(ISNUMBER(SEARCH(D546,Assumptions!$B$10)),15,0)</f>
        <v>0</v>
      </c>
      <c r="L546" s="16" t="n">
        <f aca="false">H546+I546+J546+K546</f>
        <v>0</v>
      </c>
      <c r="M546" s="16" t="str">
        <f aca="false">IF(L546&gt;=60,"High",IF(L546&gt;=30,"Medium","Low"))</f>
        <v>Low</v>
      </c>
    </row>
    <row r="547" customFormat="false" ht="15" hidden="false" customHeight="false" outlineLevel="0" collapsed="false">
      <c r="A547" s="16" t="str">
        <f aca="false">Payment_Log_AP!A544</f>
        <v>PAY40543</v>
      </c>
      <c r="B547" s="16" t="str">
        <f aca="false">Payment_Log_AP!C544</f>
        <v>V1003</v>
      </c>
      <c r="C547" s="16" t="str">
        <f aca="false">IFERROR(INDEX(Vendor_Master!$B$2:$B$41,MATCH(B547,Vendor_Master!$A$2:$A$41,0)),"Unknown Vendor")</f>
        <v>Johnson and Sons</v>
      </c>
      <c r="D547" s="16" t="str">
        <f aca="false">IFERROR(INDEX(Vendor_Master!$D$2:$D$41,MATCH(B547,Vendor_Master!$A$2:$A$41,0)),"Unknown")</f>
        <v>UAE</v>
      </c>
      <c r="E547" s="17" t="n">
        <f aca="false">IFERROR(INDEX(Vendor_Master!$E$2:$E$41,MATCH(B547,Vendor_Master!$A$2:$A$41,0)),"")</f>
        <v>45495</v>
      </c>
      <c r="F547" s="17" t="n">
        <f aca="false">Payment_Log_AP!D544</f>
        <v>46090</v>
      </c>
      <c r="G547" s="18" t="n">
        <f aca="false">Payment_Log_AP!E544</f>
        <v>1866.99</v>
      </c>
      <c r="H547" s="16" t="n">
        <f aca="false">IF(G547&gt;=Assumptions!$B$7,40,IF(G547&gt;=Assumptions!$B$8,20,0))</f>
        <v>0</v>
      </c>
      <c r="I547" s="16" t="n">
        <f aca="false">IF(MOD(G547,500)=0,20,IF(MOD(G547,100)=0,10,0))</f>
        <v>0</v>
      </c>
      <c r="J547" s="16" t="n">
        <f aca="false">IF(AND(E547&lt;&gt;"",F547-E547&lt;=Assumptions!$B$9),25,0)</f>
        <v>0</v>
      </c>
      <c r="K547" s="16" t="n">
        <f aca="false">IF(ISNUMBER(SEARCH(D547,Assumptions!$B$10)),15,0)</f>
        <v>15</v>
      </c>
      <c r="L547" s="16" t="n">
        <f aca="false">H547+I547+J547+K547</f>
        <v>15</v>
      </c>
      <c r="M547" s="16" t="str">
        <f aca="false">IF(L547&gt;=60,"High",IF(L547&gt;=30,"Medium","Low"))</f>
        <v>Low</v>
      </c>
    </row>
    <row r="548" customFormat="false" ht="15" hidden="false" customHeight="false" outlineLevel="0" collapsed="false">
      <c r="A548" s="16" t="str">
        <f aca="false">Payment_Log_AP!A545</f>
        <v>PAY40544</v>
      </c>
      <c r="B548" s="16" t="str">
        <f aca="false">Payment_Log_AP!C545</f>
        <v>V1007</v>
      </c>
      <c r="C548" s="16" t="str">
        <f aca="false">IFERROR(INDEX(Vendor_Master!$B$2:$B$41,MATCH(B548,Vendor_Master!$A$2:$A$41,0)),"Unknown Vendor")</f>
        <v>Ramirez-Lewis</v>
      </c>
      <c r="D548" s="16" t="str">
        <f aca="false">IFERROR(INDEX(Vendor_Master!$D$2:$D$41,MATCH(B548,Vendor_Master!$A$2:$A$41,0)),"Unknown")</f>
        <v>Germany</v>
      </c>
      <c r="E548" s="17" t="n">
        <f aca="false">IFERROR(INDEX(Vendor_Master!$E$2:$E$41,MATCH(B548,Vendor_Master!$A$2:$A$41,0)),"")</f>
        <v>45665</v>
      </c>
      <c r="F548" s="17" t="n">
        <f aca="false">Payment_Log_AP!D545</f>
        <v>45699</v>
      </c>
      <c r="G548" s="18" t="n">
        <f aca="false">Payment_Log_AP!E545</f>
        <v>4880.22</v>
      </c>
      <c r="H548" s="16" t="n">
        <f aca="false">IF(G548&gt;=Assumptions!$B$7,40,IF(G548&gt;=Assumptions!$B$8,20,0))</f>
        <v>0</v>
      </c>
      <c r="I548" s="16" t="n">
        <f aca="false">IF(MOD(G548,500)=0,20,IF(MOD(G548,100)=0,10,0))</f>
        <v>0</v>
      </c>
      <c r="J548" s="16" t="n">
        <f aca="false">IF(AND(E548&lt;&gt;"",F548-E548&lt;=Assumptions!$B$9),25,0)</f>
        <v>25</v>
      </c>
      <c r="K548" s="16" t="n">
        <f aca="false">IF(ISNUMBER(SEARCH(D548,Assumptions!$B$10)),15,0)</f>
        <v>0</v>
      </c>
      <c r="L548" s="16" t="n">
        <f aca="false">H548+I548+J548+K548</f>
        <v>25</v>
      </c>
      <c r="M548" s="16" t="str">
        <f aca="false">IF(L548&gt;=60,"High",IF(L548&gt;=30,"Medium","Low"))</f>
        <v>Low</v>
      </c>
    </row>
    <row r="549" customFormat="false" ht="15" hidden="false" customHeight="false" outlineLevel="0" collapsed="false">
      <c r="A549" s="16" t="str">
        <f aca="false">Payment_Log_AP!A546</f>
        <v>PAY40545</v>
      </c>
      <c r="B549" s="16" t="str">
        <f aca="false">Payment_Log_AP!C546</f>
        <v>V1024</v>
      </c>
      <c r="C549" s="16" t="str">
        <f aca="false">IFERROR(INDEX(Vendor_Master!$B$2:$B$41,MATCH(B549,Vendor_Master!$A$2:$A$41,0)),"Unknown Vendor")</f>
        <v>Campos Inc</v>
      </c>
      <c r="D549" s="16" t="str">
        <f aca="false">IFERROR(INDEX(Vendor_Master!$D$2:$D$41,MATCH(B549,Vendor_Master!$A$2:$A$41,0)),"Unknown")</f>
        <v>USA</v>
      </c>
      <c r="E549" s="17" t="n">
        <f aca="false">IFERROR(INDEX(Vendor_Master!$E$2:$E$41,MATCH(B549,Vendor_Master!$A$2:$A$41,0)),"")</f>
        <v>45367</v>
      </c>
      <c r="F549" s="17" t="n">
        <f aca="false">Payment_Log_AP!D546</f>
        <v>45993</v>
      </c>
      <c r="G549" s="18" t="n">
        <f aca="false">Payment_Log_AP!E546</f>
        <v>2581.16</v>
      </c>
      <c r="H549" s="16" t="n">
        <f aca="false">IF(G549&gt;=Assumptions!$B$7,40,IF(G549&gt;=Assumptions!$B$8,20,0))</f>
        <v>0</v>
      </c>
      <c r="I549" s="16" t="n">
        <f aca="false">IF(MOD(G549,500)=0,20,IF(MOD(G549,100)=0,10,0))</f>
        <v>0</v>
      </c>
      <c r="J549" s="16" t="n">
        <f aca="false">IF(AND(E549&lt;&gt;"",F549-E549&lt;=Assumptions!$B$9),25,0)</f>
        <v>0</v>
      </c>
      <c r="K549" s="16" t="n">
        <f aca="false">IF(ISNUMBER(SEARCH(D549,Assumptions!$B$10)),15,0)</f>
        <v>0</v>
      </c>
      <c r="L549" s="16" t="n">
        <f aca="false">H549+I549+J549+K549</f>
        <v>0</v>
      </c>
      <c r="M549" s="16" t="str">
        <f aca="false">IF(L549&gt;=60,"High",IF(L549&gt;=30,"Medium","Low"))</f>
        <v>Low</v>
      </c>
    </row>
    <row r="550" customFormat="false" ht="15" hidden="false" customHeight="false" outlineLevel="0" collapsed="false">
      <c r="A550" s="16" t="str">
        <f aca="false">Payment_Log_AP!A547</f>
        <v>PAY40546</v>
      </c>
      <c r="B550" s="16" t="str">
        <f aca="false">Payment_Log_AP!C547</f>
        <v>V1032</v>
      </c>
      <c r="C550" s="16" t="str">
        <f aca="false">IFERROR(INDEX(Vendor_Master!$B$2:$B$41,MATCH(B550,Vendor_Master!$A$2:$A$41,0)),"Unknown Vendor")</f>
        <v>Lynch, Hernandez and Farmer</v>
      </c>
      <c r="D550" s="16" t="str">
        <f aca="false">IFERROR(INDEX(Vendor_Master!$D$2:$D$41,MATCH(B550,Vendor_Master!$A$2:$A$41,0)),"Unknown")</f>
        <v>UAE</v>
      </c>
      <c r="E550" s="17" t="n">
        <f aca="false">IFERROR(INDEX(Vendor_Master!$E$2:$E$41,MATCH(B550,Vendor_Master!$A$2:$A$41,0)),"")</f>
        <v>45892</v>
      </c>
      <c r="F550" s="17" t="n">
        <f aca="false">Payment_Log_AP!D547</f>
        <v>46073</v>
      </c>
      <c r="G550" s="18" t="n">
        <f aca="false">Payment_Log_AP!E547</f>
        <v>2330.25</v>
      </c>
      <c r="H550" s="16" t="n">
        <f aca="false">IF(G550&gt;=Assumptions!$B$7,40,IF(G550&gt;=Assumptions!$B$8,20,0))</f>
        <v>0</v>
      </c>
      <c r="I550" s="16" t="n">
        <f aca="false">IF(MOD(G550,500)=0,20,IF(MOD(G550,100)=0,10,0))</f>
        <v>0</v>
      </c>
      <c r="J550" s="16" t="n">
        <f aca="false">IF(AND(E550&lt;&gt;"",F550-E550&lt;=Assumptions!$B$9),25,0)</f>
        <v>0</v>
      </c>
      <c r="K550" s="16" t="n">
        <f aca="false">IF(ISNUMBER(SEARCH(D550,Assumptions!$B$10)),15,0)</f>
        <v>15</v>
      </c>
      <c r="L550" s="16" t="n">
        <f aca="false">H550+I550+J550+K550</f>
        <v>15</v>
      </c>
      <c r="M550" s="16" t="str">
        <f aca="false">IF(L550&gt;=60,"High",IF(L550&gt;=30,"Medium","Low"))</f>
        <v>Low</v>
      </c>
    </row>
    <row r="551" customFormat="false" ht="15" hidden="false" customHeight="false" outlineLevel="0" collapsed="false">
      <c r="A551" s="16" t="str">
        <f aca="false">Payment_Log_AP!A548</f>
        <v>PAY40547</v>
      </c>
      <c r="B551" s="16" t="str">
        <f aca="false">Payment_Log_AP!C548</f>
        <v>V1029</v>
      </c>
      <c r="C551" s="16" t="str">
        <f aca="false">IFERROR(INDEX(Vendor_Master!$B$2:$B$41,MATCH(B551,Vendor_Master!$A$2:$A$41,0)),"Unknown Vendor")</f>
        <v>Chavez Ltd</v>
      </c>
      <c r="D551" s="16" t="str">
        <f aca="false">IFERROR(INDEX(Vendor_Master!$D$2:$D$41,MATCH(B551,Vendor_Master!$A$2:$A$41,0)),"Unknown")</f>
        <v>Singapore</v>
      </c>
      <c r="E551" s="17" t="n">
        <f aca="false">IFERROR(INDEX(Vendor_Master!$E$2:$E$41,MATCH(B551,Vendor_Master!$A$2:$A$41,0)),"")</f>
        <v>45026</v>
      </c>
      <c r="F551" s="17" t="n">
        <f aca="false">Payment_Log_AP!D548</f>
        <v>46036</v>
      </c>
      <c r="G551" s="18" t="n">
        <f aca="false">Payment_Log_AP!E548</f>
        <v>1142.31</v>
      </c>
      <c r="H551" s="16" t="n">
        <f aca="false">IF(G551&gt;=Assumptions!$B$7,40,IF(G551&gt;=Assumptions!$B$8,20,0))</f>
        <v>0</v>
      </c>
      <c r="I551" s="16" t="n">
        <f aca="false">IF(MOD(G551,500)=0,20,IF(MOD(G551,100)=0,10,0))</f>
        <v>0</v>
      </c>
      <c r="J551" s="16" t="n">
        <f aca="false">IF(AND(E551&lt;&gt;"",F551-E551&lt;=Assumptions!$B$9),25,0)</f>
        <v>0</v>
      </c>
      <c r="K551" s="16" t="n">
        <f aca="false">IF(ISNUMBER(SEARCH(D551,Assumptions!$B$10)),15,0)</f>
        <v>15</v>
      </c>
      <c r="L551" s="16" t="n">
        <f aca="false">H551+I551+J551+K551</f>
        <v>15</v>
      </c>
      <c r="M551" s="16" t="str">
        <f aca="false">IF(L551&gt;=60,"High",IF(L551&gt;=30,"Medium","Low"))</f>
        <v>Low</v>
      </c>
    </row>
    <row r="552" customFormat="false" ht="15" hidden="false" customHeight="false" outlineLevel="0" collapsed="false">
      <c r="A552" s="16" t="str">
        <f aca="false">Payment_Log_AP!A549</f>
        <v>PAY40548</v>
      </c>
      <c r="B552" s="16" t="str">
        <f aca="false">Payment_Log_AP!C549</f>
        <v>V1030</v>
      </c>
      <c r="C552" s="16" t="str">
        <f aca="false">IFERROR(INDEX(Vendor_Master!$B$2:$B$41,MATCH(B552,Vendor_Master!$A$2:$A$41,0)),"Unknown Vendor")</f>
        <v>Stanton-Gill</v>
      </c>
      <c r="D552" s="16" t="str">
        <f aca="false">IFERROR(INDEX(Vendor_Master!$D$2:$D$41,MATCH(B552,Vendor_Master!$A$2:$A$41,0)),"Unknown")</f>
        <v>UK</v>
      </c>
      <c r="E552" s="17" t="n">
        <f aca="false">IFERROR(INDEX(Vendor_Master!$E$2:$E$41,MATCH(B552,Vendor_Master!$A$2:$A$41,0)),"")</f>
        <v>45946</v>
      </c>
      <c r="F552" s="17" t="n">
        <f aca="false">Payment_Log_AP!D549</f>
        <v>45999</v>
      </c>
      <c r="G552" s="18" t="n">
        <f aca="false">Payment_Log_AP!E549</f>
        <v>5378.13</v>
      </c>
      <c r="H552" s="16" t="n">
        <f aca="false">IF(G552&gt;=Assumptions!$B$7,40,IF(G552&gt;=Assumptions!$B$8,20,0))</f>
        <v>20</v>
      </c>
      <c r="I552" s="16" t="n">
        <f aca="false">IF(MOD(G552,500)=0,20,IF(MOD(G552,100)=0,10,0))</f>
        <v>0</v>
      </c>
      <c r="J552" s="16" t="n">
        <f aca="false">IF(AND(E552&lt;&gt;"",F552-E552&lt;=Assumptions!$B$9),25,0)</f>
        <v>25</v>
      </c>
      <c r="K552" s="16" t="n">
        <f aca="false">IF(ISNUMBER(SEARCH(D552,Assumptions!$B$10)),15,0)</f>
        <v>0</v>
      </c>
      <c r="L552" s="16" t="n">
        <f aca="false">H552+I552+J552+K552</f>
        <v>45</v>
      </c>
      <c r="M552" s="16" t="str">
        <f aca="false">IF(L552&gt;=60,"High",IF(L552&gt;=30,"Medium","Low"))</f>
        <v>Medium</v>
      </c>
    </row>
    <row r="553" customFormat="false" ht="15" hidden="false" customHeight="false" outlineLevel="0" collapsed="false">
      <c r="A553" s="16" t="str">
        <f aca="false">Payment_Log_AP!A550</f>
        <v>PAY40549</v>
      </c>
      <c r="B553" s="16" t="str">
        <f aca="false">Payment_Log_AP!C550</f>
        <v>V1002</v>
      </c>
      <c r="C553" s="16" t="str">
        <f aca="false">IFERROR(INDEX(Vendor_Master!$B$2:$B$41,MATCH(B553,Vendor_Master!$A$2:$A$41,0)),"Unknown Vendor")</f>
        <v>Garcia, Yang and Gardner</v>
      </c>
      <c r="D553" s="16" t="str">
        <f aca="false">IFERROR(INDEX(Vendor_Master!$D$2:$D$41,MATCH(B553,Vendor_Master!$A$2:$A$41,0)),"Unknown")</f>
        <v>UK</v>
      </c>
      <c r="E553" s="17" t="n">
        <f aca="false">IFERROR(INDEX(Vendor_Master!$E$2:$E$41,MATCH(B553,Vendor_Master!$A$2:$A$41,0)),"")</f>
        <v>44914</v>
      </c>
      <c r="F553" s="17" t="n">
        <f aca="false">Payment_Log_AP!D550</f>
        <v>46114</v>
      </c>
      <c r="G553" s="18" t="n">
        <f aca="false">Payment_Log_AP!E550</f>
        <v>1479.77</v>
      </c>
      <c r="H553" s="16" t="n">
        <f aca="false">IF(G553&gt;=Assumptions!$B$7,40,IF(G553&gt;=Assumptions!$B$8,20,0))</f>
        <v>0</v>
      </c>
      <c r="I553" s="16" t="n">
        <f aca="false">IF(MOD(G553,500)=0,20,IF(MOD(G553,100)=0,10,0))</f>
        <v>0</v>
      </c>
      <c r="J553" s="16" t="n">
        <f aca="false">IF(AND(E553&lt;&gt;"",F553-E553&lt;=Assumptions!$B$9),25,0)</f>
        <v>0</v>
      </c>
      <c r="K553" s="16" t="n">
        <f aca="false">IF(ISNUMBER(SEARCH(D553,Assumptions!$B$10)),15,0)</f>
        <v>0</v>
      </c>
      <c r="L553" s="16" t="n">
        <f aca="false">H553+I553+J553+K553</f>
        <v>0</v>
      </c>
      <c r="M553" s="16" t="str">
        <f aca="false">IF(L553&gt;=60,"High",IF(L553&gt;=30,"Medium","Low"))</f>
        <v>Low</v>
      </c>
    </row>
    <row r="554" customFormat="false" ht="15" hidden="false" customHeight="false" outlineLevel="0" collapsed="false">
      <c r="A554" s="16" t="str">
        <f aca="false">Payment_Log_AP!A551</f>
        <v>PAY40550</v>
      </c>
      <c r="B554" s="16" t="str">
        <f aca="false">Payment_Log_AP!C551</f>
        <v>V1002</v>
      </c>
      <c r="C554" s="16" t="str">
        <f aca="false">IFERROR(INDEX(Vendor_Master!$B$2:$B$41,MATCH(B554,Vendor_Master!$A$2:$A$41,0)),"Unknown Vendor")</f>
        <v>Garcia, Yang and Gardner</v>
      </c>
      <c r="D554" s="16" t="str">
        <f aca="false">IFERROR(INDEX(Vendor_Master!$D$2:$D$41,MATCH(B554,Vendor_Master!$A$2:$A$41,0)),"Unknown")</f>
        <v>UK</v>
      </c>
      <c r="E554" s="17" t="n">
        <f aca="false">IFERROR(INDEX(Vendor_Master!$E$2:$E$41,MATCH(B554,Vendor_Master!$A$2:$A$41,0)),"")</f>
        <v>44914</v>
      </c>
      <c r="F554" s="17" t="n">
        <f aca="false">Payment_Log_AP!D551</f>
        <v>46133</v>
      </c>
      <c r="G554" s="18" t="n">
        <f aca="false">Payment_Log_AP!E551</f>
        <v>1479.77</v>
      </c>
      <c r="H554" s="16" t="n">
        <f aca="false">IF(G554&gt;=Assumptions!$B$7,40,IF(G554&gt;=Assumptions!$B$8,20,0))</f>
        <v>0</v>
      </c>
      <c r="I554" s="16" t="n">
        <f aca="false">IF(MOD(G554,500)=0,20,IF(MOD(G554,100)=0,10,0))</f>
        <v>0</v>
      </c>
      <c r="J554" s="16" t="n">
        <f aca="false">IF(AND(E554&lt;&gt;"",F554-E554&lt;=Assumptions!$B$9),25,0)</f>
        <v>0</v>
      </c>
      <c r="K554" s="16" t="n">
        <f aca="false">IF(ISNUMBER(SEARCH(D554,Assumptions!$B$10)),15,0)</f>
        <v>0</v>
      </c>
      <c r="L554" s="16" t="n">
        <f aca="false">H554+I554+J554+K554</f>
        <v>0</v>
      </c>
      <c r="M554" s="16" t="str">
        <f aca="false">IF(L554&gt;=60,"High",IF(L554&gt;=30,"Medium","Low"))</f>
        <v>Low</v>
      </c>
    </row>
    <row r="555" customFormat="false" ht="15" hidden="false" customHeight="false" outlineLevel="0" collapsed="false">
      <c r="A555" s="16" t="str">
        <f aca="false">Payment_Log_AP!A552</f>
        <v>PAY40551</v>
      </c>
      <c r="B555" s="16" t="str">
        <f aca="false">Payment_Log_AP!C552</f>
        <v>V1007</v>
      </c>
      <c r="C555" s="16" t="str">
        <f aca="false">IFERROR(INDEX(Vendor_Master!$B$2:$B$41,MATCH(B555,Vendor_Master!$A$2:$A$41,0)),"Unknown Vendor")</f>
        <v>Ramirez-Lewis</v>
      </c>
      <c r="D555" s="16" t="str">
        <f aca="false">IFERROR(INDEX(Vendor_Master!$D$2:$D$41,MATCH(B555,Vendor_Master!$A$2:$A$41,0)),"Unknown")</f>
        <v>Germany</v>
      </c>
      <c r="E555" s="17" t="n">
        <f aca="false">IFERROR(INDEX(Vendor_Master!$E$2:$E$41,MATCH(B555,Vendor_Master!$A$2:$A$41,0)),"")</f>
        <v>45665</v>
      </c>
      <c r="F555" s="17" t="n">
        <f aca="false">Payment_Log_AP!D552</f>
        <v>45744</v>
      </c>
      <c r="G555" s="18" t="n">
        <f aca="false">Payment_Log_AP!E552</f>
        <v>1679.49</v>
      </c>
      <c r="H555" s="16" t="n">
        <f aca="false">IF(G555&gt;=Assumptions!$B$7,40,IF(G555&gt;=Assumptions!$B$8,20,0))</f>
        <v>0</v>
      </c>
      <c r="I555" s="16" t="n">
        <f aca="false">IF(MOD(G555,500)=0,20,IF(MOD(G555,100)=0,10,0))</f>
        <v>0</v>
      </c>
      <c r="J555" s="16" t="n">
        <f aca="false">IF(AND(E555&lt;&gt;"",F555-E555&lt;=Assumptions!$B$9),25,0)</f>
        <v>25</v>
      </c>
      <c r="K555" s="16" t="n">
        <f aca="false">IF(ISNUMBER(SEARCH(D555,Assumptions!$B$10)),15,0)</f>
        <v>0</v>
      </c>
      <c r="L555" s="16" t="n">
        <f aca="false">H555+I555+J555+K555</f>
        <v>25</v>
      </c>
      <c r="M555" s="16" t="str">
        <f aca="false">IF(L555&gt;=60,"High",IF(L555&gt;=30,"Medium","Low"))</f>
        <v>Low</v>
      </c>
    </row>
    <row r="556" customFormat="false" ht="15" hidden="false" customHeight="false" outlineLevel="0" collapsed="false">
      <c r="A556" s="16" t="str">
        <f aca="false">Payment_Log_AP!A553</f>
        <v>PAY40552</v>
      </c>
      <c r="B556" s="16" t="str">
        <f aca="false">Payment_Log_AP!C553</f>
        <v>V1034</v>
      </c>
      <c r="C556" s="16" t="str">
        <f aca="false">IFERROR(INDEX(Vendor_Master!$B$2:$B$41,MATCH(B556,Vendor_Master!$A$2:$A$41,0)),"Unknown Vendor")</f>
        <v>Koch-Decker</v>
      </c>
      <c r="D556" s="16" t="str">
        <f aca="false">IFERROR(INDEX(Vendor_Master!$D$2:$D$41,MATCH(B556,Vendor_Master!$A$2:$A$41,0)),"Unknown")</f>
        <v>Germany</v>
      </c>
      <c r="E556" s="17" t="n">
        <f aca="false">IFERROR(INDEX(Vendor_Master!$E$2:$E$41,MATCH(B556,Vendor_Master!$A$2:$A$41,0)),"")</f>
        <v>44738</v>
      </c>
      <c r="F556" s="17" t="n">
        <f aca="false">Payment_Log_AP!D553</f>
        <v>45832</v>
      </c>
      <c r="G556" s="18" t="n">
        <f aca="false">Payment_Log_AP!E553</f>
        <v>2035.58</v>
      </c>
      <c r="H556" s="16" t="n">
        <f aca="false">IF(G556&gt;=Assumptions!$B$7,40,IF(G556&gt;=Assumptions!$B$8,20,0))</f>
        <v>0</v>
      </c>
      <c r="I556" s="16" t="n">
        <f aca="false">IF(MOD(G556,500)=0,20,IF(MOD(G556,100)=0,10,0))</f>
        <v>0</v>
      </c>
      <c r="J556" s="16" t="n">
        <f aca="false">IF(AND(E556&lt;&gt;"",F556-E556&lt;=Assumptions!$B$9),25,0)</f>
        <v>0</v>
      </c>
      <c r="K556" s="16" t="n">
        <f aca="false">IF(ISNUMBER(SEARCH(D556,Assumptions!$B$10)),15,0)</f>
        <v>0</v>
      </c>
      <c r="L556" s="16" t="n">
        <f aca="false">H556+I556+J556+K556</f>
        <v>0</v>
      </c>
      <c r="M556" s="16" t="str">
        <f aca="false">IF(L556&gt;=60,"High",IF(L556&gt;=30,"Medium","Low"))</f>
        <v>Low</v>
      </c>
    </row>
    <row r="557" customFormat="false" ht="15" hidden="false" customHeight="false" outlineLevel="0" collapsed="false">
      <c r="A557" s="16" t="str">
        <f aca="false">Payment_Log_AP!A554</f>
        <v>PAY40553</v>
      </c>
      <c r="B557" s="16" t="str">
        <f aca="false">Payment_Log_AP!C554</f>
        <v>V1025</v>
      </c>
      <c r="C557" s="16" t="str">
        <f aca="false">IFERROR(INDEX(Vendor_Master!$B$2:$B$41,MATCH(B557,Vendor_Master!$A$2:$A$41,0)),"Unknown Vendor")</f>
        <v>Conner Group</v>
      </c>
      <c r="D557" s="16" t="str">
        <f aca="false">IFERROR(INDEX(Vendor_Master!$D$2:$D$41,MATCH(B557,Vendor_Master!$A$2:$A$41,0)),"Unknown")</f>
        <v>USA</v>
      </c>
      <c r="E557" s="17" t="n">
        <f aca="false">IFERROR(INDEX(Vendor_Master!$E$2:$E$41,MATCH(B557,Vendor_Master!$A$2:$A$41,0)),"")</f>
        <v>44803</v>
      </c>
      <c r="F557" s="17" t="n">
        <f aca="false">Payment_Log_AP!D554</f>
        <v>45700</v>
      </c>
      <c r="G557" s="18" t="n">
        <f aca="false">Payment_Log_AP!E554</f>
        <v>1499.87</v>
      </c>
      <c r="H557" s="16" t="n">
        <f aca="false">IF(G557&gt;=Assumptions!$B$7,40,IF(G557&gt;=Assumptions!$B$8,20,0))</f>
        <v>0</v>
      </c>
      <c r="I557" s="16" t="n">
        <f aca="false">IF(MOD(G557,500)=0,20,IF(MOD(G557,100)=0,10,0))</f>
        <v>0</v>
      </c>
      <c r="J557" s="16" t="n">
        <f aca="false">IF(AND(E557&lt;&gt;"",F557-E557&lt;=Assumptions!$B$9),25,0)</f>
        <v>0</v>
      </c>
      <c r="K557" s="16" t="n">
        <f aca="false">IF(ISNUMBER(SEARCH(D557,Assumptions!$B$10)),15,0)</f>
        <v>0</v>
      </c>
      <c r="L557" s="16" t="n">
        <f aca="false">H557+I557+J557+K557</f>
        <v>0</v>
      </c>
      <c r="M557" s="16" t="str">
        <f aca="false">IF(L557&gt;=60,"High",IF(L557&gt;=30,"Medium","Low"))</f>
        <v>Low</v>
      </c>
    </row>
    <row r="558" customFormat="false" ht="15" hidden="false" customHeight="false" outlineLevel="0" collapsed="false">
      <c r="A558" s="16" t="str">
        <f aca="false">Payment_Log_AP!A555</f>
        <v>PAY40554</v>
      </c>
      <c r="B558" s="16" t="str">
        <f aca="false">Payment_Log_AP!C555</f>
        <v>V1005</v>
      </c>
      <c r="C558" s="16" t="str">
        <f aca="false">IFERROR(INDEX(Vendor_Master!$B$2:$B$41,MATCH(B558,Vendor_Master!$A$2:$A$41,0)),"Unknown Vendor")</f>
        <v>Cole LLC</v>
      </c>
      <c r="D558" s="16" t="str">
        <f aca="false">IFERROR(INDEX(Vendor_Master!$D$2:$D$41,MATCH(B558,Vendor_Master!$A$2:$A$41,0)),"Unknown")</f>
        <v>UK</v>
      </c>
      <c r="E558" s="17" t="n">
        <f aca="false">IFERROR(INDEX(Vendor_Master!$E$2:$E$41,MATCH(B558,Vendor_Master!$A$2:$A$41,0)),"")</f>
        <v>45423</v>
      </c>
      <c r="F558" s="17" t="n">
        <f aca="false">Payment_Log_AP!D555</f>
        <v>46157</v>
      </c>
      <c r="G558" s="18" t="n">
        <f aca="false">Payment_Log_AP!E555</f>
        <v>2691.6</v>
      </c>
      <c r="H558" s="16" t="n">
        <f aca="false">IF(G558&gt;=Assumptions!$B$7,40,IF(G558&gt;=Assumptions!$B$8,20,0))</f>
        <v>0</v>
      </c>
      <c r="I558" s="16" t="n">
        <f aca="false">IF(MOD(G558,500)=0,20,IF(MOD(G558,100)=0,10,0))</f>
        <v>0</v>
      </c>
      <c r="J558" s="16" t="n">
        <f aca="false">IF(AND(E558&lt;&gt;"",F558-E558&lt;=Assumptions!$B$9),25,0)</f>
        <v>0</v>
      </c>
      <c r="K558" s="16" t="n">
        <f aca="false">IF(ISNUMBER(SEARCH(D558,Assumptions!$B$10)),15,0)</f>
        <v>0</v>
      </c>
      <c r="L558" s="16" t="n">
        <f aca="false">H558+I558+J558+K558</f>
        <v>0</v>
      </c>
      <c r="M558" s="16" t="str">
        <f aca="false">IF(L558&gt;=60,"High",IF(L558&gt;=30,"Medium","Low"))</f>
        <v>Low</v>
      </c>
    </row>
    <row r="559" customFormat="false" ht="15" hidden="false" customHeight="false" outlineLevel="0" collapsed="false">
      <c r="A559" s="16" t="str">
        <f aca="false">Payment_Log_AP!A556</f>
        <v>PAY40555</v>
      </c>
      <c r="B559" s="16" t="str">
        <f aca="false">Payment_Log_AP!C556</f>
        <v>V1008</v>
      </c>
      <c r="C559" s="16" t="str">
        <f aca="false">IFERROR(INDEX(Vendor_Master!$B$2:$B$41,MATCH(B559,Vendor_Master!$A$2:$A$41,0)),"Unknown Vendor")</f>
        <v>Davis Inc</v>
      </c>
      <c r="D559" s="16" t="str">
        <f aca="false">IFERROR(INDEX(Vendor_Master!$D$2:$D$41,MATCH(B559,Vendor_Master!$A$2:$A$41,0)),"Unknown")</f>
        <v>Canada</v>
      </c>
      <c r="E559" s="17" t="n">
        <f aca="false">IFERROR(INDEX(Vendor_Master!$E$2:$E$41,MATCH(B559,Vendor_Master!$A$2:$A$41,0)),"")</f>
        <v>45769</v>
      </c>
      <c r="F559" s="17" t="n">
        <f aca="false">Payment_Log_AP!D556</f>
        <v>45998</v>
      </c>
      <c r="G559" s="18" t="n">
        <f aca="false">Payment_Log_AP!E556</f>
        <v>687.41</v>
      </c>
      <c r="H559" s="16" t="n">
        <f aca="false">IF(G559&gt;=Assumptions!$B$7,40,IF(G559&gt;=Assumptions!$B$8,20,0))</f>
        <v>0</v>
      </c>
      <c r="I559" s="16" t="n">
        <f aca="false">IF(MOD(G559,500)=0,20,IF(MOD(G559,100)=0,10,0))</f>
        <v>0</v>
      </c>
      <c r="J559" s="16" t="n">
        <f aca="false">IF(AND(E559&lt;&gt;"",F559-E559&lt;=Assumptions!$B$9),25,0)</f>
        <v>0</v>
      </c>
      <c r="K559" s="16" t="n">
        <f aca="false">IF(ISNUMBER(SEARCH(D559,Assumptions!$B$10)),15,0)</f>
        <v>0</v>
      </c>
      <c r="L559" s="16" t="n">
        <f aca="false">H559+I559+J559+K559</f>
        <v>0</v>
      </c>
      <c r="M559" s="16" t="str">
        <f aca="false">IF(L559&gt;=60,"High",IF(L559&gt;=30,"Medium","Low"))</f>
        <v>Low</v>
      </c>
    </row>
    <row r="560" customFormat="false" ht="15" hidden="false" customHeight="false" outlineLevel="0" collapsed="false">
      <c r="A560" s="16" t="str">
        <f aca="false">Payment_Log_AP!A557</f>
        <v>PAY40556</v>
      </c>
      <c r="B560" s="16" t="str">
        <f aca="false">Payment_Log_AP!C557</f>
        <v>V1031</v>
      </c>
      <c r="C560" s="16" t="str">
        <f aca="false">IFERROR(INDEX(Vendor_Master!$B$2:$B$41,MATCH(B560,Vendor_Master!$A$2:$A$41,0)),"Unknown Vendor")</f>
        <v>Harrell LLC</v>
      </c>
      <c r="D560" s="16" t="str">
        <f aca="false">IFERROR(INDEX(Vendor_Master!$D$2:$D$41,MATCH(B560,Vendor_Master!$A$2:$A$41,0)),"Unknown")</f>
        <v>Canada</v>
      </c>
      <c r="E560" s="17" t="n">
        <f aca="false">IFERROR(INDEX(Vendor_Master!$E$2:$E$41,MATCH(B560,Vendor_Master!$A$2:$A$41,0)),"")</f>
        <v>45364</v>
      </c>
      <c r="F560" s="17" t="n">
        <f aca="false">Payment_Log_AP!D557</f>
        <v>46172</v>
      </c>
      <c r="G560" s="18" t="n">
        <f aca="false">Payment_Log_AP!E557</f>
        <v>915.68</v>
      </c>
      <c r="H560" s="16" t="n">
        <f aca="false">IF(G560&gt;=Assumptions!$B$7,40,IF(G560&gt;=Assumptions!$B$8,20,0))</f>
        <v>0</v>
      </c>
      <c r="I560" s="16" t="n">
        <f aca="false">IF(MOD(G560,500)=0,20,IF(MOD(G560,100)=0,10,0))</f>
        <v>0</v>
      </c>
      <c r="J560" s="16" t="n">
        <f aca="false">IF(AND(E560&lt;&gt;"",F560-E560&lt;=Assumptions!$B$9),25,0)</f>
        <v>0</v>
      </c>
      <c r="K560" s="16" t="n">
        <f aca="false">IF(ISNUMBER(SEARCH(D560,Assumptions!$B$10)),15,0)</f>
        <v>0</v>
      </c>
      <c r="L560" s="16" t="n">
        <f aca="false">H560+I560+J560+K560</f>
        <v>0</v>
      </c>
      <c r="M560" s="16" t="str">
        <f aca="false">IF(L560&gt;=60,"High",IF(L560&gt;=30,"Medium","Low"))</f>
        <v>Low</v>
      </c>
    </row>
    <row r="561" customFormat="false" ht="15" hidden="false" customHeight="false" outlineLevel="0" collapsed="false">
      <c r="A561" s="16" t="str">
        <f aca="false">Payment_Log_AP!A558</f>
        <v>PAY40557</v>
      </c>
      <c r="B561" s="16" t="str">
        <f aca="false">Payment_Log_AP!C558</f>
        <v>V1017</v>
      </c>
      <c r="C561" s="16" t="str">
        <f aca="false">IFERROR(INDEX(Vendor_Master!$B$2:$B$41,MATCH(B561,Vendor_Master!$A$2:$A$41,0)),"Unknown Vendor")</f>
        <v>Hawkins, Cohen and Cameron</v>
      </c>
      <c r="D561" s="16" t="str">
        <f aca="false">IFERROR(INDEX(Vendor_Master!$D$2:$D$41,MATCH(B561,Vendor_Master!$A$2:$A$41,0)),"Unknown")</f>
        <v>USA</v>
      </c>
      <c r="E561" s="17" t="n">
        <f aca="false">IFERROR(INDEX(Vendor_Master!$E$2:$E$41,MATCH(B561,Vendor_Master!$A$2:$A$41,0)),"")</f>
        <v>46025</v>
      </c>
      <c r="F561" s="17" t="n">
        <f aca="false">Payment_Log_AP!D558</f>
        <v>45822</v>
      </c>
      <c r="G561" s="18" t="n">
        <f aca="false">Payment_Log_AP!E558</f>
        <v>1560.82</v>
      </c>
      <c r="H561" s="16" t="n">
        <f aca="false">IF(G561&gt;=Assumptions!$B$7,40,IF(G561&gt;=Assumptions!$B$8,20,0))</f>
        <v>0</v>
      </c>
      <c r="I561" s="16" t="n">
        <f aca="false">IF(MOD(G561,500)=0,20,IF(MOD(G561,100)=0,10,0))</f>
        <v>0</v>
      </c>
      <c r="J561" s="16" t="n">
        <f aca="false">IF(AND(E561&lt;&gt;"",F561-E561&lt;=Assumptions!$B$9),25,0)</f>
        <v>25</v>
      </c>
      <c r="K561" s="16" t="n">
        <f aca="false">IF(ISNUMBER(SEARCH(D561,Assumptions!$B$10)),15,0)</f>
        <v>0</v>
      </c>
      <c r="L561" s="16" t="n">
        <f aca="false">H561+I561+J561+K561</f>
        <v>25</v>
      </c>
      <c r="M561" s="16" t="str">
        <f aca="false">IF(L561&gt;=60,"High",IF(L561&gt;=30,"Medium","Low"))</f>
        <v>Low</v>
      </c>
    </row>
    <row r="562" customFormat="false" ht="15" hidden="false" customHeight="false" outlineLevel="0" collapsed="false">
      <c r="A562" s="16" t="str">
        <f aca="false">Payment_Log_AP!A559</f>
        <v>PAY40558</v>
      </c>
      <c r="B562" s="16" t="str">
        <f aca="false">Payment_Log_AP!C559</f>
        <v>V1032</v>
      </c>
      <c r="C562" s="16" t="str">
        <f aca="false">IFERROR(INDEX(Vendor_Master!$B$2:$B$41,MATCH(B562,Vendor_Master!$A$2:$A$41,0)),"Unknown Vendor")</f>
        <v>Lynch, Hernandez and Farmer</v>
      </c>
      <c r="D562" s="16" t="str">
        <f aca="false">IFERROR(INDEX(Vendor_Master!$D$2:$D$41,MATCH(B562,Vendor_Master!$A$2:$A$41,0)),"Unknown")</f>
        <v>UAE</v>
      </c>
      <c r="E562" s="17" t="n">
        <f aca="false">IFERROR(INDEX(Vendor_Master!$E$2:$E$41,MATCH(B562,Vendor_Master!$A$2:$A$41,0)),"")</f>
        <v>45892</v>
      </c>
      <c r="F562" s="17" t="n">
        <f aca="false">Payment_Log_AP!D559</f>
        <v>46142</v>
      </c>
      <c r="G562" s="18" t="n">
        <f aca="false">Payment_Log_AP!E559</f>
        <v>827.43</v>
      </c>
      <c r="H562" s="16" t="n">
        <f aca="false">IF(G562&gt;=Assumptions!$B$7,40,IF(G562&gt;=Assumptions!$B$8,20,0))</f>
        <v>0</v>
      </c>
      <c r="I562" s="16" t="n">
        <f aca="false">IF(MOD(G562,500)=0,20,IF(MOD(G562,100)=0,10,0))</f>
        <v>0</v>
      </c>
      <c r="J562" s="16" t="n">
        <f aca="false">IF(AND(E562&lt;&gt;"",F562-E562&lt;=Assumptions!$B$9),25,0)</f>
        <v>0</v>
      </c>
      <c r="K562" s="16" t="n">
        <f aca="false">IF(ISNUMBER(SEARCH(D562,Assumptions!$B$10)),15,0)</f>
        <v>15</v>
      </c>
      <c r="L562" s="16" t="n">
        <f aca="false">H562+I562+J562+K562</f>
        <v>15</v>
      </c>
      <c r="M562" s="16" t="str">
        <f aca="false">IF(L562&gt;=60,"High",IF(L562&gt;=30,"Medium","Low"))</f>
        <v>Low</v>
      </c>
    </row>
    <row r="563" customFormat="false" ht="15" hidden="false" customHeight="false" outlineLevel="0" collapsed="false">
      <c r="A563" s="16" t="str">
        <f aca="false">Payment_Log_AP!A560</f>
        <v>PAY40559</v>
      </c>
      <c r="B563" s="16" t="str">
        <f aca="false">Payment_Log_AP!C560</f>
        <v>V1036</v>
      </c>
      <c r="C563" s="16" t="str">
        <f aca="false">IFERROR(INDEX(Vendor_Master!$B$2:$B$41,MATCH(B563,Vendor_Master!$A$2:$A$41,0)),"Unknown Vendor")</f>
        <v>Dennis Inc</v>
      </c>
      <c r="D563" s="16" t="str">
        <f aca="false">IFERROR(INDEX(Vendor_Master!$D$2:$D$41,MATCH(B563,Vendor_Master!$A$2:$A$41,0)),"Unknown")</f>
        <v>Singapore</v>
      </c>
      <c r="E563" s="17" t="n">
        <f aca="false">IFERROR(INDEX(Vendor_Master!$E$2:$E$41,MATCH(B563,Vendor_Master!$A$2:$A$41,0)),"")</f>
        <v>46059</v>
      </c>
      <c r="F563" s="17" t="n">
        <f aca="false">Payment_Log_AP!D560</f>
        <v>46175</v>
      </c>
      <c r="G563" s="18" t="n">
        <f aca="false">Payment_Log_AP!E560</f>
        <v>11648.06</v>
      </c>
      <c r="H563" s="16" t="n">
        <f aca="false">IF(G563&gt;=Assumptions!$B$7,40,IF(G563&gt;=Assumptions!$B$8,20,0))</f>
        <v>40</v>
      </c>
      <c r="I563" s="16" t="n">
        <f aca="false">IF(MOD(G563,500)=0,20,IF(MOD(G563,100)=0,10,0))</f>
        <v>0</v>
      </c>
      <c r="J563" s="16" t="n">
        <f aca="false">IF(AND(E563&lt;&gt;"",F563-E563&lt;=Assumptions!$B$9),25,0)</f>
        <v>25</v>
      </c>
      <c r="K563" s="16" t="n">
        <f aca="false">IF(ISNUMBER(SEARCH(D563,Assumptions!$B$10)),15,0)</f>
        <v>15</v>
      </c>
      <c r="L563" s="16" t="n">
        <f aca="false">H563+I563+J563+K563</f>
        <v>80</v>
      </c>
      <c r="M563" s="16" t="str">
        <f aca="false">IF(L563&gt;=60,"High",IF(L563&gt;=30,"Medium","Low"))</f>
        <v>High</v>
      </c>
    </row>
    <row r="564" customFormat="false" ht="15" hidden="false" customHeight="false" outlineLevel="0" collapsed="false">
      <c r="A564" s="16" t="str">
        <f aca="false">Payment_Log_AP!A561</f>
        <v>PAY40560</v>
      </c>
      <c r="B564" s="16" t="str">
        <f aca="false">Payment_Log_AP!C561</f>
        <v>V1036</v>
      </c>
      <c r="C564" s="16" t="str">
        <f aca="false">IFERROR(INDEX(Vendor_Master!$B$2:$B$41,MATCH(B564,Vendor_Master!$A$2:$A$41,0)),"Unknown Vendor")</f>
        <v>Dennis Inc</v>
      </c>
      <c r="D564" s="16" t="str">
        <f aca="false">IFERROR(INDEX(Vendor_Master!$D$2:$D$41,MATCH(B564,Vendor_Master!$A$2:$A$41,0)),"Unknown")</f>
        <v>Singapore</v>
      </c>
      <c r="E564" s="17" t="n">
        <f aca="false">IFERROR(INDEX(Vendor_Master!$E$2:$E$41,MATCH(B564,Vendor_Master!$A$2:$A$41,0)),"")</f>
        <v>46059</v>
      </c>
      <c r="F564" s="17" t="n">
        <f aca="false">Payment_Log_AP!D561</f>
        <v>46185</v>
      </c>
      <c r="G564" s="18" t="n">
        <f aca="false">Payment_Log_AP!E561</f>
        <v>11648.06</v>
      </c>
      <c r="H564" s="16" t="n">
        <f aca="false">IF(G564&gt;=Assumptions!$B$7,40,IF(G564&gt;=Assumptions!$B$8,20,0))</f>
        <v>40</v>
      </c>
      <c r="I564" s="16" t="n">
        <f aca="false">IF(MOD(G564,500)=0,20,IF(MOD(G564,100)=0,10,0))</f>
        <v>0</v>
      </c>
      <c r="J564" s="16" t="n">
        <f aca="false">IF(AND(E564&lt;&gt;"",F564-E564&lt;=Assumptions!$B$9),25,0)</f>
        <v>25</v>
      </c>
      <c r="K564" s="16" t="n">
        <f aca="false">IF(ISNUMBER(SEARCH(D564,Assumptions!$B$10)),15,0)</f>
        <v>15</v>
      </c>
      <c r="L564" s="16" t="n">
        <f aca="false">H564+I564+J564+K564</f>
        <v>80</v>
      </c>
      <c r="M564" s="16" t="str">
        <f aca="false">IF(L564&gt;=60,"High",IF(L564&gt;=30,"Medium","Low"))</f>
        <v>High</v>
      </c>
    </row>
    <row r="565" customFormat="false" ht="15" hidden="false" customHeight="false" outlineLevel="0" collapsed="false">
      <c r="A565" s="16" t="str">
        <f aca="false">Payment_Log_AP!A562</f>
        <v>PAY40561</v>
      </c>
      <c r="B565" s="16" t="str">
        <f aca="false">Payment_Log_AP!C562</f>
        <v>V1012</v>
      </c>
      <c r="C565" s="16" t="str">
        <f aca="false">IFERROR(INDEX(Vendor_Master!$B$2:$B$41,MATCH(B565,Vendor_Master!$A$2:$A$41,0)),"Unknown Vendor")</f>
        <v>Stanley LLC</v>
      </c>
      <c r="D565" s="16" t="str">
        <f aca="false">IFERROR(INDEX(Vendor_Master!$D$2:$D$41,MATCH(B565,Vendor_Master!$A$2:$A$41,0)),"Unknown")</f>
        <v>India</v>
      </c>
      <c r="E565" s="17" t="n">
        <f aca="false">IFERROR(INDEX(Vendor_Master!$E$2:$E$41,MATCH(B565,Vendor_Master!$A$2:$A$41,0)),"")</f>
        <v>45675</v>
      </c>
      <c r="F565" s="17" t="n">
        <f aca="false">Payment_Log_AP!D562</f>
        <v>45846</v>
      </c>
      <c r="G565" s="18" t="n">
        <f aca="false">Payment_Log_AP!E562</f>
        <v>12577.05</v>
      </c>
      <c r="H565" s="16" t="n">
        <f aca="false">IF(G565&gt;=Assumptions!$B$7,40,IF(G565&gt;=Assumptions!$B$8,20,0))</f>
        <v>40</v>
      </c>
      <c r="I565" s="16" t="n">
        <f aca="false">IF(MOD(G565,500)=0,20,IF(MOD(G565,100)=0,10,0))</f>
        <v>0</v>
      </c>
      <c r="J565" s="16" t="n">
        <f aca="false">IF(AND(E565&lt;&gt;"",F565-E565&lt;=Assumptions!$B$9),25,0)</f>
        <v>25</v>
      </c>
      <c r="K565" s="16" t="n">
        <f aca="false">IF(ISNUMBER(SEARCH(D565,Assumptions!$B$10)),15,0)</f>
        <v>15</v>
      </c>
      <c r="L565" s="16" t="n">
        <f aca="false">H565+I565+J565+K565</f>
        <v>80</v>
      </c>
      <c r="M565" s="16" t="str">
        <f aca="false">IF(L565&gt;=60,"High",IF(L565&gt;=30,"Medium","Low"))</f>
        <v>High</v>
      </c>
    </row>
    <row r="566" customFormat="false" ht="15" hidden="false" customHeight="false" outlineLevel="0" collapsed="false">
      <c r="A566" s="16" t="str">
        <f aca="false">Payment_Log_AP!A563</f>
        <v>PAY40562</v>
      </c>
      <c r="B566" s="16" t="str">
        <f aca="false">Payment_Log_AP!C563</f>
        <v>V1012</v>
      </c>
      <c r="C566" s="16" t="str">
        <f aca="false">IFERROR(INDEX(Vendor_Master!$B$2:$B$41,MATCH(B566,Vendor_Master!$A$2:$A$41,0)),"Unknown Vendor")</f>
        <v>Stanley LLC</v>
      </c>
      <c r="D566" s="16" t="str">
        <f aca="false">IFERROR(INDEX(Vendor_Master!$D$2:$D$41,MATCH(B566,Vendor_Master!$A$2:$A$41,0)),"Unknown")</f>
        <v>India</v>
      </c>
      <c r="E566" s="17" t="n">
        <f aca="false">IFERROR(INDEX(Vendor_Master!$E$2:$E$41,MATCH(B566,Vendor_Master!$A$2:$A$41,0)),"")</f>
        <v>45675</v>
      </c>
      <c r="F566" s="17" t="n">
        <f aca="false">Payment_Log_AP!D563</f>
        <v>45852</v>
      </c>
      <c r="G566" s="18" t="n">
        <f aca="false">Payment_Log_AP!E563</f>
        <v>12577.05</v>
      </c>
      <c r="H566" s="16" t="n">
        <f aca="false">IF(G566&gt;=Assumptions!$B$7,40,IF(G566&gt;=Assumptions!$B$8,20,0))</f>
        <v>40</v>
      </c>
      <c r="I566" s="16" t="n">
        <f aca="false">IF(MOD(G566,500)=0,20,IF(MOD(G566,100)=0,10,0))</f>
        <v>0</v>
      </c>
      <c r="J566" s="16" t="n">
        <f aca="false">IF(AND(E566&lt;&gt;"",F566-E566&lt;=Assumptions!$B$9),25,0)</f>
        <v>25</v>
      </c>
      <c r="K566" s="16" t="n">
        <f aca="false">IF(ISNUMBER(SEARCH(D566,Assumptions!$B$10)),15,0)</f>
        <v>15</v>
      </c>
      <c r="L566" s="16" t="n">
        <f aca="false">H566+I566+J566+K566</f>
        <v>80</v>
      </c>
      <c r="M566" s="16" t="str">
        <f aca="false">IF(L566&gt;=60,"High",IF(L566&gt;=30,"Medium","Low"))</f>
        <v>High</v>
      </c>
    </row>
    <row r="567" customFormat="false" ht="15" hidden="false" customHeight="false" outlineLevel="0" collapsed="false">
      <c r="A567" s="16" t="str">
        <f aca="false">Payment_Log_AP!A564</f>
        <v>PAY40563</v>
      </c>
      <c r="B567" s="16" t="str">
        <f aca="false">Payment_Log_AP!C564</f>
        <v>V1010</v>
      </c>
      <c r="C567" s="16" t="str">
        <f aca="false">IFERROR(INDEX(Vendor_Master!$B$2:$B$41,MATCH(B567,Vendor_Master!$A$2:$A$41,0)),"Unknown Vendor")</f>
        <v>Martinez, Nielsen and Miller</v>
      </c>
      <c r="D567" s="16" t="str">
        <f aca="false">IFERROR(INDEX(Vendor_Master!$D$2:$D$41,MATCH(B567,Vendor_Master!$A$2:$A$41,0)),"Unknown")</f>
        <v>India</v>
      </c>
      <c r="E567" s="17" t="n">
        <f aca="false">IFERROR(INDEX(Vendor_Master!$E$2:$E$41,MATCH(B567,Vendor_Master!$A$2:$A$41,0)),"")</f>
        <v>45715</v>
      </c>
      <c r="F567" s="17" t="n">
        <f aca="false">Payment_Log_AP!D564</f>
        <v>45910</v>
      </c>
      <c r="G567" s="18" t="n">
        <f aca="false">Payment_Log_AP!E564</f>
        <v>1362.33</v>
      </c>
      <c r="H567" s="16" t="n">
        <f aca="false">IF(G567&gt;=Assumptions!$B$7,40,IF(G567&gt;=Assumptions!$B$8,20,0))</f>
        <v>0</v>
      </c>
      <c r="I567" s="16" t="n">
        <f aca="false">IF(MOD(G567,500)=0,20,IF(MOD(G567,100)=0,10,0))</f>
        <v>0</v>
      </c>
      <c r="J567" s="16" t="n">
        <f aca="false">IF(AND(E567&lt;&gt;"",F567-E567&lt;=Assumptions!$B$9),25,0)</f>
        <v>0</v>
      </c>
      <c r="K567" s="16" t="n">
        <f aca="false">IF(ISNUMBER(SEARCH(D567,Assumptions!$B$10)),15,0)</f>
        <v>15</v>
      </c>
      <c r="L567" s="16" t="n">
        <f aca="false">H567+I567+J567+K567</f>
        <v>15</v>
      </c>
      <c r="M567" s="16" t="str">
        <f aca="false">IF(L567&gt;=60,"High",IF(L567&gt;=30,"Medium","Low"))</f>
        <v>Low</v>
      </c>
    </row>
    <row r="568" customFormat="false" ht="15" hidden="false" customHeight="false" outlineLevel="0" collapsed="false">
      <c r="A568" s="16" t="str">
        <f aca="false">Payment_Log_AP!A565</f>
        <v>PAY40564</v>
      </c>
      <c r="B568" s="16" t="str">
        <f aca="false">Payment_Log_AP!C565</f>
        <v>V1034</v>
      </c>
      <c r="C568" s="16" t="str">
        <f aca="false">IFERROR(INDEX(Vendor_Master!$B$2:$B$41,MATCH(B568,Vendor_Master!$A$2:$A$41,0)),"Unknown Vendor")</f>
        <v>Koch-Decker</v>
      </c>
      <c r="D568" s="16" t="str">
        <f aca="false">IFERROR(INDEX(Vendor_Master!$D$2:$D$41,MATCH(B568,Vendor_Master!$A$2:$A$41,0)),"Unknown")</f>
        <v>Germany</v>
      </c>
      <c r="E568" s="17" t="n">
        <f aca="false">IFERROR(INDEX(Vendor_Master!$E$2:$E$41,MATCH(B568,Vendor_Master!$A$2:$A$41,0)),"")</f>
        <v>44738</v>
      </c>
      <c r="F568" s="17" t="n">
        <f aca="false">Payment_Log_AP!D565</f>
        <v>45775</v>
      </c>
      <c r="G568" s="18" t="n">
        <f aca="false">Payment_Log_AP!E565</f>
        <v>2061.29</v>
      </c>
      <c r="H568" s="16" t="n">
        <f aca="false">IF(G568&gt;=Assumptions!$B$7,40,IF(G568&gt;=Assumptions!$B$8,20,0))</f>
        <v>0</v>
      </c>
      <c r="I568" s="16" t="n">
        <f aca="false">IF(MOD(G568,500)=0,20,IF(MOD(G568,100)=0,10,0))</f>
        <v>0</v>
      </c>
      <c r="J568" s="16" t="n">
        <f aca="false">IF(AND(E568&lt;&gt;"",F568-E568&lt;=Assumptions!$B$9),25,0)</f>
        <v>0</v>
      </c>
      <c r="K568" s="16" t="n">
        <f aca="false">IF(ISNUMBER(SEARCH(D568,Assumptions!$B$10)),15,0)</f>
        <v>0</v>
      </c>
      <c r="L568" s="16" t="n">
        <f aca="false">H568+I568+J568+K568</f>
        <v>0</v>
      </c>
      <c r="M568" s="16" t="str">
        <f aca="false">IF(L568&gt;=60,"High",IF(L568&gt;=30,"Medium","Low"))</f>
        <v>Low</v>
      </c>
    </row>
    <row r="569" customFormat="false" ht="15" hidden="false" customHeight="false" outlineLevel="0" collapsed="false">
      <c r="A569" s="16" t="str">
        <f aca="false">Payment_Log_AP!A566</f>
        <v>PAY40565</v>
      </c>
      <c r="B569" s="16" t="str">
        <f aca="false">Payment_Log_AP!C566</f>
        <v>V1002</v>
      </c>
      <c r="C569" s="16" t="str">
        <f aca="false">IFERROR(INDEX(Vendor_Master!$B$2:$B$41,MATCH(B569,Vendor_Master!$A$2:$A$41,0)),"Unknown Vendor")</f>
        <v>Garcia, Yang and Gardner</v>
      </c>
      <c r="D569" s="16" t="str">
        <f aca="false">IFERROR(INDEX(Vendor_Master!$D$2:$D$41,MATCH(B569,Vendor_Master!$A$2:$A$41,0)),"Unknown")</f>
        <v>UK</v>
      </c>
      <c r="E569" s="17" t="n">
        <f aca="false">IFERROR(INDEX(Vendor_Master!$E$2:$E$41,MATCH(B569,Vendor_Master!$A$2:$A$41,0)),"")</f>
        <v>44914</v>
      </c>
      <c r="F569" s="17" t="n">
        <f aca="false">Payment_Log_AP!D566</f>
        <v>46182</v>
      </c>
      <c r="G569" s="18" t="n">
        <f aca="false">Payment_Log_AP!E566</f>
        <v>1760.94</v>
      </c>
      <c r="H569" s="16" t="n">
        <f aca="false">IF(G569&gt;=Assumptions!$B$7,40,IF(G569&gt;=Assumptions!$B$8,20,0))</f>
        <v>0</v>
      </c>
      <c r="I569" s="16" t="n">
        <f aca="false">IF(MOD(G569,500)=0,20,IF(MOD(G569,100)=0,10,0))</f>
        <v>0</v>
      </c>
      <c r="J569" s="16" t="n">
        <f aca="false">IF(AND(E569&lt;&gt;"",F569-E569&lt;=Assumptions!$B$9),25,0)</f>
        <v>0</v>
      </c>
      <c r="K569" s="16" t="n">
        <f aca="false">IF(ISNUMBER(SEARCH(D569,Assumptions!$B$10)),15,0)</f>
        <v>0</v>
      </c>
      <c r="L569" s="16" t="n">
        <f aca="false">H569+I569+J569+K569</f>
        <v>0</v>
      </c>
      <c r="M569" s="16" t="str">
        <f aca="false">IF(L569&gt;=60,"High",IF(L569&gt;=30,"Medium","Low"))</f>
        <v>Low</v>
      </c>
    </row>
    <row r="570" customFormat="false" ht="15" hidden="false" customHeight="false" outlineLevel="0" collapsed="false">
      <c r="A570" s="16" t="str">
        <f aca="false">Payment_Log_AP!A567</f>
        <v>PAY40566</v>
      </c>
      <c r="B570" s="16" t="str">
        <f aca="false">Payment_Log_AP!C567</f>
        <v>V1009</v>
      </c>
      <c r="C570" s="16" t="str">
        <f aca="false">IFERROR(INDEX(Vendor_Master!$B$2:$B$41,MATCH(B570,Vendor_Master!$A$2:$A$41,0)),"Unknown Vendor")</f>
        <v>Munoz-Roman</v>
      </c>
      <c r="D570" s="16" t="str">
        <f aca="false">IFERROR(INDEX(Vendor_Master!$D$2:$D$41,MATCH(B570,Vendor_Master!$A$2:$A$41,0)),"Unknown")</f>
        <v>India</v>
      </c>
      <c r="E570" s="17" t="n">
        <f aca="false">IFERROR(INDEX(Vendor_Master!$E$2:$E$41,MATCH(B570,Vendor_Master!$A$2:$A$41,0)),"")</f>
        <v>45129</v>
      </c>
      <c r="F570" s="17" t="n">
        <f aca="false">Payment_Log_AP!D567</f>
        <v>45864</v>
      </c>
      <c r="G570" s="18" t="n">
        <f aca="false">Payment_Log_AP!E567</f>
        <v>4559.69</v>
      </c>
      <c r="H570" s="16" t="n">
        <f aca="false">IF(G570&gt;=Assumptions!$B$7,40,IF(G570&gt;=Assumptions!$B$8,20,0))</f>
        <v>0</v>
      </c>
      <c r="I570" s="16" t="n">
        <f aca="false">IF(MOD(G570,500)=0,20,IF(MOD(G570,100)=0,10,0))</f>
        <v>0</v>
      </c>
      <c r="J570" s="16" t="n">
        <f aca="false">IF(AND(E570&lt;&gt;"",F570-E570&lt;=Assumptions!$B$9),25,0)</f>
        <v>0</v>
      </c>
      <c r="K570" s="16" t="n">
        <f aca="false">IF(ISNUMBER(SEARCH(D570,Assumptions!$B$10)),15,0)</f>
        <v>15</v>
      </c>
      <c r="L570" s="16" t="n">
        <f aca="false">H570+I570+J570+K570</f>
        <v>15</v>
      </c>
      <c r="M570" s="16" t="str">
        <f aca="false">IF(L570&gt;=60,"High",IF(L570&gt;=30,"Medium","Low"))</f>
        <v>Low</v>
      </c>
    </row>
    <row r="571" customFormat="false" ht="15" hidden="false" customHeight="false" outlineLevel="0" collapsed="false">
      <c r="A571" s="16" t="str">
        <f aca="false">Payment_Log_AP!A568</f>
        <v>PAY40567</v>
      </c>
      <c r="B571" s="16" t="str">
        <f aca="false">Payment_Log_AP!C568</f>
        <v>V1032</v>
      </c>
      <c r="C571" s="16" t="str">
        <f aca="false">IFERROR(INDEX(Vendor_Master!$B$2:$B$41,MATCH(B571,Vendor_Master!$A$2:$A$41,0)),"Unknown Vendor")</f>
        <v>Lynch, Hernandez and Farmer</v>
      </c>
      <c r="D571" s="16" t="str">
        <f aca="false">IFERROR(INDEX(Vendor_Master!$D$2:$D$41,MATCH(B571,Vendor_Master!$A$2:$A$41,0)),"Unknown")</f>
        <v>UAE</v>
      </c>
      <c r="E571" s="17" t="n">
        <f aca="false">IFERROR(INDEX(Vendor_Master!$E$2:$E$41,MATCH(B571,Vendor_Master!$A$2:$A$41,0)),"")</f>
        <v>45892</v>
      </c>
      <c r="F571" s="17" t="n">
        <f aca="false">Payment_Log_AP!D568</f>
        <v>45966</v>
      </c>
      <c r="G571" s="18" t="n">
        <f aca="false">Payment_Log_AP!E568</f>
        <v>285.04</v>
      </c>
      <c r="H571" s="16" t="n">
        <f aca="false">IF(G571&gt;=Assumptions!$B$7,40,IF(G571&gt;=Assumptions!$B$8,20,0))</f>
        <v>0</v>
      </c>
      <c r="I571" s="16" t="n">
        <f aca="false">IF(MOD(G571,500)=0,20,IF(MOD(G571,100)=0,10,0))</f>
        <v>0</v>
      </c>
      <c r="J571" s="16" t="n">
        <f aca="false">IF(AND(E571&lt;&gt;"",F571-E571&lt;=Assumptions!$B$9),25,0)</f>
        <v>25</v>
      </c>
      <c r="K571" s="16" t="n">
        <f aca="false">IF(ISNUMBER(SEARCH(D571,Assumptions!$B$10)),15,0)</f>
        <v>15</v>
      </c>
      <c r="L571" s="16" t="n">
        <f aca="false">H571+I571+J571+K571</f>
        <v>40</v>
      </c>
      <c r="M571" s="16" t="str">
        <f aca="false">IF(L571&gt;=60,"High",IF(L571&gt;=30,"Medium","Low"))</f>
        <v>Medium</v>
      </c>
    </row>
    <row r="572" customFormat="false" ht="15" hidden="false" customHeight="false" outlineLevel="0" collapsed="false">
      <c r="A572" s="16" t="str">
        <f aca="false">Payment_Log_AP!A569</f>
        <v>PAY40568</v>
      </c>
      <c r="B572" s="16" t="str">
        <f aca="false">Payment_Log_AP!C569</f>
        <v>V1028</v>
      </c>
      <c r="C572" s="16" t="str">
        <f aca="false">IFERROR(INDEX(Vendor_Master!$B$2:$B$41,MATCH(B572,Vendor_Master!$A$2:$A$41,0)),"Unknown Vendor")</f>
        <v>Potter, Mack and Peterson</v>
      </c>
      <c r="D572" s="16" t="str">
        <f aca="false">IFERROR(INDEX(Vendor_Master!$D$2:$D$41,MATCH(B572,Vendor_Master!$A$2:$A$41,0)),"Unknown")</f>
        <v>UK</v>
      </c>
      <c r="E572" s="17" t="n">
        <f aca="false">IFERROR(INDEX(Vendor_Master!$E$2:$E$41,MATCH(B572,Vendor_Master!$A$2:$A$41,0)),"")</f>
        <v>45639</v>
      </c>
      <c r="F572" s="17" t="n">
        <f aca="false">Payment_Log_AP!D569</f>
        <v>45734</v>
      </c>
      <c r="G572" s="18" t="n">
        <f aca="false">Payment_Log_AP!E569</f>
        <v>2954.28</v>
      </c>
      <c r="H572" s="16" t="n">
        <f aca="false">IF(G572&gt;=Assumptions!$B$7,40,IF(G572&gt;=Assumptions!$B$8,20,0))</f>
        <v>0</v>
      </c>
      <c r="I572" s="16" t="n">
        <f aca="false">IF(MOD(G572,500)=0,20,IF(MOD(G572,100)=0,10,0))</f>
        <v>0</v>
      </c>
      <c r="J572" s="16" t="n">
        <f aca="false">IF(AND(E572&lt;&gt;"",F572-E572&lt;=Assumptions!$B$9),25,0)</f>
        <v>25</v>
      </c>
      <c r="K572" s="16" t="n">
        <f aca="false">IF(ISNUMBER(SEARCH(D572,Assumptions!$B$10)),15,0)</f>
        <v>0</v>
      </c>
      <c r="L572" s="16" t="n">
        <f aca="false">H572+I572+J572+K572</f>
        <v>25</v>
      </c>
      <c r="M572" s="16" t="str">
        <f aca="false">IF(L572&gt;=60,"High",IF(L572&gt;=30,"Medium","Low"))</f>
        <v>Low</v>
      </c>
    </row>
    <row r="573" customFormat="false" ht="15" hidden="false" customHeight="false" outlineLevel="0" collapsed="false">
      <c r="A573" s="16" t="str">
        <f aca="false">Payment_Log_AP!A570</f>
        <v>PAY40569</v>
      </c>
      <c r="B573" s="16" t="str">
        <f aca="false">Payment_Log_AP!C570</f>
        <v>V1028</v>
      </c>
      <c r="C573" s="16" t="str">
        <f aca="false">IFERROR(INDEX(Vendor_Master!$B$2:$B$41,MATCH(B573,Vendor_Master!$A$2:$A$41,0)),"Unknown Vendor")</f>
        <v>Potter, Mack and Peterson</v>
      </c>
      <c r="D573" s="16" t="str">
        <f aca="false">IFERROR(INDEX(Vendor_Master!$D$2:$D$41,MATCH(B573,Vendor_Master!$A$2:$A$41,0)),"Unknown")</f>
        <v>UK</v>
      </c>
      <c r="E573" s="17" t="n">
        <f aca="false">IFERROR(INDEX(Vendor_Master!$E$2:$E$41,MATCH(B573,Vendor_Master!$A$2:$A$41,0)),"")</f>
        <v>45639</v>
      </c>
      <c r="F573" s="17" t="n">
        <f aca="false">Payment_Log_AP!D570</f>
        <v>45754</v>
      </c>
      <c r="G573" s="18" t="n">
        <f aca="false">Payment_Log_AP!E570</f>
        <v>603.77</v>
      </c>
      <c r="H573" s="16" t="n">
        <f aca="false">IF(G573&gt;=Assumptions!$B$7,40,IF(G573&gt;=Assumptions!$B$8,20,0))</f>
        <v>0</v>
      </c>
      <c r="I573" s="16" t="n">
        <f aca="false">IF(MOD(G573,500)=0,20,IF(MOD(G573,100)=0,10,0))</f>
        <v>0</v>
      </c>
      <c r="J573" s="16" t="n">
        <f aca="false">IF(AND(E573&lt;&gt;"",F573-E573&lt;=Assumptions!$B$9),25,0)</f>
        <v>25</v>
      </c>
      <c r="K573" s="16" t="n">
        <f aca="false">IF(ISNUMBER(SEARCH(D573,Assumptions!$B$10)),15,0)</f>
        <v>0</v>
      </c>
      <c r="L573" s="16" t="n">
        <f aca="false">H573+I573+J573+K573</f>
        <v>25</v>
      </c>
      <c r="M573" s="16" t="str">
        <f aca="false">IF(L573&gt;=60,"High",IF(L573&gt;=30,"Medium","Low"))</f>
        <v>Low</v>
      </c>
    </row>
    <row r="574" customFormat="false" ht="15" hidden="false" customHeight="false" outlineLevel="0" collapsed="false">
      <c r="A574" s="16" t="str">
        <f aca="false">Payment_Log_AP!A571</f>
        <v>PAY40570</v>
      </c>
      <c r="B574" s="16" t="str">
        <f aca="false">Payment_Log_AP!C571</f>
        <v>V1040</v>
      </c>
      <c r="C574" s="16" t="str">
        <f aca="false">IFERROR(INDEX(Vendor_Master!$B$2:$B$41,MATCH(B574,Vendor_Master!$A$2:$A$41,0)),"Unknown Vendor")</f>
        <v>Santos, Kim and Holmes</v>
      </c>
      <c r="D574" s="16" t="str">
        <f aca="false">IFERROR(INDEX(Vendor_Master!$D$2:$D$41,MATCH(B574,Vendor_Master!$A$2:$A$41,0)),"Unknown")</f>
        <v>India</v>
      </c>
      <c r="E574" s="17" t="n">
        <f aca="false">IFERROR(INDEX(Vendor_Master!$E$2:$E$41,MATCH(B574,Vendor_Master!$A$2:$A$41,0)),"")</f>
        <v>45192</v>
      </c>
      <c r="F574" s="17" t="n">
        <f aca="false">Payment_Log_AP!D571</f>
        <v>46063</v>
      </c>
      <c r="G574" s="18" t="n">
        <f aca="false">Payment_Log_AP!E571</f>
        <v>767.92</v>
      </c>
      <c r="H574" s="16" t="n">
        <f aca="false">IF(G574&gt;=Assumptions!$B$7,40,IF(G574&gt;=Assumptions!$B$8,20,0))</f>
        <v>0</v>
      </c>
      <c r="I574" s="16" t="n">
        <f aca="false">IF(MOD(G574,500)=0,20,IF(MOD(G574,100)=0,10,0))</f>
        <v>0</v>
      </c>
      <c r="J574" s="16" t="n">
        <f aca="false">IF(AND(E574&lt;&gt;"",F574-E574&lt;=Assumptions!$B$9),25,0)</f>
        <v>0</v>
      </c>
      <c r="K574" s="16" t="n">
        <f aca="false">IF(ISNUMBER(SEARCH(D574,Assumptions!$B$10)),15,0)</f>
        <v>15</v>
      </c>
      <c r="L574" s="16" t="n">
        <f aca="false">H574+I574+J574+K574</f>
        <v>15</v>
      </c>
      <c r="M574" s="16" t="str">
        <f aca="false">IF(L574&gt;=60,"High",IF(L574&gt;=30,"Medium","Low"))</f>
        <v>Low</v>
      </c>
    </row>
    <row r="575" customFormat="false" ht="15" hidden="false" customHeight="false" outlineLevel="0" collapsed="false">
      <c r="A575" s="16" t="str">
        <f aca="false">Payment_Log_AP!A572</f>
        <v>PAY40571</v>
      </c>
      <c r="B575" s="16" t="str">
        <f aca="false">Payment_Log_AP!C572</f>
        <v>V1010</v>
      </c>
      <c r="C575" s="16" t="str">
        <f aca="false">IFERROR(INDEX(Vendor_Master!$B$2:$B$41,MATCH(B575,Vendor_Master!$A$2:$A$41,0)),"Unknown Vendor")</f>
        <v>Martinez, Nielsen and Miller</v>
      </c>
      <c r="D575" s="16" t="str">
        <f aca="false">IFERROR(INDEX(Vendor_Master!$D$2:$D$41,MATCH(B575,Vendor_Master!$A$2:$A$41,0)),"Unknown")</f>
        <v>India</v>
      </c>
      <c r="E575" s="17" t="n">
        <f aca="false">IFERROR(INDEX(Vendor_Master!$E$2:$E$41,MATCH(B575,Vendor_Master!$A$2:$A$41,0)),"")</f>
        <v>45715</v>
      </c>
      <c r="F575" s="17" t="n">
        <f aca="false">Payment_Log_AP!D572</f>
        <v>46083</v>
      </c>
      <c r="G575" s="18" t="n">
        <f aca="false">Payment_Log_AP!E572</f>
        <v>2186.62</v>
      </c>
      <c r="H575" s="16" t="n">
        <f aca="false">IF(G575&gt;=Assumptions!$B$7,40,IF(G575&gt;=Assumptions!$B$8,20,0))</f>
        <v>0</v>
      </c>
      <c r="I575" s="16" t="n">
        <f aca="false">IF(MOD(G575,500)=0,20,IF(MOD(G575,100)=0,10,0))</f>
        <v>0</v>
      </c>
      <c r="J575" s="16" t="n">
        <f aca="false">IF(AND(E575&lt;&gt;"",F575-E575&lt;=Assumptions!$B$9),25,0)</f>
        <v>0</v>
      </c>
      <c r="K575" s="16" t="n">
        <f aca="false">IF(ISNUMBER(SEARCH(D575,Assumptions!$B$10)),15,0)</f>
        <v>15</v>
      </c>
      <c r="L575" s="16" t="n">
        <f aca="false">H575+I575+J575+K575</f>
        <v>15</v>
      </c>
      <c r="M575" s="16" t="str">
        <f aca="false">IF(L575&gt;=60,"High",IF(L575&gt;=30,"Medium","Low"))</f>
        <v>Low</v>
      </c>
    </row>
    <row r="576" customFormat="false" ht="15" hidden="false" customHeight="false" outlineLevel="0" collapsed="false">
      <c r="A576" s="16" t="str">
        <f aca="false">Payment_Log_AP!A573</f>
        <v>PAY40572</v>
      </c>
      <c r="B576" s="16" t="str">
        <f aca="false">Payment_Log_AP!C573</f>
        <v>V1022</v>
      </c>
      <c r="C576" s="16" t="str">
        <f aca="false">IFERROR(INDEX(Vendor_Master!$B$2:$B$41,MATCH(B576,Vendor_Master!$A$2:$A$41,0)),"Unknown Vendor")</f>
        <v>Burgess-Patterson</v>
      </c>
      <c r="D576" s="16" t="str">
        <f aca="false">IFERROR(INDEX(Vendor_Master!$D$2:$D$41,MATCH(B576,Vendor_Master!$A$2:$A$41,0)),"Unknown")</f>
        <v>Germany</v>
      </c>
      <c r="E576" s="17" t="n">
        <f aca="false">IFERROR(INDEX(Vendor_Master!$E$2:$E$41,MATCH(B576,Vendor_Master!$A$2:$A$41,0)),"")</f>
        <v>45449</v>
      </c>
      <c r="F576" s="17" t="n">
        <f aca="false">Payment_Log_AP!D573</f>
        <v>46201</v>
      </c>
      <c r="G576" s="18" t="n">
        <f aca="false">Payment_Log_AP!E573</f>
        <v>2778.4</v>
      </c>
      <c r="H576" s="16" t="n">
        <f aca="false">IF(G576&gt;=Assumptions!$B$7,40,IF(G576&gt;=Assumptions!$B$8,20,0))</f>
        <v>0</v>
      </c>
      <c r="I576" s="16" t="n">
        <f aca="false">IF(MOD(G576,500)=0,20,IF(MOD(G576,100)=0,10,0))</f>
        <v>0</v>
      </c>
      <c r="J576" s="16" t="n">
        <f aca="false">IF(AND(E576&lt;&gt;"",F576-E576&lt;=Assumptions!$B$9),25,0)</f>
        <v>0</v>
      </c>
      <c r="K576" s="16" t="n">
        <f aca="false">IF(ISNUMBER(SEARCH(D576,Assumptions!$B$10)),15,0)</f>
        <v>0</v>
      </c>
      <c r="L576" s="16" t="n">
        <f aca="false">H576+I576+J576+K576</f>
        <v>0</v>
      </c>
      <c r="M576" s="16" t="str">
        <f aca="false">IF(L576&gt;=60,"High",IF(L576&gt;=30,"Medium","Low"))</f>
        <v>Low</v>
      </c>
    </row>
    <row r="577" customFormat="false" ht="15" hidden="false" customHeight="false" outlineLevel="0" collapsed="false">
      <c r="A577" s="16" t="str">
        <f aca="false">Payment_Log_AP!A574</f>
        <v>PAY40573</v>
      </c>
      <c r="B577" s="16" t="str">
        <f aca="false">Payment_Log_AP!C574</f>
        <v>V1037</v>
      </c>
      <c r="C577" s="16" t="str">
        <f aca="false">IFERROR(INDEX(Vendor_Master!$B$2:$B$41,MATCH(B577,Vendor_Master!$A$2:$A$41,0)),"Unknown Vendor")</f>
        <v>Cannon, Anderson and Alvarez</v>
      </c>
      <c r="D577" s="16" t="str">
        <f aca="false">IFERROR(INDEX(Vendor_Master!$D$2:$D$41,MATCH(B577,Vendor_Master!$A$2:$A$41,0)),"Unknown")</f>
        <v>India</v>
      </c>
      <c r="E577" s="17" t="n">
        <f aca="false">IFERROR(INDEX(Vendor_Master!$E$2:$E$41,MATCH(B577,Vendor_Master!$A$2:$A$41,0)),"")</f>
        <v>46108</v>
      </c>
      <c r="F577" s="17" t="n">
        <f aca="false">Payment_Log_AP!D574</f>
        <v>45916</v>
      </c>
      <c r="G577" s="18" t="n">
        <f aca="false">Payment_Log_AP!E574</f>
        <v>989.27</v>
      </c>
      <c r="H577" s="16" t="n">
        <f aca="false">IF(G577&gt;=Assumptions!$B$7,40,IF(G577&gt;=Assumptions!$B$8,20,0))</f>
        <v>0</v>
      </c>
      <c r="I577" s="16" t="n">
        <f aca="false">IF(MOD(G577,500)=0,20,IF(MOD(G577,100)=0,10,0))</f>
        <v>0</v>
      </c>
      <c r="J577" s="16" t="n">
        <f aca="false">IF(AND(E577&lt;&gt;"",F577-E577&lt;=Assumptions!$B$9),25,0)</f>
        <v>25</v>
      </c>
      <c r="K577" s="16" t="n">
        <f aca="false">IF(ISNUMBER(SEARCH(D577,Assumptions!$B$10)),15,0)</f>
        <v>15</v>
      </c>
      <c r="L577" s="16" t="n">
        <f aca="false">H577+I577+J577+K577</f>
        <v>40</v>
      </c>
      <c r="M577" s="16" t="str">
        <f aca="false">IF(L577&gt;=60,"High",IF(L577&gt;=30,"Medium","Low"))</f>
        <v>Medium</v>
      </c>
    </row>
    <row r="578" customFormat="false" ht="15" hidden="false" customHeight="false" outlineLevel="0" collapsed="false">
      <c r="A578" s="16" t="str">
        <f aca="false">Payment_Log_AP!A575</f>
        <v>PAY40574</v>
      </c>
      <c r="B578" s="16" t="str">
        <f aca="false">Payment_Log_AP!C575</f>
        <v>V1032</v>
      </c>
      <c r="C578" s="16" t="str">
        <f aca="false">IFERROR(INDEX(Vendor_Master!$B$2:$B$41,MATCH(B578,Vendor_Master!$A$2:$A$41,0)),"Unknown Vendor")</f>
        <v>Lynch, Hernandez and Farmer</v>
      </c>
      <c r="D578" s="16" t="str">
        <f aca="false">IFERROR(INDEX(Vendor_Master!$D$2:$D$41,MATCH(B578,Vendor_Master!$A$2:$A$41,0)),"Unknown")</f>
        <v>UAE</v>
      </c>
      <c r="E578" s="17" t="n">
        <f aca="false">IFERROR(INDEX(Vendor_Master!$E$2:$E$41,MATCH(B578,Vendor_Master!$A$2:$A$41,0)),"")</f>
        <v>45892</v>
      </c>
      <c r="F578" s="17" t="n">
        <f aca="false">Payment_Log_AP!D575</f>
        <v>46115</v>
      </c>
      <c r="G578" s="18" t="n">
        <f aca="false">Payment_Log_AP!E575</f>
        <v>1556.9</v>
      </c>
      <c r="H578" s="16" t="n">
        <f aca="false">IF(G578&gt;=Assumptions!$B$7,40,IF(G578&gt;=Assumptions!$B$8,20,0))</f>
        <v>0</v>
      </c>
      <c r="I578" s="16" t="n">
        <f aca="false">IF(MOD(G578,500)=0,20,IF(MOD(G578,100)=0,10,0))</f>
        <v>0</v>
      </c>
      <c r="J578" s="16" t="n">
        <f aca="false">IF(AND(E578&lt;&gt;"",F578-E578&lt;=Assumptions!$B$9),25,0)</f>
        <v>0</v>
      </c>
      <c r="K578" s="16" t="n">
        <f aca="false">IF(ISNUMBER(SEARCH(D578,Assumptions!$B$10)),15,0)</f>
        <v>15</v>
      </c>
      <c r="L578" s="16" t="n">
        <f aca="false">H578+I578+J578+K578</f>
        <v>15</v>
      </c>
      <c r="M578" s="16" t="str">
        <f aca="false">IF(L578&gt;=60,"High",IF(L578&gt;=30,"Medium","Low"))</f>
        <v>Low</v>
      </c>
    </row>
    <row r="579" customFormat="false" ht="15" hidden="false" customHeight="false" outlineLevel="0" collapsed="false">
      <c r="A579" s="16" t="str">
        <f aca="false">Payment_Log_AP!A576</f>
        <v>PAY40575</v>
      </c>
      <c r="B579" s="16" t="str">
        <f aca="false">Payment_Log_AP!C576</f>
        <v>V1011</v>
      </c>
      <c r="C579" s="16" t="str">
        <f aca="false">IFERROR(INDEX(Vendor_Master!$B$2:$B$41,MATCH(B579,Vendor_Master!$A$2:$A$41,0)),"Unknown Vendor")</f>
        <v>Montgomery, Hensley and Ray</v>
      </c>
      <c r="D579" s="16" t="str">
        <f aca="false">IFERROR(INDEX(Vendor_Master!$D$2:$D$41,MATCH(B579,Vendor_Master!$A$2:$A$41,0)),"Unknown")</f>
        <v>USA</v>
      </c>
      <c r="E579" s="17" t="n">
        <f aca="false">IFERROR(INDEX(Vendor_Master!$E$2:$E$41,MATCH(B579,Vendor_Master!$A$2:$A$41,0)),"")</f>
        <v>45025</v>
      </c>
      <c r="F579" s="17" t="n">
        <f aca="false">Payment_Log_AP!D576</f>
        <v>45755</v>
      </c>
      <c r="G579" s="18" t="n">
        <f aca="false">Payment_Log_AP!E576</f>
        <v>6662.15</v>
      </c>
      <c r="H579" s="16" t="n">
        <f aca="false">IF(G579&gt;=Assumptions!$B$7,40,IF(G579&gt;=Assumptions!$B$8,20,0))</f>
        <v>20</v>
      </c>
      <c r="I579" s="16" t="n">
        <f aca="false">IF(MOD(G579,500)=0,20,IF(MOD(G579,100)=0,10,0))</f>
        <v>0</v>
      </c>
      <c r="J579" s="16" t="n">
        <f aca="false">IF(AND(E579&lt;&gt;"",F579-E579&lt;=Assumptions!$B$9),25,0)</f>
        <v>0</v>
      </c>
      <c r="K579" s="16" t="n">
        <f aca="false">IF(ISNUMBER(SEARCH(D579,Assumptions!$B$10)),15,0)</f>
        <v>0</v>
      </c>
      <c r="L579" s="16" t="n">
        <f aca="false">H579+I579+J579+K579</f>
        <v>20</v>
      </c>
      <c r="M579" s="16" t="str">
        <f aca="false">IF(L579&gt;=60,"High",IF(L579&gt;=30,"Medium","Low"))</f>
        <v>Low</v>
      </c>
    </row>
    <row r="580" customFormat="false" ht="15" hidden="false" customHeight="false" outlineLevel="0" collapsed="false">
      <c r="A580" s="16" t="str">
        <f aca="false">Payment_Log_AP!A577</f>
        <v>PAY40576</v>
      </c>
      <c r="B580" s="16" t="str">
        <f aca="false">Payment_Log_AP!C577</f>
        <v>V1039</v>
      </c>
      <c r="C580" s="16" t="str">
        <f aca="false">IFERROR(INDEX(Vendor_Master!$B$2:$B$41,MATCH(B580,Vendor_Master!$A$2:$A$41,0)),"Unknown Vendor")</f>
        <v>Campos, Vaughn and Marquez</v>
      </c>
      <c r="D580" s="16" t="str">
        <f aca="false">IFERROR(INDEX(Vendor_Master!$D$2:$D$41,MATCH(B580,Vendor_Master!$A$2:$A$41,0)),"Unknown")</f>
        <v>USA</v>
      </c>
      <c r="E580" s="17" t="n">
        <f aca="false">IFERROR(INDEX(Vendor_Master!$E$2:$E$41,MATCH(B580,Vendor_Master!$A$2:$A$41,0)),"")</f>
        <v>46086</v>
      </c>
      <c r="F580" s="17" t="n">
        <f aca="false">Payment_Log_AP!D577</f>
        <v>45905</v>
      </c>
      <c r="G580" s="18" t="n">
        <f aca="false">Payment_Log_AP!E577</f>
        <v>5757.86</v>
      </c>
      <c r="H580" s="16" t="n">
        <f aca="false">IF(G580&gt;=Assumptions!$B$7,40,IF(G580&gt;=Assumptions!$B$8,20,0))</f>
        <v>20</v>
      </c>
      <c r="I580" s="16" t="n">
        <f aca="false">IF(MOD(G580,500)=0,20,IF(MOD(G580,100)=0,10,0))</f>
        <v>0</v>
      </c>
      <c r="J580" s="16" t="n">
        <f aca="false">IF(AND(E580&lt;&gt;"",F580-E580&lt;=Assumptions!$B$9),25,0)</f>
        <v>25</v>
      </c>
      <c r="K580" s="16" t="n">
        <f aca="false">IF(ISNUMBER(SEARCH(D580,Assumptions!$B$10)),15,0)</f>
        <v>0</v>
      </c>
      <c r="L580" s="16" t="n">
        <f aca="false">H580+I580+J580+K580</f>
        <v>45</v>
      </c>
      <c r="M580" s="16" t="str">
        <f aca="false">IF(L580&gt;=60,"High",IF(L580&gt;=30,"Medium","Low"))</f>
        <v>Medium</v>
      </c>
    </row>
    <row r="581" customFormat="false" ht="15" hidden="false" customHeight="false" outlineLevel="0" collapsed="false">
      <c r="A581" s="16" t="str">
        <f aca="false">Payment_Log_AP!A578</f>
        <v>PAY40577</v>
      </c>
      <c r="B581" s="16" t="str">
        <f aca="false">Payment_Log_AP!C578</f>
        <v>V1030</v>
      </c>
      <c r="C581" s="16" t="str">
        <f aca="false">IFERROR(INDEX(Vendor_Master!$B$2:$B$41,MATCH(B581,Vendor_Master!$A$2:$A$41,0)),"Unknown Vendor")</f>
        <v>Stanton-Gill</v>
      </c>
      <c r="D581" s="16" t="str">
        <f aca="false">IFERROR(INDEX(Vendor_Master!$D$2:$D$41,MATCH(B581,Vendor_Master!$A$2:$A$41,0)),"Unknown")</f>
        <v>UK</v>
      </c>
      <c r="E581" s="17" t="n">
        <f aca="false">IFERROR(INDEX(Vendor_Master!$E$2:$E$41,MATCH(B581,Vendor_Master!$A$2:$A$41,0)),"")</f>
        <v>45946</v>
      </c>
      <c r="F581" s="17" t="n">
        <f aca="false">Payment_Log_AP!D578</f>
        <v>45754</v>
      </c>
      <c r="G581" s="18" t="n">
        <f aca="false">Payment_Log_AP!E578</f>
        <v>6869</v>
      </c>
      <c r="H581" s="16" t="n">
        <f aca="false">IF(G581&gt;=Assumptions!$B$7,40,IF(G581&gt;=Assumptions!$B$8,20,0))</f>
        <v>20</v>
      </c>
      <c r="I581" s="16" t="n">
        <f aca="false">IF(MOD(G581,500)=0,20,IF(MOD(G581,100)=0,10,0))</f>
        <v>0</v>
      </c>
      <c r="J581" s="16" t="n">
        <f aca="false">IF(AND(E581&lt;&gt;"",F581-E581&lt;=Assumptions!$B$9),25,0)</f>
        <v>25</v>
      </c>
      <c r="K581" s="16" t="n">
        <f aca="false">IF(ISNUMBER(SEARCH(D581,Assumptions!$B$10)),15,0)</f>
        <v>0</v>
      </c>
      <c r="L581" s="16" t="n">
        <f aca="false">H581+I581+J581+K581</f>
        <v>45</v>
      </c>
      <c r="M581" s="16" t="str">
        <f aca="false">IF(L581&gt;=60,"High",IF(L581&gt;=30,"Medium","Low"))</f>
        <v>Medium</v>
      </c>
    </row>
    <row r="582" customFormat="false" ht="15" hidden="false" customHeight="false" outlineLevel="0" collapsed="false">
      <c r="A582" s="16" t="str">
        <f aca="false">Payment_Log_AP!A579</f>
        <v>PAY40578</v>
      </c>
      <c r="B582" s="16" t="str">
        <f aca="false">Payment_Log_AP!C579</f>
        <v>V1029</v>
      </c>
      <c r="C582" s="16" t="str">
        <f aca="false">IFERROR(INDEX(Vendor_Master!$B$2:$B$41,MATCH(B582,Vendor_Master!$A$2:$A$41,0)),"Unknown Vendor")</f>
        <v>Chavez Ltd</v>
      </c>
      <c r="D582" s="16" t="str">
        <f aca="false">IFERROR(INDEX(Vendor_Master!$D$2:$D$41,MATCH(B582,Vendor_Master!$A$2:$A$41,0)),"Unknown")</f>
        <v>Singapore</v>
      </c>
      <c r="E582" s="17" t="n">
        <f aca="false">IFERROR(INDEX(Vendor_Master!$E$2:$E$41,MATCH(B582,Vendor_Master!$A$2:$A$41,0)),"")</f>
        <v>45026</v>
      </c>
      <c r="F582" s="17" t="n">
        <f aca="false">Payment_Log_AP!D579</f>
        <v>45958</v>
      </c>
      <c r="G582" s="18" t="n">
        <f aca="false">Payment_Log_AP!E579</f>
        <v>228.89</v>
      </c>
      <c r="H582" s="16" t="n">
        <f aca="false">IF(G582&gt;=Assumptions!$B$7,40,IF(G582&gt;=Assumptions!$B$8,20,0))</f>
        <v>0</v>
      </c>
      <c r="I582" s="16" t="n">
        <f aca="false">IF(MOD(G582,500)=0,20,IF(MOD(G582,100)=0,10,0))</f>
        <v>0</v>
      </c>
      <c r="J582" s="16" t="n">
        <f aca="false">IF(AND(E582&lt;&gt;"",F582-E582&lt;=Assumptions!$B$9),25,0)</f>
        <v>0</v>
      </c>
      <c r="K582" s="16" t="n">
        <f aca="false">IF(ISNUMBER(SEARCH(D582,Assumptions!$B$10)),15,0)</f>
        <v>15</v>
      </c>
      <c r="L582" s="16" t="n">
        <f aca="false">H582+I582+J582+K582</f>
        <v>15</v>
      </c>
      <c r="M582" s="16" t="str">
        <f aca="false">IF(L582&gt;=60,"High",IF(L582&gt;=30,"Medium","Low"))</f>
        <v>Low</v>
      </c>
    </row>
    <row r="583" customFormat="false" ht="15" hidden="false" customHeight="false" outlineLevel="0" collapsed="false">
      <c r="A583" s="16" t="str">
        <f aca="false">Payment_Log_AP!A580</f>
        <v>PAY40579</v>
      </c>
      <c r="B583" s="16" t="str">
        <f aca="false">Payment_Log_AP!C580</f>
        <v>V1020</v>
      </c>
      <c r="C583" s="16" t="str">
        <f aca="false">IFERROR(INDEX(Vendor_Master!$B$2:$B$41,MATCH(B583,Vendor_Master!$A$2:$A$41,0)),"Unknown Vendor")</f>
        <v>Lewis-Porter</v>
      </c>
      <c r="D583" s="16" t="str">
        <f aca="false">IFERROR(INDEX(Vendor_Master!$D$2:$D$41,MATCH(B583,Vendor_Master!$A$2:$A$41,0)),"Unknown")</f>
        <v>UAE</v>
      </c>
      <c r="E583" s="17" t="n">
        <f aca="false">IFERROR(INDEX(Vendor_Master!$E$2:$E$41,MATCH(B583,Vendor_Master!$A$2:$A$41,0)),"")</f>
        <v>45947</v>
      </c>
      <c r="F583" s="17" t="n">
        <f aca="false">Payment_Log_AP!D580</f>
        <v>45912</v>
      </c>
      <c r="G583" s="18" t="n">
        <f aca="false">Payment_Log_AP!E580</f>
        <v>887.06</v>
      </c>
      <c r="H583" s="16" t="n">
        <f aca="false">IF(G583&gt;=Assumptions!$B$7,40,IF(G583&gt;=Assumptions!$B$8,20,0))</f>
        <v>0</v>
      </c>
      <c r="I583" s="16" t="n">
        <f aca="false">IF(MOD(G583,500)=0,20,IF(MOD(G583,100)=0,10,0))</f>
        <v>0</v>
      </c>
      <c r="J583" s="16" t="n">
        <f aca="false">IF(AND(E583&lt;&gt;"",F583-E583&lt;=Assumptions!$B$9),25,0)</f>
        <v>25</v>
      </c>
      <c r="K583" s="16" t="n">
        <f aca="false">IF(ISNUMBER(SEARCH(D583,Assumptions!$B$10)),15,0)</f>
        <v>15</v>
      </c>
      <c r="L583" s="16" t="n">
        <f aca="false">H583+I583+J583+K583</f>
        <v>40</v>
      </c>
      <c r="M583" s="16" t="str">
        <f aca="false">IF(L583&gt;=60,"High",IF(L583&gt;=30,"Medium","Low"))</f>
        <v>Medium</v>
      </c>
    </row>
    <row r="584" customFormat="false" ht="15" hidden="false" customHeight="false" outlineLevel="0" collapsed="false">
      <c r="A584" s="16" t="str">
        <f aca="false">Payment_Log_AP!A581</f>
        <v>PAY40580</v>
      </c>
      <c r="B584" s="16" t="str">
        <f aca="false">Payment_Log_AP!C581</f>
        <v>V1002</v>
      </c>
      <c r="C584" s="16" t="str">
        <f aca="false">IFERROR(INDEX(Vendor_Master!$B$2:$B$41,MATCH(B584,Vendor_Master!$A$2:$A$41,0)),"Unknown Vendor")</f>
        <v>Garcia, Yang and Gardner</v>
      </c>
      <c r="D584" s="16" t="str">
        <f aca="false">IFERROR(INDEX(Vendor_Master!$D$2:$D$41,MATCH(B584,Vendor_Master!$A$2:$A$41,0)),"Unknown")</f>
        <v>UK</v>
      </c>
      <c r="E584" s="17" t="n">
        <f aca="false">IFERROR(INDEX(Vendor_Master!$E$2:$E$41,MATCH(B584,Vendor_Master!$A$2:$A$41,0)),"")</f>
        <v>44914</v>
      </c>
      <c r="F584" s="17" t="n">
        <f aca="false">Payment_Log_AP!D581</f>
        <v>46179</v>
      </c>
      <c r="G584" s="18" t="n">
        <f aca="false">Payment_Log_AP!E581</f>
        <v>2875.96</v>
      </c>
      <c r="H584" s="16" t="n">
        <f aca="false">IF(G584&gt;=Assumptions!$B$7,40,IF(G584&gt;=Assumptions!$B$8,20,0))</f>
        <v>0</v>
      </c>
      <c r="I584" s="16" t="n">
        <f aca="false">IF(MOD(G584,500)=0,20,IF(MOD(G584,100)=0,10,0))</f>
        <v>0</v>
      </c>
      <c r="J584" s="16" t="n">
        <f aca="false">IF(AND(E584&lt;&gt;"",F584-E584&lt;=Assumptions!$B$9),25,0)</f>
        <v>0</v>
      </c>
      <c r="K584" s="16" t="n">
        <f aca="false">IF(ISNUMBER(SEARCH(D584,Assumptions!$B$10)),15,0)</f>
        <v>0</v>
      </c>
      <c r="L584" s="16" t="n">
        <f aca="false">H584+I584+J584+K584</f>
        <v>0</v>
      </c>
      <c r="M584" s="16" t="str">
        <f aca="false">IF(L584&gt;=60,"High",IF(L584&gt;=30,"Medium","Low"))</f>
        <v>Low</v>
      </c>
    </row>
    <row r="585" customFormat="false" ht="15" hidden="false" customHeight="false" outlineLevel="0" collapsed="false">
      <c r="A585" s="16" t="str">
        <f aca="false">Payment_Log_AP!A582</f>
        <v>PAY40581</v>
      </c>
      <c r="B585" s="16" t="str">
        <f aca="false">Payment_Log_AP!C582</f>
        <v>V1004</v>
      </c>
      <c r="C585" s="16" t="str">
        <f aca="false">IFERROR(INDEX(Vendor_Master!$B$2:$B$41,MATCH(B585,Vendor_Master!$A$2:$A$41,0)),"Unknown Vendor")</f>
        <v>Johnson, Gonzalez and Santos</v>
      </c>
      <c r="D585" s="16" t="str">
        <f aca="false">IFERROR(INDEX(Vendor_Master!$D$2:$D$41,MATCH(B585,Vendor_Master!$A$2:$A$41,0)),"Unknown")</f>
        <v>Germany</v>
      </c>
      <c r="E585" s="17" t="n">
        <f aca="false">IFERROR(INDEX(Vendor_Master!$E$2:$E$41,MATCH(B585,Vendor_Master!$A$2:$A$41,0)),"")</f>
        <v>44929</v>
      </c>
      <c r="F585" s="17" t="n">
        <f aca="false">Payment_Log_AP!D582</f>
        <v>45709</v>
      </c>
      <c r="G585" s="18" t="n">
        <f aca="false">Payment_Log_AP!E582</f>
        <v>3337.25</v>
      </c>
      <c r="H585" s="16" t="n">
        <f aca="false">IF(G585&gt;=Assumptions!$B$7,40,IF(G585&gt;=Assumptions!$B$8,20,0))</f>
        <v>0</v>
      </c>
      <c r="I585" s="16" t="n">
        <f aca="false">IF(MOD(G585,500)=0,20,IF(MOD(G585,100)=0,10,0))</f>
        <v>0</v>
      </c>
      <c r="J585" s="16" t="n">
        <f aca="false">IF(AND(E585&lt;&gt;"",F585-E585&lt;=Assumptions!$B$9),25,0)</f>
        <v>0</v>
      </c>
      <c r="K585" s="16" t="n">
        <f aca="false">IF(ISNUMBER(SEARCH(D585,Assumptions!$B$10)),15,0)</f>
        <v>0</v>
      </c>
      <c r="L585" s="16" t="n">
        <f aca="false">H585+I585+J585+K585</f>
        <v>0</v>
      </c>
      <c r="M585" s="16" t="str">
        <f aca="false">IF(L585&gt;=60,"High",IF(L585&gt;=30,"Medium","Low"))</f>
        <v>Low</v>
      </c>
    </row>
    <row r="586" customFormat="false" ht="15" hidden="false" customHeight="false" outlineLevel="0" collapsed="false">
      <c r="A586" s="16" t="str">
        <f aca="false">Payment_Log_AP!A583</f>
        <v>PAY40582</v>
      </c>
      <c r="B586" s="16" t="str">
        <f aca="false">Payment_Log_AP!C583</f>
        <v>V1038</v>
      </c>
      <c r="C586" s="16" t="str">
        <f aca="false">IFERROR(INDEX(Vendor_Master!$B$2:$B$41,MATCH(B586,Vendor_Master!$A$2:$A$41,0)),"Unknown Vendor")</f>
        <v>Rose-Obrien</v>
      </c>
      <c r="D586" s="16" t="str">
        <f aca="false">IFERROR(INDEX(Vendor_Master!$D$2:$D$41,MATCH(B586,Vendor_Master!$A$2:$A$41,0)),"Unknown")</f>
        <v>USA</v>
      </c>
      <c r="E586" s="17" t="n">
        <f aca="false">IFERROR(INDEX(Vendor_Master!$E$2:$E$41,MATCH(B586,Vendor_Master!$A$2:$A$41,0)),"")</f>
        <v>45431</v>
      </c>
      <c r="F586" s="17" t="n">
        <f aca="false">Payment_Log_AP!D583</f>
        <v>45892</v>
      </c>
      <c r="G586" s="18" t="n">
        <f aca="false">Payment_Log_AP!E583</f>
        <v>3555.6</v>
      </c>
      <c r="H586" s="16" t="n">
        <f aca="false">IF(G586&gt;=Assumptions!$B$7,40,IF(G586&gt;=Assumptions!$B$8,20,0))</f>
        <v>0</v>
      </c>
      <c r="I586" s="16" t="n">
        <f aca="false">IF(MOD(G586,500)=0,20,IF(MOD(G586,100)=0,10,0))</f>
        <v>0</v>
      </c>
      <c r="J586" s="16" t="n">
        <f aca="false">IF(AND(E586&lt;&gt;"",F586-E586&lt;=Assumptions!$B$9),25,0)</f>
        <v>0</v>
      </c>
      <c r="K586" s="16" t="n">
        <f aca="false">IF(ISNUMBER(SEARCH(D586,Assumptions!$B$10)),15,0)</f>
        <v>0</v>
      </c>
      <c r="L586" s="16" t="n">
        <f aca="false">H586+I586+J586+K586</f>
        <v>0</v>
      </c>
      <c r="M586" s="16" t="str">
        <f aca="false">IF(L586&gt;=60,"High",IF(L586&gt;=30,"Medium","Low"))</f>
        <v>Low</v>
      </c>
    </row>
    <row r="587" customFormat="false" ht="15" hidden="false" customHeight="false" outlineLevel="0" collapsed="false">
      <c r="A587" s="16" t="str">
        <f aca="false">Payment_Log_AP!A584</f>
        <v>PAY40583</v>
      </c>
      <c r="B587" s="16" t="str">
        <f aca="false">Payment_Log_AP!C584</f>
        <v>V1012</v>
      </c>
      <c r="C587" s="16" t="str">
        <f aca="false">IFERROR(INDEX(Vendor_Master!$B$2:$B$41,MATCH(B587,Vendor_Master!$A$2:$A$41,0)),"Unknown Vendor")</f>
        <v>Stanley LLC</v>
      </c>
      <c r="D587" s="16" t="str">
        <f aca="false">IFERROR(INDEX(Vendor_Master!$D$2:$D$41,MATCH(B587,Vendor_Master!$A$2:$A$41,0)),"Unknown")</f>
        <v>India</v>
      </c>
      <c r="E587" s="17" t="n">
        <f aca="false">IFERROR(INDEX(Vendor_Master!$E$2:$E$41,MATCH(B587,Vendor_Master!$A$2:$A$41,0)),"")</f>
        <v>45675</v>
      </c>
      <c r="F587" s="17" t="n">
        <f aca="false">Payment_Log_AP!D584</f>
        <v>45939</v>
      </c>
      <c r="G587" s="18" t="n">
        <f aca="false">Payment_Log_AP!E584</f>
        <v>313.22</v>
      </c>
      <c r="H587" s="16" t="n">
        <f aca="false">IF(G587&gt;=Assumptions!$B$7,40,IF(G587&gt;=Assumptions!$B$8,20,0))</f>
        <v>0</v>
      </c>
      <c r="I587" s="16" t="n">
        <f aca="false">IF(MOD(G587,500)=0,20,IF(MOD(G587,100)=0,10,0))</f>
        <v>0</v>
      </c>
      <c r="J587" s="16" t="n">
        <f aca="false">IF(AND(E587&lt;&gt;"",F587-E587&lt;=Assumptions!$B$9),25,0)</f>
        <v>0</v>
      </c>
      <c r="K587" s="16" t="n">
        <f aca="false">IF(ISNUMBER(SEARCH(D587,Assumptions!$B$10)),15,0)</f>
        <v>15</v>
      </c>
      <c r="L587" s="16" t="n">
        <f aca="false">H587+I587+J587+K587</f>
        <v>15</v>
      </c>
      <c r="M587" s="16" t="str">
        <f aca="false">IF(L587&gt;=60,"High",IF(L587&gt;=30,"Medium","Low"))</f>
        <v>Low</v>
      </c>
    </row>
    <row r="588" customFormat="false" ht="15" hidden="false" customHeight="false" outlineLevel="0" collapsed="false">
      <c r="A588" s="16" t="str">
        <f aca="false">Payment_Log_AP!A585</f>
        <v>PAY40584</v>
      </c>
      <c r="B588" s="16" t="str">
        <f aca="false">Payment_Log_AP!C585</f>
        <v>V1001</v>
      </c>
      <c r="C588" s="16" t="str">
        <f aca="false">IFERROR(INDEX(Vendor_Master!$B$2:$B$41,MATCH(B588,Vendor_Master!$A$2:$A$41,0)),"Unknown Vendor")</f>
        <v>Figueroa and Sons</v>
      </c>
      <c r="D588" s="16" t="str">
        <f aca="false">IFERROR(INDEX(Vendor_Master!$D$2:$D$41,MATCH(B588,Vendor_Master!$A$2:$A$41,0)),"Unknown")</f>
        <v>USA</v>
      </c>
      <c r="E588" s="17" t="n">
        <f aca="false">IFERROR(INDEX(Vendor_Master!$E$2:$E$41,MATCH(B588,Vendor_Master!$A$2:$A$41,0)),"")</f>
        <v>45572</v>
      </c>
      <c r="F588" s="17" t="n">
        <f aca="false">Payment_Log_AP!D585</f>
        <v>46203</v>
      </c>
      <c r="G588" s="18" t="n">
        <f aca="false">Payment_Log_AP!E585</f>
        <v>36063.86</v>
      </c>
      <c r="H588" s="16" t="n">
        <f aca="false">IF(G588&gt;=Assumptions!$B$7,40,IF(G588&gt;=Assumptions!$B$8,20,0))</f>
        <v>40</v>
      </c>
      <c r="I588" s="16" t="n">
        <f aca="false">IF(MOD(G588,500)=0,20,IF(MOD(G588,100)=0,10,0))</f>
        <v>0</v>
      </c>
      <c r="J588" s="16" t="n">
        <f aca="false">IF(AND(E588&lt;&gt;"",F588-E588&lt;=Assumptions!$B$9),25,0)</f>
        <v>0</v>
      </c>
      <c r="K588" s="16" t="n">
        <f aca="false">IF(ISNUMBER(SEARCH(D588,Assumptions!$B$10)),15,0)</f>
        <v>0</v>
      </c>
      <c r="L588" s="16" t="n">
        <f aca="false">H588+I588+J588+K588</f>
        <v>40</v>
      </c>
      <c r="M588" s="16" t="str">
        <f aca="false">IF(L588&gt;=60,"High",IF(L588&gt;=30,"Medium","Low"))</f>
        <v>Medium</v>
      </c>
    </row>
    <row r="589" customFormat="false" ht="15" hidden="false" customHeight="false" outlineLevel="0" collapsed="false">
      <c r="A589" s="16" t="str">
        <f aca="false">Payment_Log_AP!A586</f>
        <v>PAY40585</v>
      </c>
      <c r="B589" s="16" t="str">
        <f aca="false">Payment_Log_AP!C586</f>
        <v>V1007</v>
      </c>
      <c r="C589" s="16" t="str">
        <f aca="false">IFERROR(INDEX(Vendor_Master!$B$2:$B$41,MATCH(B589,Vendor_Master!$A$2:$A$41,0)),"Unknown Vendor")</f>
        <v>Ramirez-Lewis</v>
      </c>
      <c r="D589" s="16" t="str">
        <f aca="false">IFERROR(INDEX(Vendor_Master!$D$2:$D$41,MATCH(B589,Vendor_Master!$A$2:$A$41,0)),"Unknown")</f>
        <v>Germany</v>
      </c>
      <c r="E589" s="17" t="n">
        <f aca="false">IFERROR(INDEX(Vendor_Master!$E$2:$E$41,MATCH(B589,Vendor_Master!$A$2:$A$41,0)),"")</f>
        <v>45665</v>
      </c>
      <c r="F589" s="17" t="n">
        <f aca="false">Payment_Log_AP!D586</f>
        <v>46164</v>
      </c>
      <c r="G589" s="18" t="n">
        <f aca="false">Payment_Log_AP!E586</f>
        <v>1139.17</v>
      </c>
      <c r="H589" s="16" t="n">
        <f aca="false">IF(G589&gt;=Assumptions!$B$7,40,IF(G589&gt;=Assumptions!$B$8,20,0))</f>
        <v>0</v>
      </c>
      <c r="I589" s="16" t="n">
        <f aca="false">IF(MOD(G589,500)=0,20,IF(MOD(G589,100)=0,10,0))</f>
        <v>0</v>
      </c>
      <c r="J589" s="16" t="n">
        <f aca="false">IF(AND(E589&lt;&gt;"",F589-E589&lt;=Assumptions!$B$9),25,0)</f>
        <v>0</v>
      </c>
      <c r="K589" s="16" t="n">
        <f aca="false">IF(ISNUMBER(SEARCH(D589,Assumptions!$B$10)),15,0)</f>
        <v>0</v>
      </c>
      <c r="L589" s="16" t="n">
        <f aca="false">H589+I589+J589+K589</f>
        <v>0</v>
      </c>
      <c r="M589" s="16" t="str">
        <f aca="false">IF(L589&gt;=60,"High",IF(L589&gt;=30,"Medium","Low"))</f>
        <v>Low</v>
      </c>
    </row>
    <row r="590" customFormat="false" ht="15" hidden="false" customHeight="false" outlineLevel="0" collapsed="false">
      <c r="A590" s="16" t="str">
        <f aca="false">Payment_Log_AP!A587</f>
        <v>PAY40586</v>
      </c>
      <c r="B590" s="16" t="str">
        <f aca="false">Payment_Log_AP!C587</f>
        <v>V1025</v>
      </c>
      <c r="C590" s="16" t="str">
        <f aca="false">IFERROR(INDEX(Vendor_Master!$B$2:$B$41,MATCH(B590,Vendor_Master!$A$2:$A$41,0)),"Unknown Vendor")</f>
        <v>Conner Group</v>
      </c>
      <c r="D590" s="16" t="str">
        <f aca="false">IFERROR(INDEX(Vendor_Master!$D$2:$D$41,MATCH(B590,Vendor_Master!$A$2:$A$41,0)),"Unknown")</f>
        <v>USA</v>
      </c>
      <c r="E590" s="17" t="n">
        <f aca="false">IFERROR(INDEX(Vendor_Master!$E$2:$E$41,MATCH(B590,Vendor_Master!$A$2:$A$41,0)),"")</f>
        <v>44803</v>
      </c>
      <c r="F590" s="17" t="n">
        <f aca="false">Payment_Log_AP!D587</f>
        <v>45741</v>
      </c>
      <c r="G590" s="18" t="n">
        <f aca="false">Payment_Log_AP!E587</f>
        <v>989.07</v>
      </c>
      <c r="H590" s="16" t="n">
        <f aca="false">IF(G590&gt;=Assumptions!$B$7,40,IF(G590&gt;=Assumptions!$B$8,20,0))</f>
        <v>0</v>
      </c>
      <c r="I590" s="16" t="n">
        <f aca="false">IF(MOD(G590,500)=0,20,IF(MOD(G590,100)=0,10,0))</f>
        <v>0</v>
      </c>
      <c r="J590" s="16" t="n">
        <f aca="false">IF(AND(E590&lt;&gt;"",F590-E590&lt;=Assumptions!$B$9),25,0)</f>
        <v>0</v>
      </c>
      <c r="K590" s="16" t="n">
        <f aca="false">IF(ISNUMBER(SEARCH(D590,Assumptions!$B$10)),15,0)</f>
        <v>0</v>
      </c>
      <c r="L590" s="16" t="n">
        <f aca="false">H590+I590+J590+K590</f>
        <v>0</v>
      </c>
      <c r="M590" s="16" t="str">
        <f aca="false">IF(L590&gt;=60,"High",IF(L590&gt;=30,"Medium","Low"))</f>
        <v>Low</v>
      </c>
    </row>
    <row r="591" customFormat="false" ht="15" hidden="false" customHeight="false" outlineLevel="0" collapsed="false">
      <c r="A591" s="16" t="str">
        <f aca="false">Payment_Log_AP!A588</f>
        <v>PAY40587</v>
      </c>
      <c r="B591" s="16" t="str">
        <f aca="false">Payment_Log_AP!C588</f>
        <v>V1032</v>
      </c>
      <c r="C591" s="16" t="str">
        <f aca="false">IFERROR(INDEX(Vendor_Master!$B$2:$B$41,MATCH(B591,Vendor_Master!$A$2:$A$41,0)),"Unknown Vendor")</f>
        <v>Lynch, Hernandez and Farmer</v>
      </c>
      <c r="D591" s="16" t="str">
        <f aca="false">IFERROR(INDEX(Vendor_Master!$D$2:$D$41,MATCH(B591,Vendor_Master!$A$2:$A$41,0)),"Unknown")</f>
        <v>UAE</v>
      </c>
      <c r="E591" s="17" t="n">
        <f aca="false">IFERROR(INDEX(Vendor_Master!$E$2:$E$41,MATCH(B591,Vendor_Master!$A$2:$A$41,0)),"")</f>
        <v>45892</v>
      </c>
      <c r="F591" s="17" t="n">
        <f aca="false">Payment_Log_AP!D588</f>
        <v>45987</v>
      </c>
      <c r="G591" s="18" t="n">
        <f aca="false">Payment_Log_AP!E588</f>
        <v>2408.69</v>
      </c>
      <c r="H591" s="16" t="n">
        <f aca="false">IF(G591&gt;=Assumptions!$B$7,40,IF(G591&gt;=Assumptions!$B$8,20,0))</f>
        <v>0</v>
      </c>
      <c r="I591" s="16" t="n">
        <f aca="false">IF(MOD(G591,500)=0,20,IF(MOD(G591,100)=0,10,0))</f>
        <v>0</v>
      </c>
      <c r="J591" s="16" t="n">
        <f aca="false">IF(AND(E591&lt;&gt;"",F591-E591&lt;=Assumptions!$B$9),25,0)</f>
        <v>25</v>
      </c>
      <c r="K591" s="16" t="n">
        <f aca="false">IF(ISNUMBER(SEARCH(D591,Assumptions!$B$10)),15,0)</f>
        <v>15</v>
      </c>
      <c r="L591" s="16" t="n">
        <f aca="false">H591+I591+J591+K591</f>
        <v>40</v>
      </c>
      <c r="M591" s="16" t="str">
        <f aca="false">IF(L591&gt;=60,"High",IF(L591&gt;=30,"Medium","Low"))</f>
        <v>Medium</v>
      </c>
    </row>
    <row r="592" customFormat="false" ht="15" hidden="false" customHeight="false" outlineLevel="0" collapsed="false">
      <c r="A592" s="16" t="str">
        <f aca="false">Payment_Log_AP!A589</f>
        <v>PAY40588</v>
      </c>
      <c r="B592" s="16" t="str">
        <f aca="false">Payment_Log_AP!C589</f>
        <v>V1030</v>
      </c>
      <c r="C592" s="16" t="str">
        <f aca="false">IFERROR(INDEX(Vendor_Master!$B$2:$B$41,MATCH(B592,Vendor_Master!$A$2:$A$41,0)),"Unknown Vendor")</f>
        <v>Stanton-Gill</v>
      </c>
      <c r="D592" s="16" t="str">
        <f aca="false">IFERROR(INDEX(Vendor_Master!$D$2:$D$41,MATCH(B592,Vendor_Master!$A$2:$A$41,0)),"Unknown")</f>
        <v>UK</v>
      </c>
      <c r="E592" s="17" t="n">
        <f aca="false">IFERROR(INDEX(Vendor_Master!$E$2:$E$41,MATCH(B592,Vendor_Master!$A$2:$A$41,0)),"")</f>
        <v>45946</v>
      </c>
      <c r="F592" s="17" t="n">
        <f aca="false">Payment_Log_AP!D589</f>
        <v>45888</v>
      </c>
      <c r="G592" s="18" t="n">
        <f aca="false">Payment_Log_AP!E589</f>
        <v>526.61</v>
      </c>
      <c r="H592" s="16" t="n">
        <f aca="false">IF(G592&gt;=Assumptions!$B$7,40,IF(G592&gt;=Assumptions!$B$8,20,0))</f>
        <v>0</v>
      </c>
      <c r="I592" s="16" t="n">
        <f aca="false">IF(MOD(G592,500)=0,20,IF(MOD(G592,100)=0,10,0))</f>
        <v>0</v>
      </c>
      <c r="J592" s="16" t="n">
        <f aca="false">IF(AND(E592&lt;&gt;"",F592-E592&lt;=Assumptions!$B$9),25,0)</f>
        <v>25</v>
      </c>
      <c r="K592" s="16" t="n">
        <f aca="false">IF(ISNUMBER(SEARCH(D592,Assumptions!$B$10)),15,0)</f>
        <v>0</v>
      </c>
      <c r="L592" s="16" t="n">
        <f aca="false">H592+I592+J592+K592</f>
        <v>25</v>
      </c>
      <c r="M592" s="16" t="str">
        <f aca="false">IF(L592&gt;=60,"High",IF(L592&gt;=30,"Medium","Low"))</f>
        <v>Low</v>
      </c>
    </row>
    <row r="593" customFormat="false" ht="15" hidden="false" customHeight="false" outlineLevel="0" collapsed="false">
      <c r="A593" s="16" t="str">
        <f aca="false">Payment_Log_AP!A590</f>
        <v>PAY40589</v>
      </c>
      <c r="B593" s="16" t="str">
        <f aca="false">Payment_Log_AP!C590</f>
        <v>V1008</v>
      </c>
      <c r="C593" s="16" t="str">
        <f aca="false">IFERROR(INDEX(Vendor_Master!$B$2:$B$41,MATCH(B593,Vendor_Master!$A$2:$A$41,0)),"Unknown Vendor")</f>
        <v>Davis Inc</v>
      </c>
      <c r="D593" s="16" t="str">
        <f aca="false">IFERROR(INDEX(Vendor_Master!$D$2:$D$41,MATCH(B593,Vendor_Master!$A$2:$A$41,0)),"Unknown")</f>
        <v>Canada</v>
      </c>
      <c r="E593" s="17" t="n">
        <f aca="false">IFERROR(INDEX(Vendor_Master!$E$2:$E$41,MATCH(B593,Vendor_Master!$A$2:$A$41,0)),"")</f>
        <v>45769</v>
      </c>
      <c r="F593" s="17" t="n">
        <f aca="false">Payment_Log_AP!D590</f>
        <v>45750</v>
      </c>
      <c r="G593" s="18" t="n">
        <f aca="false">Payment_Log_AP!E590</f>
        <v>3315.09</v>
      </c>
      <c r="H593" s="16" t="n">
        <f aca="false">IF(G593&gt;=Assumptions!$B$7,40,IF(G593&gt;=Assumptions!$B$8,20,0))</f>
        <v>0</v>
      </c>
      <c r="I593" s="16" t="n">
        <f aca="false">IF(MOD(G593,500)=0,20,IF(MOD(G593,100)=0,10,0))</f>
        <v>0</v>
      </c>
      <c r="J593" s="16" t="n">
        <f aca="false">IF(AND(E593&lt;&gt;"",F593-E593&lt;=Assumptions!$B$9),25,0)</f>
        <v>25</v>
      </c>
      <c r="K593" s="16" t="n">
        <f aca="false">IF(ISNUMBER(SEARCH(D593,Assumptions!$B$10)),15,0)</f>
        <v>0</v>
      </c>
      <c r="L593" s="16" t="n">
        <f aca="false">H593+I593+J593+K593</f>
        <v>25</v>
      </c>
      <c r="M593" s="16" t="str">
        <f aca="false">IF(L593&gt;=60,"High",IF(L593&gt;=30,"Medium","Low"))</f>
        <v>Low</v>
      </c>
    </row>
    <row r="594" customFormat="false" ht="15" hidden="false" customHeight="false" outlineLevel="0" collapsed="false">
      <c r="A594" s="16" t="str">
        <f aca="false">Payment_Log_AP!A591</f>
        <v>PAY40590</v>
      </c>
      <c r="B594" s="16" t="str">
        <f aca="false">Payment_Log_AP!C591</f>
        <v>V1009</v>
      </c>
      <c r="C594" s="16" t="str">
        <f aca="false">IFERROR(INDEX(Vendor_Master!$B$2:$B$41,MATCH(B594,Vendor_Master!$A$2:$A$41,0)),"Unknown Vendor")</f>
        <v>Munoz-Roman</v>
      </c>
      <c r="D594" s="16" t="str">
        <f aca="false">IFERROR(INDEX(Vendor_Master!$D$2:$D$41,MATCH(B594,Vendor_Master!$A$2:$A$41,0)),"Unknown")</f>
        <v>India</v>
      </c>
      <c r="E594" s="17" t="n">
        <f aca="false">IFERROR(INDEX(Vendor_Master!$E$2:$E$41,MATCH(B594,Vendor_Master!$A$2:$A$41,0)),"")</f>
        <v>45129</v>
      </c>
      <c r="F594" s="17" t="n">
        <f aca="false">Payment_Log_AP!D591</f>
        <v>46152</v>
      </c>
      <c r="G594" s="18" t="n">
        <f aca="false">Payment_Log_AP!E591</f>
        <v>1645.78</v>
      </c>
      <c r="H594" s="16" t="n">
        <f aca="false">IF(G594&gt;=Assumptions!$B$7,40,IF(G594&gt;=Assumptions!$B$8,20,0))</f>
        <v>0</v>
      </c>
      <c r="I594" s="16" t="n">
        <f aca="false">IF(MOD(G594,500)=0,20,IF(MOD(G594,100)=0,10,0))</f>
        <v>0</v>
      </c>
      <c r="J594" s="16" t="n">
        <f aca="false">IF(AND(E594&lt;&gt;"",F594-E594&lt;=Assumptions!$B$9),25,0)</f>
        <v>0</v>
      </c>
      <c r="K594" s="16" t="n">
        <f aca="false">IF(ISNUMBER(SEARCH(D594,Assumptions!$B$10)),15,0)</f>
        <v>15</v>
      </c>
      <c r="L594" s="16" t="n">
        <f aca="false">H594+I594+J594+K594</f>
        <v>15</v>
      </c>
      <c r="M594" s="16" t="str">
        <f aca="false">IF(L594&gt;=60,"High",IF(L594&gt;=30,"Medium","Low"))</f>
        <v>Low</v>
      </c>
    </row>
    <row r="595" customFormat="false" ht="15" hidden="false" customHeight="false" outlineLevel="0" collapsed="false">
      <c r="A595" s="16" t="str">
        <f aca="false">Payment_Log_AP!A592</f>
        <v>PAY40591</v>
      </c>
      <c r="B595" s="16" t="str">
        <f aca="false">Payment_Log_AP!C592</f>
        <v>V1009</v>
      </c>
      <c r="C595" s="16" t="str">
        <f aca="false">IFERROR(INDEX(Vendor_Master!$B$2:$B$41,MATCH(B595,Vendor_Master!$A$2:$A$41,0)),"Unknown Vendor")</f>
        <v>Munoz-Roman</v>
      </c>
      <c r="D595" s="16" t="str">
        <f aca="false">IFERROR(INDEX(Vendor_Master!$D$2:$D$41,MATCH(B595,Vendor_Master!$A$2:$A$41,0)),"Unknown")</f>
        <v>India</v>
      </c>
      <c r="E595" s="17" t="n">
        <f aca="false">IFERROR(INDEX(Vendor_Master!$E$2:$E$41,MATCH(B595,Vendor_Master!$A$2:$A$41,0)),"")</f>
        <v>45129</v>
      </c>
      <c r="F595" s="17" t="n">
        <f aca="false">Payment_Log_AP!D592</f>
        <v>46162</v>
      </c>
      <c r="G595" s="18" t="n">
        <f aca="false">Payment_Log_AP!E592</f>
        <v>1645.78</v>
      </c>
      <c r="H595" s="16" t="n">
        <f aca="false">IF(G595&gt;=Assumptions!$B$7,40,IF(G595&gt;=Assumptions!$B$8,20,0))</f>
        <v>0</v>
      </c>
      <c r="I595" s="16" t="n">
        <f aca="false">IF(MOD(G595,500)=0,20,IF(MOD(G595,100)=0,10,0))</f>
        <v>0</v>
      </c>
      <c r="J595" s="16" t="n">
        <f aca="false">IF(AND(E595&lt;&gt;"",F595-E595&lt;=Assumptions!$B$9),25,0)</f>
        <v>0</v>
      </c>
      <c r="K595" s="16" t="n">
        <f aca="false">IF(ISNUMBER(SEARCH(D595,Assumptions!$B$10)),15,0)</f>
        <v>15</v>
      </c>
      <c r="L595" s="16" t="n">
        <f aca="false">H595+I595+J595+K595</f>
        <v>15</v>
      </c>
      <c r="M595" s="16" t="str">
        <f aca="false">IF(L595&gt;=60,"High",IF(L595&gt;=30,"Medium","Low"))</f>
        <v>Low</v>
      </c>
    </row>
    <row r="596" customFormat="false" ht="15" hidden="false" customHeight="false" outlineLevel="0" collapsed="false">
      <c r="A596" s="16" t="str">
        <f aca="false">Payment_Log_AP!A593</f>
        <v>PAY40592</v>
      </c>
      <c r="B596" s="16" t="str">
        <f aca="false">Payment_Log_AP!C593</f>
        <v>V1009</v>
      </c>
      <c r="C596" s="16" t="str">
        <f aca="false">IFERROR(INDEX(Vendor_Master!$B$2:$B$41,MATCH(B596,Vendor_Master!$A$2:$A$41,0)),"Unknown Vendor")</f>
        <v>Munoz-Roman</v>
      </c>
      <c r="D596" s="16" t="str">
        <f aca="false">IFERROR(INDEX(Vendor_Master!$D$2:$D$41,MATCH(B596,Vendor_Master!$A$2:$A$41,0)),"Unknown")</f>
        <v>India</v>
      </c>
      <c r="E596" s="17" t="n">
        <f aca="false">IFERROR(INDEX(Vendor_Master!$E$2:$E$41,MATCH(B596,Vendor_Master!$A$2:$A$41,0)),"")</f>
        <v>45129</v>
      </c>
      <c r="F596" s="17" t="n">
        <f aca="false">Payment_Log_AP!D593</f>
        <v>45939</v>
      </c>
      <c r="G596" s="18" t="n">
        <f aca="false">Payment_Log_AP!E593</f>
        <v>2048.02</v>
      </c>
      <c r="H596" s="16" t="n">
        <f aca="false">IF(G596&gt;=Assumptions!$B$7,40,IF(G596&gt;=Assumptions!$B$8,20,0))</f>
        <v>0</v>
      </c>
      <c r="I596" s="16" t="n">
        <f aca="false">IF(MOD(G596,500)=0,20,IF(MOD(G596,100)=0,10,0))</f>
        <v>0</v>
      </c>
      <c r="J596" s="16" t="n">
        <f aca="false">IF(AND(E596&lt;&gt;"",F596-E596&lt;=Assumptions!$B$9),25,0)</f>
        <v>0</v>
      </c>
      <c r="K596" s="16" t="n">
        <f aca="false">IF(ISNUMBER(SEARCH(D596,Assumptions!$B$10)),15,0)</f>
        <v>15</v>
      </c>
      <c r="L596" s="16" t="n">
        <f aca="false">H596+I596+J596+K596</f>
        <v>15</v>
      </c>
      <c r="M596" s="16" t="str">
        <f aca="false">IF(L596&gt;=60,"High",IF(L596&gt;=30,"Medium","Low"))</f>
        <v>Low</v>
      </c>
    </row>
    <row r="597" customFormat="false" ht="15" hidden="false" customHeight="false" outlineLevel="0" collapsed="false">
      <c r="A597" s="16" t="str">
        <f aca="false">Payment_Log_AP!A594</f>
        <v>PAY40593</v>
      </c>
      <c r="B597" s="16" t="str">
        <f aca="false">Payment_Log_AP!C594</f>
        <v>V1025</v>
      </c>
      <c r="C597" s="16" t="str">
        <f aca="false">IFERROR(INDEX(Vendor_Master!$B$2:$B$41,MATCH(B597,Vendor_Master!$A$2:$A$41,0)),"Unknown Vendor")</f>
        <v>Conner Group</v>
      </c>
      <c r="D597" s="16" t="str">
        <f aca="false">IFERROR(INDEX(Vendor_Master!$D$2:$D$41,MATCH(B597,Vendor_Master!$A$2:$A$41,0)),"Unknown")</f>
        <v>USA</v>
      </c>
      <c r="E597" s="17" t="n">
        <f aca="false">IFERROR(INDEX(Vendor_Master!$E$2:$E$41,MATCH(B597,Vendor_Master!$A$2:$A$41,0)),"")</f>
        <v>44803</v>
      </c>
      <c r="F597" s="17" t="n">
        <f aca="false">Payment_Log_AP!D594</f>
        <v>46059</v>
      </c>
      <c r="G597" s="18" t="n">
        <f aca="false">Payment_Log_AP!E594</f>
        <v>1796.9</v>
      </c>
      <c r="H597" s="16" t="n">
        <f aca="false">IF(G597&gt;=Assumptions!$B$7,40,IF(G597&gt;=Assumptions!$B$8,20,0))</f>
        <v>0</v>
      </c>
      <c r="I597" s="16" t="n">
        <f aca="false">IF(MOD(G597,500)=0,20,IF(MOD(G597,100)=0,10,0))</f>
        <v>0</v>
      </c>
      <c r="J597" s="16" t="n">
        <f aca="false">IF(AND(E597&lt;&gt;"",F597-E597&lt;=Assumptions!$B$9),25,0)</f>
        <v>0</v>
      </c>
      <c r="K597" s="16" t="n">
        <f aca="false">IF(ISNUMBER(SEARCH(D597,Assumptions!$B$10)),15,0)</f>
        <v>0</v>
      </c>
      <c r="L597" s="16" t="n">
        <f aca="false">H597+I597+J597+K597</f>
        <v>0</v>
      </c>
      <c r="M597" s="16" t="str">
        <f aca="false">IF(L597&gt;=60,"High",IF(L597&gt;=30,"Medium","Low"))</f>
        <v>Low</v>
      </c>
    </row>
    <row r="598" customFormat="false" ht="15" hidden="false" customHeight="false" outlineLevel="0" collapsed="false">
      <c r="A598" s="16" t="str">
        <f aca="false">Payment_Log_AP!A595</f>
        <v>PAY40594</v>
      </c>
      <c r="B598" s="16" t="str">
        <f aca="false">Payment_Log_AP!C595</f>
        <v>V1012</v>
      </c>
      <c r="C598" s="16" t="str">
        <f aca="false">IFERROR(INDEX(Vendor_Master!$B$2:$B$41,MATCH(B598,Vendor_Master!$A$2:$A$41,0)),"Unknown Vendor")</f>
        <v>Stanley LLC</v>
      </c>
      <c r="D598" s="16" t="str">
        <f aca="false">IFERROR(INDEX(Vendor_Master!$D$2:$D$41,MATCH(B598,Vendor_Master!$A$2:$A$41,0)),"Unknown")</f>
        <v>India</v>
      </c>
      <c r="E598" s="17" t="n">
        <f aca="false">IFERROR(INDEX(Vendor_Master!$E$2:$E$41,MATCH(B598,Vendor_Master!$A$2:$A$41,0)),"")</f>
        <v>45675</v>
      </c>
      <c r="F598" s="17" t="n">
        <f aca="false">Payment_Log_AP!D595</f>
        <v>46062</v>
      </c>
      <c r="G598" s="18" t="n">
        <f aca="false">Payment_Log_AP!E595</f>
        <v>2764.38</v>
      </c>
      <c r="H598" s="16" t="n">
        <f aca="false">IF(G598&gt;=Assumptions!$B$7,40,IF(G598&gt;=Assumptions!$B$8,20,0))</f>
        <v>0</v>
      </c>
      <c r="I598" s="16" t="n">
        <f aca="false">IF(MOD(G598,500)=0,20,IF(MOD(G598,100)=0,10,0))</f>
        <v>0</v>
      </c>
      <c r="J598" s="16" t="n">
        <f aca="false">IF(AND(E598&lt;&gt;"",F598-E598&lt;=Assumptions!$B$9),25,0)</f>
        <v>0</v>
      </c>
      <c r="K598" s="16" t="n">
        <f aca="false">IF(ISNUMBER(SEARCH(D598,Assumptions!$B$10)),15,0)</f>
        <v>15</v>
      </c>
      <c r="L598" s="16" t="n">
        <f aca="false">H598+I598+J598+K598</f>
        <v>15</v>
      </c>
      <c r="M598" s="16" t="str">
        <f aca="false">IF(L598&gt;=60,"High",IF(L598&gt;=30,"Medium","Low"))</f>
        <v>Low</v>
      </c>
    </row>
    <row r="599" customFormat="false" ht="15" hidden="false" customHeight="false" outlineLevel="0" collapsed="false">
      <c r="A599" s="16" t="str">
        <f aca="false">Payment_Log_AP!A596</f>
        <v>PAY40595</v>
      </c>
      <c r="B599" s="16" t="str">
        <f aca="false">Payment_Log_AP!C596</f>
        <v>V1012</v>
      </c>
      <c r="C599" s="16" t="str">
        <f aca="false">IFERROR(INDEX(Vendor_Master!$B$2:$B$41,MATCH(B599,Vendor_Master!$A$2:$A$41,0)),"Unknown Vendor")</f>
        <v>Stanley LLC</v>
      </c>
      <c r="D599" s="16" t="str">
        <f aca="false">IFERROR(INDEX(Vendor_Master!$D$2:$D$41,MATCH(B599,Vendor_Master!$A$2:$A$41,0)),"Unknown")</f>
        <v>India</v>
      </c>
      <c r="E599" s="17" t="n">
        <f aca="false">IFERROR(INDEX(Vendor_Master!$E$2:$E$41,MATCH(B599,Vendor_Master!$A$2:$A$41,0)),"")</f>
        <v>45675</v>
      </c>
      <c r="F599" s="17" t="n">
        <f aca="false">Payment_Log_AP!D596</f>
        <v>46009</v>
      </c>
      <c r="G599" s="18" t="n">
        <f aca="false">Payment_Log_AP!E596</f>
        <v>3596.65</v>
      </c>
      <c r="H599" s="16" t="n">
        <f aca="false">IF(G599&gt;=Assumptions!$B$7,40,IF(G599&gt;=Assumptions!$B$8,20,0))</f>
        <v>0</v>
      </c>
      <c r="I599" s="16" t="n">
        <f aca="false">IF(MOD(G599,500)=0,20,IF(MOD(G599,100)=0,10,0))</f>
        <v>0</v>
      </c>
      <c r="J599" s="16" t="n">
        <f aca="false">IF(AND(E599&lt;&gt;"",F599-E599&lt;=Assumptions!$B$9),25,0)</f>
        <v>0</v>
      </c>
      <c r="K599" s="16" t="n">
        <f aca="false">IF(ISNUMBER(SEARCH(D599,Assumptions!$B$10)),15,0)</f>
        <v>15</v>
      </c>
      <c r="L599" s="16" t="n">
        <f aca="false">H599+I599+J599+K599</f>
        <v>15</v>
      </c>
      <c r="M599" s="16" t="str">
        <f aca="false">IF(L599&gt;=60,"High",IF(L599&gt;=30,"Medium","Low"))</f>
        <v>Low</v>
      </c>
    </row>
    <row r="600" customFormat="false" ht="15" hidden="false" customHeight="false" outlineLevel="0" collapsed="false">
      <c r="A600" s="16" t="str">
        <f aca="false">Payment_Log_AP!A597</f>
        <v>PAY40596</v>
      </c>
      <c r="B600" s="16" t="str">
        <f aca="false">Payment_Log_AP!C597</f>
        <v>V1039</v>
      </c>
      <c r="C600" s="16" t="str">
        <f aca="false">IFERROR(INDEX(Vendor_Master!$B$2:$B$41,MATCH(B600,Vendor_Master!$A$2:$A$41,0)),"Unknown Vendor")</f>
        <v>Campos, Vaughn and Marquez</v>
      </c>
      <c r="D600" s="16" t="str">
        <f aca="false">IFERROR(INDEX(Vendor_Master!$D$2:$D$41,MATCH(B600,Vendor_Master!$A$2:$A$41,0)),"Unknown")</f>
        <v>USA</v>
      </c>
      <c r="E600" s="17" t="n">
        <f aca="false">IFERROR(INDEX(Vendor_Master!$E$2:$E$41,MATCH(B600,Vendor_Master!$A$2:$A$41,0)),"")</f>
        <v>46086</v>
      </c>
      <c r="F600" s="17" t="n">
        <f aca="false">Payment_Log_AP!D597</f>
        <v>46129</v>
      </c>
      <c r="G600" s="18" t="n">
        <f aca="false">Payment_Log_AP!E597</f>
        <v>2397.02</v>
      </c>
      <c r="H600" s="16" t="n">
        <f aca="false">IF(G600&gt;=Assumptions!$B$7,40,IF(G600&gt;=Assumptions!$B$8,20,0))</f>
        <v>0</v>
      </c>
      <c r="I600" s="16" t="n">
        <f aca="false">IF(MOD(G600,500)=0,20,IF(MOD(G600,100)=0,10,0))</f>
        <v>0</v>
      </c>
      <c r="J600" s="16" t="n">
        <f aca="false">IF(AND(E600&lt;&gt;"",F600-E600&lt;=Assumptions!$B$9),25,0)</f>
        <v>25</v>
      </c>
      <c r="K600" s="16" t="n">
        <f aca="false">IF(ISNUMBER(SEARCH(D600,Assumptions!$B$10)),15,0)</f>
        <v>0</v>
      </c>
      <c r="L600" s="16" t="n">
        <f aca="false">H600+I600+J600+K600</f>
        <v>25</v>
      </c>
      <c r="M600" s="16" t="str">
        <f aca="false">IF(L600&gt;=60,"High",IF(L600&gt;=30,"Medium","Low"))</f>
        <v>Low</v>
      </c>
    </row>
    <row r="601" customFormat="false" ht="15" hidden="false" customHeight="false" outlineLevel="0" collapsed="false">
      <c r="A601" s="16" t="str">
        <f aca="false">Payment_Log_AP!A598</f>
        <v>PAY40597</v>
      </c>
      <c r="B601" s="16" t="str">
        <f aca="false">Payment_Log_AP!C598</f>
        <v>V1035</v>
      </c>
      <c r="C601" s="16" t="str">
        <f aca="false">IFERROR(INDEX(Vendor_Master!$B$2:$B$41,MATCH(B601,Vendor_Master!$A$2:$A$41,0)),"Unknown Vendor")</f>
        <v>Allen PLC</v>
      </c>
      <c r="D601" s="16" t="str">
        <f aca="false">IFERROR(INDEX(Vendor_Master!$D$2:$D$41,MATCH(B601,Vendor_Master!$A$2:$A$41,0)),"Unknown")</f>
        <v>Canada</v>
      </c>
      <c r="E601" s="17" t="n">
        <f aca="false">IFERROR(INDEX(Vendor_Master!$E$2:$E$41,MATCH(B601,Vendor_Master!$A$2:$A$41,0)),"")</f>
        <v>45048</v>
      </c>
      <c r="F601" s="17" t="n">
        <f aca="false">Payment_Log_AP!D598</f>
        <v>45824</v>
      </c>
      <c r="G601" s="18" t="n">
        <f aca="false">Payment_Log_AP!E598</f>
        <v>15935.12</v>
      </c>
      <c r="H601" s="16" t="n">
        <f aca="false">IF(G601&gt;=Assumptions!$B$7,40,IF(G601&gt;=Assumptions!$B$8,20,0))</f>
        <v>40</v>
      </c>
      <c r="I601" s="16" t="n">
        <f aca="false">IF(MOD(G601,500)=0,20,IF(MOD(G601,100)=0,10,0))</f>
        <v>0</v>
      </c>
      <c r="J601" s="16" t="n">
        <f aca="false">IF(AND(E601&lt;&gt;"",F601-E601&lt;=Assumptions!$B$9),25,0)</f>
        <v>0</v>
      </c>
      <c r="K601" s="16" t="n">
        <f aca="false">IF(ISNUMBER(SEARCH(D601,Assumptions!$B$10)),15,0)</f>
        <v>0</v>
      </c>
      <c r="L601" s="16" t="n">
        <f aca="false">H601+I601+J601+K601</f>
        <v>40</v>
      </c>
      <c r="M601" s="16" t="str">
        <f aca="false">IF(L601&gt;=60,"High",IF(L601&gt;=30,"Medium","Low"))</f>
        <v>Medium</v>
      </c>
    </row>
    <row r="602" customFormat="false" ht="15" hidden="false" customHeight="false" outlineLevel="0" collapsed="false">
      <c r="A602" s="16" t="str">
        <f aca="false">Payment_Log_AP!A599</f>
        <v>PAY40598</v>
      </c>
      <c r="B602" s="16" t="str">
        <f aca="false">Payment_Log_AP!C599</f>
        <v>V1028</v>
      </c>
      <c r="C602" s="16" t="str">
        <f aca="false">IFERROR(INDEX(Vendor_Master!$B$2:$B$41,MATCH(B602,Vendor_Master!$A$2:$A$41,0)),"Unknown Vendor")</f>
        <v>Potter, Mack and Peterson</v>
      </c>
      <c r="D602" s="16" t="str">
        <f aca="false">IFERROR(INDEX(Vendor_Master!$D$2:$D$41,MATCH(B602,Vendor_Master!$A$2:$A$41,0)),"Unknown")</f>
        <v>UK</v>
      </c>
      <c r="E602" s="17" t="n">
        <f aca="false">IFERROR(INDEX(Vendor_Master!$E$2:$E$41,MATCH(B602,Vendor_Master!$A$2:$A$41,0)),"")</f>
        <v>45639</v>
      </c>
      <c r="F602" s="17" t="n">
        <f aca="false">Payment_Log_AP!D599</f>
        <v>45761</v>
      </c>
      <c r="G602" s="18" t="n">
        <f aca="false">Payment_Log_AP!E599</f>
        <v>524.67</v>
      </c>
      <c r="H602" s="16" t="n">
        <f aca="false">IF(G602&gt;=Assumptions!$B$7,40,IF(G602&gt;=Assumptions!$B$8,20,0))</f>
        <v>0</v>
      </c>
      <c r="I602" s="16" t="n">
        <f aca="false">IF(MOD(G602,500)=0,20,IF(MOD(G602,100)=0,10,0))</f>
        <v>0</v>
      </c>
      <c r="J602" s="16" t="n">
        <f aca="false">IF(AND(E602&lt;&gt;"",F602-E602&lt;=Assumptions!$B$9),25,0)</f>
        <v>25</v>
      </c>
      <c r="K602" s="16" t="n">
        <f aca="false">IF(ISNUMBER(SEARCH(D602,Assumptions!$B$10)),15,0)</f>
        <v>0</v>
      </c>
      <c r="L602" s="16" t="n">
        <f aca="false">H602+I602+J602+K602</f>
        <v>25</v>
      </c>
      <c r="M602" s="16" t="str">
        <f aca="false">IF(L602&gt;=60,"High",IF(L602&gt;=30,"Medium","Low"))</f>
        <v>Low</v>
      </c>
    </row>
    <row r="603" customFormat="false" ht="15" hidden="false" customHeight="false" outlineLevel="0" collapsed="false">
      <c r="A603" s="16" t="str">
        <f aca="false">Payment_Log_AP!A600</f>
        <v>PAY40599</v>
      </c>
      <c r="B603" s="16" t="str">
        <f aca="false">Payment_Log_AP!C600</f>
        <v>V1040</v>
      </c>
      <c r="C603" s="16" t="str">
        <f aca="false">IFERROR(INDEX(Vendor_Master!$B$2:$B$41,MATCH(B603,Vendor_Master!$A$2:$A$41,0)),"Unknown Vendor")</f>
        <v>Santos, Kim and Holmes</v>
      </c>
      <c r="D603" s="16" t="str">
        <f aca="false">IFERROR(INDEX(Vendor_Master!$D$2:$D$41,MATCH(B603,Vendor_Master!$A$2:$A$41,0)),"Unknown")</f>
        <v>India</v>
      </c>
      <c r="E603" s="17" t="n">
        <f aca="false">IFERROR(INDEX(Vendor_Master!$E$2:$E$41,MATCH(B603,Vendor_Master!$A$2:$A$41,0)),"")</f>
        <v>45192</v>
      </c>
      <c r="F603" s="17" t="n">
        <f aca="false">Payment_Log_AP!D600</f>
        <v>45754</v>
      </c>
      <c r="G603" s="18" t="n">
        <f aca="false">Payment_Log_AP!E600</f>
        <v>979.13</v>
      </c>
      <c r="H603" s="16" t="n">
        <f aca="false">IF(G603&gt;=Assumptions!$B$7,40,IF(G603&gt;=Assumptions!$B$8,20,0))</f>
        <v>0</v>
      </c>
      <c r="I603" s="16" t="n">
        <f aca="false">IF(MOD(G603,500)=0,20,IF(MOD(G603,100)=0,10,0))</f>
        <v>0</v>
      </c>
      <c r="J603" s="16" t="n">
        <f aca="false">IF(AND(E603&lt;&gt;"",F603-E603&lt;=Assumptions!$B$9),25,0)</f>
        <v>0</v>
      </c>
      <c r="K603" s="16" t="n">
        <f aca="false">IF(ISNUMBER(SEARCH(D603,Assumptions!$B$10)),15,0)</f>
        <v>15</v>
      </c>
      <c r="L603" s="16" t="n">
        <f aca="false">H603+I603+J603+K603</f>
        <v>15</v>
      </c>
      <c r="M603" s="16" t="str">
        <f aca="false">IF(L603&gt;=60,"High",IF(L603&gt;=30,"Medium","Low"))</f>
        <v>Low</v>
      </c>
    </row>
    <row r="604" customFormat="false" ht="15" hidden="false" customHeight="false" outlineLevel="0" collapsed="false">
      <c r="A604" s="16" t="str">
        <f aca="false">Payment_Log_AP!A601</f>
        <v>PAY40600</v>
      </c>
      <c r="B604" s="16" t="str">
        <f aca="false">Payment_Log_AP!C601</f>
        <v>V1006</v>
      </c>
      <c r="C604" s="16" t="str">
        <f aca="false">IFERROR(INDEX(Vendor_Master!$B$2:$B$41,MATCH(B604,Vendor_Master!$A$2:$A$41,0)),"Unknown Vendor")</f>
        <v>Blake and Sons</v>
      </c>
      <c r="D604" s="16" t="str">
        <f aca="false">IFERROR(INDEX(Vendor_Master!$D$2:$D$41,MATCH(B604,Vendor_Master!$A$2:$A$41,0)),"Unknown")</f>
        <v>UK</v>
      </c>
      <c r="E604" s="17" t="n">
        <f aca="false">IFERROR(INDEX(Vendor_Master!$E$2:$E$41,MATCH(B604,Vendor_Master!$A$2:$A$41,0)),"")</f>
        <v>45841</v>
      </c>
      <c r="F604" s="17" t="n">
        <f aca="false">Payment_Log_AP!D601</f>
        <v>46092</v>
      </c>
      <c r="G604" s="18" t="n">
        <f aca="false">Payment_Log_AP!E601</f>
        <v>3602.11</v>
      </c>
      <c r="H604" s="16" t="n">
        <f aca="false">IF(G604&gt;=Assumptions!$B$7,40,IF(G604&gt;=Assumptions!$B$8,20,0))</f>
        <v>0</v>
      </c>
      <c r="I604" s="16" t="n">
        <f aca="false">IF(MOD(G604,500)=0,20,IF(MOD(G604,100)=0,10,0))</f>
        <v>0</v>
      </c>
      <c r="J604" s="16" t="n">
        <f aca="false">IF(AND(E604&lt;&gt;"",F604-E604&lt;=Assumptions!$B$9),25,0)</f>
        <v>0</v>
      </c>
      <c r="K604" s="16" t="n">
        <f aca="false">IF(ISNUMBER(SEARCH(D604,Assumptions!$B$10)),15,0)</f>
        <v>0</v>
      </c>
      <c r="L604" s="16" t="n">
        <f aca="false">H604+I604+J604+K604</f>
        <v>0</v>
      </c>
      <c r="M604" s="16" t="str">
        <f aca="false">IF(L604&gt;=60,"High",IF(L604&gt;=30,"Medium","Low"))</f>
        <v>Low</v>
      </c>
    </row>
    <row r="605" customFormat="false" ht="15" hidden="false" customHeight="false" outlineLevel="0" collapsed="false">
      <c r="A605" s="16" t="str">
        <f aca="false">Payment_Log_AP!A602</f>
        <v>PAY40601</v>
      </c>
      <c r="B605" s="16" t="str">
        <f aca="false">Payment_Log_AP!C602</f>
        <v>V1015</v>
      </c>
      <c r="C605" s="16" t="str">
        <f aca="false">IFERROR(INDEX(Vendor_Master!$B$2:$B$41,MATCH(B605,Vendor_Master!$A$2:$A$41,0)),"Unknown Vendor")</f>
        <v>Zuniga, Wong and Lynch</v>
      </c>
      <c r="D605" s="16" t="str">
        <f aca="false">IFERROR(INDEX(Vendor_Master!$D$2:$D$41,MATCH(B605,Vendor_Master!$A$2:$A$41,0)),"Unknown")</f>
        <v>USA</v>
      </c>
      <c r="E605" s="17" t="n">
        <f aca="false">IFERROR(INDEX(Vendor_Master!$E$2:$E$41,MATCH(B605,Vendor_Master!$A$2:$A$41,0)),"")</f>
        <v>45621</v>
      </c>
      <c r="F605" s="17" t="n">
        <f aca="false">Payment_Log_AP!D602</f>
        <v>45774</v>
      </c>
      <c r="G605" s="18" t="n">
        <f aca="false">Payment_Log_AP!E602</f>
        <v>579.61</v>
      </c>
      <c r="H605" s="16" t="n">
        <f aca="false">IF(G605&gt;=Assumptions!$B$7,40,IF(G605&gt;=Assumptions!$B$8,20,0))</f>
        <v>0</v>
      </c>
      <c r="I605" s="16" t="n">
        <f aca="false">IF(MOD(G605,500)=0,20,IF(MOD(G605,100)=0,10,0))</f>
        <v>0</v>
      </c>
      <c r="J605" s="16" t="n">
        <f aca="false">IF(AND(E605&lt;&gt;"",F605-E605&lt;=Assumptions!$B$9),25,0)</f>
        <v>25</v>
      </c>
      <c r="K605" s="16" t="n">
        <f aca="false">IF(ISNUMBER(SEARCH(D605,Assumptions!$B$10)),15,0)</f>
        <v>0</v>
      </c>
      <c r="L605" s="16" t="n">
        <f aca="false">H605+I605+J605+K605</f>
        <v>25</v>
      </c>
      <c r="M605" s="16" t="str">
        <f aca="false">IF(L605&gt;=60,"High",IF(L605&gt;=30,"Medium","Low"))</f>
        <v>Low</v>
      </c>
    </row>
    <row r="606" customFormat="false" ht="15" hidden="false" customHeight="false" outlineLevel="0" collapsed="false">
      <c r="A606" s="16" t="str">
        <f aca="false">Payment_Log_AP!A603</f>
        <v>PAY40602</v>
      </c>
      <c r="B606" s="16" t="str">
        <f aca="false">Payment_Log_AP!C603</f>
        <v>V1018</v>
      </c>
      <c r="C606" s="16" t="str">
        <f aca="false">IFERROR(INDEX(Vendor_Master!$B$2:$B$41,MATCH(B606,Vendor_Master!$A$2:$A$41,0)),"Unknown Vendor")</f>
        <v>Underwood LLC</v>
      </c>
      <c r="D606" s="16" t="str">
        <f aca="false">IFERROR(INDEX(Vendor_Master!$D$2:$D$41,MATCH(B606,Vendor_Master!$A$2:$A$41,0)),"Unknown")</f>
        <v>UAE</v>
      </c>
      <c r="E606" s="17" t="n">
        <f aca="false">IFERROR(INDEX(Vendor_Master!$E$2:$E$41,MATCH(B606,Vendor_Master!$A$2:$A$41,0)),"")</f>
        <v>45788</v>
      </c>
      <c r="F606" s="17" t="n">
        <f aca="false">Payment_Log_AP!D603</f>
        <v>45810</v>
      </c>
      <c r="G606" s="18" t="n">
        <f aca="false">Payment_Log_AP!E603</f>
        <v>2463.86</v>
      </c>
      <c r="H606" s="16" t="n">
        <f aca="false">IF(G606&gt;=Assumptions!$B$7,40,IF(G606&gt;=Assumptions!$B$8,20,0))</f>
        <v>0</v>
      </c>
      <c r="I606" s="16" t="n">
        <f aca="false">IF(MOD(G606,500)=0,20,IF(MOD(G606,100)=0,10,0))</f>
        <v>0</v>
      </c>
      <c r="J606" s="16" t="n">
        <f aca="false">IF(AND(E606&lt;&gt;"",F606-E606&lt;=Assumptions!$B$9),25,0)</f>
        <v>25</v>
      </c>
      <c r="K606" s="16" t="n">
        <f aca="false">IF(ISNUMBER(SEARCH(D606,Assumptions!$B$10)),15,0)</f>
        <v>15</v>
      </c>
      <c r="L606" s="16" t="n">
        <f aca="false">H606+I606+J606+K606</f>
        <v>40</v>
      </c>
      <c r="M606" s="16" t="str">
        <f aca="false">IF(L606&gt;=60,"High",IF(L606&gt;=30,"Medium","Low"))</f>
        <v>Medium</v>
      </c>
    </row>
    <row r="607" customFormat="false" ht="15" hidden="false" customHeight="false" outlineLevel="0" collapsed="false">
      <c r="A607" s="16" t="str">
        <f aca="false">Payment_Log_AP!A604</f>
        <v>PAY40603</v>
      </c>
      <c r="B607" s="16" t="str">
        <f aca="false">Payment_Log_AP!C604</f>
        <v>V1020</v>
      </c>
      <c r="C607" s="16" t="str">
        <f aca="false">IFERROR(INDEX(Vendor_Master!$B$2:$B$41,MATCH(B607,Vendor_Master!$A$2:$A$41,0)),"Unknown Vendor")</f>
        <v>Lewis-Porter</v>
      </c>
      <c r="D607" s="16" t="str">
        <f aca="false">IFERROR(INDEX(Vendor_Master!$D$2:$D$41,MATCH(B607,Vendor_Master!$A$2:$A$41,0)),"Unknown")</f>
        <v>UAE</v>
      </c>
      <c r="E607" s="17" t="n">
        <f aca="false">IFERROR(INDEX(Vendor_Master!$E$2:$E$41,MATCH(B607,Vendor_Master!$A$2:$A$41,0)),"")</f>
        <v>45947</v>
      </c>
      <c r="F607" s="17" t="n">
        <f aca="false">Payment_Log_AP!D604</f>
        <v>46149</v>
      </c>
      <c r="G607" s="18" t="n">
        <f aca="false">Payment_Log_AP!E604</f>
        <v>2741.68</v>
      </c>
      <c r="H607" s="16" t="n">
        <f aca="false">IF(G607&gt;=Assumptions!$B$7,40,IF(G607&gt;=Assumptions!$B$8,20,0))</f>
        <v>0</v>
      </c>
      <c r="I607" s="16" t="n">
        <f aca="false">IF(MOD(G607,500)=0,20,IF(MOD(G607,100)=0,10,0))</f>
        <v>0</v>
      </c>
      <c r="J607" s="16" t="n">
        <f aca="false">IF(AND(E607&lt;&gt;"",F607-E607&lt;=Assumptions!$B$9),25,0)</f>
        <v>0</v>
      </c>
      <c r="K607" s="16" t="n">
        <f aca="false">IF(ISNUMBER(SEARCH(D607,Assumptions!$B$10)),15,0)</f>
        <v>15</v>
      </c>
      <c r="L607" s="16" t="n">
        <f aca="false">H607+I607+J607+K607</f>
        <v>15</v>
      </c>
      <c r="M607" s="16" t="str">
        <f aca="false">IF(L607&gt;=60,"High",IF(L607&gt;=30,"Medium","Low"))</f>
        <v>Low</v>
      </c>
    </row>
    <row r="608" customFormat="false" ht="15" hidden="false" customHeight="false" outlineLevel="0" collapsed="false">
      <c r="A608" s="16" t="str">
        <f aca="false">Payment_Log_AP!A605</f>
        <v>PAY40604</v>
      </c>
      <c r="B608" s="16" t="str">
        <f aca="false">Payment_Log_AP!C605</f>
        <v>V1022</v>
      </c>
      <c r="C608" s="16" t="str">
        <f aca="false">IFERROR(INDEX(Vendor_Master!$B$2:$B$41,MATCH(B608,Vendor_Master!$A$2:$A$41,0)),"Unknown Vendor")</f>
        <v>Burgess-Patterson</v>
      </c>
      <c r="D608" s="16" t="str">
        <f aca="false">IFERROR(INDEX(Vendor_Master!$D$2:$D$41,MATCH(B608,Vendor_Master!$A$2:$A$41,0)),"Unknown")</f>
        <v>Germany</v>
      </c>
      <c r="E608" s="17" t="n">
        <f aca="false">IFERROR(INDEX(Vendor_Master!$E$2:$E$41,MATCH(B608,Vendor_Master!$A$2:$A$41,0)),"")</f>
        <v>45449</v>
      </c>
      <c r="F608" s="17" t="n">
        <f aca="false">Payment_Log_AP!D605</f>
        <v>45862</v>
      </c>
      <c r="G608" s="18" t="n">
        <f aca="false">Payment_Log_AP!E605</f>
        <v>683.18</v>
      </c>
      <c r="H608" s="16" t="n">
        <f aca="false">IF(G608&gt;=Assumptions!$B$7,40,IF(G608&gt;=Assumptions!$B$8,20,0))</f>
        <v>0</v>
      </c>
      <c r="I608" s="16" t="n">
        <f aca="false">IF(MOD(G608,500)=0,20,IF(MOD(G608,100)=0,10,0))</f>
        <v>0</v>
      </c>
      <c r="J608" s="16" t="n">
        <f aca="false">IF(AND(E608&lt;&gt;"",F608-E608&lt;=Assumptions!$B$9),25,0)</f>
        <v>0</v>
      </c>
      <c r="K608" s="16" t="n">
        <f aca="false">IF(ISNUMBER(SEARCH(D608,Assumptions!$B$10)),15,0)</f>
        <v>0</v>
      </c>
      <c r="L608" s="16" t="n">
        <f aca="false">H608+I608+J608+K608</f>
        <v>0</v>
      </c>
      <c r="M608" s="16" t="str">
        <f aca="false">IF(L608&gt;=60,"High",IF(L608&gt;=30,"Medium","Low"))</f>
        <v>Low</v>
      </c>
    </row>
    <row r="609" customFormat="false" ht="15" hidden="false" customHeight="false" outlineLevel="0" collapsed="false">
      <c r="A609" s="16" t="str">
        <f aca="false">Payment_Log_AP!A606</f>
        <v>PAY40605</v>
      </c>
      <c r="B609" s="16" t="str">
        <f aca="false">Payment_Log_AP!C606</f>
        <v>V1029</v>
      </c>
      <c r="C609" s="16" t="str">
        <f aca="false">IFERROR(INDEX(Vendor_Master!$B$2:$B$41,MATCH(B609,Vendor_Master!$A$2:$A$41,0)),"Unknown Vendor")</f>
        <v>Chavez Ltd</v>
      </c>
      <c r="D609" s="16" t="str">
        <f aca="false">IFERROR(INDEX(Vendor_Master!$D$2:$D$41,MATCH(B609,Vendor_Master!$A$2:$A$41,0)),"Unknown")</f>
        <v>Singapore</v>
      </c>
      <c r="E609" s="17" t="n">
        <f aca="false">IFERROR(INDEX(Vendor_Master!$E$2:$E$41,MATCH(B609,Vendor_Master!$A$2:$A$41,0)),"")</f>
        <v>45026</v>
      </c>
      <c r="F609" s="17" t="n">
        <f aca="false">Payment_Log_AP!D606</f>
        <v>45780</v>
      </c>
      <c r="G609" s="18" t="n">
        <f aca="false">Payment_Log_AP!E606</f>
        <v>1624.72</v>
      </c>
      <c r="H609" s="16" t="n">
        <f aca="false">IF(G609&gt;=Assumptions!$B$7,40,IF(G609&gt;=Assumptions!$B$8,20,0))</f>
        <v>0</v>
      </c>
      <c r="I609" s="16" t="n">
        <f aca="false">IF(MOD(G609,500)=0,20,IF(MOD(G609,100)=0,10,0))</f>
        <v>0</v>
      </c>
      <c r="J609" s="16" t="n">
        <f aca="false">IF(AND(E609&lt;&gt;"",F609-E609&lt;=Assumptions!$B$9),25,0)</f>
        <v>0</v>
      </c>
      <c r="K609" s="16" t="n">
        <f aca="false">IF(ISNUMBER(SEARCH(D609,Assumptions!$B$10)),15,0)</f>
        <v>15</v>
      </c>
      <c r="L609" s="16" t="n">
        <f aca="false">H609+I609+J609+K609</f>
        <v>15</v>
      </c>
      <c r="M609" s="16" t="str">
        <f aca="false">IF(L609&gt;=60,"High",IF(L609&gt;=30,"Medium","Low"))</f>
        <v>Low</v>
      </c>
    </row>
    <row r="610" customFormat="false" ht="15" hidden="false" customHeight="false" outlineLevel="0" collapsed="false">
      <c r="A610" s="16" t="str">
        <f aca="false">Payment_Log_AP!A607</f>
        <v>PAY40606</v>
      </c>
      <c r="B610" s="16" t="str">
        <f aca="false">Payment_Log_AP!C607</f>
        <v>V1018</v>
      </c>
      <c r="C610" s="16" t="str">
        <f aca="false">IFERROR(INDEX(Vendor_Master!$B$2:$B$41,MATCH(B610,Vendor_Master!$A$2:$A$41,0)),"Unknown Vendor")</f>
        <v>Underwood LLC</v>
      </c>
      <c r="D610" s="16" t="str">
        <f aca="false">IFERROR(INDEX(Vendor_Master!$D$2:$D$41,MATCH(B610,Vendor_Master!$A$2:$A$41,0)),"Unknown")</f>
        <v>UAE</v>
      </c>
      <c r="E610" s="17" t="n">
        <f aca="false">IFERROR(INDEX(Vendor_Master!$E$2:$E$41,MATCH(B610,Vendor_Master!$A$2:$A$41,0)),"")</f>
        <v>45788</v>
      </c>
      <c r="F610" s="17" t="n">
        <f aca="false">Payment_Log_AP!D607</f>
        <v>46168</v>
      </c>
      <c r="G610" s="18" t="n">
        <f aca="false">Payment_Log_AP!E607</f>
        <v>1846.75</v>
      </c>
      <c r="H610" s="16" t="n">
        <f aca="false">IF(G610&gt;=Assumptions!$B$7,40,IF(G610&gt;=Assumptions!$B$8,20,0))</f>
        <v>0</v>
      </c>
      <c r="I610" s="16" t="n">
        <f aca="false">IF(MOD(G610,500)=0,20,IF(MOD(G610,100)=0,10,0))</f>
        <v>0</v>
      </c>
      <c r="J610" s="16" t="n">
        <f aca="false">IF(AND(E610&lt;&gt;"",F610-E610&lt;=Assumptions!$B$9),25,0)</f>
        <v>0</v>
      </c>
      <c r="K610" s="16" t="n">
        <f aca="false">IF(ISNUMBER(SEARCH(D610,Assumptions!$B$10)),15,0)</f>
        <v>15</v>
      </c>
      <c r="L610" s="16" t="n">
        <f aca="false">H610+I610+J610+K610</f>
        <v>15</v>
      </c>
      <c r="M610" s="16" t="str">
        <f aca="false">IF(L610&gt;=60,"High",IF(L610&gt;=30,"Medium","Low"))</f>
        <v>Low</v>
      </c>
    </row>
    <row r="611" customFormat="false" ht="15" hidden="false" customHeight="false" outlineLevel="0" collapsed="false">
      <c r="A611" s="16" t="str">
        <f aca="false">Payment_Log_AP!A608</f>
        <v>PAY40607</v>
      </c>
      <c r="B611" s="16" t="str">
        <f aca="false">Payment_Log_AP!C608</f>
        <v>V1034</v>
      </c>
      <c r="C611" s="16" t="str">
        <f aca="false">IFERROR(INDEX(Vendor_Master!$B$2:$B$41,MATCH(B611,Vendor_Master!$A$2:$A$41,0)),"Unknown Vendor")</f>
        <v>Koch-Decker</v>
      </c>
      <c r="D611" s="16" t="str">
        <f aca="false">IFERROR(INDEX(Vendor_Master!$D$2:$D$41,MATCH(B611,Vendor_Master!$A$2:$A$41,0)),"Unknown")</f>
        <v>Germany</v>
      </c>
      <c r="E611" s="17" t="n">
        <f aca="false">IFERROR(INDEX(Vendor_Master!$E$2:$E$41,MATCH(B611,Vendor_Master!$A$2:$A$41,0)),"")</f>
        <v>44738</v>
      </c>
      <c r="F611" s="17" t="n">
        <f aca="false">Payment_Log_AP!D608</f>
        <v>45698</v>
      </c>
      <c r="G611" s="18" t="n">
        <f aca="false">Payment_Log_AP!E608</f>
        <v>1307.64</v>
      </c>
      <c r="H611" s="16" t="n">
        <f aca="false">IF(G611&gt;=Assumptions!$B$7,40,IF(G611&gt;=Assumptions!$B$8,20,0))</f>
        <v>0</v>
      </c>
      <c r="I611" s="16" t="n">
        <f aca="false">IF(MOD(G611,500)=0,20,IF(MOD(G611,100)=0,10,0))</f>
        <v>0</v>
      </c>
      <c r="J611" s="16" t="n">
        <f aca="false">IF(AND(E611&lt;&gt;"",F611-E611&lt;=Assumptions!$B$9),25,0)</f>
        <v>0</v>
      </c>
      <c r="K611" s="16" t="n">
        <f aca="false">IF(ISNUMBER(SEARCH(D611,Assumptions!$B$10)),15,0)</f>
        <v>0</v>
      </c>
      <c r="L611" s="16" t="n">
        <f aca="false">H611+I611+J611+K611</f>
        <v>0</v>
      </c>
      <c r="M611" s="16" t="str">
        <f aca="false">IF(L611&gt;=60,"High",IF(L611&gt;=30,"Medium","Low"))</f>
        <v>Low</v>
      </c>
    </row>
    <row r="612" customFormat="false" ht="15" hidden="false" customHeight="false" outlineLevel="0" collapsed="false">
      <c r="A612" s="16" t="str">
        <f aca="false">Payment_Log_AP!A609</f>
        <v>PAY40608</v>
      </c>
      <c r="B612" s="16" t="str">
        <f aca="false">Payment_Log_AP!C609</f>
        <v>V1033</v>
      </c>
      <c r="C612" s="16" t="str">
        <f aca="false">IFERROR(INDEX(Vendor_Master!$B$2:$B$41,MATCH(B612,Vendor_Master!$A$2:$A$41,0)),"Unknown Vendor")</f>
        <v>Sellers, George and Burns</v>
      </c>
      <c r="D612" s="16" t="str">
        <f aca="false">IFERROR(INDEX(Vendor_Master!$D$2:$D$41,MATCH(B612,Vendor_Master!$A$2:$A$41,0)),"Unknown")</f>
        <v>USA</v>
      </c>
      <c r="E612" s="17" t="n">
        <f aca="false">IFERROR(INDEX(Vendor_Master!$E$2:$E$41,MATCH(B612,Vendor_Master!$A$2:$A$41,0)),"")</f>
        <v>45414</v>
      </c>
      <c r="F612" s="17" t="n">
        <f aca="false">Payment_Log_AP!D609</f>
        <v>46171</v>
      </c>
      <c r="G612" s="18" t="n">
        <f aca="false">Payment_Log_AP!E609</f>
        <v>1035.87</v>
      </c>
      <c r="H612" s="16" t="n">
        <f aca="false">IF(G612&gt;=Assumptions!$B$7,40,IF(G612&gt;=Assumptions!$B$8,20,0))</f>
        <v>0</v>
      </c>
      <c r="I612" s="16" t="n">
        <f aca="false">IF(MOD(G612,500)=0,20,IF(MOD(G612,100)=0,10,0))</f>
        <v>0</v>
      </c>
      <c r="J612" s="16" t="n">
        <f aca="false">IF(AND(E612&lt;&gt;"",F612-E612&lt;=Assumptions!$B$9),25,0)</f>
        <v>0</v>
      </c>
      <c r="K612" s="16" t="n">
        <f aca="false">IF(ISNUMBER(SEARCH(D612,Assumptions!$B$10)),15,0)</f>
        <v>0</v>
      </c>
      <c r="L612" s="16" t="n">
        <f aca="false">H612+I612+J612+K612</f>
        <v>0</v>
      </c>
      <c r="M612" s="16" t="str">
        <f aca="false">IF(L612&gt;=60,"High",IF(L612&gt;=30,"Medium","Low"))</f>
        <v>Low</v>
      </c>
    </row>
    <row r="613" customFormat="false" ht="15" hidden="false" customHeight="false" outlineLevel="0" collapsed="false">
      <c r="A613" s="16" t="str">
        <f aca="false">Payment_Log_AP!A610</f>
        <v>PAY40609</v>
      </c>
      <c r="B613" s="16" t="str">
        <f aca="false">Payment_Log_AP!C610</f>
        <v>V1037</v>
      </c>
      <c r="C613" s="16" t="str">
        <f aca="false">IFERROR(INDEX(Vendor_Master!$B$2:$B$41,MATCH(B613,Vendor_Master!$A$2:$A$41,0)),"Unknown Vendor")</f>
        <v>Cannon, Anderson and Alvarez</v>
      </c>
      <c r="D613" s="16" t="str">
        <f aca="false">IFERROR(INDEX(Vendor_Master!$D$2:$D$41,MATCH(B613,Vendor_Master!$A$2:$A$41,0)),"Unknown")</f>
        <v>India</v>
      </c>
      <c r="E613" s="17" t="n">
        <f aca="false">IFERROR(INDEX(Vendor_Master!$E$2:$E$41,MATCH(B613,Vendor_Master!$A$2:$A$41,0)),"")</f>
        <v>46108</v>
      </c>
      <c r="F613" s="17" t="n">
        <f aca="false">Payment_Log_AP!D610</f>
        <v>45770</v>
      </c>
      <c r="G613" s="18" t="n">
        <f aca="false">Payment_Log_AP!E610</f>
        <v>7340.64</v>
      </c>
      <c r="H613" s="16" t="n">
        <f aca="false">IF(G613&gt;=Assumptions!$B$7,40,IF(G613&gt;=Assumptions!$B$8,20,0))</f>
        <v>20</v>
      </c>
      <c r="I613" s="16" t="n">
        <f aca="false">IF(MOD(G613,500)=0,20,IF(MOD(G613,100)=0,10,0))</f>
        <v>0</v>
      </c>
      <c r="J613" s="16" t="n">
        <f aca="false">IF(AND(E613&lt;&gt;"",F613-E613&lt;=Assumptions!$B$9),25,0)</f>
        <v>25</v>
      </c>
      <c r="K613" s="16" t="n">
        <f aca="false">IF(ISNUMBER(SEARCH(D613,Assumptions!$B$10)),15,0)</f>
        <v>15</v>
      </c>
      <c r="L613" s="16" t="n">
        <f aca="false">H613+I613+J613+K613</f>
        <v>60</v>
      </c>
      <c r="M613" s="16" t="str">
        <f aca="false">IF(L613&gt;=60,"High",IF(L613&gt;=30,"Medium","Low"))</f>
        <v>High</v>
      </c>
    </row>
    <row r="614" customFormat="false" ht="15" hidden="false" customHeight="false" outlineLevel="0" collapsed="false">
      <c r="A614" s="16" t="str">
        <f aca="false">Payment_Log_AP!A611</f>
        <v>PAY40610</v>
      </c>
      <c r="B614" s="16" t="str">
        <f aca="false">Payment_Log_AP!C611</f>
        <v>V1037</v>
      </c>
      <c r="C614" s="16" t="str">
        <f aca="false">IFERROR(INDEX(Vendor_Master!$B$2:$B$41,MATCH(B614,Vendor_Master!$A$2:$A$41,0)),"Unknown Vendor")</f>
        <v>Cannon, Anderson and Alvarez</v>
      </c>
      <c r="D614" s="16" t="str">
        <f aca="false">IFERROR(INDEX(Vendor_Master!$D$2:$D$41,MATCH(B614,Vendor_Master!$A$2:$A$41,0)),"Unknown")</f>
        <v>India</v>
      </c>
      <c r="E614" s="17" t="n">
        <f aca="false">IFERROR(INDEX(Vendor_Master!$E$2:$E$41,MATCH(B614,Vendor_Master!$A$2:$A$41,0)),"")</f>
        <v>46108</v>
      </c>
      <c r="F614" s="17" t="n">
        <f aca="false">Payment_Log_AP!D611</f>
        <v>45774</v>
      </c>
      <c r="G614" s="18" t="n">
        <f aca="false">Payment_Log_AP!E611</f>
        <v>7340.64</v>
      </c>
      <c r="H614" s="16" t="n">
        <f aca="false">IF(G614&gt;=Assumptions!$B$7,40,IF(G614&gt;=Assumptions!$B$8,20,0))</f>
        <v>20</v>
      </c>
      <c r="I614" s="16" t="n">
        <f aca="false">IF(MOD(G614,500)=0,20,IF(MOD(G614,100)=0,10,0))</f>
        <v>0</v>
      </c>
      <c r="J614" s="16" t="n">
        <f aca="false">IF(AND(E614&lt;&gt;"",F614-E614&lt;=Assumptions!$B$9),25,0)</f>
        <v>25</v>
      </c>
      <c r="K614" s="16" t="n">
        <f aca="false">IF(ISNUMBER(SEARCH(D614,Assumptions!$B$10)),15,0)</f>
        <v>15</v>
      </c>
      <c r="L614" s="16" t="n">
        <f aca="false">H614+I614+J614+K614</f>
        <v>60</v>
      </c>
      <c r="M614" s="16" t="str">
        <f aca="false">IF(L614&gt;=60,"High",IF(L614&gt;=30,"Medium","Low"))</f>
        <v>High</v>
      </c>
    </row>
    <row r="615" customFormat="false" ht="15" hidden="false" customHeight="false" outlineLevel="0" collapsed="false">
      <c r="A615" s="16" t="str">
        <f aca="false">Payment_Log_AP!A612</f>
        <v>PAY40611</v>
      </c>
      <c r="B615" s="16" t="str">
        <f aca="false">Payment_Log_AP!C612</f>
        <v>V1011</v>
      </c>
      <c r="C615" s="16" t="str">
        <f aca="false">IFERROR(INDEX(Vendor_Master!$B$2:$B$41,MATCH(B615,Vendor_Master!$A$2:$A$41,0)),"Unknown Vendor")</f>
        <v>Montgomery, Hensley and Ray</v>
      </c>
      <c r="D615" s="16" t="str">
        <f aca="false">IFERROR(INDEX(Vendor_Master!$D$2:$D$41,MATCH(B615,Vendor_Master!$A$2:$A$41,0)),"Unknown")</f>
        <v>USA</v>
      </c>
      <c r="E615" s="17" t="n">
        <f aca="false">IFERROR(INDEX(Vendor_Master!$E$2:$E$41,MATCH(B615,Vendor_Master!$A$2:$A$41,0)),"")</f>
        <v>45025</v>
      </c>
      <c r="F615" s="17" t="n">
        <f aca="false">Payment_Log_AP!D612</f>
        <v>45770</v>
      </c>
      <c r="G615" s="18" t="n">
        <f aca="false">Payment_Log_AP!E612</f>
        <v>957.43</v>
      </c>
      <c r="H615" s="16" t="n">
        <f aca="false">IF(G615&gt;=Assumptions!$B$7,40,IF(G615&gt;=Assumptions!$B$8,20,0))</f>
        <v>0</v>
      </c>
      <c r="I615" s="16" t="n">
        <f aca="false">IF(MOD(G615,500)=0,20,IF(MOD(G615,100)=0,10,0))</f>
        <v>0</v>
      </c>
      <c r="J615" s="16" t="n">
        <f aca="false">IF(AND(E615&lt;&gt;"",F615-E615&lt;=Assumptions!$B$9),25,0)</f>
        <v>0</v>
      </c>
      <c r="K615" s="16" t="n">
        <f aca="false">IF(ISNUMBER(SEARCH(D615,Assumptions!$B$10)),15,0)</f>
        <v>0</v>
      </c>
      <c r="L615" s="16" t="n">
        <f aca="false">H615+I615+J615+K615</f>
        <v>0</v>
      </c>
      <c r="M615" s="16" t="str">
        <f aca="false">IF(L615&gt;=60,"High",IF(L615&gt;=30,"Medium","Low"))</f>
        <v>Low</v>
      </c>
    </row>
    <row r="616" customFormat="false" ht="15" hidden="false" customHeight="false" outlineLevel="0" collapsed="false">
      <c r="A616" s="16" t="str">
        <f aca="false">Payment_Log_AP!A613</f>
        <v>PAY40612</v>
      </c>
      <c r="B616" s="16" t="str">
        <f aca="false">Payment_Log_AP!C613</f>
        <v>V1010</v>
      </c>
      <c r="C616" s="16" t="str">
        <f aca="false">IFERROR(INDEX(Vendor_Master!$B$2:$B$41,MATCH(B616,Vendor_Master!$A$2:$A$41,0)),"Unknown Vendor")</f>
        <v>Martinez, Nielsen and Miller</v>
      </c>
      <c r="D616" s="16" t="str">
        <f aca="false">IFERROR(INDEX(Vendor_Master!$D$2:$D$41,MATCH(B616,Vendor_Master!$A$2:$A$41,0)),"Unknown")</f>
        <v>India</v>
      </c>
      <c r="E616" s="17" t="n">
        <f aca="false">IFERROR(INDEX(Vendor_Master!$E$2:$E$41,MATCH(B616,Vendor_Master!$A$2:$A$41,0)),"")</f>
        <v>45715</v>
      </c>
      <c r="F616" s="17" t="n">
        <f aca="false">Payment_Log_AP!D613</f>
        <v>45841</v>
      </c>
      <c r="G616" s="18" t="n">
        <f aca="false">Payment_Log_AP!E613</f>
        <v>2509.24</v>
      </c>
      <c r="H616" s="16" t="n">
        <f aca="false">IF(G616&gt;=Assumptions!$B$7,40,IF(G616&gt;=Assumptions!$B$8,20,0))</f>
        <v>0</v>
      </c>
      <c r="I616" s="16" t="n">
        <f aca="false">IF(MOD(G616,500)=0,20,IF(MOD(G616,100)=0,10,0))</f>
        <v>0</v>
      </c>
      <c r="J616" s="16" t="n">
        <f aca="false">IF(AND(E616&lt;&gt;"",F616-E616&lt;=Assumptions!$B$9),25,0)</f>
        <v>25</v>
      </c>
      <c r="K616" s="16" t="n">
        <f aca="false">IF(ISNUMBER(SEARCH(D616,Assumptions!$B$10)),15,0)</f>
        <v>15</v>
      </c>
      <c r="L616" s="16" t="n">
        <f aca="false">H616+I616+J616+K616</f>
        <v>40</v>
      </c>
      <c r="M616" s="16" t="str">
        <f aca="false">IF(L616&gt;=60,"High",IF(L616&gt;=30,"Medium","Low"))</f>
        <v>Medium</v>
      </c>
    </row>
    <row r="617" customFormat="false" ht="15" hidden="false" customHeight="false" outlineLevel="0" collapsed="false">
      <c r="A617" s="16" t="str">
        <f aca="false">Payment_Log_AP!A614</f>
        <v>PAY40613</v>
      </c>
      <c r="B617" s="16" t="str">
        <f aca="false">Payment_Log_AP!C614</f>
        <v>V1039</v>
      </c>
      <c r="C617" s="16" t="str">
        <f aca="false">IFERROR(INDEX(Vendor_Master!$B$2:$B$41,MATCH(B617,Vendor_Master!$A$2:$A$41,0)),"Unknown Vendor")</f>
        <v>Campos, Vaughn and Marquez</v>
      </c>
      <c r="D617" s="16" t="str">
        <f aca="false">IFERROR(INDEX(Vendor_Master!$D$2:$D$41,MATCH(B617,Vendor_Master!$A$2:$A$41,0)),"Unknown")</f>
        <v>USA</v>
      </c>
      <c r="E617" s="17" t="n">
        <f aca="false">IFERROR(INDEX(Vendor_Master!$E$2:$E$41,MATCH(B617,Vendor_Master!$A$2:$A$41,0)),"")</f>
        <v>46086</v>
      </c>
      <c r="F617" s="17" t="n">
        <f aca="false">Payment_Log_AP!D614</f>
        <v>46062</v>
      </c>
      <c r="G617" s="18" t="n">
        <f aca="false">Payment_Log_AP!E614</f>
        <v>629.25</v>
      </c>
      <c r="H617" s="16" t="n">
        <f aca="false">IF(G617&gt;=Assumptions!$B$7,40,IF(G617&gt;=Assumptions!$B$8,20,0))</f>
        <v>0</v>
      </c>
      <c r="I617" s="16" t="n">
        <f aca="false">IF(MOD(G617,500)=0,20,IF(MOD(G617,100)=0,10,0))</f>
        <v>0</v>
      </c>
      <c r="J617" s="16" t="n">
        <f aca="false">IF(AND(E617&lt;&gt;"",F617-E617&lt;=Assumptions!$B$9),25,0)</f>
        <v>25</v>
      </c>
      <c r="K617" s="16" t="n">
        <f aca="false">IF(ISNUMBER(SEARCH(D617,Assumptions!$B$10)),15,0)</f>
        <v>0</v>
      </c>
      <c r="L617" s="16" t="n">
        <f aca="false">H617+I617+J617+K617</f>
        <v>25</v>
      </c>
      <c r="M617" s="16" t="str">
        <f aca="false">IF(L617&gt;=60,"High",IF(L617&gt;=30,"Medium","Low"))</f>
        <v>Low</v>
      </c>
    </row>
    <row r="618" customFormat="false" ht="15" hidden="false" customHeight="false" outlineLevel="0" collapsed="false">
      <c r="A618" s="16" t="str">
        <f aca="false">Payment_Log_AP!A615</f>
        <v>PAY40614</v>
      </c>
      <c r="B618" s="16" t="str">
        <f aca="false">Payment_Log_AP!C615</f>
        <v>V1029</v>
      </c>
      <c r="C618" s="16" t="str">
        <f aca="false">IFERROR(INDEX(Vendor_Master!$B$2:$B$41,MATCH(B618,Vendor_Master!$A$2:$A$41,0)),"Unknown Vendor")</f>
        <v>Chavez Ltd</v>
      </c>
      <c r="D618" s="16" t="str">
        <f aca="false">IFERROR(INDEX(Vendor_Master!$D$2:$D$41,MATCH(B618,Vendor_Master!$A$2:$A$41,0)),"Unknown")</f>
        <v>Singapore</v>
      </c>
      <c r="E618" s="17" t="n">
        <f aca="false">IFERROR(INDEX(Vendor_Master!$E$2:$E$41,MATCH(B618,Vendor_Master!$A$2:$A$41,0)),"")</f>
        <v>45026</v>
      </c>
      <c r="F618" s="17" t="n">
        <f aca="false">Payment_Log_AP!D615</f>
        <v>45700</v>
      </c>
      <c r="G618" s="18" t="n">
        <f aca="false">Payment_Log_AP!E615</f>
        <v>24756.78</v>
      </c>
      <c r="H618" s="16" t="n">
        <f aca="false">IF(G618&gt;=Assumptions!$B$7,40,IF(G618&gt;=Assumptions!$B$8,20,0))</f>
        <v>40</v>
      </c>
      <c r="I618" s="16" t="n">
        <f aca="false">IF(MOD(G618,500)=0,20,IF(MOD(G618,100)=0,10,0))</f>
        <v>0</v>
      </c>
      <c r="J618" s="16" t="n">
        <f aca="false">IF(AND(E618&lt;&gt;"",F618-E618&lt;=Assumptions!$B$9),25,0)</f>
        <v>0</v>
      </c>
      <c r="K618" s="16" t="n">
        <f aca="false">IF(ISNUMBER(SEARCH(D618,Assumptions!$B$10)),15,0)</f>
        <v>15</v>
      </c>
      <c r="L618" s="16" t="n">
        <f aca="false">H618+I618+J618+K618</f>
        <v>55</v>
      </c>
      <c r="M618" s="16" t="str">
        <f aca="false">IF(L618&gt;=60,"High",IF(L618&gt;=30,"Medium","Low"))</f>
        <v>Medium</v>
      </c>
    </row>
    <row r="619" customFormat="false" ht="15" hidden="false" customHeight="false" outlineLevel="0" collapsed="false">
      <c r="A619" s="16" t="str">
        <f aca="false">Payment_Log_AP!A616</f>
        <v>PAY40615</v>
      </c>
      <c r="B619" s="16" t="str">
        <f aca="false">Payment_Log_AP!C616</f>
        <v>V1017</v>
      </c>
      <c r="C619" s="16" t="str">
        <f aca="false">IFERROR(INDEX(Vendor_Master!$B$2:$B$41,MATCH(B619,Vendor_Master!$A$2:$A$41,0)),"Unknown Vendor")</f>
        <v>Hawkins, Cohen and Cameron</v>
      </c>
      <c r="D619" s="16" t="str">
        <f aca="false">IFERROR(INDEX(Vendor_Master!$D$2:$D$41,MATCH(B619,Vendor_Master!$A$2:$A$41,0)),"Unknown")</f>
        <v>USA</v>
      </c>
      <c r="E619" s="17" t="n">
        <f aca="false">IFERROR(INDEX(Vendor_Master!$E$2:$E$41,MATCH(B619,Vendor_Master!$A$2:$A$41,0)),"")</f>
        <v>46025</v>
      </c>
      <c r="F619" s="17" t="n">
        <f aca="false">Payment_Log_AP!D616</f>
        <v>45696</v>
      </c>
      <c r="G619" s="18" t="n">
        <f aca="false">Payment_Log_AP!E616</f>
        <v>2964.49</v>
      </c>
      <c r="H619" s="16" t="n">
        <f aca="false">IF(G619&gt;=Assumptions!$B$7,40,IF(G619&gt;=Assumptions!$B$8,20,0))</f>
        <v>0</v>
      </c>
      <c r="I619" s="16" t="n">
        <f aca="false">IF(MOD(G619,500)=0,20,IF(MOD(G619,100)=0,10,0))</f>
        <v>0</v>
      </c>
      <c r="J619" s="16" t="n">
        <f aca="false">IF(AND(E619&lt;&gt;"",F619-E619&lt;=Assumptions!$B$9),25,0)</f>
        <v>25</v>
      </c>
      <c r="K619" s="16" t="n">
        <f aca="false">IF(ISNUMBER(SEARCH(D619,Assumptions!$B$10)),15,0)</f>
        <v>0</v>
      </c>
      <c r="L619" s="16" t="n">
        <f aca="false">H619+I619+J619+K619</f>
        <v>25</v>
      </c>
      <c r="M619" s="16" t="str">
        <f aca="false">IF(L619&gt;=60,"High",IF(L619&gt;=30,"Medium","Low"))</f>
        <v>Low</v>
      </c>
    </row>
    <row r="620" customFormat="false" ht="15" hidden="false" customHeight="false" outlineLevel="0" collapsed="false">
      <c r="A620" s="16" t="str">
        <f aca="false">Payment_Log_AP!A617</f>
        <v>PAY40616</v>
      </c>
      <c r="B620" s="16" t="str">
        <f aca="false">Payment_Log_AP!C617</f>
        <v>V1010</v>
      </c>
      <c r="C620" s="16" t="str">
        <f aca="false">IFERROR(INDEX(Vendor_Master!$B$2:$B$41,MATCH(B620,Vendor_Master!$A$2:$A$41,0)),"Unknown Vendor")</f>
        <v>Martinez, Nielsen and Miller</v>
      </c>
      <c r="D620" s="16" t="str">
        <f aca="false">IFERROR(INDEX(Vendor_Master!$D$2:$D$41,MATCH(B620,Vendor_Master!$A$2:$A$41,0)),"Unknown")</f>
        <v>India</v>
      </c>
      <c r="E620" s="17" t="n">
        <f aca="false">IFERROR(INDEX(Vendor_Master!$E$2:$E$41,MATCH(B620,Vendor_Master!$A$2:$A$41,0)),"")</f>
        <v>45715</v>
      </c>
      <c r="F620" s="17" t="n">
        <f aca="false">Payment_Log_AP!D617</f>
        <v>46128</v>
      </c>
      <c r="G620" s="18" t="n">
        <f aca="false">Payment_Log_AP!E617</f>
        <v>3993.23</v>
      </c>
      <c r="H620" s="16" t="n">
        <f aca="false">IF(G620&gt;=Assumptions!$B$7,40,IF(G620&gt;=Assumptions!$B$8,20,0))</f>
        <v>0</v>
      </c>
      <c r="I620" s="16" t="n">
        <f aca="false">IF(MOD(G620,500)=0,20,IF(MOD(G620,100)=0,10,0))</f>
        <v>0</v>
      </c>
      <c r="J620" s="16" t="n">
        <f aca="false">IF(AND(E620&lt;&gt;"",F620-E620&lt;=Assumptions!$B$9),25,0)</f>
        <v>0</v>
      </c>
      <c r="K620" s="16" t="n">
        <f aca="false">IF(ISNUMBER(SEARCH(D620,Assumptions!$B$10)),15,0)</f>
        <v>15</v>
      </c>
      <c r="L620" s="16" t="n">
        <f aca="false">H620+I620+J620+K620</f>
        <v>15</v>
      </c>
      <c r="M620" s="16" t="str">
        <f aca="false">IF(L620&gt;=60,"High",IF(L620&gt;=30,"Medium","Low"))</f>
        <v>Low</v>
      </c>
    </row>
    <row r="621" customFormat="false" ht="15" hidden="false" customHeight="false" outlineLevel="0" collapsed="false">
      <c r="A621" s="16" t="str">
        <f aca="false">Payment_Log_AP!A618</f>
        <v>PAY40617</v>
      </c>
      <c r="B621" s="16" t="str">
        <f aca="false">Payment_Log_AP!C618</f>
        <v>V1035</v>
      </c>
      <c r="C621" s="16" t="str">
        <f aca="false">IFERROR(INDEX(Vendor_Master!$B$2:$B$41,MATCH(B621,Vendor_Master!$A$2:$A$41,0)),"Unknown Vendor")</f>
        <v>Allen PLC</v>
      </c>
      <c r="D621" s="16" t="str">
        <f aca="false">IFERROR(INDEX(Vendor_Master!$D$2:$D$41,MATCH(B621,Vendor_Master!$A$2:$A$41,0)),"Unknown")</f>
        <v>Canada</v>
      </c>
      <c r="E621" s="17" t="n">
        <f aca="false">IFERROR(INDEX(Vendor_Master!$E$2:$E$41,MATCH(B621,Vendor_Master!$A$2:$A$41,0)),"")</f>
        <v>45048</v>
      </c>
      <c r="F621" s="17" t="n">
        <f aca="false">Payment_Log_AP!D618</f>
        <v>45823</v>
      </c>
      <c r="G621" s="18" t="n">
        <f aca="false">Payment_Log_AP!E618</f>
        <v>1604.06</v>
      </c>
      <c r="H621" s="16" t="n">
        <f aca="false">IF(G621&gt;=Assumptions!$B$7,40,IF(G621&gt;=Assumptions!$B$8,20,0))</f>
        <v>0</v>
      </c>
      <c r="I621" s="16" t="n">
        <f aca="false">IF(MOD(G621,500)=0,20,IF(MOD(G621,100)=0,10,0))</f>
        <v>0</v>
      </c>
      <c r="J621" s="16" t="n">
        <f aca="false">IF(AND(E621&lt;&gt;"",F621-E621&lt;=Assumptions!$B$9),25,0)</f>
        <v>0</v>
      </c>
      <c r="K621" s="16" t="n">
        <f aca="false">IF(ISNUMBER(SEARCH(D621,Assumptions!$B$10)),15,0)</f>
        <v>0</v>
      </c>
      <c r="L621" s="16" t="n">
        <f aca="false">H621+I621+J621+K621</f>
        <v>0</v>
      </c>
      <c r="M621" s="16" t="str">
        <f aca="false">IF(L621&gt;=60,"High",IF(L621&gt;=30,"Medium","Low"))</f>
        <v>Low</v>
      </c>
    </row>
    <row r="622" customFormat="false" ht="15" hidden="false" customHeight="false" outlineLevel="0" collapsed="false">
      <c r="A622" s="16" t="str">
        <f aca="false">Payment_Log_AP!A619</f>
        <v>PAY40618</v>
      </c>
      <c r="B622" s="16" t="str">
        <f aca="false">Payment_Log_AP!C619</f>
        <v>V1039</v>
      </c>
      <c r="C622" s="16" t="str">
        <f aca="false">IFERROR(INDEX(Vendor_Master!$B$2:$B$41,MATCH(B622,Vendor_Master!$A$2:$A$41,0)),"Unknown Vendor")</f>
        <v>Campos, Vaughn and Marquez</v>
      </c>
      <c r="D622" s="16" t="str">
        <f aca="false">IFERROR(INDEX(Vendor_Master!$D$2:$D$41,MATCH(B622,Vendor_Master!$A$2:$A$41,0)),"Unknown")</f>
        <v>USA</v>
      </c>
      <c r="E622" s="17" t="n">
        <f aca="false">IFERROR(INDEX(Vendor_Master!$E$2:$E$41,MATCH(B622,Vendor_Master!$A$2:$A$41,0)),"")</f>
        <v>46086</v>
      </c>
      <c r="F622" s="17" t="n">
        <f aca="false">Payment_Log_AP!D619</f>
        <v>45885</v>
      </c>
      <c r="G622" s="18" t="n">
        <f aca="false">Payment_Log_AP!E619</f>
        <v>2211.07</v>
      </c>
      <c r="H622" s="16" t="n">
        <f aca="false">IF(G622&gt;=Assumptions!$B$7,40,IF(G622&gt;=Assumptions!$B$8,20,0))</f>
        <v>0</v>
      </c>
      <c r="I622" s="16" t="n">
        <f aca="false">IF(MOD(G622,500)=0,20,IF(MOD(G622,100)=0,10,0))</f>
        <v>0</v>
      </c>
      <c r="J622" s="16" t="n">
        <f aca="false">IF(AND(E622&lt;&gt;"",F622-E622&lt;=Assumptions!$B$9),25,0)</f>
        <v>25</v>
      </c>
      <c r="K622" s="16" t="n">
        <f aca="false">IF(ISNUMBER(SEARCH(D622,Assumptions!$B$10)),15,0)</f>
        <v>0</v>
      </c>
      <c r="L622" s="16" t="n">
        <f aca="false">H622+I622+J622+K622</f>
        <v>25</v>
      </c>
      <c r="M622" s="16" t="str">
        <f aca="false">IF(L622&gt;=60,"High",IF(L622&gt;=30,"Medium","Low"))</f>
        <v>Low</v>
      </c>
    </row>
    <row r="623" customFormat="false" ht="15" hidden="false" customHeight="false" outlineLevel="0" collapsed="false">
      <c r="A623" s="16" t="str">
        <f aca="false">Payment_Log_AP!A620</f>
        <v>PAY40619</v>
      </c>
      <c r="B623" s="16" t="str">
        <f aca="false">Payment_Log_AP!C620</f>
        <v>V1010</v>
      </c>
      <c r="C623" s="16" t="str">
        <f aca="false">IFERROR(INDEX(Vendor_Master!$B$2:$B$41,MATCH(B623,Vendor_Master!$A$2:$A$41,0)),"Unknown Vendor")</f>
        <v>Martinez, Nielsen and Miller</v>
      </c>
      <c r="D623" s="16" t="str">
        <f aca="false">IFERROR(INDEX(Vendor_Master!$D$2:$D$41,MATCH(B623,Vendor_Master!$A$2:$A$41,0)),"Unknown")</f>
        <v>India</v>
      </c>
      <c r="E623" s="17" t="n">
        <f aca="false">IFERROR(INDEX(Vendor_Master!$E$2:$E$41,MATCH(B623,Vendor_Master!$A$2:$A$41,0)),"")</f>
        <v>45715</v>
      </c>
      <c r="F623" s="17" t="n">
        <f aca="false">Payment_Log_AP!D620</f>
        <v>45763</v>
      </c>
      <c r="G623" s="18" t="n">
        <f aca="false">Payment_Log_AP!E620</f>
        <v>1034.65</v>
      </c>
      <c r="H623" s="16" t="n">
        <f aca="false">IF(G623&gt;=Assumptions!$B$7,40,IF(G623&gt;=Assumptions!$B$8,20,0))</f>
        <v>0</v>
      </c>
      <c r="I623" s="16" t="n">
        <f aca="false">IF(MOD(G623,500)=0,20,IF(MOD(G623,100)=0,10,0))</f>
        <v>0</v>
      </c>
      <c r="J623" s="16" t="n">
        <f aca="false">IF(AND(E623&lt;&gt;"",F623-E623&lt;=Assumptions!$B$9),25,0)</f>
        <v>25</v>
      </c>
      <c r="K623" s="16" t="n">
        <f aca="false">IF(ISNUMBER(SEARCH(D623,Assumptions!$B$10)),15,0)</f>
        <v>15</v>
      </c>
      <c r="L623" s="16" t="n">
        <f aca="false">H623+I623+J623+K623</f>
        <v>40</v>
      </c>
      <c r="M623" s="16" t="str">
        <f aca="false">IF(L623&gt;=60,"High",IF(L623&gt;=30,"Medium","Low"))</f>
        <v>Medium</v>
      </c>
    </row>
    <row r="624" customFormat="false" ht="15" hidden="false" customHeight="false" outlineLevel="0" collapsed="false">
      <c r="A624" s="16" t="str">
        <f aca="false">Payment_Log_AP!A621</f>
        <v>PAY40620</v>
      </c>
      <c r="B624" s="16" t="str">
        <f aca="false">Payment_Log_AP!C621</f>
        <v>V1032</v>
      </c>
      <c r="C624" s="16" t="str">
        <f aca="false">IFERROR(INDEX(Vendor_Master!$B$2:$B$41,MATCH(B624,Vendor_Master!$A$2:$A$41,0)),"Unknown Vendor")</f>
        <v>Lynch, Hernandez and Farmer</v>
      </c>
      <c r="D624" s="16" t="str">
        <f aca="false">IFERROR(INDEX(Vendor_Master!$D$2:$D$41,MATCH(B624,Vendor_Master!$A$2:$A$41,0)),"Unknown")</f>
        <v>UAE</v>
      </c>
      <c r="E624" s="17" t="n">
        <f aca="false">IFERROR(INDEX(Vendor_Master!$E$2:$E$41,MATCH(B624,Vendor_Master!$A$2:$A$41,0)),"")</f>
        <v>45892</v>
      </c>
      <c r="F624" s="17" t="n">
        <f aca="false">Payment_Log_AP!D621</f>
        <v>46083</v>
      </c>
      <c r="G624" s="18" t="n">
        <f aca="false">Payment_Log_AP!E621</f>
        <v>1848.76</v>
      </c>
      <c r="H624" s="16" t="n">
        <f aca="false">IF(G624&gt;=Assumptions!$B$7,40,IF(G624&gt;=Assumptions!$B$8,20,0))</f>
        <v>0</v>
      </c>
      <c r="I624" s="16" t="n">
        <f aca="false">IF(MOD(G624,500)=0,20,IF(MOD(G624,100)=0,10,0))</f>
        <v>0</v>
      </c>
      <c r="J624" s="16" t="n">
        <f aca="false">IF(AND(E624&lt;&gt;"",F624-E624&lt;=Assumptions!$B$9),25,0)</f>
        <v>0</v>
      </c>
      <c r="K624" s="16" t="n">
        <f aca="false">IF(ISNUMBER(SEARCH(D624,Assumptions!$B$10)),15,0)</f>
        <v>15</v>
      </c>
      <c r="L624" s="16" t="n">
        <f aca="false">H624+I624+J624+K624</f>
        <v>15</v>
      </c>
      <c r="M624" s="16" t="str">
        <f aca="false">IF(L624&gt;=60,"High",IF(L624&gt;=30,"Medium","Low"))</f>
        <v>Low</v>
      </c>
    </row>
    <row r="625" customFormat="false" ht="15" hidden="false" customHeight="false" outlineLevel="0" collapsed="false">
      <c r="A625" s="16" t="str">
        <f aca="false">Payment_Log_AP!A622</f>
        <v>PAY40621</v>
      </c>
      <c r="B625" s="16" t="str">
        <f aca="false">Payment_Log_AP!C622</f>
        <v>V1039</v>
      </c>
      <c r="C625" s="16" t="str">
        <f aca="false">IFERROR(INDEX(Vendor_Master!$B$2:$B$41,MATCH(B625,Vendor_Master!$A$2:$A$41,0)),"Unknown Vendor")</f>
        <v>Campos, Vaughn and Marquez</v>
      </c>
      <c r="D625" s="16" t="str">
        <f aca="false">IFERROR(INDEX(Vendor_Master!$D$2:$D$41,MATCH(B625,Vendor_Master!$A$2:$A$41,0)),"Unknown")</f>
        <v>USA</v>
      </c>
      <c r="E625" s="17" t="n">
        <f aca="false">IFERROR(INDEX(Vendor_Master!$E$2:$E$41,MATCH(B625,Vendor_Master!$A$2:$A$41,0)),"")</f>
        <v>46086</v>
      </c>
      <c r="F625" s="17" t="n">
        <f aca="false">Payment_Log_AP!D622</f>
        <v>45988</v>
      </c>
      <c r="G625" s="18" t="n">
        <f aca="false">Payment_Log_AP!E622</f>
        <v>2842.44</v>
      </c>
      <c r="H625" s="16" t="n">
        <f aca="false">IF(G625&gt;=Assumptions!$B$7,40,IF(G625&gt;=Assumptions!$B$8,20,0))</f>
        <v>0</v>
      </c>
      <c r="I625" s="16" t="n">
        <f aca="false">IF(MOD(G625,500)=0,20,IF(MOD(G625,100)=0,10,0))</f>
        <v>0</v>
      </c>
      <c r="J625" s="16" t="n">
        <f aca="false">IF(AND(E625&lt;&gt;"",F625-E625&lt;=Assumptions!$B$9),25,0)</f>
        <v>25</v>
      </c>
      <c r="K625" s="16" t="n">
        <f aca="false">IF(ISNUMBER(SEARCH(D625,Assumptions!$B$10)),15,0)</f>
        <v>0</v>
      </c>
      <c r="L625" s="16" t="n">
        <f aca="false">H625+I625+J625+K625</f>
        <v>25</v>
      </c>
      <c r="M625" s="16" t="str">
        <f aca="false">IF(L625&gt;=60,"High",IF(L625&gt;=30,"Medium","Low"))</f>
        <v>Low</v>
      </c>
    </row>
    <row r="626" customFormat="false" ht="15" hidden="false" customHeight="false" outlineLevel="0" collapsed="false">
      <c r="A626" s="16" t="str">
        <f aca="false">Payment_Log_AP!A623</f>
        <v>PAY40622</v>
      </c>
      <c r="B626" s="16" t="str">
        <f aca="false">Payment_Log_AP!C623</f>
        <v>V1018</v>
      </c>
      <c r="C626" s="16" t="str">
        <f aca="false">IFERROR(INDEX(Vendor_Master!$B$2:$B$41,MATCH(B626,Vendor_Master!$A$2:$A$41,0)),"Unknown Vendor")</f>
        <v>Underwood LLC</v>
      </c>
      <c r="D626" s="16" t="str">
        <f aca="false">IFERROR(INDEX(Vendor_Master!$D$2:$D$41,MATCH(B626,Vendor_Master!$A$2:$A$41,0)),"Unknown")</f>
        <v>UAE</v>
      </c>
      <c r="E626" s="17" t="n">
        <f aca="false">IFERROR(INDEX(Vendor_Master!$E$2:$E$41,MATCH(B626,Vendor_Master!$A$2:$A$41,0)),"")</f>
        <v>45788</v>
      </c>
      <c r="F626" s="17" t="n">
        <f aca="false">Payment_Log_AP!D623</f>
        <v>46103</v>
      </c>
      <c r="G626" s="18" t="n">
        <f aca="false">Payment_Log_AP!E623</f>
        <v>2826.44</v>
      </c>
      <c r="H626" s="16" t="n">
        <f aca="false">IF(G626&gt;=Assumptions!$B$7,40,IF(G626&gt;=Assumptions!$B$8,20,0))</f>
        <v>0</v>
      </c>
      <c r="I626" s="16" t="n">
        <f aca="false">IF(MOD(G626,500)=0,20,IF(MOD(G626,100)=0,10,0))</f>
        <v>0</v>
      </c>
      <c r="J626" s="16" t="n">
        <f aca="false">IF(AND(E626&lt;&gt;"",F626-E626&lt;=Assumptions!$B$9),25,0)</f>
        <v>0</v>
      </c>
      <c r="K626" s="16" t="n">
        <f aca="false">IF(ISNUMBER(SEARCH(D626,Assumptions!$B$10)),15,0)</f>
        <v>15</v>
      </c>
      <c r="L626" s="16" t="n">
        <f aca="false">H626+I626+J626+K626</f>
        <v>15</v>
      </c>
      <c r="M626" s="16" t="str">
        <f aca="false">IF(L626&gt;=60,"High",IF(L626&gt;=30,"Medium","Low"))</f>
        <v>Low</v>
      </c>
    </row>
    <row r="627" customFormat="false" ht="15" hidden="false" customHeight="false" outlineLevel="0" collapsed="false">
      <c r="A627" s="16" t="str">
        <f aca="false">Payment_Log_AP!A624</f>
        <v>PAY40623</v>
      </c>
      <c r="B627" s="16" t="str">
        <f aca="false">Payment_Log_AP!C624</f>
        <v>V1038</v>
      </c>
      <c r="C627" s="16" t="str">
        <f aca="false">IFERROR(INDEX(Vendor_Master!$B$2:$B$41,MATCH(B627,Vendor_Master!$A$2:$A$41,0)),"Unknown Vendor")</f>
        <v>Rose-Obrien</v>
      </c>
      <c r="D627" s="16" t="str">
        <f aca="false">IFERROR(INDEX(Vendor_Master!$D$2:$D$41,MATCH(B627,Vendor_Master!$A$2:$A$41,0)),"Unknown")</f>
        <v>USA</v>
      </c>
      <c r="E627" s="17" t="n">
        <f aca="false">IFERROR(INDEX(Vendor_Master!$E$2:$E$41,MATCH(B627,Vendor_Master!$A$2:$A$41,0)),"")</f>
        <v>45431</v>
      </c>
      <c r="F627" s="17" t="n">
        <f aca="false">Payment_Log_AP!D624</f>
        <v>46131</v>
      </c>
      <c r="G627" s="18" t="n">
        <f aca="false">Payment_Log_AP!E624</f>
        <v>4662.39</v>
      </c>
      <c r="H627" s="16" t="n">
        <f aca="false">IF(G627&gt;=Assumptions!$B$7,40,IF(G627&gt;=Assumptions!$B$8,20,0))</f>
        <v>0</v>
      </c>
      <c r="I627" s="16" t="n">
        <f aca="false">IF(MOD(G627,500)=0,20,IF(MOD(G627,100)=0,10,0))</f>
        <v>0</v>
      </c>
      <c r="J627" s="16" t="n">
        <f aca="false">IF(AND(E627&lt;&gt;"",F627-E627&lt;=Assumptions!$B$9),25,0)</f>
        <v>0</v>
      </c>
      <c r="K627" s="16" t="n">
        <f aca="false">IF(ISNUMBER(SEARCH(D627,Assumptions!$B$10)),15,0)</f>
        <v>0</v>
      </c>
      <c r="L627" s="16" t="n">
        <f aca="false">H627+I627+J627+K627</f>
        <v>0</v>
      </c>
      <c r="M627" s="16" t="str">
        <f aca="false">IF(L627&gt;=60,"High",IF(L627&gt;=30,"Medium","Low"))</f>
        <v>Low</v>
      </c>
    </row>
    <row r="628" customFormat="false" ht="15" hidden="false" customHeight="false" outlineLevel="0" collapsed="false">
      <c r="A628" s="16" t="str">
        <f aca="false">Payment_Log_AP!A625</f>
        <v>PAY40624</v>
      </c>
      <c r="B628" s="16" t="str">
        <f aca="false">Payment_Log_AP!C625</f>
        <v>V1040</v>
      </c>
      <c r="C628" s="16" t="str">
        <f aca="false">IFERROR(INDEX(Vendor_Master!$B$2:$B$41,MATCH(B628,Vendor_Master!$A$2:$A$41,0)),"Unknown Vendor")</f>
        <v>Santos, Kim and Holmes</v>
      </c>
      <c r="D628" s="16" t="str">
        <f aca="false">IFERROR(INDEX(Vendor_Master!$D$2:$D$41,MATCH(B628,Vendor_Master!$A$2:$A$41,0)),"Unknown")</f>
        <v>India</v>
      </c>
      <c r="E628" s="17" t="n">
        <f aca="false">IFERROR(INDEX(Vendor_Master!$E$2:$E$41,MATCH(B628,Vendor_Master!$A$2:$A$41,0)),"")</f>
        <v>45192</v>
      </c>
      <c r="F628" s="17" t="n">
        <f aca="false">Payment_Log_AP!D625</f>
        <v>45970</v>
      </c>
      <c r="G628" s="18" t="n">
        <f aca="false">Payment_Log_AP!E625</f>
        <v>369.39</v>
      </c>
      <c r="H628" s="16" t="n">
        <f aca="false">IF(G628&gt;=Assumptions!$B$7,40,IF(G628&gt;=Assumptions!$B$8,20,0))</f>
        <v>0</v>
      </c>
      <c r="I628" s="16" t="n">
        <f aca="false">IF(MOD(G628,500)=0,20,IF(MOD(G628,100)=0,10,0))</f>
        <v>0</v>
      </c>
      <c r="J628" s="16" t="n">
        <f aca="false">IF(AND(E628&lt;&gt;"",F628-E628&lt;=Assumptions!$B$9),25,0)</f>
        <v>0</v>
      </c>
      <c r="K628" s="16" t="n">
        <f aca="false">IF(ISNUMBER(SEARCH(D628,Assumptions!$B$10)),15,0)</f>
        <v>15</v>
      </c>
      <c r="L628" s="16" t="n">
        <f aca="false">H628+I628+J628+K628</f>
        <v>15</v>
      </c>
      <c r="M628" s="16" t="str">
        <f aca="false">IF(L628&gt;=60,"High",IF(L628&gt;=30,"Medium","Low"))</f>
        <v>Low</v>
      </c>
    </row>
    <row r="629" customFormat="false" ht="15" hidden="false" customHeight="false" outlineLevel="0" collapsed="false">
      <c r="A629" s="16" t="str">
        <f aca="false">Payment_Log_AP!A626</f>
        <v>PAY40625</v>
      </c>
      <c r="B629" s="16" t="str">
        <f aca="false">Payment_Log_AP!C626</f>
        <v>V1030</v>
      </c>
      <c r="C629" s="16" t="str">
        <f aca="false">IFERROR(INDEX(Vendor_Master!$B$2:$B$41,MATCH(B629,Vendor_Master!$A$2:$A$41,0)),"Unknown Vendor")</f>
        <v>Stanton-Gill</v>
      </c>
      <c r="D629" s="16" t="str">
        <f aca="false">IFERROR(INDEX(Vendor_Master!$D$2:$D$41,MATCH(B629,Vendor_Master!$A$2:$A$41,0)),"Unknown")</f>
        <v>UK</v>
      </c>
      <c r="E629" s="17" t="n">
        <f aca="false">IFERROR(INDEX(Vendor_Master!$E$2:$E$41,MATCH(B629,Vendor_Master!$A$2:$A$41,0)),"")</f>
        <v>45946</v>
      </c>
      <c r="F629" s="17" t="n">
        <f aca="false">Payment_Log_AP!D626</f>
        <v>45719</v>
      </c>
      <c r="G629" s="18" t="n">
        <f aca="false">Payment_Log_AP!E626</f>
        <v>1081.06</v>
      </c>
      <c r="H629" s="16" t="n">
        <f aca="false">IF(G629&gt;=Assumptions!$B$7,40,IF(G629&gt;=Assumptions!$B$8,20,0))</f>
        <v>0</v>
      </c>
      <c r="I629" s="16" t="n">
        <f aca="false">IF(MOD(G629,500)=0,20,IF(MOD(G629,100)=0,10,0))</f>
        <v>0</v>
      </c>
      <c r="J629" s="16" t="n">
        <f aca="false">IF(AND(E629&lt;&gt;"",F629-E629&lt;=Assumptions!$B$9),25,0)</f>
        <v>25</v>
      </c>
      <c r="K629" s="16" t="n">
        <f aca="false">IF(ISNUMBER(SEARCH(D629,Assumptions!$B$10)),15,0)</f>
        <v>0</v>
      </c>
      <c r="L629" s="16" t="n">
        <f aca="false">H629+I629+J629+K629</f>
        <v>25</v>
      </c>
      <c r="M629" s="16" t="str">
        <f aca="false">IF(L629&gt;=60,"High",IF(L629&gt;=30,"Medium","Low"))</f>
        <v>Low</v>
      </c>
    </row>
    <row r="630" customFormat="false" ht="15" hidden="false" customHeight="false" outlineLevel="0" collapsed="false">
      <c r="A630" s="16" t="str">
        <f aca="false">Payment_Log_AP!A627</f>
        <v>PAY40626</v>
      </c>
      <c r="B630" s="16" t="str">
        <f aca="false">Payment_Log_AP!C627</f>
        <v>V1023</v>
      </c>
      <c r="C630" s="16" t="str">
        <f aca="false">IFERROR(INDEX(Vendor_Master!$B$2:$B$41,MATCH(B630,Vendor_Master!$A$2:$A$41,0)),"Unknown Vendor")</f>
        <v>Robinson-Bright</v>
      </c>
      <c r="D630" s="16" t="str">
        <f aca="false">IFERROR(INDEX(Vendor_Master!$D$2:$D$41,MATCH(B630,Vendor_Master!$A$2:$A$41,0)),"Unknown")</f>
        <v>India</v>
      </c>
      <c r="E630" s="17" t="n">
        <f aca="false">IFERROR(INDEX(Vendor_Master!$E$2:$E$41,MATCH(B630,Vendor_Master!$A$2:$A$41,0)),"")</f>
        <v>45484</v>
      </c>
      <c r="F630" s="17" t="n">
        <f aca="false">Payment_Log_AP!D627</f>
        <v>46118</v>
      </c>
      <c r="G630" s="18" t="n">
        <f aca="false">Payment_Log_AP!E627</f>
        <v>199.69</v>
      </c>
      <c r="H630" s="16" t="n">
        <f aca="false">IF(G630&gt;=Assumptions!$B$7,40,IF(G630&gt;=Assumptions!$B$8,20,0))</f>
        <v>0</v>
      </c>
      <c r="I630" s="16" t="n">
        <f aca="false">IF(MOD(G630,500)=0,20,IF(MOD(G630,100)=0,10,0))</f>
        <v>0</v>
      </c>
      <c r="J630" s="16" t="n">
        <f aca="false">IF(AND(E630&lt;&gt;"",F630-E630&lt;=Assumptions!$B$9),25,0)</f>
        <v>0</v>
      </c>
      <c r="K630" s="16" t="n">
        <f aca="false">IF(ISNUMBER(SEARCH(D630,Assumptions!$B$10)),15,0)</f>
        <v>15</v>
      </c>
      <c r="L630" s="16" t="n">
        <f aca="false">H630+I630+J630+K630</f>
        <v>15</v>
      </c>
      <c r="M630" s="16" t="str">
        <f aca="false">IF(L630&gt;=60,"High",IF(L630&gt;=30,"Medium","Low"))</f>
        <v>Low</v>
      </c>
    </row>
    <row r="631" customFormat="false" ht="15" hidden="false" customHeight="false" outlineLevel="0" collapsed="false">
      <c r="A631" s="16" t="str">
        <f aca="false">Payment_Log_AP!A628</f>
        <v>PAY40627</v>
      </c>
      <c r="B631" s="16" t="str">
        <f aca="false">Payment_Log_AP!C628</f>
        <v>V1039</v>
      </c>
      <c r="C631" s="16" t="str">
        <f aca="false">IFERROR(INDEX(Vendor_Master!$B$2:$B$41,MATCH(B631,Vendor_Master!$A$2:$A$41,0)),"Unknown Vendor")</f>
        <v>Campos, Vaughn and Marquez</v>
      </c>
      <c r="D631" s="16" t="str">
        <f aca="false">IFERROR(INDEX(Vendor_Master!$D$2:$D$41,MATCH(B631,Vendor_Master!$A$2:$A$41,0)),"Unknown")</f>
        <v>USA</v>
      </c>
      <c r="E631" s="17" t="n">
        <f aca="false">IFERROR(INDEX(Vendor_Master!$E$2:$E$41,MATCH(B631,Vendor_Master!$A$2:$A$41,0)),"")</f>
        <v>46086</v>
      </c>
      <c r="F631" s="17" t="n">
        <f aca="false">Payment_Log_AP!D628</f>
        <v>46133</v>
      </c>
      <c r="G631" s="18" t="n">
        <f aca="false">Payment_Log_AP!E628</f>
        <v>1143.13</v>
      </c>
      <c r="H631" s="16" t="n">
        <f aca="false">IF(G631&gt;=Assumptions!$B$7,40,IF(G631&gt;=Assumptions!$B$8,20,0))</f>
        <v>0</v>
      </c>
      <c r="I631" s="16" t="n">
        <f aca="false">IF(MOD(G631,500)=0,20,IF(MOD(G631,100)=0,10,0))</f>
        <v>0</v>
      </c>
      <c r="J631" s="16" t="n">
        <f aca="false">IF(AND(E631&lt;&gt;"",F631-E631&lt;=Assumptions!$B$9),25,0)</f>
        <v>25</v>
      </c>
      <c r="K631" s="16" t="n">
        <f aca="false">IF(ISNUMBER(SEARCH(D631,Assumptions!$B$10)),15,0)</f>
        <v>0</v>
      </c>
      <c r="L631" s="16" t="n">
        <f aca="false">H631+I631+J631+K631</f>
        <v>25</v>
      </c>
      <c r="M631" s="16" t="str">
        <f aca="false">IF(L631&gt;=60,"High",IF(L631&gt;=30,"Medium","Low"))</f>
        <v>Low</v>
      </c>
    </row>
    <row r="632" customFormat="false" ht="15" hidden="false" customHeight="false" outlineLevel="0" collapsed="false">
      <c r="A632" s="16" t="str">
        <f aca="false">Payment_Log_AP!A629</f>
        <v>PAY40628</v>
      </c>
      <c r="B632" s="16" t="str">
        <f aca="false">Payment_Log_AP!C629</f>
        <v>V1033</v>
      </c>
      <c r="C632" s="16" t="str">
        <f aca="false">IFERROR(INDEX(Vendor_Master!$B$2:$B$41,MATCH(B632,Vendor_Master!$A$2:$A$41,0)),"Unknown Vendor")</f>
        <v>Sellers, George and Burns</v>
      </c>
      <c r="D632" s="16" t="str">
        <f aca="false">IFERROR(INDEX(Vendor_Master!$D$2:$D$41,MATCH(B632,Vendor_Master!$A$2:$A$41,0)),"Unknown")</f>
        <v>USA</v>
      </c>
      <c r="E632" s="17" t="n">
        <f aca="false">IFERROR(INDEX(Vendor_Master!$E$2:$E$41,MATCH(B632,Vendor_Master!$A$2:$A$41,0)),"")</f>
        <v>45414</v>
      </c>
      <c r="F632" s="17" t="n">
        <f aca="false">Payment_Log_AP!D629</f>
        <v>45979</v>
      </c>
      <c r="G632" s="18" t="n">
        <f aca="false">Payment_Log_AP!E629</f>
        <v>3047.46</v>
      </c>
      <c r="H632" s="16" t="n">
        <f aca="false">IF(G632&gt;=Assumptions!$B$7,40,IF(G632&gt;=Assumptions!$B$8,20,0))</f>
        <v>0</v>
      </c>
      <c r="I632" s="16" t="n">
        <f aca="false">IF(MOD(G632,500)=0,20,IF(MOD(G632,100)=0,10,0))</f>
        <v>0</v>
      </c>
      <c r="J632" s="16" t="n">
        <f aca="false">IF(AND(E632&lt;&gt;"",F632-E632&lt;=Assumptions!$B$9),25,0)</f>
        <v>0</v>
      </c>
      <c r="K632" s="16" t="n">
        <f aca="false">IF(ISNUMBER(SEARCH(D632,Assumptions!$B$10)),15,0)</f>
        <v>0</v>
      </c>
      <c r="L632" s="16" t="n">
        <f aca="false">H632+I632+J632+K632</f>
        <v>0</v>
      </c>
      <c r="M632" s="16" t="str">
        <f aca="false">IF(L632&gt;=60,"High",IF(L632&gt;=30,"Medium","Low"))</f>
        <v>Low</v>
      </c>
    </row>
    <row r="633" customFormat="false" ht="15" hidden="false" customHeight="false" outlineLevel="0" collapsed="false">
      <c r="A633" s="16" t="str">
        <f aca="false">Payment_Log_AP!A630</f>
        <v>PAY40629</v>
      </c>
      <c r="B633" s="16" t="str">
        <f aca="false">Payment_Log_AP!C630</f>
        <v>V1011</v>
      </c>
      <c r="C633" s="16" t="str">
        <f aca="false">IFERROR(INDEX(Vendor_Master!$B$2:$B$41,MATCH(B633,Vendor_Master!$A$2:$A$41,0)),"Unknown Vendor")</f>
        <v>Montgomery, Hensley and Ray</v>
      </c>
      <c r="D633" s="16" t="str">
        <f aca="false">IFERROR(INDEX(Vendor_Master!$D$2:$D$41,MATCH(B633,Vendor_Master!$A$2:$A$41,0)),"Unknown")</f>
        <v>USA</v>
      </c>
      <c r="E633" s="17" t="n">
        <f aca="false">IFERROR(INDEX(Vendor_Master!$E$2:$E$41,MATCH(B633,Vendor_Master!$A$2:$A$41,0)),"")</f>
        <v>45025</v>
      </c>
      <c r="F633" s="17" t="n">
        <f aca="false">Payment_Log_AP!D630</f>
        <v>45936</v>
      </c>
      <c r="G633" s="18" t="n">
        <f aca="false">Payment_Log_AP!E630</f>
        <v>2282.24</v>
      </c>
      <c r="H633" s="16" t="n">
        <f aca="false">IF(G633&gt;=Assumptions!$B$7,40,IF(G633&gt;=Assumptions!$B$8,20,0))</f>
        <v>0</v>
      </c>
      <c r="I633" s="16" t="n">
        <f aca="false">IF(MOD(G633,500)=0,20,IF(MOD(G633,100)=0,10,0))</f>
        <v>0</v>
      </c>
      <c r="J633" s="16" t="n">
        <f aca="false">IF(AND(E633&lt;&gt;"",F633-E633&lt;=Assumptions!$B$9),25,0)</f>
        <v>0</v>
      </c>
      <c r="K633" s="16" t="n">
        <f aca="false">IF(ISNUMBER(SEARCH(D633,Assumptions!$B$10)),15,0)</f>
        <v>0</v>
      </c>
      <c r="L633" s="16" t="n">
        <f aca="false">H633+I633+J633+K633</f>
        <v>0</v>
      </c>
      <c r="M633" s="16" t="str">
        <f aca="false">IF(L633&gt;=60,"High",IF(L633&gt;=30,"Medium","Low"))</f>
        <v>Low</v>
      </c>
    </row>
    <row r="634" customFormat="false" ht="15" hidden="false" customHeight="false" outlineLevel="0" collapsed="false">
      <c r="A634" s="16" t="str">
        <f aca="false">Payment_Log_AP!A631</f>
        <v>PAY40630</v>
      </c>
      <c r="B634" s="16" t="str">
        <f aca="false">Payment_Log_AP!C631</f>
        <v>V1008</v>
      </c>
      <c r="C634" s="16" t="str">
        <f aca="false">IFERROR(INDEX(Vendor_Master!$B$2:$B$41,MATCH(B634,Vendor_Master!$A$2:$A$41,0)),"Unknown Vendor")</f>
        <v>Davis Inc</v>
      </c>
      <c r="D634" s="16" t="str">
        <f aca="false">IFERROR(INDEX(Vendor_Master!$D$2:$D$41,MATCH(B634,Vendor_Master!$A$2:$A$41,0)),"Unknown")</f>
        <v>Canada</v>
      </c>
      <c r="E634" s="17" t="n">
        <f aca="false">IFERROR(INDEX(Vendor_Master!$E$2:$E$41,MATCH(B634,Vendor_Master!$A$2:$A$41,0)),"")</f>
        <v>45769</v>
      </c>
      <c r="F634" s="17" t="n">
        <f aca="false">Payment_Log_AP!D631</f>
        <v>46204</v>
      </c>
      <c r="G634" s="18" t="n">
        <f aca="false">Payment_Log_AP!E631</f>
        <v>866.83</v>
      </c>
      <c r="H634" s="16" t="n">
        <f aca="false">IF(G634&gt;=Assumptions!$B$7,40,IF(G634&gt;=Assumptions!$B$8,20,0))</f>
        <v>0</v>
      </c>
      <c r="I634" s="16" t="n">
        <f aca="false">IF(MOD(G634,500)=0,20,IF(MOD(G634,100)=0,10,0))</f>
        <v>0</v>
      </c>
      <c r="J634" s="16" t="n">
        <f aca="false">IF(AND(E634&lt;&gt;"",F634-E634&lt;=Assumptions!$B$9),25,0)</f>
        <v>0</v>
      </c>
      <c r="K634" s="16" t="n">
        <f aca="false">IF(ISNUMBER(SEARCH(D634,Assumptions!$B$10)),15,0)</f>
        <v>0</v>
      </c>
      <c r="L634" s="16" t="n">
        <f aca="false">H634+I634+J634+K634</f>
        <v>0</v>
      </c>
      <c r="M634" s="16" t="str">
        <f aca="false">IF(L634&gt;=60,"High",IF(L634&gt;=30,"Medium","Low"))</f>
        <v>Low</v>
      </c>
    </row>
    <row r="635" customFormat="false" ht="15" hidden="false" customHeight="false" outlineLevel="0" collapsed="false">
      <c r="A635" s="16" t="str">
        <f aca="false">Payment_Log_AP!A632</f>
        <v>PAY40631</v>
      </c>
      <c r="B635" s="16" t="str">
        <f aca="false">Payment_Log_AP!C632</f>
        <v>V1021</v>
      </c>
      <c r="C635" s="16" t="str">
        <f aca="false">IFERROR(INDEX(Vendor_Master!$B$2:$B$41,MATCH(B635,Vendor_Master!$A$2:$A$41,0)),"Unknown Vendor")</f>
        <v>Ellis, Baker and Wright</v>
      </c>
      <c r="D635" s="16" t="str">
        <f aca="false">IFERROR(INDEX(Vendor_Master!$D$2:$D$41,MATCH(B635,Vendor_Master!$A$2:$A$41,0)),"Unknown")</f>
        <v>UAE</v>
      </c>
      <c r="E635" s="17" t="n">
        <f aca="false">IFERROR(INDEX(Vendor_Master!$E$2:$E$41,MATCH(B635,Vendor_Master!$A$2:$A$41,0)),"")</f>
        <v>45960</v>
      </c>
      <c r="F635" s="17" t="n">
        <f aca="false">Payment_Log_AP!D632</f>
        <v>45729</v>
      </c>
      <c r="G635" s="18" t="n">
        <f aca="false">Payment_Log_AP!E632</f>
        <v>9584.39</v>
      </c>
      <c r="H635" s="16" t="n">
        <f aca="false">IF(G635&gt;=Assumptions!$B$7,40,IF(G635&gt;=Assumptions!$B$8,20,0))</f>
        <v>20</v>
      </c>
      <c r="I635" s="16" t="n">
        <f aca="false">IF(MOD(G635,500)=0,20,IF(MOD(G635,100)=0,10,0))</f>
        <v>0</v>
      </c>
      <c r="J635" s="16" t="n">
        <f aca="false">IF(AND(E635&lt;&gt;"",F635-E635&lt;=Assumptions!$B$9),25,0)</f>
        <v>25</v>
      </c>
      <c r="K635" s="16" t="n">
        <f aca="false">IF(ISNUMBER(SEARCH(D635,Assumptions!$B$10)),15,0)</f>
        <v>15</v>
      </c>
      <c r="L635" s="16" t="n">
        <f aca="false">H635+I635+J635+K635</f>
        <v>60</v>
      </c>
      <c r="M635" s="16" t="str">
        <f aca="false">IF(L635&gt;=60,"High",IF(L635&gt;=30,"Medium","Low"))</f>
        <v>High</v>
      </c>
    </row>
    <row r="636" customFormat="false" ht="15" hidden="false" customHeight="false" outlineLevel="0" collapsed="false">
      <c r="A636" s="16" t="str">
        <f aca="false">Payment_Log_AP!A633</f>
        <v>PAY40632</v>
      </c>
      <c r="B636" s="16" t="str">
        <f aca="false">Payment_Log_AP!C633</f>
        <v>V1007</v>
      </c>
      <c r="C636" s="16" t="str">
        <f aca="false">IFERROR(INDEX(Vendor_Master!$B$2:$B$41,MATCH(B636,Vendor_Master!$A$2:$A$41,0)),"Unknown Vendor")</f>
        <v>Ramirez-Lewis</v>
      </c>
      <c r="D636" s="16" t="str">
        <f aca="false">IFERROR(INDEX(Vendor_Master!$D$2:$D$41,MATCH(B636,Vendor_Master!$A$2:$A$41,0)),"Unknown")</f>
        <v>Germany</v>
      </c>
      <c r="E636" s="17" t="n">
        <f aca="false">IFERROR(INDEX(Vendor_Master!$E$2:$E$41,MATCH(B636,Vendor_Master!$A$2:$A$41,0)),"")</f>
        <v>45665</v>
      </c>
      <c r="F636" s="17" t="n">
        <f aca="false">Payment_Log_AP!D633</f>
        <v>45948</v>
      </c>
      <c r="G636" s="18" t="n">
        <f aca="false">Payment_Log_AP!E633</f>
        <v>1413.3</v>
      </c>
      <c r="H636" s="16" t="n">
        <f aca="false">IF(G636&gt;=Assumptions!$B$7,40,IF(G636&gt;=Assumptions!$B$8,20,0))</f>
        <v>0</v>
      </c>
      <c r="I636" s="16" t="n">
        <f aca="false">IF(MOD(G636,500)=0,20,IF(MOD(G636,100)=0,10,0))</f>
        <v>0</v>
      </c>
      <c r="J636" s="16" t="n">
        <f aca="false">IF(AND(E636&lt;&gt;"",F636-E636&lt;=Assumptions!$B$9),25,0)</f>
        <v>0</v>
      </c>
      <c r="K636" s="16" t="n">
        <f aca="false">IF(ISNUMBER(SEARCH(D636,Assumptions!$B$10)),15,0)</f>
        <v>0</v>
      </c>
      <c r="L636" s="16" t="n">
        <f aca="false">H636+I636+J636+K636</f>
        <v>0</v>
      </c>
      <c r="M636" s="16" t="str">
        <f aca="false">IF(L636&gt;=60,"High",IF(L636&gt;=30,"Medium","Low"))</f>
        <v>Low</v>
      </c>
    </row>
    <row r="637" customFormat="false" ht="15" hidden="false" customHeight="false" outlineLevel="0" collapsed="false">
      <c r="A637" s="16" t="str">
        <f aca="false">Payment_Log_AP!A634</f>
        <v>PAY40633</v>
      </c>
      <c r="B637" s="16" t="str">
        <f aca="false">Payment_Log_AP!C634</f>
        <v>V1035</v>
      </c>
      <c r="C637" s="16" t="str">
        <f aca="false">IFERROR(INDEX(Vendor_Master!$B$2:$B$41,MATCH(B637,Vendor_Master!$A$2:$A$41,0)),"Unknown Vendor")</f>
        <v>Allen PLC</v>
      </c>
      <c r="D637" s="16" t="str">
        <f aca="false">IFERROR(INDEX(Vendor_Master!$D$2:$D$41,MATCH(B637,Vendor_Master!$A$2:$A$41,0)),"Unknown")</f>
        <v>Canada</v>
      </c>
      <c r="E637" s="17" t="n">
        <f aca="false">IFERROR(INDEX(Vendor_Master!$E$2:$E$41,MATCH(B637,Vendor_Master!$A$2:$A$41,0)),"")</f>
        <v>45048</v>
      </c>
      <c r="F637" s="17" t="n">
        <f aca="false">Payment_Log_AP!D634</f>
        <v>45926</v>
      </c>
      <c r="G637" s="18" t="n">
        <f aca="false">Payment_Log_AP!E634</f>
        <v>9255.12</v>
      </c>
      <c r="H637" s="16" t="n">
        <f aca="false">IF(G637&gt;=Assumptions!$B$7,40,IF(G637&gt;=Assumptions!$B$8,20,0))</f>
        <v>20</v>
      </c>
      <c r="I637" s="16" t="n">
        <f aca="false">IF(MOD(G637,500)=0,20,IF(MOD(G637,100)=0,10,0))</f>
        <v>0</v>
      </c>
      <c r="J637" s="16" t="n">
        <f aca="false">IF(AND(E637&lt;&gt;"",F637-E637&lt;=Assumptions!$B$9),25,0)</f>
        <v>0</v>
      </c>
      <c r="K637" s="16" t="n">
        <f aca="false">IF(ISNUMBER(SEARCH(D637,Assumptions!$B$10)),15,0)</f>
        <v>0</v>
      </c>
      <c r="L637" s="16" t="n">
        <f aca="false">H637+I637+J637+K637</f>
        <v>20</v>
      </c>
      <c r="M637" s="16" t="str">
        <f aca="false">IF(L637&gt;=60,"High",IF(L637&gt;=30,"Medium","Low"))</f>
        <v>Low</v>
      </c>
    </row>
    <row r="638" customFormat="false" ht="15" hidden="false" customHeight="false" outlineLevel="0" collapsed="false">
      <c r="A638" s="16" t="str">
        <f aca="false">Payment_Log_AP!A635</f>
        <v>PAY40634</v>
      </c>
      <c r="B638" s="16" t="str">
        <f aca="false">Payment_Log_AP!C635</f>
        <v>V1030</v>
      </c>
      <c r="C638" s="16" t="str">
        <f aca="false">IFERROR(INDEX(Vendor_Master!$B$2:$B$41,MATCH(B638,Vendor_Master!$A$2:$A$41,0)),"Unknown Vendor")</f>
        <v>Stanton-Gill</v>
      </c>
      <c r="D638" s="16" t="str">
        <f aca="false">IFERROR(INDEX(Vendor_Master!$D$2:$D$41,MATCH(B638,Vendor_Master!$A$2:$A$41,0)),"Unknown")</f>
        <v>UK</v>
      </c>
      <c r="E638" s="17" t="n">
        <f aca="false">IFERROR(INDEX(Vendor_Master!$E$2:$E$41,MATCH(B638,Vendor_Master!$A$2:$A$41,0)),"")</f>
        <v>45946</v>
      </c>
      <c r="F638" s="17" t="n">
        <f aca="false">Payment_Log_AP!D635</f>
        <v>46059</v>
      </c>
      <c r="G638" s="18" t="n">
        <f aca="false">Payment_Log_AP!E635</f>
        <v>363.94</v>
      </c>
      <c r="H638" s="16" t="n">
        <f aca="false">IF(G638&gt;=Assumptions!$B$7,40,IF(G638&gt;=Assumptions!$B$8,20,0))</f>
        <v>0</v>
      </c>
      <c r="I638" s="16" t="n">
        <f aca="false">IF(MOD(G638,500)=0,20,IF(MOD(G638,100)=0,10,0))</f>
        <v>0</v>
      </c>
      <c r="J638" s="16" t="n">
        <f aca="false">IF(AND(E638&lt;&gt;"",F638-E638&lt;=Assumptions!$B$9),25,0)</f>
        <v>25</v>
      </c>
      <c r="K638" s="16" t="n">
        <f aca="false">IF(ISNUMBER(SEARCH(D638,Assumptions!$B$10)),15,0)</f>
        <v>0</v>
      </c>
      <c r="L638" s="16" t="n">
        <f aca="false">H638+I638+J638+K638</f>
        <v>25</v>
      </c>
      <c r="M638" s="16" t="str">
        <f aca="false">IF(L638&gt;=60,"High",IF(L638&gt;=30,"Medium","Low"))</f>
        <v>Low</v>
      </c>
    </row>
    <row r="639" customFormat="false" ht="15" hidden="false" customHeight="false" outlineLevel="0" collapsed="false">
      <c r="A639" s="16" t="str">
        <f aca="false">Payment_Log_AP!A636</f>
        <v>PAY40635</v>
      </c>
      <c r="B639" s="16" t="str">
        <f aca="false">Payment_Log_AP!C636</f>
        <v>V1009</v>
      </c>
      <c r="C639" s="16" t="str">
        <f aca="false">IFERROR(INDEX(Vendor_Master!$B$2:$B$41,MATCH(B639,Vendor_Master!$A$2:$A$41,0)),"Unknown Vendor")</f>
        <v>Munoz-Roman</v>
      </c>
      <c r="D639" s="16" t="str">
        <f aca="false">IFERROR(INDEX(Vendor_Master!$D$2:$D$41,MATCH(B639,Vendor_Master!$A$2:$A$41,0)),"Unknown")</f>
        <v>India</v>
      </c>
      <c r="E639" s="17" t="n">
        <f aca="false">IFERROR(INDEX(Vendor_Master!$E$2:$E$41,MATCH(B639,Vendor_Master!$A$2:$A$41,0)),"")</f>
        <v>45129</v>
      </c>
      <c r="F639" s="17" t="n">
        <f aca="false">Payment_Log_AP!D636</f>
        <v>45939</v>
      </c>
      <c r="G639" s="18" t="n">
        <f aca="false">Payment_Log_AP!E636</f>
        <v>12071.44</v>
      </c>
      <c r="H639" s="16" t="n">
        <f aca="false">IF(G639&gt;=Assumptions!$B$7,40,IF(G639&gt;=Assumptions!$B$8,20,0))</f>
        <v>40</v>
      </c>
      <c r="I639" s="16" t="n">
        <f aca="false">IF(MOD(G639,500)=0,20,IF(MOD(G639,100)=0,10,0))</f>
        <v>0</v>
      </c>
      <c r="J639" s="16" t="n">
        <f aca="false">IF(AND(E639&lt;&gt;"",F639-E639&lt;=Assumptions!$B$9),25,0)</f>
        <v>0</v>
      </c>
      <c r="K639" s="16" t="n">
        <f aca="false">IF(ISNUMBER(SEARCH(D639,Assumptions!$B$10)),15,0)</f>
        <v>15</v>
      </c>
      <c r="L639" s="16" t="n">
        <f aca="false">H639+I639+J639+K639</f>
        <v>55</v>
      </c>
      <c r="M639" s="16" t="str">
        <f aca="false">IF(L639&gt;=60,"High",IF(L639&gt;=30,"Medium","Low"))</f>
        <v>Medium</v>
      </c>
    </row>
    <row r="640" customFormat="false" ht="15" hidden="false" customHeight="false" outlineLevel="0" collapsed="false">
      <c r="A640" s="16" t="str">
        <f aca="false">Payment_Log_AP!A637</f>
        <v>PAY40636</v>
      </c>
      <c r="B640" s="16" t="str">
        <f aca="false">Payment_Log_AP!C637</f>
        <v>V1006</v>
      </c>
      <c r="C640" s="16" t="str">
        <f aca="false">IFERROR(INDEX(Vendor_Master!$B$2:$B$41,MATCH(B640,Vendor_Master!$A$2:$A$41,0)),"Unknown Vendor")</f>
        <v>Blake and Sons</v>
      </c>
      <c r="D640" s="16" t="str">
        <f aca="false">IFERROR(INDEX(Vendor_Master!$D$2:$D$41,MATCH(B640,Vendor_Master!$A$2:$A$41,0)),"Unknown")</f>
        <v>UK</v>
      </c>
      <c r="E640" s="17" t="n">
        <f aca="false">IFERROR(INDEX(Vendor_Master!$E$2:$E$41,MATCH(B640,Vendor_Master!$A$2:$A$41,0)),"")</f>
        <v>45841</v>
      </c>
      <c r="F640" s="17" t="n">
        <f aca="false">Payment_Log_AP!D637</f>
        <v>46180</v>
      </c>
      <c r="G640" s="18" t="n">
        <f aca="false">Payment_Log_AP!E637</f>
        <v>345.86</v>
      </c>
      <c r="H640" s="16" t="n">
        <f aca="false">IF(G640&gt;=Assumptions!$B$7,40,IF(G640&gt;=Assumptions!$B$8,20,0))</f>
        <v>0</v>
      </c>
      <c r="I640" s="16" t="n">
        <f aca="false">IF(MOD(G640,500)=0,20,IF(MOD(G640,100)=0,10,0))</f>
        <v>0</v>
      </c>
      <c r="J640" s="16" t="n">
        <f aca="false">IF(AND(E640&lt;&gt;"",F640-E640&lt;=Assumptions!$B$9),25,0)</f>
        <v>0</v>
      </c>
      <c r="K640" s="16" t="n">
        <f aca="false">IF(ISNUMBER(SEARCH(D640,Assumptions!$B$10)),15,0)</f>
        <v>0</v>
      </c>
      <c r="L640" s="16" t="n">
        <f aca="false">H640+I640+J640+K640</f>
        <v>0</v>
      </c>
      <c r="M640" s="16" t="str">
        <f aca="false">IF(L640&gt;=60,"High",IF(L640&gt;=30,"Medium","Low"))</f>
        <v>Low</v>
      </c>
    </row>
    <row r="641" customFormat="false" ht="15" hidden="false" customHeight="false" outlineLevel="0" collapsed="false">
      <c r="A641" s="16" t="str">
        <f aca="false">Payment_Log_AP!A638</f>
        <v>PAY40637</v>
      </c>
      <c r="B641" s="16" t="str">
        <f aca="false">Payment_Log_AP!C638</f>
        <v>V1006</v>
      </c>
      <c r="C641" s="16" t="str">
        <f aca="false">IFERROR(INDEX(Vendor_Master!$B$2:$B$41,MATCH(B641,Vendor_Master!$A$2:$A$41,0)),"Unknown Vendor")</f>
        <v>Blake and Sons</v>
      </c>
      <c r="D641" s="16" t="str">
        <f aca="false">IFERROR(INDEX(Vendor_Master!$D$2:$D$41,MATCH(B641,Vendor_Master!$A$2:$A$41,0)),"Unknown")</f>
        <v>UK</v>
      </c>
      <c r="E641" s="17" t="n">
        <f aca="false">IFERROR(INDEX(Vendor_Master!$E$2:$E$41,MATCH(B641,Vendor_Master!$A$2:$A$41,0)),"")</f>
        <v>45841</v>
      </c>
      <c r="F641" s="17" t="n">
        <f aca="false">Payment_Log_AP!D638</f>
        <v>46187</v>
      </c>
      <c r="G641" s="18" t="n">
        <f aca="false">Payment_Log_AP!E638</f>
        <v>345.86</v>
      </c>
      <c r="H641" s="16" t="n">
        <f aca="false">IF(G641&gt;=Assumptions!$B$7,40,IF(G641&gt;=Assumptions!$B$8,20,0))</f>
        <v>0</v>
      </c>
      <c r="I641" s="16" t="n">
        <f aca="false">IF(MOD(G641,500)=0,20,IF(MOD(G641,100)=0,10,0))</f>
        <v>0</v>
      </c>
      <c r="J641" s="16" t="n">
        <f aca="false">IF(AND(E641&lt;&gt;"",F641-E641&lt;=Assumptions!$B$9),25,0)</f>
        <v>0</v>
      </c>
      <c r="K641" s="16" t="n">
        <f aca="false">IF(ISNUMBER(SEARCH(D641,Assumptions!$B$10)),15,0)</f>
        <v>0</v>
      </c>
      <c r="L641" s="16" t="n">
        <f aca="false">H641+I641+J641+K641</f>
        <v>0</v>
      </c>
      <c r="M641" s="16" t="str">
        <f aca="false">IF(L641&gt;=60,"High",IF(L641&gt;=30,"Medium","Low"))</f>
        <v>Low</v>
      </c>
    </row>
    <row r="642" customFormat="false" ht="15" hidden="false" customHeight="false" outlineLevel="0" collapsed="false">
      <c r="A642" s="16" t="str">
        <f aca="false">Payment_Log_AP!A639</f>
        <v>PAY40638</v>
      </c>
      <c r="B642" s="16" t="str">
        <f aca="false">Payment_Log_AP!C639</f>
        <v>V1039</v>
      </c>
      <c r="C642" s="16" t="str">
        <f aca="false">IFERROR(INDEX(Vendor_Master!$B$2:$B$41,MATCH(B642,Vendor_Master!$A$2:$A$41,0)),"Unknown Vendor")</f>
        <v>Campos, Vaughn and Marquez</v>
      </c>
      <c r="D642" s="16" t="str">
        <f aca="false">IFERROR(INDEX(Vendor_Master!$D$2:$D$41,MATCH(B642,Vendor_Master!$A$2:$A$41,0)),"Unknown")</f>
        <v>USA</v>
      </c>
      <c r="E642" s="17" t="n">
        <f aca="false">IFERROR(INDEX(Vendor_Master!$E$2:$E$41,MATCH(B642,Vendor_Master!$A$2:$A$41,0)),"")</f>
        <v>46086</v>
      </c>
      <c r="F642" s="17" t="n">
        <f aca="false">Payment_Log_AP!D639</f>
        <v>45742</v>
      </c>
      <c r="G642" s="18" t="n">
        <f aca="false">Payment_Log_AP!E639</f>
        <v>146.21</v>
      </c>
      <c r="H642" s="16" t="n">
        <f aca="false">IF(G642&gt;=Assumptions!$B$7,40,IF(G642&gt;=Assumptions!$B$8,20,0))</f>
        <v>0</v>
      </c>
      <c r="I642" s="16" t="n">
        <f aca="false">IF(MOD(G642,500)=0,20,IF(MOD(G642,100)=0,10,0))</f>
        <v>0</v>
      </c>
      <c r="J642" s="16" t="n">
        <f aca="false">IF(AND(E642&lt;&gt;"",F642-E642&lt;=Assumptions!$B$9),25,0)</f>
        <v>25</v>
      </c>
      <c r="K642" s="16" t="n">
        <f aca="false">IF(ISNUMBER(SEARCH(D642,Assumptions!$B$10)),15,0)</f>
        <v>0</v>
      </c>
      <c r="L642" s="16" t="n">
        <f aca="false">H642+I642+J642+K642</f>
        <v>25</v>
      </c>
      <c r="M642" s="16" t="str">
        <f aca="false">IF(L642&gt;=60,"High",IF(L642&gt;=30,"Medium","Low"))</f>
        <v>Low</v>
      </c>
    </row>
    <row r="643" customFormat="false" ht="15" hidden="false" customHeight="false" outlineLevel="0" collapsed="false">
      <c r="A643" s="16" t="str">
        <f aca="false">Payment_Log_AP!A640</f>
        <v>PAY40639</v>
      </c>
      <c r="B643" s="16" t="str">
        <f aca="false">Payment_Log_AP!C640</f>
        <v>V1015</v>
      </c>
      <c r="C643" s="16" t="str">
        <f aca="false">IFERROR(INDEX(Vendor_Master!$B$2:$B$41,MATCH(B643,Vendor_Master!$A$2:$A$41,0)),"Unknown Vendor")</f>
        <v>Zuniga, Wong and Lynch</v>
      </c>
      <c r="D643" s="16" t="str">
        <f aca="false">IFERROR(INDEX(Vendor_Master!$D$2:$D$41,MATCH(B643,Vendor_Master!$A$2:$A$41,0)),"Unknown")</f>
        <v>USA</v>
      </c>
      <c r="E643" s="17" t="n">
        <f aca="false">IFERROR(INDEX(Vendor_Master!$E$2:$E$41,MATCH(B643,Vendor_Master!$A$2:$A$41,0)),"")</f>
        <v>45621</v>
      </c>
      <c r="F643" s="17" t="n">
        <f aca="false">Payment_Log_AP!D640</f>
        <v>45744</v>
      </c>
      <c r="G643" s="18" t="n">
        <f aca="false">Payment_Log_AP!E640</f>
        <v>2671.57</v>
      </c>
      <c r="H643" s="16" t="n">
        <f aca="false">IF(G643&gt;=Assumptions!$B$7,40,IF(G643&gt;=Assumptions!$B$8,20,0))</f>
        <v>0</v>
      </c>
      <c r="I643" s="16" t="n">
        <f aca="false">IF(MOD(G643,500)=0,20,IF(MOD(G643,100)=0,10,0))</f>
        <v>0</v>
      </c>
      <c r="J643" s="16" t="n">
        <f aca="false">IF(AND(E643&lt;&gt;"",F643-E643&lt;=Assumptions!$B$9),25,0)</f>
        <v>25</v>
      </c>
      <c r="K643" s="16" t="n">
        <f aca="false">IF(ISNUMBER(SEARCH(D643,Assumptions!$B$10)),15,0)</f>
        <v>0</v>
      </c>
      <c r="L643" s="16" t="n">
        <f aca="false">H643+I643+J643+K643</f>
        <v>25</v>
      </c>
      <c r="M643" s="16" t="str">
        <f aca="false">IF(L643&gt;=60,"High",IF(L643&gt;=30,"Medium","Low"))</f>
        <v>Low</v>
      </c>
    </row>
    <row r="644" customFormat="false" ht="15" hidden="false" customHeight="false" outlineLevel="0" collapsed="false">
      <c r="A644" s="16" t="str">
        <f aca="false">Payment_Log_AP!A641</f>
        <v>PAY40640</v>
      </c>
      <c r="B644" s="16" t="str">
        <f aca="false">Payment_Log_AP!C641</f>
        <v>V1021</v>
      </c>
      <c r="C644" s="16" t="str">
        <f aca="false">IFERROR(INDEX(Vendor_Master!$B$2:$B$41,MATCH(B644,Vendor_Master!$A$2:$A$41,0)),"Unknown Vendor")</f>
        <v>Ellis, Baker and Wright</v>
      </c>
      <c r="D644" s="16" t="str">
        <f aca="false">IFERROR(INDEX(Vendor_Master!$D$2:$D$41,MATCH(B644,Vendor_Master!$A$2:$A$41,0)),"Unknown")</f>
        <v>UAE</v>
      </c>
      <c r="E644" s="17" t="n">
        <f aca="false">IFERROR(INDEX(Vendor_Master!$E$2:$E$41,MATCH(B644,Vendor_Master!$A$2:$A$41,0)),"")</f>
        <v>45960</v>
      </c>
      <c r="F644" s="17" t="n">
        <f aca="false">Payment_Log_AP!D641</f>
        <v>46000</v>
      </c>
      <c r="G644" s="18" t="n">
        <f aca="false">Payment_Log_AP!E641</f>
        <v>1652.24</v>
      </c>
      <c r="H644" s="16" t="n">
        <f aca="false">IF(G644&gt;=Assumptions!$B$7,40,IF(G644&gt;=Assumptions!$B$8,20,0))</f>
        <v>0</v>
      </c>
      <c r="I644" s="16" t="n">
        <f aca="false">IF(MOD(G644,500)=0,20,IF(MOD(G644,100)=0,10,0))</f>
        <v>0</v>
      </c>
      <c r="J644" s="16" t="n">
        <f aca="false">IF(AND(E644&lt;&gt;"",F644-E644&lt;=Assumptions!$B$9),25,0)</f>
        <v>25</v>
      </c>
      <c r="K644" s="16" t="n">
        <f aca="false">IF(ISNUMBER(SEARCH(D644,Assumptions!$B$10)),15,0)</f>
        <v>15</v>
      </c>
      <c r="L644" s="16" t="n">
        <f aca="false">H644+I644+J644+K644</f>
        <v>40</v>
      </c>
      <c r="M644" s="16" t="str">
        <f aca="false">IF(L644&gt;=60,"High",IF(L644&gt;=30,"Medium","Low"))</f>
        <v>Medium</v>
      </c>
    </row>
    <row r="645" customFormat="false" ht="15" hidden="false" customHeight="false" outlineLevel="0" collapsed="false">
      <c r="A645" s="16" t="str">
        <f aca="false">Payment_Log_AP!A642</f>
        <v>PAY40641</v>
      </c>
      <c r="B645" s="16" t="str">
        <f aca="false">Payment_Log_AP!C642</f>
        <v>V1006</v>
      </c>
      <c r="C645" s="16" t="str">
        <f aca="false">IFERROR(INDEX(Vendor_Master!$B$2:$B$41,MATCH(B645,Vendor_Master!$A$2:$A$41,0)),"Unknown Vendor")</f>
        <v>Blake and Sons</v>
      </c>
      <c r="D645" s="16" t="str">
        <f aca="false">IFERROR(INDEX(Vendor_Master!$D$2:$D$41,MATCH(B645,Vendor_Master!$A$2:$A$41,0)),"Unknown")</f>
        <v>UK</v>
      </c>
      <c r="E645" s="17" t="n">
        <f aca="false">IFERROR(INDEX(Vendor_Master!$E$2:$E$41,MATCH(B645,Vendor_Master!$A$2:$A$41,0)),"")</f>
        <v>45841</v>
      </c>
      <c r="F645" s="17" t="n">
        <f aca="false">Payment_Log_AP!D642</f>
        <v>45712</v>
      </c>
      <c r="G645" s="18" t="n">
        <f aca="false">Payment_Log_AP!E642</f>
        <v>2766.5</v>
      </c>
      <c r="H645" s="16" t="n">
        <f aca="false">IF(G645&gt;=Assumptions!$B$7,40,IF(G645&gt;=Assumptions!$B$8,20,0))</f>
        <v>0</v>
      </c>
      <c r="I645" s="16" t="n">
        <f aca="false">IF(MOD(G645,500)=0,20,IF(MOD(G645,100)=0,10,0))</f>
        <v>0</v>
      </c>
      <c r="J645" s="16" t="n">
        <f aca="false">IF(AND(E645&lt;&gt;"",F645-E645&lt;=Assumptions!$B$9),25,0)</f>
        <v>25</v>
      </c>
      <c r="K645" s="16" t="n">
        <f aca="false">IF(ISNUMBER(SEARCH(D645,Assumptions!$B$10)),15,0)</f>
        <v>0</v>
      </c>
      <c r="L645" s="16" t="n">
        <f aca="false">H645+I645+J645+K645</f>
        <v>25</v>
      </c>
      <c r="M645" s="16" t="str">
        <f aca="false">IF(L645&gt;=60,"High",IF(L645&gt;=30,"Medium","Low"))</f>
        <v>Low</v>
      </c>
    </row>
    <row r="646" customFormat="false" ht="15" hidden="false" customHeight="false" outlineLevel="0" collapsed="false">
      <c r="A646" s="16" t="str">
        <f aca="false">Payment_Log_AP!A643</f>
        <v>PAY40642</v>
      </c>
      <c r="B646" s="16" t="str">
        <f aca="false">Payment_Log_AP!C643</f>
        <v>V1029</v>
      </c>
      <c r="C646" s="16" t="str">
        <f aca="false">IFERROR(INDEX(Vendor_Master!$B$2:$B$41,MATCH(B646,Vendor_Master!$A$2:$A$41,0)),"Unknown Vendor")</f>
        <v>Chavez Ltd</v>
      </c>
      <c r="D646" s="16" t="str">
        <f aca="false">IFERROR(INDEX(Vendor_Master!$D$2:$D$41,MATCH(B646,Vendor_Master!$A$2:$A$41,0)),"Unknown")</f>
        <v>Singapore</v>
      </c>
      <c r="E646" s="17" t="n">
        <f aca="false">IFERROR(INDEX(Vendor_Master!$E$2:$E$41,MATCH(B646,Vendor_Master!$A$2:$A$41,0)),"")</f>
        <v>45026</v>
      </c>
      <c r="F646" s="17" t="n">
        <f aca="false">Payment_Log_AP!D643</f>
        <v>45853</v>
      </c>
      <c r="G646" s="18" t="n">
        <f aca="false">Payment_Log_AP!E643</f>
        <v>5537.55</v>
      </c>
      <c r="H646" s="16" t="n">
        <f aca="false">IF(G646&gt;=Assumptions!$B$7,40,IF(G646&gt;=Assumptions!$B$8,20,0))</f>
        <v>20</v>
      </c>
      <c r="I646" s="16" t="n">
        <f aca="false">IF(MOD(G646,500)=0,20,IF(MOD(G646,100)=0,10,0))</f>
        <v>0</v>
      </c>
      <c r="J646" s="16" t="n">
        <f aca="false">IF(AND(E646&lt;&gt;"",F646-E646&lt;=Assumptions!$B$9),25,0)</f>
        <v>0</v>
      </c>
      <c r="K646" s="16" t="n">
        <f aca="false">IF(ISNUMBER(SEARCH(D646,Assumptions!$B$10)),15,0)</f>
        <v>15</v>
      </c>
      <c r="L646" s="16" t="n">
        <f aca="false">H646+I646+J646+K646</f>
        <v>35</v>
      </c>
      <c r="M646" s="16" t="str">
        <f aca="false">IF(L646&gt;=60,"High",IF(L646&gt;=30,"Medium","Low"))</f>
        <v>Medium</v>
      </c>
    </row>
    <row r="647" customFormat="false" ht="15" hidden="false" customHeight="false" outlineLevel="0" collapsed="false">
      <c r="A647" s="16" t="str">
        <f aca="false">Payment_Log_AP!A644</f>
        <v>PAY40643</v>
      </c>
      <c r="B647" s="16" t="str">
        <f aca="false">Payment_Log_AP!C644</f>
        <v>V1031</v>
      </c>
      <c r="C647" s="16" t="str">
        <f aca="false">IFERROR(INDEX(Vendor_Master!$B$2:$B$41,MATCH(B647,Vendor_Master!$A$2:$A$41,0)),"Unknown Vendor")</f>
        <v>Harrell LLC</v>
      </c>
      <c r="D647" s="16" t="str">
        <f aca="false">IFERROR(INDEX(Vendor_Master!$D$2:$D$41,MATCH(B647,Vendor_Master!$A$2:$A$41,0)),"Unknown")</f>
        <v>Canada</v>
      </c>
      <c r="E647" s="17" t="n">
        <f aca="false">IFERROR(INDEX(Vendor_Master!$E$2:$E$41,MATCH(B647,Vendor_Master!$A$2:$A$41,0)),"")</f>
        <v>45364</v>
      </c>
      <c r="F647" s="17" t="n">
        <f aca="false">Payment_Log_AP!D644</f>
        <v>46057</v>
      </c>
      <c r="G647" s="18" t="n">
        <f aca="false">Payment_Log_AP!E644</f>
        <v>4823.29</v>
      </c>
      <c r="H647" s="16" t="n">
        <f aca="false">IF(G647&gt;=Assumptions!$B$7,40,IF(G647&gt;=Assumptions!$B$8,20,0))</f>
        <v>0</v>
      </c>
      <c r="I647" s="16" t="n">
        <f aca="false">IF(MOD(G647,500)=0,20,IF(MOD(G647,100)=0,10,0))</f>
        <v>0</v>
      </c>
      <c r="J647" s="16" t="n">
        <f aca="false">IF(AND(E647&lt;&gt;"",F647-E647&lt;=Assumptions!$B$9),25,0)</f>
        <v>0</v>
      </c>
      <c r="K647" s="16" t="n">
        <f aca="false">IF(ISNUMBER(SEARCH(D647,Assumptions!$B$10)),15,0)</f>
        <v>0</v>
      </c>
      <c r="L647" s="16" t="n">
        <f aca="false">H647+I647+J647+K647</f>
        <v>0</v>
      </c>
      <c r="M647" s="16" t="str">
        <f aca="false">IF(L647&gt;=60,"High",IF(L647&gt;=30,"Medium","Low"))</f>
        <v>Low</v>
      </c>
    </row>
    <row r="648" customFormat="false" ht="15" hidden="false" customHeight="false" outlineLevel="0" collapsed="false">
      <c r="A648" s="16" t="str">
        <f aca="false">Payment_Log_AP!A645</f>
        <v>PAY40644</v>
      </c>
      <c r="B648" s="16" t="str">
        <f aca="false">Payment_Log_AP!C645</f>
        <v>V1013</v>
      </c>
      <c r="C648" s="16" t="str">
        <f aca="false">IFERROR(INDEX(Vendor_Master!$B$2:$B$41,MATCH(B648,Vendor_Master!$A$2:$A$41,0)),"Unknown Vendor")</f>
        <v>Delacruz Group</v>
      </c>
      <c r="D648" s="16" t="str">
        <f aca="false">IFERROR(INDEX(Vendor_Master!$D$2:$D$41,MATCH(B648,Vendor_Master!$A$2:$A$41,0)),"Unknown")</f>
        <v>USA</v>
      </c>
      <c r="E648" s="17" t="n">
        <f aca="false">IFERROR(INDEX(Vendor_Master!$E$2:$E$41,MATCH(B648,Vendor_Master!$A$2:$A$41,0)),"")</f>
        <v>46119</v>
      </c>
      <c r="F648" s="17" t="n">
        <f aca="false">Payment_Log_AP!D645</f>
        <v>45990</v>
      </c>
      <c r="G648" s="18" t="n">
        <f aca="false">Payment_Log_AP!E645</f>
        <v>2004.87</v>
      </c>
      <c r="H648" s="16" t="n">
        <f aca="false">IF(G648&gt;=Assumptions!$B$7,40,IF(G648&gt;=Assumptions!$B$8,20,0))</f>
        <v>0</v>
      </c>
      <c r="I648" s="16" t="n">
        <f aca="false">IF(MOD(G648,500)=0,20,IF(MOD(G648,100)=0,10,0))</f>
        <v>0</v>
      </c>
      <c r="J648" s="16" t="n">
        <f aca="false">IF(AND(E648&lt;&gt;"",F648-E648&lt;=Assumptions!$B$9),25,0)</f>
        <v>25</v>
      </c>
      <c r="K648" s="16" t="n">
        <f aca="false">IF(ISNUMBER(SEARCH(D648,Assumptions!$B$10)),15,0)</f>
        <v>0</v>
      </c>
      <c r="L648" s="16" t="n">
        <f aca="false">H648+I648+J648+K648</f>
        <v>25</v>
      </c>
      <c r="M648" s="16" t="str">
        <f aca="false">IF(L648&gt;=60,"High",IF(L648&gt;=30,"Medium","Low"))</f>
        <v>Low</v>
      </c>
    </row>
    <row r="649" customFormat="false" ht="15" hidden="false" customHeight="false" outlineLevel="0" collapsed="false">
      <c r="A649" s="16" t="str">
        <f aca="false">Payment_Log_AP!A646</f>
        <v>PAY40645</v>
      </c>
      <c r="B649" s="16" t="str">
        <f aca="false">Payment_Log_AP!C646</f>
        <v>V1023</v>
      </c>
      <c r="C649" s="16" t="str">
        <f aca="false">IFERROR(INDEX(Vendor_Master!$B$2:$B$41,MATCH(B649,Vendor_Master!$A$2:$A$41,0)),"Unknown Vendor")</f>
        <v>Robinson-Bright</v>
      </c>
      <c r="D649" s="16" t="str">
        <f aca="false">IFERROR(INDEX(Vendor_Master!$D$2:$D$41,MATCH(B649,Vendor_Master!$A$2:$A$41,0)),"Unknown")</f>
        <v>India</v>
      </c>
      <c r="E649" s="17" t="n">
        <f aca="false">IFERROR(INDEX(Vendor_Master!$E$2:$E$41,MATCH(B649,Vendor_Master!$A$2:$A$41,0)),"")</f>
        <v>45484</v>
      </c>
      <c r="F649" s="17" t="n">
        <f aca="false">Payment_Log_AP!D646</f>
        <v>45859</v>
      </c>
      <c r="G649" s="18" t="n">
        <f aca="false">Payment_Log_AP!E646</f>
        <v>368.64</v>
      </c>
      <c r="H649" s="16" t="n">
        <f aca="false">IF(G649&gt;=Assumptions!$B$7,40,IF(G649&gt;=Assumptions!$B$8,20,0))</f>
        <v>0</v>
      </c>
      <c r="I649" s="16" t="n">
        <f aca="false">IF(MOD(G649,500)=0,20,IF(MOD(G649,100)=0,10,0))</f>
        <v>0</v>
      </c>
      <c r="J649" s="16" t="n">
        <f aca="false">IF(AND(E649&lt;&gt;"",F649-E649&lt;=Assumptions!$B$9),25,0)</f>
        <v>0</v>
      </c>
      <c r="K649" s="16" t="n">
        <f aca="false">IF(ISNUMBER(SEARCH(D649,Assumptions!$B$10)),15,0)</f>
        <v>15</v>
      </c>
      <c r="L649" s="16" t="n">
        <f aca="false">H649+I649+J649+K649</f>
        <v>15</v>
      </c>
      <c r="M649" s="16" t="str">
        <f aca="false">IF(L649&gt;=60,"High",IF(L649&gt;=30,"Medium","Low"))</f>
        <v>Low</v>
      </c>
    </row>
    <row r="650" customFormat="false" ht="15" hidden="false" customHeight="false" outlineLevel="0" collapsed="false">
      <c r="A650" s="16" t="str">
        <f aca="false">Payment_Log_AP!A647</f>
        <v>PAY40646</v>
      </c>
      <c r="B650" s="16" t="str">
        <f aca="false">Payment_Log_AP!C647</f>
        <v>V1011</v>
      </c>
      <c r="C650" s="16" t="str">
        <f aca="false">IFERROR(INDEX(Vendor_Master!$B$2:$B$41,MATCH(B650,Vendor_Master!$A$2:$A$41,0)),"Unknown Vendor")</f>
        <v>Montgomery, Hensley and Ray</v>
      </c>
      <c r="D650" s="16" t="str">
        <f aca="false">IFERROR(INDEX(Vendor_Master!$D$2:$D$41,MATCH(B650,Vendor_Master!$A$2:$A$41,0)),"Unknown")</f>
        <v>USA</v>
      </c>
      <c r="E650" s="17" t="n">
        <f aca="false">IFERROR(INDEX(Vendor_Master!$E$2:$E$41,MATCH(B650,Vendor_Master!$A$2:$A$41,0)),"")</f>
        <v>45025</v>
      </c>
      <c r="F650" s="17" t="n">
        <f aca="false">Payment_Log_AP!D647</f>
        <v>45968</v>
      </c>
      <c r="G650" s="18" t="n">
        <f aca="false">Payment_Log_AP!E647</f>
        <v>18808.64</v>
      </c>
      <c r="H650" s="16" t="n">
        <f aca="false">IF(G650&gt;=Assumptions!$B$7,40,IF(G650&gt;=Assumptions!$B$8,20,0))</f>
        <v>40</v>
      </c>
      <c r="I650" s="16" t="n">
        <f aca="false">IF(MOD(G650,500)=0,20,IF(MOD(G650,100)=0,10,0))</f>
        <v>0</v>
      </c>
      <c r="J650" s="16" t="n">
        <f aca="false">IF(AND(E650&lt;&gt;"",F650-E650&lt;=Assumptions!$B$9),25,0)</f>
        <v>0</v>
      </c>
      <c r="K650" s="16" t="n">
        <f aca="false">IF(ISNUMBER(SEARCH(D650,Assumptions!$B$10)),15,0)</f>
        <v>0</v>
      </c>
      <c r="L650" s="16" t="n">
        <f aca="false">H650+I650+J650+K650</f>
        <v>40</v>
      </c>
      <c r="M650" s="16" t="str">
        <f aca="false">IF(L650&gt;=60,"High",IF(L650&gt;=30,"Medium","Low"))</f>
        <v>Medium</v>
      </c>
    </row>
    <row r="651" customFormat="false" ht="15" hidden="false" customHeight="false" outlineLevel="0" collapsed="false">
      <c r="A651" s="16" t="str">
        <f aca="false">Payment_Log_AP!A648</f>
        <v>PAY40647</v>
      </c>
      <c r="B651" s="16" t="str">
        <f aca="false">Payment_Log_AP!C648</f>
        <v>V1003</v>
      </c>
      <c r="C651" s="16" t="str">
        <f aca="false">IFERROR(INDEX(Vendor_Master!$B$2:$B$41,MATCH(B651,Vendor_Master!$A$2:$A$41,0)),"Unknown Vendor")</f>
        <v>Johnson and Sons</v>
      </c>
      <c r="D651" s="16" t="str">
        <f aca="false">IFERROR(INDEX(Vendor_Master!$D$2:$D$41,MATCH(B651,Vendor_Master!$A$2:$A$41,0)),"Unknown")</f>
        <v>UAE</v>
      </c>
      <c r="E651" s="17" t="n">
        <f aca="false">IFERROR(INDEX(Vendor_Master!$E$2:$E$41,MATCH(B651,Vendor_Master!$A$2:$A$41,0)),"")</f>
        <v>45495</v>
      </c>
      <c r="F651" s="17" t="n">
        <f aca="false">Payment_Log_AP!D648</f>
        <v>45956</v>
      </c>
      <c r="G651" s="18" t="n">
        <f aca="false">Payment_Log_AP!E648</f>
        <v>2123.75</v>
      </c>
      <c r="H651" s="16" t="n">
        <f aca="false">IF(G651&gt;=Assumptions!$B$7,40,IF(G651&gt;=Assumptions!$B$8,20,0))</f>
        <v>0</v>
      </c>
      <c r="I651" s="16" t="n">
        <f aca="false">IF(MOD(G651,500)=0,20,IF(MOD(G651,100)=0,10,0))</f>
        <v>0</v>
      </c>
      <c r="J651" s="16" t="n">
        <f aca="false">IF(AND(E651&lt;&gt;"",F651-E651&lt;=Assumptions!$B$9),25,0)</f>
        <v>0</v>
      </c>
      <c r="K651" s="16" t="n">
        <f aca="false">IF(ISNUMBER(SEARCH(D651,Assumptions!$B$10)),15,0)</f>
        <v>15</v>
      </c>
      <c r="L651" s="16" t="n">
        <f aca="false">H651+I651+J651+K651</f>
        <v>15</v>
      </c>
      <c r="M651" s="16" t="str">
        <f aca="false">IF(L651&gt;=60,"High",IF(L651&gt;=30,"Medium","Low"))</f>
        <v>Low</v>
      </c>
    </row>
    <row r="652" customFormat="false" ht="15" hidden="false" customHeight="false" outlineLevel="0" collapsed="false">
      <c r="A652" s="16" t="str">
        <f aca="false">Payment_Log_AP!A649</f>
        <v>PAY40648</v>
      </c>
      <c r="B652" s="16" t="str">
        <f aca="false">Payment_Log_AP!C649</f>
        <v>V1010</v>
      </c>
      <c r="C652" s="16" t="str">
        <f aca="false">IFERROR(INDEX(Vendor_Master!$B$2:$B$41,MATCH(B652,Vendor_Master!$A$2:$A$41,0)),"Unknown Vendor")</f>
        <v>Martinez, Nielsen and Miller</v>
      </c>
      <c r="D652" s="16" t="str">
        <f aca="false">IFERROR(INDEX(Vendor_Master!$D$2:$D$41,MATCH(B652,Vendor_Master!$A$2:$A$41,0)),"Unknown")</f>
        <v>India</v>
      </c>
      <c r="E652" s="17" t="n">
        <f aca="false">IFERROR(INDEX(Vendor_Master!$E$2:$E$41,MATCH(B652,Vendor_Master!$A$2:$A$41,0)),"")</f>
        <v>45715</v>
      </c>
      <c r="F652" s="17" t="n">
        <f aca="false">Payment_Log_AP!D649</f>
        <v>46030</v>
      </c>
      <c r="G652" s="18" t="n">
        <f aca="false">Payment_Log_AP!E649</f>
        <v>2641.8</v>
      </c>
      <c r="H652" s="16" t="n">
        <f aca="false">IF(G652&gt;=Assumptions!$B$7,40,IF(G652&gt;=Assumptions!$B$8,20,0))</f>
        <v>0</v>
      </c>
      <c r="I652" s="16" t="n">
        <f aca="false">IF(MOD(G652,500)=0,20,IF(MOD(G652,100)=0,10,0))</f>
        <v>0</v>
      </c>
      <c r="J652" s="16" t="n">
        <f aca="false">IF(AND(E652&lt;&gt;"",F652-E652&lt;=Assumptions!$B$9),25,0)</f>
        <v>0</v>
      </c>
      <c r="K652" s="16" t="n">
        <f aca="false">IF(ISNUMBER(SEARCH(D652,Assumptions!$B$10)),15,0)</f>
        <v>15</v>
      </c>
      <c r="L652" s="16" t="n">
        <f aca="false">H652+I652+J652+K652</f>
        <v>15</v>
      </c>
      <c r="M652" s="16" t="str">
        <f aca="false">IF(L652&gt;=60,"High",IF(L652&gt;=30,"Medium","Low"))</f>
        <v>Low</v>
      </c>
    </row>
    <row r="653" customFormat="false" ht="15" hidden="false" customHeight="false" outlineLevel="0" collapsed="false">
      <c r="A653" s="16" t="str">
        <f aca="false">Payment_Log_AP!A650</f>
        <v>PAY40649</v>
      </c>
      <c r="B653" s="16" t="str">
        <f aca="false">Payment_Log_AP!C650</f>
        <v>V1015</v>
      </c>
      <c r="C653" s="16" t="str">
        <f aca="false">IFERROR(INDEX(Vendor_Master!$B$2:$B$41,MATCH(B653,Vendor_Master!$A$2:$A$41,0)),"Unknown Vendor")</f>
        <v>Zuniga, Wong and Lynch</v>
      </c>
      <c r="D653" s="16" t="str">
        <f aca="false">IFERROR(INDEX(Vendor_Master!$D$2:$D$41,MATCH(B653,Vendor_Master!$A$2:$A$41,0)),"Unknown")</f>
        <v>USA</v>
      </c>
      <c r="E653" s="17" t="n">
        <f aca="false">IFERROR(INDEX(Vendor_Master!$E$2:$E$41,MATCH(B653,Vendor_Master!$A$2:$A$41,0)),"")</f>
        <v>45621</v>
      </c>
      <c r="F653" s="17" t="n">
        <f aca="false">Payment_Log_AP!D650</f>
        <v>45761</v>
      </c>
      <c r="G653" s="18" t="n">
        <f aca="false">Payment_Log_AP!E650</f>
        <v>2661.22</v>
      </c>
      <c r="H653" s="16" t="n">
        <f aca="false">IF(G653&gt;=Assumptions!$B$7,40,IF(G653&gt;=Assumptions!$B$8,20,0))</f>
        <v>0</v>
      </c>
      <c r="I653" s="16" t="n">
        <f aca="false">IF(MOD(G653,500)=0,20,IF(MOD(G653,100)=0,10,0))</f>
        <v>0</v>
      </c>
      <c r="J653" s="16" t="n">
        <f aca="false">IF(AND(E653&lt;&gt;"",F653-E653&lt;=Assumptions!$B$9),25,0)</f>
        <v>25</v>
      </c>
      <c r="K653" s="16" t="n">
        <f aca="false">IF(ISNUMBER(SEARCH(D653,Assumptions!$B$10)),15,0)</f>
        <v>0</v>
      </c>
      <c r="L653" s="16" t="n">
        <f aca="false">H653+I653+J653+K653</f>
        <v>25</v>
      </c>
      <c r="M653" s="16" t="str">
        <f aca="false">IF(L653&gt;=60,"High",IF(L653&gt;=30,"Medium","Low"))</f>
        <v>Low</v>
      </c>
    </row>
    <row r="654" customFormat="false" ht="15" hidden="false" customHeight="false" outlineLevel="0" collapsed="false">
      <c r="A654" s="16" t="str">
        <f aca="false">Payment_Log_AP!A651</f>
        <v>PAY40650</v>
      </c>
      <c r="B654" s="16" t="str">
        <f aca="false">Payment_Log_AP!C651</f>
        <v>V1022</v>
      </c>
      <c r="C654" s="16" t="str">
        <f aca="false">IFERROR(INDEX(Vendor_Master!$B$2:$B$41,MATCH(B654,Vendor_Master!$A$2:$A$41,0)),"Unknown Vendor")</f>
        <v>Burgess-Patterson</v>
      </c>
      <c r="D654" s="16" t="str">
        <f aca="false">IFERROR(INDEX(Vendor_Master!$D$2:$D$41,MATCH(B654,Vendor_Master!$A$2:$A$41,0)),"Unknown")</f>
        <v>Germany</v>
      </c>
      <c r="E654" s="17" t="n">
        <f aca="false">IFERROR(INDEX(Vendor_Master!$E$2:$E$41,MATCH(B654,Vendor_Master!$A$2:$A$41,0)),"")</f>
        <v>45449</v>
      </c>
      <c r="F654" s="17" t="n">
        <f aca="false">Payment_Log_AP!D651</f>
        <v>46090</v>
      </c>
      <c r="G654" s="18" t="n">
        <f aca="false">Payment_Log_AP!E651</f>
        <v>2608</v>
      </c>
      <c r="H654" s="16" t="n">
        <f aca="false">IF(G654&gt;=Assumptions!$B$7,40,IF(G654&gt;=Assumptions!$B$8,20,0))</f>
        <v>0</v>
      </c>
      <c r="I654" s="16" t="n">
        <f aca="false">IF(MOD(G654,500)=0,20,IF(MOD(G654,100)=0,10,0))</f>
        <v>0</v>
      </c>
      <c r="J654" s="16" t="n">
        <f aca="false">IF(AND(E654&lt;&gt;"",F654-E654&lt;=Assumptions!$B$9),25,0)</f>
        <v>0</v>
      </c>
      <c r="K654" s="16" t="n">
        <f aca="false">IF(ISNUMBER(SEARCH(D654,Assumptions!$B$10)),15,0)</f>
        <v>0</v>
      </c>
      <c r="L654" s="16" t="n">
        <f aca="false">H654+I654+J654+K654</f>
        <v>0</v>
      </c>
      <c r="M654" s="16" t="str">
        <f aca="false">IF(L654&gt;=60,"High",IF(L654&gt;=30,"Medium","Low"))</f>
        <v>Low</v>
      </c>
    </row>
    <row r="655" customFormat="false" ht="15" hidden="false" customHeight="false" outlineLevel="0" collapsed="false">
      <c r="A655" s="16" t="str">
        <f aca="false">Payment_Log_AP!A652</f>
        <v>PAY40651</v>
      </c>
      <c r="B655" s="16" t="str">
        <f aca="false">Payment_Log_AP!C652</f>
        <v>V1033</v>
      </c>
      <c r="C655" s="16" t="str">
        <f aca="false">IFERROR(INDEX(Vendor_Master!$B$2:$B$41,MATCH(B655,Vendor_Master!$A$2:$A$41,0)),"Unknown Vendor")</f>
        <v>Sellers, George and Burns</v>
      </c>
      <c r="D655" s="16" t="str">
        <f aca="false">IFERROR(INDEX(Vendor_Master!$D$2:$D$41,MATCH(B655,Vendor_Master!$A$2:$A$41,0)),"Unknown")</f>
        <v>USA</v>
      </c>
      <c r="E655" s="17" t="n">
        <f aca="false">IFERROR(INDEX(Vendor_Master!$E$2:$E$41,MATCH(B655,Vendor_Master!$A$2:$A$41,0)),"")</f>
        <v>45414</v>
      </c>
      <c r="F655" s="17" t="n">
        <f aca="false">Payment_Log_AP!D652</f>
        <v>46146</v>
      </c>
      <c r="G655" s="18" t="n">
        <f aca="false">Payment_Log_AP!E652</f>
        <v>19774.14</v>
      </c>
      <c r="H655" s="16" t="n">
        <f aca="false">IF(G655&gt;=Assumptions!$B$7,40,IF(G655&gt;=Assumptions!$B$8,20,0))</f>
        <v>40</v>
      </c>
      <c r="I655" s="16" t="n">
        <f aca="false">IF(MOD(G655,500)=0,20,IF(MOD(G655,100)=0,10,0))</f>
        <v>0</v>
      </c>
      <c r="J655" s="16" t="n">
        <f aca="false">IF(AND(E655&lt;&gt;"",F655-E655&lt;=Assumptions!$B$9),25,0)</f>
        <v>0</v>
      </c>
      <c r="K655" s="16" t="n">
        <f aca="false">IF(ISNUMBER(SEARCH(D655,Assumptions!$B$10)),15,0)</f>
        <v>0</v>
      </c>
      <c r="L655" s="16" t="n">
        <f aca="false">H655+I655+J655+K655</f>
        <v>40</v>
      </c>
      <c r="M655" s="16" t="str">
        <f aca="false">IF(L655&gt;=60,"High",IF(L655&gt;=30,"Medium","Low"))</f>
        <v>Medium</v>
      </c>
    </row>
    <row r="656" customFormat="false" ht="15" hidden="false" customHeight="false" outlineLevel="0" collapsed="false">
      <c r="A656" s="16" t="str">
        <f aca="false">Payment_Log_AP!A653</f>
        <v>PAY40652</v>
      </c>
      <c r="B656" s="16" t="str">
        <f aca="false">Payment_Log_AP!C653</f>
        <v>V1018</v>
      </c>
      <c r="C656" s="16" t="str">
        <f aca="false">IFERROR(INDEX(Vendor_Master!$B$2:$B$41,MATCH(B656,Vendor_Master!$A$2:$A$41,0)),"Unknown Vendor")</f>
        <v>Underwood LLC</v>
      </c>
      <c r="D656" s="16" t="str">
        <f aca="false">IFERROR(INDEX(Vendor_Master!$D$2:$D$41,MATCH(B656,Vendor_Master!$A$2:$A$41,0)),"Unknown")</f>
        <v>UAE</v>
      </c>
      <c r="E656" s="17" t="n">
        <f aca="false">IFERROR(INDEX(Vendor_Master!$E$2:$E$41,MATCH(B656,Vendor_Master!$A$2:$A$41,0)),"")</f>
        <v>45788</v>
      </c>
      <c r="F656" s="17" t="n">
        <f aca="false">Payment_Log_AP!D653</f>
        <v>46033</v>
      </c>
      <c r="G656" s="18" t="n">
        <f aca="false">Payment_Log_AP!E653</f>
        <v>393.39</v>
      </c>
      <c r="H656" s="16" t="n">
        <f aca="false">IF(G656&gt;=Assumptions!$B$7,40,IF(G656&gt;=Assumptions!$B$8,20,0))</f>
        <v>0</v>
      </c>
      <c r="I656" s="16" t="n">
        <f aca="false">IF(MOD(G656,500)=0,20,IF(MOD(G656,100)=0,10,0))</f>
        <v>0</v>
      </c>
      <c r="J656" s="16" t="n">
        <f aca="false">IF(AND(E656&lt;&gt;"",F656-E656&lt;=Assumptions!$B$9),25,0)</f>
        <v>0</v>
      </c>
      <c r="K656" s="16" t="n">
        <f aca="false">IF(ISNUMBER(SEARCH(D656,Assumptions!$B$10)),15,0)</f>
        <v>15</v>
      </c>
      <c r="L656" s="16" t="n">
        <f aca="false">H656+I656+J656+K656</f>
        <v>15</v>
      </c>
      <c r="M656" s="16" t="str">
        <f aca="false">IF(L656&gt;=60,"High",IF(L656&gt;=30,"Medium","Low"))</f>
        <v>Low</v>
      </c>
    </row>
    <row r="657" customFormat="false" ht="15" hidden="false" customHeight="false" outlineLevel="0" collapsed="false">
      <c r="A657" s="16" t="str">
        <f aca="false">Payment_Log_AP!A654</f>
        <v>PAY40653</v>
      </c>
      <c r="B657" s="16" t="str">
        <f aca="false">Payment_Log_AP!C654</f>
        <v>V1026</v>
      </c>
      <c r="C657" s="16" t="str">
        <f aca="false">IFERROR(INDEX(Vendor_Master!$B$2:$B$41,MATCH(B657,Vendor_Master!$A$2:$A$41,0)),"Unknown Vendor")</f>
        <v>James-Ferrell</v>
      </c>
      <c r="D657" s="16" t="str">
        <f aca="false">IFERROR(INDEX(Vendor_Master!$D$2:$D$41,MATCH(B657,Vendor_Master!$A$2:$A$41,0)),"Unknown")</f>
        <v>UAE</v>
      </c>
      <c r="E657" s="17" t="n">
        <f aca="false">IFERROR(INDEX(Vendor_Master!$E$2:$E$41,MATCH(B657,Vendor_Master!$A$2:$A$41,0)),"")</f>
        <v>45504</v>
      </c>
      <c r="F657" s="17" t="n">
        <f aca="false">Payment_Log_AP!D654</f>
        <v>46096</v>
      </c>
      <c r="G657" s="18" t="n">
        <f aca="false">Payment_Log_AP!E654</f>
        <v>19934.95</v>
      </c>
      <c r="H657" s="16" t="n">
        <f aca="false">IF(G657&gt;=Assumptions!$B$7,40,IF(G657&gt;=Assumptions!$B$8,20,0))</f>
        <v>40</v>
      </c>
      <c r="I657" s="16" t="n">
        <f aca="false">IF(MOD(G657,500)=0,20,IF(MOD(G657,100)=0,10,0))</f>
        <v>0</v>
      </c>
      <c r="J657" s="16" t="n">
        <f aca="false">IF(AND(E657&lt;&gt;"",F657-E657&lt;=Assumptions!$B$9),25,0)</f>
        <v>0</v>
      </c>
      <c r="K657" s="16" t="n">
        <f aca="false">IF(ISNUMBER(SEARCH(D657,Assumptions!$B$10)),15,0)</f>
        <v>15</v>
      </c>
      <c r="L657" s="16" t="n">
        <f aca="false">H657+I657+J657+K657</f>
        <v>55</v>
      </c>
      <c r="M657" s="16" t="str">
        <f aca="false">IF(L657&gt;=60,"High",IF(L657&gt;=30,"Medium","Low"))</f>
        <v>Medium</v>
      </c>
    </row>
    <row r="658" customFormat="false" ht="15" hidden="false" customHeight="false" outlineLevel="0" collapsed="false">
      <c r="A658" s="16" t="str">
        <f aca="false">Payment_Log_AP!A655</f>
        <v>PAY40654</v>
      </c>
      <c r="B658" s="16" t="str">
        <f aca="false">Payment_Log_AP!C655</f>
        <v>V1008</v>
      </c>
      <c r="C658" s="16" t="str">
        <f aca="false">IFERROR(INDEX(Vendor_Master!$B$2:$B$41,MATCH(B658,Vendor_Master!$A$2:$A$41,0)),"Unknown Vendor")</f>
        <v>Davis Inc</v>
      </c>
      <c r="D658" s="16" t="str">
        <f aca="false">IFERROR(INDEX(Vendor_Master!$D$2:$D$41,MATCH(B658,Vendor_Master!$A$2:$A$41,0)),"Unknown")</f>
        <v>Canada</v>
      </c>
      <c r="E658" s="17" t="n">
        <f aca="false">IFERROR(INDEX(Vendor_Master!$E$2:$E$41,MATCH(B658,Vendor_Master!$A$2:$A$41,0)),"")</f>
        <v>45769</v>
      </c>
      <c r="F658" s="17" t="n">
        <f aca="false">Payment_Log_AP!D655</f>
        <v>45802</v>
      </c>
      <c r="G658" s="18" t="n">
        <f aca="false">Payment_Log_AP!E655</f>
        <v>812.03</v>
      </c>
      <c r="H658" s="16" t="n">
        <f aca="false">IF(G658&gt;=Assumptions!$B$7,40,IF(G658&gt;=Assumptions!$B$8,20,0))</f>
        <v>0</v>
      </c>
      <c r="I658" s="16" t="n">
        <f aca="false">IF(MOD(G658,500)=0,20,IF(MOD(G658,100)=0,10,0))</f>
        <v>0</v>
      </c>
      <c r="J658" s="16" t="n">
        <f aca="false">IF(AND(E658&lt;&gt;"",F658-E658&lt;=Assumptions!$B$9),25,0)</f>
        <v>25</v>
      </c>
      <c r="K658" s="16" t="n">
        <f aca="false">IF(ISNUMBER(SEARCH(D658,Assumptions!$B$10)),15,0)</f>
        <v>0</v>
      </c>
      <c r="L658" s="16" t="n">
        <f aca="false">H658+I658+J658+K658</f>
        <v>25</v>
      </c>
      <c r="M658" s="16" t="str">
        <f aca="false">IF(L658&gt;=60,"High",IF(L658&gt;=30,"Medium","Low"))</f>
        <v>Low</v>
      </c>
    </row>
    <row r="659" customFormat="false" ht="15" hidden="false" customHeight="false" outlineLevel="0" collapsed="false">
      <c r="A659" s="16" t="str">
        <f aca="false">Payment_Log_AP!A656</f>
        <v>PAY40655</v>
      </c>
      <c r="B659" s="16" t="str">
        <f aca="false">Payment_Log_AP!C656</f>
        <v>V1025</v>
      </c>
      <c r="C659" s="16" t="str">
        <f aca="false">IFERROR(INDEX(Vendor_Master!$B$2:$B$41,MATCH(B659,Vendor_Master!$A$2:$A$41,0)),"Unknown Vendor")</f>
        <v>Conner Group</v>
      </c>
      <c r="D659" s="16" t="str">
        <f aca="false">IFERROR(INDEX(Vendor_Master!$D$2:$D$41,MATCH(B659,Vendor_Master!$A$2:$A$41,0)),"Unknown")</f>
        <v>USA</v>
      </c>
      <c r="E659" s="17" t="n">
        <f aca="false">IFERROR(INDEX(Vendor_Master!$E$2:$E$41,MATCH(B659,Vendor_Master!$A$2:$A$41,0)),"")</f>
        <v>44803</v>
      </c>
      <c r="F659" s="17" t="n">
        <f aca="false">Payment_Log_AP!D656</f>
        <v>45936</v>
      </c>
      <c r="G659" s="18" t="n">
        <f aca="false">Payment_Log_AP!E656</f>
        <v>26179.49</v>
      </c>
      <c r="H659" s="16" t="n">
        <f aca="false">IF(G659&gt;=Assumptions!$B$7,40,IF(G659&gt;=Assumptions!$B$8,20,0))</f>
        <v>40</v>
      </c>
      <c r="I659" s="16" t="n">
        <f aca="false">IF(MOD(G659,500)=0,20,IF(MOD(G659,100)=0,10,0))</f>
        <v>0</v>
      </c>
      <c r="J659" s="16" t="n">
        <f aca="false">IF(AND(E659&lt;&gt;"",F659-E659&lt;=Assumptions!$B$9),25,0)</f>
        <v>0</v>
      </c>
      <c r="K659" s="16" t="n">
        <f aca="false">IF(ISNUMBER(SEARCH(D659,Assumptions!$B$10)),15,0)</f>
        <v>0</v>
      </c>
      <c r="L659" s="16" t="n">
        <f aca="false">H659+I659+J659+K659</f>
        <v>40</v>
      </c>
      <c r="M659" s="16" t="str">
        <f aca="false">IF(L659&gt;=60,"High",IF(L659&gt;=30,"Medium","Low"))</f>
        <v>Medium</v>
      </c>
    </row>
    <row r="660" customFormat="false" ht="15" hidden="false" customHeight="false" outlineLevel="0" collapsed="false">
      <c r="A660" s="16" t="str">
        <f aca="false">Payment_Log_AP!A657</f>
        <v>PAY40656</v>
      </c>
      <c r="B660" s="16" t="str">
        <f aca="false">Payment_Log_AP!C657</f>
        <v>V1007</v>
      </c>
      <c r="C660" s="16" t="str">
        <f aca="false">IFERROR(INDEX(Vendor_Master!$B$2:$B$41,MATCH(B660,Vendor_Master!$A$2:$A$41,0)),"Unknown Vendor")</f>
        <v>Ramirez-Lewis</v>
      </c>
      <c r="D660" s="16" t="str">
        <f aca="false">IFERROR(INDEX(Vendor_Master!$D$2:$D$41,MATCH(B660,Vendor_Master!$A$2:$A$41,0)),"Unknown")</f>
        <v>Germany</v>
      </c>
      <c r="E660" s="17" t="n">
        <f aca="false">IFERROR(INDEX(Vendor_Master!$E$2:$E$41,MATCH(B660,Vendor_Master!$A$2:$A$41,0)),"")</f>
        <v>45665</v>
      </c>
      <c r="F660" s="17" t="n">
        <f aca="false">Payment_Log_AP!D657</f>
        <v>45816</v>
      </c>
      <c r="G660" s="18" t="n">
        <f aca="false">Payment_Log_AP!E657</f>
        <v>8117.27</v>
      </c>
      <c r="H660" s="16" t="n">
        <f aca="false">IF(G660&gt;=Assumptions!$B$7,40,IF(G660&gt;=Assumptions!$B$8,20,0))</f>
        <v>20</v>
      </c>
      <c r="I660" s="16" t="n">
        <f aca="false">IF(MOD(G660,500)=0,20,IF(MOD(G660,100)=0,10,0))</f>
        <v>0</v>
      </c>
      <c r="J660" s="16" t="n">
        <f aca="false">IF(AND(E660&lt;&gt;"",F660-E660&lt;=Assumptions!$B$9),25,0)</f>
        <v>25</v>
      </c>
      <c r="K660" s="16" t="n">
        <f aca="false">IF(ISNUMBER(SEARCH(D660,Assumptions!$B$10)),15,0)</f>
        <v>0</v>
      </c>
      <c r="L660" s="16" t="n">
        <f aca="false">H660+I660+J660+K660</f>
        <v>45</v>
      </c>
      <c r="M660" s="16" t="str">
        <f aca="false">IF(L660&gt;=60,"High",IF(L660&gt;=30,"Medium","Low"))</f>
        <v>Medium</v>
      </c>
    </row>
    <row r="661" customFormat="false" ht="15" hidden="false" customHeight="false" outlineLevel="0" collapsed="false">
      <c r="A661" s="16" t="str">
        <f aca="false">Payment_Log_AP!A658</f>
        <v>PAY40657</v>
      </c>
      <c r="B661" s="16" t="str">
        <f aca="false">Payment_Log_AP!C658</f>
        <v>V1038</v>
      </c>
      <c r="C661" s="16" t="str">
        <f aca="false">IFERROR(INDEX(Vendor_Master!$B$2:$B$41,MATCH(B661,Vendor_Master!$A$2:$A$41,0)),"Unknown Vendor")</f>
        <v>Rose-Obrien</v>
      </c>
      <c r="D661" s="16" t="str">
        <f aca="false">IFERROR(INDEX(Vendor_Master!$D$2:$D$41,MATCH(B661,Vendor_Master!$A$2:$A$41,0)),"Unknown")</f>
        <v>USA</v>
      </c>
      <c r="E661" s="17" t="n">
        <f aca="false">IFERROR(INDEX(Vendor_Master!$E$2:$E$41,MATCH(B661,Vendor_Master!$A$2:$A$41,0)),"")</f>
        <v>45431</v>
      </c>
      <c r="F661" s="17" t="n">
        <f aca="false">Payment_Log_AP!D658</f>
        <v>45880</v>
      </c>
      <c r="G661" s="18" t="n">
        <f aca="false">Payment_Log_AP!E658</f>
        <v>9161.11</v>
      </c>
      <c r="H661" s="16" t="n">
        <f aca="false">IF(G661&gt;=Assumptions!$B$7,40,IF(G661&gt;=Assumptions!$B$8,20,0))</f>
        <v>20</v>
      </c>
      <c r="I661" s="16" t="n">
        <f aca="false">IF(MOD(G661,500)=0,20,IF(MOD(G661,100)=0,10,0))</f>
        <v>0</v>
      </c>
      <c r="J661" s="16" t="n">
        <f aca="false">IF(AND(E661&lt;&gt;"",F661-E661&lt;=Assumptions!$B$9),25,0)</f>
        <v>0</v>
      </c>
      <c r="K661" s="16" t="n">
        <f aca="false">IF(ISNUMBER(SEARCH(D661,Assumptions!$B$10)),15,0)</f>
        <v>0</v>
      </c>
      <c r="L661" s="16" t="n">
        <f aca="false">H661+I661+J661+K661</f>
        <v>20</v>
      </c>
      <c r="M661" s="16" t="str">
        <f aca="false">IF(L661&gt;=60,"High",IF(L661&gt;=30,"Medium","Low"))</f>
        <v>Low</v>
      </c>
    </row>
    <row r="662" customFormat="false" ht="15" hidden="false" customHeight="false" outlineLevel="0" collapsed="false">
      <c r="A662" s="16" t="str">
        <f aca="false">Payment_Log_AP!A659</f>
        <v>PAY40658</v>
      </c>
      <c r="B662" s="16" t="str">
        <f aca="false">Payment_Log_AP!C659</f>
        <v>V1022</v>
      </c>
      <c r="C662" s="16" t="str">
        <f aca="false">IFERROR(INDEX(Vendor_Master!$B$2:$B$41,MATCH(B662,Vendor_Master!$A$2:$A$41,0)),"Unknown Vendor")</f>
        <v>Burgess-Patterson</v>
      </c>
      <c r="D662" s="16" t="str">
        <f aca="false">IFERROR(INDEX(Vendor_Master!$D$2:$D$41,MATCH(B662,Vendor_Master!$A$2:$A$41,0)),"Unknown")</f>
        <v>Germany</v>
      </c>
      <c r="E662" s="17" t="n">
        <f aca="false">IFERROR(INDEX(Vendor_Master!$E$2:$E$41,MATCH(B662,Vendor_Master!$A$2:$A$41,0)),"")</f>
        <v>45449</v>
      </c>
      <c r="F662" s="17" t="n">
        <f aca="false">Payment_Log_AP!D659</f>
        <v>45926</v>
      </c>
      <c r="G662" s="18" t="n">
        <f aca="false">Payment_Log_AP!E659</f>
        <v>1056.4</v>
      </c>
      <c r="H662" s="16" t="n">
        <f aca="false">IF(G662&gt;=Assumptions!$B$7,40,IF(G662&gt;=Assumptions!$B$8,20,0))</f>
        <v>0</v>
      </c>
      <c r="I662" s="16" t="n">
        <f aca="false">IF(MOD(G662,500)=0,20,IF(MOD(G662,100)=0,10,0))</f>
        <v>0</v>
      </c>
      <c r="J662" s="16" t="n">
        <f aca="false">IF(AND(E662&lt;&gt;"",F662-E662&lt;=Assumptions!$B$9),25,0)</f>
        <v>0</v>
      </c>
      <c r="K662" s="16" t="n">
        <f aca="false">IF(ISNUMBER(SEARCH(D662,Assumptions!$B$10)),15,0)</f>
        <v>0</v>
      </c>
      <c r="L662" s="16" t="n">
        <f aca="false">H662+I662+J662+K662</f>
        <v>0</v>
      </c>
      <c r="M662" s="16" t="str">
        <f aca="false">IF(L662&gt;=60,"High",IF(L662&gt;=30,"Medium","Low"))</f>
        <v>Low</v>
      </c>
    </row>
    <row r="663" customFormat="false" ht="15" hidden="false" customHeight="false" outlineLevel="0" collapsed="false">
      <c r="A663" s="16" t="str">
        <f aca="false">Payment_Log_AP!A660</f>
        <v>PAY40659</v>
      </c>
      <c r="B663" s="16" t="str">
        <f aca="false">Payment_Log_AP!C660</f>
        <v>V1015</v>
      </c>
      <c r="C663" s="16" t="str">
        <f aca="false">IFERROR(INDEX(Vendor_Master!$B$2:$B$41,MATCH(B663,Vendor_Master!$A$2:$A$41,0)),"Unknown Vendor")</f>
        <v>Zuniga, Wong and Lynch</v>
      </c>
      <c r="D663" s="16" t="str">
        <f aca="false">IFERROR(INDEX(Vendor_Master!$D$2:$D$41,MATCH(B663,Vendor_Master!$A$2:$A$41,0)),"Unknown")</f>
        <v>USA</v>
      </c>
      <c r="E663" s="17" t="n">
        <f aca="false">IFERROR(INDEX(Vendor_Master!$E$2:$E$41,MATCH(B663,Vendor_Master!$A$2:$A$41,0)),"")</f>
        <v>45621</v>
      </c>
      <c r="F663" s="17" t="n">
        <f aca="false">Payment_Log_AP!D660</f>
        <v>45889</v>
      </c>
      <c r="G663" s="18" t="n">
        <f aca="false">Payment_Log_AP!E660</f>
        <v>3577.81</v>
      </c>
      <c r="H663" s="16" t="n">
        <f aca="false">IF(G663&gt;=Assumptions!$B$7,40,IF(G663&gt;=Assumptions!$B$8,20,0))</f>
        <v>0</v>
      </c>
      <c r="I663" s="16" t="n">
        <f aca="false">IF(MOD(G663,500)=0,20,IF(MOD(G663,100)=0,10,0))</f>
        <v>0</v>
      </c>
      <c r="J663" s="16" t="n">
        <f aca="false">IF(AND(E663&lt;&gt;"",F663-E663&lt;=Assumptions!$B$9),25,0)</f>
        <v>0</v>
      </c>
      <c r="K663" s="16" t="n">
        <f aca="false">IF(ISNUMBER(SEARCH(D663,Assumptions!$B$10)),15,0)</f>
        <v>0</v>
      </c>
      <c r="L663" s="16" t="n">
        <f aca="false">H663+I663+J663+K663</f>
        <v>0</v>
      </c>
      <c r="M663" s="16" t="str">
        <f aca="false">IF(L663&gt;=60,"High",IF(L663&gt;=30,"Medium","Low"))</f>
        <v>Low</v>
      </c>
    </row>
    <row r="664" customFormat="false" ht="15" hidden="false" customHeight="false" outlineLevel="0" collapsed="false">
      <c r="A664" s="16" t="str">
        <f aca="false">Payment_Log_AP!A661</f>
        <v>PAY40660</v>
      </c>
      <c r="B664" s="16" t="str">
        <f aca="false">Payment_Log_AP!C661</f>
        <v>V1006</v>
      </c>
      <c r="C664" s="16" t="str">
        <f aca="false">IFERROR(INDEX(Vendor_Master!$B$2:$B$41,MATCH(B664,Vendor_Master!$A$2:$A$41,0)),"Unknown Vendor")</f>
        <v>Blake and Sons</v>
      </c>
      <c r="D664" s="16" t="str">
        <f aca="false">IFERROR(INDEX(Vendor_Master!$D$2:$D$41,MATCH(B664,Vendor_Master!$A$2:$A$41,0)),"Unknown")</f>
        <v>UK</v>
      </c>
      <c r="E664" s="17" t="n">
        <f aca="false">IFERROR(INDEX(Vendor_Master!$E$2:$E$41,MATCH(B664,Vendor_Master!$A$2:$A$41,0)),"")</f>
        <v>45841</v>
      </c>
      <c r="F664" s="17" t="n">
        <f aca="false">Payment_Log_AP!D661</f>
        <v>45737</v>
      </c>
      <c r="G664" s="18" t="n">
        <f aca="false">Payment_Log_AP!E661</f>
        <v>1478.7</v>
      </c>
      <c r="H664" s="16" t="n">
        <f aca="false">IF(G664&gt;=Assumptions!$B$7,40,IF(G664&gt;=Assumptions!$B$8,20,0))</f>
        <v>0</v>
      </c>
      <c r="I664" s="16" t="n">
        <f aca="false">IF(MOD(G664,500)=0,20,IF(MOD(G664,100)=0,10,0))</f>
        <v>0</v>
      </c>
      <c r="J664" s="16" t="n">
        <f aca="false">IF(AND(E664&lt;&gt;"",F664-E664&lt;=Assumptions!$B$9),25,0)</f>
        <v>25</v>
      </c>
      <c r="K664" s="16" t="n">
        <f aca="false">IF(ISNUMBER(SEARCH(D664,Assumptions!$B$10)),15,0)</f>
        <v>0</v>
      </c>
      <c r="L664" s="16" t="n">
        <f aca="false">H664+I664+J664+K664</f>
        <v>25</v>
      </c>
      <c r="M664" s="16" t="str">
        <f aca="false">IF(L664&gt;=60,"High",IF(L664&gt;=30,"Medium","Low"))</f>
        <v>Low</v>
      </c>
    </row>
    <row r="665" customFormat="false" ht="15" hidden="false" customHeight="false" outlineLevel="0" collapsed="false">
      <c r="A665" s="16" t="str">
        <f aca="false">Payment_Log_AP!A662</f>
        <v>PAY40661</v>
      </c>
      <c r="B665" s="16" t="str">
        <f aca="false">Payment_Log_AP!C662</f>
        <v>V1026</v>
      </c>
      <c r="C665" s="16" t="str">
        <f aca="false">IFERROR(INDEX(Vendor_Master!$B$2:$B$41,MATCH(B665,Vendor_Master!$A$2:$A$41,0)),"Unknown Vendor")</f>
        <v>James-Ferrell</v>
      </c>
      <c r="D665" s="16" t="str">
        <f aca="false">IFERROR(INDEX(Vendor_Master!$D$2:$D$41,MATCH(B665,Vendor_Master!$A$2:$A$41,0)),"Unknown")</f>
        <v>UAE</v>
      </c>
      <c r="E665" s="17" t="n">
        <f aca="false">IFERROR(INDEX(Vendor_Master!$E$2:$E$41,MATCH(B665,Vendor_Master!$A$2:$A$41,0)),"")</f>
        <v>45504</v>
      </c>
      <c r="F665" s="17" t="n">
        <f aca="false">Payment_Log_AP!D662</f>
        <v>45926</v>
      </c>
      <c r="G665" s="18" t="n">
        <f aca="false">Payment_Log_AP!E662</f>
        <v>5071.62</v>
      </c>
      <c r="H665" s="16" t="n">
        <f aca="false">IF(G665&gt;=Assumptions!$B$7,40,IF(G665&gt;=Assumptions!$B$8,20,0))</f>
        <v>20</v>
      </c>
      <c r="I665" s="16" t="n">
        <f aca="false">IF(MOD(G665,500)=0,20,IF(MOD(G665,100)=0,10,0))</f>
        <v>0</v>
      </c>
      <c r="J665" s="16" t="n">
        <f aca="false">IF(AND(E665&lt;&gt;"",F665-E665&lt;=Assumptions!$B$9),25,0)</f>
        <v>0</v>
      </c>
      <c r="K665" s="16" t="n">
        <f aca="false">IF(ISNUMBER(SEARCH(D665,Assumptions!$B$10)),15,0)</f>
        <v>15</v>
      </c>
      <c r="L665" s="16" t="n">
        <f aca="false">H665+I665+J665+K665</f>
        <v>35</v>
      </c>
      <c r="M665" s="16" t="str">
        <f aca="false">IF(L665&gt;=60,"High",IF(L665&gt;=30,"Medium","Low"))</f>
        <v>Medium</v>
      </c>
    </row>
    <row r="666" customFormat="false" ht="15" hidden="false" customHeight="false" outlineLevel="0" collapsed="false">
      <c r="A666" s="16" t="str">
        <f aca="false">Payment_Log_AP!A663</f>
        <v>PAY40662</v>
      </c>
      <c r="B666" s="16" t="str">
        <f aca="false">Payment_Log_AP!C663</f>
        <v>V1033</v>
      </c>
      <c r="C666" s="16" t="str">
        <f aca="false">IFERROR(INDEX(Vendor_Master!$B$2:$B$41,MATCH(B666,Vendor_Master!$A$2:$A$41,0)),"Unknown Vendor")</f>
        <v>Sellers, George and Burns</v>
      </c>
      <c r="D666" s="16" t="str">
        <f aca="false">IFERROR(INDEX(Vendor_Master!$D$2:$D$41,MATCH(B666,Vendor_Master!$A$2:$A$41,0)),"Unknown")</f>
        <v>USA</v>
      </c>
      <c r="E666" s="17" t="n">
        <f aca="false">IFERROR(INDEX(Vendor_Master!$E$2:$E$41,MATCH(B666,Vendor_Master!$A$2:$A$41,0)),"")</f>
        <v>45414</v>
      </c>
      <c r="F666" s="17" t="n">
        <f aca="false">Payment_Log_AP!D663</f>
        <v>46060</v>
      </c>
      <c r="G666" s="18" t="n">
        <f aca="false">Payment_Log_AP!E663</f>
        <v>3714.97</v>
      </c>
      <c r="H666" s="16" t="n">
        <f aca="false">IF(G666&gt;=Assumptions!$B$7,40,IF(G666&gt;=Assumptions!$B$8,20,0))</f>
        <v>0</v>
      </c>
      <c r="I666" s="16" t="n">
        <f aca="false">IF(MOD(G666,500)=0,20,IF(MOD(G666,100)=0,10,0))</f>
        <v>0</v>
      </c>
      <c r="J666" s="16" t="n">
        <f aca="false">IF(AND(E666&lt;&gt;"",F666-E666&lt;=Assumptions!$B$9),25,0)</f>
        <v>0</v>
      </c>
      <c r="K666" s="16" t="n">
        <f aca="false">IF(ISNUMBER(SEARCH(D666,Assumptions!$B$10)),15,0)</f>
        <v>0</v>
      </c>
      <c r="L666" s="16" t="n">
        <f aca="false">H666+I666+J666+K666</f>
        <v>0</v>
      </c>
      <c r="M666" s="16" t="str">
        <f aca="false">IF(L666&gt;=60,"High",IF(L666&gt;=30,"Medium","Low"))</f>
        <v>Low</v>
      </c>
    </row>
    <row r="667" customFormat="false" ht="15" hidden="false" customHeight="false" outlineLevel="0" collapsed="false">
      <c r="A667" s="16" t="str">
        <f aca="false">Payment_Log_AP!A664</f>
        <v>PAY40663</v>
      </c>
      <c r="B667" s="16" t="str">
        <f aca="false">Payment_Log_AP!C664</f>
        <v>V1025</v>
      </c>
      <c r="C667" s="16" t="str">
        <f aca="false">IFERROR(INDEX(Vendor_Master!$B$2:$B$41,MATCH(B667,Vendor_Master!$A$2:$A$41,0)),"Unknown Vendor")</f>
        <v>Conner Group</v>
      </c>
      <c r="D667" s="16" t="str">
        <f aca="false">IFERROR(INDEX(Vendor_Master!$D$2:$D$41,MATCH(B667,Vendor_Master!$A$2:$A$41,0)),"Unknown")</f>
        <v>USA</v>
      </c>
      <c r="E667" s="17" t="n">
        <f aca="false">IFERROR(INDEX(Vendor_Master!$E$2:$E$41,MATCH(B667,Vendor_Master!$A$2:$A$41,0)),"")</f>
        <v>44803</v>
      </c>
      <c r="F667" s="17" t="n">
        <f aca="false">Payment_Log_AP!D664</f>
        <v>45889</v>
      </c>
      <c r="G667" s="18" t="n">
        <f aca="false">Payment_Log_AP!E664</f>
        <v>577.47</v>
      </c>
      <c r="H667" s="16" t="n">
        <f aca="false">IF(G667&gt;=Assumptions!$B$7,40,IF(G667&gt;=Assumptions!$B$8,20,0))</f>
        <v>0</v>
      </c>
      <c r="I667" s="16" t="n">
        <f aca="false">IF(MOD(G667,500)=0,20,IF(MOD(G667,100)=0,10,0))</f>
        <v>0</v>
      </c>
      <c r="J667" s="16" t="n">
        <f aca="false">IF(AND(E667&lt;&gt;"",F667-E667&lt;=Assumptions!$B$9),25,0)</f>
        <v>0</v>
      </c>
      <c r="K667" s="16" t="n">
        <f aca="false">IF(ISNUMBER(SEARCH(D667,Assumptions!$B$10)),15,0)</f>
        <v>0</v>
      </c>
      <c r="L667" s="16" t="n">
        <f aca="false">H667+I667+J667+K667</f>
        <v>0</v>
      </c>
      <c r="M667" s="16" t="str">
        <f aca="false">IF(L667&gt;=60,"High",IF(L667&gt;=30,"Medium","Low"))</f>
        <v>Low</v>
      </c>
    </row>
    <row r="668" customFormat="false" ht="15" hidden="false" customHeight="false" outlineLevel="0" collapsed="false">
      <c r="A668" s="16" t="str">
        <f aca="false">Payment_Log_AP!A665</f>
        <v>PAY40664</v>
      </c>
      <c r="B668" s="16" t="str">
        <f aca="false">Payment_Log_AP!C665</f>
        <v>V1002</v>
      </c>
      <c r="C668" s="16" t="str">
        <f aca="false">IFERROR(INDEX(Vendor_Master!$B$2:$B$41,MATCH(B668,Vendor_Master!$A$2:$A$41,0)),"Unknown Vendor")</f>
        <v>Garcia, Yang and Gardner</v>
      </c>
      <c r="D668" s="16" t="str">
        <f aca="false">IFERROR(INDEX(Vendor_Master!$D$2:$D$41,MATCH(B668,Vendor_Master!$A$2:$A$41,0)),"Unknown")</f>
        <v>UK</v>
      </c>
      <c r="E668" s="17" t="n">
        <f aca="false">IFERROR(INDEX(Vendor_Master!$E$2:$E$41,MATCH(B668,Vendor_Master!$A$2:$A$41,0)),"")</f>
        <v>44914</v>
      </c>
      <c r="F668" s="17" t="n">
        <f aca="false">Payment_Log_AP!D665</f>
        <v>46203</v>
      </c>
      <c r="G668" s="18" t="n">
        <f aca="false">Payment_Log_AP!E665</f>
        <v>2429.18</v>
      </c>
      <c r="H668" s="16" t="n">
        <f aca="false">IF(G668&gt;=Assumptions!$B$7,40,IF(G668&gt;=Assumptions!$B$8,20,0))</f>
        <v>0</v>
      </c>
      <c r="I668" s="16" t="n">
        <f aca="false">IF(MOD(G668,500)=0,20,IF(MOD(G668,100)=0,10,0))</f>
        <v>0</v>
      </c>
      <c r="J668" s="16" t="n">
        <f aca="false">IF(AND(E668&lt;&gt;"",F668-E668&lt;=Assumptions!$B$9),25,0)</f>
        <v>0</v>
      </c>
      <c r="K668" s="16" t="n">
        <f aca="false">IF(ISNUMBER(SEARCH(D668,Assumptions!$B$10)),15,0)</f>
        <v>0</v>
      </c>
      <c r="L668" s="16" t="n">
        <f aca="false">H668+I668+J668+K668</f>
        <v>0</v>
      </c>
      <c r="M668" s="16" t="str">
        <f aca="false">IF(L668&gt;=60,"High",IF(L668&gt;=30,"Medium","Low"))</f>
        <v>Low</v>
      </c>
    </row>
    <row r="669" customFormat="false" ht="15" hidden="false" customHeight="false" outlineLevel="0" collapsed="false">
      <c r="A669" s="16" t="str">
        <f aca="false">Payment_Log_AP!A666</f>
        <v>PAY40665</v>
      </c>
      <c r="B669" s="16" t="str">
        <f aca="false">Payment_Log_AP!C666</f>
        <v>V1010</v>
      </c>
      <c r="C669" s="16" t="str">
        <f aca="false">IFERROR(INDEX(Vendor_Master!$B$2:$B$41,MATCH(B669,Vendor_Master!$A$2:$A$41,0)),"Unknown Vendor")</f>
        <v>Martinez, Nielsen and Miller</v>
      </c>
      <c r="D669" s="16" t="str">
        <f aca="false">IFERROR(INDEX(Vendor_Master!$D$2:$D$41,MATCH(B669,Vendor_Master!$A$2:$A$41,0)),"Unknown")</f>
        <v>India</v>
      </c>
      <c r="E669" s="17" t="n">
        <f aca="false">IFERROR(INDEX(Vendor_Master!$E$2:$E$41,MATCH(B669,Vendor_Master!$A$2:$A$41,0)),"")</f>
        <v>45715</v>
      </c>
      <c r="F669" s="17" t="n">
        <f aca="false">Payment_Log_AP!D666</f>
        <v>45721</v>
      </c>
      <c r="G669" s="18" t="n">
        <f aca="false">Payment_Log_AP!E666</f>
        <v>5420.25</v>
      </c>
      <c r="H669" s="16" t="n">
        <f aca="false">IF(G669&gt;=Assumptions!$B$7,40,IF(G669&gt;=Assumptions!$B$8,20,0))</f>
        <v>20</v>
      </c>
      <c r="I669" s="16" t="n">
        <f aca="false">IF(MOD(G669,500)=0,20,IF(MOD(G669,100)=0,10,0))</f>
        <v>0</v>
      </c>
      <c r="J669" s="16" t="n">
        <f aca="false">IF(AND(E669&lt;&gt;"",F669-E669&lt;=Assumptions!$B$9),25,0)</f>
        <v>25</v>
      </c>
      <c r="K669" s="16" t="n">
        <f aca="false">IF(ISNUMBER(SEARCH(D669,Assumptions!$B$10)),15,0)</f>
        <v>15</v>
      </c>
      <c r="L669" s="16" t="n">
        <f aca="false">H669+I669+J669+K669</f>
        <v>60</v>
      </c>
      <c r="M669" s="16" t="str">
        <f aca="false">IF(L669&gt;=60,"High",IF(L669&gt;=30,"Medium","Low"))</f>
        <v>High</v>
      </c>
    </row>
    <row r="670" customFormat="false" ht="15" hidden="false" customHeight="false" outlineLevel="0" collapsed="false">
      <c r="A670" s="16" t="str">
        <f aca="false">Payment_Log_AP!A667</f>
        <v>PAY40666</v>
      </c>
      <c r="B670" s="16" t="str">
        <f aca="false">Payment_Log_AP!C667</f>
        <v>V1034</v>
      </c>
      <c r="C670" s="16" t="str">
        <f aca="false">IFERROR(INDEX(Vendor_Master!$B$2:$B$41,MATCH(B670,Vendor_Master!$A$2:$A$41,0)),"Unknown Vendor")</f>
        <v>Koch-Decker</v>
      </c>
      <c r="D670" s="16" t="str">
        <f aca="false">IFERROR(INDEX(Vendor_Master!$D$2:$D$41,MATCH(B670,Vendor_Master!$A$2:$A$41,0)),"Unknown")</f>
        <v>Germany</v>
      </c>
      <c r="E670" s="17" t="n">
        <f aca="false">IFERROR(INDEX(Vendor_Master!$E$2:$E$41,MATCH(B670,Vendor_Master!$A$2:$A$41,0)),"")</f>
        <v>44738</v>
      </c>
      <c r="F670" s="17" t="n">
        <f aca="false">Payment_Log_AP!D667</f>
        <v>45711</v>
      </c>
      <c r="G670" s="18" t="n">
        <f aca="false">Payment_Log_AP!E667</f>
        <v>5970.05</v>
      </c>
      <c r="H670" s="16" t="n">
        <f aca="false">IF(G670&gt;=Assumptions!$B$7,40,IF(G670&gt;=Assumptions!$B$8,20,0))</f>
        <v>20</v>
      </c>
      <c r="I670" s="16" t="n">
        <f aca="false">IF(MOD(G670,500)=0,20,IF(MOD(G670,100)=0,10,0))</f>
        <v>0</v>
      </c>
      <c r="J670" s="16" t="n">
        <f aca="false">IF(AND(E670&lt;&gt;"",F670-E670&lt;=Assumptions!$B$9),25,0)</f>
        <v>0</v>
      </c>
      <c r="K670" s="16" t="n">
        <f aca="false">IF(ISNUMBER(SEARCH(D670,Assumptions!$B$10)),15,0)</f>
        <v>0</v>
      </c>
      <c r="L670" s="16" t="n">
        <f aca="false">H670+I670+J670+K670</f>
        <v>20</v>
      </c>
      <c r="M670" s="16" t="str">
        <f aca="false">IF(L670&gt;=60,"High",IF(L670&gt;=30,"Medium","Low"))</f>
        <v>Low</v>
      </c>
    </row>
    <row r="671" customFormat="false" ht="15" hidden="false" customHeight="false" outlineLevel="0" collapsed="false">
      <c r="A671" s="16" t="str">
        <f aca="false">Payment_Log_AP!A668</f>
        <v>PAY40667</v>
      </c>
      <c r="B671" s="16" t="str">
        <f aca="false">Payment_Log_AP!C668</f>
        <v>V1020</v>
      </c>
      <c r="C671" s="16" t="str">
        <f aca="false">IFERROR(INDEX(Vendor_Master!$B$2:$B$41,MATCH(B671,Vendor_Master!$A$2:$A$41,0)),"Unknown Vendor")</f>
        <v>Lewis-Porter</v>
      </c>
      <c r="D671" s="16" t="str">
        <f aca="false">IFERROR(INDEX(Vendor_Master!$D$2:$D$41,MATCH(B671,Vendor_Master!$A$2:$A$41,0)),"Unknown")</f>
        <v>UAE</v>
      </c>
      <c r="E671" s="17" t="n">
        <f aca="false">IFERROR(INDEX(Vendor_Master!$E$2:$E$41,MATCH(B671,Vendor_Master!$A$2:$A$41,0)),"")</f>
        <v>45947</v>
      </c>
      <c r="F671" s="17" t="n">
        <f aca="false">Payment_Log_AP!D668</f>
        <v>45719</v>
      </c>
      <c r="G671" s="18" t="n">
        <f aca="false">Payment_Log_AP!E668</f>
        <v>1166.53</v>
      </c>
      <c r="H671" s="16" t="n">
        <f aca="false">IF(G671&gt;=Assumptions!$B$7,40,IF(G671&gt;=Assumptions!$B$8,20,0))</f>
        <v>0</v>
      </c>
      <c r="I671" s="16" t="n">
        <f aca="false">IF(MOD(G671,500)=0,20,IF(MOD(G671,100)=0,10,0))</f>
        <v>0</v>
      </c>
      <c r="J671" s="16" t="n">
        <f aca="false">IF(AND(E671&lt;&gt;"",F671-E671&lt;=Assumptions!$B$9),25,0)</f>
        <v>25</v>
      </c>
      <c r="K671" s="16" t="n">
        <f aca="false">IF(ISNUMBER(SEARCH(D671,Assumptions!$B$10)),15,0)</f>
        <v>15</v>
      </c>
      <c r="L671" s="16" t="n">
        <f aca="false">H671+I671+J671+K671</f>
        <v>40</v>
      </c>
      <c r="M671" s="16" t="str">
        <f aca="false">IF(L671&gt;=60,"High",IF(L671&gt;=30,"Medium","Low"))</f>
        <v>Medium</v>
      </c>
    </row>
    <row r="672" customFormat="false" ht="15" hidden="false" customHeight="false" outlineLevel="0" collapsed="false">
      <c r="A672" s="16" t="str">
        <f aca="false">Payment_Log_AP!A669</f>
        <v>PAY40668</v>
      </c>
      <c r="B672" s="16" t="str">
        <f aca="false">Payment_Log_AP!C669</f>
        <v>V1040</v>
      </c>
      <c r="C672" s="16" t="str">
        <f aca="false">IFERROR(INDEX(Vendor_Master!$B$2:$B$41,MATCH(B672,Vendor_Master!$A$2:$A$41,0)),"Unknown Vendor")</f>
        <v>Santos, Kim and Holmes</v>
      </c>
      <c r="D672" s="16" t="str">
        <f aca="false">IFERROR(INDEX(Vendor_Master!$D$2:$D$41,MATCH(B672,Vendor_Master!$A$2:$A$41,0)),"Unknown")</f>
        <v>India</v>
      </c>
      <c r="E672" s="17" t="n">
        <f aca="false">IFERROR(INDEX(Vendor_Master!$E$2:$E$41,MATCH(B672,Vendor_Master!$A$2:$A$41,0)),"")</f>
        <v>45192</v>
      </c>
      <c r="F672" s="17" t="n">
        <f aca="false">Payment_Log_AP!D669</f>
        <v>46103</v>
      </c>
      <c r="G672" s="18" t="n">
        <f aca="false">Payment_Log_AP!E669</f>
        <v>305.02</v>
      </c>
      <c r="H672" s="16" t="n">
        <f aca="false">IF(G672&gt;=Assumptions!$B$7,40,IF(G672&gt;=Assumptions!$B$8,20,0))</f>
        <v>0</v>
      </c>
      <c r="I672" s="16" t="n">
        <f aca="false">IF(MOD(G672,500)=0,20,IF(MOD(G672,100)=0,10,0))</f>
        <v>0</v>
      </c>
      <c r="J672" s="16" t="n">
        <f aca="false">IF(AND(E672&lt;&gt;"",F672-E672&lt;=Assumptions!$B$9),25,0)</f>
        <v>0</v>
      </c>
      <c r="K672" s="16" t="n">
        <f aca="false">IF(ISNUMBER(SEARCH(D672,Assumptions!$B$10)),15,0)</f>
        <v>15</v>
      </c>
      <c r="L672" s="16" t="n">
        <f aca="false">H672+I672+J672+K672</f>
        <v>15</v>
      </c>
      <c r="M672" s="16" t="str">
        <f aca="false">IF(L672&gt;=60,"High",IF(L672&gt;=30,"Medium","Low"))</f>
        <v>Low</v>
      </c>
    </row>
    <row r="673" customFormat="false" ht="15" hidden="false" customHeight="false" outlineLevel="0" collapsed="false">
      <c r="A673" s="16" t="str">
        <f aca="false">Payment_Log_AP!A670</f>
        <v>PAY40669</v>
      </c>
      <c r="B673" s="16" t="str">
        <f aca="false">Payment_Log_AP!C670</f>
        <v>V1008</v>
      </c>
      <c r="C673" s="16" t="str">
        <f aca="false">IFERROR(INDEX(Vendor_Master!$B$2:$B$41,MATCH(B673,Vendor_Master!$A$2:$A$41,0)),"Unknown Vendor")</f>
        <v>Davis Inc</v>
      </c>
      <c r="D673" s="16" t="str">
        <f aca="false">IFERROR(INDEX(Vendor_Master!$D$2:$D$41,MATCH(B673,Vendor_Master!$A$2:$A$41,0)),"Unknown")</f>
        <v>Canada</v>
      </c>
      <c r="E673" s="17" t="n">
        <f aca="false">IFERROR(INDEX(Vendor_Master!$E$2:$E$41,MATCH(B673,Vendor_Master!$A$2:$A$41,0)),"")</f>
        <v>45769</v>
      </c>
      <c r="F673" s="17" t="n">
        <f aca="false">Payment_Log_AP!D670</f>
        <v>46133</v>
      </c>
      <c r="G673" s="18" t="n">
        <f aca="false">Payment_Log_AP!E670</f>
        <v>888.47</v>
      </c>
      <c r="H673" s="16" t="n">
        <f aca="false">IF(G673&gt;=Assumptions!$B$7,40,IF(G673&gt;=Assumptions!$B$8,20,0))</f>
        <v>0</v>
      </c>
      <c r="I673" s="16" t="n">
        <f aca="false">IF(MOD(G673,500)=0,20,IF(MOD(G673,100)=0,10,0))</f>
        <v>0</v>
      </c>
      <c r="J673" s="16" t="n">
        <f aca="false">IF(AND(E673&lt;&gt;"",F673-E673&lt;=Assumptions!$B$9),25,0)</f>
        <v>0</v>
      </c>
      <c r="K673" s="16" t="n">
        <f aca="false">IF(ISNUMBER(SEARCH(D673,Assumptions!$B$10)),15,0)</f>
        <v>0</v>
      </c>
      <c r="L673" s="16" t="n">
        <f aca="false">H673+I673+J673+K673</f>
        <v>0</v>
      </c>
      <c r="M673" s="16" t="str">
        <f aca="false">IF(L673&gt;=60,"High",IF(L673&gt;=30,"Medium","Low"))</f>
        <v>Low</v>
      </c>
    </row>
    <row r="674" customFormat="false" ht="15" hidden="false" customHeight="false" outlineLevel="0" collapsed="false">
      <c r="A674" s="16" t="str">
        <f aca="false">Payment_Log_AP!A671</f>
        <v>PAY40670</v>
      </c>
      <c r="B674" s="16" t="str">
        <f aca="false">Payment_Log_AP!C671</f>
        <v>V1013</v>
      </c>
      <c r="C674" s="16" t="str">
        <f aca="false">IFERROR(INDEX(Vendor_Master!$B$2:$B$41,MATCH(B674,Vendor_Master!$A$2:$A$41,0)),"Unknown Vendor")</f>
        <v>Delacruz Group</v>
      </c>
      <c r="D674" s="16" t="str">
        <f aca="false">IFERROR(INDEX(Vendor_Master!$D$2:$D$41,MATCH(B674,Vendor_Master!$A$2:$A$41,0)),"Unknown")</f>
        <v>USA</v>
      </c>
      <c r="E674" s="17" t="n">
        <f aca="false">IFERROR(INDEX(Vendor_Master!$E$2:$E$41,MATCH(B674,Vendor_Master!$A$2:$A$41,0)),"")</f>
        <v>46119</v>
      </c>
      <c r="F674" s="17" t="n">
        <f aca="false">Payment_Log_AP!D671</f>
        <v>46004</v>
      </c>
      <c r="G674" s="18" t="n">
        <f aca="false">Payment_Log_AP!E671</f>
        <v>6115.66</v>
      </c>
      <c r="H674" s="16" t="n">
        <f aca="false">IF(G674&gt;=Assumptions!$B$7,40,IF(G674&gt;=Assumptions!$B$8,20,0))</f>
        <v>20</v>
      </c>
      <c r="I674" s="16" t="n">
        <f aca="false">IF(MOD(G674,500)=0,20,IF(MOD(G674,100)=0,10,0))</f>
        <v>0</v>
      </c>
      <c r="J674" s="16" t="n">
        <f aca="false">IF(AND(E674&lt;&gt;"",F674-E674&lt;=Assumptions!$B$9),25,0)</f>
        <v>25</v>
      </c>
      <c r="K674" s="16" t="n">
        <f aca="false">IF(ISNUMBER(SEARCH(D674,Assumptions!$B$10)),15,0)</f>
        <v>0</v>
      </c>
      <c r="L674" s="16" t="n">
        <f aca="false">H674+I674+J674+K674</f>
        <v>45</v>
      </c>
      <c r="M674" s="16" t="str">
        <f aca="false">IF(L674&gt;=60,"High",IF(L674&gt;=30,"Medium","Low"))</f>
        <v>Medium</v>
      </c>
    </row>
    <row r="675" customFormat="false" ht="15" hidden="false" customHeight="false" outlineLevel="0" collapsed="false">
      <c r="A675" s="16" t="str">
        <f aca="false">Payment_Log_AP!A672</f>
        <v>PAY40671</v>
      </c>
      <c r="B675" s="16" t="str">
        <f aca="false">Payment_Log_AP!C672</f>
        <v>V1029</v>
      </c>
      <c r="C675" s="16" t="str">
        <f aca="false">IFERROR(INDEX(Vendor_Master!$B$2:$B$41,MATCH(B675,Vendor_Master!$A$2:$A$41,0)),"Unknown Vendor")</f>
        <v>Chavez Ltd</v>
      </c>
      <c r="D675" s="16" t="str">
        <f aca="false">IFERROR(INDEX(Vendor_Master!$D$2:$D$41,MATCH(B675,Vendor_Master!$A$2:$A$41,0)),"Unknown")</f>
        <v>Singapore</v>
      </c>
      <c r="E675" s="17" t="n">
        <f aca="false">IFERROR(INDEX(Vendor_Master!$E$2:$E$41,MATCH(B675,Vendor_Master!$A$2:$A$41,0)),"")</f>
        <v>45026</v>
      </c>
      <c r="F675" s="17" t="n">
        <f aca="false">Payment_Log_AP!D672</f>
        <v>46000</v>
      </c>
      <c r="G675" s="18" t="n">
        <f aca="false">Payment_Log_AP!E672</f>
        <v>723.52</v>
      </c>
      <c r="H675" s="16" t="n">
        <f aca="false">IF(G675&gt;=Assumptions!$B$7,40,IF(G675&gt;=Assumptions!$B$8,20,0))</f>
        <v>0</v>
      </c>
      <c r="I675" s="16" t="n">
        <f aca="false">IF(MOD(G675,500)=0,20,IF(MOD(G675,100)=0,10,0))</f>
        <v>0</v>
      </c>
      <c r="J675" s="16" t="n">
        <f aca="false">IF(AND(E675&lt;&gt;"",F675-E675&lt;=Assumptions!$B$9),25,0)</f>
        <v>0</v>
      </c>
      <c r="K675" s="16" t="n">
        <f aca="false">IF(ISNUMBER(SEARCH(D675,Assumptions!$B$10)),15,0)</f>
        <v>15</v>
      </c>
      <c r="L675" s="16" t="n">
        <f aca="false">H675+I675+J675+K675</f>
        <v>15</v>
      </c>
      <c r="M675" s="16" t="str">
        <f aca="false">IF(L675&gt;=60,"High",IF(L675&gt;=30,"Medium","Low"))</f>
        <v>Low</v>
      </c>
    </row>
    <row r="676" customFormat="false" ht="15" hidden="false" customHeight="false" outlineLevel="0" collapsed="false">
      <c r="A676" s="16" t="str">
        <f aca="false">Payment_Log_AP!A673</f>
        <v>PAY40672</v>
      </c>
      <c r="B676" s="16" t="str">
        <f aca="false">Payment_Log_AP!C673</f>
        <v>V1040</v>
      </c>
      <c r="C676" s="16" t="str">
        <f aca="false">IFERROR(INDEX(Vendor_Master!$B$2:$B$41,MATCH(B676,Vendor_Master!$A$2:$A$41,0)),"Unknown Vendor")</f>
        <v>Santos, Kim and Holmes</v>
      </c>
      <c r="D676" s="16" t="str">
        <f aca="false">IFERROR(INDEX(Vendor_Master!$D$2:$D$41,MATCH(B676,Vendor_Master!$A$2:$A$41,0)),"Unknown")</f>
        <v>India</v>
      </c>
      <c r="E676" s="17" t="n">
        <f aca="false">IFERROR(INDEX(Vendor_Master!$E$2:$E$41,MATCH(B676,Vendor_Master!$A$2:$A$41,0)),"")</f>
        <v>45192</v>
      </c>
      <c r="F676" s="17" t="n">
        <f aca="false">Payment_Log_AP!D673</f>
        <v>45771</v>
      </c>
      <c r="G676" s="18" t="n">
        <f aca="false">Payment_Log_AP!E673</f>
        <v>1751.47</v>
      </c>
      <c r="H676" s="16" t="n">
        <f aca="false">IF(G676&gt;=Assumptions!$B$7,40,IF(G676&gt;=Assumptions!$B$8,20,0))</f>
        <v>0</v>
      </c>
      <c r="I676" s="16" t="n">
        <f aca="false">IF(MOD(G676,500)=0,20,IF(MOD(G676,100)=0,10,0))</f>
        <v>0</v>
      </c>
      <c r="J676" s="16" t="n">
        <f aca="false">IF(AND(E676&lt;&gt;"",F676-E676&lt;=Assumptions!$B$9),25,0)</f>
        <v>0</v>
      </c>
      <c r="K676" s="16" t="n">
        <f aca="false">IF(ISNUMBER(SEARCH(D676,Assumptions!$B$10)),15,0)</f>
        <v>15</v>
      </c>
      <c r="L676" s="16" t="n">
        <f aca="false">H676+I676+J676+K676</f>
        <v>15</v>
      </c>
      <c r="M676" s="16" t="str">
        <f aca="false">IF(L676&gt;=60,"High",IF(L676&gt;=30,"Medium","Low"))</f>
        <v>Low</v>
      </c>
    </row>
    <row r="677" customFormat="false" ht="15" hidden="false" customHeight="false" outlineLevel="0" collapsed="false">
      <c r="A677" s="16" t="str">
        <f aca="false">Payment_Log_AP!A674</f>
        <v>PAY40673</v>
      </c>
      <c r="B677" s="16" t="str">
        <f aca="false">Payment_Log_AP!C674</f>
        <v>V1014</v>
      </c>
      <c r="C677" s="16" t="str">
        <f aca="false">IFERROR(INDEX(Vendor_Master!$B$2:$B$41,MATCH(B677,Vendor_Master!$A$2:$A$41,0)),"Unknown Vendor")</f>
        <v>Flowers, Martin and Kelly</v>
      </c>
      <c r="D677" s="16" t="str">
        <f aca="false">IFERROR(INDEX(Vendor_Master!$D$2:$D$41,MATCH(B677,Vendor_Master!$A$2:$A$41,0)),"Unknown")</f>
        <v>India</v>
      </c>
      <c r="E677" s="17" t="n">
        <f aca="false">IFERROR(INDEX(Vendor_Master!$E$2:$E$41,MATCH(B677,Vendor_Master!$A$2:$A$41,0)),"")</f>
        <v>45001</v>
      </c>
      <c r="F677" s="17" t="n">
        <f aca="false">Payment_Log_AP!D674</f>
        <v>45883</v>
      </c>
      <c r="G677" s="18" t="n">
        <f aca="false">Payment_Log_AP!E674</f>
        <v>17936.73</v>
      </c>
      <c r="H677" s="16" t="n">
        <f aca="false">IF(G677&gt;=Assumptions!$B$7,40,IF(G677&gt;=Assumptions!$B$8,20,0))</f>
        <v>40</v>
      </c>
      <c r="I677" s="16" t="n">
        <f aca="false">IF(MOD(G677,500)=0,20,IF(MOD(G677,100)=0,10,0))</f>
        <v>0</v>
      </c>
      <c r="J677" s="16" t="n">
        <f aca="false">IF(AND(E677&lt;&gt;"",F677-E677&lt;=Assumptions!$B$9),25,0)</f>
        <v>0</v>
      </c>
      <c r="K677" s="16" t="n">
        <f aca="false">IF(ISNUMBER(SEARCH(D677,Assumptions!$B$10)),15,0)</f>
        <v>15</v>
      </c>
      <c r="L677" s="16" t="n">
        <f aca="false">H677+I677+J677+K677</f>
        <v>55</v>
      </c>
      <c r="M677" s="16" t="str">
        <f aca="false">IF(L677&gt;=60,"High",IF(L677&gt;=30,"Medium","Low"))</f>
        <v>Medium</v>
      </c>
    </row>
    <row r="678" customFormat="false" ht="15" hidden="false" customHeight="false" outlineLevel="0" collapsed="false">
      <c r="A678" s="16" t="str">
        <f aca="false">Payment_Log_AP!A675</f>
        <v>PAY40674</v>
      </c>
      <c r="B678" s="16" t="str">
        <f aca="false">Payment_Log_AP!C675</f>
        <v>V1039</v>
      </c>
      <c r="C678" s="16" t="str">
        <f aca="false">IFERROR(INDEX(Vendor_Master!$B$2:$B$41,MATCH(B678,Vendor_Master!$A$2:$A$41,0)),"Unknown Vendor")</f>
        <v>Campos, Vaughn and Marquez</v>
      </c>
      <c r="D678" s="16" t="str">
        <f aca="false">IFERROR(INDEX(Vendor_Master!$D$2:$D$41,MATCH(B678,Vendor_Master!$A$2:$A$41,0)),"Unknown")</f>
        <v>USA</v>
      </c>
      <c r="E678" s="17" t="n">
        <f aca="false">IFERROR(INDEX(Vendor_Master!$E$2:$E$41,MATCH(B678,Vendor_Master!$A$2:$A$41,0)),"")</f>
        <v>46086</v>
      </c>
      <c r="F678" s="17" t="n">
        <f aca="false">Payment_Log_AP!D675</f>
        <v>46061</v>
      </c>
      <c r="G678" s="18" t="n">
        <f aca="false">Payment_Log_AP!E675</f>
        <v>7872.8</v>
      </c>
      <c r="H678" s="16" t="n">
        <f aca="false">IF(G678&gt;=Assumptions!$B$7,40,IF(G678&gt;=Assumptions!$B$8,20,0))</f>
        <v>20</v>
      </c>
      <c r="I678" s="16" t="n">
        <f aca="false">IF(MOD(G678,500)=0,20,IF(MOD(G678,100)=0,10,0))</f>
        <v>0</v>
      </c>
      <c r="J678" s="16" t="n">
        <f aca="false">IF(AND(E678&lt;&gt;"",F678-E678&lt;=Assumptions!$B$9),25,0)</f>
        <v>25</v>
      </c>
      <c r="K678" s="16" t="n">
        <f aca="false">IF(ISNUMBER(SEARCH(D678,Assumptions!$B$10)),15,0)</f>
        <v>0</v>
      </c>
      <c r="L678" s="16" t="n">
        <f aca="false">H678+I678+J678+K678</f>
        <v>45</v>
      </c>
      <c r="M678" s="16" t="str">
        <f aca="false">IF(L678&gt;=60,"High",IF(L678&gt;=30,"Medium","Low"))</f>
        <v>Medium</v>
      </c>
    </row>
    <row r="679" customFormat="false" ht="15" hidden="false" customHeight="false" outlineLevel="0" collapsed="false">
      <c r="A679" s="16" t="str">
        <f aca="false">Payment_Log_AP!A676</f>
        <v>PAY40675</v>
      </c>
      <c r="B679" s="16" t="str">
        <f aca="false">Payment_Log_AP!C676</f>
        <v>V1029</v>
      </c>
      <c r="C679" s="16" t="str">
        <f aca="false">IFERROR(INDEX(Vendor_Master!$B$2:$B$41,MATCH(B679,Vendor_Master!$A$2:$A$41,0)),"Unknown Vendor")</f>
        <v>Chavez Ltd</v>
      </c>
      <c r="D679" s="16" t="str">
        <f aca="false">IFERROR(INDEX(Vendor_Master!$D$2:$D$41,MATCH(B679,Vendor_Master!$A$2:$A$41,0)),"Unknown")</f>
        <v>Singapore</v>
      </c>
      <c r="E679" s="17" t="n">
        <f aca="false">IFERROR(INDEX(Vendor_Master!$E$2:$E$41,MATCH(B679,Vendor_Master!$A$2:$A$41,0)),"")</f>
        <v>45026</v>
      </c>
      <c r="F679" s="17" t="n">
        <f aca="false">Payment_Log_AP!D676</f>
        <v>46101</v>
      </c>
      <c r="G679" s="18" t="n">
        <f aca="false">Payment_Log_AP!E676</f>
        <v>886.11</v>
      </c>
      <c r="H679" s="16" t="n">
        <f aca="false">IF(G679&gt;=Assumptions!$B$7,40,IF(G679&gt;=Assumptions!$B$8,20,0))</f>
        <v>0</v>
      </c>
      <c r="I679" s="16" t="n">
        <f aca="false">IF(MOD(G679,500)=0,20,IF(MOD(G679,100)=0,10,0))</f>
        <v>0</v>
      </c>
      <c r="J679" s="16" t="n">
        <f aca="false">IF(AND(E679&lt;&gt;"",F679-E679&lt;=Assumptions!$B$9),25,0)</f>
        <v>0</v>
      </c>
      <c r="K679" s="16" t="n">
        <f aca="false">IF(ISNUMBER(SEARCH(D679,Assumptions!$B$10)),15,0)</f>
        <v>15</v>
      </c>
      <c r="L679" s="16" t="n">
        <f aca="false">H679+I679+J679+K679</f>
        <v>15</v>
      </c>
      <c r="M679" s="16" t="str">
        <f aca="false">IF(L679&gt;=60,"High",IF(L679&gt;=30,"Medium","Low"))</f>
        <v>Low</v>
      </c>
    </row>
    <row r="680" customFormat="false" ht="15" hidden="false" customHeight="false" outlineLevel="0" collapsed="false">
      <c r="A680" s="16" t="str">
        <f aca="false">Payment_Log_AP!A677</f>
        <v>PAY40676</v>
      </c>
      <c r="B680" s="16" t="str">
        <f aca="false">Payment_Log_AP!C677</f>
        <v>V1022</v>
      </c>
      <c r="C680" s="16" t="str">
        <f aca="false">IFERROR(INDEX(Vendor_Master!$B$2:$B$41,MATCH(B680,Vendor_Master!$A$2:$A$41,0)),"Unknown Vendor")</f>
        <v>Burgess-Patterson</v>
      </c>
      <c r="D680" s="16" t="str">
        <f aca="false">IFERROR(INDEX(Vendor_Master!$D$2:$D$41,MATCH(B680,Vendor_Master!$A$2:$A$41,0)),"Unknown")</f>
        <v>Germany</v>
      </c>
      <c r="E680" s="17" t="n">
        <f aca="false">IFERROR(INDEX(Vendor_Master!$E$2:$E$41,MATCH(B680,Vendor_Master!$A$2:$A$41,0)),"")</f>
        <v>45449</v>
      </c>
      <c r="F680" s="17" t="n">
        <f aca="false">Payment_Log_AP!D677</f>
        <v>46061</v>
      </c>
      <c r="G680" s="18" t="n">
        <f aca="false">Payment_Log_AP!E677</f>
        <v>270.06</v>
      </c>
      <c r="H680" s="16" t="n">
        <f aca="false">IF(G680&gt;=Assumptions!$B$7,40,IF(G680&gt;=Assumptions!$B$8,20,0))</f>
        <v>0</v>
      </c>
      <c r="I680" s="16" t="n">
        <f aca="false">IF(MOD(G680,500)=0,20,IF(MOD(G680,100)=0,10,0))</f>
        <v>0</v>
      </c>
      <c r="J680" s="16" t="n">
        <f aca="false">IF(AND(E680&lt;&gt;"",F680-E680&lt;=Assumptions!$B$9),25,0)</f>
        <v>0</v>
      </c>
      <c r="K680" s="16" t="n">
        <f aca="false">IF(ISNUMBER(SEARCH(D680,Assumptions!$B$10)),15,0)</f>
        <v>0</v>
      </c>
      <c r="L680" s="16" t="n">
        <f aca="false">H680+I680+J680+K680</f>
        <v>0</v>
      </c>
      <c r="M680" s="16" t="str">
        <f aca="false">IF(L680&gt;=60,"High",IF(L680&gt;=30,"Medium","Low"))</f>
        <v>Low</v>
      </c>
    </row>
    <row r="681" customFormat="false" ht="15" hidden="false" customHeight="false" outlineLevel="0" collapsed="false">
      <c r="A681" s="16" t="str">
        <f aca="false">Payment_Log_AP!A678</f>
        <v>PAY40677</v>
      </c>
      <c r="B681" s="16" t="str">
        <f aca="false">Payment_Log_AP!C678</f>
        <v>V1025</v>
      </c>
      <c r="C681" s="16" t="str">
        <f aca="false">IFERROR(INDEX(Vendor_Master!$B$2:$B$41,MATCH(B681,Vendor_Master!$A$2:$A$41,0)),"Unknown Vendor")</f>
        <v>Conner Group</v>
      </c>
      <c r="D681" s="16" t="str">
        <f aca="false">IFERROR(INDEX(Vendor_Master!$D$2:$D$41,MATCH(B681,Vendor_Master!$A$2:$A$41,0)),"Unknown")</f>
        <v>USA</v>
      </c>
      <c r="E681" s="17" t="n">
        <f aca="false">IFERROR(INDEX(Vendor_Master!$E$2:$E$41,MATCH(B681,Vendor_Master!$A$2:$A$41,0)),"")</f>
        <v>44803</v>
      </c>
      <c r="F681" s="17" t="n">
        <f aca="false">Payment_Log_AP!D678</f>
        <v>46204</v>
      </c>
      <c r="G681" s="18" t="n">
        <f aca="false">Payment_Log_AP!E678</f>
        <v>6371.15</v>
      </c>
      <c r="H681" s="16" t="n">
        <f aca="false">IF(G681&gt;=Assumptions!$B$7,40,IF(G681&gt;=Assumptions!$B$8,20,0))</f>
        <v>20</v>
      </c>
      <c r="I681" s="16" t="n">
        <f aca="false">IF(MOD(G681,500)=0,20,IF(MOD(G681,100)=0,10,0))</f>
        <v>0</v>
      </c>
      <c r="J681" s="16" t="n">
        <f aca="false">IF(AND(E681&lt;&gt;"",F681-E681&lt;=Assumptions!$B$9),25,0)</f>
        <v>0</v>
      </c>
      <c r="K681" s="16" t="n">
        <f aca="false">IF(ISNUMBER(SEARCH(D681,Assumptions!$B$10)),15,0)</f>
        <v>0</v>
      </c>
      <c r="L681" s="16" t="n">
        <f aca="false">H681+I681+J681+K681</f>
        <v>20</v>
      </c>
      <c r="M681" s="16" t="str">
        <f aca="false">IF(L681&gt;=60,"High",IF(L681&gt;=30,"Medium","Low"))</f>
        <v>Low</v>
      </c>
    </row>
    <row r="682" customFormat="false" ht="15" hidden="false" customHeight="false" outlineLevel="0" collapsed="false">
      <c r="A682" s="16" t="str">
        <f aca="false">Payment_Log_AP!A679</f>
        <v>PAY40678</v>
      </c>
      <c r="B682" s="16" t="str">
        <f aca="false">Payment_Log_AP!C679</f>
        <v>V1028</v>
      </c>
      <c r="C682" s="16" t="str">
        <f aca="false">IFERROR(INDEX(Vendor_Master!$B$2:$B$41,MATCH(B682,Vendor_Master!$A$2:$A$41,0)),"Unknown Vendor")</f>
        <v>Potter, Mack and Peterson</v>
      </c>
      <c r="D682" s="16" t="str">
        <f aca="false">IFERROR(INDEX(Vendor_Master!$D$2:$D$41,MATCH(B682,Vendor_Master!$A$2:$A$41,0)),"Unknown")</f>
        <v>UK</v>
      </c>
      <c r="E682" s="17" t="n">
        <f aca="false">IFERROR(INDEX(Vendor_Master!$E$2:$E$41,MATCH(B682,Vendor_Master!$A$2:$A$41,0)),"")</f>
        <v>45639</v>
      </c>
      <c r="F682" s="17" t="n">
        <f aca="false">Payment_Log_AP!D679</f>
        <v>46030</v>
      </c>
      <c r="G682" s="18" t="n">
        <f aca="false">Payment_Log_AP!E679</f>
        <v>2179.28</v>
      </c>
      <c r="H682" s="16" t="n">
        <f aca="false">IF(G682&gt;=Assumptions!$B$7,40,IF(G682&gt;=Assumptions!$B$8,20,0))</f>
        <v>0</v>
      </c>
      <c r="I682" s="16" t="n">
        <f aca="false">IF(MOD(G682,500)=0,20,IF(MOD(G682,100)=0,10,0))</f>
        <v>0</v>
      </c>
      <c r="J682" s="16" t="n">
        <f aca="false">IF(AND(E682&lt;&gt;"",F682-E682&lt;=Assumptions!$B$9),25,0)</f>
        <v>0</v>
      </c>
      <c r="K682" s="16" t="n">
        <f aca="false">IF(ISNUMBER(SEARCH(D682,Assumptions!$B$10)),15,0)</f>
        <v>0</v>
      </c>
      <c r="L682" s="16" t="n">
        <f aca="false">H682+I682+J682+K682</f>
        <v>0</v>
      </c>
      <c r="M682" s="16" t="str">
        <f aca="false">IF(L682&gt;=60,"High",IF(L682&gt;=30,"Medium","Low"))</f>
        <v>Low</v>
      </c>
    </row>
    <row r="683" customFormat="false" ht="15" hidden="false" customHeight="false" outlineLevel="0" collapsed="false">
      <c r="A683" s="16" t="str">
        <f aca="false">Payment_Log_AP!A680</f>
        <v>PAY40679</v>
      </c>
      <c r="B683" s="16" t="str">
        <f aca="false">Payment_Log_AP!C680</f>
        <v>V1032</v>
      </c>
      <c r="C683" s="16" t="str">
        <f aca="false">IFERROR(INDEX(Vendor_Master!$B$2:$B$41,MATCH(B683,Vendor_Master!$A$2:$A$41,0)),"Unknown Vendor")</f>
        <v>Lynch, Hernandez and Farmer</v>
      </c>
      <c r="D683" s="16" t="str">
        <f aca="false">IFERROR(INDEX(Vendor_Master!$D$2:$D$41,MATCH(B683,Vendor_Master!$A$2:$A$41,0)),"Unknown")</f>
        <v>UAE</v>
      </c>
      <c r="E683" s="17" t="n">
        <f aca="false">IFERROR(INDEX(Vendor_Master!$E$2:$E$41,MATCH(B683,Vendor_Master!$A$2:$A$41,0)),"")</f>
        <v>45892</v>
      </c>
      <c r="F683" s="17" t="n">
        <f aca="false">Payment_Log_AP!D680</f>
        <v>45873</v>
      </c>
      <c r="G683" s="18" t="n">
        <f aca="false">Payment_Log_AP!E680</f>
        <v>4559.19</v>
      </c>
      <c r="H683" s="16" t="n">
        <f aca="false">IF(G683&gt;=Assumptions!$B$7,40,IF(G683&gt;=Assumptions!$B$8,20,0))</f>
        <v>0</v>
      </c>
      <c r="I683" s="16" t="n">
        <f aca="false">IF(MOD(G683,500)=0,20,IF(MOD(G683,100)=0,10,0))</f>
        <v>0</v>
      </c>
      <c r="J683" s="16" t="n">
        <f aca="false">IF(AND(E683&lt;&gt;"",F683-E683&lt;=Assumptions!$B$9),25,0)</f>
        <v>25</v>
      </c>
      <c r="K683" s="16" t="n">
        <f aca="false">IF(ISNUMBER(SEARCH(D683,Assumptions!$B$10)),15,0)</f>
        <v>15</v>
      </c>
      <c r="L683" s="16" t="n">
        <f aca="false">H683+I683+J683+K683</f>
        <v>40</v>
      </c>
      <c r="M683" s="16" t="str">
        <f aca="false">IF(L683&gt;=60,"High",IF(L683&gt;=30,"Medium","Low"))</f>
        <v>Medium</v>
      </c>
    </row>
    <row r="684" customFormat="false" ht="15" hidden="false" customHeight="false" outlineLevel="0" collapsed="false">
      <c r="A684" s="16" t="str">
        <f aca="false">Payment_Log_AP!A681</f>
        <v>PAY40680</v>
      </c>
      <c r="B684" s="16" t="str">
        <f aca="false">Payment_Log_AP!C681</f>
        <v>V1037</v>
      </c>
      <c r="C684" s="16" t="str">
        <f aca="false">IFERROR(INDEX(Vendor_Master!$B$2:$B$41,MATCH(B684,Vendor_Master!$A$2:$A$41,0)),"Unknown Vendor")</f>
        <v>Cannon, Anderson and Alvarez</v>
      </c>
      <c r="D684" s="16" t="str">
        <f aca="false">IFERROR(INDEX(Vendor_Master!$D$2:$D$41,MATCH(B684,Vendor_Master!$A$2:$A$41,0)),"Unknown")</f>
        <v>India</v>
      </c>
      <c r="E684" s="17" t="n">
        <f aca="false">IFERROR(INDEX(Vendor_Master!$E$2:$E$41,MATCH(B684,Vendor_Master!$A$2:$A$41,0)),"")</f>
        <v>46108</v>
      </c>
      <c r="F684" s="17" t="n">
        <f aca="false">Payment_Log_AP!D681</f>
        <v>46026</v>
      </c>
      <c r="G684" s="18" t="n">
        <f aca="false">Payment_Log_AP!E681</f>
        <v>1738.1</v>
      </c>
      <c r="H684" s="16" t="n">
        <f aca="false">IF(G684&gt;=Assumptions!$B$7,40,IF(G684&gt;=Assumptions!$B$8,20,0))</f>
        <v>0</v>
      </c>
      <c r="I684" s="16" t="n">
        <f aca="false">IF(MOD(G684,500)=0,20,IF(MOD(G684,100)=0,10,0))</f>
        <v>0</v>
      </c>
      <c r="J684" s="16" t="n">
        <f aca="false">IF(AND(E684&lt;&gt;"",F684-E684&lt;=Assumptions!$B$9),25,0)</f>
        <v>25</v>
      </c>
      <c r="K684" s="16" t="n">
        <f aca="false">IF(ISNUMBER(SEARCH(D684,Assumptions!$B$10)),15,0)</f>
        <v>15</v>
      </c>
      <c r="L684" s="16" t="n">
        <f aca="false">H684+I684+J684+K684</f>
        <v>40</v>
      </c>
      <c r="M684" s="16" t="str">
        <f aca="false">IF(L684&gt;=60,"High",IF(L684&gt;=30,"Medium","Low"))</f>
        <v>Medium</v>
      </c>
    </row>
    <row r="685" customFormat="false" ht="15" hidden="false" customHeight="false" outlineLevel="0" collapsed="false">
      <c r="A685" s="16" t="str">
        <f aca="false">Payment_Log_AP!A682</f>
        <v>PAY40681</v>
      </c>
      <c r="B685" s="16" t="str">
        <f aca="false">Payment_Log_AP!C682</f>
        <v>V1010</v>
      </c>
      <c r="C685" s="16" t="str">
        <f aca="false">IFERROR(INDEX(Vendor_Master!$B$2:$B$41,MATCH(B685,Vendor_Master!$A$2:$A$41,0)),"Unknown Vendor")</f>
        <v>Martinez, Nielsen and Miller</v>
      </c>
      <c r="D685" s="16" t="str">
        <f aca="false">IFERROR(INDEX(Vendor_Master!$D$2:$D$41,MATCH(B685,Vendor_Master!$A$2:$A$41,0)),"Unknown")</f>
        <v>India</v>
      </c>
      <c r="E685" s="17" t="n">
        <f aca="false">IFERROR(INDEX(Vendor_Master!$E$2:$E$41,MATCH(B685,Vendor_Master!$A$2:$A$41,0)),"")</f>
        <v>45715</v>
      </c>
      <c r="F685" s="17" t="n">
        <f aca="false">Payment_Log_AP!D682</f>
        <v>45815</v>
      </c>
      <c r="G685" s="18" t="n">
        <f aca="false">Payment_Log_AP!E682</f>
        <v>8655.91</v>
      </c>
      <c r="H685" s="16" t="n">
        <f aca="false">IF(G685&gt;=Assumptions!$B$7,40,IF(G685&gt;=Assumptions!$B$8,20,0))</f>
        <v>20</v>
      </c>
      <c r="I685" s="16" t="n">
        <f aca="false">IF(MOD(G685,500)=0,20,IF(MOD(G685,100)=0,10,0))</f>
        <v>0</v>
      </c>
      <c r="J685" s="16" t="n">
        <f aca="false">IF(AND(E685&lt;&gt;"",F685-E685&lt;=Assumptions!$B$9),25,0)</f>
        <v>25</v>
      </c>
      <c r="K685" s="16" t="n">
        <f aca="false">IF(ISNUMBER(SEARCH(D685,Assumptions!$B$10)),15,0)</f>
        <v>15</v>
      </c>
      <c r="L685" s="16" t="n">
        <f aca="false">H685+I685+J685+K685</f>
        <v>60</v>
      </c>
      <c r="M685" s="16" t="str">
        <f aca="false">IF(L685&gt;=60,"High",IF(L685&gt;=30,"Medium","Low"))</f>
        <v>High</v>
      </c>
    </row>
    <row r="686" customFormat="false" ht="15" hidden="false" customHeight="false" outlineLevel="0" collapsed="false">
      <c r="A686" s="16" t="str">
        <f aca="false">Payment_Log_AP!A683</f>
        <v>PAY40682</v>
      </c>
      <c r="B686" s="16" t="str">
        <f aca="false">Payment_Log_AP!C683</f>
        <v>V1028</v>
      </c>
      <c r="C686" s="16" t="str">
        <f aca="false">IFERROR(INDEX(Vendor_Master!$B$2:$B$41,MATCH(B686,Vendor_Master!$A$2:$A$41,0)),"Unknown Vendor")</f>
        <v>Potter, Mack and Peterson</v>
      </c>
      <c r="D686" s="16" t="str">
        <f aca="false">IFERROR(INDEX(Vendor_Master!$D$2:$D$41,MATCH(B686,Vendor_Master!$A$2:$A$41,0)),"Unknown")</f>
        <v>UK</v>
      </c>
      <c r="E686" s="17" t="n">
        <f aca="false">IFERROR(INDEX(Vendor_Master!$E$2:$E$41,MATCH(B686,Vendor_Master!$A$2:$A$41,0)),"")</f>
        <v>45639</v>
      </c>
      <c r="F686" s="17" t="n">
        <f aca="false">Payment_Log_AP!D683</f>
        <v>46042</v>
      </c>
      <c r="G686" s="18" t="n">
        <f aca="false">Payment_Log_AP!E683</f>
        <v>3002.81</v>
      </c>
      <c r="H686" s="16" t="n">
        <f aca="false">IF(G686&gt;=Assumptions!$B$7,40,IF(G686&gt;=Assumptions!$B$8,20,0))</f>
        <v>0</v>
      </c>
      <c r="I686" s="16" t="n">
        <f aca="false">IF(MOD(G686,500)=0,20,IF(MOD(G686,100)=0,10,0))</f>
        <v>0</v>
      </c>
      <c r="J686" s="16" t="n">
        <f aca="false">IF(AND(E686&lt;&gt;"",F686-E686&lt;=Assumptions!$B$9),25,0)</f>
        <v>0</v>
      </c>
      <c r="K686" s="16" t="n">
        <f aca="false">IF(ISNUMBER(SEARCH(D686,Assumptions!$B$10)),15,0)</f>
        <v>0</v>
      </c>
      <c r="L686" s="16" t="n">
        <f aca="false">H686+I686+J686+K686</f>
        <v>0</v>
      </c>
      <c r="M686" s="16" t="str">
        <f aca="false">IF(L686&gt;=60,"High",IF(L686&gt;=30,"Medium","Low"))</f>
        <v>Low</v>
      </c>
    </row>
    <row r="687" customFormat="false" ht="15" hidden="false" customHeight="false" outlineLevel="0" collapsed="false">
      <c r="A687" s="16" t="str">
        <f aca="false">Payment_Log_AP!A684</f>
        <v>PAY40683</v>
      </c>
      <c r="B687" s="16" t="str">
        <f aca="false">Payment_Log_AP!C684</f>
        <v>V1038</v>
      </c>
      <c r="C687" s="16" t="str">
        <f aca="false">IFERROR(INDEX(Vendor_Master!$B$2:$B$41,MATCH(B687,Vendor_Master!$A$2:$A$41,0)),"Unknown Vendor")</f>
        <v>Rose-Obrien</v>
      </c>
      <c r="D687" s="16" t="str">
        <f aca="false">IFERROR(INDEX(Vendor_Master!$D$2:$D$41,MATCH(B687,Vendor_Master!$A$2:$A$41,0)),"Unknown")</f>
        <v>USA</v>
      </c>
      <c r="E687" s="17" t="n">
        <f aca="false">IFERROR(INDEX(Vendor_Master!$E$2:$E$41,MATCH(B687,Vendor_Master!$A$2:$A$41,0)),"")</f>
        <v>45431</v>
      </c>
      <c r="F687" s="17" t="n">
        <f aca="false">Payment_Log_AP!D684</f>
        <v>45822</v>
      </c>
      <c r="G687" s="18" t="n">
        <f aca="false">Payment_Log_AP!E684</f>
        <v>2069.86</v>
      </c>
      <c r="H687" s="16" t="n">
        <f aca="false">IF(G687&gt;=Assumptions!$B$7,40,IF(G687&gt;=Assumptions!$B$8,20,0))</f>
        <v>0</v>
      </c>
      <c r="I687" s="16" t="n">
        <f aca="false">IF(MOD(G687,500)=0,20,IF(MOD(G687,100)=0,10,0))</f>
        <v>0</v>
      </c>
      <c r="J687" s="16" t="n">
        <f aca="false">IF(AND(E687&lt;&gt;"",F687-E687&lt;=Assumptions!$B$9),25,0)</f>
        <v>0</v>
      </c>
      <c r="K687" s="16" t="n">
        <f aca="false">IF(ISNUMBER(SEARCH(D687,Assumptions!$B$10)),15,0)</f>
        <v>0</v>
      </c>
      <c r="L687" s="16" t="n">
        <f aca="false">H687+I687+J687+K687</f>
        <v>0</v>
      </c>
      <c r="M687" s="16" t="str">
        <f aca="false">IF(L687&gt;=60,"High",IF(L687&gt;=30,"Medium","Low"))</f>
        <v>Low</v>
      </c>
    </row>
    <row r="688" customFormat="false" ht="15" hidden="false" customHeight="false" outlineLevel="0" collapsed="false">
      <c r="A688" s="16" t="str">
        <f aca="false">Payment_Log_AP!A685</f>
        <v>PAY40684</v>
      </c>
      <c r="B688" s="16" t="str">
        <f aca="false">Payment_Log_AP!C685</f>
        <v>V1019</v>
      </c>
      <c r="C688" s="16" t="str">
        <f aca="false">IFERROR(INDEX(Vendor_Master!$B$2:$B$41,MATCH(B688,Vendor_Master!$A$2:$A$41,0)),"Unknown Vendor")</f>
        <v>Clark PLC</v>
      </c>
      <c r="D688" s="16" t="str">
        <f aca="false">IFERROR(INDEX(Vendor_Master!$D$2:$D$41,MATCH(B688,Vendor_Master!$A$2:$A$41,0)),"Unknown")</f>
        <v>India</v>
      </c>
      <c r="E688" s="17" t="n">
        <f aca="false">IFERROR(INDEX(Vendor_Master!$E$2:$E$41,MATCH(B688,Vendor_Master!$A$2:$A$41,0)),"")</f>
        <v>45196</v>
      </c>
      <c r="F688" s="17" t="n">
        <f aca="false">Payment_Log_AP!D685</f>
        <v>45742</v>
      </c>
      <c r="G688" s="18" t="n">
        <f aca="false">Payment_Log_AP!E685</f>
        <v>1217.09</v>
      </c>
      <c r="H688" s="16" t="n">
        <f aca="false">IF(G688&gt;=Assumptions!$B$7,40,IF(G688&gt;=Assumptions!$B$8,20,0))</f>
        <v>0</v>
      </c>
      <c r="I688" s="16" t="n">
        <f aca="false">IF(MOD(G688,500)=0,20,IF(MOD(G688,100)=0,10,0))</f>
        <v>0</v>
      </c>
      <c r="J688" s="16" t="n">
        <f aca="false">IF(AND(E688&lt;&gt;"",F688-E688&lt;=Assumptions!$B$9),25,0)</f>
        <v>0</v>
      </c>
      <c r="K688" s="16" t="n">
        <f aca="false">IF(ISNUMBER(SEARCH(D688,Assumptions!$B$10)),15,0)</f>
        <v>15</v>
      </c>
      <c r="L688" s="16" t="n">
        <f aca="false">H688+I688+J688+K688</f>
        <v>15</v>
      </c>
      <c r="M688" s="16" t="str">
        <f aca="false">IF(L688&gt;=60,"High",IF(L688&gt;=30,"Medium","Low"))</f>
        <v>Low</v>
      </c>
    </row>
    <row r="689" customFormat="false" ht="15" hidden="false" customHeight="false" outlineLevel="0" collapsed="false">
      <c r="A689" s="16" t="str">
        <f aca="false">Payment_Log_AP!A686</f>
        <v>PAY40685</v>
      </c>
      <c r="B689" s="16" t="str">
        <f aca="false">Payment_Log_AP!C686</f>
        <v>V1009</v>
      </c>
      <c r="C689" s="16" t="str">
        <f aca="false">IFERROR(INDEX(Vendor_Master!$B$2:$B$41,MATCH(B689,Vendor_Master!$A$2:$A$41,0)),"Unknown Vendor")</f>
        <v>Munoz-Roman</v>
      </c>
      <c r="D689" s="16" t="str">
        <f aca="false">IFERROR(INDEX(Vendor_Master!$D$2:$D$41,MATCH(B689,Vendor_Master!$A$2:$A$41,0)),"Unknown")</f>
        <v>India</v>
      </c>
      <c r="E689" s="17" t="n">
        <f aca="false">IFERROR(INDEX(Vendor_Master!$E$2:$E$41,MATCH(B689,Vendor_Master!$A$2:$A$41,0)),"")</f>
        <v>45129</v>
      </c>
      <c r="F689" s="17" t="n">
        <f aca="false">Payment_Log_AP!D686</f>
        <v>46133</v>
      </c>
      <c r="G689" s="18" t="n">
        <f aca="false">Payment_Log_AP!E686</f>
        <v>680.64</v>
      </c>
      <c r="H689" s="16" t="n">
        <f aca="false">IF(G689&gt;=Assumptions!$B$7,40,IF(G689&gt;=Assumptions!$B$8,20,0))</f>
        <v>0</v>
      </c>
      <c r="I689" s="16" t="n">
        <f aca="false">IF(MOD(G689,500)=0,20,IF(MOD(G689,100)=0,10,0))</f>
        <v>0</v>
      </c>
      <c r="J689" s="16" t="n">
        <f aca="false">IF(AND(E689&lt;&gt;"",F689-E689&lt;=Assumptions!$B$9),25,0)</f>
        <v>0</v>
      </c>
      <c r="K689" s="16" t="n">
        <f aca="false">IF(ISNUMBER(SEARCH(D689,Assumptions!$B$10)),15,0)</f>
        <v>15</v>
      </c>
      <c r="L689" s="16" t="n">
        <f aca="false">H689+I689+J689+K689</f>
        <v>15</v>
      </c>
      <c r="M689" s="16" t="str">
        <f aca="false">IF(L689&gt;=60,"High",IF(L689&gt;=30,"Medium","Low"))</f>
        <v>Low</v>
      </c>
    </row>
    <row r="690" customFormat="false" ht="15" hidden="false" customHeight="false" outlineLevel="0" collapsed="false">
      <c r="A690" s="16" t="str">
        <f aca="false">Payment_Log_AP!A687</f>
        <v>PAY40686</v>
      </c>
      <c r="B690" s="16" t="str">
        <f aca="false">Payment_Log_AP!C687</f>
        <v>V1035</v>
      </c>
      <c r="C690" s="16" t="str">
        <f aca="false">IFERROR(INDEX(Vendor_Master!$B$2:$B$41,MATCH(B690,Vendor_Master!$A$2:$A$41,0)),"Unknown Vendor")</f>
        <v>Allen PLC</v>
      </c>
      <c r="D690" s="16" t="str">
        <f aca="false">IFERROR(INDEX(Vendor_Master!$D$2:$D$41,MATCH(B690,Vendor_Master!$A$2:$A$41,0)),"Unknown")</f>
        <v>Canada</v>
      </c>
      <c r="E690" s="17" t="n">
        <f aca="false">IFERROR(INDEX(Vendor_Master!$E$2:$E$41,MATCH(B690,Vendor_Master!$A$2:$A$41,0)),"")</f>
        <v>45048</v>
      </c>
      <c r="F690" s="17" t="n">
        <f aca="false">Payment_Log_AP!D687</f>
        <v>45911</v>
      </c>
      <c r="G690" s="18" t="n">
        <f aca="false">Payment_Log_AP!E687</f>
        <v>1467.37</v>
      </c>
      <c r="H690" s="16" t="n">
        <f aca="false">IF(G690&gt;=Assumptions!$B$7,40,IF(G690&gt;=Assumptions!$B$8,20,0))</f>
        <v>0</v>
      </c>
      <c r="I690" s="16" t="n">
        <f aca="false">IF(MOD(G690,500)=0,20,IF(MOD(G690,100)=0,10,0))</f>
        <v>0</v>
      </c>
      <c r="J690" s="16" t="n">
        <f aca="false">IF(AND(E690&lt;&gt;"",F690-E690&lt;=Assumptions!$B$9),25,0)</f>
        <v>0</v>
      </c>
      <c r="K690" s="16" t="n">
        <f aca="false">IF(ISNUMBER(SEARCH(D690,Assumptions!$B$10)),15,0)</f>
        <v>0</v>
      </c>
      <c r="L690" s="16" t="n">
        <f aca="false">H690+I690+J690+K690</f>
        <v>0</v>
      </c>
      <c r="M690" s="16" t="str">
        <f aca="false">IF(L690&gt;=60,"High",IF(L690&gt;=30,"Medium","Low"))</f>
        <v>Low</v>
      </c>
    </row>
    <row r="691" customFormat="false" ht="15" hidden="false" customHeight="false" outlineLevel="0" collapsed="false">
      <c r="A691" s="16" t="str">
        <f aca="false">Payment_Log_AP!A688</f>
        <v>PAY40687</v>
      </c>
      <c r="B691" s="16" t="str">
        <f aca="false">Payment_Log_AP!C688</f>
        <v>V1011</v>
      </c>
      <c r="C691" s="16" t="str">
        <f aca="false">IFERROR(INDEX(Vendor_Master!$B$2:$B$41,MATCH(B691,Vendor_Master!$A$2:$A$41,0)),"Unknown Vendor")</f>
        <v>Montgomery, Hensley and Ray</v>
      </c>
      <c r="D691" s="16" t="str">
        <f aca="false">IFERROR(INDEX(Vendor_Master!$D$2:$D$41,MATCH(B691,Vendor_Master!$A$2:$A$41,0)),"Unknown")</f>
        <v>USA</v>
      </c>
      <c r="E691" s="17" t="n">
        <f aca="false">IFERROR(INDEX(Vendor_Master!$E$2:$E$41,MATCH(B691,Vendor_Master!$A$2:$A$41,0)),"")</f>
        <v>45025</v>
      </c>
      <c r="F691" s="17" t="n">
        <f aca="false">Payment_Log_AP!D688</f>
        <v>46099</v>
      </c>
      <c r="G691" s="18" t="n">
        <f aca="false">Payment_Log_AP!E688</f>
        <v>816.48</v>
      </c>
      <c r="H691" s="16" t="n">
        <f aca="false">IF(G691&gt;=Assumptions!$B$7,40,IF(G691&gt;=Assumptions!$B$8,20,0))</f>
        <v>0</v>
      </c>
      <c r="I691" s="16" t="n">
        <f aca="false">IF(MOD(G691,500)=0,20,IF(MOD(G691,100)=0,10,0))</f>
        <v>0</v>
      </c>
      <c r="J691" s="16" t="n">
        <f aca="false">IF(AND(E691&lt;&gt;"",F691-E691&lt;=Assumptions!$B$9),25,0)</f>
        <v>0</v>
      </c>
      <c r="K691" s="16" t="n">
        <f aca="false">IF(ISNUMBER(SEARCH(D691,Assumptions!$B$10)),15,0)</f>
        <v>0</v>
      </c>
      <c r="L691" s="16" t="n">
        <f aca="false">H691+I691+J691+K691</f>
        <v>0</v>
      </c>
      <c r="M691" s="16" t="str">
        <f aca="false">IF(L691&gt;=60,"High",IF(L691&gt;=30,"Medium","Low"))</f>
        <v>Low</v>
      </c>
    </row>
    <row r="692" customFormat="false" ht="15" hidden="false" customHeight="false" outlineLevel="0" collapsed="false">
      <c r="A692" s="16" t="str">
        <f aca="false">Payment_Log_AP!A689</f>
        <v>PAY40688</v>
      </c>
      <c r="B692" s="16" t="str">
        <f aca="false">Payment_Log_AP!C689</f>
        <v>V1002</v>
      </c>
      <c r="C692" s="16" t="str">
        <f aca="false">IFERROR(INDEX(Vendor_Master!$B$2:$B$41,MATCH(B692,Vendor_Master!$A$2:$A$41,0)),"Unknown Vendor")</f>
        <v>Garcia, Yang and Gardner</v>
      </c>
      <c r="D692" s="16" t="str">
        <f aca="false">IFERROR(INDEX(Vendor_Master!$D$2:$D$41,MATCH(B692,Vendor_Master!$A$2:$A$41,0)),"Unknown")</f>
        <v>UK</v>
      </c>
      <c r="E692" s="17" t="n">
        <f aca="false">IFERROR(INDEX(Vendor_Master!$E$2:$E$41,MATCH(B692,Vendor_Master!$A$2:$A$41,0)),"")</f>
        <v>44914</v>
      </c>
      <c r="F692" s="17" t="n">
        <f aca="false">Payment_Log_AP!D689</f>
        <v>45982</v>
      </c>
      <c r="G692" s="18" t="n">
        <f aca="false">Payment_Log_AP!E689</f>
        <v>1016.58</v>
      </c>
      <c r="H692" s="16" t="n">
        <f aca="false">IF(G692&gt;=Assumptions!$B$7,40,IF(G692&gt;=Assumptions!$B$8,20,0))</f>
        <v>0</v>
      </c>
      <c r="I692" s="16" t="n">
        <f aca="false">IF(MOD(G692,500)=0,20,IF(MOD(G692,100)=0,10,0))</f>
        <v>0</v>
      </c>
      <c r="J692" s="16" t="n">
        <f aca="false">IF(AND(E692&lt;&gt;"",F692-E692&lt;=Assumptions!$B$9),25,0)</f>
        <v>0</v>
      </c>
      <c r="K692" s="16" t="n">
        <f aca="false">IF(ISNUMBER(SEARCH(D692,Assumptions!$B$10)),15,0)</f>
        <v>0</v>
      </c>
      <c r="L692" s="16" t="n">
        <f aca="false">H692+I692+J692+K692</f>
        <v>0</v>
      </c>
      <c r="M692" s="16" t="str">
        <f aca="false">IF(L692&gt;=60,"High",IF(L692&gt;=30,"Medium","Low"))</f>
        <v>Low</v>
      </c>
    </row>
    <row r="693" customFormat="false" ht="15" hidden="false" customHeight="false" outlineLevel="0" collapsed="false">
      <c r="A693" s="16" t="str">
        <f aca="false">Payment_Log_AP!A690</f>
        <v>PAY40689</v>
      </c>
      <c r="B693" s="16" t="str">
        <f aca="false">Payment_Log_AP!C690</f>
        <v>V1035</v>
      </c>
      <c r="C693" s="16" t="str">
        <f aca="false">IFERROR(INDEX(Vendor_Master!$B$2:$B$41,MATCH(B693,Vendor_Master!$A$2:$A$41,0)),"Unknown Vendor")</f>
        <v>Allen PLC</v>
      </c>
      <c r="D693" s="16" t="str">
        <f aca="false">IFERROR(INDEX(Vendor_Master!$D$2:$D$41,MATCH(B693,Vendor_Master!$A$2:$A$41,0)),"Unknown")</f>
        <v>Canada</v>
      </c>
      <c r="E693" s="17" t="n">
        <f aca="false">IFERROR(INDEX(Vendor_Master!$E$2:$E$41,MATCH(B693,Vendor_Master!$A$2:$A$41,0)),"")</f>
        <v>45048</v>
      </c>
      <c r="F693" s="17" t="n">
        <f aca="false">Payment_Log_AP!D690</f>
        <v>46132</v>
      </c>
      <c r="G693" s="18" t="n">
        <f aca="false">Payment_Log_AP!E690</f>
        <v>7498.53</v>
      </c>
      <c r="H693" s="16" t="n">
        <f aca="false">IF(G693&gt;=Assumptions!$B$7,40,IF(G693&gt;=Assumptions!$B$8,20,0))</f>
        <v>20</v>
      </c>
      <c r="I693" s="16" t="n">
        <f aca="false">IF(MOD(G693,500)=0,20,IF(MOD(G693,100)=0,10,0))</f>
        <v>0</v>
      </c>
      <c r="J693" s="16" t="n">
        <f aca="false">IF(AND(E693&lt;&gt;"",F693-E693&lt;=Assumptions!$B$9),25,0)</f>
        <v>0</v>
      </c>
      <c r="K693" s="16" t="n">
        <f aca="false">IF(ISNUMBER(SEARCH(D693,Assumptions!$B$10)),15,0)</f>
        <v>0</v>
      </c>
      <c r="L693" s="16" t="n">
        <f aca="false">H693+I693+J693+K693</f>
        <v>20</v>
      </c>
      <c r="M693" s="16" t="str">
        <f aca="false">IF(L693&gt;=60,"High",IF(L693&gt;=30,"Medium","Low"))</f>
        <v>Low</v>
      </c>
    </row>
    <row r="694" customFormat="false" ht="15" hidden="false" customHeight="false" outlineLevel="0" collapsed="false">
      <c r="A694" s="16" t="str">
        <f aca="false">Payment_Log_AP!A691</f>
        <v>PAY40690</v>
      </c>
      <c r="B694" s="16" t="str">
        <f aca="false">Payment_Log_AP!C691</f>
        <v>V1039</v>
      </c>
      <c r="C694" s="16" t="str">
        <f aca="false">IFERROR(INDEX(Vendor_Master!$B$2:$B$41,MATCH(B694,Vendor_Master!$A$2:$A$41,0)),"Unknown Vendor")</f>
        <v>Campos, Vaughn and Marquez</v>
      </c>
      <c r="D694" s="16" t="str">
        <f aca="false">IFERROR(INDEX(Vendor_Master!$D$2:$D$41,MATCH(B694,Vendor_Master!$A$2:$A$41,0)),"Unknown")</f>
        <v>USA</v>
      </c>
      <c r="E694" s="17" t="n">
        <f aca="false">IFERROR(INDEX(Vendor_Master!$E$2:$E$41,MATCH(B694,Vendor_Master!$A$2:$A$41,0)),"")</f>
        <v>46086</v>
      </c>
      <c r="F694" s="17" t="n">
        <f aca="false">Payment_Log_AP!D691</f>
        <v>46139</v>
      </c>
      <c r="G694" s="18" t="n">
        <f aca="false">Payment_Log_AP!E691</f>
        <v>396.51</v>
      </c>
      <c r="H694" s="16" t="n">
        <f aca="false">IF(G694&gt;=Assumptions!$B$7,40,IF(G694&gt;=Assumptions!$B$8,20,0))</f>
        <v>0</v>
      </c>
      <c r="I694" s="16" t="n">
        <f aca="false">IF(MOD(G694,500)=0,20,IF(MOD(G694,100)=0,10,0))</f>
        <v>0</v>
      </c>
      <c r="J694" s="16" t="n">
        <f aca="false">IF(AND(E694&lt;&gt;"",F694-E694&lt;=Assumptions!$B$9),25,0)</f>
        <v>25</v>
      </c>
      <c r="K694" s="16" t="n">
        <f aca="false">IF(ISNUMBER(SEARCH(D694,Assumptions!$B$10)),15,0)</f>
        <v>0</v>
      </c>
      <c r="L694" s="16" t="n">
        <f aca="false">H694+I694+J694+K694</f>
        <v>25</v>
      </c>
      <c r="M694" s="16" t="str">
        <f aca="false">IF(L694&gt;=60,"High",IF(L694&gt;=30,"Medium","Low"))</f>
        <v>Low</v>
      </c>
    </row>
    <row r="695" customFormat="false" ht="15" hidden="false" customHeight="false" outlineLevel="0" collapsed="false">
      <c r="A695" s="16" t="str">
        <f aca="false">Payment_Log_AP!A692</f>
        <v>PAY40691</v>
      </c>
      <c r="B695" s="16" t="str">
        <f aca="false">Payment_Log_AP!C692</f>
        <v>V1004</v>
      </c>
      <c r="C695" s="16" t="str">
        <f aca="false">IFERROR(INDEX(Vendor_Master!$B$2:$B$41,MATCH(B695,Vendor_Master!$A$2:$A$41,0)),"Unknown Vendor")</f>
        <v>Johnson, Gonzalez and Santos</v>
      </c>
      <c r="D695" s="16" t="str">
        <f aca="false">IFERROR(INDEX(Vendor_Master!$D$2:$D$41,MATCH(B695,Vendor_Master!$A$2:$A$41,0)),"Unknown")</f>
        <v>Germany</v>
      </c>
      <c r="E695" s="17" t="n">
        <f aca="false">IFERROR(INDEX(Vendor_Master!$E$2:$E$41,MATCH(B695,Vendor_Master!$A$2:$A$41,0)),"")</f>
        <v>44929</v>
      </c>
      <c r="F695" s="17" t="n">
        <f aca="false">Payment_Log_AP!D692</f>
        <v>46142</v>
      </c>
      <c r="G695" s="18" t="n">
        <f aca="false">Payment_Log_AP!E692</f>
        <v>1497.3</v>
      </c>
      <c r="H695" s="16" t="n">
        <f aca="false">IF(G695&gt;=Assumptions!$B$7,40,IF(G695&gt;=Assumptions!$B$8,20,0))</f>
        <v>0</v>
      </c>
      <c r="I695" s="16" t="n">
        <f aca="false">IF(MOD(G695,500)=0,20,IF(MOD(G695,100)=0,10,0))</f>
        <v>0</v>
      </c>
      <c r="J695" s="16" t="n">
        <f aca="false">IF(AND(E695&lt;&gt;"",F695-E695&lt;=Assumptions!$B$9),25,0)</f>
        <v>0</v>
      </c>
      <c r="K695" s="16" t="n">
        <f aca="false">IF(ISNUMBER(SEARCH(D695,Assumptions!$B$10)),15,0)</f>
        <v>0</v>
      </c>
      <c r="L695" s="16" t="n">
        <f aca="false">H695+I695+J695+K695</f>
        <v>0</v>
      </c>
      <c r="M695" s="16" t="str">
        <f aca="false">IF(L695&gt;=60,"High",IF(L695&gt;=30,"Medium","Low"))</f>
        <v>Low</v>
      </c>
    </row>
    <row r="696" customFormat="false" ht="15" hidden="false" customHeight="false" outlineLevel="0" collapsed="false">
      <c r="A696" s="16" t="str">
        <f aca="false">Payment_Log_AP!A693</f>
        <v>PAY40692</v>
      </c>
      <c r="B696" s="16" t="str">
        <f aca="false">Payment_Log_AP!C693</f>
        <v>V1013</v>
      </c>
      <c r="C696" s="16" t="str">
        <f aca="false">IFERROR(INDEX(Vendor_Master!$B$2:$B$41,MATCH(B696,Vendor_Master!$A$2:$A$41,0)),"Unknown Vendor")</f>
        <v>Delacruz Group</v>
      </c>
      <c r="D696" s="16" t="str">
        <f aca="false">IFERROR(INDEX(Vendor_Master!$D$2:$D$41,MATCH(B696,Vendor_Master!$A$2:$A$41,0)),"Unknown")</f>
        <v>USA</v>
      </c>
      <c r="E696" s="17" t="n">
        <f aca="false">IFERROR(INDEX(Vendor_Master!$E$2:$E$41,MATCH(B696,Vendor_Master!$A$2:$A$41,0)),"")</f>
        <v>46119</v>
      </c>
      <c r="F696" s="17" t="n">
        <f aca="false">Payment_Log_AP!D693</f>
        <v>46048</v>
      </c>
      <c r="G696" s="18" t="n">
        <f aca="false">Payment_Log_AP!E693</f>
        <v>2091.54</v>
      </c>
      <c r="H696" s="16" t="n">
        <f aca="false">IF(G696&gt;=Assumptions!$B$7,40,IF(G696&gt;=Assumptions!$B$8,20,0))</f>
        <v>0</v>
      </c>
      <c r="I696" s="16" t="n">
        <f aca="false">IF(MOD(G696,500)=0,20,IF(MOD(G696,100)=0,10,0))</f>
        <v>0</v>
      </c>
      <c r="J696" s="16" t="n">
        <f aca="false">IF(AND(E696&lt;&gt;"",F696-E696&lt;=Assumptions!$B$9),25,0)</f>
        <v>25</v>
      </c>
      <c r="K696" s="16" t="n">
        <f aca="false">IF(ISNUMBER(SEARCH(D696,Assumptions!$B$10)),15,0)</f>
        <v>0</v>
      </c>
      <c r="L696" s="16" t="n">
        <f aca="false">H696+I696+J696+K696</f>
        <v>25</v>
      </c>
      <c r="M696" s="16" t="str">
        <f aca="false">IF(L696&gt;=60,"High",IF(L696&gt;=30,"Medium","Low"))</f>
        <v>Low</v>
      </c>
    </row>
    <row r="697" customFormat="false" ht="15" hidden="false" customHeight="false" outlineLevel="0" collapsed="false">
      <c r="A697" s="16" t="str">
        <f aca="false">Payment_Log_AP!A694</f>
        <v>PAY40693</v>
      </c>
      <c r="B697" s="16" t="str">
        <f aca="false">Payment_Log_AP!C694</f>
        <v>V1013</v>
      </c>
      <c r="C697" s="16" t="str">
        <f aca="false">IFERROR(INDEX(Vendor_Master!$B$2:$B$41,MATCH(B697,Vendor_Master!$A$2:$A$41,0)),"Unknown Vendor")</f>
        <v>Delacruz Group</v>
      </c>
      <c r="D697" s="16" t="str">
        <f aca="false">IFERROR(INDEX(Vendor_Master!$D$2:$D$41,MATCH(B697,Vendor_Master!$A$2:$A$41,0)),"Unknown")</f>
        <v>USA</v>
      </c>
      <c r="E697" s="17" t="n">
        <f aca="false">IFERROR(INDEX(Vendor_Master!$E$2:$E$41,MATCH(B697,Vendor_Master!$A$2:$A$41,0)),"")</f>
        <v>46119</v>
      </c>
      <c r="F697" s="17" t="n">
        <f aca="false">Payment_Log_AP!D694</f>
        <v>46054</v>
      </c>
      <c r="G697" s="18" t="n">
        <f aca="false">Payment_Log_AP!E694</f>
        <v>2091.54</v>
      </c>
      <c r="H697" s="16" t="n">
        <f aca="false">IF(G697&gt;=Assumptions!$B$7,40,IF(G697&gt;=Assumptions!$B$8,20,0))</f>
        <v>0</v>
      </c>
      <c r="I697" s="16" t="n">
        <f aca="false">IF(MOD(G697,500)=0,20,IF(MOD(G697,100)=0,10,0))</f>
        <v>0</v>
      </c>
      <c r="J697" s="16" t="n">
        <f aca="false">IF(AND(E697&lt;&gt;"",F697-E697&lt;=Assumptions!$B$9),25,0)</f>
        <v>25</v>
      </c>
      <c r="K697" s="16" t="n">
        <f aca="false">IF(ISNUMBER(SEARCH(D697,Assumptions!$B$10)),15,0)</f>
        <v>0</v>
      </c>
      <c r="L697" s="16" t="n">
        <f aca="false">H697+I697+J697+K697</f>
        <v>25</v>
      </c>
      <c r="M697" s="16" t="str">
        <f aca="false">IF(L697&gt;=60,"High",IF(L697&gt;=30,"Medium","Low"))</f>
        <v>Low</v>
      </c>
    </row>
    <row r="698" customFormat="false" ht="15" hidden="false" customHeight="false" outlineLevel="0" collapsed="false">
      <c r="A698" s="16" t="str">
        <f aca="false">Payment_Log_AP!A695</f>
        <v>PAY40694</v>
      </c>
      <c r="B698" s="16" t="str">
        <f aca="false">Payment_Log_AP!C695</f>
        <v>V1030</v>
      </c>
      <c r="C698" s="16" t="str">
        <f aca="false">IFERROR(INDEX(Vendor_Master!$B$2:$B$41,MATCH(B698,Vendor_Master!$A$2:$A$41,0)),"Unknown Vendor")</f>
        <v>Stanton-Gill</v>
      </c>
      <c r="D698" s="16" t="str">
        <f aca="false">IFERROR(INDEX(Vendor_Master!$D$2:$D$41,MATCH(B698,Vendor_Master!$A$2:$A$41,0)),"Unknown")</f>
        <v>UK</v>
      </c>
      <c r="E698" s="17" t="n">
        <f aca="false">IFERROR(INDEX(Vendor_Master!$E$2:$E$41,MATCH(B698,Vendor_Master!$A$2:$A$41,0)),"")</f>
        <v>45946</v>
      </c>
      <c r="F698" s="17" t="n">
        <f aca="false">Payment_Log_AP!D695</f>
        <v>45692</v>
      </c>
      <c r="G698" s="18" t="n">
        <f aca="false">Payment_Log_AP!E695</f>
        <v>994.15</v>
      </c>
      <c r="H698" s="16" t="n">
        <f aca="false">IF(G698&gt;=Assumptions!$B$7,40,IF(G698&gt;=Assumptions!$B$8,20,0))</f>
        <v>0</v>
      </c>
      <c r="I698" s="16" t="n">
        <f aca="false">IF(MOD(G698,500)=0,20,IF(MOD(G698,100)=0,10,0))</f>
        <v>0</v>
      </c>
      <c r="J698" s="16" t="n">
        <f aca="false">IF(AND(E698&lt;&gt;"",F698-E698&lt;=Assumptions!$B$9),25,0)</f>
        <v>25</v>
      </c>
      <c r="K698" s="16" t="n">
        <f aca="false">IF(ISNUMBER(SEARCH(D698,Assumptions!$B$10)),15,0)</f>
        <v>0</v>
      </c>
      <c r="L698" s="16" t="n">
        <f aca="false">H698+I698+J698+K698</f>
        <v>25</v>
      </c>
      <c r="M698" s="16" t="str">
        <f aca="false">IF(L698&gt;=60,"High",IF(L698&gt;=30,"Medium","Low"))</f>
        <v>Low</v>
      </c>
    </row>
    <row r="699" customFormat="false" ht="15" hidden="false" customHeight="false" outlineLevel="0" collapsed="false">
      <c r="A699" s="16" t="str">
        <f aca="false">Payment_Log_AP!A696</f>
        <v>PAY40695</v>
      </c>
      <c r="B699" s="16" t="str">
        <f aca="false">Payment_Log_AP!C696</f>
        <v>V1016</v>
      </c>
      <c r="C699" s="16" t="str">
        <f aca="false">IFERROR(INDEX(Vendor_Master!$B$2:$B$41,MATCH(B699,Vendor_Master!$A$2:$A$41,0)),"Unknown Vendor")</f>
        <v>Sanchez, Ford and Nelson</v>
      </c>
      <c r="D699" s="16" t="str">
        <f aca="false">IFERROR(INDEX(Vendor_Master!$D$2:$D$41,MATCH(B699,Vendor_Master!$A$2:$A$41,0)),"Unknown")</f>
        <v>India</v>
      </c>
      <c r="E699" s="17" t="n">
        <f aca="false">IFERROR(INDEX(Vendor_Master!$E$2:$E$41,MATCH(B699,Vendor_Master!$A$2:$A$41,0)),"")</f>
        <v>44832</v>
      </c>
      <c r="F699" s="17" t="n">
        <f aca="false">Payment_Log_AP!D696</f>
        <v>46180</v>
      </c>
      <c r="G699" s="18" t="n">
        <f aca="false">Payment_Log_AP!E696</f>
        <v>2802.36</v>
      </c>
      <c r="H699" s="16" t="n">
        <f aca="false">IF(G699&gt;=Assumptions!$B$7,40,IF(G699&gt;=Assumptions!$B$8,20,0))</f>
        <v>0</v>
      </c>
      <c r="I699" s="16" t="n">
        <f aca="false">IF(MOD(G699,500)=0,20,IF(MOD(G699,100)=0,10,0))</f>
        <v>0</v>
      </c>
      <c r="J699" s="16" t="n">
        <f aca="false">IF(AND(E699&lt;&gt;"",F699-E699&lt;=Assumptions!$B$9),25,0)</f>
        <v>0</v>
      </c>
      <c r="K699" s="16" t="n">
        <f aca="false">IF(ISNUMBER(SEARCH(D699,Assumptions!$B$10)),15,0)</f>
        <v>15</v>
      </c>
      <c r="L699" s="16" t="n">
        <f aca="false">H699+I699+J699+K699</f>
        <v>15</v>
      </c>
      <c r="M699" s="16" t="str">
        <f aca="false">IF(L699&gt;=60,"High",IF(L699&gt;=30,"Medium","Low"))</f>
        <v>Low</v>
      </c>
    </row>
    <row r="700" customFormat="false" ht="15" hidden="false" customHeight="false" outlineLevel="0" collapsed="false">
      <c r="A700" s="16" t="str">
        <f aca="false">Payment_Log_AP!A697</f>
        <v>PAY40696</v>
      </c>
      <c r="B700" s="16" t="str">
        <f aca="false">Payment_Log_AP!C697</f>
        <v>V1016</v>
      </c>
      <c r="C700" s="16" t="str">
        <f aca="false">IFERROR(INDEX(Vendor_Master!$B$2:$B$41,MATCH(B700,Vendor_Master!$A$2:$A$41,0)),"Unknown Vendor")</f>
        <v>Sanchez, Ford and Nelson</v>
      </c>
      <c r="D700" s="16" t="str">
        <f aca="false">IFERROR(INDEX(Vendor_Master!$D$2:$D$41,MATCH(B700,Vendor_Master!$A$2:$A$41,0)),"Unknown")</f>
        <v>India</v>
      </c>
      <c r="E700" s="17" t="n">
        <f aca="false">IFERROR(INDEX(Vendor_Master!$E$2:$E$41,MATCH(B700,Vendor_Master!$A$2:$A$41,0)),"")</f>
        <v>44832</v>
      </c>
      <c r="F700" s="17" t="n">
        <f aca="false">Payment_Log_AP!D697</f>
        <v>46195</v>
      </c>
      <c r="G700" s="18" t="n">
        <f aca="false">Payment_Log_AP!E697</f>
        <v>2802.36</v>
      </c>
      <c r="H700" s="16" t="n">
        <f aca="false">IF(G700&gt;=Assumptions!$B$7,40,IF(G700&gt;=Assumptions!$B$8,20,0))</f>
        <v>0</v>
      </c>
      <c r="I700" s="16" t="n">
        <f aca="false">IF(MOD(G700,500)=0,20,IF(MOD(G700,100)=0,10,0))</f>
        <v>0</v>
      </c>
      <c r="J700" s="16" t="n">
        <f aca="false">IF(AND(E700&lt;&gt;"",F700-E700&lt;=Assumptions!$B$9),25,0)</f>
        <v>0</v>
      </c>
      <c r="K700" s="16" t="n">
        <f aca="false">IF(ISNUMBER(SEARCH(D700,Assumptions!$B$10)),15,0)</f>
        <v>15</v>
      </c>
      <c r="L700" s="16" t="n">
        <f aca="false">H700+I700+J700+K700</f>
        <v>15</v>
      </c>
      <c r="M700" s="16" t="str">
        <f aca="false">IF(L700&gt;=60,"High",IF(L700&gt;=30,"Medium","Low"))</f>
        <v>Low</v>
      </c>
    </row>
    <row r="701" customFormat="false" ht="15" hidden="false" customHeight="false" outlineLevel="0" collapsed="false">
      <c r="A701" s="16" t="str">
        <f aca="false">Payment_Log_AP!A698</f>
        <v>PAY40697</v>
      </c>
      <c r="B701" s="16" t="str">
        <f aca="false">Payment_Log_AP!C698</f>
        <v>V1031</v>
      </c>
      <c r="C701" s="16" t="str">
        <f aca="false">IFERROR(INDEX(Vendor_Master!$B$2:$B$41,MATCH(B701,Vendor_Master!$A$2:$A$41,0)),"Unknown Vendor")</f>
        <v>Harrell LLC</v>
      </c>
      <c r="D701" s="16" t="str">
        <f aca="false">IFERROR(INDEX(Vendor_Master!$D$2:$D$41,MATCH(B701,Vendor_Master!$A$2:$A$41,0)),"Unknown")</f>
        <v>Canada</v>
      </c>
      <c r="E701" s="17" t="n">
        <f aca="false">IFERROR(INDEX(Vendor_Master!$E$2:$E$41,MATCH(B701,Vendor_Master!$A$2:$A$41,0)),"")</f>
        <v>45364</v>
      </c>
      <c r="F701" s="17" t="n">
        <f aca="false">Payment_Log_AP!D698</f>
        <v>46127</v>
      </c>
      <c r="G701" s="18" t="n">
        <f aca="false">Payment_Log_AP!E698</f>
        <v>851.07</v>
      </c>
      <c r="H701" s="16" t="n">
        <f aca="false">IF(G701&gt;=Assumptions!$B$7,40,IF(G701&gt;=Assumptions!$B$8,20,0))</f>
        <v>0</v>
      </c>
      <c r="I701" s="16" t="n">
        <f aca="false">IF(MOD(G701,500)=0,20,IF(MOD(G701,100)=0,10,0))</f>
        <v>0</v>
      </c>
      <c r="J701" s="16" t="n">
        <f aca="false">IF(AND(E701&lt;&gt;"",F701-E701&lt;=Assumptions!$B$9),25,0)</f>
        <v>0</v>
      </c>
      <c r="K701" s="16" t="n">
        <f aca="false">IF(ISNUMBER(SEARCH(D701,Assumptions!$B$10)),15,0)</f>
        <v>0</v>
      </c>
      <c r="L701" s="16" t="n">
        <f aca="false">H701+I701+J701+K701</f>
        <v>0</v>
      </c>
      <c r="M701" s="16" t="str">
        <f aca="false">IF(L701&gt;=60,"High",IF(L701&gt;=30,"Medium","Low"))</f>
        <v>Low</v>
      </c>
    </row>
    <row r="702" customFormat="false" ht="15" hidden="false" customHeight="false" outlineLevel="0" collapsed="false">
      <c r="A702" s="16" t="str">
        <f aca="false">Payment_Log_AP!A699</f>
        <v>PAY40698</v>
      </c>
      <c r="B702" s="16" t="str">
        <f aca="false">Payment_Log_AP!C699</f>
        <v>V1037</v>
      </c>
      <c r="C702" s="16" t="str">
        <f aca="false">IFERROR(INDEX(Vendor_Master!$B$2:$B$41,MATCH(B702,Vendor_Master!$A$2:$A$41,0)),"Unknown Vendor")</f>
        <v>Cannon, Anderson and Alvarez</v>
      </c>
      <c r="D702" s="16" t="str">
        <f aca="false">IFERROR(INDEX(Vendor_Master!$D$2:$D$41,MATCH(B702,Vendor_Master!$A$2:$A$41,0)),"Unknown")</f>
        <v>India</v>
      </c>
      <c r="E702" s="17" t="n">
        <f aca="false">IFERROR(INDEX(Vendor_Master!$E$2:$E$41,MATCH(B702,Vendor_Master!$A$2:$A$41,0)),"")</f>
        <v>46108</v>
      </c>
      <c r="F702" s="17" t="n">
        <f aca="false">Payment_Log_AP!D699</f>
        <v>45851</v>
      </c>
      <c r="G702" s="18" t="n">
        <f aca="false">Payment_Log_AP!E699</f>
        <v>14407.31</v>
      </c>
      <c r="H702" s="16" t="n">
        <f aca="false">IF(G702&gt;=Assumptions!$B$7,40,IF(G702&gt;=Assumptions!$B$8,20,0))</f>
        <v>40</v>
      </c>
      <c r="I702" s="16" t="n">
        <f aca="false">IF(MOD(G702,500)=0,20,IF(MOD(G702,100)=0,10,0))</f>
        <v>0</v>
      </c>
      <c r="J702" s="16" t="n">
        <f aca="false">IF(AND(E702&lt;&gt;"",F702-E702&lt;=Assumptions!$B$9),25,0)</f>
        <v>25</v>
      </c>
      <c r="K702" s="16" t="n">
        <f aca="false">IF(ISNUMBER(SEARCH(D702,Assumptions!$B$10)),15,0)</f>
        <v>15</v>
      </c>
      <c r="L702" s="16" t="n">
        <f aca="false">H702+I702+J702+K702</f>
        <v>80</v>
      </c>
      <c r="M702" s="16" t="str">
        <f aca="false">IF(L702&gt;=60,"High",IF(L702&gt;=30,"Medium","Low"))</f>
        <v>High</v>
      </c>
    </row>
    <row r="703" customFormat="false" ht="15" hidden="false" customHeight="false" outlineLevel="0" collapsed="false">
      <c r="A703" s="16" t="str">
        <f aca="false">Payment_Log_AP!A700</f>
        <v>PAY40699</v>
      </c>
      <c r="B703" s="16" t="str">
        <f aca="false">Payment_Log_AP!C700</f>
        <v>V1039</v>
      </c>
      <c r="C703" s="16" t="str">
        <f aca="false">IFERROR(INDEX(Vendor_Master!$B$2:$B$41,MATCH(B703,Vendor_Master!$A$2:$A$41,0)),"Unknown Vendor")</f>
        <v>Campos, Vaughn and Marquez</v>
      </c>
      <c r="D703" s="16" t="str">
        <f aca="false">IFERROR(INDEX(Vendor_Master!$D$2:$D$41,MATCH(B703,Vendor_Master!$A$2:$A$41,0)),"Unknown")</f>
        <v>USA</v>
      </c>
      <c r="E703" s="17" t="n">
        <f aca="false">IFERROR(INDEX(Vendor_Master!$E$2:$E$41,MATCH(B703,Vendor_Master!$A$2:$A$41,0)),"")</f>
        <v>46086</v>
      </c>
      <c r="F703" s="17" t="n">
        <f aca="false">Payment_Log_AP!D700</f>
        <v>45790</v>
      </c>
      <c r="G703" s="18" t="n">
        <f aca="false">Payment_Log_AP!E700</f>
        <v>562.05</v>
      </c>
      <c r="H703" s="16" t="n">
        <f aca="false">IF(G703&gt;=Assumptions!$B$7,40,IF(G703&gt;=Assumptions!$B$8,20,0))</f>
        <v>0</v>
      </c>
      <c r="I703" s="16" t="n">
        <f aca="false">IF(MOD(G703,500)=0,20,IF(MOD(G703,100)=0,10,0))</f>
        <v>0</v>
      </c>
      <c r="J703" s="16" t="n">
        <f aca="false">IF(AND(E703&lt;&gt;"",F703-E703&lt;=Assumptions!$B$9),25,0)</f>
        <v>25</v>
      </c>
      <c r="K703" s="16" t="n">
        <f aca="false">IF(ISNUMBER(SEARCH(D703,Assumptions!$B$10)),15,0)</f>
        <v>0</v>
      </c>
      <c r="L703" s="16" t="n">
        <f aca="false">H703+I703+J703+K703</f>
        <v>25</v>
      </c>
      <c r="M703" s="16" t="str">
        <f aca="false">IF(L703&gt;=60,"High",IF(L703&gt;=30,"Medium","Low"))</f>
        <v>Low</v>
      </c>
    </row>
    <row r="704" customFormat="false" ht="15" hidden="false" customHeight="false" outlineLevel="0" collapsed="false">
      <c r="A704" s="16" t="str">
        <f aca="false">Payment_Log_AP!A701</f>
        <v>PAY40700</v>
      </c>
      <c r="B704" s="16" t="str">
        <f aca="false">Payment_Log_AP!C701</f>
        <v>V1036</v>
      </c>
      <c r="C704" s="16" t="str">
        <f aca="false">IFERROR(INDEX(Vendor_Master!$B$2:$B$41,MATCH(B704,Vendor_Master!$A$2:$A$41,0)),"Unknown Vendor")</f>
        <v>Dennis Inc</v>
      </c>
      <c r="D704" s="16" t="str">
        <f aca="false">IFERROR(INDEX(Vendor_Master!$D$2:$D$41,MATCH(B704,Vendor_Master!$A$2:$A$41,0)),"Unknown")</f>
        <v>Singapore</v>
      </c>
      <c r="E704" s="17" t="n">
        <f aca="false">IFERROR(INDEX(Vendor_Master!$E$2:$E$41,MATCH(B704,Vendor_Master!$A$2:$A$41,0)),"")</f>
        <v>46059</v>
      </c>
      <c r="F704" s="17" t="n">
        <f aca="false">Payment_Log_AP!D701</f>
        <v>46065</v>
      </c>
      <c r="G704" s="18" t="n">
        <f aca="false">Payment_Log_AP!E701</f>
        <v>4017.91</v>
      </c>
      <c r="H704" s="16" t="n">
        <f aca="false">IF(G704&gt;=Assumptions!$B$7,40,IF(G704&gt;=Assumptions!$B$8,20,0))</f>
        <v>0</v>
      </c>
      <c r="I704" s="16" t="n">
        <f aca="false">IF(MOD(G704,500)=0,20,IF(MOD(G704,100)=0,10,0))</f>
        <v>0</v>
      </c>
      <c r="J704" s="16" t="n">
        <f aca="false">IF(AND(E704&lt;&gt;"",F704-E704&lt;=Assumptions!$B$9),25,0)</f>
        <v>25</v>
      </c>
      <c r="K704" s="16" t="n">
        <f aca="false">IF(ISNUMBER(SEARCH(D704,Assumptions!$B$10)),15,0)</f>
        <v>15</v>
      </c>
      <c r="L704" s="16" t="n">
        <f aca="false">H704+I704+J704+K704</f>
        <v>40</v>
      </c>
      <c r="M704" s="16" t="str">
        <f aca="false">IF(L704&gt;=60,"High",IF(L704&gt;=30,"Medium","Low"))</f>
        <v>Medium</v>
      </c>
    </row>
    <row r="705" customFormat="false" ht="15" hidden="false" customHeight="false" outlineLevel="0" collapsed="false">
      <c r="A705" s="16" t="str">
        <f aca="false">Payment_Log_AP!A702</f>
        <v>PAY40701</v>
      </c>
      <c r="B705" s="16" t="str">
        <f aca="false">Payment_Log_AP!C702</f>
        <v>V1028</v>
      </c>
      <c r="C705" s="16" t="str">
        <f aca="false">IFERROR(INDEX(Vendor_Master!$B$2:$B$41,MATCH(B705,Vendor_Master!$A$2:$A$41,0)),"Unknown Vendor")</f>
        <v>Potter, Mack and Peterson</v>
      </c>
      <c r="D705" s="16" t="str">
        <f aca="false">IFERROR(INDEX(Vendor_Master!$D$2:$D$41,MATCH(B705,Vendor_Master!$A$2:$A$41,0)),"Unknown")</f>
        <v>UK</v>
      </c>
      <c r="E705" s="17" t="n">
        <f aca="false">IFERROR(INDEX(Vendor_Master!$E$2:$E$41,MATCH(B705,Vendor_Master!$A$2:$A$41,0)),"")</f>
        <v>45639</v>
      </c>
      <c r="F705" s="17" t="n">
        <f aca="false">Payment_Log_AP!D702</f>
        <v>45880</v>
      </c>
      <c r="G705" s="18" t="n">
        <f aca="false">Payment_Log_AP!E702</f>
        <v>474.6</v>
      </c>
      <c r="H705" s="16" t="n">
        <f aca="false">IF(G705&gt;=Assumptions!$B$7,40,IF(G705&gt;=Assumptions!$B$8,20,0))</f>
        <v>0</v>
      </c>
      <c r="I705" s="16" t="n">
        <f aca="false">IF(MOD(G705,500)=0,20,IF(MOD(G705,100)=0,10,0))</f>
        <v>0</v>
      </c>
      <c r="J705" s="16" t="n">
        <f aca="false">IF(AND(E705&lt;&gt;"",F705-E705&lt;=Assumptions!$B$9),25,0)</f>
        <v>0</v>
      </c>
      <c r="K705" s="16" t="n">
        <f aca="false">IF(ISNUMBER(SEARCH(D705,Assumptions!$B$10)),15,0)</f>
        <v>0</v>
      </c>
      <c r="L705" s="16" t="n">
        <f aca="false">H705+I705+J705+K705</f>
        <v>0</v>
      </c>
      <c r="M705" s="16" t="str">
        <f aca="false">IF(L705&gt;=60,"High",IF(L705&gt;=30,"Medium","Low"))</f>
        <v>Low</v>
      </c>
    </row>
    <row r="706" customFormat="false" ht="15" hidden="false" customHeight="false" outlineLevel="0" collapsed="false">
      <c r="A706" s="16" t="str">
        <f aca="false">Payment_Log_AP!A703</f>
        <v>PAY40702</v>
      </c>
      <c r="B706" s="16" t="str">
        <f aca="false">Payment_Log_AP!C703</f>
        <v>V1023</v>
      </c>
      <c r="C706" s="16" t="str">
        <f aca="false">IFERROR(INDEX(Vendor_Master!$B$2:$B$41,MATCH(B706,Vendor_Master!$A$2:$A$41,0)),"Unknown Vendor")</f>
        <v>Robinson-Bright</v>
      </c>
      <c r="D706" s="16" t="str">
        <f aca="false">IFERROR(INDEX(Vendor_Master!$D$2:$D$41,MATCH(B706,Vendor_Master!$A$2:$A$41,0)),"Unknown")</f>
        <v>India</v>
      </c>
      <c r="E706" s="17" t="n">
        <f aca="false">IFERROR(INDEX(Vendor_Master!$E$2:$E$41,MATCH(B706,Vendor_Master!$A$2:$A$41,0)),"")</f>
        <v>45484</v>
      </c>
      <c r="F706" s="17" t="n">
        <f aca="false">Payment_Log_AP!D703</f>
        <v>45683</v>
      </c>
      <c r="G706" s="18" t="n">
        <f aca="false">Payment_Log_AP!E703</f>
        <v>857.39</v>
      </c>
      <c r="H706" s="16" t="n">
        <f aca="false">IF(G706&gt;=Assumptions!$B$7,40,IF(G706&gt;=Assumptions!$B$8,20,0))</f>
        <v>0</v>
      </c>
      <c r="I706" s="16" t="n">
        <f aca="false">IF(MOD(G706,500)=0,20,IF(MOD(G706,100)=0,10,0))</f>
        <v>0</v>
      </c>
      <c r="J706" s="16" t="n">
        <f aca="false">IF(AND(E706&lt;&gt;"",F706-E706&lt;=Assumptions!$B$9),25,0)</f>
        <v>0</v>
      </c>
      <c r="K706" s="16" t="n">
        <f aca="false">IF(ISNUMBER(SEARCH(D706,Assumptions!$B$10)),15,0)</f>
        <v>15</v>
      </c>
      <c r="L706" s="16" t="n">
        <f aca="false">H706+I706+J706+K706</f>
        <v>15</v>
      </c>
      <c r="M706" s="16" t="str">
        <f aca="false">IF(L706&gt;=60,"High",IF(L706&gt;=30,"Medium","Low"))</f>
        <v>Low</v>
      </c>
    </row>
    <row r="707" customFormat="false" ht="15" hidden="false" customHeight="false" outlineLevel="0" collapsed="false">
      <c r="A707" s="16" t="str">
        <f aca="false">Payment_Log_AP!A704</f>
        <v>PAY40703</v>
      </c>
      <c r="B707" s="16" t="str">
        <f aca="false">Payment_Log_AP!C704</f>
        <v>V1003</v>
      </c>
      <c r="C707" s="16" t="str">
        <f aca="false">IFERROR(INDEX(Vendor_Master!$B$2:$B$41,MATCH(B707,Vendor_Master!$A$2:$A$41,0)),"Unknown Vendor")</f>
        <v>Johnson and Sons</v>
      </c>
      <c r="D707" s="16" t="str">
        <f aca="false">IFERROR(INDEX(Vendor_Master!$D$2:$D$41,MATCH(B707,Vendor_Master!$A$2:$A$41,0)),"Unknown")</f>
        <v>UAE</v>
      </c>
      <c r="E707" s="17" t="n">
        <f aca="false">IFERROR(INDEX(Vendor_Master!$E$2:$E$41,MATCH(B707,Vendor_Master!$A$2:$A$41,0)),"")</f>
        <v>45495</v>
      </c>
      <c r="F707" s="17" t="n">
        <f aca="false">Payment_Log_AP!D704</f>
        <v>46150</v>
      </c>
      <c r="G707" s="18" t="n">
        <f aca="false">Payment_Log_AP!E704</f>
        <v>8319.43</v>
      </c>
      <c r="H707" s="16" t="n">
        <f aca="false">IF(G707&gt;=Assumptions!$B$7,40,IF(G707&gt;=Assumptions!$B$8,20,0))</f>
        <v>20</v>
      </c>
      <c r="I707" s="16" t="n">
        <f aca="false">IF(MOD(G707,500)=0,20,IF(MOD(G707,100)=0,10,0))</f>
        <v>0</v>
      </c>
      <c r="J707" s="16" t="n">
        <f aca="false">IF(AND(E707&lt;&gt;"",F707-E707&lt;=Assumptions!$B$9),25,0)</f>
        <v>0</v>
      </c>
      <c r="K707" s="16" t="n">
        <f aca="false">IF(ISNUMBER(SEARCH(D707,Assumptions!$B$10)),15,0)</f>
        <v>15</v>
      </c>
      <c r="L707" s="16" t="n">
        <f aca="false">H707+I707+J707+K707</f>
        <v>35</v>
      </c>
      <c r="M707" s="16" t="str">
        <f aca="false">IF(L707&gt;=60,"High",IF(L707&gt;=30,"Medium","Low"))</f>
        <v>Medium</v>
      </c>
    </row>
    <row r="708" customFormat="false" ht="15" hidden="false" customHeight="false" outlineLevel="0" collapsed="false">
      <c r="A708" s="16" t="str">
        <f aca="false">Payment_Log_AP!A705</f>
        <v>PAY40704</v>
      </c>
      <c r="B708" s="16" t="str">
        <f aca="false">Payment_Log_AP!C705</f>
        <v>V1030</v>
      </c>
      <c r="C708" s="16" t="str">
        <f aca="false">IFERROR(INDEX(Vendor_Master!$B$2:$B$41,MATCH(B708,Vendor_Master!$A$2:$A$41,0)),"Unknown Vendor")</f>
        <v>Stanton-Gill</v>
      </c>
      <c r="D708" s="16" t="str">
        <f aca="false">IFERROR(INDEX(Vendor_Master!$D$2:$D$41,MATCH(B708,Vendor_Master!$A$2:$A$41,0)),"Unknown")</f>
        <v>UK</v>
      </c>
      <c r="E708" s="17" t="n">
        <f aca="false">IFERROR(INDEX(Vendor_Master!$E$2:$E$41,MATCH(B708,Vendor_Master!$A$2:$A$41,0)),"")</f>
        <v>45946</v>
      </c>
      <c r="F708" s="17" t="n">
        <f aca="false">Payment_Log_AP!D705</f>
        <v>46002</v>
      </c>
      <c r="G708" s="18" t="n">
        <f aca="false">Payment_Log_AP!E705</f>
        <v>259.66</v>
      </c>
      <c r="H708" s="16" t="n">
        <f aca="false">IF(G708&gt;=Assumptions!$B$7,40,IF(G708&gt;=Assumptions!$B$8,20,0))</f>
        <v>0</v>
      </c>
      <c r="I708" s="16" t="n">
        <f aca="false">IF(MOD(G708,500)=0,20,IF(MOD(G708,100)=0,10,0))</f>
        <v>0</v>
      </c>
      <c r="J708" s="16" t="n">
        <f aca="false">IF(AND(E708&lt;&gt;"",F708-E708&lt;=Assumptions!$B$9),25,0)</f>
        <v>25</v>
      </c>
      <c r="K708" s="16" t="n">
        <f aca="false">IF(ISNUMBER(SEARCH(D708,Assumptions!$B$10)),15,0)</f>
        <v>0</v>
      </c>
      <c r="L708" s="16" t="n">
        <f aca="false">H708+I708+J708+K708</f>
        <v>25</v>
      </c>
      <c r="M708" s="16" t="str">
        <f aca="false">IF(L708&gt;=60,"High",IF(L708&gt;=30,"Medium","Low"))</f>
        <v>Low</v>
      </c>
    </row>
    <row r="709" customFormat="false" ht="15" hidden="false" customHeight="false" outlineLevel="0" collapsed="false">
      <c r="A709" s="16" t="str">
        <f aca="false">Payment_Log_AP!A706</f>
        <v>PAY40705</v>
      </c>
      <c r="B709" s="16" t="str">
        <f aca="false">Payment_Log_AP!C706</f>
        <v>V1025</v>
      </c>
      <c r="C709" s="16" t="str">
        <f aca="false">IFERROR(INDEX(Vendor_Master!$B$2:$B$41,MATCH(B709,Vendor_Master!$A$2:$A$41,0)),"Unknown Vendor")</f>
        <v>Conner Group</v>
      </c>
      <c r="D709" s="16" t="str">
        <f aca="false">IFERROR(INDEX(Vendor_Master!$D$2:$D$41,MATCH(B709,Vendor_Master!$A$2:$A$41,0)),"Unknown")</f>
        <v>USA</v>
      </c>
      <c r="E709" s="17" t="n">
        <f aca="false">IFERROR(INDEX(Vendor_Master!$E$2:$E$41,MATCH(B709,Vendor_Master!$A$2:$A$41,0)),"")</f>
        <v>44803</v>
      </c>
      <c r="F709" s="17" t="n">
        <f aca="false">Payment_Log_AP!D706</f>
        <v>45919</v>
      </c>
      <c r="G709" s="18" t="n">
        <f aca="false">Payment_Log_AP!E706</f>
        <v>1164.71</v>
      </c>
      <c r="H709" s="16" t="n">
        <f aca="false">IF(G709&gt;=Assumptions!$B$7,40,IF(G709&gt;=Assumptions!$B$8,20,0))</f>
        <v>0</v>
      </c>
      <c r="I709" s="16" t="n">
        <f aca="false">IF(MOD(G709,500)=0,20,IF(MOD(G709,100)=0,10,0))</f>
        <v>0</v>
      </c>
      <c r="J709" s="16" t="n">
        <f aca="false">IF(AND(E709&lt;&gt;"",F709-E709&lt;=Assumptions!$B$9),25,0)</f>
        <v>0</v>
      </c>
      <c r="K709" s="16" t="n">
        <f aca="false">IF(ISNUMBER(SEARCH(D709,Assumptions!$B$10)),15,0)</f>
        <v>0</v>
      </c>
      <c r="L709" s="16" t="n">
        <f aca="false">H709+I709+J709+K709</f>
        <v>0</v>
      </c>
      <c r="M709" s="16" t="str">
        <f aca="false">IF(L709&gt;=60,"High",IF(L709&gt;=30,"Medium","Low"))</f>
        <v>Low</v>
      </c>
    </row>
    <row r="710" customFormat="false" ht="15" hidden="false" customHeight="false" outlineLevel="0" collapsed="false">
      <c r="A710" s="16" t="str">
        <f aca="false">Payment_Log_AP!A707</f>
        <v>PAY40706</v>
      </c>
      <c r="B710" s="16" t="str">
        <f aca="false">Payment_Log_AP!C707</f>
        <v>V1002</v>
      </c>
      <c r="C710" s="16" t="str">
        <f aca="false">IFERROR(INDEX(Vendor_Master!$B$2:$B$41,MATCH(B710,Vendor_Master!$A$2:$A$41,0)),"Unknown Vendor")</f>
        <v>Garcia, Yang and Gardner</v>
      </c>
      <c r="D710" s="16" t="str">
        <f aca="false">IFERROR(INDEX(Vendor_Master!$D$2:$D$41,MATCH(B710,Vendor_Master!$A$2:$A$41,0)),"Unknown")</f>
        <v>UK</v>
      </c>
      <c r="E710" s="17" t="n">
        <f aca="false">IFERROR(INDEX(Vendor_Master!$E$2:$E$41,MATCH(B710,Vendor_Master!$A$2:$A$41,0)),"")</f>
        <v>44914</v>
      </c>
      <c r="F710" s="17" t="n">
        <f aca="false">Payment_Log_AP!D707</f>
        <v>45788</v>
      </c>
      <c r="G710" s="18" t="n">
        <f aca="false">Payment_Log_AP!E707</f>
        <v>820.16</v>
      </c>
      <c r="H710" s="16" t="n">
        <f aca="false">IF(G710&gt;=Assumptions!$B$7,40,IF(G710&gt;=Assumptions!$B$8,20,0))</f>
        <v>0</v>
      </c>
      <c r="I710" s="16" t="n">
        <f aca="false">IF(MOD(G710,500)=0,20,IF(MOD(G710,100)=0,10,0))</f>
        <v>0</v>
      </c>
      <c r="J710" s="16" t="n">
        <f aca="false">IF(AND(E710&lt;&gt;"",F710-E710&lt;=Assumptions!$B$9),25,0)</f>
        <v>0</v>
      </c>
      <c r="K710" s="16" t="n">
        <f aca="false">IF(ISNUMBER(SEARCH(D710,Assumptions!$B$10)),15,0)</f>
        <v>0</v>
      </c>
      <c r="L710" s="16" t="n">
        <f aca="false">H710+I710+J710+K710</f>
        <v>0</v>
      </c>
      <c r="M710" s="16" t="str">
        <f aca="false">IF(L710&gt;=60,"High",IF(L710&gt;=30,"Medium","Low"))</f>
        <v>Low</v>
      </c>
    </row>
    <row r="711" customFormat="false" ht="15" hidden="false" customHeight="false" outlineLevel="0" collapsed="false">
      <c r="A711" s="16" t="str">
        <f aca="false">Payment_Log_AP!A708</f>
        <v>PAY40707</v>
      </c>
      <c r="B711" s="16" t="str">
        <f aca="false">Payment_Log_AP!C708</f>
        <v>V1030</v>
      </c>
      <c r="C711" s="16" t="str">
        <f aca="false">IFERROR(INDEX(Vendor_Master!$B$2:$B$41,MATCH(B711,Vendor_Master!$A$2:$A$41,0)),"Unknown Vendor")</f>
        <v>Stanton-Gill</v>
      </c>
      <c r="D711" s="16" t="str">
        <f aca="false">IFERROR(INDEX(Vendor_Master!$D$2:$D$41,MATCH(B711,Vendor_Master!$A$2:$A$41,0)),"Unknown")</f>
        <v>UK</v>
      </c>
      <c r="E711" s="17" t="n">
        <f aca="false">IFERROR(INDEX(Vendor_Master!$E$2:$E$41,MATCH(B711,Vendor_Master!$A$2:$A$41,0)),"")</f>
        <v>45946</v>
      </c>
      <c r="F711" s="17" t="n">
        <f aca="false">Payment_Log_AP!D708</f>
        <v>46023</v>
      </c>
      <c r="G711" s="18" t="n">
        <f aca="false">Payment_Log_AP!E708</f>
        <v>309.11</v>
      </c>
      <c r="H711" s="16" t="n">
        <f aca="false">IF(G711&gt;=Assumptions!$B$7,40,IF(G711&gt;=Assumptions!$B$8,20,0))</f>
        <v>0</v>
      </c>
      <c r="I711" s="16" t="n">
        <f aca="false">IF(MOD(G711,500)=0,20,IF(MOD(G711,100)=0,10,0))</f>
        <v>0</v>
      </c>
      <c r="J711" s="16" t="n">
        <f aca="false">IF(AND(E711&lt;&gt;"",F711-E711&lt;=Assumptions!$B$9),25,0)</f>
        <v>25</v>
      </c>
      <c r="K711" s="16" t="n">
        <f aca="false">IF(ISNUMBER(SEARCH(D711,Assumptions!$B$10)),15,0)</f>
        <v>0</v>
      </c>
      <c r="L711" s="16" t="n">
        <f aca="false">H711+I711+J711+K711</f>
        <v>25</v>
      </c>
      <c r="M711" s="16" t="str">
        <f aca="false">IF(L711&gt;=60,"High",IF(L711&gt;=30,"Medium","Low"))</f>
        <v>Low</v>
      </c>
    </row>
    <row r="712" customFormat="false" ht="15" hidden="false" customHeight="false" outlineLevel="0" collapsed="false">
      <c r="A712" s="16" t="str">
        <f aca="false">Payment_Log_AP!A709</f>
        <v>PAY40708</v>
      </c>
      <c r="B712" s="16" t="str">
        <f aca="false">Payment_Log_AP!C709</f>
        <v>V1024</v>
      </c>
      <c r="C712" s="16" t="str">
        <f aca="false">IFERROR(INDEX(Vendor_Master!$B$2:$B$41,MATCH(B712,Vendor_Master!$A$2:$A$41,0)),"Unknown Vendor")</f>
        <v>Campos Inc</v>
      </c>
      <c r="D712" s="16" t="str">
        <f aca="false">IFERROR(INDEX(Vendor_Master!$D$2:$D$41,MATCH(B712,Vendor_Master!$A$2:$A$41,0)),"Unknown")</f>
        <v>USA</v>
      </c>
      <c r="E712" s="17" t="n">
        <f aca="false">IFERROR(INDEX(Vendor_Master!$E$2:$E$41,MATCH(B712,Vendor_Master!$A$2:$A$41,0)),"")</f>
        <v>45367</v>
      </c>
      <c r="F712" s="17" t="n">
        <f aca="false">Payment_Log_AP!D709</f>
        <v>45691</v>
      </c>
      <c r="G712" s="18" t="n">
        <f aca="false">Payment_Log_AP!E709</f>
        <v>1722.25</v>
      </c>
      <c r="H712" s="16" t="n">
        <f aca="false">IF(G712&gt;=Assumptions!$B$7,40,IF(G712&gt;=Assumptions!$B$8,20,0))</f>
        <v>0</v>
      </c>
      <c r="I712" s="16" t="n">
        <f aca="false">IF(MOD(G712,500)=0,20,IF(MOD(G712,100)=0,10,0))</f>
        <v>0</v>
      </c>
      <c r="J712" s="16" t="n">
        <f aca="false">IF(AND(E712&lt;&gt;"",F712-E712&lt;=Assumptions!$B$9),25,0)</f>
        <v>0</v>
      </c>
      <c r="K712" s="16" t="n">
        <f aca="false">IF(ISNUMBER(SEARCH(D712,Assumptions!$B$10)),15,0)</f>
        <v>0</v>
      </c>
      <c r="L712" s="16" t="n">
        <f aca="false">H712+I712+J712+K712</f>
        <v>0</v>
      </c>
      <c r="M712" s="16" t="str">
        <f aca="false">IF(L712&gt;=60,"High",IF(L712&gt;=30,"Medium","Low"))</f>
        <v>Low</v>
      </c>
    </row>
    <row r="713" customFormat="false" ht="15" hidden="false" customHeight="false" outlineLevel="0" collapsed="false">
      <c r="A713" s="16" t="str">
        <f aca="false">Payment_Log_AP!A710</f>
        <v>PAY40709</v>
      </c>
      <c r="B713" s="16" t="str">
        <f aca="false">Payment_Log_AP!C710</f>
        <v>V1004</v>
      </c>
      <c r="C713" s="16" t="str">
        <f aca="false">IFERROR(INDEX(Vendor_Master!$B$2:$B$41,MATCH(B713,Vendor_Master!$A$2:$A$41,0)),"Unknown Vendor")</f>
        <v>Johnson, Gonzalez and Santos</v>
      </c>
      <c r="D713" s="16" t="str">
        <f aca="false">IFERROR(INDEX(Vendor_Master!$D$2:$D$41,MATCH(B713,Vendor_Master!$A$2:$A$41,0)),"Unknown")</f>
        <v>Germany</v>
      </c>
      <c r="E713" s="17" t="n">
        <f aca="false">IFERROR(INDEX(Vendor_Master!$E$2:$E$41,MATCH(B713,Vendor_Master!$A$2:$A$41,0)),"")</f>
        <v>44929</v>
      </c>
      <c r="F713" s="17" t="n">
        <f aca="false">Payment_Log_AP!D710</f>
        <v>46103</v>
      </c>
      <c r="G713" s="18" t="n">
        <f aca="false">Payment_Log_AP!E710</f>
        <v>1834.48</v>
      </c>
      <c r="H713" s="16" t="n">
        <f aca="false">IF(G713&gt;=Assumptions!$B$7,40,IF(G713&gt;=Assumptions!$B$8,20,0))</f>
        <v>0</v>
      </c>
      <c r="I713" s="16" t="n">
        <f aca="false">IF(MOD(G713,500)=0,20,IF(MOD(G713,100)=0,10,0))</f>
        <v>0</v>
      </c>
      <c r="J713" s="16" t="n">
        <f aca="false">IF(AND(E713&lt;&gt;"",F713-E713&lt;=Assumptions!$B$9),25,0)</f>
        <v>0</v>
      </c>
      <c r="K713" s="16" t="n">
        <f aca="false">IF(ISNUMBER(SEARCH(D713,Assumptions!$B$10)),15,0)</f>
        <v>0</v>
      </c>
      <c r="L713" s="16" t="n">
        <f aca="false">H713+I713+J713+K713</f>
        <v>0</v>
      </c>
      <c r="M713" s="16" t="str">
        <f aca="false">IF(L713&gt;=60,"High",IF(L713&gt;=30,"Medium","Low"))</f>
        <v>Low</v>
      </c>
    </row>
    <row r="714" customFormat="false" ht="15" hidden="false" customHeight="false" outlineLevel="0" collapsed="false">
      <c r="A714" s="16" t="str">
        <f aca="false">Payment_Log_AP!A711</f>
        <v>PAY40710</v>
      </c>
      <c r="B714" s="16" t="str">
        <f aca="false">Payment_Log_AP!C711</f>
        <v>V1037</v>
      </c>
      <c r="C714" s="16" t="str">
        <f aca="false">IFERROR(INDEX(Vendor_Master!$B$2:$B$41,MATCH(B714,Vendor_Master!$A$2:$A$41,0)),"Unknown Vendor")</f>
        <v>Cannon, Anderson and Alvarez</v>
      </c>
      <c r="D714" s="16" t="str">
        <f aca="false">IFERROR(INDEX(Vendor_Master!$D$2:$D$41,MATCH(B714,Vendor_Master!$A$2:$A$41,0)),"Unknown")</f>
        <v>India</v>
      </c>
      <c r="E714" s="17" t="n">
        <f aca="false">IFERROR(INDEX(Vendor_Master!$E$2:$E$41,MATCH(B714,Vendor_Master!$A$2:$A$41,0)),"")</f>
        <v>46108</v>
      </c>
      <c r="F714" s="17" t="n">
        <f aca="false">Payment_Log_AP!D711</f>
        <v>45865</v>
      </c>
      <c r="G714" s="18" t="n">
        <f aca="false">Payment_Log_AP!E711</f>
        <v>2804.48</v>
      </c>
      <c r="H714" s="16" t="n">
        <f aca="false">IF(G714&gt;=Assumptions!$B$7,40,IF(G714&gt;=Assumptions!$B$8,20,0))</f>
        <v>0</v>
      </c>
      <c r="I714" s="16" t="n">
        <f aca="false">IF(MOD(G714,500)=0,20,IF(MOD(G714,100)=0,10,0))</f>
        <v>0</v>
      </c>
      <c r="J714" s="16" t="n">
        <f aca="false">IF(AND(E714&lt;&gt;"",F714-E714&lt;=Assumptions!$B$9),25,0)</f>
        <v>25</v>
      </c>
      <c r="K714" s="16" t="n">
        <f aca="false">IF(ISNUMBER(SEARCH(D714,Assumptions!$B$10)),15,0)</f>
        <v>15</v>
      </c>
      <c r="L714" s="16" t="n">
        <f aca="false">H714+I714+J714+K714</f>
        <v>40</v>
      </c>
      <c r="M714" s="16" t="str">
        <f aca="false">IF(L714&gt;=60,"High",IF(L714&gt;=30,"Medium","Low"))</f>
        <v>Medium</v>
      </c>
    </row>
    <row r="715" customFormat="false" ht="15" hidden="false" customHeight="false" outlineLevel="0" collapsed="false">
      <c r="A715" s="16" t="str">
        <f aca="false">Payment_Log_AP!A712</f>
        <v>PAY40711</v>
      </c>
      <c r="B715" s="16" t="str">
        <f aca="false">Payment_Log_AP!C712</f>
        <v>V1036</v>
      </c>
      <c r="C715" s="16" t="str">
        <f aca="false">IFERROR(INDEX(Vendor_Master!$B$2:$B$41,MATCH(B715,Vendor_Master!$A$2:$A$41,0)),"Unknown Vendor")</f>
        <v>Dennis Inc</v>
      </c>
      <c r="D715" s="16" t="str">
        <f aca="false">IFERROR(INDEX(Vendor_Master!$D$2:$D$41,MATCH(B715,Vendor_Master!$A$2:$A$41,0)),"Unknown")</f>
        <v>Singapore</v>
      </c>
      <c r="E715" s="17" t="n">
        <f aca="false">IFERROR(INDEX(Vendor_Master!$E$2:$E$41,MATCH(B715,Vendor_Master!$A$2:$A$41,0)),"")</f>
        <v>46059</v>
      </c>
      <c r="F715" s="17" t="n">
        <f aca="false">Payment_Log_AP!D712</f>
        <v>45901</v>
      </c>
      <c r="G715" s="18" t="n">
        <f aca="false">Payment_Log_AP!E712</f>
        <v>241.56</v>
      </c>
      <c r="H715" s="16" t="n">
        <f aca="false">IF(G715&gt;=Assumptions!$B$7,40,IF(G715&gt;=Assumptions!$B$8,20,0))</f>
        <v>0</v>
      </c>
      <c r="I715" s="16" t="n">
        <f aca="false">IF(MOD(G715,500)=0,20,IF(MOD(G715,100)=0,10,0))</f>
        <v>0</v>
      </c>
      <c r="J715" s="16" t="n">
        <f aca="false">IF(AND(E715&lt;&gt;"",F715-E715&lt;=Assumptions!$B$9),25,0)</f>
        <v>25</v>
      </c>
      <c r="K715" s="16" t="n">
        <f aca="false">IF(ISNUMBER(SEARCH(D715,Assumptions!$B$10)),15,0)</f>
        <v>15</v>
      </c>
      <c r="L715" s="16" t="n">
        <f aca="false">H715+I715+J715+K715</f>
        <v>40</v>
      </c>
      <c r="M715" s="16" t="str">
        <f aca="false">IF(L715&gt;=60,"High",IF(L715&gt;=30,"Medium","Low"))</f>
        <v>Medium</v>
      </c>
    </row>
    <row r="716" customFormat="false" ht="15" hidden="false" customHeight="false" outlineLevel="0" collapsed="false">
      <c r="A716" s="16" t="str">
        <f aca="false">Payment_Log_AP!A713</f>
        <v>PAY40712</v>
      </c>
      <c r="B716" s="16" t="str">
        <f aca="false">Payment_Log_AP!C713</f>
        <v>V1024</v>
      </c>
      <c r="C716" s="16" t="str">
        <f aca="false">IFERROR(INDEX(Vendor_Master!$B$2:$B$41,MATCH(B716,Vendor_Master!$A$2:$A$41,0)),"Unknown Vendor")</f>
        <v>Campos Inc</v>
      </c>
      <c r="D716" s="16" t="str">
        <f aca="false">IFERROR(INDEX(Vendor_Master!$D$2:$D$41,MATCH(B716,Vendor_Master!$A$2:$A$41,0)),"Unknown")</f>
        <v>USA</v>
      </c>
      <c r="E716" s="17" t="n">
        <f aca="false">IFERROR(INDEX(Vendor_Master!$E$2:$E$41,MATCH(B716,Vendor_Master!$A$2:$A$41,0)),"")</f>
        <v>45367</v>
      </c>
      <c r="F716" s="17" t="n">
        <f aca="false">Payment_Log_AP!D713</f>
        <v>46103</v>
      </c>
      <c r="G716" s="18" t="n">
        <f aca="false">Payment_Log_AP!E713</f>
        <v>2328.97</v>
      </c>
      <c r="H716" s="16" t="n">
        <f aca="false">IF(G716&gt;=Assumptions!$B$7,40,IF(G716&gt;=Assumptions!$B$8,20,0))</f>
        <v>0</v>
      </c>
      <c r="I716" s="16" t="n">
        <f aca="false">IF(MOD(G716,500)=0,20,IF(MOD(G716,100)=0,10,0))</f>
        <v>0</v>
      </c>
      <c r="J716" s="16" t="n">
        <f aca="false">IF(AND(E716&lt;&gt;"",F716-E716&lt;=Assumptions!$B$9),25,0)</f>
        <v>0</v>
      </c>
      <c r="K716" s="16" t="n">
        <f aca="false">IF(ISNUMBER(SEARCH(D716,Assumptions!$B$10)),15,0)</f>
        <v>0</v>
      </c>
      <c r="L716" s="16" t="n">
        <f aca="false">H716+I716+J716+K716</f>
        <v>0</v>
      </c>
      <c r="M716" s="16" t="str">
        <f aca="false">IF(L716&gt;=60,"High",IF(L716&gt;=30,"Medium","Low"))</f>
        <v>Low</v>
      </c>
    </row>
    <row r="717" customFormat="false" ht="15" hidden="false" customHeight="false" outlineLevel="0" collapsed="false">
      <c r="A717" s="16" t="str">
        <f aca="false">Payment_Log_AP!A714</f>
        <v>PAY40713</v>
      </c>
      <c r="B717" s="16" t="str">
        <f aca="false">Payment_Log_AP!C714</f>
        <v>V1030</v>
      </c>
      <c r="C717" s="16" t="str">
        <f aca="false">IFERROR(INDEX(Vendor_Master!$B$2:$B$41,MATCH(B717,Vendor_Master!$A$2:$A$41,0)),"Unknown Vendor")</f>
        <v>Stanton-Gill</v>
      </c>
      <c r="D717" s="16" t="str">
        <f aca="false">IFERROR(INDEX(Vendor_Master!$D$2:$D$41,MATCH(B717,Vendor_Master!$A$2:$A$41,0)),"Unknown")</f>
        <v>UK</v>
      </c>
      <c r="E717" s="17" t="n">
        <f aca="false">IFERROR(INDEX(Vendor_Master!$E$2:$E$41,MATCH(B717,Vendor_Master!$A$2:$A$41,0)),"")</f>
        <v>45946</v>
      </c>
      <c r="F717" s="17" t="n">
        <f aca="false">Payment_Log_AP!D714</f>
        <v>46086</v>
      </c>
      <c r="G717" s="18" t="n">
        <f aca="false">Payment_Log_AP!E714</f>
        <v>830.55</v>
      </c>
      <c r="H717" s="16" t="n">
        <f aca="false">IF(G717&gt;=Assumptions!$B$7,40,IF(G717&gt;=Assumptions!$B$8,20,0))</f>
        <v>0</v>
      </c>
      <c r="I717" s="16" t="n">
        <f aca="false">IF(MOD(G717,500)=0,20,IF(MOD(G717,100)=0,10,0))</f>
        <v>0</v>
      </c>
      <c r="J717" s="16" t="n">
        <f aca="false">IF(AND(E717&lt;&gt;"",F717-E717&lt;=Assumptions!$B$9),25,0)</f>
        <v>25</v>
      </c>
      <c r="K717" s="16" t="n">
        <f aca="false">IF(ISNUMBER(SEARCH(D717,Assumptions!$B$10)),15,0)</f>
        <v>0</v>
      </c>
      <c r="L717" s="16" t="n">
        <f aca="false">H717+I717+J717+K717</f>
        <v>25</v>
      </c>
      <c r="M717" s="16" t="str">
        <f aca="false">IF(L717&gt;=60,"High",IF(L717&gt;=30,"Medium","Low"))</f>
        <v>Low</v>
      </c>
    </row>
    <row r="718" customFormat="false" ht="15" hidden="false" customHeight="false" outlineLevel="0" collapsed="false">
      <c r="A718" s="16" t="str">
        <f aca="false">Payment_Log_AP!A715</f>
        <v>PAY40714</v>
      </c>
      <c r="B718" s="16" t="str">
        <f aca="false">Payment_Log_AP!C715</f>
        <v>V1029</v>
      </c>
      <c r="C718" s="16" t="str">
        <f aca="false">IFERROR(INDEX(Vendor_Master!$B$2:$B$41,MATCH(B718,Vendor_Master!$A$2:$A$41,0)),"Unknown Vendor")</f>
        <v>Chavez Ltd</v>
      </c>
      <c r="D718" s="16" t="str">
        <f aca="false">IFERROR(INDEX(Vendor_Master!$D$2:$D$41,MATCH(B718,Vendor_Master!$A$2:$A$41,0)),"Unknown")</f>
        <v>Singapore</v>
      </c>
      <c r="E718" s="17" t="n">
        <f aca="false">IFERROR(INDEX(Vendor_Master!$E$2:$E$41,MATCH(B718,Vendor_Master!$A$2:$A$41,0)),"")</f>
        <v>45026</v>
      </c>
      <c r="F718" s="17" t="n">
        <f aca="false">Payment_Log_AP!D715</f>
        <v>46002</v>
      </c>
      <c r="G718" s="18" t="n">
        <f aca="false">Payment_Log_AP!E715</f>
        <v>1962.84</v>
      </c>
      <c r="H718" s="16" t="n">
        <f aca="false">IF(G718&gt;=Assumptions!$B$7,40,IF(G718&gt;=Assumptions!$B$8,20,0))</f>
        <v>0</v>
      </c>
      <c r="I718" s="16" t="n">
        <f aca="false">IF(MOD(G718,500)=0,20,IF(MOD(G718,100)=0,10,0))</f>
        <v>0</v>
      </c>
      <c r="J718" s="16" t="n">
        <f aca="false">IF(AND(E718&lt;&gt;"",F718-E718&lt;=Assumptions!$B$9),25,0)</f>
        <v>0</v>
      </c>
      <c r="K718" s="16" t="n">
        <f aca="false">IF(ISNUMBER(SEARCH(D718,Assumptions!$B$10)),15,0)</f>
        <v>15</v>
      </c>
      <c r="L718" s="16" t="n">
        <f aca="false">H718+I718+J718+K718</f>
        <v>15</v>
      </c>
      <c r="M718" s="16" t="str">
        <f aca="false">IF(L718&gt;=60,"High",IF(L718&gt;=30,"Medium","Low"))</f>
        <v>Low</v>
      </c>
    </row>
    <row r="719" customFormat="false" ht="15" hidden="false" customHeight="false" outlineLevel="0" collapsed="false">
      <c r="A719" s="16" t="str">
        <f aca="false">Payment_Log_AP!A716</f>
        <v>PAY40715</v>
      </c>
      <c r="B719" s="16" t="str">
        <f aca="false">Payment_Log_AP!C716</f>
        <v>V1026</v>
      </c>
      <c r="C719" s="16" t="str">
        <f aca="false">IFERROR(INDEX(Vendor_Master!$B$2:$B$41,MATCH(B719,Vendor_Master!$A$2:$A$41,0)),"Unknown Vendor")</f>
        <v>James-Ferrell</v>
      </c>
      <c r="D719" s="16" t="str">
        <f aca="false">IFERROR(INDEX(Vendor_Master!$D$2:$D$41,MATCH(B719,Vendor_Master!$A$2:$A$41,0)),"Unknown")</f>
        <v>UAE</v>
      </c>
      <c r="E719" s="17" t="n">
        <f aca="false">IFERROR(INDEX(Vendor_Master!$E$2:$E$41,MATCH(B719,Vendor_Master!$A$2:$A$41,0)),"")</f>
        <v>45504</v>
      </c>
      <c r="F719" s="17" t="n">
        <f aca="false">Payment_Log_AP!D716</f>
        <v>45735</v>
      </c>
      <c r="G719" s="18" t="n">
        <f aca="false">Payment_Log_AP!E716</f>
        <v>254.85</v>
      </c>
      <c r="H719" s="16" t="n">
        <f aca="false">IF(G719&gt;=Assumptions!$B$7,40,IF(G719&gt;=Assumptions!$B$8,20,0))</f>
        <v>0</v>
      </c>
      <c r="I719" s="16" t="n">
        <f aca="false">IF(MOD(G719,500)=0,20,IF(MOD(G719,100)=0,10,0))</f>
        <v>0</v>
      </c>
      <c r="J719" s="16" t="n">
        <f aca="false">IF(AND(E719&lt;&gt;"",F719-E719&lt;=Assumptions!$B$9),25,0)</f>
        <v>0</v>
      </c>
      <c r="K719" s="16" t="n">
        <f aca="false">IF(ISNUMBER(SEARCH(D719,Assumptions!$B$10)),15,0)</f>
        <v>15</v>
      </c>
      <c r="L719" s="16" t="n">
        <f aca="false">H719+I719+J719+K719</f>
        <v>15</v>
      </c>
      <c r="M719" s="16" t="str">
        <f aca="false">IF(L719&gt;=60,"High",IF(L719&gt;=30,"Medium","Low"))</f>
        <v>Low</v>
      </c>
    </row>
    <row r="720" customFormat="false" ht="15" hidden="false" customHeight="false" outlineLevel="0" collapsed="false">
      <c r="A720" s="16" t="str">
        <f aca="false">Payment_Log_AP!A717</f>
        <v>PAY40716</v>
      </c>
      <c r="B720" s="16" t="str">
        <f aca="false">Payment_Log_AP!C717</f>
        <v>V1023</v>
      </c>
      <c r="C720" s="16" t="str">
        <f aca="false">IFERROR(INDEX(Vendor_Master!$B$2:$B$41,MATCH(B720,Vendor_Master!$A$2:$A$41,0)),"Unknown Vendor")</f>
        <v>Robinson-Bright</v>
      </c>
      <c r="D720" s="16" t="str">
        <f aca="false">IFERROR(INDEX(Vendor_Master!$D$2:$D$41,MATCH(B720,Vendor_Master!$A$2:$A$41,0)),"Unknown")</f>
        <v>India</v>
      </c>
      <c r="E720" s="17" t="n">
        <f aca="false">IFERROR(INDEX(Vendor_Master!$E$2:$E$41,MATCH(B720,Vendor_Master!$A$2:$A$41,0)),"")</f>
        <v>45484</v>
      </c>
      <c r="F720" s="17" t="n">
        <f aca="false">Payment_Log_AP!D717</f>
        <v>45794</v>
      </c>
      <c r="G720" s="18" t="n">
        <f aca="false">Payment_Log_AP!E717</f>
        <v>6224.71</v>
      </c>
      <c r="H720" s="16" t="n">
        <f aca="false">IF(G720&gt;=Assumptions!$B$7,40,IF(G720&gt;=Assumptions!$B$8,20,0))</f>
        <v>20</v>
      </c>
      <c r="I720" s="16" t="n">
        <f aca="false">IF(MOD(G720,500)=0,20,IF(MOD(G720,100)=0,10,0))</f>
        <v>0</v>
      </c>
      <c r="J720" s="16" t="n">
        <f aca="false">IF(AND(E720&lt;&gt;"",F720-E720&lt;=Assumptions!$B$9),25,0)</f>
        <v>0</v>
      </c>
      <c r="K720" s="16" t="n">
        <f aca="false">IF(ISNUMBER(SEARCH(D720,Assumptions!$B$10)),15,0)</f>
        <v>15</v>
      </c>
      <c r="L720" s="16" t="n">
        <f aca="false">H720+I720+J720+K720</f>
        <v>35</v>
      </c>
      <c r="M720" s="16" t="str">
        <f aca="false">IF(L720&gt;=60,"High",IF(L720&gt;=30,"Medium","Low"))</f>
        <v>Medium</v>
      </c>
    </row>
    <row r="721" customFormat="false" ht="15" hidden="false" customHeight="false" outlineLevel="0" collapsed="false">
      <c r="A721" s="16" t="str">
        <f aca="false">Payment_Log_AP!A718</f>
        <v>PAY40717</v>
      </c>
      <c r="B721" s="16" t="str">
        <f aca="false">Payment_Log_AP!C718</f>
        <v>V1033</v>
      </c>
      <c r="C721" s="16" t="str">
        <f aca="false">IFERROR(INDEX(Vendor_Master!$B$2:$B$41,MATCH(B721,Vendor_Master!$A$2:$A$41,0)),"Unknown Vendor")</f>
        <v>Sellers, George and Burns</v>
      </c>
      <c r="D721" s="16" t="str">
        <f aca="false">IFERROR(INDEX(Vendor_Master!$D$2:$D$41,MATCH(B721,Vendor_Master!$A$2:$A$41,0)),"Unknown")</f>
        <v>USA</v>
      </c>
      <c r="E721" s="17" t="n">
        <f aca="false">IFERROR(INDEX(Vendor_Master!$E$2:$E$41,MATCH(B721,Vendor_Master!$A$2:$A$41,0)),"")</f>
        <v>45414</v>
      </c>
      <c r="F721" s="17" t="n">
        <f aca="false">Payment_Log_AP!D718</f>
        <v>46031</v>
      </c>
      <c r="G721" s="18" t="n">
        <f aca="false">Payment_Log_AP!E718</f>
        <v>505.83</v>
      </c>
      <c r="H721" s="16" t="n">
        <f aca="false">IF(G721&gt;=Assumptions!$B$7,40,IF(G721&gt;=Assumptions!$B$8,20,0))</f>
        <v>0</v>
      </c>
      <c r="I721" s="16" t="n">
        <f aca="false">IF(MOD(G721,500)=0,20,IF(MOD(G721,100)=0,10,0))</f>
        <v>0</v>
      </c>
      <c r="J721" s="16" t="n">
        <f aca="false">IF(AND(E721&lt;&gt;"",F721-E721&lt;=Assumptions!$B$9),25,0)</f>
        <v>0</v>
      </c>
      <c r="K721" s="16" t="n">
        <f aca="false">IF(ISNUMBER(SEARCH(D721,Assumptions!$B$10)),15,0)</f>
        <v>0</v>
      </c>
      <c r="L721" s="16" t="n">
        <f aca="false">H721+I721+J721+K721</f>
        <v>0</v>
      </c>
      <c r="M721" s="16" t="str">
        <f aca="false">IF(L721&gt;=60,"High",IF(L721&gt;=30,"Medium","Low"))</f>
        <v>Low</v>
      </c>
    </row>
    <row r="722" customFormat="false" ht="15" hidden="false" customHeight="false" outlineLevel="0" collapsed="false">
      <c r="A722" s="16" t="str">
        <f aca="false">Payment_Log_AP!A719</f>
        <v>PAY40718</v>
      </c>
      <c r="B722" s="16" t="str">
        <f aca="false">Payment_Log_AP!C719</f>
        <v>V1029</v>
      </c>
      <c r="C722" s="16" t="str">
        <f aca="false">IFERROR(INDEX(Vendor_Master!$B$2:$B$41,MATCH(B722,Vendor_Master!$A$2:$A$41,0)),"Unknown Vendor")</f>
        <v>Chavez Ltd</v>
      </c>
      <c r="D722" s="16" t="str">
        <f aca="false">IFERROR(INDEX(Vendor_Master!$D$2:$D$41,MATCH(B722,Vendor_Master!$A$2:$A$41,0)),"Unknown")</f>
        <v>Singapore</v>
      </c>
      <c r="E722" s="17" t="n">
        <f aca="false">IFERROR(INDEX(Vendor_Master!$E$2:$E$41,MATCH(B722,Vendor_Master!$A$2:$A$41,0)),"")</f>
        <v>45026</v>
      </c>
      <c r="F722" s="17" t="n">
        <f aca="false">Payment_Log_AP!D719</f>
        <v>46053</v>
      </c>
      <c r="G722" s="18" t="n">
        <f aca="false">Payment_Log_AP!E719</f>
        <v>3028.33</v>
      </c>
      <c r="H722" s="16" t="n">
        <f aca="false">IF(G722&gt;=Assumptions!$B$7,40,IF(G722&gt;=Assumptions!$B$8,20,0))</f>
        <v>0</v>
      </c>
      <c r="I722" s="16" t="n">
        <f aca="false">IF(MOD(G722,500)=0,20,IF(MOD(G722,100)=0,10,0))</f>
        <v>0</v>
      </c>
      <c r="J722" s="16" t="n">
        <f aca="false">IF(AND(E722&lt;&gt;"",F722-E722&lt;=Assumptions!$B$9),25,0)</f>
        <v>0</v>
      </c>
      <c r="K722" s="16" t="n">
        <f aca="false">IF(ISNUMBER(SEARCH(D722,Assumptions!$B$10)),15,0)</f>
        <v>15</v>
      </c>
      <c r="L722" s="16" t="n">
        <f aca="false">H722+I722+J722+K722</f>
        <v>15</v>
      </c>
      <c r="M722" s="16" t="str">
        <f aca="false">IF(L722&gt;=60,"High",IF(L722&gt;=30,"Medium","Low"))</f>
        <v>Low</v>
      </c>
    </row>
    <row r="723" customFormat="false" ht="15" hidden="false" customHeight="false" outlineLevel="0" collapsed="false">
      <c r="A723" s="16" t="str">
        <f aca="false">Payment_Log_AP!A720</f>
        <v>PAY40719</v>
      </c>
      <c r="B723" s="16" t="str">
        <f aca="false">Payment_Log_AP!C720</f>
        <v>V1035</v>
      </c>
      <c r="C723" s="16" t="str">
        <f aca="false">IFERROR(INDEX(Vendor_Master!$B$2:$B$41,MATCH(B723,Vendor_Master!$A$2:$A$41,0)),"Unknown Vendor")</f>
        <v>Allen PLC</v>
      </c>
      <c r="D723" s="16" t="str">
        <f aca="false">IFERROR(INDEX(Vendor_Master!$D$2:$D$41,MATCH(B723,Vendor_Master!$A$2:$A$41,0)),"Unknown")</f>
        <v>Canada</v>
      </c>
      <c r="E723" s="17" t="n">
        <f aca="false">IFERROR(INDEX(Vendor_Master!$E$2:$E$41,MATCH(B723,Vendor_Master!$A$2:$A$41,0)),"")</f>
        <v>45048</v>
      </c>
      <c r="F723" s="17" t="n">
        <f aca="false">Payment_Log_AP!D720</f>
        <v>45838</v>
      </c>
      <c r="G723" s="18" t="n">
        <f aca="false">Payment_Log_AP!E720</f>
        <v>556.23</v>
      </c>
      <c r="H723" s="16" t="n">
        <f aca="false">IF(G723&gt;=Assumptions!$B$7,40,IF(G723&gt;=Assumptions!$B$8,20,0))</f>
        <v>0</v>
      </c>
      <c r="I723" s="16" t="n">
        <f aca="false">IF(MOD(G723,500)=0,20,IF(MOD(G723,100)=0,10,0))</f>
        <v>0</v>
      </c>
      <c r="J723" s="16" t="n">
        <f aca="false">IF(AND(E723&lt;&gt;"",F723-E723&lt;=Assumptions!$B$9),25,0)</f>
        <v>0</v>
      </c>
      <c r="K723" s="16" t="n">
        <f aca="false">IF(ISNUMBER(SEARCH(D723,Assumptions!$B$10)),15,0)</f>
        <v>0</v>
      </c>
      <c r="L723" s="16" t="n">
        <f aca="false">H723+I723+J723+K723</f>
        <v>0</v>
      </c>
      <c r="M723" s="16" t="str">
        <f aca="false">IF(L723&gt;=60,"High",IF(L723&gt;=30,"Medium","Low"))</f>
        <v>Low</v>
      </c>
    </row>
    <row r="724" customFormat="false" ht="15" hidden="false" customHeight="false" outlineLevel="0" collapsed="false">
      <c r="A724" s="16" t="str">
        <f aca="false">Payment_Log_AP!A721</f>
        <v>PAY40720</v>
      </c>
      <c r="B724" s="16" t="str">
        <f aca="false">Payment_Log_AP!C721</f>
        <v>V1021</v>
      </c>
      <c r="C724" s="16" t="str">
        <f aca="false">IFERROR(INDEX(Vendor_Master!$B$2:$B$41,MATCH(B724,Vendor_Master!$A$2:$A$41,0)),"Unknown Vendor")</f>
        <v>Ellis, Baker and Wright</v>
      </c>
      <c r="D724" s="16" t="str">
        <f aca="false">IFERROR(INDEX(Vendor_Master!$D$2:$D$41,MATCH(B724,Vendor_Master!$A$2:$A$41,0)),"Unknown")</f>
        <v>UAE</v>
      </c>
      <c r="E724" s="17" t="n">
        <f aca="false">IFERROR(INDEX(Vendor_Master!$E$2:$E$41,MATCH(B724,Vendor_Master!$A$2:$A$41,0)),"")</f>
        <v>45960</v>
      </c>
      <c r="F724" s="17" t="n">
        <f aca="false">Payment_Log_AP!D721</f>
        <v>46059</v>
      </c>
      <c r="G724" s="18" t="n">
        <f aca="false">Payment_Log_AP!E721</f>
        <v>12577.38</v>
      </c>
      <c r="H724" s="16" t="n">
        <f aca="false">IF(G724&gt;=Assumptions!$B$7,40,IF(G724&gt;=Assumptions!$B$8,20,0))</f>
        <v>40</v>
      </c>
      <c r="I724" s="16" t="n">
        <f aca="false">IF(MOD(G724,500)=0,20,IF(MOD(G724,100)=0,10,0))</f>
        <v>0</v>
      </c>
      <c r="J724" s="16" t="n">
        <f aca="false">IF(AND(E724&lt;&gt;"",F724-E724&lt;=Assumptions!$B$9),25,0)</f>
        <v>25</v>
      </c>
      <c r="K724" s="16" t="n">
        <f aca="false">IF(ISNUMBER(SEARCH(D724,Assumptions!$B$10)),15,0)</f>
        <v>15</v>
      </c>
      <c r="L724" s="16" t="n">
        <f aca="false">H724+I724+J724+K724</f>
        <v>80</v>
      </c>
      <c r="M724" s="16" t="str">
        <f aca="false">IF(L724&gt;=60,"High",IF(L724&gt;=30,"Medium","Low"))</f>
        <v>High</v>
      </c>
    </row>
    <row r="725" customFormat="false" ht="15" hidden="false" customHeight="false" outlineLevel="0" collapsed="false">
      <c r="A725" s="16" t="str">
        <f aca="false">Payment_Log_AP!A722</f>
        <v>PAY40721</v>
      </c>
      <c r="B725" s="16" t="str">
        <f aca="false">Payment_Log_AP!C722</f>
        <v>V1040</v>
      </c>
      <c r="C725" s="16" t="str">
        <f aca="false">IFERROR(INDEX(Vendor_Master!$B$2:$B$41,MATCH(B725,Vendor_Master!$A$2:$A$41,0)),"Unknown Vendor")</f>
        <v>Santos, Kim and Holmes</v>
      </c>
      <c r="D725" s="16" t="str">
        <f aca="false">IFERROR(INDEX(Vendor_Master!$D$2:$D$41,MATCH(B725,Vendor_Master!$A$2:$A$41,0)),"Unknown")</f>
        <v>India</v>
      </c>
      <c r="E725" s="17" t="n">
        <f aca="false">IFERROR(INDEX(Vendor_Master!$E$2:$E$41,MATCH(B725,Vendor_Master!$A$2:$A$41,0)),"")</f>
        <v>45192</v>
      </c>
      <c r="F725" s="17" t="n">
        <f aca="false">Payment_Log_AP!D722</f>
        <v>45855</v>
      </c>
      <c r="G725" s="18" t="n">
        <f aca="false">Payment_Log_AP!E722</f>
        <v>1844.19</v>
      </c>
      <c r="H725" s="16" t="n">
        <f aca="false">IF(G725&gt;=Assumptions!$B$7,40,IF(G725&gt;=Assumptions!$B$8,20,0))</f>
        <v>0</v>
      </c>
      <c r="I725" s="16" t="n">
        <f aca="false">IF(MOD(G725,500)=0,20,IF(MOD(G725,100)=0,10,0))</f>
        <v>0</v>
      </c>
      <c r="J725" s="16" t="n">
        <f aca="false">IF(AND(E725&lt;&gt;"",F725-E725&lt;=Assumptions!$B$9),25,0)</f>
        <v>0</v>
      </c>
      <c r="K725" s="16" t="n">
        <f aca="false">IF(ISNUMBER(SEARCH(D725,Assumptions!$B$10)),15,0)</f>
        <v>15</v>
      </c>
      <c r="L725" s="16" t="n">
        <f aca="false">H725+I725+J725+K725</f>
        <v>15</v>
      </c>
      <c r="M725" s="16" t="str">
        <f aca="false">IF(L725&gt;=60,"High",IF(L725&gt;=30,"Medium","Low"))</f>
        <v>Low</v>
      </c>
    </row>
    <row r="726" customFormat="false" ht="15" hidden="false" customHeight="false" outlineLevel="0" collapsed="false">
      <c r="A726" s="16" t="str">
        <f aca="false">Payment_Log_AP!A723</f>
        <v>PAY40722</v>
      </c>
      <c r="B726" s="16" t="str">
        <f aca="false">Payment_Log_AP!C723</f>
        <v>V1016</v>
      </c>
      <c r="C726" s="16" t="str">
        <f aca="false">IFERROR(INDEX(Vendor_Master!$B$2:$B$41,MATCH(B726,Vendor_Master!$A$2:$A$41,0)),"Unknown Vendor")</f>
        <v>Sanchez, Ford and Nelson</v>
      </c>
      <c r="D726" s="16" t="str">
        <f aca="false">IFERROR(INDEX(Vendor_Master!$D$2:$D$41,MATCH(B726,Vendor_Master!$A$2:$A$41,0)),"Unknown")</f>
        <v>India</v>
      </c>
      <c r="E726" s="17" t="n">
        <f aca="false">IFERROR(INDEX(Vendor_Master!$E$2:$E$41,MATCH(B726,Vendor_Master!$A$2:$A$41,0)),"")</f>
        <v>44832</v>
      </c>
      <c r="F726" s="17" t="n">
        <f aca="false">Payment_Log_AP!D723</f>
        <v>46090</v>
      </c>
      <c r="G726" s="18" t="n">
        <f aca="false">Payment_Log_AP!E723</f>
        <v>2123.23</v>
      </c>
      <c r="H726" s="16" t="n">
        <f aca="false">IF(G726&gt;=Assumptions!$B$7,40,IF(G726&gt;=Assumptions!$B$8,20,0))</f>
        <v>0</v>
      </c>
      <c r="I726" s="16" t="n">
        <f aca="false">IF(MOD(G726,500)=0,20,IF(MOD(G726,100)=0,10,0))</f>
        <v>0</v>
      </c>
      <c r="J726" s="16" t="n">
        <f aca="false">IF(AND(E726&lt;&gt;"",F726-E726&lt;=Assumptions!$B$9),25,0)</f>
        <v>0</v>
      </c>
      <c r="K726" s="16" t="n">
        <f aca="false">IF(ISNUMBER(SEARCH(D726,Assumptions!$B$10)),15,0)</f>
        <v>15</v>
      </c>
      <c r="L726" s="16" t="n">
        <f aca="false">H726+I726+J726+K726</f>
        <v>15</v>
      </c>
      <c r="M726" s="16" t="str">
        <f aca="false">IF(L726&gt;=60,"High",IF(L726&gt;=30,"Medium","Low"))</f>
        <v>Low</v>
      </c>
    </row>
    <row r="727" customFormat="false" ht="15" hidden="false" customHeight="false" outlineLevel="0" collapsed="false">
      <c r="A727" s="16" t="str">
        <f aca="false">Payment_Log_AP!A724</f>
        <v>PAY40723</v>
      </c>
      <c r="B727" s="16" t="str">
        <f aca="false">Payment_Log_AP!C724</f>
        <v>V1017</v>
      </c>
      <c r="C727" s="16" t="str">
        <f aca="false">IFERROR(INDEX(Vendor_Master!$B$2:$B$41,MATCH(B727,Vendor_Master!$A$2:$A$41,0)),"Unknown Vendor")</f>
        <v>Hawkins, Cohen and Cameron</v>
      </c>
      <c r="D727" s="16" t="str">
        <f aca="false">IFERROR(INDEX(Vendor_Master!$D$2:$D$41,MATCH(B727,Vendor_Master!$A$2:$A$41,0)),"Unknown")</f>
        <v>USA</v>
      </c>
      <c r="E727" s="17" t="n">
        <f aca="false">IFERROR(INDEX(Vendor_Master!$E$2:$E$41,MATCH(B727,Vendor_Master!$A$2:$A$41,0)),"")</f>
        <v>46025</v>
      </c>
      <c r="F727" s="17" t="n">
        <f aca="false">Payment_Log_AP!D724</f>
        <v>45748</v>
      </c>
      <c r="G727" s="18" t="n">
        <f aca="false">Payment_Log_AP!E724</f>
        <v>424.45</v>
      </c>
      <c r="H727" s="16" t="n">
        <f aca="false">IF(G727&gt;=Assumptions!$B$7,40,IF(G727&gt;=Assumptions!$B$8,20,0))</f>
        <v>0</v>
      </c>
      <c r="I727" s="16" t="n">
        <f aca="false">IF(MOD(G727,500)=0,20,IF(MOD(G727,100)=0,10,0))</f>
        <v>0</v>
      </c>
      <c r="J727" s="16" t="n">
        <f aca="false">IF(AND(E727&lt;&gt;"",F727-E727&lt;=Assumptions!$B$9),25,0)</f>
        <v>25</v>
      </c>
      <c r="K727" s="16" t="n">
        <f aca="false">IF(ISNUMBER(SEARCH(D727,Assumptions!$B$10)),15,0)</f>
        <v>0</v>
      </c>
      <c r="L727" s="16" t="n">
        <f aca="false">H727+I727+J727+K727</f>
        <v>25</v>
      </c>
      <c r="M727" s="16" t="str">
        <f aca="false">IF(L727&gt;=60,"High",IF(L727&gt;=30,"Medium","Low"))</f>
        <v>Low</v>
      </c>
    </row>
    <row r="728" customFormat="false" ht="15" hidden="false" customHeight="false" outlineLevel="0" collapsed="false">
      <c r="A728" s="16" t="str">
        <f aca="false">Payment_Log_AP!A725</f>
        <v>PAY40724</v>
      </c>
      <c r="B728" s="16" t="str">
        <f aca="false">Payment_Log_AP!C725</f>
        <v>V1006</v>
      </c>
      <c r="C728" s="16" t="str">
        <f aca="false">IFERROR(INDEX(Vendor_Master!$B$2:$B$41,MATCH(B728,Vendor_Master!$A$2:$A$41,0)),"Unknown Vendor")</f>
        <v>Blake and Sons</v>
      </c>
      <c r="D728" s="16" t="str">
        <f aca="false">IFERROR(INDEX(Vendor_Master!$D$2:$D$41,MATCH(B728,Vendor_Master!$A$2:$A$41,0)),"Unknown")</f>
        <v>UK</v>
      </c>
      <c r="E728" s="17" t="n">
        <f aca="false">IFERROR(INDEX(Vendor_Master!$E$2:$E$41,MATCH(B728,Vendor_Master!$A$2:$A$41,0)),"")</f>
        <v>45841</v>
      </c>
      <c r="F728" s="17" t="n">
        <f aca="false">Payment_Log_AP!D725</f>
        <v>45937</v>
      </c>
      <c r="G728" s="18" t="n">
        <f aca="false">Payment_Log_AP!E725</f>
        <v>751.88</v>
      </c>
      <c r="H728" s="16" t="n">
        <f aca="false">IF(G728&gt;=Assumptions!$B$7,40,IF(G728&gt;=Assumptions!$B$8,20,0))</f>
        <v>0</v>
      </c>
      <c r="I728" s="16" t="n">
        <f aca="false">IF(MOD(G728,500)=0,20,IF(MOD(G728,100)=0,10,0))</f>
        <v>0</v>
      </c>
      <c r="J728" s="16" t="n">
        <f aca="false">IF(AND(E728&lt;&gt;"",F728-E728&lt;=Assumptions!$B$9),25,0)</f>
        <v>25</v>
      </c>
      <c r="K728" s="16" t="n">
        <f aca="false">IF(ISNUMBER(SEARCH(D728,Assumptions!$B$10)),15,0)</f>
        <v>0</v>
      </c>
      <c r="L728" s="16" t="n">
        <f aca="false">H728+I728+J728+K728</f>
        <v>25</v>
      </c>
      <c r="M728" s="16" t="str">
        <f aca="false">IF(L728&gt;=60,"High",IF(L728&gt;=30,"Medium","Low"))</f>
        <v>Low</v>
      </c>
    </row>
    <row r="729" customFormat="false" ht="15" hidden="false" customHeight="false" outlineLevel="0" collapsed="false">
      <c r="A729" s="16" t="str">
        <f aca="false">Payment_Log_AP!A726</f>
        <v>PAY40725</v>
      </c>
      <c r="B729" s="16" t="str">
        <f aca="false">Payment_Log_AP!C726</f>
        <v>V1026</v>
      </c>
      <c r="C729" s="16" t="str">
        <f aca="false">IFERROR(INDEX(Vendor_Master!$B$2:$B$41,MATCH(B729,Vendor_Master!$A$2:$A$41,0)),"Unknown Vendor")</f>
        <v>James-Ferrell</v>
      </c>
      <c r="D729" s="16" t="str">
        <f aca="false">IFERROR(INDEX(Vendor_Master!$D$2:$D$41,MATCH(B729,Vendor_Master!$A$2:$A$41,0)),"Unknown")</f>
        <v>UAE</v>
      </c>
      <c r="E729" s="17" t="n">
        <f aca="false">IFERROR(INDEX(Vendor_Master!$E$2:$E$41,MATCH(B729,Vendor_Master!$A$2:$A$41,0)),"")</f>
        <v>45504</v>
      </c>
      <c r="F729" s="17" t="n">
        <f aca="false">Payment_Log_AP!D726</f>
        <v>45847</v>
      </c>
      <c r="G729" s="18" t="n">
        <f aca="false">Payment_Log_AP!E726</f>
        <v>2408.48</v>
      </c>
      <c r="H729" s="16" t="n">
        <f aca="false">IF(G729&gt;=Assumptions!$B$7,40,IF(G729&gt;=Assumptions!$B$8,20,0))</f>
        <v>0</v>
      </c>
      <c r="I729" s="16" t="n">
        <f aca="false">IF(MOD(G729,500)=0,20,IF(MOD(G729,100)=0,10,0))</f>
        <v>0</v>
      </c>
      <c r="J729" s="16" t="n">
        <f aca="false">IF(AND(E729&lt;&gt;"",F729-E729&lt;=Assumptions!$B$9),25,0)</f>
        <v>0</v>
      </c>
      <c r="K729" s="16" t="n">
        <f aca="false">IF(ISNUMBER(SEARCH(D729,Assumptions!$B$10)),15,0)</f>
        <v>15</v>
      </c>
      <c r="L729" s="16" t="n">
        <f aca="false">H729+I729+J729+K729</f>
        <v>15</v>
      </c>
      <c r="M729" s="16" t="str">
        <f aca="false">IF(L729&gt;=60,"High",IF(L729&gt;=30,"Medium","Low"))</f>
        <v>Low</v>
      </c>
    </row>
    <row r="730" customFormat="false" ht="15" hidden="false" customHeight="false" outlineLevel="0" collapsed="false">
      <c r="A730" s="16" t="str">
        <f aca="false">Payment_Log_AP!A727</f>
        <v>PAY40726</v>
      </c>
      <c r="B730" s="16" t="str">
        <f aca="false">Payment_Log_AP!C727</f>
        <v>V1025</v>
      </c>
      <c r="C730" s="16" t="str">
        <f aca="false">IFERROR(INDEX(Vendor_Master!$B$2:$B$41,MATCH(B730,Vendor_Master!$A$2:$A$41,0)),"Unknown Vendor")</f>
        <v>Conner Group</v>
      </c>
      <c r="D730" s="16" t="str">
        <f aca="false">IFERROR(INDEX(Vendor_Master!$D$2:$D$41,MATCH(B730,Vendor_Master!$A$2:$A$41,0)),"Unknown")</f>
        <v>USA</v>
      </c>
      <c r="E730" s="17" t="n">
        <f aca="false">IFERROR(INDEX(Vendor_Master!$E$2:$E$41,MATCH(B730,Vendor_Master!$A$2:$A$41,0)),"")</f>
        <v>44803</v>
      </c>
      <c r="F730" s="17" t="n">
        <f aca="false">Payment_Log_AP!D727</f>
        <v>46048</v>
      </c>
      <c r="G730" s="18" t="n">
        <f aca="false">Payment_Log_AP!E727</f>
        <v>197.82</v>
      </c>
      <c r="H730" s="16" t="n">
        <f aca="false">IF(G730&gt;=Assumptions!$B$7,40,IF(G730&gt;=Assumptions!$B$8,20,0))</f>
        <v>0</v>
      </c>
      <c r="I730" s="16" t="n">
        <f aca="false">IF(MOD(G730,500)=0,20,IF(MOD(G730,100)=0,10,0))</f>
        <v>0</v>
      </c>
      <c r="J730" s="16" t="n">
        <f aca="false">IF(AND(E730&lt;&gt;"",F730-E730&lt;=Assumptions!$B$9),25,0)</f>
        <v>0</v>
      </c>
      <c r="K730" s="16" t="n">
        <f aca="false">IF(ISNUMBER(SEARCH(D730,Assumptions!$B$10)),15,0)</f>
        <v>0</v>
      </c>
      <c r="L730" s="16" t="n">
        <f aca="false">H730+I730+J730+K730</f>
        <v>0</v>
      </c>
      <c r="M730" s="16" t="str">
        <f aca="false">IF(L730&gt;=60,"High",IF(L730&gt;=30,"Medium","Low"))</f>
        <v>Low</v>
      </c>
    </row>
    <row r="731" customFormat="false" ht="15" hidden="false" customHeight="false" outlineLevel="0" collapsed="false">
      <c r="A731" s="16" t="str">
        <f aca="false">Payment_Log_AP!A728</f>
        <v>PAY40727</v>
      </c>
      <c r="B731" s="16" t="str">
        <f aca="false">Payment_Log_AP!C728</f>
        <v>V1014</v>
      </c>
      <c r="C731" s="16" t="str">
        <f aca="false">IFERROR(INDEX(Vendor_Master!$B$2:$B$41,MATCH(B731,Vendor_Master!$A$2:$A$41,0)),"Unknown Vendor")</f>
        <v>Flowers, Martin and Kelly</v>
      </c>
      <c r="D731" s="16" t="str">
        <f aca="false">IFERROR(INDEX(Vendor_Master!$D$2:$D$41,MATCH(B731,Vendor_Master!$A$2:$A$41,0)),"Unknown")</f>
        <v>India</v>
      </c>
      <c r="E731" s="17" t="n">
        <f aca="false">IFERROR(INDEX(Vendor_Master!$E$2:$E$41,MATCH(B731,Vendor_Master!$A$2:$A$41,0)),"")</f>
        <v>45001</v>
      </c>
      <c r="F731" s="17" t="n">
        <f aca="false">Payment_Log_AP!D728</f>
        <v>45936</v>
      </c>
      <c r="G731" s="18" t="n">
        <f aca="false">Payment_Log_AP!E728</f>
        <v>5024.64</v>
      </c>
      <c r="H731" s="16" t="n">
        <f aca="false">IF(G731&gt;=Assumptions!$B$7,40,IF(G731&gt;=Assumptions!$B$8,20,0))</f>
        <v>20</v>
      </c>
      <c r="I731" s="16" t="n">
        <f aca="false">IF(MOD(G731,500)=0,20,IF(MOD(G731,100)=0,10,0))</f>
        <v>0</v>
      </c>
      <c r="J731" s="16" t="n">
        <f aca="false">IF(AND(E731&lt;&gt;"",F731-E731&lt;=Assumptions!$B$9),25,0)</f>
        <v>0</v>
      </c>
      <c r="K731" s="16" t="n">
        <f aca="false">IF(ISNUMBER(SEARCH(D731,Assumptions!$B$10)),15,0)</f>
        <v>15</v>
      </c>
      <c r="L731" s="16" t="n">
        <f aca="false">H731+I731+J731+K731</f>
        <v>35</v>
      </c>
      <c r="M731" s="16" t="str">
        <f aca="false">IF(L731&gt;=60,"High",IF(L731&gt;=30,"Medium","Low"))</f>
        <v>Medium</v>
      </c>
    </row>
    <row r="732" customFormat="false" ht="15" hidden="false" customHeight="false" outlineLevel="0" collapsed="false">
      <c r="A732" s="16" t="str">
        <f aca="false">Payment_Log_AP!A729</f>
        <v>PAY40728</v>
      </c>
      <c r="B732" s="16" t="str">
        <f aca="false">Payment_Log_AP!C729</f>
        <v>V1014</v>
      </c>
      <c r="C732" s="16" t="str">
        <f aca="false">IFERROR(INDEX(Vendor_Master!$B$2:$B$41,MATCH(B732,Vendor_Master!$A$2:$A$41,0)),"Unknown Vendor")</f>
        <v>Flowers, Martin and Kelly</v>
      </c>
      <c r="D732" s="16" t="str">
        <f aca="false">IFERROR(INDEX(Vendor_Master!$D$2:$D$41,MATCH(B732,Vendor_Master!$A$2:$A$41,0)),"Unknown")</f>
        <v>India</v>
      </c>
      <c r="E732" s="17" t="n">
        <f aca="false">IFERROR(INDEX(Vendor_Master!$E$2:$E$41,MATCH(B732,Vendor_Master!$A$2:$A$41,0)),"")</f>
        <v>45001</v>
      </c>
      <c r="F732" s="17" t="n">
        <f aca="false">Payment_Log_AP!D729</f>
        <v>45956</v>
      </c>
      <c r="G732" s="18" t="n">
        <f aca="false">Payment_Log_AP!E729</f>
        <v>5024.64</v>
      </c>
      <c r="H732" s="16" t="n">
        <f aca="false">IF(G732&gt;=Assumptions!$B$7,40,IF(G732&gt;=Assumptions!$B$8,20,0))</f>
        <v>20</v>
      </c>
      <c r="I732" s="16" t="n">
        <f aca="false">IF(MOD(G732,500)=0,20,IF(MOD(G732,100)=0,10,0))</f>
        <v>0</v>
      </c>
      <c r="J732" s="16" t="n">
        <f aca="false">IF(AND(E732&lt;&gt;"",F732-E732&lt;=Assumptions!$B$9),25,0)</f>
        <v>0</v>
      </c>
      <c r="K732" s="16" t="n">
        <f aca="false">IF(ISNUMBER(SEARCH(D732,Assumptions!$B$10)),15,0)</f>
        <v>15</v>
      </c>
      <c r="L732" s="16" t="n">
        <f aca="false">H732+I732+J732+K732</f>
        <v>35</v>
      </c>
      <c r="M732" s="16" t="str">
        <f aca="false">IF(L732&gt;=60,"High",IF(L732&gt;=30,"Medium","Low"))</f>
        <v>Medium</v>
      </c>
    </row>
    <row r="733" customFormat="false" ht="15" hidden="false" customHeight="false" outlineLevel="0" collapsed="false">
      <c r="A733" s="16" t="str">
        <f aca="false">Payment_Log_AP!A730</f>
        <v>PAY40729</v>
      </c>
      <c r="B733" s="16" t="str">
        <f aca="false">Payment_Log_AP!C730</f>
        <v>V1034</v>
      </c>
      <c r="C733" s="16" t="str">
        <f aca="false">IFERROR(INDEX(Vendor_Master!$B$2:$B$41,MATCH(B733,Vendor_Master!$A$2:$A$41,0)),"Unknown Vendor")</f>
        <v>Koch-Decker</v>
      </c>
      <c r="D733" s="16" t="str">
        <f aca="false">IFERROR(INDEX(Vendor_Master!$D$2:$D$41,MATCH(B733,Vendor_Master!$A$2:$A$41,0)),"Unknown")</f>
        <v>Germany</v>
      </c>
      <c r="E733" s="17" t="n">
        <f aca="false">IFERROR(INDEX(Vendor_Master!$E$2:$E$41,MATCH(B733,Vendor_Master!$A$2:$A$41,0)),"")</f>
        <v>44738</v>
      </c>
      <c r="F733" s="17" t="n">
        <f aca="false">Payment_Log_AP!D730</f>
        <v>46048</v>
      </c>
      <c r="G733" s="18" t="n">
        <f aca="false">Payment_Log_AP!E730</f>
        <v>4289.12</v>
      </c>
      <c r="H733" s="16" t="n">
        <f aca="false">IF(G733&gt;=Assumptions!$B$7,40,IF(G733&gt;=Assumptions!$B$8,20,0))</f>
        <v>0</v>
      </c>
      <c r="I733" s="16" t="n">
        <f aca="false">IF(MOD(G733,500)=0,20,IF(MOD(G733,100)=0,10,0))</f>
        <v>0</v>
      </c>
      <c r="J733" s="16" t="n">
        <f aca="false">IF(AND(E733&lt;&gt;"",F733-E733&lt;=Assumptions!$B$9),25,0)</f>
        <v>0</v>
      </c>
      <c r="K733" s="16" t="n">
        <f aca="false">IF(ISNUMBER(SEARCH(D733,Assumptions!$B$10)),15,0)</f>
        <v>0</v>
      </c>
      <c r="L733" s="16" t="n">
        <f aca="false">H733+I733+J733+K733</f>
        <v>0</v>
      </c>
      <c r="M733" s="16" t="str">
        <f aca="false">IF(L733&gt;=60,"High",IF(L733&gt;=30,"Medium","Low"))</f>
        <v>Low</v>
      </c>
    </row>
    <row r="734" customFormat="false" ht="15" hidden="false" customHeight="false" outlineLevel="0" collapsed="false">
      <c r="A734" s="16" t="str">
        <f aca="false">Payment_Log_AP!A731</f>
        <v>PAY40730</v>
      </c>
      <c r="B734" s="16" t="str">
        <f aca="false">Payment_Log_AP!C731</f>
        <v>V1002</v>
      </c>
      <c r="C734" s="16" t="str">
        <f aca="false">IFERROR(INDEX(Vendor_Master!$B$2:$B$41,MATCH(B734,Vendor_Master!$A$2:$A$41,0)),"Unknown Vendor")</f>
        <v>Garcia, Yang and Gardner</v>
      </c>
      <c r="D734" s="16" t="str">
        <f aca="false">IFERROR(INDEX(Vendor_Master!$D$2:$D$41,MATCH(B734,Vendor_Master!$A$2:$A$41,0)),"Unknown")</f>
        <v>UK</v>
      </c>
      <c r="E734" s="17" t="n">
        <f aca="false">IFERROR(INDEX(Vendor_Master!$E$2:$E$41,MATCH(B734,Vendor_Master!$A$2:$A$41,0)),"")</f>
        <v>44914</v>
      </c>
      <c r="F734" s="17" t="n">
        <f aca="false">Payment_Log_AP!D731</f>
        <v>45730</v>
      </c>
      <c r="G734" s="18" t="n">
        <f aca="false">Payment_Log_AP!E731</f>
        <v>264.62</v>
      </c>
      <c r="H734" s="16" t="n">
        <f aca="false">IF(G734&gt;=Assumptions!$B$7,40,IF(G734&gt;=Assumptions!$B$8,20,0))</f>
        <v>0</v>
      </c>
      <c r="I734" s="16" t="n">
        <f aca="false">IF(MOD(G734,500)=0,20,IF(MOD(G734,100)=0,10,0))</f>
        <v>0</v>
      </c>
      <c r="J734" s="16" t="n">
        <f aca="false">IF(AND(E734&lt;&gt;"",F734-E734&lt;=Assumptions!$B$9),25,0)</f>
        <v>0</v>
      </c>
      <c r="K734" s="16" t="n">
        <f aca="false">IF(ISNUMBER(SEARCH(D734,Assumptions!$B$10)),15,0)</f>
        <v>0</v>
      </c>
      <c r="L734" s="16" t="n">
        <f aca="false">H734+I734+J734+K734</f>
        <v>0</v>
      </c>
      <c r="M734" s="16" t="str">
        <f aca="false">IF(L734&gt;=60,"High",IF(L734&gt;=30,"Medium","Low"))</f>
        <v>Low</v>
      </c>
    </row>
    <row r="735" customFormat="false" ht="15" hidden="false" customHeight="false" outlineLevel="0" collapsed="false">
      <c r="A735" s="16" t="str">
        <f aca="false">Payment_Log_AP!A732</f>
        <v>PAY40731</v>
      </c>
      <c r="B735" s="16" t="str">
        <f aca="false">Payment_Log_AP!C732</f>
        <v>V1002</v>
      </c>
      <c r="C735" s="16" t="str">
        <f aca="false">IFERROR(INDEX(Vendor_Master!$B$2:$B$41,MATCH(B735,Vendor_Master!$A$2:$A$41,0)),"Unknown Vendor")</f>
        <v>Garcia, Yang and Gardner</v>
      </c>
      <c r="D735" s="16" t="str">
        <f aca="false">IFERROR(INDEX(Vendor_Master!$D$2:$D$41,MATCH(B735,Vendor_Master!$A$2:$A$41,0)),"Unknown")</f>
        <v>UK</v>
      </c>
      <c r="E735" s="17" t="n">
        <f aca="false">IFERROR(INDEX(Vendor_Master!$E$2:$E$41,MATCH(B735,Vendor_Master!$A$2:$A$41,0)),"")</f>
        <v>44914</v>
      </c>
      <c r="F735" s="17" t="n">
        <f aca="false">Payment_Log_AP!D732</f>
        <v>45896</v>
      </c>
      <c r="G735" s="18" t="n">
        <f aca="false">Payment_Log_AP!E732</f>
        <v>18783.05</v>
      </c>
      <c r="H735" s="16" t="n">
        <f aca="false">IF(G735&gt;=Assumptions!$B$7,40,IF(G735&gt;=Assumptions!$B$8,20,0))</f>
        <v>40</v>
      </c>
      <c r="I735" s="16" t="n">
        <f aca="false">IF(MOD(G735,500)=0,20,IF(MOD(G735,100)=0,10,0))</f>
        <v>0</v>
      </c>
      <c r="J735" s="16" t="n">
        <f aca="false">IF(AND(E735&lt;&gt;"",F735-E735&lt;=Assumptions!$B$9),25,0)</f>
        <v>0</v>
      </c>
      <c r="K735" s="16" t="n">
        <f aca="false">IF(ISNUMBER(SEARCH(D735,Assumptions!$B$10)),15,0)</f>
        <v>0</v>
      </c>
      <c r="L735" s="16" t="n">
        <f aca="false">H735+I735+J735+K735</f>
        <v>40</v>
      </c>
      <c r="M735" s="16" t="str">
        <f aca="false">IF(L735&gt;=60,"High",IF(L735&gt;=30,"Medium","Low"))</f>
        <v>Medium</v>
      </c>
    </row>
    <row r="736" customFormat="false" ht="15" hidden="false" customHeight="false" outlineLevel="0" collapsed="false">
      <c r="A736" s="16" t="str">
        <f aca="false">Payment_Log_AP!A733</f>
        <v>PAY40732</v>
      </c>
      <c r="B736" s="16" t="str">
        <f aca="false">Payment_Log_AP!C733</f>
        <v>V1031</v>
      </c>
      <c r="C736" s="16" t="str">
        <f aca="false">IFERROR(INDEX(Vendor_Master!$B$2:$B$41,MATCH(B736,Vendor_Master!$A$2:$A$41,0)),"Unknown Vendor")</f>
        <v>Harrell LLC</v>
      </c>
      <c r="D736" s="16" t="str">
        <f aca="false">IFERROR(INDEX(Vendor_Master!$D$2:$D$41,MATCH(B736,Vendor_Master!$A$2:$A$41,0)),"Unknown")</f>
        <v>Canada</v>
      </c>
      <c r="E736" s="17" t="n">
        <f aca="false">IFERROR(INDEX(Vendor_Master!$E$2:$E$41,MATCH(B736,Vendor_Master!$A$2:$A$41,0)),"")</f>
        <v>45364</v>
      </c>
      <c r="F736" s="17" t="n">
        <f aca="false">Payment_Log_AP!D733</f>
        <v>46027</v>
      </c>
      <c r="G736" s="18" t="n">
        <f aca="false">Payment_Log_AP!E733</f>
        <v>796.83</v>
      </c>
      <c r="H736" s="16" t="n">
        <f aca="false">IF(G736&gt;=Assumptions!$B$7,40,IF(G736&gt;=Assumptions!$B$8,20,0))</f>
        <v>0</v>
      </c>
      <c r="I736" s="16" t="n">
        <f aca="false">IF(MOD(G736,500)=0,20,IF(MOD(G736,100)=0,10,0))</f>
        <v>0</v>
      </c>
      <c r="J736" s="16" t="n">
        <f aca="false">IF(AND(E736&lt;&gt;"",F736-E736&lt;=Assumptions!$B$9),25,0)</f>
        <v>0</v>
      </c>
      <c r="K736" s="16" t="n">
        <f aca="false">IF(ISNUMBER(SEARCH(D736,Assumptions!$B$10)),15,0)</f>
        <v>0</v>
      </c>
      <c r="L736" s="16" t="n">
        <f aca="false">H736+I736+J736+K736</f>
        <v>0</v>
      </c>
      <c r="M736" s="16" t="str">
        <f aca="false">IF(L736&gt;=60,"High",IF(L736&gt;=30,"Medium","Low"))</f>
        <v>Low</v>
      </c>
    </row>
    <row r="737" customFormat="false" ht="15" hidden="false" customHeight="false" outlineLevel="0" collapsed="false">
      <c r="A737" s="16" t="str">
        <f aca="false">Payment_Log_AP!A734</f>
        <v>PAY40733</v>
      </c>
      <c r="B737" s="16" t="str">
        <f aca="false">Payment_Log_AP!C734</f>
        <v>V1034</v>
      </c>
      <c r="C737" s="16" t="str">
        <f aca="false">IFERROR(INDEX(Vendor_Master!$B$2:$B$41,MATCH(B737,Vendor_Master!$A$2:$A$41,0)),"Unknown Vendor")</f>
        <v>Koch-Decker</v>
      </c>
      <c r="D737" s="16" t="str">
        <f aca="false">IFERROR(INDEX(Vendor_Master!$D$2:$D$41,MATCH(B737,Vendor_Master!$A$2:$A$41,0)),"Unknown")</f>
        <v>Germany</v>
      </c>
      <c r="E737" s="17" t="n">
        <f aca="false">IFERROR(INDEX(Vendor_Master!$E$2:$E$41,MATCH(B737,Vendor_Master!$A$2:$A$41,0)),"")</f>
        <v>44738</v>
      </c>
      <c r="F737" s="17" t="n">
        <f aca="false">Payment_Log_AP!D734</f>
        <v>45691</v>
      </c>
      <c r="G737" s="18" t="n">
        <f aca="false">Payment_Log_AP!E734</f>
        <v>115.93</v>
      </c>
      <c r="H737" s="16" t="n">
        <f aca="false">IF(G737&gt;=Assumptions!$B$7,40,IF(G737&gt;=Assumptions!$B$8,20,0))</f>
        <v>0</v>
      </c>
      <c r="I737" s="16" t="n">
        <f aca="false">IF(MOD(G737,500)=0,20,IF(MOD(G737,100)=0,10,0))</f>
        <v>0</v>
      </c>
      <c r="J737" s="16" t="n">
        <f aca="false">IF(AND(E737&lt;&gt;"",F737-E737&lt;=Assumptions!$B$9),25,0)</f>
        <v>0</v>
      </c>
      <c r="K737" s="16" t="n">
        <f aca="false">IF(ISNUMBER(SEARCH(D737,Assumptions!$B$10)),15,0)</f>
        <v>0</v>
      </c>
      <c r="L737" s="16" t="n">
        <f aca="false">H737+I737+J737+K737</f>
        <v>0</v>
      </c>
      <c r="M737" s="16" t="str">
        <f aca="false">IF(L737&gt;=60,"High",IF(L737&gt;=30,"Medium","Low"))</f>
        <v>Low</v>
      </c>
    </row>
    <row r="738" customFormat="false" ht="15" hidden="false" customHeight="false" outlineLevel="0" collapsed="false">
      <c r="A738" s="16" t="str">
        <f aca="false">Payment_Log_AP!A735</f>
        <v>PAY40734</v>
      </c>
      <c r="B738" s="16" t="str">
        <f aca="false">Payment_Log_AP!C735</f>
        <v>V1039</v>
      </c>
      <c r="C738" s="16" t="str">
        <f aca="false">IFERROR(INDEX(Vendor_Master!$B$2:$B$41,MATCH(B738,Vendor_Master!$A$2:$A$41,0)),"Unknown Vendor")</f>
        <v>Campos, Vaughn and Marquez</v>
      </c>
      <c r="D738" s="16" t="str">
        <f aca="false">IFERROR(INDEX(Vendor_Master!$D$2:$D$41,MATCH(B738,Vendor_Master!$A$2:$A$41,0)),"Unknown")</f>
        <v>USA</v>
      </c>
      <c r="E738" s="17" t="n">
        <f aca="false">IFERROR(INDEX(Vendor_Master!$E$2:$E$41,MATCH(B738,Vendor_Master!$A$2:$A$41,0)),"")</f>
        <v>46086</v>
      </c>
      <c r="F738" s="17" t="n">
        <f aca="false">Payment_Log_AP!D735</f>
        <v>45832</v>
      </c>
      <c r="G738" s="18" t="n">
        <f aca="false">Payment_Log_AP!E735</f>
        <v>2115.29</v>
      </c>
      <c r="H738" s="16" t="n">
        <f aca="false">IF(G738&gt;=Assumptions!$B$7,40,IF(G738&gt;=Assumptions!$B$8,20,0))</f>
        <v>0</v>
      </c>
      <c r="I738" s="16" t="n">
        <f aca="false">IF(MOD(G738,500)=0,20,IF(MOD(G738,100)=0,10,0))</f>
        <v>0</v>
      </c>
      <c r="J738" s="16" t="n">
        <f aca="false">IF(AND(E738&lt;&gt;"",F738-E738&lt;=Assumptions!$B$9),25,0)</f>
        <v>25</v>
      </c>
      <c r="K738" s="16" t="n">
        <f aca="false">IF(ISNUMBER(SEARCH(D738,Assumptions!$B$10)),15,0)</f>
        <v>0</v>
      </c>
      <c r="L738" s="16" t="n">
        <f aca="false">H738+I738+J738+K738</f>
        <v>25</v>
      </c>
      <c r="M738" s="16" t="str">
        <f aca="false">IF(L738&gt;=60,"High",IF(L738&gt;=30,"Medium","Low"))</f>
        <v>Low</v>
      </c>
    </row>
    <row r="739" customFormat="false" ht="15" hidden="false" customHeight="false" outlineLevel="0" collapsed="false">
      <c r="A739" s="16" t="str">
        <f aca="false">Payment_Log_AP!A736</f>
        <v>PAY40735</v>
      </c>
      <c r="B739" s="16" t="str">
        <f aca="false">Payment_Log_AP!C736</f>
        <v>V1037</v>
      </c>
      <c r="C739" s="16" t="str">
        <f aca="false">IFERROR(INDEX(Vendor_Master!$B$2:$B$41,MATCH(B739,Vendor_Master!$A$2:$A$41,0)),"Unknown Vendor")</f>
        <v>Cannon, Anderson and Alvarez</v>
      </c>
      <c r="D739" s="16" t="str">
        <f aca="false">IFERROR(INDEX(Vendor_Master!$D$2:$D$41,MATCH(B739,Vendor_Master!$A$2:$A$41,0)),"Unknown")</f>
        <v>India</v>
      </c>
      <c r="E739" s="17" t="n">
        <f aca="false">IFERROR(INDEX(Vendor_Master!$E$2:$E$41,MATCH(B739,Vendor_Master!$A$2:$A$41,0)),"")</f>
        <v>46108</v>
      </c>
      <c r="F739" s="17" t="n">
        <f aca="false">Payment_Log_AP!D736</f>
        <v>45785</v>
      </c>
      <c r="G739" s="18" t="n">
        <f aca="false">Payment_Log_AP!E736</f>
        <v>1027.6</v>
      </c>
      <c r="H739" s="16" t="n">
        <f aca="false">IF(G739&gt;=Assumptions!$B$7,40,IF(G739&gt;=Assumptions!$B$8,20,0))</f>
        <v>0</v>
      </c>
      <c r="I739" s="16" t="n">
        <f aca="false">IF(MOD(G739,500)=0,20,IF(MOD(G739,100)=0,10,0))</f>
        <v>0</v>
      </c>
      <c r="J739" s="16" t="n">
        <f aca="false">IF(AND(E739&lt;&gt;"",F739-E739&lt;=Assumptions!$B$9),25,0)</f>
        <v>25</v>
      </c>
      <c r="K739" s="16" t="n">
        <f aca="false">IF(ISNUMBER(SEARCH(D739,Assumptions!$B$10)),15,0)</f>
        <v>15</v>
      </c>
      <c r="L739" s="16" t="n">
        <f aca="false">H739+I739+J739+K739</f>
        <v>40</v>
      </c>
      <c r="M739" s="16" t="str">
        <f aca="false">IF(L739&gt;=60,"High",IF(L739&gt;=30,"Medium","Low"))</f>
        <v>Medium</v>
      </c>
    </row>
    <row r="740" customFormat="false" ht="15" hidden="false" customHeight="false" outlineLevel="0" collapsed="false">
      <c r="A740" s="16" t="str">
        <f aca="false">Payment_Log_AP!A737</f>
        <v>PAY40736</v>
      </c>
      <c r="B740" s="16" t="str">
        <f aca="false">Payment_Log_AP!C737</f>
        <v>V1003</v>
      </c>
      <c r="C740" s="16" t="str">
        <f aca="false">IFERROR(INDEX(Vendor_Master!$B$2:$B$41,MATCH(B740,Vendor_Master!$A$2:$A$41,0)),"Unknown Vendor")</f>
        <v>Johnson and Sons</v>
      </c>
      <c r="D740" s="16" t="str">
        <f aca="false">IFERROR(INDEX(Vendor_Master!$D$2:$D$41,MATCH(B740,Vendor_Master!$A$2:$A$41,0)),"Unknown")</f>
        <v>UAE</v>
      </c>
      <c r="E740" s="17" t="n">
        <f aca="false">IFERROR(INDEX(Vendor_Master!$E$2:$E$41,MATCH(B740,Vendor_Master!$A$2:$A$41,0)),"")</f>
        <v>45495</v>
      </c>
      <c r="F740" s="17" t="n">
        <f aca="false">Payment_Log_AP!D737</f>
        <v>45752</v>
      </c>
      <c r="G740" s="18" t="n">
        <f aca="false">Payment_Log_AP!E737</f>
        <v>1165</v>
      </c>
      <c r="H740" s="16" t="n">
        <f aca="false">IF(G740&gt;=Assumptions!$B$7,40,IF(G740&gt;=Assumptions!$B$8,20,0))</f>
        <v>0</v>
      </c>
      <c r="I740" s="16" t="n">
        <f aca="false">IF(MOD(G740,500)=0,20,IF(MOD(G740,100)=0,10,0))</f>
        <v>0</v>
      </c>
      <c r="J740" s="16" t="n">
        <f aca="false">IF(AND(E740&lt;&gt;"",F740-E740&lt;=Assumptions!$B$9),25,0)</f>
        <v>0</v>
      </c>
      <c r="K740" s="16" t="n">
        <f aca="false">IF(ISNUMBER(SEARCH(D740,Assumptions!$B$10)),15,0)</f>
        <v>15</v>
      </c>
      <c r="L740" s="16" t="n">
        <f aca="false">H740+I740+J740+K740</f>
        <v>15</v>
      </c>
      <c r="M740" s="16" t="str">
        <f aca="false">IF(L740&gt;=60,"High",IF(L740&gt;=30,"Medium","Low"))</f>
        <v>Low</v>
      </c>
    </row>
    <row r="741" customFormat="false" ht="15" hidden="false" customHeight="false" outlineLevel="0" collapsed="false">
      <c r="A741" s="16" t="str">
        <f aca="false">Payment_Log_AP!A738</f>
        <v>PAY40737</v>
      </c>
      <c r="B741" s="16" t="str">
        <f aca="false">Payment_Log_AP!C738</f>
        <v>V1037</v>
      </c>
      <c r="C741" s="16" t="str">
        <f aca="false">IFERROR(INDEX(Vendor_Master!$B$2:$B$41,MATCH(B741,Vendor_Master!$A$2:$A$41,0)),"Unknown Vendor")</f>
        <v>Cannon, Anderson and Alvarez</v>
      </c>
      <c r="D741" s="16" t="str">
        <f aca="false">IFERROR(INDEX(Vendor_Master!$D$2:$D$41,MATCH(B741,Vendor_Master!$A$2:$A$41,0)),"Unknown")</f>
        <v>India</v>
      </c>
      <c r="E741" s="17" t="n">
        <f aca="false">IFERROR(INDEX(Vendor_Master!$E$2:$E$41,MATCH(B741,Vendor_Master!$A$2:$A$41,0)),"")</f>
        <v>46108</v>
      </c>
      <c r="F741" s="17" t="n">
        <f aca="false">Payment_Log_AP!D738</f>
        <v>45818</v>
      </c>
      <c r="G741" s="18" t="n">
        <f aca="false">Payment_Log_AP!E738</f>
        <v>1553.94</v>
      </c>
      <c r="H741" s="16" t="n">
        <f aca="false">IF(G741&gt;=Assumptions!$B$7,40,IF(G741&gt;=Assumptions!$B$8,20,0))</f>
        <v>0</v>
      </c>
      <c r="I741" s="16" t="n">
        <f aca="false">IF(MOD(G741,500)=0,20,IF(MOD(G741,100)=0,10,0))</f>
        <v>0</v>
      </c>
      <c r="J741" s="16" t="n">
        <f aca="false">IF(AND(E741&lt;&gt;"",F741-E741&lt;=Assumptions!$B$9),25,0)</f>
        <v>25</v>
      </c>
      <c r="K741" s="16" t="n">
        <f aca="false">IF(ISNUMBER(SEARCH(D741,Assumptions!$B$10)),15,0)</f>
        <v>15</v>
      </c>
      <c r="L741" s="16" t="n">
        <f aca="false">H741+I741+J741+K741</f>
        <v>40</v>
      </c>
      <c r="M741" s="16" t="str">
        <f aca="false">IF(L741&gt;=60,"High",IF(L741&gt;=30,"Medium","Low"))</f>
        <v>Medium</v>
      </c>
    </row>
    <row r="742" customFormat="false" ht="15" hidden="false" customHeight="false" outlineLevel="0" collapsed="false">
      <c r="A742" s="16" t="str">
        <f aca="false">Payment_Log_AP!A739</f>
        <v>PAY40738</v>
      </c>
      <c r="B742" s="16" t="str">
        <f aca="false">Payment_Log_AP!C739</f>
        <v>V1037</v>
      </c>
      <c r="C742" s="16" t="str">
        <f aca="false">IFERROR(INDEX(Vendor_Master!$B$2:$B$41,MATCH(B742,Vendor_Master!$A$2:$A$41,0)),"Unknown Vendor")</f>
        <v>Cannon, Anderson and Alvarez</v>
      </c>
      <c r="D742" s="16" t="str">
        <f aca="false">IFERROR(INDEX(Vendor_Master!$D$2:$D$41,MATCH(B742,Vendor_Master!$A$2:$A$41,0)),"Unknown")</f>
        <v>India</v>
      </c>
      <c r="E742" s="17" t="n">
        <f aca="false">IFERROR(INDEX(Vendor_Master!$E$2:$E$41,MATCH(B742,Vendor_Master!$A$2:$A$41,0)),"")</f>
        <v>46108</v>
      </c>
      <c r="F742" s="17" t="n">
        <f aca="false">Payment_Log_AP!D739</f>
        <v>45835</v>
      </c>
      <c r="G742" s="18" t="n">
        <f aca="false">Payment_Log_AP!E739</f>
        <v>1553.94</v>
      </c>
      <c r="H742" s="16" t="n">
        <f aca="false">IF(G742&gt;=Assumptions!$B$7,40,IF(G742&gt;=Assumptions!$B$8,20,0))</f>
        <v>0</v>
      </c>
      <c r="I742" s="16" t="n">
        <f aca="false">IF(MOD(G742,500)=0,20,IF(MOD(G742,100)=0,10,0))</f>
        <v>0</v>
      </c>
      <c r="J742" s="16" t="n">
        <f aca="false">IF(AND(E742&lt;&gt;"",F742-E742&lt;=Assumptions!$B$9),25,0)</f>
        <v>25</v>
      </c>
      <c r="K742" s="16" t="n">
        <f aca="false">IF(ISNUMBER(SEARCH(D742,Assumptions!$B$10)),15,0)</f>
        <v>15</v>
      </c>
      <c r="L742" s="16" t="n">
        <f aca="false">H742+I742+J742+K742</f>
        <v>40</v>
      </c>
      <c r="M742" s="16" t="str">
        <f aca="false">IF(L742&gt;=60,"High",IF(L742&gt;=30,"Medium","Low"))</f>
        <v>Medium</v>
      </c>
    </row>
    <row r="743" customFormat="false" ht="15" hidden="false" customHeight="false" outlineLevel="0" collapsed="false">
      <c r="A743" s="16" t="str">
        <f aca="false">Payment_Log_AP!A740</f>
        <v>PAY40739</v>
      </c>
      <c r="B743" s="16" t="str">
        <f aca="false">Payment_Log_AP!C740</f>
        <v>V1024</v>
      </c>
      <c r="C743" s="16" t="str">
        <f aca="false">IFERROR(INDEX(Vendor_Master!$B$2:$B$41,MATCH(B743,Vendor_Master!$A$2:$A$41,0)),"Unknown Vendor")</f>
        <v>Campos Inc</v>
      </c>
      <c r="D743" s="16" t="str">
        <f aca="false">IFERROR(INDEX(Vendor_Master!$D$2:$D$41,MATCH(B743,Vendor_Master!$A$2:$A$41,0)),"Unknown")</f>
        <v>USA</v>
      </c>
      <c r="E743" s="17" t="n">
        <f aca="false">IFERROR(INDEX(Vendor_Master!$E$2:$E$41,MATCH(B743,Vendor_Master!$A$2:$A$41,0)),"")</f>
        <v>45367</v>
      </c>
      <c r="F743" s="17" t="n">
        <f aca="false">Payment_Log_AP!D740</f>
        <v>45865</v>
      </c>
      <c r="G743" s="18" t="n">
        <f aca="false">Payment_Log_AP!E740</f>
        <v>764.25</v>
      </c>
      <c r="H743" s="16" t="n">
        <f aca="false">IF(G743&gt;=Assumptions!$B$7,40,IF(G743&gt;=Assumptions!$B$8,20,0))</f>
        <v>0</v>
      </c>
      <c r="I743" s="16" t="n">
        <f aca="false">IF(MOD(G743,500)=0,20,IF(MOD(G743,100)=0,10,0))</f>
        <v>0</v>
      </c>
      <c r="J743" s="16" t="n">
        <f aca="false">IF(AND(E743&lt;&gt;"",F743-E743&lt;=Assumptions!$B$9),25,0)</f>
        <v>0</v>
      </c>
      <c r="K743" s="16" t="n">
        <f aca="false">IF(ISNUMBER(SEARCH(D743,Assumptions!$B$10)),15,0)</f>
        <v>0</v>
      </c>
      <c r="L743" s="16" t="n">
        <f aca="false">H743+I743+J743+K743</f>
        <v>0</v>
      </c>
      <c r="M743" s="16" t="str">
        <f aca="false">IF(L743&gt;=60,"High",IF(L743&gt;=30,"Medium","Low"))</f>
        <v>Low</v>
      </c>
    </row>
    <row r="744" customFormat="false" ht="15" hidden="false" customHeight="false" outlineLevel="0" collapsed="false">
      <c r="A744" s="16" t="str">
        <f aca="false">Payment_Log_AP!A741</f>
        <v>PAY40740</v>
      </c>
      <c r="B744" s="16" t="str">
        <f aca="false">Payment_Log_AP!C741</f>
        <v>V1022</v>
      </c>
      <c r="C744" s="16" t="str">
        <f aca="false">IFERROR(INDEX(Vendor_Master!$B$2:$B$41,MATCH(B744,Vendor_Master!$A$2:$A$41,0)),"Unknown Vendor")</f>
        <v>Burgess-Patterson</v>
      </c>
      <c r="D744" s="16" t="str">
        <f aca="false">IFERROR(INDEX(Vendor_Master!$D$2:$D$41,MATCH(B744,Vendor_Master!$A$2:$A$41,0)),"Unknown")</f>
        <v>Germany</v>
      </c>
      <c r="E744" s="17" t="n">
        <f aca="false">IFERROR(INDEX(Vendor_Master!$E$2:$E$41,MATCH(B744,Vendor_Master!$A$2:$A$41,0)),"")</f>
        <v>45449</v>
      </c>
      <c r="F744" s="17" t="n">
        <f aca="false">Payment_Log_AP!D741</f>
        <v>45708</v>
      </c>
      <c r="G744" s="18" t="n">
        <f aca="false">Payment_Log_AP!E741</f>
        <v>8318.12</v>
      </c>
      <c r="H744" s="16" t="n">
        <f aca="false">IF(G744&gt;=Assumptions!$B$7,40,IF(G744&gt;=Assumptions!$B$8,20,0))</f>
        <v>20</v>
      </c>
      <c r="I744" s="16" t="n">
        <f aca="false">IF(MOD(G744,500)=0,20,IF(MOD(G744,100)=0,10,0))</f>
        <v>0</v>
      </c>
      <c r="J744" s="16" t="n">
        <f aca="false">IF(AND(E744&lt;&gt;"",F744-E744&lt;=Assumptions!$B$9),25,0)</f>
        <v>0</v>
      </c>
      <c r="K744" s="16" t="n">
        <f aca="false">IF(ISNUMBER(SEARCH(D744,Assumptions!$B$10)),15,0)</f>
        <v>0</v>
      </c>
      <c r="L744" s="16" t="n">
        <f aca="false">H744+I744+J744+K744</f>
        <v>20</v>
      </c>
      <c r="M744" s="16" t="str">
        <f aca="false">IF(L744&gt;=60,"High",IF(L744&gt;=30,"Medium","Low"))</f>
        <v>Low</v>
      </c>
    </row>
    <row r="745" customFormat="false" ht="15" hidden="false" customHeight="false" outlineLevel="0" collapsed="false">
      <c r="A745" s="16" t="str">
        <f aca="false">Payment_Log_AP!A742</f>
        <v>PAY40741</v>
      </c>
      <c r="B745" s="16" t="str">
        <f aca="false">Payment_Log_AP!C742</f>
        <v>V1027</v>
      </c>
      <c r="C745" s="16" t="str">
        <f aca="false">IFERROR(INDEX(Vendor_Master!$B$2:$B$41,MATCH(B745,Vendor_Master!$A$2:$A$41,0)),"Unknown Vendor")</f>
        <v>Valencia, Smith and Le</v>
      </c>
      <c r="D745" s="16" t="str">
        <f aca="false">IFERROR(INDEX(Vendor_Master!$D$2:$D$41,MATCH(B745,Vendor_Master!$A$2:$A$41,0)),"Unknown")</f>
        <v>Germany</v>
      </c>
      <c r="E745" s="17" t="n">
        <f aca="false">IFERROR(INDEX(Vendor_Master!$E$2:$E$41,MATCH(B745,Vendor_Master!$A$2:$A$41,0)),"")</f>
        <v>45398</v>
      </c>
      <c r="F745" s="17" t="n">
        <f aca="false">Payment_Log_AP!D742</f>
        <v>46094</v>
      </c>
      <c r="G745" s="18" t="n">
        <f aca="false">Payment_Log_AP!E742</f>
        <v>2564.63</v>
      </c>
      <c r="H745" s="16" t="n">
        <f aca="false">IF(G745&gt;=Assumptions!$B$7,40,IF(G745&gt;=Assumptions!$B$8,20,0))</f>
        <v>0</v>
      </c>
      <c r="I745" s="16" t="n">
        <f aca="false">IF(MOD(G745,500)=0,20,IF(MOD(G745,100)=0,10,0))</f>
        <v>0</v>
      </c>
      <c r="J745" s="16" t="n">
        <f aca="false">IF(AND(E745&lt;&gt;"",F745-E745&lt;=Assumptions!$B$9),25,0)</f>
        <v>0</v>
      </c>
      <c r="K745" s="16" t="n">
        <f aca="false">IF(ISNUMBER(SEARCH(D745,Assumptions!$B$10)),15,0)</f>
        <v>0</v>
      </c>
      <c r="L745" s="16" t="n">
        <f aca="false">H745+I745+J745+K745</f>
        <v>0</v>
      </c>
      <c r="M745" s="16" t="str">
        <f aca="false">IF(L745&gt;=60,"High",IF(L745&gt;=30,"Medium","Low"))</f>
        <v>Low</v>
      </c>
    </row>
    <row r="746" customFormat="false" ht="15" hidden="false" customHeight="false" outlineLevel="0" collapsed="false">
      <c r="A746" s="16" t="str">
        <f aca="false">Payment_Log_AP!A743</f>
        <v>PAY40742</v>
      </c>
      <c r="B746" s="16" t="str">
        <f aca="false">Payment_Log_AP!C743</f>
        <v>V1036</v>
      </c>
      <c r="C746" s="16" t="str">
        <f aca="false">IFERROR(INDEX(Vendor_Master!$B$2:$B$41,MATCH(B746,Vendor_Master!$A$2:$A$41,0)),"Unknown Vendor")</f>
        <v>Dennis Inc</v>
      </c>
      <c r="D746" s="16" t="str">
        <f aca="false">IFERROR(INDEX(Vendor_Master!$D$2:$D$41,MATCH(B746,Vendor_Master!$A$2:$A$41,0)),"Unknown")</f>
        <v>Singapore</v>
      </c>
      <c r="E746" s="17" t="n">
        <f aca="false">IFERROR(INDEX(Vendor_Master!$E$2:$E$41,MATCH(B746,Vendor_Master!$A$2:$A$41,0)),"")</f>
        <v>46059</v>
      </c>
      <c r="F746" s="17" t="n">
        <f aca="false">Payment_Log_AP!D743</f>
        <v>45796</v>
      </c>
      <c r="G746" s="18" t="n">
        <f aca="false">Payment_Log_AP!E743</f>
        <v>5467.62</v>
      </c>
      <c r="H746" s="16" t="n">
        <f aca="false">IF(G746&gt;=Assumptions!$B$7,40,IF(G746&gt;=Assumptions!$B$8,20,0))</f>
        <v>20</v>
      </c>
      <c r="I746" s="16" t="n">
        <f aca="false">IF(MOD(G746,500)=0,20,IF(MOD(G746,100)=0,10,0))</f>
        <v>0</v>
      </c>
      <c r="J746" s="16" t="n">
        <f aca="false">IF(AND(E746&lt;&gt;"",F746-E746&lt;=Assumptions!$B$9),25,0)</f>
        <v>25</v>
      </c>
      <c r="K746" s="16" t="n">
        <f aca="false">IF(ISNUMBER(SEARCH(D746,Assumptions!$B$10)),15,0)</f>
        <v>15</v>
      </c>
      <c r="L746" s="16" t="n">
        <f aca="false">H746+I746+J746+K746</f>
        <v>60</v>
      </c>
      <c r="M746" s="16" t="str">
        <f aca="false">IF(L746&gt;=60,"High",IF(L746&gt;=30,"Medium","Low"))</f>
        <v>High</v>
      </c>
    </row>
    <row r="747" customFormat="false" ht="15" hidden="false" customHeight="false" outlineLevel="0" collapsed="false">
      <c r="A747" s="16" t="str">
        <f aca="false">Payment_Log_AP!A744</f>
        <v>PAY40743</v>
      </c>
      <c r="B747" s="16" t="str">
        <f aca="false">Payment_Log_AP!C744</f>
        <v>V1009</v>
      </c>
      <c r="C747" s="16" t="str">
        <f aca="false">IFERROR(INDEX(Vendor_Master!$B$2:$B$41,MATCH(B747,Vendor_Master!$A$2:$A$41,0)),"Unknown Vendor")</f>
        <v>Munoz-Roman</v>
      </c>
      <c r="D747" s="16" t="str">
        <f aca="false">IFERROR(INDEX(Vendor_Master!$D$2:$D$41,MATCH(B747,Vendor_Master!$A$2:$A$41,0)),"Unknown")</f>
        <v>India</v>
      </c>
      <c r="E747" s="17" t="n">
        <f aca="false">IFERROR(INDEX(Vendor_Master!$E$2:$E$41,MATCH(B747,Vendor_Master!$A$2:$A$41,0)),"")</f>
        <v>45129</v>
      </c>
      <c r="F747" s="17" t="n">
        <f aca="false">Payment_Log_AP!D744</f>
        <v>45873</v>
      </c>
      <c r="G747" s="18" t="n">
        <f aca="false">Payment_Log_AP!E744</f>
        <v>4948.03</v>
      </c>
      <c r="H747" s="16" t="n">
        <f aca="false">IF(G747&gt;=Assumptions!$B$7,40,IF(G747&gt;=Assumptions!$B$8,20,0))</f>
        <v>0</v>
      </c>
      <c r="I747" s="16" t="n">
        <f aca="false">IF(MOD(G747,500)=0,20,IF(MOD(G747,100)=0,10,0))</f>
        <v>0</v>
      </c>
      <c r="J747" s="16" t="n">
        <f aca="false">IF(AND(E747&lt;&gt;"",F747-E747&lt;=Assumptions!$B$9),25,0)</f>
        <v>0</v>
      </c>
      <c r="K747" s="16" t="n">
        <f aca="false">IF(ISNUMBER(SEARCH(D747,Assumptions!$B$10)),15,0)</f>
        <v>15</v>
      </c>
      <c r="L747" s="16" t="n">
        <f aca="false">H747+I747+J747+K747</f>
        <v>15</v>
      </c>
      <c r="M747" s="16" t="str">
        <f aca="false">IF(L747&gt;=60,"High",IF(L747&gt;=30,"Medium","Low"))</f>
        <v>Low</v>
      </c>
    </row>
    <row r="748" customFormat="false" ht="15" hidden="false" customHeight="false" outlineLevel="0" collapsed="false">
      <c r="A748" s="16" t="str">
        <f aca="false">Payment_Log_AP!A745</f>
        <v>PAY40744</v>
      </c>
      <c r="B748" s="16" t="str">
        <f aca="false">Payment_Log_AP!C745</f>
        <v>V1029</v>
      </c>
      <c r="C748" s="16" t="str">
        <f aca="false">IFERROR(INDEX(Vendor_Master!$B$2:$B$41,MATCH(B748,Vendor_Master!$A$2:$A$41,0)),"Unknown Vendor")</f>
        <v>Chavez Ltd</v>
      </c>
      <c r="D748" s="16" t="str">
        <f aca="false">IFERROR(INDEX(Vendor_Master!$D$2:$D$41,MATCH(B748,Vendor_Master!$A$2:$A$41,0)),"Unknown")</f>
        <v>Singapore</v>
      </c>
      <c r="E748" s="17" t="n">
        <f aca="false">IFERROR(INDEX(Vendor_Master!$E$2:$E$41,MATCH(B748,Vendor_Master!$A$2:$A$41,0)),"")</f>
        <v>45026</v>
      </c>
      <c r="F748" s="17" t="n">
        <f aca="false">Payment_Log_AP!D745</f>
        <v>46066</v>
      </c>
      <c r="G748" s="18" t="n">
        <f aca="false">Payment_Log_AP!E745</f>
        <v>1631.21</v>
      </c>
      <c r="H748" s="16" t="n">
        <f aca="false">IF(G748&gt;=Assumptions!$B$7,40,IF(G748&gt;=Assumptions!$B$8,20,0))</f>
        <v>0</v>
      </c>
      <c r="I748" s="16" t="n">
        <f aca="false">IF(MOD(G748,500)=0,20,IF(MOD(G748,100)=0,10,0))</f>
        <v>0</v>
      </c>
      <c r="J748" s="16" t="n">
        <f aca="false">IF(AND(E748&lt;&gt;"",F748-E748&lt;=Assumptions!$B$9),25,0)</f>
        <v>0</v>
      </c>
      <c r="K748" s="16" t="n">
        <f aca="false">IF(ISNUMBER(SEARCH(D748,Assumptions!$B$10)),15,0)</f>
        <v>15</v>
      </c>
      <c r="L748" s="16" t="n">
        <f aca="false">H748+I748+J748+K748</f>
        <v>15</v>
      </c>
      <c r="M748" s="16" t="str">
        <f aca="false">IF(L748&gt;=60,"High",IF(L748&gt;=30,"Medium","Low"))</f>
        <v>Low</v>
      </c>
    </row>
    <row r="749" customFormat="false" ht="15" hidden="false" customHeight="false" outlineLevel="0" collapsed="false">
      <c r="A749" s="16" t="str">
        <f aca="false">Payment_Log_AP!A746</f>
        <v>PAY40745</v>
      </c>
      <c r="B749" s="16" t="str">
        <f aca="false">Payment_Log_AP!C746</f>
        <v>V1040</v>
      </c>
      <c r="C749" s="16" t="str">
        <f aca="false">IFERROR(INDEX(Vendor_Master!$B$2:$B$41,MATCH(B749,Vendor_Master!$A$2:$A$41,0)),"Unknown Vendor")</f>
        <v>Santos, Kim and Holmes</v>
      </c>
      <c r="D749" s="16" t="str">
        <f aca="false">IFERROR(INDEX(Vendor_Master!$D$2:$D$41,MATCH(B749,Vendor_Master!$A$2:$A$41,0)),"Unknown")</f>
        <v>India</v>
      </c>
      <c r="E749" s="17" t="n">
        <f aca="false">IFERROR(INDEX(Vendor_Master!$E$2:$E$41,MATCH(B749,Vendor_Master!$A$2:$A$41,0)),"")</f>
        <v>45192</v>
      </c>
      <c r="F749" s="17" t="n">
        <f aca="false">Payment_Log_AP!D746</f>
        <v>45987</v>
      </c>
      <c r="G749" s="18" t="n">
        <f aca="false">Payment_Log_AP!E746</f>
        <v>819.06</v>
      </c>
      <c r="H749" s="16" t="n">
        <f aca="false">IF(G749&gt;=Assumptions!$B$7,40,IF(G749&gt;=Assumptions!$B$8,20,0))</f>
        <v>0</v>
      </c>
      <c r="I749" s="16" t="n">
        <f aca="false">IF(MOD(G749,500)=0,20,IF(MOD(G749,100)=0,10,0))</f>
        <v>0</v>
      </c>
      <c r="J749" s="16" t="n">
        <f aca="false">IF(AND(E749&lt;&gt;"",F749-E749&lt;=Assumptions!$B$9),25,0)</f>
        <v>0</v>
      </c>
      <c r="K749" s="16" t="n">
        <f aca="false">IF(ISNUMBER(SEARCH(D749,Assumptions!$B$10)),15,0)</f>
        <v>15</v>
      </c>
      <c r="L749" s="16" t="n">
        <f aca="false">H749+I749+J749+K749</f>
        <v>15</v>
      </c>
      <c r="M749" s="16" t="str">
        <f aca="false">IF(L749&gt;=60,"High",IF(L749&gt;=30,"Medium","Low"))</f>
        <v>Low</v>
      </c>
    </row>
    <row r="750" customFormat="false" ht="15" hidden="false" customHeight="false" outlineLevel="0" collapsed="false">
      <c r="A750" s="16" t="str">
        <f aca="false">Payment_Log_AP!A747</f>
        <v>PAY40746</v>
      </c>
      <c r="B750" s="16" t="str">
        <f aca="false">Payment_Log_AP!C747</f>
        <v>V1009</v>
      </c>
      <c r="C750" s="16" t="str">
        <f aca="false">IFERROR(INDEX(Vendor_Master!$B$2:$B$41,MATCH(B750,Vendor_Master!$A$2:$A$41,0)),"Unknown Vendor")</f>
        <v>Munoz-Roman</v>
      </c>
      <c r="D750" s="16" t="str">
        <f aca="false">IFERROR(INDEX(Vendor_Master!$D$2:$D$41,MATCH(B750,Vendor_Master!$A$2:$A$41,0)),"Unknown")</f>
        <v>India</v>
      </c>
      <c r="E750" s="17" t="n">
        <f aca="false">IFERROR(INDEX(Vendor_Master!$E$2:$E$41,MATCH(B750,Vendor_Master!$A$2:$A$41,0)),"")</f>
        <v>45129</v>
      </c>
      <c r="F750" s="17" t="n">
        <f aca="false">Payment_Log_AP!D747</f>
        <v>46138</v>
      </c>
      <c r="G750" s="18" t="n">
        <f aca="false">Payment_Log_AP!E747</f>
        <v>1380.81</v>
      </c>
      <c r="H750" s="16" t="n">
        <f aca="false">IF(G750&gt;=Assumptions!$B$7,40,IF(G750&gt;=Assumptions!$B$8,20,0))</f>
        <v>0</v>
      </c>
      <c r="I750" s="16" t="n">
        <f aca="false">IF(MOD(G750,500)=0,20,IF(MOD(G750,100)=0,10,0))</f>
        <v>0</v>
      </c>
      <c r="J750" s="16" t="n">
        <f aca="false">IF(AND(E750&lt;&gt;"",F750-E750&lt;=Assumptions!$B$9),25,0)</f>
        <v>0</v>
      </c>
      <c r="K750" s="16" t="n">
        <f aca="false">IF(ISNUMBER(SEARCH(D750,Assumptions!$B$10)),15,0)</f>
        <v>15</v>
      </c>
      <c r="L750" s="16" t="n">
        <f aca="false">H750+I750+J750+K750</f>
        <v>15</v>
      </c>
      <c r="M750" s="16" t="str">
        <f aca="false">IF(L750&gt;=60,"High",IF(L750&gt;=30,"Medium","Low"))</f>
        <v>Low</v>
      </c>
    </row>
    <row r="751" customFormat="false" ht="15" hidden="false" customHeight="false" outlineLevel="0" collapsed="false">
      <c r="A751" s="16" t="str">
        <f aca="false">Payment_Log_AP!A748</f>
        <v>PAY40747</v>
      </c>
      <c r="B751" s="16" t="str">
        <f aca="false">Payment_Log_AP!C748</f>
        <v>V1028</v>
      </c>
      <c r="C751" s="16" t="str">
        <f aca="false">IFERROR(INDEX(Vendor_Master!$B$2:$B$41,MATCH(B751,Vendor_Master!$A$2:$A$41,0)),"Unknown Vendor")</f>
        <v>Potter, Mack and Peterson</v>
      </c>
      <c r="D751" s="16" t="str">
        <f aca="false">IFERROR(INDEX(Vendor_Master!$D$2:$D$41,MATCH(B751,Vendor_Master!$A$2:$A$41,0)),"Unknown")</f>
        <v>UK</v>
      </c>
      <c r="E751" s="17" t="n">
        <f aca="false">IFERROR(INDEX(Vendor_Master!$E$2:$E$41,MATCH(B751,Vendor_Master!$A$2:$A$41,0)),"")</f>
        <v>45639</v>
      </c>
      <c r="F751" s="17" t="n">
        <f aca="false">Payment_Log_AP!D748</f>
        <v>46112</v>
      </c>
      <c r="G751" s="18" t="n">
        <f aca="false">Payment_Log_AP!E748</f>
        <v>537.91</v>
      </c>
      <c r="H751" s="16" t="n">
        <f aca="false">IF(G751&gt;=Assumptions!$B$7,40,IF(G751&gt;=Assumptions!$B$8,20,0))</f>
        <v>0</v>
      </c>
      <c r="I751" s="16" t="n">
        <f aca="false">IF(MOD(G751,500)=0,20,IF(MOD(G751,100)=0,10,0))</f>
        <v>0</v>
      </c>
      <c r="J751" s="16" t="n">
        <f aca="false">IF(AND(E751&lt;&gt;"",F751-E751&lt;=Assumptions!$B$9),25,0)</f>
        <v>0</v>
      </c>
      <c r="K751" s="16" t="n">
        <f aca="false">IF(ISNUMBER(SEARCH(D751,Assumptions!$B$10)),15,0)</f>
        <v>0</v>
      </c>
      <c r="L751" s="16" t="n">
        <f aca="false">H751+I751+J751+K751</f>
        <v>0</v>
      </c>
      <c r="M751" s="16" t="str">
        <f aca="false">IF(L751&gt;=60,"High",IF(L751&gt;=30,"Medium","Low"))</f>
        <v>Low</v>
      </c>
    </row>
    <row r="752" customFormat="false" ht="15" hidden="false" customHeight="false" outlineLevel="0" collapsed="false">
      <c r="A752" s="16" t="str">
        <f aca="false">Payment_Log_AP!A749</f>
        <v>PAY40748</v>
      </c>
      <c r="B752" s="16" t="str">
        <f aca="false">Payment_Log_AP!C749</f>
        <v>V1039</v>
      </c>
      <c r="C752" s="16" t="str">
        <f aca="false">IFERROR(INDEX(Vendor_Master!$B$2:$B$41,MATCH(B752,Vendor_Master!$A$2:$A$41,0)),"Unknown Vendor")</f>
        <v>Campos, Vaughn and Marquez</v>
      </c>
      <c r="D752" s="16" t="str">
        <f aca="false">IFERROR(INDEX(Vendor_Master!$D$2:$D$41,MATCH(B752,Vendor_Master!$A$2:$A$41,0)),"Unknown")</f>
        <v>USA</v>
      </c>
      <c r="E752" s="17" t="n">
        <f aca="false">IFERROR(INDEX(Vendor_Master!$E$2:$E$41,MATCH(B752,Vendor_Master!$A$2:$A$41,0)),"")</f>
        <v>46086</v>
      </c>
      <c r="F752" s="17" t="n">
        <f aca="false">Payment_Log_AP!D749</f>
        <v>45728</v>
      </c>
      <c r="G752" s="18" t="n">
        <f aca="false">Payment_Log_AP!E749</f>
        <v>2224.01</v>
      </c>
      <c r="H752" s="16" t="n">
        <f aca="false">IF(G752&gt;=Assumptions!$B$7,40,IF(G752&gt;=Assumptions!$B$8,20,0))</f>
        <v>0</v>
      </c>
      <c r="I752" s="16" t="n">
        <f aca="false">IF(MOD(G752,500)=0,20,IF(MOD(G752,100)=0,10,0))</f>
        <v>0</v>
      </c>
      <c r="J752" s="16" t="n">
        <f aca="false">IF(AND(E752&lt;&gt;"",F752-E752&lt;=Assumptions!$B$9),25,0)</f>
        <v>25</v>
      </c>
      <c r="K752" s="16" t="n">
        <f aca="false">IF(ISNUMBER(SEARCH(D752,Assumptions!$B$10)),15,0)</f>
        <v>0</v>
      </c>
      <c r="L752" s="16" t="n">
        <f aca="false">H752+I752+J752+K752</f>
        <v>25</v>
      </c>
      <c r="M752" s="16" t="str">
        <f aca="false">IF(L752&gt;=60,"High",IF(L752&gt;=30,"Medium","Low"))</f>
        <v>Low</v>
      </c>
    </row>
    <row r="753" customFormat="false" ht="15" hidden="false" customHeight="false" outlineLevel="0" collapsed="false">
      <c r="A753" s="16" t="str">
        <f aca="false">Payment_Log_AP!A750</f>
        <v>PAY40749</v>
      </c>
      <c r="B753" s="16" t="str">
        <f aca="false">Payment_Log_AP!C750</f>
        <v>V1019</v>
      </c>
      <c r="C753" s="16" t="str">
        <f aca="false">IFERROR(INDEX(Vendor_Master!$B$2:$B$41,MATCH(B753,Vendor_Master!$A$2:$A$41,0)),"Unknown Vendor")</f>
        <v>Clark PLC</v>
      </c>
      <c r="D753" s="16" t="str">
        <f aca="false">IFERROR(INDEX(Vendor_Master!$D$2:$D$41,MATCH(B753,Vendor_Master!$A$2:$A$41,0)),"Unknown")</f>
        <v>India</v>
      </c>
      <c r="E753" s="17" t="n">
        <f aca="false">IFERROR(INDEX(Vendor_Master!$E$2:$E$41,MATCH(B753,Vendor_Master!$A$2:$A$41,0)),"")</f>
        <v>45196</v>
      </c>
      <c r="F753" s="17" t="n">
        <f aca="false">Payment_Log_AP!D750</f>
        <v>46179</v>
      </c>
      <c r="G753" s="18" t="n">
        <f aca="false">Payment_Log_AP!E750</f>
        <v>972.49</v>
      </c>
      <c r="H753" s="16" t="n">
        <f aca="false">IF(G753&gt;=Assumptions!$B$7,40,IF(G753&gt;=Assumptions!$B$8,20,0))</f>
        <v>0</v>
      </c>
      <c r="I753" s="16" t="n">
        <f aca="false">IF(MOD(G753,500)=0,20,IF(MOD(G753,100)=0,10,0))</f>
        <v>0</v>
      </c>
      <c r="J753" s="16" t="n">
        <f aca="false">IF(AND(E753&lt;&gt;"",F753-E753&lt;=Assumptions!$B$9),25,0)</f>
        <v>0</v>
      </c>
      <c r="K753" s="16" t="n">
        <f aca="false">IF(ISNUMBER(SEARCH(D753,Assumptions!$B$10)),15,0)</f>
        <v>15</v>
      </c>
      <c r="L753" s="16" t="n">
        <f aca="false">H753+I753+J753+K753</f>
        <v>15</v>
      </c>
      <c r="M753" s="16" t="str">
        <f aca="false">IF(L753&gt;=60,"High",IF(L753&gt;=30,"Medium","Low"))</f>
        <v>Low</v>
      </c>
    </row>
    <row r="754" customFormat="false" ht="15" hidden="false" customHeight="false" outlineLevel="0" collapsed="false">
      <c r="A754" s="16" t="str">
        <f aca="false">Payment_Log_AP!A751</f>
        <v>PAY40750</v>
      </c>
      <c r="B754" s="16" t="str">
        <f aca="false">Payment_Log_AP!C751</f>
        <v>V1020</v>
      </c>
      <c r="C754" s="16" t="str">
        <f aca="false">IFERROR(INDEX(Vendor_Master!$B$2:$B$41,MATCH(B754,Vendor_Master!$A$2:$A$41,0)),"Unknown Vendor")</f>
        <v>Lewis-Porter</v>
      </c>
      <c r="D754" s="16" t="str">
        <f aca="false">IFERROR(INDEX(Vendor_Master!$D$2:$D$41,MATCH(B754,Vendor_Master!$A$2:$A$41,0)),"Unknown")</f>
        <v>UAE</v>
      </c>
      <c r="E754" s="17" t="n">
        <f aca="false">IFERROR(INDEX(Vendor_Master!$E$2:$E$41,MATCH(B754,Vendor_Master!$A$2:$A$41,0)),"")</f>
        <v>45947</v>
      </c>
      <c r="F754" s="17" t="n">
        <f aca="false">Payment_Log_AP!D751</f>
        <v>46195</v>
      </c>
      <c r="G754" s="18" t="n">
        <f aca="false">Payment_Log_AP!E751</f>
        <v>7892.6</v>
      </c>
      <c r="H754" s="16" t="n">
        <f aca="false">IF(G754&gt;=Assumptions!$B$7,40,IF(G754&gt;=Assumptions!$B$8,20,0))</f>
        <v>20</v>
      </c>
      <c r="I754" s="16" t="n">
        <f aca="false">IF(MOD(G754,500)=0,20,IF(MOD(G754,100)=0,10,0))</f>
        <v>0</v>
      </c>
      <c r="J754" s="16" t="n">
        <f aca="false">IF(AND(E754&lt;&gt;"",F754-E754&lt;=Assumptions!$B$9),25,0)</f>
        <v>0</v>
      </c>
      <c r="K754" s="16" t="n">
        <f aca="false">IF(ISNUMBER(SEARCH(D754,Assumptions!$B$10)),15,0)</f>
        <v>15</v>
      </c>
      <c r="L754" s="16" t="n">
        <f aca="false">H754+I754+J754+K754</f>
        <v>35</v>
      </c>
      <c r="M754" s="16" t="str">
        <f aca="false">IF(L754&gt;=60,"High",IF(L754&gt;=30,"Medium","Low"))</f>
        <v>Medium</v>
      </c>
    </row>
    <row r="755" customFormat="false" ht="15" hidden="false" customHeight="false" outlineLevel="0" collapsed="false">
      <c r="A755" s="16" t="str">
        <f aca="false">Payment_Log_AP!A752</f>
        <v>PAY40751</v>
      </c>
      <c r="B755" s="16" t="str">
        <f aca="false">Payment_Log_AP!C752</f>
        <v>V1029</v>
      </c>
      <c r="C755" s="16" t="str">
        <f aca="false">IFERROR(INDEX(Vendor_Master!$B$2:$B$41,MATCH(B755,Vendor_Master!$A$2:$A$41,0)),"Unknown Vendor")</f>
        <v>Chavez Ltd</v>
      </c>
      <c r="D755" s="16" t="str">
        <f aca="false">IFERROR(INDEX(Vendor_Master!$D$2:$D$41,MATCH(B755,Vendor_Master!$A$2:$A$41,0)),"Unknown")</f>
        <v>Singapore</v>
      </c>
      <c r="E755" s="17" t="n">
        <f aca="false">IFERROR(INDEX(Vendor_Master!$E$2:$E$41,MATCH(B755,Vendor_Master!$A$2:$A$41,0)),"")</f>
        <v>45026</v>
      </c>
      <c r="F755" s="17" t="n">
        <f aca="false">Payment_Log_AP!D752</f>
        <v>46171</v>
      </c>
      <c r="G755" s="18" t="n">
        <f aca="false">Payment_Log_AP!E752</f>
        <v>5336.94</v>
      </c>
      <c r="H755" s="16" t="n">
        <f aca="false">IF(G755&gt;=Assumptions!$B$7,40,IF(G755&gt;=Assumptions!$B$8,20,0))</f>
        <v>20</v>
      </c>
      <c r="I755" s="16" t="n">
        <f aca="false">IF(MOD(G755,500)=0,20,IF(MOD(G755,100)=0,10,0))</f>
        <v>0</v>
      </c>
      <c r="J755" s="16" t="n">
        <f aca="false">IF(AND(E755&lt;&gt;"",F755-E755&lt;=Assumptions!$B$9),25,0)</f>
        <v>0</v>
      </c>
      <c r="K755" s="16" t="n">
        <f aca="false">IF(ISNUMBER(SEARCH(D755,Assumptions!$B$10)),15,0)</f>
        <v>15</v>
      </c>
      <c r="L755" s="16" t="n">
        <f aca="false">H755+I755+J755+K755</f>
        <v>35</v>
      </c>
      <c r="M755" s="16" t="str">
        <f aca="false">IF(L755&gt;=60,"High",IF(L755&gt;=30,"Medium","Low"))</f>
        <v>Medium</v>
      </c>
    </row>
    <row r="756" customFormat="false" ht="15" hidden="false" customHeight="false" outlineLevel="0" collapsed="false">
      <c r="A756" s="16" t="str">
        <f aca="false">Payment_Log_AP!A753</f>
        <v>PAY40752</v>
      </c>
      <c r="B756" s="16" t="str">
        <f aca="false">Payment_Log_AP!C753</f>
        <v>V1014</v>
      </c>
      <c r="C756" s="16" t="str">
        <f aca="false">IFERROR(INDEX(Vendor_Master!$B$2:$B$41,MATCH(B756,Vendor_Master!$A$2:$A$41,0)),"Unknown Vendor")</f>
        <v>Flowers, Martin and Kelly</v>
      </c>
      <c r="D756" s="16" t="str">
        <f aca="false">IFERROR(INDEX(Vendor_Master!$D$2:$D$41,MATCH(B756,Vendor_Master!$A$2:$A$41,0)),"Unknown")</f>
        <v>India</v>
      </c>
      <c r="E756" s="17" t="n">
        <f aca="false">IFERROR(INDEX(Vendor_Master!$E$2:$E$41,MATCH(B756,Vendor_Master!$A$2:$A$41,0)),"")</f>
        <v>45001</v>
      </c>
      <c r="F756" s="17" t="n">
        <f aca="false">Payment_Log_AP!D753</f>
        <v>46002</v>
      </c>
      <c r="G756" s="18" t="n">
        <f aca="false">Payment_Log_AP!E753</f>
        <v>4104.49</v>
      </c>
      <c r="H756" s="16" t="n">
        <f aca="false">IF(G756&gt;=Assumptions!$B$7,40,IF(G756&gt;=Assumptions!$B$8,20,0))</f>
        <v>0</v>
      </c>
      <c r="I756" s="16" t="n">
        <f aca="false">IF(MOD(G756,500)=0,20,IF(MOD(G756,100)=0,10,0))</f>
        <v>0</v>
      </c>
      <c r="J756" s="16" t="n">
        <f aca="false">IF(AND(E756&lt;&gt;"",F756-E756&lt;=Assumptions!$B$9),25,0)</f>
        <v>0</v>
      </c>
      <c r="K756" s="16" t="n">
        <f aca="false">IF(ISNUMBER(SEARCH(D756,Assumptions!$B$10)),15,0)</f>
        <v>15</v>
      </c>
      <c r="L756" s="16" t="n">
        <f aca="false">H756+I756+J756+K756</f>
        <v>15</v>
      </c>
      <c r="M756" s="16" t="str">
        <f aca="false">IF(L756&gt;=60,"High",IF(L756&gt;=30,"Medium","Low"))</f>
        <v>Low</v>
      </c>
    </row>
    <row r="759" customFormat="false" ht="15" hidden="false" customHeight="false" outlineLevel="0" collapsed="false">
      <c r="A759" s="3" t="s">
        <v>5615</v>
      </c>
      <c r="B759" s="4"/>
    </row>
    <row r="760" customFormat="false" ht="15" hidden="false" customHeight="false" outlineLevel="0" collapsed="false">
      <c r="A760" s="8" t="s">
        <v>5616</v>
      </c>
      <c r="B760" s="15" t="n">
        <f aca="false">COUNTIF($M$5:$M$756,A760)</f>
        <v>21</v>
      </c>
    </row>
    <row r="761" customFormat="false" ht="15" hidden="false" customHeight="false" outlineLevel="0" collapsed="false">
      <c r="A761" s="8" t="s">
        <v>5617</v>
      </c>
      <c r="B761" s="15" t="n">
        <f aca="false">COUNTIF($M$5:$M$756,A761)</f>
        <v>151</v>
      </c>
    </row>
    <row r="762" customFormat="false" ht="15" hidden="false" customHeight="false" outlineLevel="0" collapsed="false">
      <c r="A762" s="8" t="s">
        <v>5618</v>
      </c>
      <c r="B762" s="15" t="n">
        <f aca="false">COUNTIF($M$5:$M$756,A762)</f>
        <v>580</v>
      </c>
    </row>
  </sheetData>
  <autoFilter ref="A4:M7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5619</v>
      </c>
    </row>
    <row r="2" customFormat="false" ht="15" hidden="false" customHeight="false" outlineLevel="0" collapsed="false">
      <c r="A2" s="2" t="s">
        <v>5620</v>
      </c>
    </row>
    <row r="4" customFormat="false" ht="27.75" hidden="false" customHeight="true" outlineLevel="0" collapsed="false">
      <c r="A4" s="7" t="s">
        <v>63</v>
      </c>
      <c r="B4" s="7" t="s">
        <v>64</v>
      </c>
      <c r="C4" s="7" t="s">
        <v>65</v>
      </c>
      <c r="D4" s="7" t="s">
        <v>66</v>
      </c>
      <c r="E4" s="7" t="s">
        <v>5621</v>
      </c>
      <c r="F4" s="7" t="s">
        <v>5622</v>
      </c>
      <c r="G4" s="7" t="s">
        <v>5623</v>
      </c>
      <c r="H4" s="7" t="s">
        <v>5624</v>
      </c>
      <c r="I4" s="7" t="s">
        <v>5625</v>
      </c>
    </row>
    <row r="5" customFormat="false" ht="15" hidden="false" customHeight="false" outlineLevel="0" collapsed="false">
      <c r="A5" s="16" t="str">
        <f aca="false">Vendor_Master!A2</f>
        <v>V1001</v>
      </c>
      <c r="B5" s="16" t="str">
        <f aca="false">Vendor_Master!B2</f>
        <v>Figueroa and Sons</v>
      </c>
      <c r="C5" s="16" t="str">
        <f aca="false">Vendor_Master!C2</f>
        <v>Travel &amp; Logistics</v>
      </c>
      <c r="D5" s="16" t="str">
        <f aca="false">Vendor_Master!D2</f>
        <v>USA</v>
      </c>
      <c r="E5" s="18" t="n">
        <f aca="false">SUMIFS(Purchase_Orders!$D$2:$D$851,Purchase_Orders!$B$2:$B$851,A5)</f>
        <v>105301.08</v>
      </c>
      <c r="F5" s="16" t="n">
        <f aca="false">RANK(E5,$E$5:$E$44)</f>
        <v>3</v>
      </c>
      <c r="G5" s="18" t="n">
        <f aca="false">SUMIF($F$5:$F$44,"&lt;="&amp;F5,$E$5:$E$44)</f>
        <v>404791.72</v>
      </c>
      <c r="H5" s="28" t="n">
        <f aca="false">G5/SUM($E$5:$E$44)</f>
        <v>0.135811500142447</v>
      </c>
      <c r="I5" s="16" t="str">
        <f aca="false">IF(H5&lt;=0.8,"Top 80% Driver","Remaining 20%")</f>
        <v>Top 80% Driver</v>
      </c>
    </row>
    <row r="6" customFormat="false" ht="15" hidden="false" customHeight="false" outlineLevel="0" collapsed="false">
      <c r="A6" s="16" t="str">
        <f aca="false">Vendor_Master!A3</f>
        <v>V1002</v>
      </c>
      <c r="B6" s="16" t="str">
        <f aca="false">Vendor_Master!B3</f>
        <v>Garcia, Yang and Gardner</v>
      </c>
      <c r="C6" s="16" t="str">
        <f aca="false">Vendor_Master!C3</f>
        <v>Office Supplies</v>
      </c>
      <c r="D6" s="16" t="str">
        <f aca="false">Vendor_Master!D3</f>
        <v>UK</v>
      </c>
      <c r="E6" s="18" t="n">
        <f aca="false">SUMIFS(Purchase_Orders!$D$2:$D$851,Purchase_Orders!$B$2:$B$851,A6)</f>
        <v>86264.39</v>
      </c>
      <c r="F6" s="16" t="n">
        <f aca="false">RANK(E6,$E$5:$E$44)</f>
        <v>13</v>
      </c>
      <c r="G6" s="18" t="n">
        <f aca="false">SUMIF($F$5:$F$44,"&lt;="&amp;F6,$E$5:$E$44)</f>
        <v>1332666.24</v>
      </c>
      <c r="H6" s="28" t="n">
        <f aca="false">G6/SUM($E$5:$E$44)</f>
        <v>0.447122291047837</v>
      </c>
      <c r="I6" s="16" t="str">
        <f aca="false">IF(H6&lt;=0.8,"Top 80% Driver","Remaining 20%")</f>
        <v>Top 80% Driver</v>
      </c>
    </row>
    <row r="7" customFormat="false" ht="15" hidden="false" customHeight="false" outlineLevel="0" collapsed="false">
      <c r="A7" s="16" t="str">
        <f aca="false">Vendor_Master!A4</f>
        <v>V1003</v>
      </c>
      <c r="B7" s="16" t="str">
        <f aca="false">Vendor_Master!B4</f>
        <v>Johnson and Sons</v>
      </c>
      <c r="C7" s="16" t="str">
        <f aca="false">Vendor_Master!C4</f>
        <v>Travel &amp; Logistics</v>
      </c>
      <c r="D7" s="16" t="str">
        <f aca="false">Vendor_Master!D4</f>
        <v>UAE</v>
      </c>
      <c r="E7" s="18" t="n">
        <f aca="false">SUMIFS(Purchase_Orders!$D$2:$D$851,Purchase_Orders!$B$2:$B$851,A7)</f>
        <v>36190.95</v>
      </c>
      <c r="F7" s="16" t="n">
        <f aca="false">RANK(E7,$E$5:$E$44)</f>
        <v>38</v>
      </c>
      <c r="G7" s="18" t="n">
        <f aca="false">SUMIF($F$5:$F$44,"&lt;="&amp;F7,$E$5:$E$44)</f>
        <v>2915931.34</v>
      </c>
      <c r="H7" s="28" t="n">
        <f aca="false">G7/SUM($E$5:$E$44)</f>
        <v>0.978322900472808</v>
      </c>
      <c r="I7" s="16" t="str">
        <f aca="false">IF(H7&lt;=0.8,"Top 80% Driver","Remaining 20%")</f>
        <v>Remaining 20%</v>
      </c>
    </row>
    <row r="8" customFormat="false" ht="15" hidden="false" customHeight="false" outlineLevel="0" collapsed="false">
      <c r="A8" s="16" t="str">
        <f aca="false">Vendor_Master!A5</f>
        <v>V1004</v>
      </c>
      <c r="B8" s="16" t="str">
        <f aca="false">Vendor_Master!B5</f>
        <v>Johnson, Gonzalez and Santos</v>
      </c>
      <c r="C8" s="16" t="str">
        <f aca="false">Vendor_Master!C5</f>
        <v>Marketing</v>
      </c>
      <c r="D8" s="16" t="str">
        <f aca="false">Vendor_Master!D5</f>
        <v>Germany</v>
      </c>
      <c r="E8" s="18" t="n">
        <f aca="false">SUMIFS(Purchase_Orders!$D$2:$D$851,Purchase_Orders!$B$2:$B$851,A8)</f>
        <v>50472.02</v>
      </c>
      <c r="F8" s="16" t="n">
        <f aca="false">RANK(E8,$E$5:$E$44)</f>
        <v>33</v>
      </c>
      <c r="G8" s="18" t="n">
        <f aca="false">SUMIF($F$5:$F$44,"&lt;="&amp;F8,$E$5:$E$44)</f>
        <v>2693184.18</v>
      </c>
      <c r="H8" s="28" t="n">
        <f aca="false">G8/SUM($E$5:$E$44)</f>
        <v>0.903589094277192</v>
      </c>
      <c r="I8" s="16" t="str">
        <f aca="false">IF(H8&lt;=0.8,"Top 80% Driver","Remaining 20%")</f>
        <v>Remaining 20%</v>
      </c>
    </row>
    <row r="9" customFormat="false" ht="15" hidden="false" customHeight="false" outlineLevel="0" collapsed="false">
      <c r="A9" s="16" t="str">
        <f aca="false">Vendor_Master!A6</f>
        <v>V1005</v>
      </c>
      <c r="B9" s="16" t="str">
        <f aca="false">Vendor_Master!B6</f>
        <v>Cole LLC</v>
      </c>
      <c r="C9" s="16" t="str">
        <f aca="false">Vendor_Master!C6</f>
        <v>IT Services</v>
      </c>
      <c r="D9" s="16" t="str">
        <f aca="false">Vendor_Master!D6</f>
        <v>UK</v>
      </c>
      <c r="E9" s="18" t="n">
        <f aca="false">SUMIFS(Purchase_Orders!$D$2:$D$851,Purchase_Orders!$B$2:$B$851,A9)</f>
        <v>96640.97</v>
      </c>
      <c r="F9" s="16" t="n">
        <f aca="false">RANK(E9,$E$5:$E$44)</f>
        <v>6</v>
      </c>
      <c r="G9" s="18" t="n">
        <f aca="false">SUMIF($F$5:$F$44,"&lt;="&amp;F9,$E$5:$E$44)</f>
        <v>701396.43</v>
      </c>
      <c r="H9" s="28" t="n">
        <f aca="false">G9/SUM($E$5:$E$44)</f>
        <v>0.235325221950827</v>
      </c>
      <c r="I9" s="16" t="str">
        <f aca="false">IF(H9&lt;=0.8,"Top 80% Driver","Remaining 20%")</f>
        <v>Top 80% Driver</v>
      </c>
    </row>
    <row r="10" customFormat="false" ht="15" hidden="false" customHeight="false" outlineLevel="0" collapsed="false">
      <c r="A10" s="16" t="str">
        <f aca="false">Vendor_Master!A7</f>
        <v>V1006</v>
      </c>
      <c r="B10" s="16" t="str">
        <f aca="false">Vendor_Master!B7</f>
        <v>Blake and Sons</v>
      </c>
      <c r="C10" s="16" t="str">
        <f aca="false">Vendor_Master!C7</f>
        <v>Marketing</v>
      </c>
      <c r="D10" s="16" t="str">
        <f aca="false">Vendor_Master!D7</f>
        <v>UK</v>
      </c>
      <c r="E10" s="18" t="n">
        <f aca="false">SUMIFS(Purchase_Orders!$D$2:$D$851,Purchase_Orders!$B$2:$B$851,A10)</f>
        <v>64172.49</v>
      </c>
      <c r="F10" s="16" t="n">
        <f aca="false">RANK(E10,$E$5:$E$44)</f>
        <v>25</v>
      </c>
      <c r="G10" s="18" t="n">
        <f aca="false">SUMIF($F$5:$F$44,"&lt;="&amp;F10,$E$5:$E$44)</f>
        <v>2228370.16</v>
      </c>
      <c r="H10" s="28" t="n">
        <f aca="false">G10/SUM($E$5:$E$44)</f>
        <v>0.747639537444751</v>
      </c>
      <c r="I10" s="16" t="str">
        <f aca="false">IF(H10&lt;=0.8,"Top 80% Driver","Remaining 20%")</f>
        <v>Top 80% Driver</v>
      </c>
    </row>
    <row r="11" customFormat="false" ht="15" hidden="false" customHeight="false" outlineLevel="0" collapsed="false">
      <c r="A11" s="16" t="str">
        <f aca="false">Vendor_Master!A8</f>
        <v>V1007</v>
      </c>
      <c r="B11" s="16" t="str">
        <f aca="false">Vendor_Master!B8</f>
        <v>Ramirez-Lewis</v>
      </c>
      <c r="C11" s="16" t="str">
        <f aca="false">Vendor_Master!C8</f>
        <v>Office Supplies</v>
      </c>
      <c r="D11" s="16" t="str">
        <f aca="false">Vendor_Master!D8</f>
        <v>Germany</v>
      </c>
      <c r="E11" s="18" t="n">
        <f aca="false">SUMIFS(Purchase_Orders!$D$2:$D$851,Purchase_Orders!$B$2:$B$851,A11)</f>
        <v>98769.41</v>
      </c>
      <c r="F11" s="16" t="n">
        <f aca="false">RANK(E11,$E$5:$E$44)</f>
        <v>5</v>
      </c>
      <c r="G11" s="18" t="n">
        <f aca="false">SUMIF($F$5:$F$44,"&lt;="&amp;F11,$E$5:$E$44)</f>
        <v>604755.46</v>
      </c>
      <c r="H11" s="28" t="n">
        <f aca="false">G11/SUM($E$5:$E$44)</f>
        <v>0.202901250652893</v>
      </c>
      <c r="I11" s="16" t="str">
        <f aca="false">IF(H11&lt;=0.8,"Top 80% Driver","Remaining 20%")</f>
        <v>Top 80% Driver</v>
      </c>
    </row>
    <row r="12" customFormat="false" ht="15" hidden="false" customHeight="false" outlineLevel="0" collapsed="false">
      <c r="A12" s="16" t="str">
        <f aca="false">Vendor_Master!A9</f>
        <v>V1008</v>
      </c>
      <c r="B12" s="16" t="str">
        <f aca="false">Vendor_Master!B9</f>
        <v>Davis Inc</v>
      </c>
      <c r="C12" s="16" t="str">
        <f aca="false">Vendor_Master!C9</f>
        <v>Software Licensing</v>
      </c>
      <c r="D12" s="16" t="str">
        <f aca="false">Vendor_Master!D9</f>
        <v>Canada</v>
      </c>
      <c r="E12" s="18" t="n">
        <f aca="false">SUMIFS(Purchase_Orders!$D$2:$D$851,Purchase_Orders!$B$2:$B$851,A12)</f>
        <v>42190.54</v>
      </c>
      <c r="F12" s="16" t="n">
        <f aca="false">RANK(E12,$E$5:$E$44)</f>
        <v>37</v>
      </c>
      <c r="G12" s="18" t="n">
        <f aca="false">SUMIF($F$5:$F$44,"&lt;="&amp;F12,$E$5:$E$44)</f>
        <v>2879740.39</v>
      </c>
      <c r="H12" s="28" t="n">
        <f aca="false">G12/SUM($E$5:$E$44)</f>
        <v>0.966180490022613</v>
      </c>
      <c r="I12" s="16" t="str">
        <f aca="false">IF(H12&lt;=0.8,"Top 80% Driver","Remaining 20%")</f>
        <v>Remaining 20%</v>
      </c>
    </row>
    <row r="13" customFormat="false" ht="15" hidden="false" customHeight="false" outlineLevel="0" collapsed="false">
      <c r="A13" s="16" t="str">
        <f aca="false">Vendor_Master!A10</f>
        <v>V1009</v>
      </c>
      <c r="B13" s="16" t="str">
        <f aca="false">Vendor_Master!B10</f>
        <v>Munoz-Roman</v>
      </c>
      <c r="C13" s="16" t="str">
        <f aca="false">Vendor_Master!C10</f>
        <v>Professional Services</v>
      </c>
      <c r="D13" s="16" t="str">
        <f aca="false">Vendor_Master!D10</f>
        <v>India</v>
      </c>
      <c r="E13" s="18" t="n">
        <f aca="false">SUMIFS(Purchase_Orders!$D$2:$D$851,Purchase_Orders!$B$2:$B$851,A13)</f>
        <v>79994.73</v>
      </c>
      <c r="F13" s="16" t="n">
        <f aca="false">RANK(E13,$E$5:$E$44)</f>
        <v>17</v>
      </c>
      <c r="G13" s="18" t="n">
        <f aca="false">SUMIF($F$5:$F$44,"&lt;="&amp;F13,$E$5:$E$44)</f>
        <v>1658621.48</v>
      </c>
      <c r="H13" s="28" t="n">
        <f aca="false">G13/SUM($E$5:$E$44)</f>
        <v>0.556483396862184</v>
      </c>
      <c r="I13" s="16" t="str">
        <f aca="false">IF(H13&lt;=0.8,"Top 80% Driver","Remaining 20%")</f>
        <v>Top 80% Driver</v>
      </c>
    </row>
    <row r="14" customFormat="false" ht="15" hidden="false" customHeight="false" outlineLevel="0" collapsed="false">
      <c r="A14" s="16" t="str">
        <f aca="false">Vendor_Master!A11</f>
        <v>V1010</v>
      </c>
      <c r="B14" s="16" t="str">
        <f aca="false">Vendor_Master!B11</f>
        <v>Martinez, Nielsen and Miller</v>
      </c>
      <c r="C14" s="16" t="str">
        <f aca="false">Vendor_Master!C11</f>
        <v>Software Licensing</v>
      </c>
      <c r="D14" s="16" t="str">
        <f aca="false">Vendor_Master!D11</f>
        <v>India</v>
      </c>
      <c r="E14" s="18" t="n">
        <f aca="false">SUMIFS(Purchase_Orders!$D$2:$D$851,Purchase_Orders!$B$2:$B$851,A14)</f>
        <v>60363.6</v>
      </c>
      <c r="F14" s="16" t="n">
        <f aca="false">RANK(E14,$E$5:$E$44)</f>
        <v>28</v>
      </c>
      <c r="G14" s="18" t="n">
        <f aca="false">SUMIF($F$5:$F$44,"&lt;="&amp;F14,$E$5:$E$44)</f>
        <v>2412746.05</v>
      </c>
      <c r="H14" s="28" t="n">
        <f aca="false">G14/SUM($E$5:$E$44)</f>
        <v>0.809499414941749</v>
      </c>
      <c r="I14" s="16" t="str">
        <f aca="false">IF(H14&lt;=0.8,"Top 80% Driver","Remaining 20%")</f>
        <v>Remaining 20%</v>
      </c>
    </row>
    <row r="15" customFormat="false" ht="15" hidden="false" customHeight="false" outlineLevel="0" collapsed="false">
      <c r="A15" s="16" t="str">
        <f aca="false">Vendor_Master!A12</f>
        <v>V1011</v>
      </c>
      <c r="B15" s="16" t="str">
        <f aca="false">Vendor_Master!B12</f>
        <v>Montgomery, Hensley and Ray</v>
      </c>
      <c r="C15" s="16" t="str">
        <f aca="false">Vendor_Master!C12</f>
        <v>Facilities</v>
      </c>
      <c r="D15" s="16" t="str">
        <f aca="false">Vendor_Master!D12</f>
        <v>USA</v>
      </c>
      <c r="E15" s="18" t="n">
        <f aca="false">SUMIFS(Purchase_Orders!$D$2:$D$851,Purchase_Orders!$B$2:$B$851,A15)</f>
        <v>90489.59</v>
      </c>
      <c r="F15" s="16" t="n">
        <f aca="false">RANK(E15,$E$5:$E$44)</f>
        <v>10</v>
      </c>
      <c r="G15" s="18" t="n">
        <f aca="false">SUMIF($F$5:$F$44,"&lt;="&amp;F15,$E$5:$E$44)</f>
        <v>1069138.92</v>
      </c>
      <c r="H15" s="28" t="n">
        <f aca="false">G15/SUM($E$5:$E$44)</f>
        <v>0.35870635048038</v>
      </c>
      <c r="I15" s="16" t="str">
        <f aca="false">IF(H15&lt;=0.8,"Top 80% Driver","Remaining 20%")</f>
        <v>Top 80% Driver</v>
      </c>
    </row>
    <row r="16" customFormat="false" ht="15" hidden="false" customHeight="false" outlineLevel="0" collapsed="false">
      <c r="A16" s="16" t="str">
        <f aca="false">Vendor_Master!A13</f>
        <v>V1012</v>
      </c>
      <c r="B16" s="16" t="str">
        <f aca="false">Vendor_Master!B13</f>
        <v>Stanley LLC</v>
      </c>
      <c r="C16" s="16" t="str">
        <f aca="false">Vendor_Master!C13</f>
        <v>Marketing</v>
      </c>
      <c r="D16" s="16" t="str">
        <f aca="false">Vendor_Master!D13</f>
        <v>India</v>
      </c>
      <c r="E16" s="18" t="n">
        <f aca="false">SUMIFS(Purchase_Orders!$D$2:$D$851,Purchase_Orders!$B$2:$B$851,A16)</f>
        <v>127808.51</v>
      </c>
      <c r="F16" s="16" t="n">
        <f aca="false">RANK(E16,$E$5:$E$44)</f>
        <v>2</v>
      </c>
      <c r="G16" s="18" t="n">
        <f aca="false">SUMIF($F$5:$F$44,"&lt;="&amp;F16,$E$5:$E$44)</f>
        <v>299490.64</v>
      </c>
      <c r="H16" s="28" t="n">
        <f aca="false">G16/SUM($E$5:$E$44)</f>
        <v>0.100481978971857</v>
      </c>
      <c r="I16" s="16" t="str">
        <f aca="false">IF(H16&lt;=0.8,"Top 80% Driver","Remaining 20%")</f>
        <v>Top 80% Driver</v>
      </c>
    </row>
    <row r="17" customFormat="false" ht="15" hidden="false" customHeight="false" outlineLevel="0" collapsed="false">
      <c r="A17" s="16" t="str">
        <f aca="false">Vendor_Master!A14</f>
        <v>V1013</v>
      </c>
      <c r="B17" s="16" t="str">
        <f aca="false">Vendor_Master!B14</f>
        <v>Delacruz Group</v>
      </c>
      <c r="C17" s="16" t="str">
        <f aca="false">Vendor_Master!C14</f>
        <v>Marketing</v>
      </c>
      <c r="D17" s="16" t="str">
        <f aca="false">Vendor_Master!D14</f>
        <v>USA</v>
      </c>
      <c r="E17" s="18" t="n">
        <f aca="false">SUMIFS(Purchase_Orders!$D$2:$D$851,Purchase_Orders!$B$2:$B$851,A17)</f>
        <v>62357.35</v>
      </c>
      <c r="F17" s="16" t="n">
        <f aca="false">RANK(E17,$E$5:$E$44)</f>
        <v>26</v>
      </c>
      <c r="G17" s="18" t="n">
        <f aca="false">SUMIF($F$5:$F$44,"&lt;="&amp;F17,$E$5:$E$44)</f>
        <v>2290727.51</v>
      </c>
      <c r="H17" s="28" t="n">
        <f aca="false">G17/SUM($E$5:$E$44)</f>
        <v>0.76856102578055</v>
      </c>
      <c r="I17" s="16" t="str">
        <f aca="false">IF(H17&lt;=0.8,"Top 80% Driver","Remaining 20%")</f>
        <v>Top 80% Driver</v>
      </c>
    </row>
    <row r="18" customFormat="false" ht="15" hidden="false" customHeight="false" outlineLevel="0" collapsed="false">
      <c r="A18" s="16" t="str">
        <f aca="false">Vendor_Master!A15</f>
        <v>V1014</v>
      </c>
      <c r="B18" s="16" t="str">
        <f aca="false">Vendor_Master!B15</f>
        <v>Flowers, Martin and Kelly</v>
      </c>
      <c r="C18" s="16" t="str">
        <f aca="false">Vendor_Master!C15</f>
        <v>Marketing</v>
      </c>
      <c r="D18" s="16" t="str">
        <f aca="false">Vendor_Master!D15</f>
        <v>India</v>
      </c>
      <c r="E18" s="18" t="n">
        <f aca="false">SUMIFS(Purchase_Orders!$D$2:$D$851,Purchase_Orders!$B$2:$B$851,A18)</f>
        <v>80158.63</v>
      </c>
      <c r="F18" s="16" t="n">
        <f aca="false">RANK(E18,$E$5:$E$44)</f>
        <v>16</v>
      </c>
      <c r="G18" s="18" t="n">
        <f aca="false">SUMIF($F$5:$F$44,"&lt;="&amp;F18,$E$5:$E$44)</f>
        <v>1578626.75</v>
      </c>
      <c r="H18" s="28" t="n">
        <f aca="false">G18/SUM($E$5:$E$44)</f>
        <v>0.52964439856254</v>
      </c>
      <c r="I18" s="16" t="str">
        <f aca="false">IF(H18&lt;=0.8,"Top 80% Driver","Remaining 20%")</f>
        <v>Top 80% Driver</v>
      </c>
    </row>
    <row r="19" customFormat="false" ht="15" hidden="false" customHeight="false" outlineLevel="0" collapsed="false">
      <c r="A19" s="16" t="str">
        <f aca="false">Vendor_Master!A16</f>
        <v>V1015</v>
      </c>
      <c r="B19" s="16" t="str">
        <f aca="false">Vendor_Master!B16</f>
        <v>Zuniga, Wong and Lynch</v>
      </c>
      <c r="C19" s="16" t="str">
        <f aca="false">Vendor_Master!C16</f>
        <v>Travel &amp; Logistics</v>
      </c>
      <c r="D19" s="16" t="str">
        <f aca="false">Vendor_Master!D16</f>
        <v>USA</v>
      </c>
      <c r="E19" s="18" t="n">
        <f aca="false">SUMIFS(Purchase_Orders!$D$2:$D$851,Purchase_Orders!$B$2:$B$851,A19)</f>
        <v>70535.81</v>
      </c>
      <c r="F19" s="16" t="n">
        <f aca="false">RANK(E19,$E$5:$E$44)</f>
        <v>22</v>
      </c>
      <c r="G19" s="18" t="n">
        <f aca="false">SUMIF($F$5:$F$44,"&lt;="&amp;F19,$E$5:$E$44)</f>
        <v>2030170.25</v>
      </c>
      <c r="H19" s="28" t="n">
        <f aca="false">G19/SUM($E$5:$E$44)</f>
        <v>0.681141568797572</v>
      </c>
      <c r="I19" s="16" t="str">
        <f aca="false">IF(H19&lt;=0.8,"Top 80% Driver","Remaining 20%")</f>
        <v>Top 80% Driver</v>
      </c>
    </row>
    <row r="20" customFormat="false" ht="15" hidden="false" customHeight="false" outlineLevel="0" collapsed="false">
      <c r="A20" s="16" t="str">
        <f aca="false">Vendor_Master!A17</f>
        <v>V1016</v>
      </c>
      <c r="B20" s="16" t="str">
        <f aca="false">Vendor_Master!B17</f>
        <v>Sanchez, Ford and Nelson</v>
      </c>
      <c r="C20" s="16" t="str">
        <f aca="false">Vendor_Master!C17</f>
        <v>Software Licensing</v>
      </c>
      <c r="D20" s="16" t="str">
        <f aca="false">Vendor_Master!D17</f>
        <v>India</v>
      </c>
      <c r="E20" s="18" t="n">
        <f aca="false">SUMIFS(Purchase_Orders!$D$2:$D$851,Purchase_Orders!$B$2:$B$851,A20)</f>
        <v>71754.72</v>
      </c>
      <c r="F20" s="16" t="n">
        <f aca="false">RANK(E20,$E$5:$E$44)</f>
        <v>21</v>
      </c>
      <c r="G20" s="18" t="n">
        <f aca="false">SUMIF($F$5:$F$44,"&lt;="&amp;F20,$E$5:$E$44)</f>
        <v>1959634.44</v>
      </c>
      <c r="H20" s="28" t="n">
        <f aca="false">G20/SUM($E$5:$E$44)</f>
        <v>0.657476128778535</v>
      </c>
      <c r="I20" s="16" t="str">
        <f aca="false">IF(H20&lt;=0.8,"Top 80% Driver","Remaining 20%")</f>
        <v>Top 80% Driver</v>
      </c>
    </row>
    <row r="21" customFormat="false" ht="15" hidden="false" customHeight="false" outlineLevel="0" collapsed="false">
      <c r="A21" s="16" t="str">
        <f aca="false">Vendor_Master!A18</f>
        <v>V1017</v>
      </c>
      <c r="B21" s="16" t="str">
        <f aca="false">Vendor_Master!B18</f>
        <v>Hawkins, Cohen and Cameron</v>
      </c>
      <c r="C21" s="16" t="str">
        <f aca="false">Vendor_Master!C18</f>
        <v>Software Licensing</v>
      </c>
      <c r="D21" s="16" t="str">
        <f aca="false">Vendor_Master!D18</f>
        <v>USA</v>
      </c>
      <c r="E21" s="18" t="n">
        <f aca="false">SUMIFS(Purchase_Orders!$D$2:$D$851,Purchase_Orders!$B$2:$B$851,A21)</f>
        <v>92270.1</v>
      </c>
      <c r="F21" s="16" t="n">
        <f aca="false">RANK(E21,$E$5:$E$44)</f>
        <v>8</v>
      </c>
      <c r="G21" s="18" t="n">
        <f aca="false">SUMIF($F$5:$F$44,"&lt;="&amp;F21,$E$5:$E$44)</f>
        <v>886453.26</v>
      </c>
      <c r="H21" s="28" t="n">
        <f aca="false">G21/SUM($E$5:$E$44)</f>
        <v>0.297413561341529</v>
      </c>
      <c r="I21" s="16" t="str">
        <f aca="false">IF(H21&lt;=0.8,"Top 80% Driver","Remaining 20%")</f>
        <v>Top 80% Driver</v>
      </c>
    </row>
    <row r="22" customFormat="false" ht="15" hidden="false" customHeight="false" outlineLevel="0" collapsed="false">
      <c r="A22" s="16" t="str">
        <f aca="false">Vendor_Master!A19</f>
        <v>V1018</v>
      </c>
      <c r="B22" s="16" t="str">
        <f aca="false">Vendor_Master!B19</f>
        <v>Underwood LLC</v>
      </c>
      <c r="C22" s="16" t="str">
        <f aca="false">Vendor_Master!C19</f>
        <v>Facilities</v>
      </c>
      <c r="D22" s="16" t="str">
        <f aca="false">Vendor_Master!D19</f>
        <v>UAE</v>
      </c>
      <c r="E22" s="18" t="n">
        <f aca="false">SUMIFS(Purchase_Orders!$D$2:$D$851,Purchase_Orders!$B$2:$B$851,A22)</f>
        <v>57985</v>
      </c>
      <c r="F22" s="16" t="n">
        <f aca="false">RANK(E22,$E$5:$E$44)</f>
        <v>30</v>
      </c>
      <c r="G22" s="18" t="n">
        <f aca="false">SUMIF($F$5:$F$44,"&lt;="&amp;F22,$E$5:$E$44)</f>
        <v>2531062.02</v>
      </c>
      <c r="H22" s="28" t="n">
        <f aca="false">G22/SUM($E$5:$E$44)</f>
        <v>0.849195556395701</v>
      </c>
      <c r="I22" s="16" t="str">
        <f aca="false">IF(H22&lt;=0.8,"Top 80% Driver","Remaining 20%")</f>
        <v>Remaining 20%</v>
      </c>
    </row>
    <row r="23" customFormat="false" ht="15" hidden="false" customHeight="false" outlineLevel="0" collapsed="false">
      <c r="A23" s="16" t="str">
        <f aca="false">Vendor_Master!A20</f>
        <v>V1019</v>
      </c>
      <c r="B23" s="16" t="str">
        <f aca="false">Vendor_Master!B20</f>
        <v>Clark PLC</v>
      </c>
      <c r="C23" s="16" t="str">
        <f aca="false">Vendor_Master!C20</f>
        <v>Professional Services</v>
      </c>
      <c r="D23" s="16" t="str">
        <f aca="false">Vendor_Master!D20</f>
        <v>India</v>
      </c>
      <c r="E23" s="18" t="n">
        <f aca="false">SUMIFS(Purchase_Orders!$D$2:$D$851,Purchase_Orders!$B$2:$B$851,A23)</f>
        <v>34955.15</v>
      </c>
      <c r="F23" s="16" t="n">
        <f aca="false">RANK(E23,$E$5:$E$44)</f>
        <v>39</v>
      </c>
      <c r="G23" s="18" t="n">
        <f aca="false">SUMIF($F$5:$F$44,"&lt;="&amp;F23,$E$5:$E$44)</f>
        <v>2950886.49</v>
      </c>
      <c r="H23" s="28" t="n">
        <f aca="false">G23/SUM($E$5:$E$44)</f>
        <v>0.990050688183496</v>
      </c>
      <c r="I23" s="16" t="str">
        <f aca="false">IF(H23&lt;=0.8,"Top 80% Driver","Remaining 20%")</f>
        <v>Remaining 20%</v>
      </c>
    </row>
    <row r="24" customFormat="false" ht="15" hidden="false" customHeight="false" outlineLevel="0" collapsed="false">
      <c r="A24" s="16" t="str">
        <f aca="false">Vendor_Master!A21</f>
        <v>V1020</v>
      </c>
      <c r="B24" s="16" t="str">
        <f aca="false">Vendor_Master!B21</f>
        <v>Lewis-Porter</v>
      </c>
      <c r="C24" s="16" t="str">
        <f aca="false">Vendor_Master!C21</f>
        <v>Travel &amp; Logistics</v>
      </c>
      <c r="D24" s="16" t="str">
        <f aca="false">Vendor_Master!D21</f>
        <v>UAE</v>
      </c>
      <c r="E24" s="18" t="n">
        <f aca="false">SUMIFS(Purchase_Orders!$D$2:$D$851,Purchase_Orders!$B$2:$B$851,A24)</f>
        <v>77529.28</v>
      </c>
      <c r="F24" s="16" t="n">
        <f aca="false">RANK(E24,$E$5:$E$44)</f>
        <v>18</v>
      </c>
      <c r="G24" s="18" t="n">
        <f aca="false">SUMIF($F$5:$F$44,"&lt;="&amp;F24,$E$5:$E$44)</f>
        <v>1736150.76</v>
      </c>
      <c r="H24" s="28" t="n">
        <f aca="false">G24/SUM($E$5:$E$44)</f>
        <v>0.582495213066735</v>
      </c>
      <c r="I24" s="16" t="str">
        <f aca="false">IF(H24&lt;=0.8,"Top 80% Driver","Remaining 20%")</f>
        <v>Top 80% Driver</v>
      </c>
    </row>
    <row r="25" customFormat="false" ht="15" hidden="false" customHeight="false" outlineLevel="0" collapsed="false">
      <c r="A25" s="16" t="str">
        <f aca="false">Vendor_Master!A22</f>
        <v>V1021</v>
      </c>
      <c r="B25" s="16" t="str">
        <f aca="false">Vendor_Master!B22</f>
        <v>Ellis, Baker and Wright</v>
      </c>
      <c r="C25" s="16" t="str">
        <f aca="false">Vendor_Master!C22</f>
        <v>Marketing</v>
      </c>
      <c r="D25" s="16" t="str">
        <f aca="false">Vendor_Master!D22</f>
        <v>UAE</v>
      </c>
      <c r="E25" s="18" t="n">
        <f aca="false">SUMIFS(Purchase_Orders!$D$2:$D$851,Purchase_Orders!$B$2:$B$851,A25)</f>
        <v>50068.68</v>
      </c>
      <c r="F25" s="16" t="n">
        <f aca="false">RANK(E25,$E$5:$E$44)</f>
        <v>34</v>
      </c>
      <c r="G25" s="18" t="n">
        <f aca="false">SUMIF($F$5:$F$44,"&lt;="&amp;F25,$E$5:$E$44)</f>
        <v>2743252.86</v>
      </c>
      <c r="H25" s="28" t="n">
        <f aca="false">G25/SUM($E$5:$E$44)</f>
        <v>0.920387616097135</v>
      </c>
      <c r="I25" s="16" t="str">
        <f aca="false">IF(H25&lt;=0.8,"Top 80% Driver","Remaining 20%")</f>
        <v>Remaining 20%</v>
      </c>
    </row>
    <row r="26" customFormat="false" ht="15" hidden="false" customHeight="false" outlineLevel="0" collapsed="false">
      <c r="A26" s="16" t="str">
        <f aca="false">Vendor_Master!A23</f>
        <v>V1022</v>
      </c>
      <c r="B26" s="16" t="str">
        <f aca="false">Vendor_Master!B23</f>
        <v>Burgess-Patterson</v>
      </c>
      <c r="C26" s="16" t="str">
        <f aca="false">Vendor_Master!C23</f>
        <v>Facilities</v>
      </c>
      <c r="D26" s="16" t="str">
        <f aca="false">Vendor_Master!D23</f>
        <v>Germany</v>
      </c>
      <c r="E26" s="18" t="n">
        <f aca="false">SUMIFS(Purchase_Orders!$D$2:$D$851,Purchase_Orders!$B$2:$B$851,A26)</f>
        <v>89751.22</v>
      </c>
      <c r="F26" s="16" t="n">
        <f aca="false">RANK(E26,$E$5:$E$44)</f>
        <v>11</v>
      </c>
      <c r="G26" s="18" t="n">
        <f aca="false">SUMIF($F$5:$F$44,"&lt;="&amp;F26,$E$5:$E$44)</f>
        <v>1158890.14</v>
      </c>
      <c r="H26" s="28" t="n">
        <f aca="false">G26/SUM($E$5:$E$44)</f>
        <v>0.388818744646483</v>
      </c>
      <c r="I26" s="16" t="str">
        <f aca="false">IF(H26&lt;=0.8,"Top 80% Driver","Remaining 20%")</f>
        <v>Top 80% Driver</v>
      </c>
    </row>
    <row r="27" customFormat="false" ht="15" hidden="false" customHeight="false" outlineLevel="0" collapsed="false">
      <c r="A27" s="16" t="str">
        <f aca="false">Vendor_Master!A24</f>
        <v>V1023</v>
      </c>
      <c r="B27" s="16" t="str">
        <f aca="false">Vendor_Master!B24</f>
        <v>Robinson-Bright</v>
      </c>
      <c r="C27" s="16" t="str">
        <f aca="false">Vendor_Master!C24</f>
        <v>Travel &amp; Logistics</v>
      </c>
      <c r="D27" s="16" t="str">
        <f aca="false">Vendor_Master!D24</f>
        <v>India</v>
      </c>
      <c r="E27" s="18" t="n">
        <f aca="false">SUMIFS(Purchase_Orders!$D$2:$D$851,Purchase_Orders!$B$2:$B$851,A27)</f>
        <v>46555.59</v>
      </c>
      <c r="F27" s="16" t="n">
        <f aca="false">RANK(E27,$E$5:$E$44)</f>
        <v>36</v>
      </c>
      <c r="G27" s="18" t="n">
        <f aca="false">SUMIF($F$5:$F$44,"&lt;="&amp;F27,$E$5:$E$44)</f>
        <v>2837549.85</v>
      </c>
      <c r="H27" s="28" t="n">
        <f aca="false">G27/SUM($E$5:$E$44)</f>
        <v>0.952025159648711</v>
      </c>
      <c r="I27" s="16" t="str">
        <f aca="false">IF(H27&lt;=0.8,"Top 80% Driver","Remaining 20%")</f>
        <v>Remaining 20%</v>
      </c>
    </row>
    <row r="28" customFormat="false" ht="15" hidden="false" customHeight="false" outlineLevel="0" collapsed="false">
      <c r="A28" s="16" t="str">
        <f aca="false">Vendor_Master!A25</f>
        <v>V1024</v>
      </c>
      <c r="B28" s="16" t="str">
        <f aca="false">Vendor_Master!B25</f>
        <v>Campos Inc</v>
      </c>
      <c r="C28" s="16" t="str">
        <f aca="false">Vendor_Master!C25</f>
        <v>Software Licensing</v>
      </c>
      <c r="D28" s="16" t="str">
        <f aca="false">Vendor_Master!D25</f>
        <v>USA</v>
      </c>
      <c r="E28" s="18" t="n">
        <f aca="false">SUMIFS(Purchase_Orders!$D$2:$D$851,Purchase_Orders!$B$2:$B$851,A28)</f>
        <v>60330.97</v>
      </c>
      <c r="F28" s="16" t="n">
        <f aca="false">RANK(E28,$E$5:$E$44)</f>
        <v>29</v>
      </c>
      <c r="G28" s="18" t="n">
        <f aca="false">SUMIF($F$5:$F$44,"&lt;="&amp;F28,$E$5:$E$44)</f>
        <v>2473077.02</v>
      </c>
      <c r="H28" s="28" t="n">
        <f aca="false">G28/SUM($E$5:$E$44)</f>
        <v>0.829741033373937</v>
      </c>
      <c r="I28" s="16" t="str">
        <f aca="false">IF(H28&lt;=0.8,"Top 80% Driver","Remaining 20%")</f>
        <v>Remaining 20%</v>
      </c>
    </row>
    <row r="29" customFormat="false" ht="15" hidden="false" customHeight="false" outlineLevel="0" collapsed="false">
      <c r="A29" s="16" t="str">
        <f aca="false">Vendor_Master!A26</f>
        <v>V1025</v>
      </c>
      <c r="B29" s="16" t="str">
        <f aca="false">Vendor_Master!B26</f>
        <v>Conner Group</v>
      </c>
      <c r="C29" s="16" t="str">
        <f aca="false">Vendor_Master!C26</f>
        <v>Professional Services</v>
      </c>
      <c r="D29" s="16" t="str">
        <f aca="false">Vendor_Master!D26</f>
        <v>USA</v>
      </c>
      <c r="E29" s="18" t="n">
        <f aca="false">SUMIFS(Purchase_Orders!$D$2:$D$851,Purchase_Orders!$B$2:$B$851,A29)</f>
        <v>171682.13</v>
      </c>
      <c r="F29" s="16" t="n">
        <f aca="false">RANK(E29,$E$5:$E$44)</f>
        <v>1</v>
      </c>
      <c r="G29" s="18" t="n">
        <f aca="false">SUMIF($F$5:$F$44,"&lt;="&amp;F29,$E$5:$E$44)</f>
        <v>171682.13</v>
      </c>
      <c r="H29" s="28" t="n">
        <f aca="false">G29/SUM($E$5:$E$44)</f>
        <v>0.0576009994052019</v>
      </c>
      <c r="I29" s="16" t="str">
        <f aca="false">IF(H29&lt;=0.8,"Top 80% Driver","Remaining 20%")</f>
        <v>Top 80% Driver</v>
      </c>
    </row>
    <row r="30" customFormat="false" ht="15" hidden="false" customHeight="false" outlineLevel="0" collapsed="false">
      <c r="A30" s="16" t="str">
        <f aca="false">Vendor_Master!A27</f>
        <v>V1026</v>
      </c>
      <c r="B30" s="16" t="str">
        <f aca="false">Vendor_Master!B27</f>
        <v>James-Ferrell</v>
      </c>
      <c r="C30" s="16" t="str">
        <f aca="false">Vendor_Master!C27</f>
        <v>Office Supplies</v>
      </c>
      <c r="D30" s="16" t="str">
        <f aca="false">Vendor_Master!D27</f>
        <v>UAE</v>
      </c>
      <c r="E30" s="18" t="n">
        <f aca="false">SUMIFS(Purchase_Orders!$D$2:$D$851,Purchase_Orders!$B$2:$B$851,A30)</f>
        <v>76062.71</v>
      </c>
      <c r="F30" s="16" t="n">
        <f aca="false">RANK(E30,$E$5:$E$44)</f>
        <v>19</v>
      </c>
      <c r="G30" s="18" t="n">
        <f aca="false">SUMIF($F$5:$F$44,"&lt;="&amp;F30,$E$5:$E$44)</f>
        <v>1812213.47</v>
      </c>
      <c r="H30" s="28" t="n">
        <f aca="false">G30/SUM($E$5:$E$44)</f>
        <v>0.608014980985901</v>
      </c>
      <c r="I30" s="16" t="str">
        <f aca="false">IF(H30&lt;=0.8,"Top 80% Driver","Remaining 20%")</f>
        <v>Top 80% Driver</v>
      </c>
    </row>
    <row r="31" customFormat="false" ht="15" hidden="false" customHeight="false" outlineLevel="0" collapsed="false">
      <c r="A31" s="16" t="str">
        <f aca="false">Vendor_Master!A28</f>
        <v>V1027</v>
      </c>
      <c r="B31" s="16" t="str">
        <f aca="false">Vendor_Master!B28</f>
        <v>Valencia, Smith and Le</v>
      </c>
      <c r="C31" s="16" t="str">
        <f aca="false">Vendor_Master!C28</f>
        <v>Travel &amp; Logistics</v>
      </c>
      <c r="D31" s="16" t="str">
        <f aca="false">Vendor_Master!D28</f>
        <v>Germany</v>
      </c>
      <c r="E31" s="18" t="n">
        <f aca="false">SUMIFS(Purchase_Orders!$D$2:$D$851,Purchase_Orders!$B$2:$B$851,A31)</f>
        <v>85136.88</v>
      </c>
      <c r="F31" s="16" t="n">
        <f aca="false">RANK(E31,$E$5:$E$44)</f>
        <v>14</v>
      </c>
      <c r="G31" s="18" t="n">
        <f aca="false">SUMIF($F$5:$F$44,"&lt;="&amp;F31,$E$5:$E$44)</f>
        <v>1417803.12</v>
      </c>
      <c r="H31" s="28" t="n">
        <f aca="false">G31/SUM($E$5:$E$44)</f>
        <v>0.475686529936537</v>
      </c>
      <c r="I31" s="16" t="str">
        <f aca="false">IF(H31&lt;=0.8,"Top 80% Driver","Remaining 20%")</f>
        <v>Top 80% Driver</v>
      </c>
    </row>
    <row r="32" customFormat="false" ht="15" hidden="false" customHeight="false" outlineLevel="0" collapsed="false">
      <c r="A32" s="16" t="str">
        <f aca="false">Vendor_Master!A29</f>
        <v>V1028</v>
      </c>
      <c r="B32" s="16" t="str">
        <f aca="false">Vendor_Master!B29</f>
        <v>Potter, Mack and Peterson</v>
      </c>
      <c r="C32" s="16" t="str">
        <f aca="false">Vendor_Master!C29</f>
        <v>Office Supplies</v>
      </c>
      <c r="D32" s="16" t="str">
        <f aca="false">Vendor_Master!D29</f>
        <v>UK</v>
      </c>
      <c r="E32" s="18" t="n">
        <f aca="false">SUMIFS(Purchase_Orders!$D$2:$D$851,Purchase_Orders!$B$2:$B$851,A32)</f>
        <v>54008.45</v>
      </c>
      <c r="F32" s="16" t="n">
        <f aca="false">RANK(E32,$E$5:$E$44)</f>
        <v>32</v>
      </c>
      <c r="G32" s="18" t="n">
        <f aca="false">SUMIF($F$5:$F$44,"&lt;="&amp;F32,$E$5:$E$44)</f>
        <v>2642712.16</v>
      </c>
      <c r="H32" s="28" t="n">
        <f aca="false">G32/SUM($E$5:$E$44)</f>
        <v>0.886655248023075</v>
      </c>
      <c r="I32" s="16" t="str">
        <f aca="false">IF(H32&lt;=0.8,"Top 80% Driver","Remaining 20%")</f>
        <v>Remaining 20%</v>
      </c>
    </row>
    <row r="33" customFormat="false" ht="15" hidden="false" customHeight="false" outlineLevel="0" collapsed="false">
      <c r="A33" s="16" t="str">
        <f aca="false">Vendor_Master!A30</f>
        <v>V1029</v>
      </c>
      <c r="B33" s="16" t="str">
        <f aca="false">Vendor_Master!B30</f>
        <v>Chavez Ltd</v>
      </c>
      <c r="C33" s="16" t="str">
        <f aca="false">Vendor_Master!C30</f>
        <v>Travel &amp; Logistics</v>
      </c>
      <c r="D33" s="16" t="str">
        <f aca="false">Vendor_Master!D30</f>
        <v>Singapore</v>
      </c>
      <c r="E33" s="18" t="n">
        <f aca="false">SUMIFS(Purchase_Orders!$D$2:$D$851,Purchase_Orders!$B$2:$B$851,A33)</f>
        <v>80665</v>
      </c>
      <c r="F33" s="16" t="n">
        <f aca="false">RANK(E33,$E$5:$E$44)</f>
        <v>15</v>
      </c>
      <c r="G33" s="18" t="n">
        <f aca="false">SUMIF($F$5:$F$44,"&lt;="&amp;F33,$E$5:$E$44)</f>
        <v>1498468.12</v>
      </c>
      <c r="H33" s="28" t="n">
        <f aca="false">G33/SUM($E$5:$E$44)</f>
        <v>0.502750410242662</v>
      </c>
      <c r="I33" s="16" t="str">
        <f aca="false">IF(H33&lt;=0.8,"Top 80% Driver","Remaining 20%")</f>
        <v>Top 80% Driver</v>
      </c>
    </row>
    <row r="34" customFormat="false" ht="15" hidden="false" customHeight="false" outlineLevel="0" collapsed="false">
      <c r="A34" s="16" t="str">
        <f aca="false">Vendor_Master!A31</f>
        <v>V1030</v>
      </c>
      <c r="B34" s="16" t="str">
        <f aca="false">Vendor_Master!B31</f>
        <v>Stanton-Gill</v>
      </c>
      <c r="C34" s="16" t="str">
        <f aca="false">Vendor_Master!C31</f>
        <v>Professional Services</v>
      </c>
      <c r="D34" s="16" t="str">
        <f aca="false">Vendor_Master!D31</f>
        <v>UK</v>
      </c>
      <c r="E34" s="18" t="n">
        <f aca="false">SUMIFS(Purchase_Orders!$D$2:$D$851,Purchase_Orders!$B$2:$B$851,A34)</f>
        <v>47741.4</v>
      </c>
      <c r="F34" s="16" t="n">
        <f aca="false">RANK(E34,$E$5:$E$44)</f>
        <v>35</v>
      </c>
      <c r="G34" s="18" t="n">
        <f aca="false">SUMIF($F$5:$F$44,"&lt;="&amp;F34,$E$5:$E$44)</f>
        <v>2790994.26</v>
      </c>
      <c r="H34" s="28" t="n">
        <f aca="false">G34/SUM($E$5:$E$44)</f>
        <v>0.936405313180713</v>
      </c>
      <c r="I34" s="16" t="str">
        <f aca="false">IF(H34&lt;=0.8,"Top 80% Driver","Remaining 20%")</f>
        <v>Remaining 20%</v>
      </c>
    </row>
    <row r="35" customFormat="false" ht="15" hidden="false" customHeight="false" outlineLevel="0" collapsed="false">
      <c r="A35" s="16" t="str">
        <f aca="false">Vendor_Master!A32</f>
        <v>V1031</v>
      </c>
      <c r="B35" s="16" t="str">
        <f aca="false">Vendor_Master!B32</f>
        <v>Harrell LLC</v>
      </c>
      <c r="C35" s="16" t="str">
        <f aca="false">Vendor_Master!C32</f>
        <v>IT Services</v>
      </c>
      <c r="D35" s="16" t="str">
        <f aca="false">Vendor_Master!D32</f>
        <v>Canada</v>
      </c>
      <c r="E35" s="18" t="n">
        <f aca="false">SUMIFS(Purchase_Orders!$D$2:$D$851,Purchase_Orders!$B$2:$B$851,A35)</f>
        <v>101194.33</v>
      </c>
      <c r="F35" s="16" t="n">
        <f aca="false">RANK(E35,$E$5:$E$44)</f>
        <v>4</v>
      </c>
      <c r="G35" s="18" t="n">
        <f aca="false">SUMIF($F$5:$F$44,"&lt;="&amp;F35,$E$5:$E$44)</f>
        <v>505986.05</v>
      </c>
      <c r="H35" s="28" t="n">
        <f aca="false">G35/SUM($E$5:$E$44)</f>
        <v>0.16976316734357</v>
      </c>
      <c r="I35" s="16" t="str">
        <f aca="false">IF(H35&lt;=0.8,"Top 80% Driver","Remaining 20%")</f>
        <v>Top 80% Driver</v>
      </c>
    </row>
    <row r="36" customFormat="false" ht="15" hidden="false" customHeight="false" outlineLevel="0" collapsed="false">
      <c r="A36" s="16" t="str">
        <f aca="false">Vendor_Master!A33</f>
        <v>V1032</v>
      </c>
      <c r="B36" s="16" t="str">
        <f aca="false">Vendor_Master!B33</f>
        <v>Lynch, Hernandez and Farmer</v>
      </c>
      <c r="C36" s="16" t="str">
        <f aca="false">Vendor_Master!C33</f>
        <v>Office Supplies</v>
      </c>
      <c r="D36" s="16" t="str">
        <f aca="false">Vendor_Master!D33</f>
        <v>UAE</v>
      </c>
      <c r="E36" s="18" t="n">
        <f aca="false">SUMIFS(Purchase_Orders!$D$2:$D$851,Purchase_Orders!$B$2:$B$851,A36)</f>
        <v>29654.33</v>
      </c>
      <c r="F36" s="16" t="n">
        <f aca="false">RANK(E36,$E$5:$E$44)</f>
        <v>40</v>
      </c>
      <c r="G36" s="18" t="n">
        <f aca="false">SUMIF($F$5:$F$44,"&lt;="&amp;F36,$E$5:$E$44)</f>
        <v>2980540.82</v>
      </c>
      <c r="H36" s="28" t="n">
        <f aca="false">G36/SUM($E$5:$E$44)</f>
        <v>1</v>
      </c>
      <c r="I36" s="16" t="str">
        <f aca="false">IF(H36&lt;=0.8,"Top 80% Driver","Remaining 20%")</f>
        <v>Remaining 20%</v>
      </c>
    </row>
    <row r="37" customFormat="false" ht="15" hidden="false" customHeight="false" outlineLevel="0" collapsed="false">
      <c r="A37" s="16" t="str">
        <f aca="false">Vendor_Master!A34</f>
        <v>V1033</v>
      </c>
      <c r="B37" s="16" t="str">
        <f aca="false">Vendor_Master!B34</f>
        <v>Sellers, George and Burns</v>
      </c>
      <c r="C37" s="16" t="str">
        <f aca="false">Vendor_Master!C34</f>
        <v>Marketing</v>
      </c>
      <c r="D37" s="16" t="str">
        <f aca="false">Vendor_Master!D34</f>
        <v>USA</v>
      </c>
      <c r="E37" s="18" t="n">
        <f aca="false">SUMIFS(Purchase_Orders!$D$2:$D$851,Purchase_Orders!$B$2:$B$851,A37)</f>
        <v>75666.25</v>
      </c>
      <c r="F37" s="16" t="n">
        <f aca="false">RANK(E37,$E$5:$E$44)</f>
        <v>20</v>
      </c>
      <c r="G37" s="18" t="n">
        <f aca="false">SUMIF($F$5:$F$44,"&lt;="&amp;F37,$E$5:$E$44)</f>
        <v>1887879.72</v>
      </c>
      <c r="H37" s="28" t="n">
        <f aca="false">G37/SUM($E$5:$E$44)</f>
        <v>0.633401732776805</v>
      </c>
      <c r="I37" s="16" t="str">
        <f aca="false">IF(H37&lt;=0.8,"Top 80% Driver","Remaining 20%")</f>
        <v>Top 80% Driver</v>
      </c>
    </row>
    <row r="38" customFormat="false" ht="15" hidden="false" customHeight="false" outlineLevel="0" collapsed="false">
      <c r="A38" s="16" t="str">
        <f aca="false">Vendor_Master!A35</f>
        <v>V1034</v>
      </c>
      <c r="B38" s="16" t="str">
        <f aca="false">Vendor_Master!B35</f>
        <v>Koch-Decker</v>
      </c>
      <c r="C38" s="16" t="str">
        <f aca="false">Vendor_Master!C35</f>
        <v>Marketing</v>
      </c>
      <c r="D38" s="16" t="str">
        <f aca="false">Vendor_Master!D35</f>
        <v>Germany</v>
      </c>
      <c r="E38" s="18" t="n">
        <f aca="false">SUMIFS(Purchase_Orders!$D$2:$D$851,Purchase_Orders!$B$2:$B$851,A38)</f>
        <v>69012.14</v>
      </c>
      <c r="F38" s="16" t="n">
        <f aca="false">RANK(E38,$E$5:$E$44)</f>
        <v>23</v>
      </c>
      <c r="G38" s="18" t="n">
        <f aca="false">SUMIF($F$5:$F$44,"&lt;="&amp;F38,$E$5:$E$44)</f>
        <v>2099182.39</v>
      </c>
      <c r="H38" s="28" t="n">
        <f aca="false">G38/SUM($E$5:$E$44)</f>
        <v>0.70429580293418</v>
      </c>
      <c r="I38" s="16" t="str">
        <f aca="false">IF(H38&lt;=0.8,"Top 80% Driver","Remaining 20%")</f>
        <v>Top 80% Driver</v>
      </c>
    </row>
    <row r="39" customFormat="false" ht="15" hidden="false" customHeight="false" outlineLevel="0" collapsed="false">
      <c r="A39" s="16" t="str">
        <f aca="false">Vendor_Master!A36</f>
        <v>V1035</v>
      </c>
      <c r="B39" s="16" t="str">
        <f aca="false">Vendor_Master!B36</f>
        <v>Allen PLC</v>
      </c>
      <c r="C39" s="16" t="str">
        <f aca="false">Vendor_Master!C36</f>
        <v>Marketing</v>
      </c>
      <c r="D39" s="16" t="str">
        <f aca="false">Vendor_Master!D36</f>
        <v>Canada</v>
      </c>
      <c r="E39" s="18" t="n">
        <f aca="false">SUMIFS(Purchase_Orders!$D$2:$D$851,Purchase_Orders!$B$2:$B$851,A39)</f>
        <v>92786.73</v>
      </c>
      <c r="F39" s="16" t="n">
        <f aca="false">RANK(E39,$E$5:$E$44)</f>
        <v>7</v>
      </c>
      <c r="G39" s="18" t="n">
        <f aca="false">SUMIF($F$5:$F$44,"&lt;="&amp;F39,$E$5:$E$44)</f>
        <v>794183.16</v>
      </c>
      <c r="H39" s="28" t="n">
        <f aca="false">G39/SUM($E$5:$E$44)</f>
        <v>0.266456058803449</v>
      </c>
      <c r="I39" s="16" t="str">
        <f aca="false">IF(H39&lt;=0.8,"Top 80% Driver","Remaining 20%")</f>
        <v>Top 80% Driver</v>
      </c>
    </row>
    <row r="40" customFormat="false" ht="15" hidden="false" customHeight="false" outlineLevel="0" collapsed="false">
      <c r="A40" s="16" t="str">
        <f aca="false">Vendor_Master!A37</f>
        <v>V1036</v>
      </c>
      <c r="B40" s="16" t="str">
        <f aca="false">Vendor_Master!B37</f>
        <v>Dennis Inc</v>
      </c>
      <c r="C40" s="16" t="str">
        <f aca="false">Vendor_Master!C37</f>
        <v>Travel &amp; Logistics</v>
      </c>
      <c r="D40" s="16" t="str">
        <f aca="false">Vendor_Master!D37</f>
        <v>Singapore</v>
      </c>
      <c r="E40" s="18" t="n">
        <f aca="false">SUMIFS(Purchase_Orders!$D$2:$D$851,Purchase_Orders!$B$2:$B$851,A40)</f>
        <v>61654.94</v>
      </c>
      <c r="F40" s="16" t="n">
        <f aca="false">RANK(E40,$E$5:$E$44)</f>
        <v>27</v>
      </c>
      <c r="G40" s="18" t="n">
        <f aca="false">SUMIF($F$5:$F$44,"&lt;="&amp;F40,$E$5:$E$44)</f>
        <v>2352382.45</v>
      </c>
      <c r="H40" s="28" t="n">
        <f aca="false">G40/SUM($E$5:$E$44)</f>
        <v>0.789246848831951</v>
      </c>
      <c r="I40" s="16" t="str">
        <f aca="false">IF(H40&lt;=0.8,"Top 80% Driver","Remaining 20%")</f>
        <v>Top 80% Driver</v>
      </c>
    </row>
    <row r="41" customFormat="false" ht="15" hidden="false" customHeight="false" outlineLevel="0" collapsed="false">
      <c r="A41" s="16" t="str">
        <f aca="false">Vendor_Master!A38</f>
        <v>V1037</v>
      </c>
      <c r="B41" s="16" t="str">
        <f aca="false">Vendor_Master!B38</f>
        <v>Cannon, Anderson and Alvarez</v>
      </c>
      <c r="C41" s="16" t="str">
        <f aca="false">Vendor_Master!C38</f>
        <v>IT Services</v>
      </c>
      <c r="D41" s="16" t="str">
        <f aca="false">Vendor_Master!D38</f>
        <v>India</v>
      </c>
      <c r="E41" s="18" t="n">
        <f aca="false">SUMIFS(Purchase_Orders!$D$2:$D$851,Purchase_Orders!$B$2:$B$851,A41)</f>
        <v>87511.71</v>
      </c>
      <c r="F41" s="16" t="n">
        <f aca="false">RANK(E41,$E$5:$E$44)</f>
        <v>12</v>
      </c>
      <c r="G41" s="18" t="n">
        <f aca="false">SUMIF($F$5:$F$44,"&lt;="&amp;F41,$E$5:$E$44)</f>
        <v>1246401.85</v>
      </c>
      <c r="H41" s="28" t="n">
        <f aca="false">G41/SUM($E$5:$E$44)</f>
        <v>0.418179761752097</v>
      </c>
      <c r="I41" s="16" t="str">
        <f aca="false">IF(H41&lt;=0.8,"Top 80% Driver","Remaining 20%")</f>
        <v>Top 80% Driver</v>
      </c>
    </row>
    <row r="42" customFormat="false" ht="15" hidden="false" customHeight="false" outlineLevel="0" collapsed="false">
      <c r="A42" s="16" t="str">
        <f aca="false">Vendor_Master!A39</f>
        <v>V1038</v>
      </c>
      <c r="B42" s="16" t="str">
        <f aca="false">Vendor_Master!B39</f>
        <v>Rose-Obrien</v>
      </c>
      <c r="C42" s="16" t="str">
        <f aca="false">Vendor_Master!C39</f>
        <v>Facilities</v>
      </c>
      <c r="D42" s="16" t="str">
        <f aca="false">Vendor_Master!D39</f>
        <v>USA</v>
      </c>
      <c r="E42" s="18" t="n">
        <f aca="false">SUMIFS(Purchase_Orders!$D$2:$D$851,Purchase_Orders!$B$2:$B$851,A42)</f>
        <v>65015.28</v>
      </c>
      <c r="F42" s="16" t="n">
        <f aca="false">RANK(E42,$E$5:$E$44)</f>
        <v>24</v>
      </c>
      <c r="G42" s="18" t="n">
        <f aca="false">SUMIF($F$5:$F$44,"&lt;="&amp;F42,$E$5:$E$44)</f>
        <v>2164197.67</v>
      </c>
      <c r="H42" s="28" t="n">
        <f aca="false">G42/SUM($E$5:$E$44)</f>
        <v>0.726109052249115</v>
      </c>
      <c r="I42" s="16" t="str">
        <f aca="false">IF(H42&lt;=0.8,"Top 80% Driver","Remaining 20%")</f>
        <v>Top 80% Driver</v>
      </c>
    </row>
    <row r="43" customFormat="false" ht="15" hidden="false" customHeight="false" outlineLevel="0" collapsed="false">
      <c r="A43" s="16" t="str">
        <f aca="false">Vendor_Master!A40</f>
        <v>V1039</v>
      </c>
      <c r="B43" s="16" t="str">
        <f aca="false">Vendor_Master!B40</f>
        <v>Campos, Vaughn and Marquez</v>
      </c>
      <c r="C43" s="16" t="str">
        <f aca="false">Vendor_Master!C40</f>
        <v>Marketing</v>
      </c>
      <c r="D43" s="16" t="str">
        <f aca="false">Vendor_Master!D40</f>
        <v>USA</v>
      </c>
      <c r="E43" s="18" t="n">
        <f aca="false">SUMIFS(Purchase_Orders!$D$2:$D$851,Purchase_Orders!$B$2:$B$851,A43)</f>
        <v>92196.07</v>
      </c>
      <c r="F43" s="16" t="n">
        <f aca="false">RANK(E43,$E$5:$E$44)</f>
        <v>9</v>
      </c>
      <c r="G43" s="18" t="n">
        <f aca="false">SUMIF($F$5:$F$44,"&lt;="&amp;F43,$E$5:$E$44)</f>
        <v>978649.33</v>
      </c>
      <c r="H43" s="28" t="n">
        <f aca="false">G43/SUM($E$5:$E$44)</f>
        <v>0.328346226105368</v>
      </c>
      <c r="I43" s="16" t="str">
        <f aca="false">IF(H43&lt;=0.8,"Top 80% Driver","Remaining 20%")</f>
        <v>Top 80% Driver</v>
      </c>
    </row>
    <row r="44" customFormat="false" ht="15" hidden="false" customHeight="false" outlineLevel="0" collapsed="false">
      <c r="A44" s="16" t="str">
        <f aca="false">Vendor_Master!A41</f>
        <v>V1040</v>
      </c>
      <c r="B44" s="16" t="str">
        <f aca="false">Vendor_Master!B41</f>
        <v>Santos, Kim and Holmes</v>
      </c>
      <c r="C44" s="16" t="str">
        <f aca="false">Vendor_Master!C41</f>
        <v>Office Supplies</v>
      </c>
      <c r="D44" s="16" t="str">
        <f aca="false">Vendor_Master!D41</f>
        <v>India</v>
      </c>
      <c r="E44" s="18" t="n">
        <f aca="false">SUMIFS(Purchase_Orders!$D$2:$D$851,Purchase_Orders!$B$2:$B$851,A44)</f>
        <v>57641.69</v>
      </c>
      <c r="F44" s="16" t="n">
        <f aca="false">RANK(E44,$E$5:$E$44)</f>
        <v>31</v>
      </c>
      <c r="G44" s="18" t="n">
        <f aca="false">SUMIF($F$5:$F$44,"&lt;="&amp;F44,$E$5:$E$44)</f>
        <v>2588703.71</v>
      </c>
      <c r="H44" s="28" t="n">
        <f aca="false">G44/SUM($E$5:$E$44)</f>
        <v>0.868534895623406</v>
      </c>
      <c r="I44" s="16" t="str">
        <f aca="false">IF(H44&lt;=0.8,"Top 80% Driver","Remaining 20%")</f>
        <v>Remaining 20%</v>
      </c>
    </row>
  </sheetData>
  <autoFilter ref="A4:I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5626</v>
      </c>
    </row>
    <row r="2" customFormat="false" ht="15" hidden="false" customHeight="false" outlineLevel="0" collapsed="false">
      <c r="A2" s="2" t="s">
        <v>5627</v>
      </c>
    </row>
    <row r="4" customFormat="false" ht="27.75" hidden="false" customHeight="true" outlineLevel="0" collapsed="false">
      <c r="A4" s="7" t="s">
        <v>63</v>
      </c>
      <c r="B4" s="7" t="s">
        <v>64</v>
      </c>
      <c r="C4" s="7" t="s">
        <v>65</v>
      </c>
      <c r="D4" s="7" t="s">
        <v>67</v>
      </c>
      <c r="E4" s="7" t="s">
        <v>5628</v>
      </c>
      <c r="F4" s="7" t="s">
        <v>5621</v>
      </c>
      <c r="G4" s="7" t="s">
        <v>5629</v>
      </c>
      <c r="H4" s="7" t="s">
        <v>5566</v>
      </c>
    </row>
    <row r="5" customFormat="false" ht="15" hidden="false" customHeight="false" outlineLevel="0" collapsed="false">
      <c r="A5" s="16" t="str">
        <f aca="false">Vendor_Master!A2</f>
        <v>V1001</v>
      </c>
      <c r="B5" s="16" t="str">
        <f aca="false">Vendor_Master!B2</f>
        <v>Figueroa and Sons</v>
      </c>
      <c r="C5" s="16" t="str">
        <f aca="false">Vendor_Master!C2</f>
        <v>Travel &amp; Logistics</v>
      </c>
      <c r="D5" s="17" t="n">
        <f aca="false">Vendor_Master!E2</f>
        <v>45572</v>
      </c>
      <c r="E5" s="16" t="n">
        <f aca="false">Assumptions!$B$5-D5</f>
        <v>662</v>
      </c>
      <c r="F5" s="18" t="n">
        <f aca="false">Vendor_Spend!E5</f>
        <v>105301.08</v>
      </c>
      <c r="G5" s="18" t="n">
        <f aca="false">AVERAGE(Vendor_Spend!$E$5:$E$44)</f>
        <v>74513.5205</v>
      </c>
      <c r="H5" s="16" t="str">
        <f aca="false">IF(AND(E5&lt;=Assumptions!$B$9,F5&gt;G5*2),"FLAG - New Vendor, High Spend","OK")</f>
        <v>OK</v>
      </c>
    </row>
    <row r="6" customFormat="false" ht="15" hidden="false" customHeight="false" outlineLevel="0" collapsed="false">
      <c r="A6" s="16" t="str">
        <f aca="false">Vendor_Master!A3</f>
        <v>V1002</v>
      </c>
      <c r="B6" s="16" t="str">
        <f aca="false">Vendor_Master!B3</f>
        <v>Garcia, Yang and Gardner</v>
      </c>
      <c r="C6" s="16" t="str">
        <f aca="false">Vendor_Master!C3</f>
        <v>Office Supplies</v>
      </c>
      <c r="D6" s="17" t="n">
        <f aca="false">Vendor_Master!E3</f>
        <v>44914</v>
      </c>
      <c r="E6" s="16" t="n">
        <f aca="false">Assumptions!$B$5-D6</f>
        <v>1320</v>
      </c>
      <c r="F6" s="18" t="n">
        <f aca="false">Vendor_Spend!E6</f>
        <v>86264.39</v>
      </c>
      <c r="G6" s="18" t="n">
        <f aca="false">AVERAGE(Vendor_Spend!$E$5:$E$44)</f>
        <v>74513.5205</v>
      </c>
      <c r="H6" s="16" t="str">
        <f aca="false">IF(AND(E6&lt;=Assumptions!$B$9,F6&gt;G6*2),"FLAG - New Vendor, High Spend","OK")</f>
        <v>OK</v>
      </c>
    </row>
    <row r="7" customFormat="false" ht="15" hidden="false" customHeight="false" outlineLevel="0" collapsed="false">
      <c r="A7" s="16" t="str">
        <f aca="false">Vendor_Master!A4</f>
        <v>V1003</v>
      </c>
      <c r="B7" s="16" t="str">
        <f aca="false">Vendor_Master!B4</f>
        <v>Johnson and Sons</v>
      </c>
      <c r="C7" s="16" t="str">
        <f aca="false">Vendor_Master!C4</f>
        <v>Travel &amp; Logistics</v>
      </c>
      <c r="D7" s="17" t="n">
        <f aca="false">Vendor_Master!E4</f>
        <v>45495</v>
      </c>
      <c r="E7" s="16" t="n">
        <f aca="false">Assumptions!$B$5-D7</f>
        <v>739</v>
      </c>
      <c r="F7" s="18" t="n">
        <f aca="false">Vendor_Spend!E7</f>
        <v>36190.95</v>
      </c>
      <c r="G7" s="18" t="n">
        <f aca="false">AVERAGE(Vendor_Spend!$E$5:$E$44)</f>
        <v>74513.5205</v>
      </c>
      <c r="H7" s="16" t="str">
        <f aca="false">IF(AND(E7&lt;=Assumptions!$B$9,F7&gt;G7*2),"FLAG - New Vendor, High Spend","OK")</f>
        <v>OK</v>
      </c>
    </row>
    <row r="8" customFormat="false" ht="15" hidden="false" customHeight="false" outlineLevel="0" collapsed="false">
      <c r="A8" s="16" t="str">
        <f aca="false">Vendor_Master!A5</f>
        <v>V1004</v>
      </c>
      <c r="B8" s="16" t="str">
        <f aca="false">Vendor_Master!B5</f>
        <v>Johnson, Gonzalez and Santos</v>
      </c>
      <c r="C8" s="16" t="str">
        <f aca="false">Vendor_Master!C5</f>
        <v>Marketing</v>
      </c>
      <c r="D8" s="17" t="n">
        <f aca="false">Vendor_Master!E5</f>
        <v>44929</v>
      </c>
      <c r="E8" s="16" t="n">
        <f aca="false">Assumptions!$B$5-D8</f>
        <v>1305</v>
      </c>
      <c r="F8" s="18" t="n">
        <f aca="false">Vendor_Spend!E8</f>
        <v>50472.02</v>
      </c>
      <c r="G8" s="18" t="n">
        <f aca="false">AVERAGE(Vendor_Spend!$E$5:$E$44)</f>
        <v>74513.5205</v>
      </c>
      <c r="H8" s="16" t="str">
        <f aca="false">IF(AND(E8&lt;=Assumptions!$B$9,F8&gt;G8*2),"FLAG - New Vendor, High Spend","OK")</f>
        <v>OK</v>
      </c>
    </row>
    <row r="9" customFormat="false" ht="15" hidden="false" customHeight="false" outlineLevel="0" collapsed="false">
      <c r="A9" s="16" t="str">
        <f aca="false">Vendor_Master!A6</f>
        <v>V1005</v>
      </c>
      <c r="B9" s="16" t="str">
        <f aca="false">Vendor_Master!B6</f>
        <v>Cole LLC</v>
      </c>
      <c r="C9" s="16" t="str">
        <f aca="false">Vendor_Master!C6</f>
        <v>IT Services</v>
      </c>
      <c r="D9" s="17" t="n">
        <f aca="false">Vendor_Master!E6</f>
        <v>45423</v>
      </c>
      <c r="E9" s="16" t="n">
        <f aca="false">Assumptions!$B$5-D9</f>
        <v>811</v>
      </c>
      <c r="F9" s="18" t="n">
        <f aca="false">Vendor_Spend!E9</f>
        <v>96640.97</v>
      </c>
      <c r="G9" s="18" t="n">
        <f aca="false">AVERAGE(Vendor_Spend!$E$5:$E$44)</f>
        <v>74513.5205</v>
      </c>
      <c r="H9" s="16" t="str">
        <f aca="false">IF(AND(E9&lt;=Assumptions!$B$9,F9&gt;G9*2),"FLAG - New Vendor, High Spend","OK")</f>
        <v>OK</v>
      </c>
    </row>
    <row r="10" customFormat="false" ht="15" hidden="false" customHeight="false" outlineLevel="0" collapsed="false">
      <c r="A10" s="16" t="str">
        <f aca="false">Vendor_Master!A7</f>
        <v>V1006</v>
      </c>
      <c r="B10" s="16" t="str">
        <f aca="false">Vendor_Master!B7</f>
        <v>Blake and Sons</v>
      </c>
      <c r="C10" s="16" t="str">
        <f aca="false">Vendor_Master!C7</f>
        <v>Marketing</v>
      </c>
      <c r="D10" s="17" t="n">
        <f aca="false">Vendor_Master!E7</f>
        <v>45841</v>
      </c>
      <c r="E10" s="16" t="n">
        <f aca="false">Assumptions!$B$5-D10</f>
        <v>393</v>
      </c>
      <c r="F10" s="18" t="n">
        <f aca="false">Vendor_Spend!E10</f>
        <v>64172.49</v>
      </c>
      <c r="G10" s="18" t="n">
        <f aca="false">AVERAGE(Vendor_Spend!$E$5:$E$44)</f>
        <v>74513.5205</v>
      </c>
      <c r="H10" s="16" t="str">
        <f aca="false">IF(AND(E10&lt;=Assumptions!$B$9,F10&gt;G10*2),"FLAG - New Vendor, High Spend","OK")</f>
        <v>OK</v>
      </c>
    </row>
    <row r="11" customFormat="false" ht="15" hidden="false" customHeight="false" outlineLevel="0" collapsed="false">
      <c r="A11" s="16" t="str">
        <f aca="false">Vendor_Master!A8</f>
        <v>V1007</v>
      </c>
      <c r="B11" s="16" t="str">
        <f aca="false">Vendor_Master!B8</f>
        <v>Ramirez-Lewis</v>
      </c>
      <c r="C11" s="16" t="str">
        <f aca="false">Vendor_Master!C8</f>
        <v>Office Supplies</v>
      </c>
      <c r="D11" s="17" t="n">
        <f aca="false">Vendor_Master!E8</f>
        <v>45665</v>
      </c>
      <c r="E11" s="16" t="n">
        <f aca="false">Assumptions!$B$5-D11</f>
        <v>569</v>
      </c>
      <c r="F11" s="18" t="n">
        <f aca="false">Vendor_Spend!E11</f>
        <v>98769.41</v>
      </c>
      <c r="G11" s="18" t="n">
        <f aca="false">AVERAGE(Vendor_Spend!$E$5:$E$44)</f>
        <v>74513.5205</v>
      </c>
      <c r="H11" s="16" t="str">
        <f aca="false">IF(AND(E11&lt;=Assumptions!$B$9,F11&gt;G11*2),"FLAG - New Vendor, High Spend","OK")</f>
        <v>OK</v>
      </c>
    </row>
    <row r="12" customFormat="false" ht="15" hidden="false" customHeight="false" outlineLevel="0" collapsed="false">
      <c r="A12" s="16" t="str">
        <f aca="false">Vendor_Master!A9</f>
        <v>V1008</v>
      </c>
      <c r="B12" s="16" t="str">
        <f aca="false">Vendor_Master!B9</f>
        <v>Davis Inc</v>
      </c>
      <c r="C12" s="16" t="str">
        <f aca="false">Vendor_Master!C9</f>
        <v>Software Licensing</v>
      </c>
      <c r="D12" s="17" t="n">
        <f aca="false">Vendor_Master!E9</f>
        <v>45769</v>
      </c>
      <c r="E12" s="16" t="n">
        <f aca="false">Assumptions!$B$5-D12</f>
        <v>465</v>
      </c>
      <c r="F12" s="18" t="n">
        <f aca="false">Vendor_Spend!E12</f>
        <v>42190.54</v>
      </c>
      <c r="G12" s="18" t="n">
        <f aca="false">AVERAGE(Vendor_Spend!$E$5:$E$44)</f>
        <v>74513.5205</v>
      </c>
      <c r="H12" s="16" t="str">
        <f aca="false">IF(AND(E12&lt;=Assumptions!$B$9,F12&gt;G12*2),"FLAG - New Vendor, High Spend","OK")</f>
        <v>OK</v>
      </c>
    </row>
    <row r="13" customFormat="false" ht="15" hidden="false" customHeight="false" outlineLevel="0" collapsed="false">
      <c r="A13" s="16" t="str">
        <f aca="false">Vendor_Master!A10</f>
        <v>V1009</v>
      </c>
      <c r="B13" s="16" t="str">
        <f aca="false">Vendor_Master!B10</f>
        <v>Munoz-Roman</v>
      </c>
      <c r="C13" s="16" t="str">
        <f aca="false">Vendor_Master!C10</f>
        <v>Professional Services</v>
      </c>
      <c r="D13" s="17" t="n">
        <f aca="false">Vendor_Master!E10</f>
        <v>45129</v>
      </c>
      <c r="E13" s="16" t="n">
        <f aca="false">Assumptions!$B$5-D13</f>
        <v>1105</v>
      </c>
      <c r="F13" s="18" t="n">
        <f aca="false">Vendor_Spend!E13</f>
        <v>79994.73</v>
      </c>
      <c r="G13" s="18" t="n">
        <f aca="false">AVERAGE(Vendor_Spend!$E$5:$E$44)</f>
        <v>74513.5205</v>
      </c>
      <c r="H13" s="16" t="str">
        <f aca="false">IF(AND(E13&lt;=Assumptions!$B$9,F13&gt;G13*2),"FLAG - New Vendor, High Spend","OK")</f>
        <v>OK</v>
      </c>
    </row>
    <row r="14" customFormat="false" ht="15" hidden="false" customHeight="false" outlineLevel="0" collapsed="false">
      <c r="A14" s="16" t="str">
        <f aca="false">Vendor_Master!A11</f>
        <v>V1010</v>
      </c>
      <c r="B14" s="16" t="str">
        <f aca="false">Vendor_Master!B11</f>
        <v>Martinez, Nielsen and Miller</v>
      </c>
      <c r="C14" s="16" t="str">
        <f aca="false">Vendor_Master!C11</f>
        <v>Software Licensing</v>
      </c>
      <c r="D14" s="17" t="n">
        <f aca="false">Vendor_Master!E11</f>
        <v>45715</v>
      </c>
      <c r="E14" s="16" t="n">
        <f aca="false">Assumptions!$B$5-D14</f>
        <v>519</v>
      </c>
      <c r="F14" s="18" t="n">
        <f aca="false">Vendor_Spend!E14</f>
        <v>60363.6</v>
      </c>
      <c r="G14" s="18" t="n">
        <f aca="false">AVERAGE(Vendor_Spend!$E$5:$E$44)</f>
        <v>74513.5205</v>
      </c>
      <c r="H14" s="16" t="str">
        <f aca="false">IF(AND(E14&lt;=Assumptions!$B$9,F14&gt;G14*2),"FLAG - New Vendor, High Spend","OK")</f>
        <v>OK</v>
      </c>
    </row>
    <row r="15" customFormat="false" ht="15" hidden="false" customHeight="false" outlineLevel="0" collapsed="false">
      <c r="A15" s="16" t="str">
        <f aca="false">Vendor_Master!A12</f>
        <v>V1011</v>
      </c>
      <c r="B15" s="16" t="str">
        <f aca="false">Vendor_Master!B12</f>
        <v>Montgomery, Hensley and Ray</v>
      </c>
      <c r="C15" s="16" t="str">
        <f aca="false">Vendor_Master!C12</f>
        <v>Facilities</v>
      </c>
      <c r="D15" s="17" t="n">
        <f aca="false">Vendor_Master!E12</f>
        <v>45025</v>
      </c>
      <c r="E15" s="16" t="n">
        <f aca="false">Assumptions!$B$5-D15</f>
        <v>1209</v>
      </c>
      <c r="F15" s="18" t="n">
        <f aca="false">Vendor_Spend!E15</f>
        <v>90489.59</v>
      </c>
      <c r="G15" s="18" t="n">
        <f aca="false">AVERAGE(Vendor_Spend!$E$5:$E$44)</f>
        <v>74513.5205</v>
      </c>
      <c r="H15" s="16" t="str">
        <f aca="false">IF(AND(E15&lt;=Assumptions!$B$9,F15&gt;G15*2),"FLAG - New Vendor, High Spend","OK")</f>
        <v>OK</v>
      </c>
    </row>
    <row r="16" customFormat="false" ht="15" hidden="false" customHeight="false" outlineLevel="0" collapsed="false">
      <c r="A16" s="16" t="str">
        <f aca="false">Vendor_Master!A13</f>
        <v>V1012</v>
      </c>
      <c r="B16" s="16" t="str">
        <f aca="false">Vendor_Master!B13</f>
        <v>Stanley LLC</v>
      </c>
      <c r="C16" s="16" t="str">
        <f aca="false">Vendor_Master!C13</f>
        <v>Marketing</v>
      </c>
      <c r="D16" s="17" t="n">
        <f aca="false">Vendor_Master!E13</f>
        <v>45675</v>
      </c>
      <c r="E16" s="16" t="n">
        <f aca="false">Assumptions!$B$5-D16</f>
        <v>559</v>
      </c>
      <c r="F16" s="18" t="n">
        <f aca="false">Vendor_Spend!E16</f>
        <v>127808.51</v>
      </c>
      <c r="G16" s="18" t="n">
        <f aca="false">AVERAGE(Vendor_Spend!$E$5:$E$44)</f>
        <v>74513.5205</v>
      </c>
      <c r="H16" s="16" t="str">
        <f aca="false">IF(AND(E16&lt;=Assumptions!$B$9,F16&gt;G16*2),"FLAG - New Vendor, High Spend","OK")</f>
        <v>OK</v>
      </c>
    </row>
    <row r="17" customFormat="false" ht="15" hidden="false" customHeight="false" outlineLevel="0" collapsed="false">
      <c r="A17" s="16" t="str">
        <f aca="false">Vendor_Master!A14</f>
        <v>V1013</v>
      </c>
      <c r="B17" s="16" t="str">
        <f aca="false">Vendor_Master!B14</f>
        <v>Delacruz Group</v>
      </c>
      <c r="C17" s="16" t="str">
        <f aca="false">Vendor_Master!C14</f>
        <v>Marketing</v>
      </c>
      <c r="D17" s="17" t="n">
        <f aca="false">Vendor_Master!E14</f>
        <v>46119</v>
      </c>
      <c r="E17" s="16" t="n">
        <f aca="false">Assumptions!$B$5-D17</f>
        <v>115</v>
      </c>
      <c r="F17" s="18" t="n">
        <f aca="false">Vendor_Spend!E17</f>
        <v>62357.35</v>
      </c>
      <c r="G17" s="18" t="n">
        <f aca="false">AVERAGE(Vendor_Spend!$E$5:$E$44)</f>
        <v>74513.5205</v>
      </c>
      <c r="H17" s="16" t="str">
        <f aca="false">IF(AND(E17&lt;=Assumptions!$B$9,F17&gt;G17*2),"FLAG - New Vendor, High Spend","OK")</f>
        <v>OK</v>
      </c>
    </row>
    <row r="18" customFormat="false" ht="15" hidden="false" customHeight="false" outlineLevel="0" collapsed="false">
      <c r="A18" s="16" t="str">
        <f aca="false">Vendor_Master!A15</f>
        <v>V1014</v>
      </c>
      <c r="B18" s="16" t="str">
        <f aca="false">Vendor_Master!B15</f>
        <v>Flowers, Martin and Kelly</v>
      </c>
      <c r="C18" s="16" t="str">
        <f aca="false">Vendor_Master!C15</f>
        <v>Marketing</v>
      </c>
      <c r="D18" s="17" t="n">
        <f aca="false">Vendor_Master!E15</f>
        <v>45001</v>
      </c>
      <c r="E18" s="16" t="n">
        <f aca="false">Assumptions!$B$5-D18</f>
        <v>1233</v>
      </c>
      <c r="F18" s="18" t="n">
        <f aca="false">Vendor_Spend!E18</f>
        <v>80158.63</v>
      </c>
      <c r="G18" s="18" t="n">
        <f aca="false">AVERAGE(Vendor_Spend!$E$5:$E$44)</f>
        <v>74513.5205</v>
      </c>
      <c r="H18" s="16" t="str">
        <f aca="false">IF(AND(E18&lt;=Assumptions!$B$9,F18&gt;G18*2),"FLAG - New Vendor, High Spend","OK")</f>
        <v>OK</v>
      </c>
    </row>
    <row r="19" customFormat="false" ht="15" hidden="false" customHeight="false" outlineLevel="0" collapsed="false">
      <c r="A19" s="16" t="str">
        <f aca="false">Vendor_Master!A16</f>
        <v>V1015</v>
      </c>
      <c r="B19" s="16" t="str">
        <f aca="false">Vendor_Master!B16</f>
        <v>Zuniga, Wong and Lynch</v>
      </c>
      <c r="C19" s="16" t="str">
        <f aca="false">Vendor_Master!C16</f>
        <v>Travel &amp; Logistics</v>
      </c>
      <c r="D19" s="17" t="n">
        <f aca="false">Vendor_Master!E16</f>
        <v>45621</v>
      </c>
      <c r="E19" s="16" t="n">
        <f aca="false">Assumptions!$B$5-D19</f>
        <v>613</v>
      </c>
      <c r="F19" s="18" t="n">
        <f aca="false">Vendor_Spend!E19</f>
        <v>70535.81</v>
      </c>
      <c r="G19" s="18" t="n">
        <f aca="false">AVERAGE(Vendor_Spend!$E$5:$E$44)</f>
        <v>74513.5205</v>
      </c>
      <c r="H19" s="16" t="str">
        <f aca="false">IF(AND(E19&lt;=Assumptions!$B$9,F19&gt;G19*2),"FLAG - New Vendor, High Spend","OK")</f>
        <v>OK</v>
      </c>
    </row>
    <row r="20" customFormat="false" ht="15" hidden="false" customHeight="false" outlineLevel="0" collapsed="false">
      <c r="A20" s="16" t="str">
        <f aca="false">Vendor_Master!A17</f>
        <v>V1016</v>
      </c>
      <c r="B20" s="16" t="str">
        <f aca="false">Vendor_Master!B17</f>
        <v>Sanchez, Ford and Nelson</v>
      </c>
      <c r="C20" s="16" t="str">
        <f aca="false">Vendor_Master!C17</f>
        <v>Software Licensing</v>
      </c>
      <c r="D20" s="17" t="n">
        <f aca="false">Vendor_Master!E17</f>
        <v>44832</v>
      </c>
      <c r="E20" s="16" t="n">
        <f aca="false">Assumptions!$B$5-D20</f>
        <v>1402</v>
      </c>
      <c r="F20" s="18" t="n">
        <f aca="false">Vendor_Spend!E20</f>
        <v>71754.72</v>
      </c>
      <c r="G20" s="18" t="n">
        <f aca="false">AVERAGE(Vendor_Spend!$E$5:$E$44)</f>
        <v>74513.5205</v>
      </c>
      <c r="H20" s="16" t="str">
        <f aca="false">IF(AND(E20&lt;=Assumptions!$B$9,F20&gt;G20*2),"FLAG - New Vendor, High Spend","OK")</f>
        <v>OK</v>
      </c>
    </row>
    <row r="21" customFormat="false" ht="15" hidden="false" customHeight="false" outlineLevel="0" collapsed="false">
      <c r="A21" s="16" t="str">
        <f aca="false">Vendor_Master!A18</f>
        <v>V1017</v>
      </c>
      <c r="B21" s="16" t="str">
        <f aca="false">Vendor_Master!B18</f>
        <v>Hawkins, Cohen and Cameron</v>
      </c>
      <c r="C21" s="16" t="str">
        <f aca="false">Vendor_Master!C18</f>
        <v>Software Licensing</v>
      </c>
      <c r="D21" s="17" t="n">
        <f aca="false">Vendor_Master!E18</f>
        <v>46025</v>
      </c>
      <c r="E21" s="16" t="n">
        <f aca="false">Assumptions!$B$5-D21</f>
        <v>209</v>
      </c>
      <c r="F21" s="18" t="n">
        <f aca="false">Vendor_Spend!E21</f>
        <v>92270.1</v>
      </c>
      <c r="G21" s="18" t="n">
        <f aca="false">AVERAGE(Vendor_Spend!$E$5:$E$44)</f>
        <v>74513.5205</v>
      </c>
      <c r="H21" s="16" t="str">
        <f aca="false">IF(AND(E21&lt;=Assumptions!$B$9,F21&gt;G21*2),"FLAG - New Vendor, High Spend","OK")</f>
        <v>OK</v>
      </c>
    </row>
    <row r="22" customFormat="false" ht="15" hidden="false" customHeight="false" outlineLevel="0" collapsed="false">
      <c r="A22" s="16" t="str">
        <f aca="false">Vendor_Master!A19</f>
        <v>V1018</v>
      </c>
      <c r="B22" s="16" t="str">
        <f aca="false">Vendor_Master!B19</f>
        <v>Underwood LLC</v>
      </c>
      <c r="C22" s="16" t="str">
        <f aca="false">Vendor_Master!C19</f>
        <v>Facilities</v>
      </c>
      <c r="D22" s="17" t="n">
        <f aca="false">Vendor_Master!E19</f>
        <v>45788</v>
      </c>
      <c r="E22" s="16" t="n">
        <f aca="false">Assumptions!$B$5-D22</f>
        <v>446</v>
      </c>
      <c r="F22" s="18" t="n">
        <f aca="false">Vendor_Spend!E22</f>
        <v>57985</v>
      </c>
      <c r="G22" s="18" t="n">
        <f aca="false">AVERAGE(Vendor_Spend!$E$5:$E$44)</f>
        <v>74513.5205</v>
      </c>
      <c r="H22" s="16" t="str">
        <f aca="false">IF(AND(E22&lt;=Assumptions!$B$9,F22&gt;G22*2),"FLAG - New Vendor, High Spend","OK")</f>
        <v>OK</v>
      </c>
    </row>
    <row r="23" customFormat="false" ht="15" hidden="false" customHeight="false" outlineLevel="0" collapsed="false">
      <c r="A23" s="16" t="str">
        <f aca="false">Vendor_Master!A20</f>
        <v>V1019</v>
      </c>
      <c r="B23" s="16" t="str">
        <f aca="false">Vendor_Master!B20</f>
        <v>Clark PLC</v>
      </c>
      <c r="C23" s="16" t="str">
        <f aca="false">Vendor_Master!C20</f>
        <v>Professional Services</v>
      </c>
      <c r="D23" s="17" t="n">
        <f aca="false">Vendor_Master!E20</f>
        <v>45196</v>
      </c>
      <c r="E23" s="16" t="n">
        <f aca="false">Assumptions!$B$5-D23</f>
        <v>1038</v>
      </c>
      <c r="F23" s="18" t="n">
        <f aca="false">Vendor_Spend!E23</f>
        <v>34955.15</v>
      </c>
      <c r="G23" s="18" t="n">
        <f aca="false">AVERAGE(Vendor_Spend!$E$5:$E$44)</f>
        <v>74513.5205</v>
      </c>
      <c r="H23" s="16" t="str">
        <f aca="false">IF(AND(E23&lt;=Assumptions!$B$9,F23&gt;G23*2),"FLAG - New Vendor, High Spend","OK")</f>
        <v>OK</v>
      </c>
    </row>
    <row r="24" customFormat="false" ht="15" hidden="false" customHeight="false" outlineLevel="0" collapsed="false">
      <c r="A24" s="16" t="str">
        <f aca="false">Vendor_Master!A21</f>
        <v>V1020</v>
      </c>
      <c r="B24" s="16" t="str">
        <f aca="false">Vendor_Master!B21</f>
        <v>Lewis-Porter</v>
      </c>
      <c r="C24" s="16" t="str">
        <f aca="false">Vendor_Master!C21</f>
        <v>Travel &amp; Logistics</v>
      </c>
      <c r="D24" s="17" t="n">
        <f aca="false">Vendor_Master!E21</f>
        <v>45947</v>
      </c>
      <c r="E24" s="16" t="n">
        <f aca="false">Assumptions!$B$5-D24</f>
        <v>287</v>
      </c>
      <c r="F24" s="18" t="n">
        <f aca="false">Vendor_Spend!E24</f>
        <v>77529.28</v>
      </c>
      <c r="G24" s="18" t="n">
        <f aca="false">AVERAGE(Vendor_Spend!$E$5:$E$44)</f>
        <v>74513.5205</v>
      </c>
      <c r="H24" s="16" t="str">
        <f aca="false">IF(AND(E24&lt;=Assumptions!$B$9,F24&gt;G24*2),"FLAG - New Vendor, High Spend","OK")</f>
        <v>OK</v>
      </c>
    </row>
    <row r="25" customFormat="false" ht="15" hidden="false" customHeight="false" outlineLevel="0" collapsed="false">
      <c r="A25" s="16" t="str">
        <f aca="false">Vendor_Master!A22</f>
        <v>V1021</v>
      </c>
      <c r="B25" s="16" t="str">
        <f aca="false">Vendor_Master!B22</f>
        <v>Ellis, Baker and Wright</v>
      </c>
      <c r="C25" s="16" t="str">
        <f aca="false">Vendor_Master!C22</f>
        <v>Marketing</v>
      </c>
      <c r="D25" s="17" t="n">
        <f aca="false">Vendor_Master!E22</f>
        <v>45960</v>
      </c>
      <c r="E25" s="16" t="n">
        <f aca="false">Assumptions!$B$5-D25</f>
        <v>274</v>
      </c>
      <c r="F25" s="18" t="n">
        <f aca="false">Vendor_Spend!E25</f>
        <v>50068.68</v>
      </c>
      <c r="G25" s="18" t="n">
        <f aca="false">AVERAGE(Vendor_Spend!$E$5:$E$44)</f>
        <v>74513.5205</v>
      </c>
      <c r="H25" s="16" t="str">
        <f aca="false">IF(AND(E25&lt;=Assumptions!$B$9,F25&gt;G25*2),"FLAG - New Vendor, High Spend","OK")</f>
        <v>OK</v>
      </c>
    </row>
    <row r="26" customFormat="false" ht="15" hidden="false" customHeight="false" outlineLevel="0" collapsed="false">
      <c r="A26" s="16" t="str">
        <f aca="false">Vendor_Master!A23</f>
        <v>V1022</v>
      </c>
      <c r="B26" s="16" t="str">
        <f aca="false">Vendor_Master!B23</f>
        <v>Burgess-Patterson</v>
      </c>
      <c r="C26" s="16" t="str">
        <f aca="false">Vendor_Master!C23</f>
        <v>Facilities</v>
      </c>
      <c r="D26" s="17" t="n">
        <f aca="false">Vendor_Master!E23</f>
        <v>45449</v>
      </c>
      <c r="E26" s="16" t="n">
        <f aca="false">Assumptions!$B$5-D26</f>
        <v>785</v>
      </c>
      <c r="F26" s="18" t="n">
        <f aca="false">Vendor_Spend!E26</f>
        <v>89751.22</v>
      </c>
      <c r="G26" s="18" t="n">
        <f aca="false">AVERAGE(Vendor_Spend!$E$5:$E$44)</f>
        <v>74513.5205</v>
      </c>
      <c r="H26" s="16" t="str">
        <f aca="false">IF(AND(E26&lt;=Assumptions!$B$9,F26&gt;G26*2),"FLAG - New Vendor, High Spend","OK")</f>
        <v>OK</v>
      </c>
    </row>
    <row r="27" customFormat="false" ht="15" hidden="false" customHeight="false" outlineLevel="0" collapsed="false">
      <c r="A27" s="16" t="str">
        <f aca="false">Vendor_Master!A24</f>
        <v>V1023</v>
      </c>
      <c r="B27" s="16" t="str">
        <f aca="false">Vendor_Master!B24</f>
        <v>Robinson-Bright</v>
      </c>
      <c r="C27" s="16" t="str">
        <f aca="false">Vendor_Master!C24</f>
        <v>Travel &amp; Logistics</v>
      </c>
      <c r="D27" s="17" t="n">
        <f aca="false">Vendor_Master!E24</f>
        <v>45484</v>
      </c>
      <c r="E27" s="16" t="n">
        <f aca="false">Assumptions!$B$5-D27</f>
        <v>750</v>
      </c>
      <c r="F27" s="18" t="n">
        <f aca="false">Vendor_Spend!E27</f>
        <v>46555.59</v>
      </c>
      <c r="G27" s="18" t="n">
        <f aca="false">AVERAGE(Vendor_Spend!$E$5:$E$44)</f>
        <v>74513.5205</v>
      </c>
      <c r="H27" s="16" t="str">
        <f aca="false">IF(AND(E27&lt;=Assumptions!$B$9,F27&gt;G27*2),"FLAG - New Vendor, High Spend","OK")</f>
        <v>OK</v>
      </c>
    </row>
    <row r="28" customFormat="false" ht="15" hidden="false" customHeight="false" outlineLevel="0" collapsed="false">
      <c r="A28" s="16" t="str">
        <f aca="false">Vendor_Master!A25</f>
        <v>V1024</v>
      </c>
      <c r="B28" s="16" t="str">
        <f aca="false">Vendor_Master!B25</f>
        <v>Campos Inc</v>
      </c>
      <c r="C28" s="16" t="str">
        <f aca="false">Vendor_Master!C25</f>
        <v>Software Licensing</v>
      </c>
      <c r="D28" s="17" t="n">
        <f aca="false">Vendor_Master!E25</f>
        <v>45367</v>
      </c>
      <c r="E28" s="16" t="n">
        <f aca="false">Assumptions!$B$5-D28</f>
        <v>867</v>
      </c>
      <c r="F28" s="18" t="n">
        <f aca="false">Vendor_Spend!E28</f>
        <v>60330.97</v>
      </c>
      <c r="G28" s="18" t="n">
        <f aca="false">AVERAGE(Vendor_Spend!$E$5:$E$44)</f>
        <v>74513.5205</v>
      </c>
      <c r="H28" s="16" t="str">
        <f aca="false">IF(AND(E28&lt;=Assumptions!$B$9,F28&gt;G28*2),"FLAG - New Vendor, High Spend","OK")</f>
        <v>OK</v>
      </c>
    </row>
    <row r="29" customFormat="false" ht="15" hidden="false" customHeight="false" outlineLevel="0" collapsed="false">
      <c r="A29" s="16" t="str">
        <f aca="false">Vendor_Master!A26</f>
        <v>V1025</v>
      </c>
      <c r="B29" s="16" t="str">
        <f aca="false">Vendor_Master!B26</f>
        <v>Conner Group</v>
      </c>
      <c r="C29" s="16" t="str">
        <f aca="false">Vendor_Master!C26</f>
        <v>Professional Services</v>
      </c>
      <c r="D29" s="17" t="n">
        <f aca="false">Vendor_Master!E26</f>
        <v>44803</v>
      </c>
      <c r="E29" s="16" t="n">
        <f aca="false">Assumptions!$B$5-D29</f>
        <v>1431</v>
      </c>
      <c r="F29" s="18" t="n">
        <f aca="false">Vendor_Spend!E29</f>
        <v>171682.13</v>
      </c>
      <c r="G29" s="18" t="n">
        <f aca="false">AVERAGE(Vendor_Spend!$E$5:$E$44)</f>
        <v>74513.5205</v>
      </c>
      <c r="H29" s="16" t="str">
        <f aca="false">IF(AND(E29&lt;=Assumptions!$B$9,F29&gt;G29*2),"FLAG - New Vendor, High Spend","OK")</f>
        <v>OK</v>
      </c>
    </row>
    <row r="30" customFormat="false" ht="15" hidden="false" customHeight="false" outlineLevel="0" collapsed="false">
      <c r="A30" s="16" t="str">
        <f aca="false">Vendor_Master!A27</f>
        <v>V1026</v>
      </c>
      <c r="B30" s="16" t="str">
        <f aca="false">Vendor_Master!B27</f>
        <v>James-Ferrell</v>
      </c>
      <c r="C30" s="16" t="str">
        <f aca="false">Vendor_Master!C27</f>
        <v>Office Supplies</v>
      </c>
      <c r="D30" s="17" t="n">
        <f aca="false">Vendor_Master!E27</f>
        <v>45504</v>
      </c>
      <c r="E30" s="16" t="n">
        <f aca="false">Assumptions!$B$5-D30</f>
        <v>730</v>
      </c>
      <c r="F30" s="18" t="n">
        <f aca="false">Vendor_Spend!E30</f>
        <v>76062.71</v>
      </c>
      <c r="G30" s="18" t="n">
        <f aca="false">AVERAGE(Vendor_Spend!$E$5:$E$44)</f>
        <v>74513.5205</v>
      </c>
      <c r="H30" s="16" t="str">
        <f aca="false">IF(AND(E30&lt;=Assumptions!$B$9,F30&gt;G30*2),"FLAG - New Vendor, High Spend","OK")</f>
        <v>OK</v>
      </c>
    </row>
    <row r="31" customFormat="false" ht="15" hidden="false" customHeight="false" outlineLevel="0" collapsed="false">
      <c r="A31" s="16" t="str">
        <f aca="false">Vendor_Master!A28</f>
        <v>V1027</v>
      </c>
      <c r="B31" s="16" t="str">
        <f aca="false">Vendor_Master!B28</f>
        <v>Valencia, Smith and Le</v>
      </c>
      <c r="C31" s="16" t="str">
        <f aca="false">Vendor_Master!C28</f>
        <v>Travel &amp; Logistics</v>
      </c>
      <c r="D31" s="17" t="n">
        <f aca="false">Vendor_Master!E28</f>
        <v>45398</v>
      </c>
      <c r="E31" s="16" t="n">
        <f aca="false">Assumptions!$B$5-D31</f>
        <v>836</v>
      </c>
      <c r="F31" s="18" t="n">
        <f aca="false">Vendor_Spend!E31</f>
        <v>85136.88</v>
      </c>
      <c r="G31" s="18" t="n">
        <f aca="false">AVERAGE(Vendor_Spend!$E$5:$E$44)</f>
        <v>74513.5205</v>
      </c>
      <c r="H31" s="16" t="str">
        <f aca="false">IF(AND(E31&lt;=Assumptions!$B$9,F31&gt;G31*2),"FLAG - New Vendor, High Spend","OK")</f>
        <v>OK</v>
      </c>
    </row>
    <row r="32" customFormat="false" ht="15" hidden="false" customHeight="false" outlineLevel="0" collapsed="false">
      <c r="A32" s="16" t="str">
        <f aca="false">Vendor_Master!A29</f>
        <v>V1028</v>
      </c>
      <c r="B32" s="16" t="str">
        <f aca="false">Vendor_Master!B29</f>
        <v>Potter, Mack and Peterson</v>
      </c>
      <c r="C32" s="16" t="str">
        <f aca="false">Vendor_Master!C29</f>
        <v>Office Supplies</v>
      </c>
      <c r="D32" s="17" t="n">
        <f aca="false">Vendor_Master!E29</f>
        <v>45639</v>
      </c>
      <c r="E32" s="16" t="n">
        <f aca="false">Assumptions!$B$5-D32</f>
        <v>595</v>
      </c>
      <c r="F32" s="18" t="n">
        <f aca="false">Vendor_Spend!E32</f>
        <v>54008.45</v>
      </c>
      <c r="G32" s="18" t="n">
        <f aca="false">AVERAGE(Vendor_Spend!$E$5:$E$44)</f>
        <v>74513.5205</v>
      </c>
      <c r="H32" s="16" t="str">
        <f aca="false">IF(AND(E32&lt;=Assumptions!$B$9,F32&gt;G32*2),"FLAG - New Vendor, High Spend","OK")</f>
        <v>OK</v>
      </c>
    </row>
    <row r="33" customFormat="false" ht="15" hidden="false" customHeight="false" outlineLevel="0" collapsed="false">
      <c r="A33" s="16" t="str">
        <f aca="false">Vendor_Master!A30</f>
        <v>V1029</v>
      </c>
      <c r="B33" s="16" t="str">
        <f aca="false">Vendor_Master!B30</f>
        <v>Chavez Ltd</v>
      </c>
      <c r="C33" s="16" t="str">
        <f aca="false">Vendor_Master!C30</f>
        <v>Travel &amp; Logistics</v>
      </c>
      <c r="D33" s="17" t="n">
        <f aca="false">Vendor_Master!E30</f>
        <v>45026</v>
      </c>
      <c r="E33" s="16" t="n">
        <f aca="false">Assumptions!$B$5-D33</f>
        <v>1208</v>
      </c>
      <c r="F33" s="18" t="n">
        <f aca="false">Vendor_Spend!E33</f>
        <v>80665</v>
      </c>
      <c r="G33" s="18" t="n">
        <f aca="false">AVERAGE(Vendor_Spend!$E$5:$E$44)</f>
        <v>74513.5205</v>
      </c>
      <c r="H33" s="16" t="str">
        <f aca="false">IF(AND(E33&lt;=Assumptions!$B$9,F33&gt;G33*2),"FLAG - New Vendor, High Spend","OK")</f>
        <v>OK</v>
      </c>
    </row>
    <row r="34" customFormat="false" ht="15" hidden="false" customHeight="false" outlineLevel="0" collapsed="false">
      <c r="A34" s="16" t="str">
        <f aca="false">Vendor_Master!A31</f>
        <v>V1030</v>
      </c>
      <c r="B34" s="16" t="str">
        <f aca="false">Vendor_Master!B31</f>
        <v>Stanton-Gill</v>
      </c>
      <c r="C34" s="16" t="str">
        <f aca="false">Vendor_Master!C31</f>
        <v>Professional Services</v>
      </c>
      <c r="D34" s="17" t="n">
        <f aca="false">Vendor_Master!E31</f>
        <v>45946</v>
      </c>
      <c r="E34" s="16" t="n">
        <f aca="false">Assumptions!$B$5-D34</f>
        <v>288</v>
      </c>
      <c r="F34" s="18" t="n">
        <f aca="false">Vendor_Spend!E34</f>
        <v>47741.4</v>
      </c>
      <c r="G34" s="18" t="n">
        <f aca="false">AVERAGE(Vendor_Spend!$E$5:$E$44)</f>
        <v>74513.5205</v>
      </c>
      <c r="H34" s="16" t="str">
        <f aca="false">IF(AND(E34&lt;=Assumptions!$B$9,F34&gt;G34*2),"FLAG - New Vendor, High Spend","OK")</f>
        <v>OK</v>
      </c>
    </row>
    <row r="35" customFormat="false" ht="15" hidden="false" customHeight="false" outlineLevel="0" collapsed="false">
      <c r="A35" s="16" t="str">
        <f aca="false">Vendor_Master!A32</f>
        <v>V1031</v>
      </c>
      <c r="B35" s="16" t="str">
        <f aca="false">Vendor_Master!B32</f>
        <v>Harrell LLC</v>
      </c>
      <c r="C35" s="16" t="str">
        <f aca="false">Vendor_Master!C32</f>
        <v>IT Services</v>
      </c>
      <c r="D35" s="17" t="n">
        <f aca="false">Vendor_Master!E32</f>
        <v>45364</v>
      </c>
      <c r="E35" s="16" t="n">
        <f aca="false">Assumptions!$B$5-D35</f>
        <v>870</v>
      </c>
      <c r="F35" s="18" t="n">
        <f aca="false">Vendor_Spend!E35</f>
        <v>101194.33</v>
      </c>
      <c r="G35" s="18" t="n">
        <f aca="false">AVERAGE(Vendor_Spend!$E$5:$E$44)</f>
        <v>74513.5205</v>
      </c>
      <c r="H35" s="16" t="str">
        <f aca="false">IF(AND(E35&lt;=Assumptions!$B$9,F35&gt;G35*2),"FLAG - New Vendor, High Spend","OK")</f>
        <v>OK</v>
      </c>
    </row>
    <row r="36" customFormat="false" ht="15" hidden="false" customHeight="false" outlineLevel="0" collapsed="false">
      <c r="A36" s="16" t="str">
        <f aca="false">Vendor_Master!A33</f>
        <v>V1032</v>
      </c>
      <c r="B36" s="16" t="str">
        <f aca="false">Vendor_Master!B33</f>
        <v>Lynch, Hernandez and Farmer</v>
      </c>
      <c r="C36" s="16" t="str">
        <f aca="false">Vendor_Master!C33</f>
        <v>Office Supplies</v>
      </c>
      <c r="D36" s="17" t="n">
        <f aca="false">Vendor_Master!E33</f>
        <v>45892</v>
      </c>
      <c r="E36" s="16" t="n">
        <f aca="false">Assumptions!$B$5-D36</f>
        <v>342</v>
      </c>
      <c r="F36" s="18" t="n">
        <f aca="false">Vendor_Spend!E36</f>
        <v>29654.33</v>
      </c>
      <c r="G36" s="18" t="n">
        <f aca="false">AVERAGE(Vendor_Spend!$E$5:$E$44)</f>
        <v>74513.5205</v>
      </c>
      <c r="H36" s="16" t="str">
        <f aca="false">IF(AND(E36&lt;=Assumptions!$B$9,F36&gt;G36*2),"FLAG - New Vendor, High Spend","OK")</f>
        <v>OK</v>
      </c>
    </row>
    <row r="37" customFormat="false" ht="15" hidden="false" customHeight="false" outlineLevel="0" collapsed="false">
      <c r="A37" s="16" t="str">
        <f aca="false">Vendor_Master!A34</f>
        <v>V1033</v>
      </c>
      <c r="B37" s="16" t="str">
        <f aca="false">Vendor_Master!B34</f>
        <v>Sellers, George and Burns</v>
      </c>
      <c r="C37" s="16" t="str">
        <f aca="false">Vendor_Master!C34</f>
        <v>Marketing</v>
      </c>
      <c r="D37" s="17" t="n">
        <f aca="false">Vendor_Master!E34</f>
        <v>45414</v>
      </c>
      <c r="E37" s="16" t="n">
        <f aca="false">Assumptions!$B$5-D37</f>
        <v>820</v>
      </c>
      <c r="F37" s="18" t="n">
        <f aca="false">Vendor_Spend!E37</f>
        <v>75666.25</v>
      </c>
      <c r="G37" s="18" t="n">
        <f aca="false">AVERAGE(Vendor_Spend!$E$5:$E$44)</f>
        <v>74513.5205</v>
      </c>
      <c r="H37" s="16" t="str">
        <f aca="false">IF(AND(E37&lt;=Assumptions!$B$9,F37&gt;G37*2),"FLAG - New Vendor, High Spend","OK")</f>
        <v>OK</v>
      </c>
    </row>
    <row r="38" customFormat="false" ht="15" hidden="false" customHeight="false" outlineLevel="0" collapsed="false">
      <c r="A38" s="16" t="str">
        <f aca="false">Vendor_Master!A35</f>
        <v>V1034</v>
      </c>
      <c r="B38" s="16" t="str">
        <f aca="false">Vendor_Master!B35</f>
        <v>Koch-Decker</v>
      </c>
      <c r="C38" s="16" t="str">
        <f aca="false">Vendor_Master!C35</f>
        <v>Marketing</v>
      </c>
      <c r="D38" s="17" t="n">
        <f aca="false">Vendor_Master!E35</f>
        <v>44738</v>
      </c>
      <c r="E38" s="16" t="n">
        <f aca="false">Assumptions!$B$5-D38</f>
        <v>1496</v>
      </c>
      <c r="F38" s="18" t="n">
        <f aca="false">Vendor_Spend!E38</f>
        <v>69012.14</v>
      </c>
      <c r="G38" s="18" t="n">
        <f aca="false">AVERAGE(Vendor_Spend!$E$5:$E$44)</f>
        <v>74513.5205</v>
      </c>
      <c r="H38" s="16" t="str">
        <f aca="false">IF(AND(E38&lt;=Assumptions!$B$9,F38&gt;G38*2),"FLAG - New Vendor, High Spend","OK")</f>
        <v>OK</v>
      </c>
    </row>
    <row r="39" customFormat="false" ht="15" hidden="false" customHeight="false" outlineLevel="0" collapsed="false">
      <c r="A39" s="16" t="str">
        <f aca="false">Vendor_Master!A36</f>
        <v>V1035</v>
      </c>
      <c r="B39" s="16" t="str">
        <f aca="false">Vendor_Master!B36</f>
        <v>Allen PLC</v>
      </c>
      <c r="C39" s="16" t="str">
        <f aca="false">Vendor_Master!C36</f>
        <v>Marketing</v>
      </c>
      <c r="D39" s="17" t="n">
        <f aca="false">Vendor_Master!E36</f>
        <v>45048</v>
      </c>
      <c r="E39" s="16" t="n">
        <f aca="false">Assumptions!$B$5-D39</f>
        <v>1186</v>
      </c>
      <c r="F39" s="18" t="n">
        <f aca="false">Vendor_Spend!E39</f>
        <v>92786.73</v>
      </c>
      <c r="G39" s="18" t="n">
        <f aca="false">AVERAGE(Vendor_Spend!$E$5:$E$44)</f>
        <v>74513.5205</v>
      </c>
      <c r="H39" s="16" t="str">
        <f aca="false">IF(AND(E39&lt;=Assumptions!$B$9,F39&gt;G39*2),"FLAG - New Vendor, High Spend","OK")</f>
        <v>OK</v>
      </c>
    </row>
    <row r="40" customFormat="false" ht="15" hidden="false" customHeight="false" outlineLevel="0" collapsed="false">
      <c r="A40" s="16" t="str">
        <f aca="false">Vendor_Master!A37</f>
        <v>V1036</v>
      </c>
      <c r="B40" s="16" t="str">
        <f aca="false">Vendor_Master!B37</f>
        <v>Dennis Inc</v>
      </c>
      <c r="C40" s="16" t="str">
        <f aca="false">Vendor_Master!C37</f>
        <v>Travel &amp; Logistics</v>
      </c>
      <c r="D40" s="17" t="n">
        <f aca="false">Vendor_Master!E37</f>
        <v>46059</v>
      </c>
      <c r="E40" s="16" t="n">
        <f aca="false">Assumptions!$B$5-D40</f>
        <v>175</v>
      </c>
      <c r="F40" s="18" t="n">
        <f aca="false">Vendor_Spend!E40</f>
        <v>61654.94</v>
      </c>
      <c r="G40" s="18" t="n">
        <f aca="false">AVERAGE(Vendor_Spend!$E$5:$E$44)</f>
        <v>74513.5205</v>
      </c>
      <c r="H40" s="16" t="str">
        <f aca="false">IF(AND(E40&lt;=Assumptions!$B$9,F40&gt;G40*2),"FLAG - New Vendor, High Spend","OK")</f>
        <v>OK</v>
      </c>
    </row>
    <row r="41" customFormat="false" ht="15" hidden="false" customHeight="false" outlineLevel="0" collapsed="false">
      <c r="A41" s="16" t="str">
        <f aca="false">Vendor_Master!A38</f>
        <v>V1037</v>
      </c>
      <c r="B41" s="16" t="str">
        <f aca="false">Vendor_Master!B38</f>
        <v>Cannon, Anderson and Alvarez</v>
      </c>
      <c r="C41" s="16" t="str">
        <f aca="false">Vendor_Master!C38</f>
        <v>IT Services</v>
      </c>
      <c r="D41" s="17" t="n">
        <f aca="false">Vendor_Master!E38</f>
        <v>46108</v>
      </c>
      <c r="E41" s="16" t="n">
        <f aca="false">Assumptions!$B$5-D41</f>
        <v>126</v>
      </c>
      <c r="F41" s="18" t="n">
        <f aca="false">Vendor_Spend!E41</f>
        <v>87511.71</v>
      </c>
      <c r="G41" s="18" t="n">
        <f aca="false">AVERAGE(Vendor_Spend!$E$5:$E$44)</f>
        <v>74513.5205</v>
      </c>
      <c r="H41" s="16" t="str">
        <f aca="false">IF(AND(E41&lt;=Assumptions!$B$9,F41&gt;G41*2),"FLAG - New Vendor, High Spend","OK")</f>
        <v>OK</v>
      </c>
    </row>
    <row r="42" customFormat="false" ht="15" hidden="false" customHeight="false" outlineLevel="0" collapsed="false">
      <c r="A42" s="16" t="str">
        <f aca="false">Vendor_Master!A39</f>
        <v>V1038</v>
      </c>
      <c r="B42" s="16" t="str">
        <f aca="false">Vendor_Master!B39</f>
        <v>Rose-Obrien</v>
      </c>
      <c r="C42" s="16" t="str">
        <f aca="false">Vendor_Master!C39</f>
        <v>Facilities</v>
      </c>
      <c r="D42" s="17" t="n">
        <f aca="false">Vendor_Master!E39</f>
        <v>45431</v>
      </c>
      <c r="E42" s="16" t="n">
        <f aca="false">Assumptions!$B$5-D42</f>
        <v>803</v>
      </c>
      <c r="F42" s="18" t="n">
        <f aca="false">Vendor_Spend!E42</f>
        <v>65015.28</v>
      </c>
      <c r="G42" s="18" t="n">
        <f aca="false">AVERAGE(Vendor_Spend!$E$5:$E$44)</f>
        <v>74513.5205</v>
      </c>
      <c r="H42" s="16" t="str">
        <f aca="false">IF(AND(E42&lt;=Assumptions!$B$9,F42&gt;G42*2),"FLAG - New Vendor, High Spend","OK")</f>
        <v>OK</v>
      </c>
    </row>
    <row r="43" customFormat="false" ht="15" hidden="false" customHeight="false" outlineLevel="0" collapsed="false">
      <c r="A43" s="16" t="str">
        <f aca="false">Vendor_Master!A40</f>
        <v>V1039</v>
      </c>
      <c r="B43" s="16" t="str">
        <f aca="false">Vendor_Master!B40</f>
        <v>Campos, Vaughn and Marquez</v>
      </c>
      <c r="C43" s="16" t="str">
        <f aca="false">Vendor_Master!C40</f>
        <v>Marketing</v>
      </c>
      <c r="D43" s="17" t="n">
        <f aca="false">Vendor_Master!E40</f>
        <v>46086</v>
      </c>
      <c r="E43" s="16" t="n">
        <f aca="false">Assumptions!$B$5-D43</f>
        <v>148</v>
      </c>
      <c r="F43" s="18" t="n">
        <f aca="false">Vendor_Spend!E43</f>
        <v>92196.07</v>
      </c>
      <c r="G43" s="18" t="n">
        <f aca="false">AVERAGE(Vendor_Spend!$E$5:$E$44)</f>
        <v>74513.5205</v>
      </c>
      <c r="H43" s="16" t="str">
        <f aca="false">IF(AND(E43&lt;=Assumptions!$B$9,F43&gt;G43*2),"FLAG - New Vendor, High Spend","OK")</f>
        <v>OK</v>
      </c>
    </row>
    <row r="44" customFormat="false" ht="15" hidden="false" customHeight="false" outlineLevel="0" collapsed="false">
      <c r="A44" s="16" t="str">
        <f aca="false">Vendor_Master!A41</f>
        <v>V1040</v>
      </c>
      <c r="B44" s="16" t="str">
        <f aca="false">Vendor_Master!B41</f>
        <v>Santos, Kim and Holmes</v>
      </c>
      <c r="C44" s="16" t="str">
        <f aca="false">Vendor_Master!C41</f>
        <v>Office Supplies</v>
      </c>
      <c r="D44" s="17" t="n">
        <f aca="false">Vendor_Master!E41</f>
        <v>45192</v>
      </c>
      <c r="E44" s="16" t="n">
        <f aca="false">Assumptions!$B$5-D44</f>
        <v>1042</v>
      </c>
      <c r="F44" s="18" t="n">
        <f aca="false">Vendor_Spend!E44</f>
        <v>57641.69</v>
      </c>
      <c r="G44" s="18" t="n">
        <f aca="false">AVERAGE(Vendor_Spend!$E$5:$E$44)</f>
        <v>74513.5205</v>
      </c>
      <c r="H44" s="16" t="str">
        <f aca="false">IF(AND(E44&lt;=Assumptions!$B$9,F44&gt;G44*2),"FLAG - New Vendor, High Spend","OK")</f>
        <v>OK</v>
      </c>
    </row>
    <row r="47" customFormat="false" ht="15" hidden="false" customHeight="false" outlineLevel="0" collapsed="false">
      <c r="A47" s="3" t="s">
        <v>5630</v>
      </c>
      <c r="B47" s="4" t="n">
        <f aca="false">COUNTIF($H$5:$H$44,"FLAG*")</f>
        <v>0</v>
      </c>
    </row>
  </sheetData>
  <autoFilter ref="A4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ED5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5631</v>
      </c>
    </row>
    <row r="2" customFormat="false" ht="15" hidden="false" customHeight="false" outlineLevel="0" collapsed="false">
      <c r="A2" s="2" t="s">
        <v>5632</v>
      </c>
    </row>
    <row r="4" customFormat="false" ht="27.75" hidden="false" customHeight="true" outlineLevel="0" collapsed="false">
      <c r="A4" s="7" t="s">
        <v>5580</v>
      </c>
      <c r="B4" s="7" t="s">
        <v>5633</v>
      </c>
      <c r="C4" s="7" t="s">
        <v>5634</v>
      </c>
      <c r="D4" s="7" t="s">
        <v>5635</v>
      </c>
    </row>
    <row r="5" customFormat="false" ht="15" hidden="false" customHeight="false" outlineLevel="0" collapsed="false">
      <c r="A5" s="21" t="n">
        <v>45658</v>
      </c>
      <c r="B5" s="16" t="n">
        <v>1</v>
      </c>
      <c r="C5" s="29" t="n">
        <f aca="false">DPO_Summary!C13</f>
        <v>28576.85</v>
      </c>
      <c r="D5" s="16"/>
    </row>
    <row r="6" customFormat="false" ht="15" hidden="false" customHeight="false" outlineLevel="0" collapsed="false">
      <c r="A6" s="21" t="n">
        <v>45689</v>
      </c>
      <c r="B6" s="16" t="n">
        <v>2</v>
      </c>
      <c r="C6" s="29" t="n">
        <f aca="false">DPO_Summary!C14</f>
        <v>119868.99</v>
      </c>
      <c r="D6" s="16"/>
    </row>
    <row r="7" customFormat="false" ht="15" hidden="false" customHeight="false" outlineLevel="0" collapsed="false">
      <c r="A7" s="21" t="n">
        <v>45717</v>
      </c>
      <c r="B7" s="16" t="n">
        <v>3</v>
      </c>
      <c r="C7" s="29" t="n">
        <f aca="false">DPO_Summary!C15</f>
        <v>138285.77</v>
      </c>
      <c r="D7" s="16"/>
    </row>
    <row r="8" customFormat="false" ht="15" hidden="false" customHeight="false" outlineLevel="0" collapsed="false">
      <c r="A8" s="21" t="n">
        <v>45748</v>
      </c>
      <c r="B8" s="16" t="n">
        <v>4</v>
      </c>
      <c r="C8" s="29" t="n">
        <f aca="false">DPO_Summary!C16</f>
        <v>151944.6</v>
      </c>
      <c r="D8" s="16"/>
    </row>
    <row r="9" customFormat="false" ht="15" hidden="false" customHeight="false" outlineLevel="0" collapsed="false">
      <c r="A9" s="21" t="n">
        <v>45778</v>
      </c>
      <c r="B9" s="16" t="n">
        <v>5</v>
      </c>
      <c r="C9" s="29" t="n">
        <f aca="false">DPO_Summary!C17</f>
        <v>115131.97</v>
      </c>
      <c r="D9" s="16"/>
    </row>
    <row r="10" customFormat="false" ht="15" hidden="false" customHeight="false" outlineLevel="0" collapsed="false">
      <c r="A10" s="21" t="n">
        <v>45809</v>
      </c>
      <c r="B10" s="16" t="n">
        <v>6</v>
      </c>
      <c r="C10" s="29" t="n">
        <f aca="false">DPO_Summary!C18</f>
        <v>127916.17</v>
      </c>
      <c r="D10" s="16"/>
    </row>
    <row r="11" customFormat="false" ht="15" hidden="false" customHeight="false" outlineLevel="0" collapsed="false">
      <c r="A11" s="21" t="n">
        <v>45839</v>
      </c>
      <c r="B11" s="16" t="n">
        <v>7</v>
      </c>
      <c r="C11" s="29" t="n">
        <f aca="false">DPO_Summary!C19</f>
        <v>153034.98</v>
      </c>
      <c r="D11" s="16"/>
    </row>
    <row r="12" customFormat="false" ht="15" hidden="false" customHeight="false" outlineLevel="0" collapsed="false">
      <c r="A12" s="21" t="n">
        <v>45870</v>
      </c>
      <c r="B12" s="16" t="n">
        <v>8</v>
      </c>
      <c r="C12" s="29" t="n">
        <f aca="false">DPO_Summary!C20</f>
        <v>155487.54</v>
      </c>
      <c r="D12" s="16"/>
    </row>
    <row r="13" customFormat="false" ht="15" hidden="false" customHeight="false" outlineLevel="0" collapsed="false">
      <c r="A13" s="21" t="n">
        <v>45901</v>
      </c>
      <c r="B13" s="16" t="n">
        <v>9</v>
      </c>
      <c r="C13" s="29" t="n">
        <f aca="false">DPO_Summary!C21</f>
        <v>156557.35</v>
      </c>
      <c r="D13" s="16"/>
    </row>
    <row r="14" customFormat="false" ht="15" hidden="false" customHeight="false" outlineLevel="0" collapsed="false">
      <c r="A14" s="21" t="n">
        <v>45931</v>
      </c>
      <c r="B14" s="16" t="n">
        <v>10</v>
      </c>
      <c r="C14" s="29" t="n">
        <f aca="false">DPO_Summary!C22</f>
        <v>180558.89</v>
      </c>
      <c r="D14" s="16"/>
    </row>
    <row r="15" customFormat="false" ht="15" hidden="false" customHeight="false" outlineLevel="0" collapsed="false">
      <c r="A15" s="21" t="n">
        <v>45962</v>
      </c>
      <c r="B15" s="16" t="n">
        <v>11</v>
      </c>
      <c r="C15" s="29" t="n">
        <f aca="false">DPO_Summary!C23</f>
        <v>124879.11</v>
      </c>
      <c r="D15" s="16"/>
    </row>
    <row r="16" customFormat="false" ht="15" hidden="false" customHeight="false" outlineLevel="0" collapsed="false">
      <c r="A16" s="21" t="n">
        <v>45992</v>
      </c>
      <c r="B16" s="16" t="n">
        <v>12</v>
      </c>
      <c r="C16" s="29" t="n">
        <f aca="false">DPO_Summary!C24</f>
        <v>128841.83</v>
      </c>
      <c r="D16" s="16"/>
    </row>
    <row r="17" customFormat="false" ht="15" hidden="false" customHeight="false" outlineLevel="0" collapsed="false">
      <c r="A17" s="21" t="n">
        <v>46023</v>
      </c>
      <c r="B17" s="16" t="n">
        <v>13</v>
      </c>
      <c r="C17" s="29" t="n">
        <f aca="false">DPO_Summary!C25</f>
        <v>114036.6</v>
      </c>
      <c r="D17" s="16"/>
    </row>
    <row r="18" customFormat="false" ht="15" hidden="false" customHeight="false" outlineLevel="0" collapsed="false">
      <c r="A18" s="21" t="n">
        <v>46054</v>
      </c>
      <c r="B18" s="16" t="n">
        <v>14</v>
      </c>
      <c r="C18" s="29" t="n">
        <f aca="false">DPO_Summary!C26</f>
        <v>214951.16</v>
      </c>
      <c r="D18" s="16"/>
    </row>
    <row r="19" customFormat="false" ht="15" hidden="false" customHeight="false" outlineLevel="0" collapsed="false">
      <c r="A19" s="21" t="n">
        <v>46082</v>
      </c>
      <c r="B19" s="16" t="n">
        <v>15</v>
      </c>
      <c r="C19" s="29" t="n">
        <f aca="false">DPO_Summary!C27</f>
        <v>175339.43</v>
      </c>
      <c r="D19" s="16"/>
    </row>
    <row r="20" customFormat="false" ht="15" hidden="false" customHeight="false" outlineLevel="0" collapsed="false">
      <c r="A20" s="21" t="n">
        <v>46113</v>
      </c>
      <c r="B20" s="16" t="n">
        <v>16</v>
      </c>
      <c r="C20" s="29" t="n">
        <f aca="false">DPO_Summary!C28</f>
        <v>169620.51</v>
      </c>
      <c r="D20" s="16"/>
    </row>
    <row r="21" customFormat="false" ht="15" hidden="false" customHeight="false" outlineLevel="0" collapsed="false">
      <c r="A21" s="21" t="n">
        <v>46143</v>
      </c>
      <c r="B21" s="16" t="n">
        <v>17</v>
      </c>
      <c r="C21" s="29" t="n">
        <f aca="false">DPO_Summary!C29</f>
        <v>129491.66</v>
      </c>
      <c r="D21" s="16"/>
    </row>
    <row r="22" customFormat="false" ht="15" hidden="false" customHeight="false" outlineLevel="0" collapsed="false">
      <c r="A22" s="21" t="n">
        <v>46174</v>
      </c>
      <c r="B22" s="16" t="n">
        <v>18</v>
      </c>
      <c r="C22" s="29" t="n">
        <f aca="false">DPO_Summary!C30</f>
        <v>143562.16</v>
      </c>
      <c r="D22" s="16"/>
    </row>
    <row r="23" customFormat="false" ht="15" hidden="false" customHeight="false" outlineLevel="0" collapsed="false">
      <c r="A23" s="21" t="n">
        <v>46204</v>
      </c>
      <c r="B23" s="16" t="n">
        <v>19</v>
      </c>
      <c r="C23" s="29" t="n">
        <f aca="false">DPO_Summary!C31</f>
        <v>13225.35</v>
      </c>
      <c r="D23" s="16"/>
    </row>
    <row r="24" customFormat="false" ht="15" hidden="false" customHeight="false" outlineLevel="0" collapsed="false">
      <c r="A24" s="21" t="n">
        <v>46235</v>
      </c>
      <c r="B24" s="16" t="n">
        <v>20</v>
      </c>
      <c r="C24" s="16"/>
      <c r="D24" s="29" t="n">
        <f aca="false">FORECAST(B24,$C$5:$C$23,$B$5:$B$23)</f>
        <v>143281.11877193</v>
      </c>
    </row>
    <row r="25" customFormat="false" ht="15" hidden="false" customHeight="false" outlineLevel="0" collapsed="false">
      <c r="A25" s="21" t="n">
        <v>46266</v>
      </c>
      <c r="B25" s="16" t="n">
        <v>21</v>
      </c>
      <c r="C25" s="16"/>
      <c r="D25" s="29" t="n">
        <f aca="false">FORECAST(B25,$C$5:$C$23,$B$5:$B$23)</f>
        <v>144233.910017544</v>
      </c>
    </row>
    <row r="26" customFormat="false" ht="15" hidden="false" customHeight="false" outlineLevel="0" collapsed="false">
      <c r="A26" s="21" t="n">
        <v>46296</v>
      </c>
      <c r="B26" s="16" t="n">
        <v>22</v>
      </c>
      <c r="C26" s="16"/>
      <c r="D26" s="29" t="n">
        <f aca="false">FORECAST(B26,$C$5:$C$23,$B$5:$B$23)</f>
        <v>145186.701263158</v>
      </c>
    </row>
    <row r="29" customFormat="false" ht="15" hidden="false" customHeight="false" outlineLevel="0" collapsed="false">
      <c r="A29" s="3" t="s">
        <v>5636</v>
      </c>
      <c r="B29" s="30" t="n">
        <f aca="false">SUM(D24:D26)</f>
        <v>432701.730052632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5637</v>
      </c>
    </row>
    <row r="2" customFormat="false" ht="15" hidden="false" customHeight="false" outlineLevel="0" collapsed="false">
      <c r="A2" s="2" t="s">
        <v>5638</v>
      </c>
    </row>
    <row r="4" customFormat="false" ht="27.75" hidden="false" customHeight="true" outlineLevel="0" collapsed="false">
      <c r="A4" s="7" t="s">
        <v>5639</v>
      </c>
      <c r="B4" s="7" t="s">
        <v>5640</v>
      </c>
      <c r="C4" s="7" t="s">
        <v>5641</v>
      </c>
      <c r="D4" s="7" t="s">
        <v>5642</v>
      </c>
      <c r="E4" s="7" t="s">
        <v>5643</v>
      </c>
      <c r="F4" s="7" t="s">
        <v>5644</v>
      </c>
    </row>
    <row r="5" customFormat="false" ht="45.75" hidden="false" customHeight="true" outlineLevel="0" collapsed="false">
      <c r="A5" s="16" t="s">
        <v>5645</v>
      </c>
      <c r="B5" s="31" t="s">
        <v>5646</v>
      </c>
      <c r="C5" s="31" t="s">
        <v>5647</v>
      </c>
      <c r="D5" s="31" t="s">
        <v>5648</v>
      </c>
      <c r="E5" s="16" t="n">
        <f aca="false">SoD_Check!$B$857</f>
        <v>21</v>
      </c>
      <c r="F5" s="16" t="str">
        <f aca="false">IF(E5=0,"PASS","FAIL - Exceptions Found")</f>
        <v>FAIL - Exceptions Found</v>
      </c>
    </row>
    <row r="6" customFormat="false" ht="45.75" hidden="false" customHeight="true" outlineLevel="0" collapsed="false">
      <c r="A6" s="16" t="s">
        <v>5649</v>
      </c>
      <c r="B6" s="31" t="s">
        <v>5650</v>
      </c>
      <c r="C6" s="31" t="s">
        <v>5651</v>
      </c>
      <c r="D6" s="31" t="s">
        <v>5652</v>
      </c>
      <c r="E6" s="16" t="n">
        <f aca="false">COUNTIF(3Way_Match!$L$5:$L$854,"EXCEPTION")</f>
        <v>160</v>
      </c>
      <c r="F6" s="16" t="str">
        <f aca="false">IF(E6=0,"PASS","FAIL - Exceptions Found")</f>
        <v>FAIL - Exceptions Found</v>
      </c>
    </row>
    <row r="7" customFormat="false" ht="45.75" hidden="false" customHeight="true" outlineLevel="0" collapsed="false">
      <c r="A7" s="16" t="s">
        <v>5653</v>
      </c>
      <c r="B7" s="31" t="s">
        <v>5654</v>
      </c>
      <c r="C7" s="31" t="s">
        <v>5655</v>
      </c>
      <c r="D7" s="31" t="s">
        <v>5656</v>
      </c>
      <c r="E7" s="16" t="n">
        <f aca="false">COUNTIF(Duplicate_Payments!$H$5:$H$885,"DUPLICATE*")</f>
        <v>16</v>
      </c>
      <c r="F7" s="16" t="str">
        <f aca="false">IF(E7=0,"PASS","FAIL - Exceptions Found")</f>
        <v>FAIL - Exceptions Found</v>
      </c>
    </row>
    <row r="8" customFormat="false" ht="45.75" hidden="false" customHeight="true" outlineLevel="0" collapsed="false">
      <c r="A8" s="16" t="s">
        <v>5657</v>
      </c>
      <c r="B8" s="31" t="s">
        <v>5658</v>
      </c>
      <c r="C8" s="31" t="s">
        <v>5659</v>
      </c>
      <c r="D8" s="31" t="s">
        <v>5660</v>
      </c>
      <c r="E8" s="16" t="n">
        <f aca="false">COUNTIF(Bank_Reconciliation!$H$6:$H$757,"Unmatched*")+COUNTIF(Bank_Reconciliation!$G$762:$G$1543,"Unexplained*")</f>
        <v>30</v>
      </c>
      <c r="F8" s="16" t="str">
        <f aca="false">IF(E8=0,"PASS","FAIL - Exceptions Found")</f>
        <v>FAIL - Exceptions Found</v>
      </c>
    </row>
    <row r="9" customFormat="false" ht="45.75" hidden="false" customHeight="true" outlineLevel="0" collapsed="false">
      <c r="A9" s="16" t="s">
        <v>5661</v>
      </c>
      <c r="B9" s="31" t="s">
        <v>5662</v>
      </c>
      <c r="C9" s="31" t="s">
        <v>5663</v>
      </c>
      <c r="D9" s="31" t="s">
        <v>5664</v>
      </c>
      <c r="E9" s="16" t="n">
        <f aca="false">AR_Aging!$C$612</f>
        <v>143</v>
      </c>
      <c r="F9" s="16" t="str">
        <f aca="false">IF(E9=0,"PASS","FAIL - Exceptions Found")</f>
        <v>FAIL - Exceptions Found</v>
      </c>
    </row>
    <row r="10" customFormat="false" ht="45.75" hidden="false" customHeight="true" outlineLevel="0" collapsed="false">
      <c r="A10" s="16" t="s">
        <v>5665</v>
      </c>
      <c r="B10" s="31" t="s">
        <v>5666</v>
      </c>
      <c r="C10" s="31" t="s">
        <v>5667</v>
      </c>
      <c r="D10" s="31" t="s">
        <v>5668</v>
      </c>
      <c r="E10" s="16" t="n">
        <f aca="false">Risk_Scoring!$B$760</f>
        <v>21</v>
      </c>
      <c r="F10" s="16" t="str">
        <f aca="false">IF(E10=0,"PASS","FAIL - Exceptions Found")</f>
        <v>FAIL - Exceptions Found</v>
      </c>
    </row>
    <row r="11" customFormat="false" ht="45.75" hidden="false" customHeight="true" outlineLevel="0" collapsed="false">
      <c r="A11" s="16" t="s">
        <v>5669</v>
      </c>
      <c r="B11" s="31" t="s">
        <v>5670</v>
      </c>
      <c r="C11" s="31" t="s">
        <v>5671</v>
      </c>
      <c r="D11" s="31" t="s">
        <v>5672</v>
      </c>
      <c r="E11" s="16" t="n">
        <f aca="false">New_Vendor_Risk!$B$47</f>
        <v>0</v>
      </c>
      <c r="F11" s="16" t="str">
        <f aca="false">IF(E11=0,"PASS","FAIL - Exceptions Found")</f>
        <v>PASS</v>
      </c>
    </row>
    <row r="14" customFormat="false" ht="15" hidden="false" customHeight="false" outlineLevel="0" collapsed="false">
      <c r="A14" s="3" t="s">
        <v>5673</v>
      </c>
      <c r="B14" s="4" t="str">
        <f aca="false">IF(COUNTIF($F$5:$F$11,"PASS")=COUNTA($F$5:$F$11),"ALL CONTROLS PASS","REVIEW REQUIRED - One or more controls FAILED")</f>
        <v>REVIEW REQUIRED - One or more controls FAILED</v>
      </c>
    </row>
  </sheetData>
  <conditionalFormatting sqref="F5:F11">
    <cfRule type="cellIs" priority="2" operator="equal" aboveAverage="0" equalAverage="0" bottom="0" percent="0" rank="0" text="" dxfId="3">
      <formula>"PASS"</formula>
    </cfRule>
    <cfRule type="expression" priority="3" aboveAverage="0" equalAverage="0" bottom="0" percent="0" rank="0" text="" dxfId="4">
      <formula>ISNUMBER(SEARCH("FAIL",F5))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5674</v>
      </c>
    </row>
    <row r="2" customFormat="false" ht="15" hidden="false" customHeight="false" outlineLevel="0" collapsed="false">
      <c r="A2" s="2" t="s">
        <v>5675</v>
      </c>
    </row>
    <row r="4" customFormat="false" ht="27.75" hidden="false" customHeight="true" outlineLevel="0" collapsed="false">
      <c r="A4" s="7" t="s">
        <v>5676</v>
      </c>
      <c r="B4" s="7" t="s">
        <v>5677</v>
      </c>
      <c r="C4" s="7" t="s">
        <v>5678</v>
      </c>
      <c r="D4" s="7" t="s">
        <v>5679</v>
      </c>
      <c r="E4" s="7" t="s">
        <v>5680</v>
      </c>
      <c r="F4" s="7" t="s">
        <v>5681</v>
      </c>
      <c r="G4" s="7" t="s">
        <v>5682</v>
      </c>
      <c r="H4" s="7" t="s">
        <v>5683</v>
      </c>
    </row>
    <row r="5" customFormat="false" ht="15" hidden="false" customHeight="false" outlineLevel="0" collapsed="false">
      <c r="A5" s="16" t="s">
        <v>5684</v>
      </c>
      <c r="B5" s="29" t="n">
        <f aca="false">SUMIFS(Payment_Log_AP!$E$2:$E$753,Payment_Log_AP!$D$2:$D$753,"&gt;="&amp;DATE(2025,1,1),Payment_Log_AP!$D$2:$D$753,"&lt;"&amp;DATE(2025,2,1))</f>
        <v>28576.85</v>
      </c>
      <c r="C5" s="29" t="n">
        <f aca="false">SUMIFS(Cash_Receipts_AR!$E$2:$E$503,Cash_Receipts_AR!$D$2:$D$503,"&gt;="&amp;DATE(2025,1,1),Cash_Receipts_AR!$D$2:$D$503,"&lt;"&amp;DATE(2025,2,1))</f>
        <v>34490.06</v>
      </c>
      <c r="D5" s="16" t="n">
        <f aca="false">COUNTIFS(3Way_Match!$L$5:$L$854,"EXCEPTION",3Way_Match!$D$5:$D$854,"&gt;="&amp;DATE(2025,1,1),3Way_Match!$D$5:$D$854,"&lt;"&amp;DATE(2025,2,1))</f>
        <v>11</v>
      </c>
      <c r="E5" s="16" t="n">
        <f aca="false">COUNTIFS(Duplicate_Payments!$H$5:$H$885,"DUPLICATE*")</f>
        <v>16</v>
      </c>
      <c r="F5" s="16" t="n">
        <f aca="false">COUNTIFS(SoD_Check!$G$5:$G$854,"VIOLATION*",SoD_Check!$C$5:$C$854,"&gt;="&amp;DATE(2025,1,1),SoD_Check!$C$5:$C$854,"&lt;"&amp;DATE(2025,2,1))</f>
        <v>2</v>
      </c>
      <c r="G5" s="16" t="n">
        <f aca="false">COUNTIFS(Risk_Scoring!$M$5:$M$756,"High",Risk_Scoring!$F$5:$F$756,"&gt;="&amp;DATE(2025,1,1),Risk_Scoring!$F$5:$F$756,"&lt;"&amp;DATE(2025,2,1))</f>
        <v>0</v>
      </c>
      <c r="H5" s="16" t="n">
        <f aca="false">COUNTIFS(Purchase_Orders!$C$2:$C$851,"&gt;="&amp;DATE(2025,1,1),Purchase_Orders!$C$2:$C$851,"&lt;"&amp;DATE(2025,2,1))</f>
        <v>46</v>
      </c>
    </row>
    <row r="6" customFormat="false" ht="15" hidden="false" customHeight="false" outlineLevel="0" collapsed="false">
      <c r="A6" s="16" t="s">
        <v>5685</v>
      </c>
      <c r="B6" s="29" t="n">
        <f aca="false">SUMIFS(Payment_Log_AP!$E$2:$E$753,Payment_Log_AP!$D$2:$D$753,"&gt;="&amp;DATE(2025,2,1),Payment_Log_AP!$D$2:$D$753,"&lt;"&amp;DATE(2025,3,1))</f>
        <v>119868.99</v>
      </c>
      <c r="C6" s="29" t="n">
        <f aca="false">SUMIFS(Cash_Receipts_AR!$E$2:$E$503,Cash_Receipts_AR!$D$2:$D$503,"&gt;="&amp;DATE(2025,2,1),Cash_Receipts_AR!$D$2:$D$503,"&lt;"&amp;DATE(2025,3,1))</f>
        <v>63240.58</v>
      </c>
      <c r="D6" s="16" t="n">
        <f aca="false">COUNTIFS(3Way_Match!$L$5:$L$854,"EXCEPTION",3Way_Match!$D$5:$D$854,"&gt;="&amp;DATE(2025,2,1),3Way_Match!$D$5:$D$854,"&lt;"&amp;DATE(2025,3,1))</f>
        <v>10</v>
      </c>
      <c r="E6" s="16" t="n">
        <f aca="false">COUNTIFS(Duplicate_Payments!$H$5:$H$885,"DUPLICATE*")</f>
        <v>16</v>
      </c>
      <c r="F6" s="16" t="n">
        <f aca="false">COUNTIFS(SoD_Check!$G$5:$G$854,"VIOLATION*",SoD_Check!$C$5:$C$854,"&gt;="&amp;DATE(2025,2,1),SoD_Check!$C$5:$C$854,"&lt;"&amp;DATE(2025,3,1))</f>
        <v>2</v>
      </c>
      <c r="G6" s="16" t="n">
        <f aca="false">COUNTIFS(Risk_Scoring!$M$5:$M$756,"High",Risk_Scoring!$F$5:$F$756,"&gt;="&amp;DATE(2025,2,1),Risk_Scoring!$F$5:$F$756,"&lt;"&amp;DATE(2025,3,1))</f>
        <v>0</v>
      </c>
      <c r="H6" s="16" t="n">
        <f aca="false">COUNTIFS(Purchase_Orders!$C$2:$C$851,"&gt;="&amp;DATE(2025,2,1),Purchase_Orders!$C$2:$C$851,"&lt;"&amp;DATE(2025,3,1))</f>
        <v>43</v>
      </c>
    </row>
    <row r="7" customFormat="false" ht="15" hidden="false" customHeight="false" outlineLevel="0" collapsed="false">
      <c r="A7" s="16" t="s">
        <v>5686</v>
      </c>
      <c r="B7" s="29" t="n">
        <f aca="false">SUMIFS(Payment_Log_AP!$E$2:$E$753,Payment_Log_AP!$D$2:$D$753,"&gt;="&amp;DATE(2025,3,1),Payment_Log_AP!$D$2:$D$753,"&lt;"&amp;DATE(2025,4,1))</f>
        <v>138285.77</v>
      </c>
      <c r="C7" s="29" t="n">
        <f aca="false">SUMIFS(Cash_Receipts_AR!$E$2:$E$503,Cash_Receipts_AR!$D$2:$D$503,"&gt;="&amp;DATE(2025,3,1),Cash_Receipts_AR!$D$2:$D$503,"&lt;"&amp;DATE(2025,4,1))</f>
        <v>149556.12</v>
      </c>
      <c r="D7" s="16" t="n">
        <f aca="false">COUNTIFS(3Way_Match!$L$5:$L$854,"EXCEPTION",3Way_Match!$D$5:$D$854,"&gt;="&amp;DATE(2025,3,1),3Way_Match!$D$5:$D$854,"&lt;"&amp;DATE(2025,4,1))</f>
        <v>9</v>
      </c>
      <c r="E7" s="16" t="n">
        <f aca="false">COUNTIFS(Duplicate_Payments!$H$5:$H$885,"DUPLICATE*")</f>
        <v>16</v>
      </c>
      <c r="F7" s="16" t="n">
        <f aca="false">COUNTIFS(SoD_Check!$G$5:$G$854,"VIOLATION*",SoD_Check!$C$5:$C$854,"&gt;="&amp;DATE(2025,3,1),SoD_Check!$C$5:$C$854,"&lt;"&amp;DATE(2025,4,1))</f>
        <v>2</v>
      </c>
      <c r="G7" s="16" t="n">
        <f aca="false">COUNTIFS(Risk_Scoring!$M$5:$M$756,"High",Risk_Scoring!$F$5:$F$756,"&gt;="&amp;DATE(2025,3,1),Risk_Scoring!$F$5:$F$756,"&lt;"&amp;DATE(2025,4,1))</f>
        <v>4</v>
      </c>
      <c r="H7" s="16" t="n">
        <f aca="false">COUNTIFS(Purchase_Orders!$C$2:$C$851,"&gt;="&amp;DATE(2025,3,1),Purchase_Orders!$C$2:$C$851,"&lt;"&amp;DATE(2025,4,1))</f>
        <v>45</v>
      </c>
    </row>
    <row r="8" customFormat="false" ht="15" hidden="false" customHeight="false" outlineLevel="0" collapsed="false">
      <c r="A8" s="16" t="s">
        <v>5687</v>
      </c>
      <c r="B8" s="29" t="n">
        <f aca="false">SUMIFS(Payment_Log_AP!$E$2:$E$753,Payment_Log_AP!$D$2:$D$753,"&gt;="&amp;DATE(2025,4,1),Payment_Log_AP!$D$2:$D$753,"&lt;"&amp;DATE(2025,5,1))</f>
        <v>151944.6</v>
      </c>
      <c r="C8" s="29" t="n">
        <f aca="false">SUMIFS(Cash_Receipts_AR!$E$2:$E$503,Cash_Receipts_AR!$D$2:$D$503,"&gt;="&amp;DATE(2025,4,1),Cash_Receipts_AR!$D$2:$D$503,"&lt;"&amp;DATE(2025,5,1))</f>
        <v>154341.64</v>
      </c>
      <c r="D8" s="16" t="n">
        <f aca="false">COUNTIFS(3Way_Match!$L$5:$L$854,"EXCEPTION",3Way_Match!$D$5:$D$854,"&gt;="&amp;DATE(2025,4,1),3Way_Match!$D$5:$D$854,"&lt;"&amp;DATE(2025,5,1))</f>
        <v>9</v>
      </c>
      <c r="E8" s="16" t="n">
        <f aca="false">COUNTIFS(Duplicate_Payments!$H$5:$H$885,"DUPLICATE*")</f>
        <v>16</v>
      </c>
      <c r="F8" s="16" t="n">
        <f aca="false">COUNTIFS(SoD_Check!$G$5:$G$854,"VIOLATION*",SoD_Check!$C$5:$C$854,"&gt;="&amp;DATE(2025,4,1),SoD_Check!$C$5:$C$854,"&lt;"&amp;DATE(2025,5,1))</f>
        <v>1</v>
      </c>
      <c r="G8" s="16" t="n">
        <f aca="false">COUNTIFS(Risk_Scoring!$M$5:$M$756,"High",Risk_Scoring!$F$5:$F$756,"&gt;="&amp;DATE(2025,4,1),Risk_Scoring!$F$5:$F$756,"&lt;"&amp;DATE(2025,5,1))</f>
        <v>5</v>
      </c>
      <c r="H8" s="16" t="n">
        <f aca="false">COUNTIFS(Purchase_Orders!$C$2:$C$851,"&gt;="&amp;DATE(2025,4,1),Purchase_Orders!$C$2:$C$851,"&lt;"&amp;DATE(2025,5,1))</f>
        <v>43</v>
      </c>
    </row>
    <row r="9" customFormat="false" ht="15" hidden="false" customHeight="false" outlineLevel="0" collapsed="false">
      <c r="A9" s="16" t="s">
        <v>5688</v>
      </c>
      <c r="B9" s="29" t="n">
        <f aca="false">SUMIFS(Payment_Log_AP!$E$2:$E$753,Payment_Log_AP!$D$2:$D$753,"&gt;="&amp;DATE(2025,5,1),Payment_Log_AP!$D$2:$D$753,"&lt;"&amp;DATE(2025,6,1))</f>
        <v>115131.97</v>
      </c>
      <c r="C9" s="29" t="n">
        <f aca="false">SUMIFS(Cash_Receipts_AR!$E$2:$E$503,Cash_Receipts_AR!$D$2:$D$503,"&gt;="&amp;DATE(2025,5,1),Cash_Receipts_AR!$D$2:$D$503,"&lt;"&amp;DATE(2025,6,1))</f>
        <v>44704.87</v>
      </c>
      <c r="D9" s="16" t="n">
        <f aca="false">COUNTIFS(3Way_Match!$L$5:$L$854,"EXCEPTION",3Way_Match!$D$5:$D$854,"&gt;="&amp;DATE(2025,5,1),3Way_Match!$D$5:$D$854,"&lt;"&amp;DATE(2025,6,1))</f>
        <v>11</v>
      </c>
      <c r="E9" s="16" t="n">
        <f aca="false">COUNTIFS(Duplicate_Payments!$H$5:$H$885,"DUPLICATE*")</f>
        <v>16</v>
      </c>
      <c r="F9" s="16" t="n">
        <f aca="false">COUNTIFS(SoD_Check!$G$5:$G$854,"VIOLATION*",SoD_Check!$C$5:$C$854,"&gt;="&amp;DATE(2025,5,1),SoD_Check!$C$5:$C$854,"&lt;"&amp;DATE(2025,6,1))</f>
        <v>0</v>
      </c>
      <c r="G9" s="16" t="n">
        <f aca="false">COUNTIFS(Risk_Scoring!$M$5:$M$756,"High",Risk_Scoring!$F$5:$F$756,"&gt;="&amp;DATE(2025,5,1),Risk_Scoring!$F$5:$F$756,"&lt;"&amp;DATE(2025,6,1))</f>
        <v>1</v>
      </c>
      <c r="H9" s="16" t="n">
        <f aca="false">COUNTIFS(Purchase_Orders!$C$2:$C$851,"&gt;="&amp;DATE(2025,5,1),Purchase_Orders!$C$2:$C$851,"&lt;"&amp;DATE(2025,6,1))</f>
        <v>51</v>
      </c>
    </row>
    <row r="10" customFormat="false" ht="15" hidden="false" customHeight="false" outlineLevel="0" collapsed="false">
      <c r="A10" s="16" t="s">
        <v>5689</v>
      </c>
      <c r="B10" s="29" t="n">
        <f aca="false">SUMIFS(Payment_Log_AP!$E$2:$E$753,Payment_Log_AP!$D$2:$D$753,"&gt;="&amp;DATE(2025,6,1),Payment_Log_AP!$D$2:$D$753,"&lt;"&amp;DATE(2025,7,1))</f>
        <v>127916.17</v>
      </c>
      <c r="C10" s="29" t="n">
        <f aca="false">SUMIFS(Cash_Receipts_AR!$E$2:$E$503,Cash_Receipts_AR!$D$2:$D$503,"&gt;="&amp;DATE(2025,6,1),Cash_Receipts_AR!$D$2:$D$503,"&lt;"&amp;DATE(2025,7,1))</f>
        <v>132992.65</v>
      </c>
      <c r="D10" s="16" t="n">
        <f aca="false">COUNTIFS(3Way_Match!$L$5:$L$854,"EXCEPTION",3Way_Match!$D$5:$D$854,"&gt;="&amp;DATE(2025,6,1),3Way_Match!$D$5:$D$854,"&lt;"&amp;DATE(2025,7,1))</f>
        <v>6</v>
      </c>
      <c r="E10" s="16" t="n">
        <f aca="false">COUNTIFS(Duplicate_Payments!$H$5:$H$885,"DUPLICATE*")</f>
        <v>16</v>
      </c>
      <c r="F10" s="16" t="n">
        <f aca="false">COUNTIFS(SoD_Check!$G$5:$G$854,"VIOLATION*",SoD_Check!$C$5:$C$854,"&gt;="&amp;DATE(2025,6,1),SoD_Check!$C$5:$C$854,"&lt;"&amp;DATE(2025,7,1))</f>
        <v>0</v>
      </c>
      <c r="G10" s="16" t="n">
        <f aca="false">COUNTIFS(Risk_Scoring!$M$5:$M$756,"High",Risk_Scoring!$F$5:$F$756,"&gt;="&amp;DATE(2025,6,1),Risk_Scoring!$F$5:$F$756,"&lt;"&amp;DATE(2025,7,1))</f>
        <v>2</v>
      </c>
      <c r="H10" s="16" t="n">
        <f aca="false">COUNTIFS(Purchase_Orders!$C$2:$C$851,"&gt;="&amp;DATE(2025,6,1),Purchase_Orders!$C$2:$C$851,"&lt;"&amp;DATE(2025,7,1))</f>
        <v>46</v>
      </c>
    </row>
    <row r="11" customFormat="false" ht="15" hidden="false" customHeight="false" outlineLevel="0" collapsed="false">
      <c r="A11" s="16" t="s">
        <v>5690</v>
      </c>
      <c r="B11" s="29" t="n">
        <f aca="false">SUMIFS(Payment_Log_AP!$E$2:$E$753,Payment_Log_AP!$D$2:$D$753,"&gt;="&amp;DATE(2025,7,1),Payment_Log_AP!$D$2:$D$753,"&lt;"&amp;DATE(2025,8,1))</f>
        <v>153034.98</v>
      </c>
      <c r="C11" s="29" t="n">
        <f aca="false">SUMIFS(Cash_Receipts_AR!$E$2:$E$503,Cash_Receipts_AR!$D$2:$D$503,"&gt;="&amp;DATE(2025,7,1),Cash_Receipts_AR!$D$2:$D$503,"&lt;"&amp;DATE(2025,8,1))</f>
        <v>96608.09</v>
      </c>
      <c r="D11" s="16" t="n">
        <f aca="false">COUNTIFS(3Way_Match!$L$5:$L$854,"EXCEPTION",3Way_Match!$D$5:$D$854,"&gt;="&amp;DATE(2025,7,1),3Way_Match!$D$5:$D$854,"&lt;"&amp;DATE(2025,8,1))</f>
        <v>6</v>
      </c>
      <c r="E11" s="16" t="n">
        <f aca="false">COUNTIFS(Duplicate_Payments!$H$5:$H$885,"DUPLICATE*")</f>
        <v>16</v>
      </c>
      <c r="F11" s="16" t="n">
        <f aca="false">COUNTIFS(SoD_Check!$G$5:$G$854,"VIOLATION*",SoD_Check!$C$5:$C$854,"&gt;="&amp;DATE(2025,7,1),SoD_Check!$C$5:$C$854,"&lt;"&amp;DATE(2025,8,1))</f>
        <v>2</v>
      </c>
      <c r="G11" s="16" t="n">
        <f aca="false">COUNTIFS(Risk_Scoring!$M$5:$M$756,"High",Risk_Scoring!$F$5:$F$756,"&gt;="&amp;DATE(2025,7,1),Risk_Scoring!$F$5:$F$756,"&lt;"&amp;DATE(2025,8,1))</f>
        <v>3</v>
      </c>
      <c r="H11" s="16" t="n">
        <f aca="false">COUNTIFS(Purchase_Orders!$C$2:$C$851,"&gt;="&amp;DATE(2025,7,1),Purchase_Orders!$C$2:$C$851,"&lt;"&amp;DATE(2025,8,1))</f>
        <v>39</v>
      </c>
    </row>
    <row r="12" customFormat="false" ht="15" hidden="false" customHeight="false" outlineLevel="0" collapsed="false">
      <c r="A12" s="16" t="s">
        <v>5691</v>
      </c>
      <c r="B12" s="29" t="n">
        <f aca="false">SUMIFS(Payment_Log_AP!$E$2:$E$753,Payment_Log_AP!$D$2:$D$753,"&gt;="&amp;DATE(2025,8,1),Payment_Log_AP!$D$2:$D$753,"&lt;"&amp;DATE(2025,9,1))</f>
        <v>155487.54</v>
      </c>
      <c r="C12" s="29" t="n">
        <f aca="false">SUMIFS(Cash_Receipts_AR!$E$2:$E$503,Cash_Receipts_AR!$D$2:$D$503,"&gt;="&amp;DATE(2025,8,1),Cash_Receipts_AR!$D$2:$D$503,"&lt;"&amp;DATE(2025,9,1))</f>
        <v>137059.13</v>
      </c>
      <c r="D12" s="16" t="n">
        <f aca="false">COUNTIFS(3Way_Match!$L$5:$L$854,"EXCEPTION",3Way_Match!$D$5:$D$854,"&gt;="&amp;DATE(2025,8,1),3Way_Match!$D$5:$D$854,"&lt;"&amp;DATE(2025,9,1))</f>
        <v>10</v>
      </c>
      <c r="E12" s="16" t="n">
        <f aca="false">COUNTIFS(Duplicate_Payments!$H$5:$H$885,"DUPLICATE*")</f>
        <v>16</v>
      </c>
      <c r="F12" s="16" t="n">
        <f aca="false">COUNTIFS(SoD_Check!$G$5:$G$854,"VIOLATION*",SoD_Check!$C$5:$C$854,"&gt;="&amp;DATE(2025,8,1),SoD_Check!$C$5:$C$854,"&lt;"&amp;DATE(2025,9,1))</f>
        <v>1</v>
      </c>
      <c r="G12" s="16" t="n">
        <f aca="false">COUNTIFS(Risk_Scoring!$M$5:$M$756,"High",Risk_Scoring!$F$5:$F$756,"&gt;="&amp;DATE(2025,8,1),Risk_Scoring!$F$5:$F$756,"&lt;"&amp;DATE(2025,9,1))</f>
        <v>0</v>
      </c>
      <c r="H12" s="16" t="n">
        <f aca="false">COUNTIFS(Purchase_Orders!$C$2:$C$851,"&gt;="&amp;DATE(2025,8,1),Purchase_Orders!$C$2:$C$851,"&lt;"&amp;DATE(2025,9,1))</f>
        <v>51</v>
      </c>
    </row>
    <row r="13" customFormat="false" ht="15" hidden="false" customHeight="false" outlineLevel="0" collapsed="false">
      <c r="A13" s="16" t="s">
        <v>5692</v>
      </c>
      <c r="B13" s="29" t="n">
        <f aca="false">SUMIFS(Payment_Log_AP!$E$2:$E$753,Payment_Log_AP!$D$2:$D$753,"&gt;="&amp;DATE(2025,9,1),Payment_Log_AP!$D$2:$D$753,"&lt;"&amp;DATE(2025,10,1))</f>
        <v>156557.35</v>
      </c>
      <c r="C13" s="29" t="n">
        <f aca="false">SUMIFS(Cash_Receipts_AR!$E$2:$E$503,Cash_Receipts_AR!$D$2:$D$503,"&gt;="&amp;DATE(2025,9,1),Cash_Receipts_AR!$D$2:$D$503,"&lt;"&amp;DATE(2025,10,1))</f>
        <v>92067.87</v>
      </c>
      <c r="D13" s="16" t="n">
        <f aca="false">COUNTIFS(3Way_Match!$L$5:$L$854,"EXCEPTION",3Way_Match!$D$5:$D$854,"&gt;="&amp;DATE(2025,9,1),3Way_Match!$D$5:$D$854,"&lt;"&amp;DATE(2025,10,1))</f>
        <v>13</v>
      </c>
      <c r="E13" s="16" t="n">
        <f aca="false">COUNTIFS(Duplicate_Payments!$H$5:$H$885,"DUPLICATE*")</f>
        <v>16</v>
      </c>
      <c r="F13" s="16" t="n">
        <f aca="false">COUNTIFS(SoD_Check!$G$5:$G$854,"VIOLATION*",SoD_Check!$C$5:$C$854,"&gt;="&amp;DATE(2025,9,1),SoD_Check!$C$5:$C$854,"&lt;"&amp;DATE(2025,10,1))</f>
        <v>1</v>
      </c>
      <c r="G13" s="16" t="n">
        <f aca="false">COUNTIFS(Risk_Scoring!$M$5:$M$756,"High",Risk_Scoring!$F$5:$F$756,"&gt;="&amp;DATE(2025,9,1),Risk_Scoring!$F$5:$F$756,"&lt;"&amp;DATE(2025,10,1))</f>
        <v>0</v>
      </c>
      <c r="H13" s="16" t="n">
        <f aca="false">COUNTIFS(Purchase_Orders!$C$2:$C$851,"&gt;="&amp;DATE(2025,9,1),Purchase_Orders!$C$2:$C$851,"&lt;"&amp;DATE(2025,10,1))</f>
        <v>51</v>
      </c>
    </row>
    <row r="14" customFormat="false" ht="15" hidden="false" customHeight="false" outlineLevel="0" collapsed="false">
      <c r="A14" s="16" t="s">
        <v>5693</v>
      </c>
      <c r="B14" s="29" t="n">
        <f aca="false">SUMIFS(Payment_Log_AP!$E$2:$E$753,Payment_Log_AP!$D$2:$D$753,"&gt;="&amp;DATE(2025,10,1),Payment_Log_AP!$D$2:$D$753,"&lt;"&amp;DATE(2025,11,1))</f>
        <v>180558.89</v>
      </c>
      <c r="C14" s="29" t="n">
        <f aca="false">SUMIFS(Cash_Receipts_AR!$E$2:$E$503,Cash_Receipts_AR!$D$2:$D$503,"&gt;="&amp;DATE(2025,10,1),Cash_Receipts_AR!$D$2:$D$503,"&lt;"&amp;DATE(2025,11,1))</f>
        <v>111747.18</v>
      </c>
      <c r="D14" s="16" t="n">
        <f aca="false">COUNTIFS(3Way_Match!$L$5:$L$854,"EXCEPTION",3Way_Match!$D$5:$D$854,"&gt;="&amp;DATE(2025,10,1),3Way_Match!$D$5:$D$854,"&lt;"&amp;DATE(2025,11,1))</f>
        <v>6</v>
      </c>
      <c r="E14" s="16" t="n">
        <f aca="false">COUNTIFS(Duplicate_Payments!$H$5:$H$885,"DUPLICATE*")</f>
        <v>16</v>
      </c>
      <c r="F14" s="16" t="n">
        <f aca="false">COUNTIFS(SoD_Check!$G$5:$G$854,"VIOLATION*",SoD_Check!$C$5:$C$854,"&gt;="&amp;DATE(2025,10,1),SoD_Check!$C$5:$C$854,"&lt;"&amp;DATE(2025,11,1))</f>
        <v>2</v>
      </c>
      <c r="G14" s="16" t="n">
        <f aca="false">COUNTIFS(Risk_Scoring!$M$5:$M$756,"High",Risk_Scoring!$F$5:$F$756,"&gt;="&amp;DATE(2025,10,1),Risk_Scoring!$F$5:$F$756,"&lt;"&amp;DATE(2025,11,1))</f>
        <v>1</v>
      </c>
      <c r="H14" s="16" t="n">
        <f aca="false">COUNTIFS(Purchase_Orders!$C$2:$C$851,"&gt;="&amp;DATE(2025,10,1),Purchase_Orders!$C$2:$C$851,"&lt;"&amp;DATE(2025,11,1))</f>
        <v>49</v>
      </c>
    </row>
    <row r="15" customFormat="false" ht="15" hidden="false" customHeight="false" outlineLevel="0" collapsed="false">
      <c r="A15" s="16" t="s">
        <v>5694</v>
      </c>
      <c r="B15" s="29" t="n">
        <f aca="false">SUMIFS(Payment_Log_AP!$E$2:$E$753,Payment_Log_AP!$D$2:$D$753,"&gt;="&amp;DATE(2025,11,1),Payment_Log_AP!$D$2:$D$753,"&lt;"&amp;DATE(2025,12,1))</f>
        <v>124879.11</v>
      </c>
      <c r="C15" s="29" t="n">
        <f aca="false">SUMIFS(Cash_Receipts_AR!$E$2:$E$503,Cash_Receipts_AR!$D$2:$D$503,"&gt;="&amp;DATE(2025,11,1),Cash_Receipts_AR!$D$2:$D$503,"&lt;"&amp;DATE(2025,12,1))</f>
        <v>103697.61</v>
      </c>
      <c r="D15" s="16" t="n">
        <f aca="false">COUNTIFS(3Way_Match!$L$5:$L$854,"EXCEPTION",3Way_Match!$D$5:$D$854,"&gt;="&amp;DATE(2025,11,1),3Way_Match!$D$5:$D$854,"&lt;"&amp;DATE(2025,12,1))</f>
        <v>7</v>
      </c>
      <c r="E15" s="16" t="n">
        <f aca="false">COUNTIFS(Duplicate_Payments!$H$5:$H$885,"DUPLICATE*")</f>
        <v>16</v>
      </c>
      <c r="F15" s="16" t="n">
        <f aca="false">COUNTIFS(SoD_Check!$G$5:$G$854,"VIOLATION*",SoD_Check!$C$5:$C$854,"&gt;="&amp;DATE(2025,11,1),SoD_Check!$C$5:$C$854,"&lt;"&amp;DATE(2025,12,1))</f>
        <v>3</v>
      </c>
      <c r="G15" s="16" t="n">
        <f aca="false">COUNTIFS(Risk_Scoring!$M$5:$M$756,"High",Risk_Scoring!$F$5:$F$756,"&gt;="&amp;DATE(2025,11,1),Risk_Scoring!$F$5:$F$756,"&lt;"&amp;DATE(2025,12,1))</f>
        <v>0</v>
      </c>
      <c r="H15" s="16" t="n">
        <f aca="false">COUNTIFS(Purchase_Orders!$C$2:$C$851,"&gt;="&amp;DATE(2025,11,1),Purchase_Orders!$C$2:$C$851,"&lt;"&amp;DATE(2025,12,1))</f>
        <v>49</v>
      </c>
    </row>
    <row r="16" customFormat="false" ht="15" hidden="false" customHeight="false" outlineLevel="0" collapsed="false">
      <c r="A16" s="16" t="s">
        <v>5695</v>
      </c>
      <c r="B16" s="29" t="n">
        <f aca="false">SUMIFS(Payment_Log_AP!$E$2:$E$753,Payment_Log_AP!$D$2:$D$753,"&gt;="&amp;DATE(2025,12,1),Payment_Log_AP!$D$2:$D$753,"&lt;"&amp;DATE(2026,1,1))</f>
        <v>128841.83</v>
      </c>
      <c r="C16" s="29" t="n">
        <f aca="false">SUMIFS(Cash_Receipts_AR!$E$2:$E$503,Cash_Receipts_AR!$D$2:$D$503,"&gt;="&amp;DATE(2025,12,1),Cash_Receipts_AR!$D$2:$D$503,"&lt;"&amp;DATE(2026,1,1))</f>
        <v>108692.29</v>
      </c>
      <c r="D16" s="16" t="n">
        <f aca="false">COUNTIFS(3Way_Match!$L$5:$L$854,"EXCEPTION",3Way_Match!$D$5:$D$854,"&gt;="&amp;DATE(2025,12,1),3Way_Match!$D$5:$D$854,"&lt;"&amp;DATE(2026,1,1))</f>
        <v>9</v>
      </c>
      <c r="E16" s="16" t="n">
        <f aca="false">COUNTIFS(Duplicate_Payments!$H$5:$H$885,"DUPLICATE*")</f>
        <v>16</v>
      </c>
      <c r="F16" s="16" t="n">
        <f aca="false">COUNTIFS(SoD_Check!$G$5:$G$854,"VIOLATION*",SoD_Check!$C$5:$C$854,"&gt;="&amp;DATE(2025,12,1),SoD_Check!$C$5:$C$854,"&lt;"&amp;DATE(2026,1,1))</f>
        <v>2</v>
      </c>
      <c r="G16" s="16" t="n">
        <f aca="false">COUNTIFS(Risk_Scoring!$M$5:$M$756,"High",Risk_Scoring!$F$5:$F$756,"&gt;="&amp;DATE(2025,12,1),Risk_Scoring!$F$5:$F$756,"&lt;"&amp;DATE(2026,1,1))</f>
        <v>0</v>
      </c>
      <c r="H16" s="16" t="n">
        <f aca="false">COUNTIFS(Purchase_Orders!$C$2:$C$851,"&gt;="&amp;DATE(2025,12,1),Purchase_Orders!$C$2:$C$851,"&lt;"&amp;DATE(2026,1,1))</f>
        <v>55</v>
      </c>
    </row>
    <row r="17" customFormat="false" ht="15" hidden="false" customHeight="false" outlineLevel="0" collapsed="false">
      <c r="A17" s="16" t="s">
        <v>5696</v>
      </c>
      <c r="B17" s="29" t="n">
        <f aca="false">SUMIFS(Payment_Log_AP!$E$2:$E$753,Payment_Log_AP!$D$2:$D$753,"&gt;="&amp;DATE(2026,1,1),Payment_Log_AP!$D$2:$D$753,"&lt;"&amp;DATE(2026,2,1))</f>
        <v>114036.6</v>
      </c>
      <c r="C17" s="29" t="n">
        <f aca="false">SUMIFS(Cash_Receipts_AR!$E$2:$E$503,Cash_Receipts_AR!$D$2:$D$503,"&gt;="&amp;DATE(2026,1,1),Cash_Receipts_AR!$D$2:$D$503,"&lt;"&amp;DATE(2026,2,1))</f>
        <v>154059.34</v>
      </c>
      <c r="D17" s="16" t="n">
        <f aca="false">COUNTIFS(3Way_Match!$L$5:$L$854,"EXCEPTION",3Way_Match!$D$5:$D$854,"&gt;="&amp;DATE(2026,1,1),3Way_Match!$D$5:$D$854,"&lt;"&amp;DATE(2026,2,1))</f>
        <v>13</v>
      </c>
      <c r="E17" s="16" t="n">
        <f aca="false">COUNTIFS(Duplicate_Payments!$H$5:$H$885,"DUPLICATE*")</f>
        <v>16</v>
      </c>
      <c r="F17" s="16" t="n">
        <f aca="false">COUNTIFS(SoD_Check!$G$5:$G$854,"VIOLATION*",SoD_Check!$C$5:$C$854,"&gt;="&amp;DATE(2026,1,1),SoD_Check!$C$5:$C$854,"&lt;"&amp;DATE(2026,2,1))</f>
        <v>0</v>
      </c>
      <c r="G17" s="16" t="n">
        <f aca="false">COUNTIFS(Risk_Scoring!$M$5:$M$756,"High",Risk_Scoring!$F$5:$F$756,"&gt;="&amp;DATE(2026,1,1),Risk_Scoring!$F$5:$F$756,"&lt;"&amp;DATE(2026,2,1))</f>
        <v>0</v>
      </c>
      <c r="H17" s="16" t="n">
        <f aca="false">COUNTIFS(Purchase_Orders!$C$2:$C$851,"&gt;="&amp;DATE(2026,1,1),Purchase_Orders!$C$2:$C$851,"&lt;"&amp;DATE(2026,2,1))</f>
        <v>58</v>
      </c>
    </row>
    <row r="18" customFormat="false" ht="15" hidden="false" customHeight="false" outlineLevel="0" collapsed="false">
      <c r="A18" s="16" t="s">
        <v>5697</v>
      </c>
      <c r="B18" s="29" t="n">
        <f aca="false">SUMIFS(Payment_Log_AP!$E$2:$E$753,Payment_Log_AP!$D$2:$D$753,"&gt;="&amp;DATE(2026,2,1),Payment_Log_AP!$D$2:$D$753,"&lt;"&amp;DATE(2026,3,1))</f>
        <v>214951.16</v>
      </c>
      <c r="C18" s="29" t="n">
        <f aca="false">SUMIFS(Cash_Receipts_AR!$E$2:$E$503,Cash_Receipts_AR!$D$2:$D$503,"&gt;="&amp;DATE(2026,2,1),Cash_Receipts_AR!$D$2:$D$503,"&lt;"&amp;DATE(2026,3,1))</f>
        <v>86519.12</v>
      </c>
      <c r="D18" s="16" t="n">
        <f aca="false">COUNTIFS(3Way_Match!$L$5:$L$854,"EXCEPTION",3Way_Match!$D$5:$D$854,"&gt;="&amp;DATE(2026,2,1),3Way_Match!$D$5:$D$854,"&lt;"&amp;DATE(2026,3,1))</f>
        <v>10</v>
      </c>
      <c r="E18" s="16" t="n">
        <f aca="false">COUNTIFS(Duplicate_Payments!$H$5:$H$885,"DUPLICATE*")</f>
        <v>16</v>
      </c>
      <c r="F18" s="16" t="n">
        <f aca="false">COUNTIFS(SoD_Check!$G$5:$G$854,"VIOLATION*",SoD_Check!$C$5:$C$854,"&gt;="&amp;DATE(2026,2,1),SoD_Check!$C$5:$C$854,"&lt;"&amp;DATE(2026,3,1))</f>
        <v>2</v>
      </c>
      <c r="G18" s="16" t="n">
        <f aca="false">COUNTIFS(Risk_Scoring!$M$5:$M$756,"High",Risk_Scoring!$F$5:$F$756,"&gt;="&amp;DATE(2026,2,1),Risk_Scoring!$F$5:$F$756,"&lt;"&amp;DATE(2026,3,1))</f>
        <v>3</v>
      </c>
      <c r="H18" s="16" t="n">
        <f aca="false">COUNTIFS(Purchase_Orders!$C$2:$C$851,"&gt;="&amp;DATE(2026,2,1),Purchase_Orders!$C$2:$C$851,"&lt;"&amp;DATE(2026,3,1))</f>
        <v>48</v>
      </c>
    </row>
    <row r="19" customFormat="false" ht="15" hidden="false" customHeight="false" outlineLevel="0" collapsed="false">
      <c r="A19" s="16" t="s">
        <v>5698</v>
      </c>
      <c r="B19" s="29" t="n">
        <f aca="false">SUMIFS(Payment_Log_AP!$E$2:$E$753,Payment_Log_AP!$D$2:$D$753,"&gt;="&amp;DATE(2026,3,1),Payment_Log_AP!$D$2:$D$753,"&lt;"&amp;DATE(2026,4,1))</f>
        <v>175339.43</v>
      </c>
      <c r="C19" s="29" t="n">
        <f aca="false">SUMIFS(Cash_Receipts_AR!$E$2:$E$503,Cash_Receipts_AR!$D$2:$D$503,"&gt;="&amp;DATE(2026,3,1),Cash_Receipts_AR!$D$2:$D$503,"&lt;"&amp;DATE(2026,4,1))</f>
        <v>103135.14</v>
      </c>
      <c r="D19" s="16" t="n">
        <f aca="false">COUNTIFS(3Way_Match!$L$5:$L$854,"EXCEPTION",3Way_Match!$D$5:$D$854,"&gt;="&amp;DATE(2026,3,1),3Way_Match!$D$5:$D$854,"&lt;"&amp;DATE(2026,4,1))</f>
        <v>8</v>
      </c>
      <c r="E19" s="16" t="n">
        <f aca="false">COUNTIFS(Duplicate_Payments!$H$5:$H$885,"DUPLICATE*")</f>
        <v>16</v>
      </c>
      <c r="F19" s="16" t="n">
        <f aca="false">COUNTIFS(SoD_Check!$G$5:$G$854,"VIOLATION*",SoD_Check!$C$5:$C$854,"&gt;="&amp;DATE(2026,3,1),SoD_Check!$C$5:$C$854,"&lt;"&amp;DATE(2026,4,1))</f>
        <v>0</v>
      </c>
      <c r="G19" s="16" t="n">
        <f aca="false">COUNTIFS(Risk_Scoring!$M$5:$M$756,"High",Risk_Scoring!$F$5:$F$756,"&gt;="&amp;DATE(2026,3,1),Risk_Scoring!$F$5:$F$756,"&lt;"&amp;DATE(2026,4,1))</f>
        <v>0</v>
      </c>
      <c r="H19" s="16" t="n">
        <f aca="false">COUNTIFS(Purchase_Orders!$C$2:$C$851,"&gt;="&amp;DATE(2026,3,1),Purchase_Orders!$C$2:$C$851,"&lt;"&amp;DATE(2026,4,1))</f>
        <v>48</v>
      </c>
    </row>
    <row r="20" customFormat="false" ht="15" hidden="false" customHeight="false" outlineLevel="0" collapsed="false">
      <c r="A20" s="16" t="s">
        <v>5699</v>
      </c>
      <c r="B20" s="29" t="n">
        <f aca="false">SUMIFS(Payment_Log_AP!$E$2:$E$753,Payment_Log_AP!$D$2:$D$753,"&gt;="&amp;DATE(2026,4,1),Payment_Log_AP!$D$2:$D$753,"&lt;"&amp;DATE(2026,5,1))</f>
        <v>169620.51</v>
      </c>
      <c r="C20" s="29" t="n">
        <f aca="false">SUMIFS(Cash_Receipts_AR!$E$2:$E$503,Cash_Receipts_AR!$D$2:$D$503,"&gt;="&amp;DATE(2026,4,1),Cash_Receipts_AR!$D$2:$D$503,"&lt;"&amp;DATE(2026,5,1))</f>
        <v>115139.1</v>
      </c>
      <c r="D20" s="16" t="n">
        <f aca="false">COUNTIFS(3Way_Match!$L$5:$L$854,"EXCEPTION",3Way_Match!$D$5:$D$854,"&gt;="&amp;DATE(2026,4,1),3Way_Match!$D$5:$D$854,"&lt;"&amp;DATE(2026,5,1))</f>
        <v>9</v>
      </c>
      <c r="E20" s="16" t="n">
        <f aca="false">COUNTIFS(Duplicate_Payments!$H$5:$H$885,"DUPLICATE*")</f>
        <v>16</v>
      </c>
      <c r="F20" s="16" t="n">
        <f aca="false">COUNTIFS(SoD_Check!$G$5:$G$854,"VIOLATION*",SoD_Check!$C$5:$C$854,"&gt;="&amp;DATE(2026,4,1),SoD_Check!$C$5:$C$854,"&lt;"&amp;DATE(2026,5,1))</f>
        <v>0</v>
      </c>
      <c r="G20" s="16" t="n">
        <f aca="false">COUNTIFS(Risk_Scoring!$M$5:$M$756,"High",Risk_Scoring!$F$5:$F$756,"&gt;="&amp;DATE(2026,4,1),Risk_Scoring!$F$5:$F$756,"&lt;"&amp;DATE(2026,5,1))</f>
        <v>0</v>
      </c>
      <c r="H20" s="16" t="n">
        <f aca="false">COUNTIFS(Purchase_Orders!$C$2:$C$851,"&gt;="&amp;DATE(2026,4,1),Purchase_Orders!$C$2:$C$851,"&lt;"&amp;DATE(2026,5,1))</f>
        <v>44</v>
      </c>
    </row>
    <row r="21" customFormat="false" ht="15" hidden="false" customHeight="false" outlineLevel="0" collapsed="false">
      <c r="A21" s="16" t="s">
        <v>5700</v>
      </c>
      <c r="B21" s="29" t="n">
        <f aca="false">SUMIFS(Payment_Log_AP!$E$2:$E$753,Payment_Log_AP!$D$2:$D$753,"&gt;="&amp;DATE(2026,5,1),Payment_Log_AP!$D$2:$D$753,"&lt;"&amp;DATE(2026,6,1))</f>
        <v>129491.66</v>
      </c>
      <c r="C21" s="29" t="n">
        <f aca="false">SUMIFS(Cash_Receipts_AR!$E$2:$E$503,Cash_Receipts_AR!$D$2:$D$503,"&gt;="&amp;DATE(2026,5,1),Cash_Receipts_AR!$D$2:$D$503,"&lt;"&amp;DATE(2026,6,1))</f>
        <v>91241.32</v>
      </c>
      <c r="D21" s="16" t="n">
        <f aca="false">COUNTIFS(3Way_Match!$L$5:$L$854,"EXCEPTION",3Way_Match!$D$5:$D$854,"&gt;="&amp;DATE(2026,5,1),3Way_Match!$D$5:$D$854,"&lt;"&amp;DATE(2026,6,1))</f>
        <v>7</v>
      </c>
      <c r="E21" s="16" t="n">
        <f aca="false">COUNTIFS(Duplicate_Payments!$H$5:$H$885,"DUPLICATE*")</f>
        <v>16</v>
      </c>
      <c r="F21" s="16" t="n">
        <f aca="false">COUNTIFS(SoD_Check!$G$5:$G$854,"VIOLATION*",SoD_Check!$C$5:$C$854,"&gt;="&amp;DATE(2026,5,1),SoD_Check!$C$5:$C$854,"&lt;"&amp;DATE(2026,6,1))</f>
        <v>1</v>
      </c>
      <c r="G21" s="16" t="n">
        <f aca="false">COUNTIFS(Risk_Scoring!$M$5:$M$756,"High",Risk_Scoring!$F$5:$F$756,"&gt;="&amp;DATE(2026,5,1),Risk_Scoring!$F$5:$F$756,"&lt;"&amp;DATE(2026,6,1))</f>
        <v>0</v>
      </c>
      <c r="H21" s="16" t="n">
        <f aca="false">COUNTIFS(Purchase_Orders!$C$2:$C$851,"&gt;="&amp;DATE(2026,5,1),Purchase_Orders!$C$2:$C$851,"&lt;"&amp;DATE(2026,6,1))</f>
        <v>37</v>
      </c>
    </row>
    <row r="22" customFormat="false" ht="15" hidden="false" customHeight="false" outlineLevel="0" collapsed="false">
      <c r="A22" s="16" t="s">
        <v>5701</v>
      </c>
      <c r="B22" s="29" t="n">
        <f aca="false">SUMIFS(Payment_Log_AP!$E$2:$E$753,Payment_Log_AP!$D$2:$D$753,"&gt;="&amp;DATE(2026,6,1),Payment_Log_AP!$D$2:$D$753,"&lt;"&amp;DATE(2026,7,1))</f>
        <v>143562.16</v>
      </c>
      <c r="C22" s="29" t="n">
        <f aca="false">SUMIFS(Cash_Receipts_AR!$E$2:$E$503,Cash_Receipts_AR!$D$2:$D$503,"&gt;="&amp;DATE(2026,6,1),Cash_Receipts_AR!$D$2:$D$503,"&lt;"&amp;DATE(2026,7,1))</f>
        <v>110355.33</v>
      </c>
      <c r="D22" s="16" t="n">
        <f aca="false">COUNTIFS(3Way_Match!$L$5:$L$854,"EXCEPTION",3Way_Match!$D$5:$D$854,"&gt;="&amp;DATE(2026,6,1),3Way_Match!$D$5:$D$854,"&lt;"&amp;DATE(2026,7,1))</f>
        <v>6</v>
      </c>
      <c r="E22" s="16" t="n">
        <f aca="false">COUNTIFS(Duplicate_Payments!$H$5:$H$885,"DUPLICATE*")</f>
        <v>16</v>
      </c>
      <c r="F22" s="16" t="n">
        <f aca="false">COUNTIFS(SoD_Check!$G$5:$G$854,"VIOLATION*",SoD_Check!$C$5:$C$854,"&gt;="&amp;DATE(2026,6,1),SoD_Check!$C$5:$C$854,"&lt;"&amp;DATE(2026,7,1))</f>
        <v>0</v>
      </c>
      <c r="G22" s="16" t="n">
        <f aca="false">COUNTIFS(Risk_Scoring!$M$5:$M$756,"High",Risk_Scoring!$F$5:$F$756,"&gt;="&amp;DATE(2026,6,1),Risk_Scoring!$F$5:$F$756,"&lt;"&amp;DATE(2026,7,1))</f>
        <v>2</v>
      </c>
      <c r="H22" s="16" t="n">
        <f aca="false">COUNTIFS(Purchase_Orders!$C$2:$C$851,"&gt;="&amp;DATE(2026,6,1),Purchase_Orders!$C$2:$C$851,"&lt;"&amp;DATE(2026,7,1))</f>
        <v>47</v>
      </c>
    </row>
    <row r="23" customFormat="false" ht="15" hidden="false" customHeight="false" outlineLevel="0" collapsed="false">
      <c r="A23" s="16" t="s">
        <v>5702</v>
      </c>
      <c r="B23" s="29" t="n">
        <f aca="false">SUMIFS(Payment_Log_AP!$E$2:$E$753,Payment_Log_AP!$D$2:$D$753,"&gt;="&amp;DATE(2026,7,1),Payment_Log_AP!$D$2:$D$753,"&lt;"&amp;DATE(2026,8,1))</f>
        <v>13225.35</v>
      </c>
      <c r="C23" s="29" t="n">
        <f aca="false">SUMIFS(Cash_Receipts_AR!$E$2:$E$503,Cash_Receipts_AR!$D$2:$D$503,"&gt;="&amp;DATE(2026,7,1),Cash_Receipts_AR!$D$2:$D$503,"&lt;"&amp;DATE(2026,8,1))</f>
        <v>0</v>
      </c>
      <c r="D23" s="16" t="n">
        <f aca="false">COUNTIFS(3Way_Match!$L$5:$L$854,"EXCEPTION",3Way_Match!$D$5:$D$854,"&gt;="&amp;DATE(2026,7,1),3Way_Match!$D$5:$D$854,"&lt;"&amp;DATE(2026,8,1))</f>
        <v>0</v>
      </c>
      <c r="E23" s="16" t="n">
        <f aca="false">COUNTIFS(Duplicate_Payments!$H$5:$H$885,"DUPLICATE*")</f>
        <v>16</v>
      </c>
      <c r="F23" s="16" t="n">
        <f aca="false">COUNTIFS(SoD_Check!$G$5:$G$854,"VIOLATION*",SoD_Check!$C$5:$C$854,"&gt;="&amp;DATE(2026,7,1),SoD_Check!$C$5:$C$854,"&lt;"&amp;DATE(2026,8,1))</f>
        <v>0</v>
      </c>
      <c r="G23" s="16" t="n">
        <f aca="false">COUNTIFS(Risk_Scoring!$M$5:$M$756,"High",Risk_Scoring!$F$5:$F$756,"&gt;="&amp;DATE(2026,7,1),Risk_Scoring!$F$5:$F$756,"&lt;"&amp;DATE(2026,8,1))</f>
        <v>0</v>
      </c>
      <c r="H23" s="16" t="n">
        <f aca="false">COUNTIFS(Purchase_Orders!$C$2:$C$851,"&gt;="&amp;DATE(2026,7,1),Purchase_Orders!$C$2:$C$851,"&lt;"&amp;DATE(2026,8,1))</f>
        <v>0</v>
      </c>
    </row>
    <row r="25" customFormat="false" ht="15" hidden="false" customHeight="false" outlineLevel="0" collapsed="false">
      <c r="A25" s="2" t="s">
        <v>5703</v>
      </c>
    </row>
  </sheetData>
  <autoFilter ref="A4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5704</v>
      </c>
    </row>
    <row r="2" customFormat="false" ht="15" hidden="false" customHeight="false" outlineLevel="0" collapsed="false">
      <c r="A2" s="2" t="s">
        <v>5675</v>
      </c>
    </row>
    <row r="4" customFormat="false" ht="27.75" hidden="false" customHeight="true" outlineLevel="0" collapsed="false">
      <c r="A4" s="7" t="s">
        <v>5676</v>
      </c>
      <c r="B4" s="7" t="s">
        <v>5677</v>
      </c>
      <c r="C4" s="7" t="s">
        <v>5678</v>
      </c>
      <c r="D4" s="7" t="s">
        <v>5679</v>
      </c>
      <c r="E4" s="7" t="s">
        <v>5680</v>
      </c>
      <c r="F4" s="7" t="s">
        <v>5681</v>
      </c>
      <c r="G4" s="7" t="s">
        <v>5682</v>
      </c>
      <c r="H4" s="7" t="s">
        <v>5683</v>
      </c>
    </row>
    <row r="5" customFormat="false" ht="15" hidden="false" customHeight="false" outlineLevel="0" collapsed="false">
      <c r="A5" s="16" t="s">
        <v>5705</v>
      </c>
      <c r="B5" s="29" t="n">
        <f aca="false">SUMIFS(Payment_Log_AP!$E$2:$E$753,Payment_Log_AP!$D$2:$D$753,"&gt;="&amp;DATE(2025,1,1),Payment_Log_AP!$D$2:$D$753,"&lt;"&amp;DATE(2025,4,1))</f>
        <v>286731.61</v>
      </c>
      <c r="C5" s="29" t="n">
        <f aca="false">SUMIFS(Cash_Receipts_AR!$E$2:$E$503,Cash_Receipts_AR!$D$2:$D$503,"&gt;="&amp;DATE(2025,1,1),Cash_Receipts_AR!$D$2:$D$503,"&lt;"&amp;DATE(2025,4,1))</f>
        <v>247286.76</v>
      </c>
      <c r="D5" s="16" t="n">
        <f aca="false">COUNTIFS(3Way_Match!$L$5:$L$854,"EXCEPTION",3Way_Match!$D$5:$D$854,"&gt;="&amp;DATE(2025,1,1),3Way_Match!$D$5:$D$854,"&lt;"&amp;DATE(2025,4,1))</f>
        <v>30</v>
      </c>
      <c r="E5" s="16" t="n">
        <f aca="false">COUNTIFS(Duplicate_Payments!$H$5:$H$885,"DUPLICATE*")</f>
        <v>16</v>
      </c>
      <c r="F5" s="16" t="n">
        <f aca="false">COUNTIFS(SoD_Check!$G$5:$G$854,"VIOLATION*",SoD_Check!$C$5:$C$854,"&gt;="&amp;DATE(2025,1,1),SoD_Check!$C$5:$C$854,"&lt;"&amp;DATE(2025,4,1))</f>
        <v>6</v>
      </c>
      <c r="G5" s="16" t="n">
        <f aca="false">COUNTIFS(Risk_Scoring!$M$5:$M$756,"High",Risk_Scoring!$F$5:$F$756,"&gt;="&amp;DATE(2025,1,1),Risk_Scoring!$F$5:$F$756,"&lt;"&amp;DATE(2025,4,1))</f>
        <v>4</v>
      </c>
      <c r="H5" s="16" t="n">
        <f aca="false">COUNTIFS(Purchase_Orders!$C$2:$C$851,"&gt;="&amp;DATE(2025,1,1),Purchase_Orders!$C$2:$C$851,"&lt;"&amp;DATE(2025,4,1))</f>
        <v>134</v>
      </c>
    </row>
    <row r="6" customFormat="false" ht="15" hidden="false" customHeight="false" outlineLevel="0" collapsed="false">
      <c r="A6" s="16" t="s">
        <v>5706</v>
      </c>
      <c r="B6" s="29" t="n">
        <f aca="false">SUMIFS(Payment_Log_AP!$E$2:$E$753,Payment_Log_AP!$D$2:$D$753,"&gt;="&amp;DATE(2025,4,1),Payment_Log_AP!$D$2:$D$753,"&lt;"&amp;DATE(2025,7,1))</f>
        <v>394992.74</v>
      </c>
      <c r="C6" s="29" t="n">
        <f aca="false">SUMIFS(Cash_Receipts_AR!$E$2:$E$503,Cash_Receipts_AR!$D$2:$D$503,"&gt;="&amp;DATE(2025,4,1),Cash_Receipts_AR!$D$2:$D$503,"&lt;"&amp;DATE(2025,7,1))</f>
        <v>332039.16</v>
      </c>
      <c r="D6" s="16" t="n">
        <f aca="false">COUNTIFS(3Way_Match!$L$5:$L$854,"EXCEPTION",3Way_Match!$D$5:$D$854,"&gt;="&amp;DATE(2025,4,1),3Way_Match!$D$5:$D$854,"&lt;"&amp;DATE(2025,7,1))</f>
        <v>26</v>
      </c>
      <c r="E6" s="16" t="n">
        <f aca="false">COUNTIFS(Duplicate_Payments!$H$5:$H$885,"DUPLICATE*")</f>
        <v>16</v>
      </c>
      <c r="F6" s="16" t="n">
        <f aca="false">COUNTIFS(SoD_Check!$G$5:$G$854,"VIOLATION*",SoD_Check!$C$5:$C$854,"&gt;="&amp;DATE(2025,4,1),SoD_Check!$C$5:$C$854,"&lt;"&amp;DATE(2025,7,1))</f>
        <v>1</v>
      </c>
      <c r="G6" s="16" t="n">
        <f aca="false">COUNTIFS(Risk_Scoring!$M$5:$M$756,"High",Risk_Scoring!$F$5:$F$756,"&gt;="&amp;DATE(2025,4,1),Risk_Scoring!$F$5:$F$756,"&lt;"&amp;DATE(2025,7,1))</f>
        <v>8</v>
      </c>
      <c r="H6" s="16" t="n">
        <f aca="false">COUNTIFS(Purchase_Orders!$C$2:$C$851,"&gt;="&amp;DATE(2025,4,1),Purchase_Orders!$C$2:$C$851,"&lt;"&amp;DATE(2025,7,1))</f>
        <v>140</v>
      </c>
    </row>
    <row r="7" customFormat="false" ht="15" hidden="false" customHeight="false" outlineLevel="0" collapsed="false">
      <c r="A7" s="16" t="s">
        <v>5707</v>
      </c>
      <c r="B7" s="29" t="n">
        <f aca="false">SUMIFS(Payment_Log_AP!$E$2:$E$753,Payment_Log_AP!$D$2:$D$753,"&gt;="&amp;DATE(2025,7,1),Payment_Log_AP!$D$2:$D$753,"&lt;"&amp;DATE(2025,10,1))</f>
        <v>465079.87</v>
      </c>
      <c r="C7" s="29" t="n">
        <f aca="false">SUMIFS(Cash_Receipts_AR!$E$2:$E$503,Cash_Receipts_AR!$D$2:$D$503,"&gt;="&amp;DATE(2025,7,1),Cash_Receipts_AR!$D$2:$D$503,"&lt;"&amp;DATE(2025,10,1))</f>
        <v>325735.09</v>
      </c>
      <c r="D7" s="16" t="n">
        <f aca="false">COUNTIFS(3Way_Match!$L$5:$L$854,"EXCEPTION",3Way_Match!$D$5:$D$854,"&gt;="&amp;DATE(2025,7,1),3Way_Match!$D$5:$D$854,"&lt;"&amp;DATE(2025,10,1))</f>
        <v>29</v>
      </c>
      <c r="E7" s="16" t="n">
        <f aca="false">COUNTIFS(Duplicate_Payments!$H$5:$H$885,"DUPLICATE*")</f>
        <v>16</v>
      </c>
      <c r="F7" s="16" t="n">
        <f aca="false">COUNTIFS(SoD_Check!$G$5:$G$854,"VIOLATION*",SoD_Check!$C$5:$C$854,"&gt;="&amp;DATE(2025,7,1),SoD_Check!$C$5:$C$854,"&lt;"&amp;DATE(2025,10,1))</f>
        <v>4</v>
      </c>
      <c r="G7" s="16" t="n">
        <f aca="false">COUNTIFS(Risk_Scoring!$M$5:$M$756,"High",Risk_Scoring!$F$5:$F$756,"&gt;="&amp;DATE(2025,7,1),Risk_Scoring!$F$5:$F$756,"&lt;"&amp;DATE(2025,10,1))</f>
        <v>3</v>
      </c>
      <c r="H7" s="16" t="n">
        <f aca="false">COUNTIFS(Purchase_Orders!$C$2:$C$851,"&gt;="&amp;DATE(2025,7,1),Purchase_Orders!$C$2:$C$851,"&lt;"&amp;DATE(2025,10,1))</f>
        <v>141</v>
      </c>
    </row>
    <row r="8" customFormat="false" ht="15" hidden="false" customHeight="false" outlineLevel="0" collapsed="false">
      <c r="A8" s="16" t="s">
        <v>5708</v>
      </c>
      <c r="B8" s="29" t="n">
        <f aca="false">SUMIFS(Payment_Log_AP!$E$2:$E$753,Payment_Log_AP!$D$2:$D$753,"&gt;="&amp;DATE(2025,10,1),Payment_Log_AP!$D$2:$D$753,"&lt;"&amp;DATE(2026,1,1))</f>
        <v>434279.83</v>
      </c>
      <c r="C8" s="29" t="n">
        <f aca="false">SUMIFS(Cash_Receipts_AR!$E$2:$E$503,Cash_Receipts_AR!$D$2:$D$503,"&gt;="&amp;DATE(2025,10,1),Cash_Receipts_AR!$D$2:$D$503,"&lt;"&amp;DATE(2026,1,1))</f>
        <v>324137.08</v>
      </c>
      <c r="D8" s="16" t="n">
        <f aca="false">COUNTIFS(3Way_Match!$L$5:$L$854,"EXCEPTION",3Way_Match!$D$5:$D$854,"&gt;="&amp;DATE(2025,10,1),3Way_Match!$D$5:$D$854,"&lt;"&amp;DATE(2026,1,1))</f>
        <v>22</v>
      </c>
      <c r="E8" s="16" t="n">
        <f aca="false">COUNTIFS(Duplicate_Payments!$H$5:$H$885,"DUPLICATE*")</f>
        <v>16</v>
      </c>
      <c r="F8" s="16" t="n">
        <f aca="false">COUNTIFS(SoD_Check!$G$5:$G$854,"VIOLATION*",SoD_Check!$C$5:$C$854,"&gt;="&amp;DATE(2025,10,1),SoD_Check!$C$5:$C$854,"&lt;"&amp;DATE(2026,1,1))</f>
        <v>7</v>
      </c>
      <c r="G8" s="16" t="n">
        <f aca="false">COUNTIFS(Risk_Scoring!$M$5:$M$756,"High",Risk_Scoring!$F$5:$F$756,"&gt;="&amp;DATE(2025,10,1),Risk_Scoring!$F$5:$F$756,"&lt;"&amp;DATE(2026,1,1))</f>
        <v>1</v>
      </c>
      <c r="H8" s="16" t="n">
        <f aca="false">COUNTIFS(Purchase_Orders!$C$2:$C$851,"&gt;="&amp;DATE(2025,10,1),Purchase_Orders!$C$2:$C$851,"&lt;"&amp;DATE(2026,1,1))</f>
        <v>153</v>
      </c>
    </row>
    <row r="9" customFormat="false" ht="15" hidden="false" customHeight="false" outlineLevel="0" collapsed="false">
      <c r="A9" s="16" t="s">
        <v>5709</v>
      </c>
      <c r="B9" s="29" t="n">
        <f aca="false">SUMIFS(Payment_Log_AP!$E$2:$E$753,Payment_Log_AP!$D$2:$D$753,"&gt;="&amp;DATE(2026,1,1),Payment_Log_AP!$D$2:$D$753,"&lt;"&amp;DATE(2026,4,1))</f>
        <v>504327.19</v>
      </c>
      <c r="C9" s="29" t="n">
        <f aca="false">SUMIFS(Cash_Receipts_AR!$E$2:$E$503,Cash_Receipts_AR!$D$2:$D$503,"&gt;="&amp;DATE(2026,1,1),Cash_Receipts_AR!$D$2:$D$503,"&lt;"&amp;DATE(2026,4,1))</f>
        <v>343713.6</v>
      </c>
      <c r="D9" s="16" t="n">
        <f aca="false">COUNTIFS(3Way_Match!$L$5:$L$854,"EXCEPTION",3Way_Match!$D$5:$D$854,"&gt;="&amp;DATE(2026,1,1),3Way_Match!$D$5:$D$854,"&lt;"&amp;DATE(2026,4,1))</f>
        <v>31</v>
      </c>
      <c r="E9" s="16" t="n">
        <f aca="false">COUNTIFS(Duplicate_Payments!$H$5:$H$885,"DUPLICATE*")</f>
        <v>16</v>
      </c>
      <c r="F9" s="16" t="n">
        <f aca="false">COUNTIFS(SoD_Check!$G$5:$G$854,"VIOLATION*",SoD_Check!$C$5:$C$854,"&gt;="&amp;DATE(2026,1,1),SoD_Check!$C$5:$C$854,"&lt;"&amp;DATE(2026,4,1))</f>
        <v>2</v>
      </c>
      <c r="G9" s="16" t="n">
        <f aca="false">COUNTIFS(Risk_Scoring!$M$5:$M$756,"High",Risk_Scoring!$F$5:$F$756,"&gt;="&amp;DATE(2026,1,1),Risk_Scoring!$F$5:$F$756,"&lt;"&amp;DATE(2026,4,1))</f>
        <v>3</v>
      </c>
      <c r="H9" s="16" t="n">
        <f aca="false">COUNTIFS(Purchase_Orders!$C$2:$C$851,"&gt;="&amp;DATE(2026,1,1),Purchase_Orders!$C$2:$C$851,"&lt;"&amp;DATE(2026,4,1))</f>
        <v>154</v>
      </c>
    </row>
    <row r="10" customFormat="false" ht="15" hidden="false" customHeight="false" outlineLevel="0" collapsed="false">
      <c r="A10" s="16" t="s">
        <v>5710</v>
      </c>
      <c r="B10" s="29" t="n">
        <f aca="false">SUMIFS(Payment_Log_AP!$E$2:$E$753,Payment_Log_AP!$D$2:$D$753,"&gt;="&amp;DATE(2026,4,1),Payment_Log_AP!$D$2:$D$753,"&lt;"&amp;DATE(2026,7,1))</f>
        <v>442674.33</v>
      </c>
      <c r="C10" s="29" t="n">
        <f aca="false">SUMIFS(Cash_Receipts_AR!$E$2:$E$503,Cash_Receipts_AR!$D$2:$D$503,"&gt;="&amp;DATE(2026,4,1),Cash_Receipts_AR!$D$2:$D$503,"&lt;"&amp;DATE(2026,7,1))</f>
        <v>316735.75</v>
      </c>
      <c r="D10" s="16" t="n">
        <f aca="false">COUNTIFS(3Way_Match!$L$5:$L$854,"EXCEPTION",3Way_Match!$D$5:$D$854,"&gt;="&amp;DATE(2026,4,1),3Way_Match!$D$5:$D$854,"&lt;"&amp;DATE(2026,7,1))</f>
        <v>22</v>
      </c>
      <c r="E10" s="16" t="n">
        <f aca="false">COUNTIFS(Duplicate_Payments!$H$5:$H$885,"DUPLICATE*")</f>
        <v>16</v>
      </c>
      <c r="F10" s="16" t="n">
        <f aca="false">COUNTIFS(SoD_Check!$G$5:$G$854,"VIOLATION*",SoD_Check!$C$5:$C$854,"&gt;="&amp;DATE(2026,4,1),SoD_Check!$C$5:$C$854,"&lt;"&amp;DATE(2026,7,1))</f>
        <v>1</v>
      </c>
      <c r="G10" s="16" t="n">
        <f aca="false">COUNTIFS(Risk_Scoring!$M$5:$M$756,"High",Risk_Scoring!$F$5:$F$756,"&gt;="&amp;DATE(2026,4,1),Risk_Scoring!$F$5:$F$756,"&lt;"&amp;DATE(2026,7,1))</f>
        <v>2</v>
      </c>
      <c r="H10" s="16" t="n">
        <f aca="false">COUNTIFS(Purchase_Orders!$C$2:$C$851,"&gt;="&amp;DATE(2026,4,1),Purchase_Orders!$C$2:$C$851,"&lt;"&amp;DATE(2026,7,1))</f>
        <v>128</v>
      </c>
    </row>
    <row r="11" customFormat="false" ht="15" hidden="false" customHeight="false" outlineLevel="0" collapsed="false">
      <c r="A11" s="16" t="s">
        <v>5711</v>
      </c>
      <c r="B11" s="29" t="n">
        <f aca="false">SUMIFS(Payment_Log_AP!$E$2:$E$753,Payment_Log_AP!$D$2:$D$753,"&gt;="&amp;DATE(2026,7,1),Payment_Log_AP!$D$2:$D$753,"&lt;"&amp;DATE(2026,10,1))</f>
        <v>13225.35</v>
      </c>
      <c r="C11" s="29" t="n">
        <f aca="false">SUMIFS(Cash_Receipts_AR!$E$2:$E$503,Cash_Receipts_AR!$D$2:$D$503,"&gt;="&amp;DATE(2026,7,1),Cash_Receipts_AR!$D$2:$D$503,"&lt;"&amp;DATE(2026,10,1))</f>
        <v>0</v>
      </c>
      <c r="D11" s="16" t="n">
        <f aca="false">COUNTIFS(3Way_Match!$L$5:$L$854,"EXCEPTION",3Way_Match!$D$5:$D$854,"&gt;="&amp;DATE(2026,7,1),3Way_Match!$D$5:$D$854,"&lt;"&amp;DATE(2026,10,1))</f>
        <v>0</v>
      </c>
      <c r="E11" s="16" t="n">
        <f aca="false">COUNTIFS(Duplicate_Payments!$H$5:$H$885,"DUPLICATE*")</f>
        <v>16</v>
      </c>
      <c r="F11" s="16" t="n">
        <f aca="false">COUNTIFS(SoD_Check!$G$5:$G$854,"VIOLATION*",SoD_Check!$C$5:$C$854,"&gt;="&amp;DATE(2026,7,1),SoD_Check!$C$5:$C$854,"&lt;"&amp;DATE(2026,10,1))</f>
        <v>0</v>
      </c>
      <c r="G11" s="16" t="n">
        <f aca="false">COUNTIFS(Risk_Scoring!$M$5:$M$756,"High",Risk_Scoring!$F$5:$F$756,"&gt;="&amp;DATE(2026,7,1),Risk_Scoring!$F$5:$F$756,"&lt;"&amp;DATE(2026,10,1))</f>
        <v>0</v>
      </c>
      <c r="H11" s="16" t="n">
        <f aca="false">COUNTIFS(Purchase_Orders!$C$2:$C$851,"&gt;="&amp;DATE(2026,7,1),Purchase_Orders!$C$2:$C$851,"&lt;"&amp;DATE(2026,10,1))</f>
        <v>0</v>
      </c>
    </row>
    <row r="13" customFormat="false" ht="15" hidden="false" customHeight="false" outlineLevel="0" collapsed="false">
      <c r="A13" s="2" t="s">
        <v>5703</v>
      </c>
    </row>
  </sheetData>
  <autoFilter ref="A4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5712</v>
      </c>
    </row>
    <row r="2" customFormat="false" ht="15" hidden="false" customHeight="false" outlineLevel="0" collapsed="false">
      <c r="A2" s="2" t="s">
        <v>5675</v>
      </c>
    </row>
    <row r="4" customFormat="false" ht="27.75" hidden="false" customHeight="true" outlineLevel="0" collapsed="false">
      <c r="A4" s="7" t="s">
        <v>5676</v>
      </c>
      <c r="B4" s="7" t="s">
        <v>5677</v>
      </c>
      <c r="C4" s="7" t="s">
        <v>5678</v>
      </c>
      <c r="D4" s="7" t="s">
        <v>5679</v>
      </c>
      <c r="E4" s="7" t="s">
        <v>5680</v>
      </c>
      <c r="F4" s="7" t="s">
        <v>5681</v>
      </c>
      <c r="G4" s="7" t="s">
        <v>5682</v>
      </c>
      <c r="H4" s="7" t="s">
        <v>5683</v>
      </c>
    </row>
    <row r="5" customFormat="false" ht="15" hidden="false" customHeight="false" outlineLevel="0" collapsed="false">
      <c r="A5" s="16" t="s">
        <v>5713</v>
      </c>
      <c r="B5" s="29" t="n">
        <f aca="false">SUMIFS(Payment_Log_AP!$E$2:$E$753,Payment_Log_AP!$D$2:$D$753,"&gt;="&amp;DATE(2025,1,1),Payment_Log_AP!$D$2:$D$753,"&lt;"&amp;DATE(2026,1,1))</f>
        <v>1581084.05</v>
      </c>
      <c r="C5" s="29" t="n">
        <f aca="false">SUMIFS(Cash_Receipts_AR!$E$2:$E$503,Cash_Receipts_AR!$D$2:$D$503,"&gt;="&amp;DATE(2025,1,1),Cash_Receipts_AR!$D$2:$D$503,"&lt;"&amp;DATE(2026,1,1))</f>
        <v>1229198.09</v>
      </c>
      <c r="D5" s="16" t="n">
        <f aca="false">COUNTIFS(3Way_Match!$L$5:$L$854,"EXCEPTION",3Way_Match!$D$5:$D$854,"&gt;="&amp;DATE(2025,1,1),3Way_Match!$D$5:$D$854,"&lt;"&amp;DATE(2026,1,1))</f>
        <v>107</v>
      </c>
      <c r="E5" s="16" t="n">
        <f aca="false">COUNTIFS(Duplicate_Payments!$H$5:$H$885,"DUPLICATE*")</f>
        <v>16</v>
      </c>
      <c r="F5" s="16" t="n">
        <f aca="false">COUNTIFS(SoD_Check!$G$5:$G$854,"VIOLATION*",SoD_Check!$C$5:$C$854,"&gt;="&amp;DATE(2025,1,1),SoD_Check!$C$5:$C$854,"&lt;"&amp;DATE(2026,1,1))</f>
        <v>18</v>
      </c>
      <c r="G5" s="16" t="n">
        <f aca="false">COUNTIFS(Risk_Scoring!$M$5:$M$756,"High",Risk_Scoring!$F$5:$F$756,"&gt;="&amp;DATE(2025,1,1),Risk_Scoring!$F$5:$F$756,"&lt;"&amp;DATE(2026,1,1))</f>
        <v>16</v>
      </c>
      <c r="H5" s="16" t="n">
        <f aca="false">COUNTIFS(Purchase_Orders!$C$2:$C$851,"&gt;="&amp;DATE(2025,1,1),Purchase_Orders!$C$2:$C$851,"&lt;"&amp;DATE(2026,1,1))</f>
        <v>568</v>
      </c>
    </row>
    <row r="6" customFormat="false" ht="15" hidden="false" customHeight="false" outlineLevel="0" collapsed="false">
      <c r="A6" s="16" t="s">
        <v>5714</v>
      </c>
      <c r="B6" s="29" t="n">
        <f aca="false">SUMIFS(Payment_Log_AP!$E$2:$E$753,Payment_Log_AP!$D$2:$D$753,"&gt;="&amp;DATE(2026,1,1),Payment_Log_AP!$D$2:$D$753,"&lt;"&amp;DATE(2027,1,1))</f>
        <v>960226.87</v>
      </c>
      <c r="C6" s="29" t="n">
        <f aca="false">SUMIFS(Cash_Receipts_AR!$E$2:$E$503,Cash_Receipts_AR!$D$2:$D$503,"&gt;="&amp;DATE(2026,1,1),Cash_Receipts_AR!$D$2:$D$503,"&lt;"&amp;DATE(2027,1,1))</f>
        <v>660449.35</v>
      </c>
      <c r="D6" s="16" t="n">
        <f aca="false">COUNTIFS(3Way_Match!$L$5:$L$854,"EXCEPTION",3Way_Match!$D$5:$D$854,"&gt;="&amp;DATE(2026,1,1),3Way_Match!$D$5:$D$854,"&lt;"&amp;DATE(2027,1,1))</f>
        <v>53</v>
      </c>
      <c r="E6" s="16" t="n">
        <f aca="false">COUNTIFS(Duplicate_Payments!$H$5:$H$885,"DUPLICATE*")</f>
        <v>16</v>
      </c>
      <c r="F6" s="16" t="n">
        <f aca="false">COUNTIFS(SoD_Check!$G$5:$G$854,"VIOLATION*",SoD_Check!$C$5:$C$854,"&gt;="&amp;DATE(2026,1,1),SoD_Check!$C$5:$C$854,"&lt;"&amp;DATE(2027,1,1))</f>
        <v>3</v>
      </c>
      <c r="G6" s="16" t="n">
        <f aca="false">COUNTIFS(Risk_Scoring!$M$5:$M$756,"High",Risk_Scoring!$F$5:$F$756,"&gt;="&amp;DATE(2026,1,1),Risk_Scoring!$F$5:$F$756,"&lt;"&amp;DATE(2027,1,1))</f>
        <v>5</v>
      </c>
      <c r="H6" s="16" t="n">
        <f aca="false">COUNTIFS(Purchase_Orders!$C$2:$C$851,"&gt;="&amp;DATE(2026,1,1),Purchase_Orders!$C$2:$C$851,"&lt;"&amp;DATE(2027,1,1))</f>
        <v>282</v>
      </c>
    </row>
    <row r="8" customFormat="false" ht="15" hidden="false" customHeight="false" outlineLevel="0" collapsed="false">
      <c r="A8" s="2" t="s">
        <v>5703</v>
      </c>
    </row>
  </sheetData>
  <autoFilter ref="A4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5715</v>
      </c>
    </row>
    <row r="2" customFormat="false" ht="15" hidden="false" customHeight="false" outlineLevel="0" collapsed="false">
      <c r="A2" s="2" t="s">
        <v>5675</v>
      </c>
    </row>
    <row r="4" customFormat="false" ht="27.75" hidden="false" customHeight="true" outlineLevel="0" collapsed="false">
      <c r="A4" s="7" t="s">
        <v>5676</v>
      </c>
      <c r="B4" s="7" t="s">
        <v>5677</v>
      </c>
      <c r="C4" s="7" t="s">
        <v>5678</v>
      </c>
      <c r="D4" s="7" t="s">
        <v>5679</v>
      </c>
      <c r="E4" s="7" t="s">
        <v>5680</v>
      </c>
      <c r="F4" s="7" t="s">
        <v>5681</v>
      </c>
      <c r="G4" s="7" t="s">
        <v>5682</v>
      </c>
      <c r="H4" s="7" t="s">
        <v>5683</v>
      </c>
    </row>
    <row r="5" customFormat="false" ht="15" hidden="false" customHeight="false" outlineLevel="0" collapsed="false">
      <c r="A5" s="16" t="s">
        <v>5716</v>
      </c>
      <c r="B5" s="29" t="n">
        <f aca="false">SUMIFS(Payment_Log_AP!$E$2:$E$753,Payment_Log_AP!$D$2:$D$753,"&gt;="&amp;DATE(2026,4,13),Payment_Log_AP!$D$2:$D$753,"&lt;"&amp;DATE(2026,4,20))</f>
        <v>17210.23</v>
      </c>
      <c r="C5" s="29" t="n">
        <f aca="false">SUMIFS(Cash_Receipts_AR!$E$2:$E$503,Cash_Receipts_AR!$D$2:$D$503,"&gt;="&amp;DATE(2026,4,13),Cash_Receipts_AR!$D$2:$D$503,"&lt;"&amp;DATE(2026,4,20))</f>
        <v>30576.59</v>
      </c>
      <c r="D5" s="16" t="n">
        <f aca="false">COUNTIFS(3Way_Match!$L$5:$L$854,"EXCEPTION",3Way_Match!$D$5:$D$854,"&gt;="&amp;DATE(2026,4,13),3Way_Match!$D$5:$D$854,"&lt;"&amp;DATE(2026,4,20))</f>
        <v>1</v>
      </c>
      <c r="E5" s="16" t="n">
        <f aca="false">COUNTIFS(Duplicate_Payments!$H$5:$H$885,"DUPLICATE*")</f>
        <v>16</v>
      </c>
      <c r="F5" s="16" t="n">
        <f aca="false">COUNTIFS(SoD_Check!$G$5:$G$854,"VIOLATION*",SoD_Check!$C$5:$C$854,"&gt;="&amp;DATE(2026,4,13),SoD_Check!$C$5:$C$854,"&lt;"&amp;DATE(2026,4,20))</f>
        <v>0</v>
      </c>
      <c r="G5" s="16" t="n">
        <f aca="false">COUNTIFS(Risk_Scoring!$M$5:$M$756,"High",Risk_Scoring!$F$5:$F$756,"&gt;="&amp;DATE(2026,4,13),Risk_Scoring!$F$5:$F$756,"&lt;"&amp;DATE(2026,4,20))</f>
        <v>0</v>
      </c>
      <c r="H5" s="16" t="n">
        <f aca="false">COUNTIFS(Purchase_Orders!$C$2:$C$851,"&gt;="&amp;DATE(2026,4,13),Purchase_Orders!$C$2:$C$851,"&lt;"&amp;DATE(2026,4,20))</f>
        <v>14</v>
      </c>
    </row>
    <row r="6" customFormat="false" ht="15" hidden="false" customHeight="false" outlineLevel="0" collapsed="false">
      <c r="A6" s="16" t="s">
        <v>5717</v>
      </c>
      <c r="B6" s="29" t="n">
        <f aca="false">SUMIFS(Payment_Log_AP!$E$2:$E$753,Payment_Log_AP!$D$2:$D$753,"&gt;="&amp;DATE(2026,4,20),Payment_Log_AP!$D$2:$D$753,"&lt;"&amp;DATE(2026,4,27))</f>
        <v>31624.9</v>
      </c>
      <c r="C6" s="29" t="n">
        <f aca="false">SUMIFS(Cash_Receipts_AR!$E$2:$E$503,Cash_Receipts_AR!$D$2:$D$503,"&gt;="&amp;DATE(2026,4,20),Cash_Receipts_AR!$D$2:$D$503,"&lt;"&amp;DATE(2026,4,27))</f>
        <v>8759.06</v>
      </c>
      <c r="D6" s="16" t="n">
        <f aca="false">COUNTIFS(3Way_Match!$L$5:$L$854,"EXCEPTION",3Way_Match!$D$5:$D$854,"&gt;="&amp;DATE(2026,4,20),3Way_Match!$D$5:$D$854,"&lt;"&amp;DATE(2026,4,27))</f>
        <v>3</v>
      </c>
      <c r="E6" s="16" t="n">
        <f aca="false">COUNTIFS(Duplicate_Payments!$H$5:$H$885,"DUPLICATE*")</f>
        <v>16</v>
      </c>
      <c r="F6" s="16" t="n">
        <f aca="false">COUNTIFS(SoD_Check!$G$5:$G$854,"VIOLATION*",SoD_Check!$C$5:$C$854,"&gt;="&amp;DATE(2026,4,20),SoD_Check!$C$5:$C$854,"&lt;"&amp;DATE(2026,4,27))</f>
        <v>0</v>
      </c>
      <c r="G6" s="16" t="n">
        <f aca="false">COUNTIFS(Risk_Scoring!$M$5:$M$756,"High",Risk_Scoring!$F$5:$F$756,"&gt;="&amp;DATE(2026,4,20),Risk_Scoring!$F$5:$F$756,"&lt;"&amp;DATE(2026,4,27))</f>
        <v>0</v>
      </c>
      <c r="H6" s="16" t="n">
        <f aca="false">COUNTIFS(Purchase_Orders!$C$2:$C$851,"&gt;="&amp;DATE(2026,4,20),Purchase_Orders!$C$2:$C$851,"&lt;"&amp;DATE(2026,4,27))</f>
        <v>9</v>
      </c>
    </row>
    <row r="7" customFormat="false" ht="15" hidden="false" customHeight="false" outlineLevel="0" collapsed="false">
      <c r="A7" s="16" t="s">
        <v>5718</v>
      </c>
      <c r="B7" s="29" t="n">
        <f aca="false">SUMIFS(Payment_Log_AP!$E$2:$E$753,Payment_Log_AP!$D$2:$D$753,"&gt;="&amp;DATE(2026,4,27),Payment_Log_AP!$D$2:$D$753,"&lt;"&amp;DATE(2026,5,4))</f>
        <v>13689.02</v>
      </c>
      <c r="C7" s="29" t="n">
        <f aca="false">SUMIFS(Cash_Receipts_AR!$E$2:$E$503,Cash_Receipts_AR!$D$2:$D$503,"&gt;="&amp;DATE(2026,4,27),Cash_Receipts_AR!$D$2:$D$503,"&lt;"&amp;DATE(2026,5,4))</f>
        <v>19786.3</v>
      </c>
      <c r="D7" s="16" t="n">
        <f aca="false">COUNTIFS(3Way_Match!$L$5:$L$854,"EXCEPTION",3Way_Match!$D$5:$D$854,"&gt;="&amp;DATE(2026,4,27),3Way_Match!$D$5:$D$854,"&lt;"&amp;DATE(2026,5,4))</f>
        <v>1</v>
      </c>
      <c r="E7" s="16" t="n">
        <f aca="false">COUNTIFS(Duplicate_Payments!$H$5:$H$885,"DUPLICATE*")</f>
        <v>16</v>
      </c>
      <c r="F7" s="16" t="n">
        <f aca="false">COUNTIFS(SoD_Check!$G$5:$G$854,"VIOLATION*",SoD_Check!$C$5:$C$854,"&gt;="&amp;DATE(2026,4,27),SoD_Check!$C$5:$C$854,"&lt;"&amp;DATE(2026,5,4))</f>
        <v>0</v>
      </c>
      <c r="G7" s="16" t="n">
        <f aca="false">COUNTIFS(Risk_Scoring!$M$5:$M$756,"High",Risk_Scoring!$F$5:$F$756,"&gt;="&amp;DATE(2026,4,27),Risk_Scoring!$F$5:$F$756,"&lt;"&amp;DATE(2026,5,4))</f>
        <v>0</v>
      </c>
      <c r="H7" s="16" t="n">
        <f aca="false">COUNTIFS(Purchase_Orders!$C$2:$C$851,"&gt;="&amp;DATE(2026,4,27),Purchase_Orders!$C$2:$C$851,"&lt;"&amp;DATE(2026,5,4))</f>
        <v>3</v>
      </c>
    </row>
    <row r="8" customFormat="false" ht="15" hidden="false" customHeight="false" outlineLevel="0" collapsed="false">
      <c r="A8" s="16" t="s">
        <v>5719</v>
      </c>
      <c r="B8" s="29" t="n">
        <f aca="false">SUMIFS(Payment_Log_AP!$E$2:$E$753,Payment_Log_AP!$D$2:$D$753,"&gt;="&amp;DATE(2026,5,4),Payment_Log_AP!$D$2:$D$753,"&lt;"&amp;DATE(2026,5,11))</f>
        <v>53070.05</v>
      </c>
      <c r="C8" s="29" t="n">
        <f aca="false">SUMIFS(Cash_Receipts_AR!$E$2:$E$503,Cash_Receipts_AR!$D$2:$D$503,"&gt;="&amp;DATE(2026,5,4),Cash_Receipts_AR!$D$2:$D$503,"&lt;"&amp;DATE(2026,5,11))</f>
        <v>25770.78</v>
      </c>
      <c r="D8" s="16" t="n">
        <f aca="false">COUNTIFS(3Way_Match!$L$5:$L$854,"EXCEPTION",3Way_Match!$D$5:$D$854,"&gt;="&amp;DATE(2026,5,4),3Way_Match!$D$5:$D$854,"&lt;"&amp;DATE(2026,5,11))</f>
        <v>1</v>
      </c>
      <c r="E8" s="16" t="n">
        <f aca="false">COUNTIFS(Duplicate_Payments!$H$5:$H$885,"DUPLICATE*")</f>
        <v>16</v>
      </c>
      <c r="F8" s="16" t="n">
        <f aca="false">COUNTIFS(SoD_Check!$G$5:$G$854,"VIOLATION*",SoD_Check!$C$5:$C$854,"&gt;="&amp;DATE(2026,5,4),SoD_Check!$C$5:$C$854,"&lt;"&amp;DATE(2026,5,11))</f>
        <v>0</v>
      </c>
      <c r="G8" s="16" t="n">
        <f aca="false">COUNTIFS(Risk_Scoring!$M$5:$M$756,"High",Risk_Scoring!$F$5:$F$756,"&gt;="&amp;DATE(2026,5,4),Risk_Scoring!$F$5:$F$756,"&lt;"&amp;DATE(2026,5,11))</f>
        <v>0</v>
      </c>
      <c r="H8" s="16" t="n">
        <f aca="false">COUNTIFS(Purchase_Orders!$C$2:$C$851,"&gt;="&amp;DATE(2026,5,4),Purchase_Orders!$C$2:$C$851,"&lt;"&amp;DATE(2026,5,11))</f>
        <v>9</v>
      </c>
    </row>
    <row r="9" customFormat="false" ht="15" hidden="false" customHeight="false" outlineLevel="0" collapsed="false">
      <c r="A9" s="16" t="s">
        <v>5720</v>
      </c>
      <c r="B9" s="29" t="n">
        <f aca="false">SUMIFS(Payment_Log_AP!$E$2:$E$753,Payment_Log_AP!$D$2:$D$753,"&gt;="&amp;DATE(2026,5,11),Payment_Log_AP!$D$2:$D$753,"&lt;"&amp;DATE(2026,5,18))</f>
        <v>16055.43</v>
      </c>
      <c r="C9" s="29" t="n">
        <f aca="false">SUMIFS(Cash_Receipts_AR!$E$2:$E$503,Cash_Receipts_AR!$D$2:$D$503,"&gt;="&amp;DATE(2026,5,11),Cash_Receipts_AR!$D$2:$D$503,"&lt;"&amp;DATE(2026,5,18))</f>
        <v>22657.33</v>
      </c>
      <c r="D9" s="16" t="n">
        <f aca="false">COUNTIFS(3Way_Match!$L$5:$L$854,"EXCEPTION",3Way_Match!$D$5:$D$854,"&gt;="&amp;DATE(2026,5,11),3Way_Match!$D$5:$D$854,"&lt;"&amp;DATE(2026,5,18))</f>
        <v>3</v>
      </c>
      <c r="E9" s="16" t="n">
        <f aca="false">COUNTIFS(Duplicate_Payments!$H$5:$H$885,"DUPLICATE*")</f>
        <v>16</v>
      </c>
      <c r="F9" s="16" t="n">
        <f aca="false">COUNTIFS(SoD_Check!$G$5:$G$854,"VIOLATION*",SoD_Check!$C$5:$C$854,"&gt;="&amp;DATE(2026,5,11),SoD_Check!$C$5:$C$854,"&lt;"&amp;DATE(2026,5,18))</f>
        <v>0</v>
      </c>
      <c r="G9" s="16" t="n">
        <f aca="false">COUNTIFS(Risk_Scoring!$M$5:$M$756,"High",Risk_Scoring!$F$5:$F$756,"&gt;="&amp;DATE(2026,5,11),Risk_Scoring!$F$5:$F$756,"&lt;"&amp;DATE(2026,5,18))</f>
        <v>0</v>
      </c>
      <c r="H9" s="16" t="n">
        <f aca="false">COUNTIFS(Purchase_Orders!$C$2:$C$851,"&gt;="&amp;DATE(2026,5,11),Purchase_Orders!$C$2:$C$851,"&lt;"&amp;DATE(2026,5,18))</f>
        <v>9</v>
      </c>
    </row>
    <row r="10" customFormat="false" ht="15" hidden="false" customHeight="false" outlineLevel="0" collapsed="false">
      <c r="A10" s="16" t="s">
        <v>5721</v>
      </c>
      <c r="B10" s="29" t="n">
        <f aca="false">SUMIFS(Payment_Log_AP!$E$2:$E$753,Payment_Log_AP!$D$2:$D$753,"&gt;="&amp;DATE(2026,5,18),Payment_Log_AP!$D$2:$D$753,"&lt;"&amp;DATE(2026,5,25))</f>
        <v>32196.77</v>
      </c>
      <c r="C10" s="29" t="n">
        <f aca="false">SUMIFS(Cash_Receipts_AR!$E$2:$E$503,Cash_Receipts_AR!$D$2:$D$503,"&gt;="&amp;DATE(2026,5,18),Cash_Receipts_AR!$D$2:$D$503,"&lt;"&amp;DATE(2026,5,25))</f>
        <v>10101.72</v>
      </c>
      <c r="D10" s="16" t="n">
        <f aca="false">COUNTIFS(3Way_Match!$L$5:$L$854,"EXCEPTION",3Way_Match!$D$5:$D$854,"&gt;="&amp;DATE(2026,5,18),3Way_Match!$D$5:$D$854,"&lt;"&amp;DATE(2026,5,25))</f>
        <v>2</v>
      </c>
      <c r="E10" s="16" t="n">
        <f aca="false">COUNTIFS(Duplicate_Payments!$H$5:$H$885,"DUPLICATE*")</f>
        <v>16</v>
      </c>
      <c r="F10" s="16" t="n">
        <f aca="false">COUNTIFS(SoD_Check!$G$5:$G$854,"VIOLATION*",SoD_Check!$C$5:$C$854,"&gt;="&amp;DATE(2026,5,18),SoD_Check!$C$5:$C$854,"&lt;"&amp;DATE(2026,5,25))</f>
        <v>0</v>
      </c>
      <c r="G10" s="16" t="n">
        <f aca="false">COUNTIFS(Risk_Scoring!$M$5:$M$756,"High",Risk_Scoring!$F$5:$F$756,"&gt;="&amp;DATE(2026,5,18),Risk_Scoring!$F$5:$F$756,"&lt;"&amp;DATE(2026,5,25))</f>
        <v>0</v>
      </c>
      <c r="H10" s="16" t="n">
        <f aca="false">COUNTIFS(Purchase_Orders!$C$2:$C$851,"&gt;="&amp;DATE(2026,5,18),Purchase_Orders!$C$2:$C$851,"&lt;"&amp;DATE(2026,5,25))</f>
        <v>8</v>
      </c>
    </row>
    <row r="11" customFormat="false" ht="15" hidden="false" customHeight="false" outlineLevel="0" collapsed="false">
      <c r="A11" s="16" t="s">
        <v>5722</v>
      </c>
      <c r="B11" s="29" t="n">
        <f aca="false">SUMIFS(Payment_Log_AP!$E$2:$E$753,Payment_Log_AP!$D$2:$D$753,"&gt;="&amp;DATE(2026,5,25),Payment_Log_AP!$D$2:$D$753,"&lt;"&amp;DATE(2026,6,1))</f>
        <v>22291.28</v>
      </c>
      <c r="C11" s="29" t="n">
        <f aca="false">SUMIFS(Cash_Receipts_AR!$E$2:$E$503,Cash_Receipts_AR!$D$2:$D$503,"&gt;="&amp;DATE(2026,5,25),Cash_Receipts_AR!$D$2:$D$503,"&lt;"&amp;DATE(2026,6,1))</f>
        <v>18319.62</v>
      </c>
      <c r="D11" s="16" t="n">
        <f aca="false">COUNTIFS(3Way_Match!$L$5:$L$854,"EXCEPTION",3Way_Match!$D$5:$D$854,"&gt;="&amp;DATE(2026,5,25),3Way_Match!$D$5:$D$854,"&lt;"&amp;DATE(2026,6,1))</f>
        <v>1</v>
      </c>
      <c r="E11" s="16" t="n">
        <f aca="false">COUNTIFS(Duplicate_Payments!$H$5:$H$885,"DUPLICATE*")</f>
        <v>16</v>
      </c>
      <c r="F11" s="16" t="n">
        <f aca="false">COUNTIFS(SoD_Check!$G$5:$G$854,"VIOLATION*",SoD_Check!$C$5:$C$854,"&gt;="&amp;DATE(2026,5,25),SoD_Check!$C$5:$C$854,"&lt;"&amp;DATE(2026,6,1))</f>
        <v>1</v>
      </c>
      <c r="G11" s="16" t="n">
        <f aca="false">COUNTIFS(Risk_Scoring!$M$5:$M$756,"High",Risk_Scoring!$F$5:$F$756,"&gt;="&amp;DATE(2026,5,25),Risk_Scoring!$F$5:$F$756,"&lt;"&amp;DATE(2026,6,1))</f>
        <v>0</v>
      </c>
      <c r="H11" s="16" t="n">
        <f aca="false">COUNTIFS(Purchase_Orders!$C$2:$C$851,"&gt;="&amp;DATE(2026,5,25),Purchase_Orders!$C$2:$C$851,"&lt;"&amp;DATE(2026,6,1))</f>
        <v>10</v>
      </c>
    </row>
    <row r="12" customFormat="false" ht="15" hidden="false" customHeight="false" outlineLevel="0" collapsed="false">
      <c r="A12" s="16" t="s">
        <v>5723</v>
      </c>
      <c r="B12" s="29" t="n">
        <f aca="false">SUMIFS(Payment_Log_AP!$E$2:$E$753,Payment_Log_AP!$D$2:$D$753,"&gt;="&amp;DATE(2026,6,1),Payment_Log_AP!$D$2:$D$753,"&lt;"&amp;DATE(2026,6,8))</f>
        <v>52557.1</v>
      </c>
      <c r="C12" s="29" t="n">
        <f aca="false">SUMIFS(Cash_Receipts_AR!$E$2:$E$503,Cash_Receipts_AR!$D$2:$D$503,"&gt;="&amp;DATE(2026,6,1),Cash_Receipts_AR!$D$2:$D$503,"&lt;"&amp;DATE(2026,6,8))</f>
        <v>23406.23</v>
      </c>
      <c r="D12" s="16" t="n">
        <f aca="false">COUNTIFS(3Way_Match!$L$5:$L$854,"EXCEPTION",3Way_Match!$D$5:$D$854,"&gt;="&amp;DATE(2026,6,1),3Way_Match!$D$5:$D$854,"&lt;"&amp;DATE(2026,6,8))</f>
        <v>1</v>
      </c>
      <c r="E12" s="16" t="n">
        <f aca="false">COUNTIFS(Duplicate_Payments!$H$5:$H$885,"DUPLICATE*")</f>
        <v>16</v>
      </c>
      <c r="F12" s="16" t="n">
        <f aca="false">COUNTIFS(SoD_Check!$G$5:$G$854,"VIOLATION*",SoD_Check!$C$5:$C$854,"&gt;="&amp;DATE(2026,6,1),SoD_Check!$C$5:$C$854,"&lt;"&amp;DATE(2026,6,8))</f>
        <v>0</v>
      </c>
      <c r="G12" s="16" t="n">
        <f aca="false">COUNTIFS(Risk_Scoring!$M$5:$M$756,"High",Risk_Scoring!$F$5:$F$756,"&gt;="&amp;DATE(2026,6,1),Risk_Scoring!$F$5:$F$756,"&lt;"&amp;DATE(2026,6,8))</f>
        <v>1</v>
      </c>
      <c r="H12" s="16" t="n">
        <f aca="false">COUNTIFS(Purchase_Orders!$C$2:$C$851,"&gt;="&amp;DATE(2026,6,1),Purchase_Orders!$C$2:$C$851,"&lt;"&amp;DATE(2026,6,8))</f>
        <v>10</v>
      </c>
    </row>
    <row r="13" customFormat="false" ht="15" hidden="false" customHeight="false" outlineLevel="0" collapsed="false">
      <c r="A13" s="16" t="s">
        <v>5724</v>
      </c>
      <c r="B13" s="29" t="n">
        <f aca="false">SUMIFS(Payment_Log_AP!$E$2:$E$753,Payment_Log_AP!$D$2:$D$753,"&gt;="&amp;DATE(2026,6,8),Payment_Log_AP!$D$2:$D$753,"&lt;"&amp;DATE(2026,6,15))</f>
        <v>17913.22</v>
      </c>
      <c r="C13" s="29" t="n">
        <f aca="false">SUMIFS(Cash_Receipts_AR!$E$2:$E$503,Cash_Receipts_AR!$D$2:$D$503,"&gt;="&amp;DATE(2026,6,8),Cash_Receipts_AR!$D$2:$D$503,"&lt;"&amp;DATE(2026,6,15))</f>
        <v>14694.82</v>
      </c>
      <c r="D13" s="16" t="n">
        <f aca="false">COUNTIFS(3Way_Match!$L$5:$L$854,"EXCEPTION",3Way_Match!$D$5:$D$854,"&gt;="&amp;DATE(2026,6,8),3Way_Match!$D$5:$D$854,"&lt;"&amp;DATE(2026,6,15))</f>
        <v>1</v>
      </c>
      <c r="E13" s="16" t="n">
        <f aca="false">COUNTIFS(Duplicate_Payments!$H$5:$H$885,"DUPLICATE*")</f>
        <v>16</v>
      </c>
      <c r="F13" s="16" t="n">
        <f aca="false">COUNTIFS(SoD_Check!$G$5:$G$854,"VIOLATION*",SoD_Check!$C$5:$C$854,"&gt;="&amp;DATE(2026,6,8),SoD_Check!$C$5:$C$854,"&lt;"&amp;DATE(2026,6,15))</f>
        <v>0</v>
      </c>
      <c r="G13" s="16" t="n">
        <f aca="false">COUNTIFS(Risk_Scoring!$M$5:$M$756,"High",Risk_Scoring!$F$5:$F$756,"&gt;="&amp;DATE(2026,6,8),Risk_Scoring!$F$5:$F$756,"&lt;"&amp;DATE(2026,6,15))</f>
        <v>1</v>
      </c>
      <c r="H13" s="16" t="n">
        <f aca="false">COUNTIFS(Purchase_Orders!$C$2:$C$851,"&gt;="&amp;DATE(2026,6,8),Purchase_Orders!$C$2:$C$851,"&lt;"&amp;DATE(2026,6,15))</f>
        <v>15</v>
      </c>
    </row>
    <row r="14" customFormat="false" ht="15" hidden="false" customHeight="false" outlineLevel="0" collapsed="false">
      <c r="A14" s="16" t="s">
        <v>5725</v>
      </c>
      <c r="B14" s="29" t="n">
        <f aca="false">SUMIFS(Payment_Log_AP!$E$2:$E$753,Payment_Log_AP!$D$2:$D$753,"&gt;="&amp;DATE(2026,6,15),Payment_Log_AP!$D$2:$D$753,"&lt;"&amp;DATE(2026,6,22))</f>
        <v>13767.43</v>
      </c>
      <c r="C14" s="29" t="n">
        <f aca="false">SUMIFS(Cash_Receipts_AR!$E$2:$E$503,Cash_Receipts_AR!$D$2:$D$503,"&gt;="&amp;DATE(2026,6,15),Cash_Receipts_AR!$D$2:$D$503,"&lt;"&amp;DATE(2026,6,22))</f>
        <v>29971.4</v>
      </c>
      <c r="D14" s="16" t="n">
        <f aca="false">COUNTIFS(3Way_Match!$L$5:$L$854,"EXCEPTION",3Way_Match!$D$5:$D$854,"&gt;="&amp;DATE(2026,6,15),3Way_Match!$D$5:$D$854,"&lt;"&amp;DATE(2026,6,22))</f>
        <v>2</v>
      </c>
      <c r="E14" s="16" t="n">
        <f aca="false">COUNTIFS(Duplicate_Payments!$H$5:$H$885,"DUPLICATE*")</f>
        <v>16</v>
      </c>
      <c r="F14" s="16" t="n">
        <f aca="false">COUNTIFS(SoD_Check!$G$5:$G$854,"VIOLATION*",SoD_Check!$C$5:$C$854,"&gt;="&amp;DATE(2026,6,15),SoD_Check!$C$5:$C$854,"&lt;"&amp;DATE(2026,6,22))</f>
        <v>0</v>
      </c>
      <c r="G14" s="16" t="n">
        <f aca="false">COUNTIFS(Risk_Scoring!$M$5:$M$756,"High",Risk_Scoring!$F$5:$F$756,"&gt;="&amp;DATE(2026,6,15),Risk_Scoring!$F$5:$F$756,"&lt;"&amp;DATE(2026,6,22))</f>
        <v>0</v>
      </c>
      <c r="H14" s="16" t="n">
        <f aca="false">COUNTIFS(Purchase_Orders!$C$2:$C$851,"&gt;="&amp;DATE(2026,6,15),Purchase_Orders!$C$2:$C$851,"&lt;"&amp;DATE(2026,6,22))</f>
        <v>11</v>
      </c>
    </row>
    <row r="15" customFormat="false" ht="15" hidden="false" customHeight="false" outlineLevel="0" collapsed="false">
      <c r="A15" s="16" t="s">
        <v>5726</v>
      </c>
      <c r="B15" s="29" t="n">
        <f aca="false">SUMIFS(Payment_Log_AP!$E$2:$E$753,Payment_Log_AP!$D$2:$D$753,"&gt;="&amp;DATE(2026,6,22),Payment_Log_AP!$D$2:$D$753,"&lt;"&amp;DATE(2026,6,29))</f>
        <v>20831.37</v>
      </c>
      <c r="C15" s="29" t="n">
        <f aca="false">SUMIFS(Cash_Receipts_AR!$E$2:$E$503,Cash_Receipts_AR!$D$2:$D$503,"&gt;="&amp;DATE(2026,6,22),Cash_Receipts_AR!$D$2:$D$503,"&lt;"&amp;DATE(2026,6,29))</f>
        <v>38213.23</v>
      </c>
      <c r="D15" s="16" t="n">
        <f aca="false">COUNTIFS(3Way_Match!$L$5:$L$854,"EXCEPTION",3Way_Match!$D$5:$D$854,"&gt;="&amp;DATE(2026,6,22),3Way_Match!$D$5:$D$854,"&lt;"&amp;DATE(2026,6,29))</f>
        <v>2</v>
      </c>
      <c r="E15" s="16" t="n">
        <f aca="false">COUNTIFS(Duplicate_Payments!$H$5:$H$885,"DUPLICATE*")</f>
        <v>16</v>
      </c>
      <c r="F15" s="16" t="n">
        <f aca="false">COUNTIFS(SoD_Check!$G$5:$G$854,"VIOLATION*",SoD_Check!$C$5:$C$854,"&gt;="&amp;DATE(2026,6,22),SoD_Check!$C$5:$C$854,"&lt;"&amp;DATE(2026,6,29))</f>
        <v>0</v>
      </c>
      <c r="G15" s="16" t="n">
        <f aca="false">COUNTIFS(Risk_Scoring!$M$5:$M$756,"High",Risk_Scoring!$F$5:$F$756,"&gt;="&amp;DATE(2026,6,22),Risk_Scoring!$F$5:$F$756,"&lt;"&amp;DATE(2026,6,29))</f>
        <v>0</v>
      </c>
      <c r="H15" s="16" t="n">
        <f aca="false">COUNTIFS(Purchase_Orders!$C$2:$C$851,"&gt;="&amp;DATE(2026,6,22),Purchase_Orders!$C$2:$C$851,"&lt;"&amp;DATE(2026,6,29))</f>
        <v>8</v>
      </c>
    </row>
    <row r="16" customFormat="false" ht="15" hidden="false" customHeight="false" outlineLevel="0" collapsed="false">
      <c r="A16" s="16" t="s">
        <v>5727</v>
      </c>
      <c r="B16" s="29" t="n">
        <f aca="false">SUMIFS(Payment_Log_AP!$E$2:$E$753,Payment_Log_AP!$D$2:$D$753,"&gt;="&amp;DATE(2026,6,29),Payment_Log_AP!$D$2:$D$753,"&lt;"&amp;DATE(2026,7,6))</f>
        <v>51718.39</v>
      </c>
      <c r="C16" s="29" t="n">
        <f aca="false">SUMIFS(Cash_Receipts_AR!$E$2:$E$503,Cash_Receipts_AR!$D$2:$D$503,"&gt;="&amp;DATE(2026,6,29),Cash_Receipts_AR!$D$2:$D$503,"&lt;"&amp;DATE(2026,7,6))</f>
        <v>4069.65</v>
      </c>
      <c r="D16" s="16" t="n">
        <f aca="false">COUNTIFS(3Way_Match!$L$5:$L$854,"EXCEPTION",3Way_Match!$D$5:$D$854,"&gt;="&amp;DATE(2026,6,29),3Way_Match!$D$5:$D$854,"&lt;"&amp;DATE(2026,7,6))</f>
        <v>0</v>
      </c>
      <c r="E16" s="16" t="n">
        <f aca="false">COUNTIFS(Duplicate_Payments!$H$5:$H$885,"DUPLICATE*")</f>
        <v>16</v>
      </c>
      <c r="F16" s="16" t="n">
        <f aca="false">COUNTIFS(SoD_Check!$G$5:$G$854,"VIOLATION*",SoD_Check!$C$5:$C$854,"&gt;="&amp;DATE(2026,6,29),SoD_Check!$C$5:$C$854,"&lt;"&amp;DATE(2026,7,6))</f>
        <v>0</v>
      </c>
      <c r="G16" s="16" t="n">
        <f aca="false">COUNTIFS(Risk_Scoring!$M$5:$M$756,"High",Risk_Scoring!$F$5:$F$756,"&gt;="&amp;DATE(2026,6,29),Risk_Scoring!$F$5:$F$756,"&lt;"&amp;DATE(2026,7,6))</f>
        <v>0</v>
      </c>
      <c r="H16" s="16" t="n">
        <f aca="false">COUNTIFS(Purchase_Orders!$C$2:$C$851,"&gt;="&amp;DATE(2026,6,29),Purchase_Orders!$C$2:$C$851,"&lt;"&amp;DATE(2026,7,6))</f>
        <v>3</v>
      </c>
    </row>
    <row r="18" customFormat="false" ht="15" hidden="false" customHeight="false" outlineLevel="0" collapsed="false">
      <c r="A18" s="2" t="s">
        <v>5703</v>
      </c>
    </row>
  </sheetData>
  <autoFilter ref="A4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4" min="4" style="0" width="4"/>
    <col collapsed="false" customWidth="true" hidden="false" outlineLevel="0" max="6" min="5" style="0" width="20"/>
    <col collapsed="false" customWidth="true" hidden="false" outlineLevel="0" max="7" min="7" style="0" width="4"/>
    <col collapsed="false" customWidth="true" hidden="false" outlineLevel="0" max="9" min="8" style="0" width="20"/>
  </cols>
  <sheetData>
    <row r="1" customFormat="false" ht="17.35" hidden="false" customHeight="false" outlineLevel="0" collapsed="false">
      <c r="A1" s="1" t="s">
        <v>5728</v>
      </c>
    </row>
    <row r="2" customFormat="false" ht="15" hidden="false" customHeight="false" outlineLevel="0" collapsed="false">
      <c r="A2" s="2" t="s">
        <v>5729</v>
      </c>
    </row>
    <row r="4" customFormat="false" ht="15" hidden="false" customHeight="true" outlineLevel="0" collapsed="false">
      <c r="B4" s="32" t="s">
        <v>5730</v>
      </c>
      <c r="C4" s="32"/>
      <c r="E4" s="32" t="s">
        <v>5731</v>
      </c>
      <c r="F4" s="32"/>
      <c r="H4" s="32" t="s">
        <v>5732</v>
      </c>
      <c r="I4" s="32"/>
    </row>
    <row r="5" customFormat="false" ht="24.45" hidden="false" customHeight="false" outlineLevel="0" collapsed="false">
      <c r="B5" s="33" t="n">
        <f aca="false">SUM(AP_Aging!$B$890:$B$893)</f>
        <v>569517.22</v>
      </c>
      <c r="C5" s="33"/>
      <c r="E5" s="33" t="n">
        <f aca="false">SUM(AR_Aging!$B$609:$B$612)</f>
        <v>430247.17</v>
      </c>
      <c r="F5" s="33"/>
      <c r="H5" s="34" t="n">
        <f aca="false">DPO_Summary!$B$8</f>
        <v>103.583171906021</v>
      </c>
      <c r="I5" s="34"/>
    </row>
    <row r="8" customFormat="false" ht="15" hidden="false" customHeight="true" outlineLevel="0" collapsed="false">
      <c r="B8" s="32" t="s">
        <v>5733</v>
      </c>
      <c r="C8" s="32"/>
      <c r="E8" s="32" t="s">
        <v>5679</v>
      </c>
      <c r="F8" s="32"/>
      <c r="H8" s="32" t="s">
        <v>5680</v>
      </c>
      <c r="I8" s="32"/>
    </row>
    <row r="9" customFormat="false" ht="24.45" hidden="false" customHeight="false" outlineLevel="0" collapsed="false">
      <c r="B9" s="34" t="n">
        <f aca="false">DSO_Summary!$B$8</f>
        <v>100.519206835866</v>
      </c>
      <c r="C9" s="34"/>
      <c r="E9" s="35" t="n">
        <f aca="false">COUNTIF(3Way_Match!$L$5:$L$854,"EXCEPTION")</f>
        <v>160</v>
      </c>
      <c r="F9" s="35"/>
      <c r="H9" s="35" t="n">
        <f aca="false">COUNTIF(Duplicate_Payments!$H$5:$H$885,"DUPLICATE*")</f>
        <v>16</v>
      </c>
      <c r="I9" s="35"/>
    </row>
    <row r="12" customFormat="false" ht="15" hidden="false" customHeight="true" outlineLevel="0" collapsed="false">
      <c r="B12" s="32" t="s">
        <v>5681</v>
      </c>
      <c r="C12" s="32"/>
      <c r="E12" s="32" t="s">
        <v>5682</v>
      </c>
      <c r="F12" s="32"/>
      <c r="H12" s="32" t="s">
        <v>5734</v>
      </c>
      <c r="I12" s="32"/>
    </row>
    <row r="13" customFormat="false" ht="24.45" hidden="false" customHeight="false" outlineLevel="0" collapsed="false">
      <c r="B13" s="35" t="n">
        <f aca="false">SoD_Check!$B$857</f>
        <v>21</v>
      </c>
      <c r="C13" s="35"/>
      <c r="E13" s="35" t="n">
        <f aca="false">Risk_Scoring!$B$760</f>
        <v>21</v>
      </c>
      <c r="F13" s="35"/>
      <c r="H13" s="35" t="n">
        <f aca="false">New_Vendor_Risk!$B$47</f>
        <v>0</v>
      </c>
      <c r="I13" s="35"/>
    </row>
    <row r="16" customFormat="false" ht="15" hidden="false" customHeight="true" outlineLevel="0" collapsed="false">
      <c r="B16" s="32" t="s">
        <v>5735</v>
      </c>
      <c r="C16" s="32"/>
      <c r="E16" s="32" t="s">
        <v>5736</v>
      </c>
      <c r="F16" s="32"/>
      <c r="H16" s="32" t="s">
        <v>5673</v>
      </c>
      <c r="I16" s="32"/>
    </row>
    <row r="17" customFormat="false" ht="24.45" hidden="false" customHeight="false" outlineLevel="0" collapsed="false">
      <c r="B17" s="35" t="n">
        <f aca="false">COUNTIF(Bank_Reconciliation!$H$6:$H$757,"Unmatched*")+COUNTIF(Bank_Reconciliation!$G$762:$G$1543,"Unexplained*")</f>
        <v>30</v>
      </c>
      <c r="C17" s="35"/>
      <c r="E17" s="33" t="n">
        <f aca="false">AR_Aging!$B$612</f>
        <v>323070.04</v>
      </c>
      <c r="F17" s="33"/>
      <c r="H17" s="36" t="str">
        <f aca="false">RCM!$B$14</f>
        <v>REVIEW REQUIRED - One or more controls FAILED</v>
      </c>
      <c r="I17" s="36"/>
    </row>
    <row r="23" customFormat="false" ht="15" hidden="false" customHeight="false" outlineLevel="0" collapsed="false">
      <c r="B23" s="3" t="s">
        <v>5737</v>
      </c>
      <c r="C23" s="4"/>
      <c r="E23" s="3" t="s">
        <v>5738</v>
      </c>
      <c r="F23" s="4"/>
    </row>
    <row r="24" customFormat="false" ht="15" hidden="false" customHeight="false" outlineLevel="0" collapsed="false">
      <c r="B24" s="19" t="s">
        <v>5554</v>
      </c>
      <c r="C24" s="19" t="s">
        <v>5739</v>
      </c>
      <c r="E24" s="19" t="s">
        <v>5554</v>
      </c>
      <c r="F24" s="19" t="s">
        <v>5739</v>
      </c>
    </row>
    <row r="25" customFormat="false" ht="15" hidden="false" customHeight="false" outlineLevel="0" collapsed="false">
      <c r="B25" s="8" t="s">
        <v>5557</v>
      </c>
      <c r="C25" s="27" t="n">
        <f aca="false">AP_Aging!B890</f>
        <v>248495.64</v>
      </c>
      <c r="E25" s="8" t="s">
        <v>5557</v>
      </c>
      <c r="F25" s="27" t="n">
        <f aca="false">AR_Aging!B609</f>
        <v>36608.27</v>
      </c>
    </row>
    <row r="26" customFormat="false" ht="15" hidden="false" customHeight="false" outlineLevel="0" collapsed="false">
      <c r="B26" s="8" t="s">
        <v>5558</v>
      </c>
      <c r="C26" s="27" t="n">
        <f aca="false">AP_Aging!B891</f>
        <v>15605.37</v>
      </c>
      <c r="E26" s="8" t="s">
        <v>5558</v>
      </c>
      <c r="F26" s="27" t="n">
        <f aca="false">AR_Aging!B610</f>
        <v>46667.73</v>
      </c>
    </row>
    <row r="27" customFormat="false" ht="15" hidden="false" customHeight="false" outlineLevel="0" collapsed="false">
      <c r="B27" s="8" t="s">
        <v>5559</v>
      </c>
      <c r="C27" s="27" t="n">
        <f aca="false">AP_Aging!B892</f>
        <v>24163.94</v>
      </c>
      <c r="E27" s="8" t="s">
        <v>5559</v>
      </c>
      <c r="F27" s="27" t="n">
        <f aca="false">AR_Aging!B611</f>
        <v>23901.13</v>
      </c>
    </row>
    <row r="28" customFormat="false" ht="15" hidden="false" customHeight="false" outlineLevel="0" collapsed="false">
      <c r="B28" s="8" t="s">
        <v>5560</v>
      </c>
      <c r="C28" s="27" t="n">
        <f aca="false">AP_Aging!B893</f>
        <v>281252.27</v>
      </c>
      <c r="E28" s="8" t="s">
        <v>5560</v>
      </c>
      <c r="F28" s="27" t="n">
        <f aca="false">AR_Aging!B612</f>
        <v>323070.04</v>
      </c>
    </row>
  </sheetData>
  <mergeCells count="24">
    <mergeCell ref="B4:C4"/>
    <mergeCell ref="E4:F4"/>
    <mergeCell ref="H4:I4"/>
    <mergeCell ref="B5:C5"/>
    <mergeCell ref="E5:F5"/>
    <mergeCell ref="H5:I5"/>
    <mergeCell ref="B8:C8"/>
    <mergeCell ref="E8:F8"/>
    <mergeCell ref="H8:I8"/>
    <mergeCell ref="B9:C9"/>
    <mergeCell ref="E9:F9"/>
    <mergeCell ref="H9:I9"/>
    <mergeCell ref="B12:C12"/>
    <mergeCell ref="E12:F12"/>
    <mergeCell ref="H12:I12"/>
    <mergeCell ref="B13:C13"/>
    <mergeCell ref="E13:F13"/>
    <mergeCell ref="H13:I13"/>
    <mergeCell ref="B16:C16"/>
    <mergeCell ref="E16:F16"/>
    <mergeCell ref="H16:I16"/>
    <mergeCell ref="B17:C17"/>
    <mergeCell ref="E17:F17"/>
    <mergeCell ref="H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2026-07-20T06:10:07Z</dcterms:created>
  <dc:creator>openpyxl</dc:creator>
  <dc:description/>
  <dc:language>en-US</dc:language>
  <cp:lastModifiedBy/>
  <dcterms:modified xsi:type="dcterms:W3CDTF">2026-08-12T05:32:30Z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